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askpr\Downloads\PPT_Automation\files\"/>
    </mc:Choice>
  </mc:AlternateContent>
  <xr:revisionPtr revIDLastSave="0" documentId="13_ncr:1_{00DB49B6-57AB-42E2-A48D-608CC2A80EA9}" xr6:coauthVersionLast="47" xr6:coauthVersionMax="47" xr10:uidLastSave="{00000000-0000-0000-0000-000000000000}"/>
  <bookViews>
    <workbookView xWindow="1680" yWindow="555" windowWidth="25545" windowHeight="14520" tabRatio="889" firstSheet="3" activeTab="3" xr2:uid="{00000000-000D-0000-FFFF-FFFF00000000}"/>
  </bookViews>
  <sheets>
    <sheet name="Required changes checklist" sheetId="1" state="hidden" r:id="rId1"/>
    <sheet name="Col Name Deffinitions" sheetId="2" state="hidden" r:id="rId2"/>
    <sheet name="QC Checklist" sheetId="3" r:id="rId3"/>
    <sheet name="Overall Metrics" sheetId="4" r:id="rId4"/>
    <sheet name="Channel &amp; Campaign Metrics" sheetId="5" r:id="rId5"/>
    <sheet name="MAE - Audience Level Data" sheetId="6" r:id="rId6"/>
    <sheet name="Glass Metrics" sheetId="7" r:id="rId7"/>
    <sheet name="Lifecycle (Glass)" sheetId="8" r:id="rId8"/>
    <sheet name="Customer Segmentation" sheetId="9" r:id="rId9"/>
    <sheet name="Owned Breakdown (Glass)" sheetId="10" r:id="rId10"/>
    <sheet name="Retention" sheetId="11" r:id="rId11"/>
    <sheet name="Forecast" sheetId="12" r:id="rId12"/>
    <sheet name="Definitions" sheetId="13" r:id="rId13"/>
    <sheet name="Weekly Charts" sheetId="14" r:id="rId14"/>
    <sheet name="KPI Table" sheetId="15" r:id="rId15"/>
    <sheet name="MAE Breakdown" sheetId="16" state="hidden" r:id="rId16"/>
    <sheet name="WAU Estimate" sheetId="17" state="hidden" r:id="rId17"/>
    <sheet name="Sheet2" sheetId="18" state="hidden" r:id="rId18"/>
    <sheet name="Sheet3" sheetId="19" state="hidden" r:id="rId19"/>
    <sheet name="NewCollatedExample (pt1)" sheetId="20" state="hidden" r:id="rId20"/>
    <sheet name="NewCollatedExample(pt2)" sheetId="21" state="hidden" r:id="rId21"/>
  </sheets>
  <calcPr calcId="191029"/>
  <pivotCaches>
    <pivotCache cacheId="0" r:id="rId22"/>
    <pivotCache cacheId="1" r:id="rId2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22" i="4" l="1"/>
  <c r="N137" i="14"/>
  <c r="AP261" i="4"/>
  <c r="AP262" i="4"/>
  <c r="AP263" i="4"/>
  <c r="AP264" i="4"/>
  <c r="AP265" i="4"/>
  <c r="AP266" i="4"/>
  <c r="AP267" i="4"/>
  <c r="AP268" i="4"/>
  <c r="AP269" i="4"/>
  <c r="AP270" i="4"/>
  <c r="AS270" i="4" s="1"/>
  <c r="AV265" i="12" s="1"/>
  <c r="AP271" i="4"/>
  <c r="AS271" i="4" s="1"/>
  <c r="AV266" i="12" s="1"/>
  <c r="AP272" i="4"/>
  <c r="AP273" i="4"/>
  <c r="AX261" i="12"/>
  <c r="AS267" i="12"/>
  <c r="AT267" i="12"/>
  <c r="AT268" i="12"/>
  <c r="AS268" i="12"/>
  <c r="AR267" i="12"/>
  <c r="AR268" i="12"/>
  <c r="Y272" i="5"/>
  <c r="AA272" i="5"/>
  <c r="B212" i="21"/>
  <c r="B211" i="21"/>
  <c r="B210" i="21"/>
  <c r="B209" i="21"/>
  <c r="B208" i="21"/>
  <c r="B207" i="21"/>
  <c r="B206" i="21"/>
  <c r="B205" i="21"/>
  <c r="B204" i="21"/>
  <c r="B203" i="21"/>
  <c r="B202" i="21"/>
  <c r="B201" i="21"/>
  <c r="B200" i="21"/>
  <c r="B199" i="21"/>
  <c r="B198" i="21"/>
  <c r="B197" i="21"/>
  <c r="B196" i="21"/>
  <c r="B195" i="21"/>
  <c r="B194" i="21"/>
  <c r="B193" i="21"/>
  <c r="B192" i="21"/>
  <c r="B191" i="21"/>
  <c r="B190" i="21"/>
  <c r="B189" i="21"/>
  <c r="B188" i="21"/>
  <c r="B187" i="21"/>
  <c r="B186" i="21"/>
  <c r="B185" i="21"/>
  <c r="B184" i="21"/>
  <c r="B183" i="21"/>
  <c r="B182" i="21"/>
  <c r="B181" i="21"/>
  <c r="B180" i="21"/>
  <c r="B179" i="21"/>
  <c r="B178" i="21"/>
  <c r="B177" i="21"/>
  <c r="B176" i="21"/>
  <c r="B175" i="21"/>
  <c r="B174" i="21"/>
  <c r="B173" i="21"/>
  <c r="B172" i="21"/>
  <c r="B171" i="21"/>
  <c r="B170" i="21"/>
  <c r="B169" i="21"/>
  <c r="B168" i="21"/>
  <c r="B167" i="21"/>
  <c r="B166" i="21"/>
  <c r="B165" i="21"/>
  <c r="B164" i="21"/>
  <c r="B163" i="21"/>
  <c r="B162" i="21"/>
  <c r="B161" i="21"/>
  <c r="B160" i="21"/>
  <c r="B159" i="21"/>
  <c r="B158" i="21"/>
  <c r="B157" i="21"/>
  <c r="B156" i="21"/>
  <c r="B155" i="21"/>
  <c r="B154" i="21"/>
  <c r="B153" i="21"/>
  <c r="B152" i="21"/>
  <c r="B151" i="21"/>
  <c r="B150" i="21"/>
  <c r="B149" i="21"/>
  <c r="B148" i="21"/>
  <c r="B147" i="21"/>
  <c r="B146" i="21"/>
  <c r="B145" i="21"/>
  <c r="B144" i="21"/>
  <c r="B143" i="21"/>
  <c r="B142" i="21"/>
  <c r="B141" i="21"/>
  <c r="B140" i="21"/>
  <c r="B139" i="21"/>
  <c r="B138" i="21"/>
  <c r="B137" i="21"/>
  <c r="B136" i="21"/>
  <c r="B135" i="21"/>
  <c r="B134" i="21"/>
  <c r="B133" i="21"/>
  <c r="B132" i="21"/>
  <c r="B131" i="21"/>
  <c r="B130" i="21"/>
  <c r="B129" i="21"/>
  <c r="B128" i="21"/>
  <c r="B127" i="21"/>
  <c r="B126" i="21"/>
  <c r="B125" i="21"/>
  <c r="B124" i="21"/>
  <c r="B123" i="21"/>
  <c r="B122" i="21"/>
  <c r="B121" i="21"/>
  <c r="B120" i="21"/>
  <c r="B119" i="21"/>
  <c r="B118" i="21"/>
  <c r="B117" i="21"/>
  <c r="B116" i="21"/>
  <c r="B115" i="21"/>
  <c r="B114" i="21"/>
  <c r="B113" i="21"/>
  <c r="B112" i="21"/>
  <c r="B111" i="21"/>
  <c r="B110" i="21"/>
  <c r="B109" i="21"/>
  <c r="B108" i="21"/>
  <c r="B107" i="21"/>
  <c r="B106" i="21"/>
  <c r="B105" i="21"/>
  <c r="B104" i="21"/>
  <c r="B103" i="21"/>
  <c r="B102" i="21"/>
  <c r="B101" i="21"/>
  <c r="B100" i="21"/>
  <c r="B99" i="21"/>
  <c r="B98" i="21"/>
  <c r="B97" i="21"/>
  <c r="B96" i="21"/>
  <c r="B95" i="21"/>
  <c r="B94" i="21"/>
  <c r="B93" i="21"/>
  <c r="B92" i="21"/>
  <c r="B91" i="21"/>
  <c r="B90" i="21"/>
  <c r="B89" i="21"/>
  <c r="B88" i="21"/>
  <c r="B87" i="21"/>
  <c r="B86" i="21"/>
  <c r="B85" i="21"/>
  <c r="B84" i="21"/>
  <c r="B83" i="21"/>
  <c r="B82" i="21"/>
  <c r="B81" i="21"/>
  <c r="B80" i="21"/>
  <c r="B79" i="21"/>
  <c r="B78" i="21"/>
  <c r="B77" i="21"/>
  <c r="B76" i="21"/>
  <c r="B75" i="21"/>
  <c r="B74" i="21"/>
  <c r="B73" i="21"/>
  <c r="B72" i="21"/>
  <c r="B71" i="21"/>
  <c r="B70" i="21"/>
  <c r="B69" i="21"/>
  <c r="B68" i="21"/>
  <c r="B67" i="21"/>
  <c r="B66" i="21"/>
  <c r="B65" i="21"/>
  <c r="B64" i="21"/>
  <c r="B63" i="21"/>
  <c r="B62" i="21"/>
  <c r="B61" i="21"/>
  <c r="B60" i="21"/>
  <c r="B59" i="21"/>
  <c r="B58" i="21"/>
  <c r="B57" i="21"/>
  <c r="B56" i="21"/>
  <c r="B55" i="21"/>
  <c r="B54" i="21"/>
  <c r="B53" i="21"/>
  <c r="B52" i="21"/>
  <c r="B51" i="21"/>
  <c r="B50" i="21"/>
  <c r="B49" i="21"/>
  <c r="B48" i="21"/>
  <c r="B47" i="21"/>
  <c r="B46" i="21"/>
  <c r="B45" i="21"/>
  <c r="B44" i="21"/>
  <c r="B43" i="21"/>
  <c r="B42" i="21"/>
  <c r="B41" i="21"/>
  <c r="B40" i="21"/>
  <c r="B39" i="21"/>
  <c r="B38" i="21"/>
  <c r="B37" i="21"/>
  <c r="B36" i="21"/>
  <c r="B35" i="21"/>
  <c r="B34" i="21"/>
  <c r="B33" i="21"/>
  <c r="B32" i="21"/>
  <c r="B31" i="21"/>
  <c r="B30" i="21"/>
  <c r="B29" i="21"/>
  <c r="B28" i="21"/>
  <c r="B27" i="21"/>
  <c r="B26" i="21"/>
  <c r="B25" i="21"/>
  <c r="B24" i="21"/>
  <c r="B23" i="21"/>
  <c r="B22" i="21"/>
  <c r="B21" i="21"/>
  <c r="B20" i="21"/>
  <c r="B19" i="21"/>
  <c r="B18" i="21"/>
  <c r="B17" i="21"/>
  <c r="B16" i="21"/>
  <c r="B15" i="21"/>
  <c r="B14" i="21"/>
  <c r="B13" i="21"/>
  <c r="B12" i="21"/>
  <c r="B11" i="21"/>
  <c r="B10" i="21"/>
  <c r="B9" i="21"/>
  <c r="B8" i="21"/>
  <c r="B7" i="21"/>
  <c r="B6" i="21"/>
  <c r="B5" i="21"/>
  <c r="BA212" i="20"/>
  <c r="AW212" i="20"/>
  <c r="AR212" i="20"/>
  <c r="AM212" i="20"/>
  <c r="AE212" i="20"/>
  <c r="U212" i="20"/>
  <c r="T212" i="20"/>
  <c r="G212" i="20"/>
  <c r="B212" i="20"/>
  <c r="BA211" i="20"/>
  <c r="AW211" i="20"/>
  <c r="AR211" i="20"/>
  <c r="AM211" i="20"/>
  <c r="AE211" i="20"/>
  <c r="U211" i="20"/>
  <c r="T211" i="20"/>
  <c r="G211" i="20"/>
  <c r="BI211" i="20" s="1"/>
  <c r="B211" i="20"/>
  <c r="BI210" i="20"/>
  <c r="BA210" i="20"/>
  <c r="AW210" i="20"/>
  <c r="AR210" i="20"/>
  <c r="AM210" i="20"/>
  <c r="AE210" i="20"/>
  <c r="U210" i="20"/>
  <c r="T210" i="20"/>
  <c r="G210" i="20"/>
  <c r="B210" i="20"/>
  <c r="BI209" i="20"/>
  <c r="BB209" i="20"/>
  <c r="BA209" i="20"/>
  <c r="AW209" i="20"/>
  <c r="AR209" i="20"/>
  <c r="AM209" i="20"/>
  <c r="AE209" i="20"/>
  <c r="U209" i="20"/>
  <c r="T209" i="20"/>
  <c r="G209" i="20"/>
  <c r="B209" i="20"/>
  <c r="BJ208" i="20"/>
  <c r="BA208" i="20"/>
  <c r="AW208" i="20"/>
  <c r="AR208" i="20"/>
  <c r="AM208" i="20"/>
  <c r="AE208" i="20"/>
  <c r="U208" i="20"/>
  <c r="T208" i="20"/>
  <c r="G208" i="20"/>
  <c r="BI208" i="20" s="1"/>
  <c r="B208" i="20"/>
  <c r="BJ207" i="20"/>
  <c r="BA207" i="20"/>
  <c r="AW207" i="20"/>
  <c r="AR207" i="20"/>
  <c r="AM207" i="20"/>
  <c r="AE207" i="20"/>
  <c r="U207" i="20"/>
  <c r="T207" i="20"/>
  <c r="G207" i="20"/>
  <c r="BI207" i="20" s="1"/>
  <c r="B207" i="20"/>
  <c r="BR206" i="20"/>
  <c r="BJ206" i="20"/>
  <c r="BA206" i="20"/>
  <c r="AW206" i="20"/>
  <c r="AR206" i="20"/>
  <c r="AM206" i="20"/>
  <c r="AE206" i="20"/>
  <c r="U206" i="20"/>
  <c r="T206" i="20"/>
  <c r="G206" i="20"/>
  <c r="BI206" i="20" s="1"/>
  <c r="B206" i="20"/>
  <c r="BR205" i="20"/>
  <c r="BJ205" i="20"/>
  <c r="BA205" i="20"/>
  <c r="AW205" i="20"/>
  <c r="AR205" i="20"/>
  <c r="AM205" i="20"/>
  <c r="AE205" i="20"/>
  <c r="U205" i="20"/>
  <c r="T205" i="20"/>
  <c r="G205" i="20"/>
  <c r="BI205" i="20" s="1"/>
  <c r="B205" i="20"/>
  <c r="BU204" i="20"/>
  <c r="BT204" i="20"/>
  <c r="BS204" i="20"/>
  <c r="BR204" i="20"/>
  <c r="BQ204" i="20"/>
  <c r="BM204" i="20"/>
  <c r="BL204" i="20"/>
  <c r="BK204" i="20"/>
  <c r="BJ204" i="20"/>
  <c r="BA204" i="20"/>
  <c r="AW204" i="20"/>
  <c r="AR204" i="20"/>
  <c r="AM204" i="20"/>
  <c r="AE204" i="20"/>
  <c r="U204" i="20"/>
  <c r="BW204" i="20" s="1"/>
  <c r="T204" i="20"/>
  <c r="G204" i="20"/>
  <c r="B204" i="20"/>
  <c r="BV203" i="20"/>
  <c r="BU203" i="20"/>
  <c r="BT203" i="20"/>
  <c r="BS203" i="20"/>
  <c r="BR203" i="20"/>
  <c r="BM203" i="20"/>
  <c r="BL203" i="20"/>
  <c r="BK203" i="20"/>
  <c r="BJ203" i="20"/>
  <c r="BA203" i="20"/>
  <c r="AW203" i="20"/>
  <c r="AR203" i="20"/>
  <c r="AM203" i="20"/>
  <c r="AE203" i="20"/>
  <c r="U203" i="20"/>
  <c r="BW203" i="20" s="1"/>
  <c r="T203" i="20"/>
  <c r="BN203" i="20" s="1"/>
  <c r="G203" i="20"/>
  <c r="B203" i="20"/>
  <c r="BW202" i="20"/>
  <c r="BV202" i="20"/>
  <c r="BU202" i="20"/>
  <c r="BT202" i="20"/>
  <c r="BS202" i="20"/>
  <c r="BR202" i="20"/>
  <c r="BO202" i="20"/>
  <c r="BM202" i="20"/>
  <c r="BL202" i="20"/>
  <c r="BK202" i="20"/>
  <c r="BJ202" i="20"/>
  <c r="BI202" i="20"/>
  <c r="BB202" i="20"/>
  <c r="BA202" i="20"/>
  <c r="AW202" i="20"/>
  <c r="AR202" i="20"/>
  <c r="AM202" i="20"/>
  <c r="AE202" i="20"/>
  <c r="U202" i="20"/>
  <c r="BO203" i="20" s="1"/>
  <c r="T202" i="20"/>
  <c r="BN202" i="20" s="1"/>
  <c r="G202" i="20"/>
  <c r="BQ202" i="20" s="1"/>
  <c r="B202" i="20"/>
  <c r="BW201" i="20"/>
  <c r="BV201" i="20"/>
  <c r="BU201" i="20"/>
  <c r="BT201" i="20"/>
  <c r="BS201" i="20"/>
  <c r="BR201" i="20"/>
  <c r="BM201" i="20"/>
  <c r="BL201" i="20"/>
  <c r="BK201" i="20"/>
  <c r="BJ201" i="20"/>
  <c r="BA201" i="20"/>
  <c r="AW201" i="20"/>
  <c r="AR201" i="20"/>
  <c r="AM201" i="20"/>
  <c r="AE201" i="20"/>
  <c r="U201" i="20"/>
  <c r="T201" i="20"/>
  <c r="BN201" i="20" s="1"/>
  <c r="G201" i="20"/>
  <c r="BI201" i="20" s="1"/>
  <c r="B201" i="20"/>
  <c r="BV200" i="20"/>
  <c r="BU200" i="20"/>
  <c r="BT200" i="20"/>
  <c r="BS200" i="20"/>
  <c r="BR200" i="20"/>
  <c r="BQ200" i="20"/>
  <c r="BM200" i="20"/>
  <c r="BL200" i="20"/>
  <c r="BK200" i="20"/>
  <c r="BJ200" i="20"/>
  <c r="BA200" i="20"/>
  <c r="AW200" i="20"/>
  <c r="AR200" i="20"/>
  <c r="AM200" i="20"/>
  <c r="AE200" i="20"/>
  <c r="U200" i="20"/>
  <c r="T200" i="20"/>
  <c r="G200" i="20"/>
  <c r="BI200" i="20" s="1"/>
  <c r="B200" i="20"/>
  <c r="BW199" i="20"/>
  <c r="BU199" i="20"/>
  <c r="BT199" i="20"/>
  <c r="BS199" i="20"/>
  <c r="BR199" i="20"/>
  <c r="BO199" i="20"/>
  <c r="BM199" i="20"/>
  <c r="BL199" i="20"/>
  <c r="BK199" i="20"/>
  <c r="BJ199" i="20"/>
  <c r="BA199" i="20"/>
  <c r="AW199" i="20"/>
  <c r="AR199" i="20"/>
  <c r="AM199" i="20"/>
  <c r="AE199" i="20"/>
  <c r="U199" i="20"/>
  <c r="T199" i="20"/>
  <c r="G199" i="20"/>
  <c r="B199" i="20"/>
  <c r="BW198" i="20"/>
  <c r="BU198" i="20"/>
  <c r="BT198" i="20"/>
  <c r="BS198" i="20"/>
  <c r="BR198" i="20"/>
  <c r="BQ198" i="20"/>
  <c r="BO198" i="20"/>
  <c r="BM198" i="20"/>
  <c r="BL198" i="20"/>
  <c r="BK198" i="20"/>
  <c r="BJ198" i="20"/>
  <c r="BI198" i="20"/>
  <c r="BB198" i="20"/>
  <c r="BA198" i="20"/>
  <c r="AW198" i="20"/>
  <c r="AR198" i="20"/>
  <c r="AM198" i="20"/>
  <c r="AE198" i="20"/>
  <c r="U198" i="20"/>
  <c r="T198" i="20"/>
  <c r="G198" i="20"/>
  <c r="B198" i="20"/>
  <c r="BW197" i="20"/>
  <c r="BV197" i="20"/>
  <c r="BU197" i="20"/>
  <c r="BT197" i="20"/>
  <c r="BS197" i="20"/>
  <c r="BR197" i="20"/>
  <c r="BQ197" i="20"/>
  <c r="BM197" i="20"/>
  <c r="BL197" i="20"/>
  <c r="BK197" i="20"/>
  <c r="BJ197" i="20"/>
  <c r="BI197" i="20"/>
  <c r="BB197" i="20"/>
  <c r="BA197" i="20"/>
  <c r="AW197" i="20"/>
  <c r="AR197" i="20"/>
  <c r="AM197" i="20"/>
  <c r="AE197" i="20"/>
  <c r="U197" i="20"/>
  <c r="T197" i="20"/>
  <c r="G197" i="20"/>
  <c r="B197" i="20"/>
  <c r="BU196" i="20"/>
  <c r="BT196" i="20"/>
  <c r="BS196" i="20"/>
  <c r="BR196" i="20"/>
  <c r="BQ196" i="20"/>
  <c r="BO196" i="20"/>
  <c r="BM196" i="20"/>
  <c r="BL196" i="20"/>
  <c r="BK196" i="20"/>
  <c r="BJ196" i="20"/>
  <c r="BI196" i="20"/>
  <c r="BA196" i="20"/>
  <c r="AW196" i="20"/>
  <c r="AR196" i="20"/>
  <c r="AM196" i="20"/>
  <c r="AE196" i="20"/>
  <c r="U196" i="20"/>
  <c r="BW196" i="20" s="1"/>
  <c r="T196" i="20"/>
  <c r="G196" i="20"/>
  <c r="BB196" i="20" s="1"/>
  <c r="B196" i="20"/>
  <c r="BU195" i="20"/>
  <c r="BT195" i="20"/>
  <c r="BS195" i="20"/>
  <c r="BR195" i="20"/>
  <c r="BQ195" i="20"/>
  <c r="BO195" i="20"/>
  <c r="BM195" i="20"/>
  <c r="BL195" i="20"/>
  <c r="BK195" i="20"/>
  <c r="BJ195" i="20"/>
  <c r="BA195" i="20"/>
  <c r="AW195" i="20"/>
  <c r="AR195" i="20"/>
  <c r="AM195" i="20"/>
  <c r="AE195" i="20"/>
  <c r="U195" i="20"/>
  <c r="BW195" i="20" s="1"/>
  <c r="T195" i="20"/>
  <c r="G195" i="20"/>
  <c r="B195" i="20"/>
  <c r="BW194" i="20"/>
  <c r="BV194" i="20"/>
  <c r="BU194" i="20"/>
  <c r="BT194" i="20"/>
  <c r="BS194" i="20"/>
  <c r="BR194" i="20"/>
  <c r="BN194" i="20"/>
  <c r="BM194" i="20"/>
  <c r="BL194" i="20"/>
  <c r="BK194" i="20"/>
  <c r="BJ194" i="20"/>
  <c r="BA194" i="20"/>
  <c r="AW194" i="20"/>
  <c r="AR194" i="20"/>
  <c r="AM194" i="20"/>
  <c r="AE194" i="20"/>
  <c r="U194" i="20"/>
  <c r="BO194" i="20" s="1"/>
  <c r="T194" i="20"/>
  <c r="G194" i="20"/>
  <c r="B194" i="20"/>
  <c r="BW193" i="20"/>
  <c r="BV193" i="20"/>
  <c r="BU193" i="20"/>
  <c r="BT193" i="20"/>
  <c r="BS193" i="20"/>
  <c r="BR193" i="20"/>
  <c r="BQ193" i="20"/>
  <c r="BN193" i="20"/>
  <c r="BM193" i="20"/>
  <c r="BL193" i="20"/>
  <c r="BK193" i="20"/>
  <c r="BJ193" i="20"/>
  <c r="BI193" i="20"/>
  <c r="BB193" i="20"/>
  <c r="BA193" i="20"/>
  <c r="AW193" i="20"/>
  <c r="AR193" i="20"/>
  <c r="AM193" i="20"/>
  <c r="AE193" i="20"/>
  <c r="U193" i="20"/>
  <c r="BO193" i="20" s="1"/>
  <c r="T193" i="20"/>
  <c r="G193" i="20"/>
  <c r="B193" i="20"/>
  <c r="BW192" i="20"/>
  <c r="BV192" i="20"/>
  <c r="BU192" i="20"/>
  <c r="BT192" i="20"/>
  <c r="BS192" i="20"/>
  <c r="BR192" i="20"/>
  <c r="BQ192" i="20"/>
  <c r="BM192" i="20"/>
  <c r="BL192" i="20"/>
  <c r="BK192" i="20"/>
  <c r="BJ192" i="20"/>
  <c r="BB192" i="20"/>
  <c r="BA192" i="20"/>
  <c r="AW192" i="20"/>
  <c r="AR192" i="20"/>
  <c r="AM192" i="20"/>
  <c r="AE192" i="20"/>
  <c r="U192" i="20"/>
  <c r="BO192" i="20" s="1"/>
  <c r="T192" i="20"/>
  <c r="G192" i="20"/>
  <c r="BI192" i="20" s="1"/>
  <c r="B192" i="20"/>
  <c r="BW191" i="20"/>
  <c r="BU191" i="20"/>
  <c r="BT191" i="20"/>
  <c r="BS191" i="20"/>
  <c r="BR191" i="20"/>
  <c r="BM191" i="20"/>
  <c r="BL191" i="20"/>
  <c r="BK191" i="20"/>
  <c r="BJ191" i="20"/>
  <c r="BB191" i="20"/>
  <c r="BA191" i="20"/>
  <c r="AW191" i="20"/>
  <c r="AR191" i="20"/>
  <c r="AM191" i="20"/>
  <c r="AE191" i="20"/>
  <c r="U191" i="20"/>
  <c r="T191" i="20"/>
  <c r="BV191" i="20" s="1"/>
  <c r="G191" i="20"/>
  <c r="BQ191" i="20" s="1"/>
  <c r="B191" i="20"/>
  <c r="BU190" i="20"/>
  <c r="BT190" i="20"/>
  <c r="BS190" i="20"/>
  <c r="BR190" i="20"/>
  <c r="BQ190" i="20"/>
  <c r="BM190" i="20"/>
  <c r="BL190" i="20"/>
  <c r="BK190" i="20"/>
  <c r="BJ190" i="20"/>
  <c r="BA190" i="20"/>
  <c r="AW190" i="20"/>
  <c r="AR190" i="20"/>
  <c r="AM190" i="20"/>
  <c r="AE190" i="20"/>
  <c r="U190" i="20"/>
  <c r="T190" i="20"/>
  <c r="G190" i="20"/>
  <c r="BI190" i="20" s="1"/>
  <c r="B190" i="20"/>
  <c r="BV189" i="20"/>
  <c r="BU189" i="20"/>
  <c r="BT189" i="20"/>
  <c r="BS189" i="20"/>
  <c r="BR189" i="20"/>
  <c r="BQ189" i="20"/>
  <c r="BM189" i="20"/>
  <c r="BL189" i="20"/>
  <c r="BK189" i="20"/>
  <c r="BJ189" i="20"/>
  <c r="BB189" i="20"/>
  <c r="BA189" i="20"/>
  <c r="AW189" i="20"/>
  <c r="AR189" i="20"/>
  <c r="AM189" i="20"/>
  <c r="AE189" i="20"/>
  <c r="U189" i="20"/>
  <c r="BO189" i="20" s="1"/>
  <c r="T189" i="20"/>
  <c r="BN189" i="20" s="1"/>
  <c r="R189" i="20"/>
  <c r="G189" i="20"/>
  <c r="BI189" i="20" s="1"/>
  <c r="B189" i="20"/>
  <c r="BW188" i="20"/>
  <c r="BV188" i="20"/>
  <c r="BU188" i="20"/>
  <c r="BT188" i="20"/>
  <c r="BS188" i="20"/>
  <c r="BR188" i="20"/>
  <c r="BQ188" i="20"/>
  <c r="BN188" i="20"/>
  <c r="BM188" i="20"/>
  <c r="BL188" i="20"/>
  <c r="BK188" i="20"/>
  <c r="BJ188" i="20"/>
  <c r="BI188" i="20"/>
  <c r="BB188" i="20"/>
  <c r="BA188" i="20"/>
  <c r="AW188" i="20"/>
  <c r="AR188" i="20"/>
  <c r="AM188" i="20"/>
  <c r="AE188" i="20"/>
  <c r="U188" i="20"/>
  <c r="BO188" i="20" s="1"/>
  <c r="T188" i="20"/>
  <c r="G188" i="20"/>
  <c r="B188" i="20"/>
  <c r="BW187" i="20"/>
  <c r="BV187" i="20"/>
  <c r="BU187" i="20"/>
  <c r="BT187" i="20"/>
  <c r="BS187" i="20"/>
  <c r="BR187" i="20"/>
  <c r="BQ187" i="20"/>
  <c r="BM187" i="20"/>
  <c r="BL187" i="20"/>
  <c r="BK187" i="20"/>
  <c r="BJ187" i="20"/>
  <c r="BB187" i="20"/>
  <c r="BA187" i="20"/>
  <c r="AW187" i="20"/>
  <c r="AR187" i="20"/>
  <c r="AM187" i="20"/>
  <c r="AE187" i="20"/>
  <c r="U187" i="20"/>
  <c r="BO187" i="20" s="1"/>
  <c r="T187" i="20"/>
  <c r="G187" i="20"/>
  <c r="BI187" i="20" s="1"/>
  <c r="B187" i="20"/>
  <c r="BW186" i="20"/>
  <c r="BU186" i="20"/>
  <c r="BT186" i="20"/>
  <c r="BS186" i="20"/>
  <c r="BR186" i="20"/>
  <c r="BM186" i="20"/>
  <c r="BL186" i="20"/>
  <c r="BK186" i="20"/>
  <c r="BJ186" i="20"/>
  <c r="BB186" i="20"/>
  <c r="BA186" i="20"/>
  <c r="AW186" i="20"/>
  <c r="AR186" i="20"/>
  <c r="AM186" i="20"/>
  <c r="AE186" i="20"/>
  <c r="U186" i="20"/>
  <c r="T186" i="20"/>
  <c r="BV186" i="20" s="1"/>
  <c r="G186" i="20"/>
  <c r="BQ186" i="20" s="1"/>
  <c r="B186" i="20"/>
  <c r="BU185" i="20"/>
  <c r="BT185" i="20"/>
  <c r="BS185" i="20"/>
  <c r="BR185" i="20"/>
  <c r="BQ185" i="20"/>
  <c r="BO185" i="20"/>
  <c r="BM185" i="20"/>
  <c r="BL185" i="20"/>
  <c r="BK185" i="20"/>
  <c r="BJ185" i="20"/>
  <c r="BA185" i="20"/>
  <c r="AW185" i="20"/>
  <c r="AR185" i="20"/>
  <c r="AM185" i="20"/>
  <c r="AE185" i="20"/>
  <c r="U185" i="20"/>
  <c r="T185" i="20"/>
  <c r="G185" i="20"/>
  <c r="BI185" i="20" s="1"/>
  <c r="B185" i="20"/>
  <c r="BW184" i="20"/>
  <c r="BV184" i="20"/>
  <c r="BU184" i="20"/>
  <c r="BT184" i="20"/>
  <c r="BS184" i="20"/>
  <c r="BR184" i="20"/>
  <c r="BM184" i="20"/>
  <c r="BL184" i="20"/>
  <c r="BK184" i="20"/>
  <c r="BJ184" i="20"/>
  <c r="BB184" i="20"/>
  <c r="BA184" i="20"/>
  <c r="AW184" i="20"/>
  <c r="AR184" i="20"/>
  <c r="AM184" i="20"/>
  <c r="AE184" i="20"/>
  <c r="U184" i="20"/>
  <c r="BO184" i="20" s="1"/>
  <c r="T184" i="20"/>
  <c r="BN184" i="20" s="1"/>
  <c r="G184" i="20"/>
  <c r="BQ184" i="20" s="1"/>
  <c r="B184" i="20"/>
  <c r="BW183" i="20"/>
  <c r="BV183" i="20"/>
  <c r="BU183" i="20"/>
  <c r="BT183" i="20"/>
  <c r="BS183" i="20"/>
  <c r="BR183" i="20"/>
  <c r="BM183" i="20"/>
  <c r="BL183" i="20"/>
  <c r="BK183" i="20"/>
  <c r="BJ183" i="20"/>
  <c r="BA183" i="20"/>
  <c r="AW183" i="20"/>
  <c r="AR183" i="20"/>
  <c r="AM183" i="20"/>
  <c r="AE183" i="20"/>
  <c r="U183" i="20"/>
  <c r="T183" i="20"/>
  <c r="BN183" i="20" s="1"/>
  <c r="G183" i="20"/>
  <c r="B183" i="20"/>
  <c r="BV182" i="20"/>
  <c r="BU182" i="20"/>
  <c r="BT182" i="20"/>
  <c r="BS182" i="20"/>
  <c r="BR182" i="20"/>
  <c r="BQ182" i="20"/>
  <c r="BM182" i="20"/>
  <c r="BL182" i="20"/>
  <c r="BK182" i="20"/>
  <c r="BJ182" i="20"/>
  <c r="BA182" i="20"/>
  <c r="AW182" i="20"/>
  <c r="AR182" i="20"/>
  <c r="AM182" i="20"/>
  <c r="AE182" i="20"/>
  <c r="U182" i="20"/>
  <c r="T182" i="20"/>
  <c r="BN182" i="20" s="1"/>
  <c r="G182" i="20"/>
  <c r="B182" i="20"/>
  <c r="BV181" i="20"/>
  <c r="BU181" i="20"/>
  <c r="BT181" i="20"/>
  <c r="BS181" i="20"/>
  <c r="BR181" i="20"/>
  <c r="BQ181" i="20"/>
  <c r="BM181" i="20"/>
  <c r="BL181" i="20"/>
  <c r="BK181" i="20"/>
  <c r="BJ181" i="20"/>
  <c r="BA181" i="20"/>
  <c r="AW181" i="20"/>
  <c r="AR181" i="20"/>
  <c r="AM181" i="20"/>
  <c r="AE181" i="20"/>
  <c r="U181" i="20"/>
  <c r="T181" i="20"/>
  <c r="G181" i="20"/>
  <c r="B181" i="20"/>
  <c r="BW180" i="20"/>
  <c r="BU180" i="20"/>
  <c r="BT180" i="20"/>
  <c r="BS180" i="20"/>
  <c r="BR180" i="20"/>
  <c r="BO180" i="20"/>
  <c r="BM180" i="20"/>
  <c r="BL180" i="20"/>
  <c r="BK180" i="20"/>
  <c r="BJ180" i="20"/>
  <c r="BA180" i="20"/>
  <c r="AW180" i="20"/>
  <c r="AR180" i="20"/>
  <c r="AM180" i="20"/>
  <c r="AE180" i="20"/>
  <c r="U180" i="20"/>
  <c r="T180" i="20"/>
  <c r="G180" i="20"/>
  <c r="B180" i="20"/>
  <c r="BW179" i="20"/>
  <c r="BU179" i="20"/>
  <c r="BT179" i="20"/>
  <c r="BS179" i="20"/>
  <c r="BR179" i="20"/>
  <c r="BQ179" i="20"/>
  <c r="BO179" i="20"/>
  <c r="BM179" i="20"/>
  <c r="BL179" i="20"/>
  <c r="BK179" i="20"/>
  <c r="BJ179" i="20"/>
  <c r="BI179" i="20"/>
  <c r="BB179" i="20"/>
  <c r="BA179" i="20"/>
  <c r="AW179" i="20"/>
  <c r="AR179" i="20"/>
  <c r="AM179" i="20"/>
  <c r="AE179" i="20"/>
  <c r="U179" i="20"/>
  <c r="T179" i="20"/>
  <c r="BN179" i="20" s="1"/>
  <c r="G179" i="20"/>
  <c r="B179" i="20"/>
  <c r="BW178" i="20"/>
  <c r="BV178" i="20"/>
  <c r="BU178" i="20"/>
  <c r="BT178" i="20"/>
  <c r="BS178" i="20"/>
  <c r="BR178" i="20"/>
  <c r="BQ178" i="20"/>
  <c r="BM178" i="20"/>
  <c r="BL178" i="20"/>
  <c r="BK178" i="20"/>
  <c r="BJ178" i="20"/>
  <c r="BI178" i="20"/>
  <c r="BB178" i="20"/>
  <c r="BA178" i="20"/>
  <c r="AW178" i="20"/>
  <c r="AR178" i="20"/>
  <c r="AM178" i="20"/>
  <c r="AE178" i="20"/>
  <c r="U178" i="20"/>
  <c r="T178" i="20"/>
  <c r="G178" i="20"/>
  <c r="B178" i="20"/>
  <c r="BU177" i="20"/>
  <c r="BT177" i="20"/>
  <c r="BS177" i="20"/>
  <c r="BR177" i="20"/>
  <c r="BQ177" i="20"/>
  <c r="BO177" i="20"/>
  <c r="BM177" i="20"/>
  <c r="BL177" i="20"/>
  <c r="BK177" i="20"/>
  <c r="BJ177" i="20"/>
  <c r="BI177" i="20"/>
  <c r="BA177" i="20"/>
  <c r="AW177" i="20"/>
  <c r="AR177" i="20"/>
  <c r="AM177" i="20"/>
  <c r="AE177" i="20"/>
  <c r="U177" i="20"/>
  <c r="BW177" i="20" s="1"/>
  <c r="T177" i="20"/>
  <c r="G177" i="20"/>
  <c r="BB177" i="20" s="1"/>
  <c r="B177" i="20"/>
  <c r="BU176" i="20"/>
  <c r="BT176" i="20"/>
  <c r="BS176" i="20"/>
  <c r="BR176" i="20"/>
  <c r="BQ176" i="20"/>
  <c r="BM176" i="20"/>
  <c r="BL176" i="20"/>
  <c r="BK176" i="20"/>
  <c r="BJ176" i="20"/>
  <c r="BA176" i="20"/>
  <c r="AW176" i="20"/>
  <c r="AR176" i="20"/>
  <c r="AM176" i="20"/>
  <c r="AE176" i="20"/>
  <c r="U176" i="20"/>
  <c r="BW176" i="20" s="1"/>
  <c r="T176" i="20"/>
  <c r="G176" i="20"/>
  <c r="B176" i="20"/>
  <c r="BW175" i="20"/>
  <c r="BV175" i="20"/>
  <c r="BU175" i="20"/>
  <c r="BT175" i="20"/>
  <c r="BS175" i="20"/>
  <c r="BR175" i="20"/>
  <c r="BN175" i="20"/>
  <c r="BM175" i="20"/>
  <c r="BL175" i="20"/>
  <c r="BK175" i="20"/>
  <c r="BJ175" i="20"/>
  <c r="BI175" i="20"/>
  <c r="BA175" i="20"/>
  <c r="AW175" i="20"/>
  <c r="AR175" i="20"/>
  <c r="AM175" i="20"/>
  <c r="AE175" i="20"/>
  <c r="U175" i="20"/>
  <c r="BO175" i="20" s="1"/>
  <c r="T175" i="20"/>
  <c r="G175" i="20"/>
  <c r="B175" i="20"/>
  <c r="BW174" i="20"/>
  <c r="BV174" i="20"/>
  <c r="BU174" i="20"/>
  <c r="BT174" i="20"/>
  <c r="BS174" i="20"/>
  <c r="BR174" i="20"/>
  <c r="BQ174" i="20"/>
  <c r="BN174" i="20"/>
  <c r="BM174" i="20"/>
  <c r="BL174" i="20"/>
  <c r="BK174" i="20"/>
  <c r="BJ174" i="20"/>
  <c r="BI174" i="20"/>
  <c r="BB174" i="20"/>
  <c r="BA174" i="20"/>
  <c r="AW174" i="20"/>
  <c r="AR174" i="20"/>
  <c r="AM174" i="20"/>
  <c r="AE174" i="20"/>
  <c r="U174" i="20"/>
  <c r="BO174" i="20" s="1"/>
  <c r="T174" i="20"/>
  <c r="G174" i="20"/>
  <c r="B174" i="20"/>
  <c r="BW173" i="20"/>
  <c r="BV173" i="20"/>
  <c r="BU173" i="20"/>
  <c r="BT173" i="20"/>
  <c r="BS173" i="20"/>
  <c r="BR173" i="20"/>
  <c r="BQ173" i="20"/>
  <c r="BM173" i="20"/>
  <c r="BL173" i="20"/>
  <c r="BK173" i="20"/>
  <c r="BJ173" i="20"/>
  <c r="BB173" i="20"/>
  <c r="BA173" i="20"/>
  <c r="AW173" i="20"/>
  <c r="AR173" i="20"/>
  <c r="AM173" i="20"/>
  <c r="AE173" i="20"/>
  <c r="U173" i="20"/>
  <c r="BO173" i="20" s="1"/>
  <c r="T173" i="20"/>
  <c r="G173" i="20"/>
  <c r="BI173" i="20" s="1"/>
  <c r="B173" i="20"/>
  <c r="BW172" i="20"/>
  <c r="BU172" i="20"/>
  <c r="BT172" i="20"/>
  <c r="BS172" i="20"/>
  <c r="BR172" i="20"/>
  <c r="BM172" i="20"/>
  <c r="BL172" i="20"/>
  <c r="BK172" i="20"/>
  <c r="BJ172" i="20"/>
  <c r="BB172" i="20"/>
  <c r="BA172" i="20"/>
  <c r="AW172" i="20"/>
  <c r="AR172" i="20"/>
  <c r="AM172" i="20"/>
  <c r="AE172" i="20"/>
  <c r="U172" i="20"/>
  <c r="T172" i="20"/>
  <c r="BV172" i="20" s="1"/>
  <c r="G172" i="20"/>
  <c r="BQ172" i="20" s="1"/>
  <c r="B172" i="20"/>
  <c r="BU171" i="20"/>
  <c r="BT171" i="20"/>
  <c r="BS171" i="20"/>
  <c r="BR171" i="20"/>
  <c r="BQ171" i="20"/>
  <c r="BO171" i="20"/>
  <c r="BM171" i="20"/>
  <c r="BL171" i="20"/>
  <c r="BK171" i="20"/>
  <c r="BJ171" i="20"/>
  <c r="BA171" i="20"/>
  <c r="AW171" i="20"/>
  <c r="AR171" i="20"/>
  <c r="AM171" i="20"/>
  <c r="AE171" i="20"/>
  <c r="U171" i="20"/>
  <c r="T171" i="20"/>
  <c r="G171" i="20"/>
  <c r="BI171" i="20" s="1"/>
  <c r="B171" i="20"/>
  <c r="BW170" i="20"/>
  <c r="BV170" i="20"/>
  <c r="BU170" i="20"/>
  <c r="BT170" i="20"/>
  <c r="BS170" i="20"/>
  <c r="BR170" i="20"/>
  <c r="BM170" i="20"/>
  <c r="BL170" i="20"/>
  <c r="BK170" i="20"/>
  <c r="BJ170" i="20"/>
  <c r="BB170" i="20"/>
  <c r="BA170" i="20"/>
  <c r="AW170" i="20"/>
  <c r="AR170" i="20"/>
  <c r="AM170" i="20"/>
  <c r="AE170" i="20"/>
  <c r="U170" i="20"/>
  <c r="BO170" i="20" s="1"/>
  <c r="T170" i="20"/>
  <c r="BN170" i="20" s="1"/>
  <c r="G170" i="20"/>
  <c r="BI170" i="20" s="1"/>
  <c r="B170" i="20"/>
  <c r="BW169" i="20"/>
  <c r="BU169" i="20"/>
  <c r="BT169" i="20"/>
  <c r="BS169" i="20"/>
  <c r="BR169" i="20"/>
  <c r="BM169" i="20"/>
  <c r="BL169" i="20"/>
  <c r="BK169" i="20"/>
  <c r="BJ169" i="20"/>
  <c r="BI169" i="20"/>
  <c r="BB169" i="20"/>
  <c r="U169" i="20"/>
  <c r="BO169" i="20" s="1"/>
  <c r="T169" i="20"/>
  <c r="BV169" i="20" s="1"/>
  <c r="G169" i="20"/>
  <c r="BQ169" i="20" s="1"/>
  <c r="B169" i="20"/>
  <c r="BV168" i="20"/>
  <c r="BU168" i="20"/>
  <c r="BT168" i="20"/>
  <c r="BS168" i="20"/>
  <c r="BR168" i="20"/>
  <c r="BQ168" i="20"/>
  <c r="BM168" i="20"/>
  <c r="BL168" i="20"/>
  <c r="BK168" i="20"/>
  <c r="BJ168" i="20"/>
  <c r="BB168" i="20"/>
  <c r="U168" i="20"/>
  <c r="BW168" i="20" s="1"/>
  <c r="T168" i="20"/>
  <c r="G168" i="20"/>
  <c r="B168" i="20"/>
  <c r="BV167" i="20"/>
  <c r="BU167" i="20"/>
  <c r="BT167" i="20"/>
  <c r="BS167" i="20"/>
  <c r="BR167" i="20"/>
  <c r="BQ167" i="20"/>
  <c r="BM167" i="20"/>
  <c r="BL167" i="20"/>
  <c r="BK167" i="20"/>
  <c r="BJ167" i="20"/>
  <c r="BB167" i="20"/>
  <c r="U167" i="20"/>
  <c r="T167" i="20"/>
  <c r="G167" i="20"/>
  <c r="BI167" i="20" s="1"/>
  <c r="B167" i="20"/>
  <c r="BW166" i="20"/>
  <c r="BU166" i="20"/>
  <c r="BT166" i="20"/>
  <c r="BS166" i="20"/>
  <c r="BR166" i="20"/>
  <c r="BM166" i="20"/>
  <c r="BL166" i="20"/>
  <c r="BK166" i="20"/>
  <c r="BJ166" i="20"/>
  <c r="BI166" i="20"/>
  <c r="BB166" i="20"/>
  <c r="U166" i="20"/>
  <c r="BO166" i="20" s="1"/>
  <c r="T166" i="20"/>
  <c r="BV166" i="20" s="1"/>
  <c r="G166" i="20"/>
  <c r="BQ166" i="20" s="1"/>
  <c r="B166" i="20"/>
  <c r="BU165" i="20"/>
  <c r="BT165" i="20"/>
  <c r="BS165" i="20"/>
  <c r="BR165" i="20"/>
  <c r="BO165" i="20"/>
  <c r="BM165" i="20"/>
  <c r="BL165" i="20"/>
  <c r="BK165" i="20"/>
  <c r="BJ165" i="20"/>
  <c r="BI165" i="20"/>
  <c r="U165" i="20"/>
  <c r="BW165" i="20" s="1"/>
  <c r="T165" i="20"/>
  <c r="G165" i="20"/>
  <c r="B165" i="20"/>
  <c r="BV164" i="20"/>
  <c r="BU164" i="20"/>
  <c r="BT164" i="20"/>
  <c r="BS164" i="20"/>
  <c r="BR164" i="20"/>
  <c r="BO164" i="20"/>
  <c r="BM164" i="20"/>
  <c r="BL164" i="20"/>
  <c r="BK164" i="20"/>
  <c r="BJ164" i="20"/>
  <c r="BB164" i="20"/>
  <c r="U164" i="20"/>
  <c r="BW164" i="20" s="1"/>
  <c r="T164" i="20"/>
  <c r="BN164" i="20" s="1"/>
  <c r="G164" i="20"/>
  <c r="BQ164" i="20" s="1"/>
  <c r="B164" i="20"/>
  <c r="BV163" i="20"/>
  <c r="BU163" i="20"/>
  <c r="BT163" i="20"/>
  <c r="BS163" i="20"/>
  <c r="BR163" i="20"/>
  <c r="BQ163" i="20"/>
  <c r="BM163" i="20"/>
  <c r="BL163" i="20"/>
  <c r="BK163" i="20"/>
  <c r="BJ163" i="20"/>
  <c r="U163" i="20"/>
  <c r="T163" i="20"/>
  <c r="G163" i="20"/>
  <c r="B163" i="20"/>
  <c r="BW162" i="20"/>
  <c r="BU162" i="20"/>
  <c r="BT162" i="20"/>
  <c r="BS162" i="20"/>
  <c r="BR162" i="20"/>
  <c r="BM162" i="20"/>
  <c r="BL162" i="20"/>
  <c r="BK162" i="20"/>
  <c r="BJ162" i="20"/>
  <c r="BI162" i="20"/>
  <c r="BB162" i="20"/>
  <c r="U162" i="20"/>
  <c r="BO162" i="20" s="1"/>
  <c r="T162" i="20"/>
  <c r="BV162" i="20" s="1"/>
  <c r="N162" i="20"/>
  <c r="N163" i="20" s="1"/>
  <c r="N164" i="20" s="1"/>
  <c r="N165" i="20" s="1"/>
  <c r="N166" i="20" s="1"/>
  <c r="N167" i="20" s="1"/>
  <c r="N168" i="20" s="1"/>
  <c r="N169" i="20" s="1"/>
  <c r="N170" i="20" s="1"/>
  <c r="N171" i="20" s="1"/>
  <c r="N172" i="20" s="1"/>
  <c r="N173" i="20" s="1"/>
  <c r="N174" i="20" s="1"/>
  <c r="N175" i="20" s="1"/>
  <c r="N176" i="20" s="1"/>
  <c r="N177" i="20" s="1"/>
  <c r="N178" i="20" s="1"/>
  <c r="N179" i="20" s="1"/>
  <c r="N180" i="20" s="1"/>
  <c r="N181" i="20" s="1"/>
  <c r="N182" i="20" s="1"/>
  <c r="N183" i="20" s="1"/>
  <c r="N184" i="20" s="1"/>
  <c r="N185" i="20" s="1"/>
  <c r="N186" i="20" s="1"/>
  <c r="N187" i="20" s="1"/>
  <c r="N188" i="20" s="1"/>
  <c r="N189" i="20" s="1"/>
  <c r="N190" i="20" s="1"/>
  <c r="N191" i="20" s="1"/>
  <c r="N192" i="20" s="1"/>
  <c r="N193" i="20" s="1"/>
  <c r="N194" i="20" s="1"/>
  <c r="N195" i="20" s="1"/>
  <c r="N196" i="20" s="1"/>
  <c r="N197" i="20" s="1"/>
  <c r="N198" i="20" s="1"/>
  <c r="N199" i="20" s="1"/>
  <c r="N200" i="20" s="1"/>
  <c r="N201" i="20" s="1"/>
  <c r="N202" i="20" s="1"/>
  <c r="N203" i="20" s="1"/>
  <c r="N204" i="20" s="1"/>
  <c r="N205" i="20" s="1"/>
  <c r="N206" i="20" s="1"/>
  <c r="N207" i="20" s="1"/>
  <c r="N208" i="20" s="1"/>
  <c r="N209" i="20" s="1"/>
  <c r="N210" i="20" s="1"/>
  <c r="N211" i="20" s="1"/>
  <c r="N212" i="20" s="1"/>
  <c r="G162" i="20"/>
  <c r="BQ162" i="20" s="1"/>
  <c r="B162" i="20"/>
  <c r="BV161" i="20"/>
  <c r="BU161" i="20"/>
  <c r="BT161" i="20"/>
  <c r="BS161" i="20"/>
  <c r="BR161" i="20"/>
  <c r="BQ161" i="20"/>
  <c r="BO161" i="20"/>
  <c r="BN161" i="20"/>
  <c r="BM161" i="20"/>
  <c r="BL161" i="20"/>
  <c r="BK161" i="20"/>
  <c r="BJ161" i="20"/>
  <c r="U161" i="20"/>
  <c r="BW161" i="20" s="1"/>
  <c r="T161" i="20"/>
  <c r="G161" i="20"/>
  <c r="B161" i="20"/>
  <c r="CL160" i="20"/>
  <c r="CK160" i="20"/>
  <c r="CJ160" i="20"/>
  <c r="CI160" i="20"/>
  <c r="CB160" i="20"/>
  <c r="CH160" i="20" s="1"/>
  <c r="CA160" i="20"/>
  <c r="CG160" i="20" s="1"/>
  <c r="BA160" i="20"/>
  <c r="AW160" i="20"/>
  <c r="AR160" i="20"/>
  <c r="AM160" i="20"/>
  <c r="AA160" i="20"/>
  <c r="U160" i="20"/>
  <c r="T160" i="20"/>
  <c r="J160" i="20"/>
  <c r="G160" i="20"/>
  <c r="BB160" i="20" s="1"/>
  <c r="B160" i="20"/>
  <c r="CL159" i="20"/>
  <c r="CK159" i="20"/>
  <c r="CJ159" i="20"/>
  <c r="CI159" i="20"/>
  <c r="CH159" i="20"/>
  <c r="CB159" i="20"/>
  <c r="CA159" i="20"/>
  <c r="CG159" i="20" s="1"/>
  <c r="BA159" i="20"/>
  <c r="AW159" i="20"/>
  <c r="AR159" i="20"/>
  <c r="AM159" i="20"/>
  <c r="U159" i="20"/>
  <c r="T159" i="20"/>
  <c r="J159" i="20"/>
  <c r="G159" i="20"/>
  <c r="BB159" i="20" s="1"/>
  <c r="B159" i="20"/>
  <c r="CL158" i="20"/>
  <c r="CK158" i="20"/>
  <c r="CJ158" i="20"/>
  <c r="CI158" i="20"/>
  <c r="CB158" i="20"/>
  <c r="CH158" i="20" s="1"/>
  <c r="CA158" i="20"/>
  <c r="CG158" i="20" s="1"/>
  <c r="BB158" i="20"/>
  <c r="BA158" i="20"/>
  <c r="AW158" i="20"/>
  <c r="AR158" i="20"/>
  <c r="AM158" i="20"/>
  <c r="AI158" i="20"/>
  <c r="U158" i="20"/>
  <c r="T158" i="20"/>
  <c r="G158" i="20"/>
  <c r="J158" i="20" s="1"/>
  <c r="B158" i="20"/>
  <c r="CL157" i="20"/>
  <c r="CK157" i="20"/>
  <c r="CJ157" i="20"/>
  <c r="CI157" i="20"/>
  <c r="CB157" i="20"/>
  <c r="CH157" i="20" s="1"/>
  <c r="CA157" i="20"/>
  <c r="CG157" i="20" s="1"/>
  <c r="BA157" i="20"/>
  <c r="AW157" i="20"/>
  <c r="AR157" i="20"/>
  <c r="AM157" i="20"/>
  <c r="U157" i="20"/>
  <c r="T157" i="20"/>
  <c r="G157" i="20"/>
  <c r="B157" i="20"/>
  <c r="CL156" i="20"/>
  <c r="CK156" i="20"/>
  <c r="CJ156" i="20"/>
  <c r="CI156" i="20"/>
  <c r="CG156" i="20"/>
  <c r="CB156" i="20"/>
  <c r="CH156" i="20" s="1"/>
  <c r="CA156" i="20"/>
  <c r="BB156" i="20"/>
  <c r="BA156" i="20"/>
  <c r="AW156" i="20"/>
  <c r="AR156" i="20"/>
  <c r="AI156" i="20"/>
  <c r="U156" i="20"/>
  <c r="T156" i="20"/>
  <c r="G156" i="20"/>
  <c r="J156" i="20" s="1"/>
  <c r="B156" i="20"/>
  <c r="CL155" i="20"/>
  <c r="CK155" i="20"/>
  <c r="CJ155" i="20"/>
  <c r="CI155" i="20"/>
  <c r="CH155" i="20"/>
  <c r="CB155" i="20"/>
  <c r="CA155" i="20"/>
  <c r="CG155" i="20" s="1"/>
  <c r="BB155" i="20"/>
  <c r="BA155" i="20"/>
  <c r="AW155" i="20"/>
  <c r="AR155" i="20"/>
  <c r="AI155" i="20"/>
  <c r="U155" i="20"/>
  <c r="T155" i="20"/>
  <c r="G155" i="20"/>
  <c r="J155" i="20" s="1"/>
  <c r="B155" i="20"/>
  <c r="CL154" i="20"/>
  <c r="CK154" i="20"/>
  <c r="CJ154" i="20"/>
  <c r="CI154" i="20"/>
  <c r="CH154" i="20"/>
  <c r="CG154" i="20"/>
  <c r="CB154" i="20"/>
  <c r="CA154" i="20"/>
  <c r="BB154" i="20"/>
  <c r="BA154" i="20"/>
  <c r="AW154" i="20"/>
  <c r="AR154" i="20"/>
  <c r="AM154" i="20"/>
  <c r="AI154" i="20"/>
  <c r="U154" i="20"/>
  <c r="T154" i="20"/>
  <c r="G154" i="20"/>
  <c r="J154" i="20" s="1"/>
  <c r="B154" i="20"/>
  <c r="CL153" i="20"/>
  <c r="CK153" i="20"/>
  <c r="CJ153" i="20"/>
  <c r="CI153" i="20"/>
  <c r="CH153" i="20"/>
  <c r="CB153" i="20"/>
  <c r="CA153" i="20"/>
  <c r="CG153" i="20" s="1"/>
  <c r="BA153" i="20"/>
  <c r="AW153" i="20"/>
  <c r="AR153" i="20"/>
  <c r="AI153" i="20"/>
  <c r="U153" i="20"/>
  <c r="T153" i="20"/>
  <c r="G153" i="20"/>
  <c r="J153" i="20" s="1"/>
  <c r="B153" i="20"/>
  <c r="CL152" i="20"/>
  <c r="CK152" i="20"/>
  <c r="CJ152" i="20"/>
  <c r="CI152" i="20"/>
  <c r="CG152" i="20"/>
  <c r="CB152" i="20"/>
  <c r="CH152" i="20" s="1"/>
  <c r="CA152" i="20"/>
  <c r="AI152" i="20"/>
  <c r="U152" i="20"/>
  <c r="T152" i="20"/>
  <c r="G152" i="20"/>
  <c r="J152" i="20" s="1"/>
  <c r="B152" i="20"/>
  <c r="CL151" i="20"/>
  <c r="CK151" i="20"/>
  <c r="CJ151" i="20"/>
  <c r="CI151" i="20"/>
  <c r="CG151" i="20"/>
  <c r="CB151" i="20"/>
  <c r="CH151" i="20" s="1"/>
  <c r="CA151" i="20"/>
  <c r="BB151" i="20"/>
  <c r="BA151" i="20"/>
  <c r="AW151" i="20"/>
  <c r="AR151" i="20"/>
  <c r="AM151" i="20"/>
  <c r="AI151" i="20"/>
  <c r="U151" i="20"/>
  <c r="T151" i="20"/>
  <c r="G151" i="20"/>
  <c r="J151" i="20" s="1"/>
  <c r="B151" i="20"/>
  <c r="CL150" i="20"/>
  <c r="CK150" i="20"/>
  <c r="CJ150" i="20"/>
  <c r="CI150" i="20"/>
  <c r="CH150" i="20"/>
  <c r="CG150" i="20"/>
  <c r="CB150" i="20"/>
  <c r="CA150" i="20"/>
  <c r="BA150" i="20"/>
  <c r="AW150" i="20"/>
  <c r="AR150" i="20"/>
  <c r="AM150" i="20"/>
  <c r="AI150" i="20"/>
  <c r="AA150" i="20"/>
  <c r="U150" i="20"/>
  <c r="T150" i="20"/>
  <c r="J150" i="20"/>
  <c r="G150" i="20"/>
  <c r="BB150" i="20" s="1"/>
  <c r="B150" i="20"/>
  <c r="CL149" i="20"/>
  <c r="CK149" i="20"/>
  <c r="CJ149" i="20"/>
  <c r="CI149" i="20"/>
  <c r="CG149" i="20"/>
  <c r="CB149" i="20"/>
  <c r="CH149" i="20" s="1"/>
  <c r="CA149" i="20"/>
  <c r="BB149" i="20"/>
  <c r="BA149" i="20"/>
  <c r="AW149" i="20"/>
  <c r="AR149" i="20"/>
  <c r="AM149" i="20"/>
  <c r="AI149" i="20"/>
  <c r="AA149" i="20"/>
  <c r="U149" i="20"/>
  <c r="T149" i="20"/>
  <c r="J149" i="20"/>
  <c r="G149" i="20"/>
  <c r="B149" i="20"/>
  <c r="CL148" i="20"/>
  <c r="CK148" i="20"/>
  <c r="CJ148" i="20"/>
  <c r="CI148" i="20"/>
  <c r="CG148" i="20"/>
  <c r="CB148" i="20"/>
  <c r="CH148" i="20" s="1"/>
  <c r="CA148" i="20"/>
  <c r="BB148" i="20"/>
  <c r="BA148" i="20"/>
  <c r="AW148" i="20"/>
  <c r="AR148" i="20"/>
  <c r="AM148" i="20"/>
  <c r="AI148" i="20"/>
  <c r="AA148" i="20"/>
  <c r="U148" i="20"/>
  <c r="T148" i="20"/>
  <c r="J148" i="20"/>
  <c r="G148" i="20"/>
  <c r="B148" i="20"/>
  <c r="CL147" i="20"/>
  <c r="CK147" i="20"/>
  <c r="CJ147" i="20"/>
  <c r="CI147" i="20"/>
  <c r="CH147" i="20"/>
  <c r="CG147" i="20"/>
  <c r="CB147" i="20"/>
  <c r="CA147" i="20"/>
  <c r="BA147" i="20"/>
  <c r="AW147" i="20"/>
  <c r="AR147" i="20"/>
  <c r="AM147" i="20"/>
  <c r="AI147" i="20"/>
  <c r="U147" i="20"/>
  <c r="T147" i="20"/>
  <c r="G147" i="20"/>
  <c r="J147" i="20" s="1"/>
  <c r="B147" i="20"/>
  <c r="CL146" i="20"/>
  <c r="CK146" i="20"/>
  <c r="CJ146" i="20"/>
  <c r="CI146" i="20"/>
  <c r="CG146" i="20"/>
  <c r="CB146" i="20"/>
  <c r="CH146" i="20" s="1"/>
  <c r="CA146" i="20"/>
  <c r="BB146" i="20"/>
  <c r="BA146" i="20"/>
  <c r="AW146" i="20"/>
  <c r="AR146" i="20"/>
  <c r="AM146" i="20"/>
  <c r="AI146" i="20"/>
  <c r="AA146" i="20"/>
  <c r="U146" i="20"/>
  <c r="T146" i="20"/>
  <c r="J146" i="20"/>
  <c r="G146" i="20"/>
  <c r="B146" i="20"/>
  <c r="CL145" i="20"/>
  <c r="CK145" i="20"/>
  <c r="CJ145" i="20"/>
  <c r="CI145" i="20"/>
  <c r="CH145" i="20"/>
  <c r="CB145" i="20"/>
  <c r="CA145" i="20"/>
  <c r="CG145" i="20" s="1"/>
  <c r="BA145" i="20"/>
  <c r="AW145" i="20"/>
  <c r="AR145" i="20"/>
  <c r="AM145" i="20"/>
  <c r="AI145" i="20"/>
  <c r="U145" i="20"/>
  <c r="T145" i="20"/>
  <c r="G145" i="20"/>
  <c r="B145" i="20"/>
  <c r="CL144" i="20"/>
  <c r="CK144" i="20"/>
  <c r="CJ144" i="20"/>
  <c r="CI144" i="20"/>
  <c r="CG144" i="20"/>
  <c r="CB144" i="20"/>
  <c r="CH144" i="20" s="1"/>
  <c r="CA144" i="20"/>
  <c r="BA144" i="20"/>
  <c r="AW144" i="20"/>
  <c r="AR144" i="20"/>
  <c r="AM144" i="20"/>
  <c r="AI144" i="20"/>
  <c r="U144" i="20"/>
  <c r="T144" i="20"/>
  <c r="G144" i="20"/>
  <c r="B144" i="20"/>
  <c r="CL143" i="20"/>
  <c r="CK143" i="20"/>
  <c r="CJ143" i="20"/>
  <c r="CI143" i="20"/>
  <c r="CB143" i="20"/>
  <c r="CH143" i="20" s="1"/>
  <c r="CA143" i="20"/>
  <c r="CG143" i="20" s="1"/>
  <c r="BB143" i="20"/>
  <c r="BA143" i="20"/>
  <c r="AW143" i="20"/>
  <c r="AR143" i="20"/>
  <c r="AI143" i="20"/>
  <c r="AA143" i="20"/>
  <c r="U143" i="20"/>
  <c r="T143" i="20"/>
  <c r="G143" i="20"/>
  <c r="J143" i="20" s="1"/>
  <c r="B143" i="20"/>
  <c r="CL142" i="20"/>
  <c r="CK142" i="20"/>
  <c r="CJ142" i="20"/>
  <c r="CI142" i="20"/>
  <c r="CB142" i="20"/>
  <c r="CH142" i="20" s="1"/>
  <c r="CA142" i="20"/>
  <c r="CG142" i="20" s="1"/>
  <c r="BA142" i="20"/>
  <c r="AW142" i="20"/>
  <c r="AR142" i="20"/>
  <c r="AM142" i="20"/>
  <c r="U142" i="20"/>
  <c r="T142" i="20"/>
  <c r="G142" i="20"/>
  <c r="BB142" i="20" s="1"/>
  <c r="B142" i="20"/>
  <c r="CL141" i="20"/>
  <c r="CK141" i="20"/>
  <c r="CJ141" i="20"/>
  <c r="CI141" i="20"/>
  <c r="CG141" i="20"/>
  <c r="CB141" i="20"/>
  <c r="CH141" i="20" s="1"/>
  <c r="CA141" i="20"/>
  <c r="BF141" i="20"/>
  <c r="BD141" i="20"/>
  <c r="BC141" i="20"/>
  <c r="BB141" i="20"/>
  <c r="BA141" i="20"/>
  <c r="AW141" i="20"/>
  <c r="AR141" i="20"/>
  <c r="AM141" i="20"/>
  <c r="U141" i="20"/>
  <c r="T141" i="20"/>
  <c r="G141" i="20"/>
  <c r="J141" i="20" s="1"/>
  <c r="B141" i="20"/>
  <c r="CL140" i="20"/>
  <c r="CK140" i="20"/>
  <c r="CJ140" i="20"/>
  <c r="CI140" i="20"/>
  <c r="CH140" i="20"/>
  <c r="CG140" i="20"/>
  <c r="CB140" i="20"/>
  <c r="CA140" i="20"/>
  <c r="BD140" i="20"/>
  <c r="BC140" i="20"/>
  <c r="BF140" i="20" s="1"/>
  <c r="BA140" i="20"/>
  <c r="AW140" i="20"/>
  <c r="AR140" i="20"/>
  <c r="AM140" i="20"/>
  <c r="AE140" i="20"/>
  <c r="U140" i="20"/>
  <c r="T140" i="20"/>
  <c r="G140" i="20"/>
  <c r="B140" i="20"/>
  <c r="CL139" i="20"/>
  <c r="CK139" i="20"/>
  <c r="CJ139" i="20"/>
  <c r="CI139" i="20"/>
  <c r="CH139" i="20"/>
  <c r="CB139" i="20"/>
  <c r="CA139" i="20"/>
  <c r="CG139" i="20" s="1"/>
  <c r="BH139" i="20"/>
  <c r="BD139" i="20"/>
  <c r="BC139" i="20"/>
  <c r="BF139" i="20" s="1"/>
  <c r="BB139" i="20"/>
  <c r="BA139" i="20"/>
  <c r="AW139" i="20"/>
  <c r="AR139" i="20"/>
  <c r="AM139" i="20"/>
  <c r="AI139" i="20"/>
  <c r="AE139" i="20"/>
  <c r="AA139" i="20"/>
  <c r="U139" i="20"/>
  <c r="T139" i="20"/>
  <c r="J139" i="20"/>
  <c r="G139" i="20"/>
  <c r="B139" i="20"/>
  <c r="CL138" i="20"/>
  <c r="CK138" i="20"/>
  <c r="CJ138" i="20"/>
  <c r="CI138" i="20"/>
  <c r="CH138" i="20"/>
  <c r="CG138" i="20"/>
  <c r="CB138" i="20"/>
  <c r="CA138" i="20"/>
  <c r="BH138" i="20"/>
  <c r="BD138" i="20"/>
  <c r="BC138" i="20"/>
  <c r="BF138" i="20" s="1"/>
  <c r="BA138" i="20"/>
  <c r="AW138" i="20"/>
  <c r="AR138" i="20"/>
  <c r="AM138" i="20"/>
  <c r="AI138" i="20"/>
  <c r="AE138" i="20"/>
  <c r="AA138" i="20"/>
  <c r="U138" i="20"/>
  <c r="T138" i="20"/>
  <c r="G138" i="20"/>
  <c r="BB138" i="20" s="1"/>
  <c r="B138" i="20"/>
  <c r="CL137" i="20"/>
  <c r="CK137" i="20"/>
  <c r="CJ137" i="20"/>
  <c r="CI137" i="20"/>
  <c r="CH137" i="20"/>
  <c r="CG137" i="20"/>
  <c r="CB137" i="20"/>
  <c r="CA137" i="20"/>
  <c r="BH137" i="20"/>
  <c r="BD137" i="20" s="1"/>
  <c r="BF137" i="20"/>
  <c r="BC137" i="20"/>
  <c r="BA137" i="20"/>
  <c r="AW137" i="20"/>
  <c r="AR137" i="20"/>
  <c r="AM137" i="20"/>
  <c r="AI137" i="20"/>
  <c r="AE137" i="20"/>
  <c r="AA137" i="20"/>
  <c r="U137" i="20"/>
  <c r="T137" i="20"/>
  <c r="G137" i="20"/>
  <c r="BB137" i="20" s="1"/>
  <c r="B137" i="20"/>
  <c r="CL136" i="20"/>
  <c r="CK136" i="20"/>
  <c r="CJ136" i="20"/>
  <c r="CI136" i="20"/>
  <c r="CH136" i="20"/>
  <c r="CB136" i="20"/>
  <c r="CA136" i="20"/>
  <c r="CG136" i="20" s="1"/>
  <c r="BH136" i="20"/>
  <c r="BD136" i="20" s="1"/>
  <c r="BF136" i="20"/>
  <c r="BC136" i="20"/>
  <c r="BB136" i="20"/>
  <c r="BA136" i="20"/>
  <c r="AW136" i="20"/>
  <c r="AR136" i="20"/>
  <c r="AM136" i="20"/>
  <c r="AI136" i="20"/>
  <c r="AE136" i="20"/>
  <c r="AA136" i="20"/>
  <c r="U136" i="20"/>
  <c r="T136" i="20"/>
  <c r="G136" i="20"/>
  <c r="B136" i="20"/>
  <c r="CL135" i="20"/>
  <c r="CK135" i="20"/>
  <c r="CJ135" i="20"/>
  <c r="CI135" i="20"/>
  <c r="CG135" i="20"/>
  <c r="CB135" i="20"/>
  <c r="CH135" i="20" s="1"/>
  <c r="CA135" i="20"/>
  <c r="BH135" i="20"/>
  <c r="BD135" i="20" s="1"/>
  <c r="BC135" i="20"/>
  <c r="BA135" i="20"/>
  <c r="AW135" i="20"/>
  <c r="AR135" i="20"/>
  <c r="AM135" i="20"/>
  <c r="AI135" i="20"/>
  <c r="AE135" i="20"/>
  <c r="AA135" i="20"/>
  <c r="U135" i="20"/>
  <c r="T135" i="20"/>
  <c r="G135" i="20"/>
  <c r="BB135" i="20" s="1"/>
  <c r="B135" i="20"/>
  <c r="CL134" i="20"/>
  <c r="CK134" i="20"/>
  <c r="CJ134" i="20"/>
  <c r="CI134" i="20"/>
  <c r="CB134" i="20"/>
  <c r="CH134" i="20" s="1"/>
  <c r="CA134" i="20"/>
  <c r="CG134" i="20" s="1"/>
  <c r="BH134" i="20"/>
  <c r="BD134" i="20"/>
  <c r="BF134" i="20" s="1"/>
  <c r="BC134" i="20"/>
  <c r="BB134" i="20"/>
  <c r="BA134" i="20"/>
  <c r="AW134" i="20"/>
  <c r="AR134" i="20"/>
  <c r="AM134" i="20"/>
  <c r="AI134" i="20"/>
  <c r="AE134" i="20"/>
  <c r="AA134" i="20"/>
  <c r="U134" i="20"/>
  <c r="T134" i="20"/>
  <c r="G134" i="20"/>
  <c r="B134" i="20"/>
  <c r="CL133" i="20"/>
  <c r="CK133" i="20"/>
  <c r="CJ133" i="20"/>
  <c r="CI133" i="20"/>
  <c r="CG133" i="20"/>
  <c r="CB133" i="20"/>
  <c r="CH133" i="20" s="1"/>
  <c r="CA133" i="20"/>
  <c r="BH133" i="20"/>
  <c r="BD133" i="20"/>
  <c r="BC133" i="20"/>
  <c r="BA133" i="20"/>
  <c r="AW133" i="20"/>
  <c r="AR133" i="20"/>
  <c r="AM133" i="20"/>
  <c r="AI133" i="20"/>
  <c r="AE133" i="20"/>
  <c r="AA133" i="20"/>
  <c r="U133" i="20"/>
  <c r="T133" i="20"/>
  <c r="G133" i="20"/>
  <c r="BB133" i="20" s="1"/>
  <c r="B133" i="20"/>
  <c r="CL132" i="20"/>
  <c r="CK132" i="20"/>
  <c r="CJ132" i="20"/>
  <c r="CI132" i="20"/>
  <c r="CB132" i="20"/>
  <c r="CH132" i="20" s="1"/>
  <c r="CA132" i="20"/>
  <c r="CG132" i="20" s="1"/>
  <c r="BH132" i="20"/>
  <c r="BG132" i="20"/>
  <c r="BC132" i="20" s="1"/>
  <c r="BF132" i="20"/>
  <c r="BD132" i="20"/>
  <c r="BA132" i="20"/>
  <c r="AW132" i="20"/>
  <c r="AR132" i="20"/>
  <c r="AM132" i="20"/>
  <c r="AI132" i="20"/>
  <c r="AE132" i="20"/>
  <c r="AA132" i="20"/>
  <c r="U132" i="20"/>
  <c r="T132" i="20"/>
  <c r="G132" i="20"/>
  <c r="BB132" i="20" s="1"/>
  <c r="B132" i="20"/>
  <c r="CL131" i="20"/>
  <c r="CK131" i="20"/>
  <c r="CJ131" i="20"/>
  <c r="CI131" i="20"/>
  <c r="CH131" i="20"/>
  <c r="CB131" i="20"/>
  <c r="CA131" i="20"/>
  <c r="CG131" i="20" s="1"/>
  <c r="BH131" i="20"/>
  <c r="BD131" i="20" s="1"/>
  <c r="BG131" i="20"/>
  <c r="BC131" i="20" s="1"/>
  <c r="BF131" i="20" s="1"/>
  <c r="BA131" i="20"/>
  <c r="AW131" i="20"/>
  <c r="AR131" i="20"/>
  <c r="AM131" i="20"/>
  <c r="AI131" i="20"/>
  <c r="AE131" i="20"/>
  <c r="AA131" i="20"/>
  <c r="U131" i="20"/>
  <c r="T131" i="20"/>
  <c r="G131" i="20"/>
  <c r="BB131" i="20" s="1"/>
  <c r="B131" i="20"/>
  <c r="CL130" i="20"/>
  <c r="CK130" i="20"/>
  <c r="CJ130" i="20"/>
  <c r="CI130" i="20"/>
  <c r="CG130" i="20"/>
  <c r="CB130" i="20"/>
  <c r="CH130" i="20" s="1"/>
  <c r="CA130" i="20"/>
  <c r="BH130" i="20"/>
  <c r="BG130" i="20"/>
  <c r="BD130" i="20"/>
  <c r="BC130" i="20"/>
  <c r="BF130" i="20" s="1"/>
  <c r="BA130" i="20"/>
  <c r="AW130" i="20"/>
  <c r="AR130" i="20"/>
  <c r="AM130" i="20"/>
  <c r="AI130" i="20"/>
  <c r="AE130" i="20"/>
  <c r="AA130" i="20"/>
  <c r="U130" i="20"/>
  <c r="T130" i="20"/>
  <c r="G130" i="20"/>
  <c r="BB130" i="20" s="1"/>
  <c r="B130" i="20"/>
  <c r="CL129" i="20"/>
  <c r="CK129" i="20"/>
  <c r="CJ129" i="20"/>
  <c r="CI129" i="20"/>
  <c r="CH129" i="20"/>
  <c r="CG129" i="20"/>
  <c r="CB129" i="20"/>
  <c r="CA129" i="20"/>
  <c r="BH129" i="20"/>
  <c r="BD129" i="20" s="1"/>
  <c r="BG129" i="20"/>
  <c r="BC129" i="20" s="1"/>
  <c r="BF129" i="20"/>
  <c r="BA129" i="20"/>
  <c r="AW129" i="20"/>
  <c r="AR129" i="20"/>
  <c r="AM129" i="20"/>
  <c r="AI129" i="20"/>
  <c r="AE129" i="20"/>
  <c r="AA129" i="20"/>
  <c r="U129" i="20"/>
  <c r="T129" i="20"/>
  <c r="G129" i="20"/>
  <c r="BB129" i="20" s="1"/>
  <c r="B129" i="20"/>
  <c r="CL128" i="20"/>
  <c r="CK128" i="20"/>
  <c r="CJ128" i="20"/>
  <c r="CI128" i="20"/>
  <c r="CH128" i="20"/>
  <c r="CB128" i="20"/>
  <c r="CA128" i="20"/>
  <c r="CG128" i="20" s="1"/>
  <c r="BH128" i="20"/>
  <c r="BG128" i="20"/>
  <c r="BC128" i="20" s="1"/>
  <c r="BF128" i="20" s="1"/>
  <c r="BD128" i="20"/>
  <c r="BB128" i="20"/>
  <c r="BA128" i="20"/>
  <c r="AW128" i="20"/>
  <c r="AR128" i="20"/>
  <c r="AM128" i="20"/>
  <c r="AI128" i="20"/>
  <c r="AE128" i="20"/>
  <c r="AA128" i="20"/>
  <c r="U128" i="20"/>
  <c r="T128" i="20"/>
  <c r="G128" i="20"/>
  <c r="B128" i="20"/>
  <c r="CL127" i="20"/>
  <c r="CK127" i="20"/>
  <c r="CJ127" i="20"/>
  <c r="CI127" i="20"/>
  <c r="CH127" i="20"/>
  <c r="CB127" i="20"/>
  <c r="CA127" i="20"/>
  <c r="CG127" i="20" s="1"/>
  <c r="BA127" i="20"/>
  <c r="AW127" i="20"/>
  <c r="AR127" i="20"/>
  <c r="AM127" i="20"/>
  <c r="AI127" i="20"/>
  <c r="AE127" i="20"/>
  <c r="AA127" i="20"/>
  <c r="U127" i="20"/>
  <c r="T127" i="20"/>
  <c r="G127" i="20"/>
  <c r="BF127" i="20" s="1"/>
  <c r="B127" i="20"/>
  <c r="CL126" i="20"/>
  <c r="CK126" i="20"/>
  <c r="CJ126" i="20"/>
  <c r="CI126" i="20"/>
  <c r="CH126" i="20"/>
  <c r="CB126" i="20"/>
  <c r="CA126" i="20"/>
  <c r="CG126" i="20" s="1"/>
  <c r="BF126" i="20"/>
  <c r="BB126" i="20"/>
  <c r="BA126" i="20"/>
  <c r="AW126" i="20"/>
  <c r="AR126" i="20"/>
  <c r="AM126" i="20"/>
  <c r="AI126" i="20"/>
  <c r="AE126" i="20"/>
  <c r="AA126" i="20"/>
  <c r="U126" i="20"/>
  <c r="T126" i="20"/>
  <c r="G126" i="20"/>
  <c r="B126" i="20"/>
  <c r="CL125" i="20"/>
  <c r="CK125" i="20"/>
  <c r="CJ125" i="20"/>
  <c r="CI125" i="20"/>
  <c r="CH125" i="20"/>
  <c r="CB125" i="20"/>
  <c r="CA125" i="20"/>
  <c r="CG125" i="20" s="1"/>
  <c r="BA125" i="20"/>
  <c r="AW125" i="20"/>
  <c r="AR125" i="20"/>
  <c r="AM125" i="20"/>
  <c r="AI125" i="20"/>
  <c r="AE125" i="20"/>
  <c r="AA125" i="20"/>
  <c r="U125" i="20"/>
  <c r="T125" i="20"/>
  <c r="G125" i="20"/>
  <c r="BF125" i="20" s="1"/>
  <c r="B125" i="20"/>
  <c r="CL124" i="20"/>
  <c r="CK124" i="20"/>
  <c r="CJ124" i="20"/>
  <c r="CI124" i="20"/>
  <c r="CH124" i="20"/>
  <c r="CG124" i="20"/>
  <c r="CB124" i="20"/>
  <c r="CA124" i="20"/>
  <c r="BB124" i="20"/>
  <c r="BA124" i="20"/>
  <c r="AW124" i="20"/>
  <c r="AR124" i="20"/>
  <c r="AM124" i="20"/>
  <c r="AI124" i="20"/>
  <c r="AE124" i="20"/>
  <c r="AA124" i="20"/>
  <c r="U124" i="20"/>
  <c r="T124" i="20"/>
  <c r="G124" i="20"/>
  <c r="BF124" i="20" s="1"/>
  <c r="B124" i="20"/>
  <c r="CL123" i="20"/>
  <c r="CK123" i="20"/>
  <c r="CJ123" i="20"/>
  <c r="CI123" i="20"/>
  <c r="CH123" i="20"/>
  <c r="CB123" i="20"/>
  <c r="CA123" i="20"/>
  <c r="CG123" i="20" s="1"/>
  <c r="BA123" i="20"/>
  <c r="AW123" i="20"/>
  <c r="AR123" i="20"/>
  <c r="AM123" i="20"/>
  <c r="AI123" i="20"/>
  <c r="AE123" i="20"/>
  <c r="AA123" i="20"/>
  <c r="U123" i="20"/>
  <c r="T123" i="20"/>
  <c r="G123" i="20"/>
  <c r="BF123" i="20" s="1"/>
  <c r="B123" i="20"/>
  <c r="CL122" i="20"/>
  <c r="CK122" i="20"/>
  <c r="CJ122" i="20"/>
  <c r="CI122" i="20"/>
  <c r="CH122" i="20"/>
  <c r="CB122" i="20"/>
  <c r="CA122" i="20"/>
  <c r="CG122" i="20" s="1"/>
  <c r="BF122" i="20"/>
  <c r="BB122" i="20"/>
  <c r="BA122" i="20"/>
  <c r="AW122" i="20"/>
  <c r="AR122" i="20"/>
  <c r="AM122" i="20"/>
  <c r="AI122" i="20"/>
  <c r="AE122" i="20"/>
  <c r="AA122" i="20"/>
  <c r="U122" i="20"/>
  <c r="T122" i="20"/>
  <c r="G122" i="20"/>
  <c r="B122" i="20"/>
  <c r="CL121" i="20"/>
  <c r="CK121" i="20"/>
  <c r="CJ121" i="20"/>
  <c r="CI121" i="20"/>
  <c r="CH121" i="20"/>
  <c r="CB121" i="20"/>
  <c r="CA121" i="20"/>
  <c r="CG121" i="20" s="1"/>
  <c r="BA121" i="20"/>
  <c r="AW121" i="20"/>
  <c r="AR121" i="20"/>
  <c r="AM121" i="20"/>
  <c r="AI121" i="20"/>
  <c r="AE121" i="20"/>
  <c r="AA121" i="20"/>
  <c r="U121" i="20"/>
  <c r="T121" i="20"/>
  <c r="G121" i="20"/>
  <c r="BF121" i="20" s="1"/>
  <c r="B121" i="20"/>
  <c r="CL120" i="20"/>
  <c r="CK120" i="20"/>
  <c r="CJ120" i="20"/>
  <c r="CI120" i="20"/>
  <c r="CH120" i="20"/>
  <c r="CG120" i="20"/>
  <c r="CB120" i="20"/>
  <c r="CA120" i="20"/>
  <c r="BA120" i="20"/>
  <c r="AW120" i="20"/>
  <c r="AR120" i="20"/>
  <c r="AM120" i="20"/>
  <c r="AI120" i="20"/>
  <c r="AE120" i="20"/>
  <c r="AA120" i="20"/>
  <c r="U120" i="20"/>
  <c r="T120" i="20"/>
  <c r="G120" i="20"/>
  <c r="B120" i="20"/>
  <c r="CL119" i="20"/>
  <c r="CK119" i="20"/>
  <c r="CJ119" i="20"/>
  <c r="CI119" i="20"/>
  <c r="CH119" i="20"/>
  <c r="CB119" i="20"/>
  <c r="CA119" i="20"/>
  <c r="CG119" i="20" s="1"/>
  <c r="BA119" i="20"/>
  <c r="AW119" i="20"/>
  <c r="AR119" i="20"/>
  <c r="AM119" i="20"/>
  <c r="AI119" i="20"/>
  <c r="AE119" i="20"/>
  <c r="AA119" i="20"/>
  <c r="U119" i="20"/>
  <c r="T119" i="20"/>
  <c r="G119" i="20"/>
  <c r="BF119" i="20" s="1"/>
  <c r="B119" i="20"/>
  <c r="CL118" i="20"/>
  <c r="CK118" i="20"/>
  <c r="CJ118" i="20"/>
  <c r="CI118" i="20"/>
  <c r="CH118" i="20"/>
  <c r="CB118" i="20"/>
  <c r="CA118" i="20"/>
  <c r="CG118" i="20" s="1"/>
  <c r="BF118" i="20"/>
  <c r="BA118" i="20"/>
  <c r="AW118" i="20"/>
  <c r="AR118" i="20"/>
  <c r="AM118" i="20"/>
  <c r="AI118" i="20"/>
  <c r="AE118" i="20"/>
  <c r="AA118" i="20"/>
  <c r="U118" i="20"/>
  <c r="T118" i="20"/>
  <c r="G118" i="20"/>
  <c r="BB118" i="20" s="1"/>
  <c r="B118" i="20"/>
  <c r="CL117" i="20"/>
  <c r="CK117" i="20"/>
  <c r="CJ117" i="20"/>
  <c r="CI117" i="20"/>
  <c r="CH117" i="20"/>
  <c r="CB117" i="20"/>
  <c r="CA117" i="20"/>
  <c r="CG117" i="20" s="1"/>
  <c r="BA117" i="20"/>
  <c r="AW117" i="20"/>
  <c r="AR117" i="20"/>
  <c r="AM117" i="20"/>
  <c r="AI117" i="20"/>
  <c r="AE117" i="20"/>
  <c r="AA117" i="20"/>
  <c r="U117" i="20"/>
  <c r="T117" i="20"/>
  <c r="G117" i="20"/>
  <c r="BF117" i="20" s="1"/>
  <c r="B117" i="20"/>
  <c r="CL116" i="20"/>
  <c r="CK116" i="20"/>
  <c r="CJ116" i="20"/>
  <c r="CI116" i="20"/>
  <c r="CH116" i="20"/>
  <c r="CB116" i="20"/>
  <c r="CA116" i="20"/>
  <c r="CG116" i="20" s="1"/>
  <c r="BF116" i="20"/>
  <c r="BB116" i="20"/>
  <c r="BA116" i="20"/>
  <c r="AW116" i="20"/>
  <c r="AR116" i="20"/>
  <c r="AM116" i="20"/>
  <c r="AI116" i="20"/>
  <c r="AE116" i="20"/>
  <c r="AA116" i="20"/>
  <c r="U116" i="20"/>
  <c r="T116" i="20"/>
  <c r="G116" i="20"/>
  <c r="B116" i="20"/>
  <c r="CL115" i="20"/>
  <c r="CK115" i="20"/>
  <c r="CJ115" i="20"/>
  <c r="CI115" i="20"/>
  <c r="CH115" i="20"/>
  <c r="CB115" i="20"/>
  <c r="CA115" i="20"/>
  <c r="CG115" i="20" s="1"/>
  <c r="BA115" i="20"/>
  <c r="AW115" i="20"/>
  <c r="AR115" i="20"/>
  <c r="AM115" i="20"/>
  <c r="AI115" i="20"/>
  <c r="AE115" i="20"/>
  <c r="AA115" i="20"/>
  <c r="U115" i="20"/>
  <c r="T115" i="20"/>
  <c r="G115" i="20"/>
  <c r="BF115" i="20" s="1"/>
  <c r="B115" i="20"/>
  <c r="CL114" i="20"/>
  <c r="CK114" i="20"/>
  <c r="CJ114" i="20"/>
  <c r="CI114" i="20"/>
  <c r="CH114" i="20"/>
  <c r="CB114" i="20"/>
  <c r="CA114" i="20"/>
  <c r="CG114" i="20" s="1"/>
  <c r="BA114" i="20"/>
  <c r="AW114" i="20"/>
  <c r="AR114" i="20"/>
  <c r="AM114" i="20"/>
  <c r="AI114" i="20"/>
  <c r="AE114" i="20"/>
  <c r="AA114" i="20"/>
  <c r="U114" i="20"/>
  <c r="T114" i="20"/>
  <c r="G114" i="20"/>
  <c r="BF114" i="20" s="1"/>
  <c r="B114" i="20"/>
  <c r="CL113" i="20"/>
  <c r="CK113" i="20"/>
  <c r="CJ113" i="20"/>
  <c r="CI113" i="20"/>
  <c r="CH113" i="20"/>
  <c r="CB113" i="20"/>
  <c r="CA113" i="20"/>
  <c r="CG113" i="20" s="1"/>
  <c r="BA113" i="20"/>
  <c r="AW113" i="20"/>
  <c r="AR113" i="20"/>
  <c r="AM113" i="20"/>
  <c r="AI113" i="20"/>
  <c r="AE113" i="20"/>
  <c r="AA113" i="20"/>
  <c r="U113" i="20"/>
  <c r="T113" i="20"/>
  <c r="G113" i="20"/>
  <c r="BF113" i="20" s="1"/>
  <c r="B113" i="20"/>
  <c r="CL112" i="20"/>
  <c r="CK112" i="20"/>
  <c r="CJ112" i="20"/>
  <c r="CI112" i="20"/>
  <c r="CH112" i="20"/>
  <c r="CG112" i="20"/>
  <c r="CB112" i="20"/>
  <c r="CA112" i="20"/>
  <c r="BA112" i="20"/>
  <c r="AW112" i="20"/>
  <c r="AR112" i="20"/>
  <c r="AM112" i="20"/>
  <c r="AI112" i="20"/>
  <c r="AE112" i="20"/>
  <c r="AA112" i="20"/>
  <c r="U112" i="20"/>
  <c r="T112" i="20"/>
  <c r="G112" i="20"/>
  <c r="B112" i="20"/>
  <c r="CL111" i="20"/>
  <c r="CK111" i="20"/>
  <c r="CJ111" i="20"/>
  <c r="CI111" i="20"/>
  <c r="CH111" i="20"/>
  <c r="CB111" i="20"/>
  <c r="CA111" i="20"/>
  <c r="CG111" i="20" s="1"/>
  <c r="BA111" i="20"/>
  <c r="AW111" i="20"/>
  <c r="AR111" i="20"/>
  <c r="AM111" i="20"/>
  <c r="AI111" i="20"/>
  <c r="AE111" i="20"/>
  <c r="AA111" i="20"/>
  <c r="U111" i="20"/>
  <c r="T111" i="20"/>
  <c r="G111" i="20"/>
  <c r="BF111" i="20" s="1"/>
  <c r="B111" i="20"/>
  <c r="CL110" i="20"/>
  <c r="CK110" i="20"/>
  <c r="CJ110" i="20"/>
  <c r="CI110" i="20"/>
  <c r="CH110" i="20"/>
  <c r="CG110" i="20"/>
  <c r="CB110" i="20"/>
  <c r="CA110" i="20"/>
  <c r="BF110" i="20"/>
  <c r="BA110" i="20"/>
  <c r="AW110" i="20"/>
  <c r="AR110" i="20"/>
  <c r="AM110" i="20"/>
  <c r="AI110" i="20"/>
  <c r="AE110" i="20"/>
  <c r="AA110" i="20"/>
  <c r="U110" i="20"/>
  <c r="T110" i="20"/>
  <c r="G110" i="20"/>
  <c r="BB110" i="20" s="1"/>
  <c r="B110" i="20"/>
  <c r="CL109" i="20"/>
  <c r="CK109" i="20"/>
  <c r="CJ109" i="20"/>
  <c r="CI109" i="20"/>
  <c r="CH109" i="20"/>
  <c r="CB109" i="20"/>
  <c r="CA109" i="20"/>
  <c r="CG109" i="20" s="1"/>
  <c r="BW109" i="20"/>
  <c r="BU109" i="20"/>
  <c r="BT109" i="20"/>
  <c r="BS109" i="20"/>
  <c r="BR109" i="20"/>
  <c r="BQ109" i="20"/>
  <c r="BO109" i="20"/>
  <c r="BN109" i="20"/>
  <c r="BM109" i="20"/>
  <c r="BL109" i="20"/>
  <c r="BK109" i="20"/>
  <c r="BJ109" i="20"/>
  <c r="BI109" i="20"/>
  <c r="BA109" i="20"/>
  <c r="AW109" i="20"/>
  <c r="AR109" i="20"/>
  <c r="AM109" i="20"/>
  <c r="AI109" i="20"/>
  <c r="AE109" i="20"/>
  <c r="AA109" i="20"/>
  <c r="U109" i="20"/>
  <c r="T109" i="20"/>
  <c r="BV109" i="20" s="1"/>
  <c r="G109" i="20"/>
  <c r="BF109" i="20" s="1"/>
  <c r="B109" i="20"/>
  <c r="CL108" i="20"/>
  <c r="CK108" i="20"/>
  <c r="CJ108" i="20"/>
  <c r="CI108" i="20"/>
  <c r="CA108" i="20"/>
  <c r="BZ108" i="20"/>
  <c r="CB108" i="20" s="1"/>
  <c r="CH108" i="20" s="1"/>
  <c r="BY108" i="20"/>
  <c r="BG108" i="20"/>
  <c r="BF108" i="20"/>
  <c r="BH108" i="20" s="1"/>
  <c r="BE108" i="20"/>
  <c r="BB108" i="20"/>
  <c r="AI108" i="20"/>
  <c r="AG108" i="20"/>
  <c r="AE108" i="20"/>
  <c r="AD108" i="20"/>
  <c r="AC108" i="20"/>
  <c r="AB108" i="20"/>
  <c r="W108" i="20"/>
  <c r="V108" i="20"/>
  <c r="G108" i="20"/>
  <c r="B108" i="20"/>
  <c r="CL107" i="20"/>
  <c r="CK107" i="20"/>
  <c r="CJ107" i="20"/>
  <c r="CI107" i="20"/>
  <c r="BZ107" i="20"/>
  <c r="CB107" i="20" s="1"/>
  <c r="BY107" i="20"/>
  <c r="CA107" i="20" s="1"/>
  <c r="BH107" i="20"/>
  <c r="BG107" i="20"/>
  <c r="BF107" i="20"/>
  <c r="BE107" i="20"/>
  <c r="AI107" i="20"/>
  <c r="AD107" i="20"/>
  <c r="AC107" i="20"/>
  <c r="AB107" i="20"/>
  <c r="AE107" i="20" s="1"/>
  <c r="W107" i="20"/>
  <c r="V107" i="20" s="1"/>
  <c r="G107" i="20"/>
  <c r="BB107" i="20" s="1"/>
  <c r="B107" i="20"/>
  <c r="CL106" i="20"/>
  <c r="CK106" i="20"/>
  <c r="CJ106" i="20"/>
  <c r="CI106" i="20"/>
  <c r="CA106" i="20"/>
  <c r="BZ106" i="20"/>
  <c r="CB106" i="20" s="1"/>
  <c r="CH106" i="20" s="1"/>
  <c r="BY106" i="20"/>
  <c r="BH106" i="20"/>
  <c r="BG106" i="20"/>
  <c r="BF106" i="20"/>
  <c r="BE106" i="20"/>
  <c r="BB106" i="20"/>
  <c r="AI106" i="20"/>
  <c r="AG106" i="20"/>
  <c r="AD106" i="20"/>
  <c r="AC106" i="20"/>
  <c r="AB106" i="20"/>
  <c r="AE106" i="20" s="1"/>
  <c r="W106" i="20"/>
  <c r="V106" i="20"/>
  <c r="U106" i="20"/>
  <c r="T106" i="20"/>
  <c r="G106" i="20"/>
  <c r="B106" i="20"/>
  <c r="CL105" i="20"/>
  <c r="CK105" i="20"/>
  <c r="CJ105" i="20"/>
  <c r="CI105" i="20"/>
  <c r="CG105" i="20"/>
  <c r="CB105" i="20"/>
  <c r="CA105" i="20"/>
  <c r="BZ105" i="20"/>
  <c r="BY105" i="20"/>
  <c r="BH105" i="20"/>
  <c r="BG105" i="20"/>
  <c r="BF105" i="20"/>
  <c r="BE105" i="20"/>
  <c r="BB105" i="20"/>
  <c r="AI105" i="20"/>
  <c r="AG105" i="20"/>
  <c r="AD105" i="20"/>
  <c r="AC105" i="20"/>
  <c r="AB105" i="20"/>
  <c r="AE105" i="20" s="1"/>
  <c r="V105" i="20"/>
  <c r="U105" i="20"/>
  <c r="T105" i="20"/>
  <c r="G105" i="20"/>
  <c r="B105" i="20"/>
  <c r="CL104" i="20"/>
  <c r="CK104" i="20"/>
  <c r="CJ104" i="20"/>
  <c r="CI104" i="20"/>
  <c r="CB104" i="20"/>
  <c r="BZ104" i="20"/>
  <c r="BY104" i="20"/>
  <c r="CA104" i="20" s="1"/>
  <c r="CG104" i="20" s="1"/>
  <c r="BH104" i="20"/>
  <c r="BG104" i="20"/>
  <c r="BF104" i="20"/>
  <c r="BE104" i="20"/>
  <c r="AI104" i="20"/>
  <c r="AE104" i="20"/>
  <c r="AD104" i="20"/>
  <c r="AC104" i="20"/>
  <c r="AB104" i="20"/>
  <c r="V104" i="20"/>
  <c r="U104" i="20"/>
  <c r="T104" i="20"/>
  <c r="G104" i="20"/>
  <c r="BB104" i="20" s="1"/>
  <c r="B104" i="20"/>
  <c r="CL103" i="20"/>
  <c r="CK103" i="20"/>
  <c r="CJ103" i="20"/>
  <c r="CI103" i="20"/>
  <c r="CB103" i="20"/>
  <c r="CA103" i="20"/>
  <c r="CG103" i="20" s="1"/>
  <c r="BZ103" i="20"/>
  <c r="BY103" i="20"/>
  <c r="BG103" i="20"/>
  <c r="BF103" i="20"/>
  <c r="BH103" i="20" s="1"/>
  <c r="BE103" i="20"/>
  <c r="AI103" i="20"/>
  <c r="AE103" i="20"/>
  <c r="AD103" i="20"/>
  <c r="AC103" i="20"/>
  <c r="AB103" i="20"/>
  <c r="V103" i="20"/>
  <c r="U103" i="20"/>
  <c r="T103" i="20"/>
  <c r="G103" i="20"/>
  <c r="BB103" i="20" s="1"/>
  <c r="B103" i="20"/>
  <c r="CL102" i="20"/>
  <c r="CK102" i="20"/>
  <c r="CJ102" i="20"/>
  <c r="CI102" i="20"/>
  <c r="CA102" i="20"/>
  <c r="BZ102" i="20"/>
  <c r="CB102" i="20" s="1"/>
  <c r="BY102" i="20"/>
  <c r="BG102" i="20"/>
  <c r="BF102" i="20"/>
  <c r="BH102" i="20" s="1"/>
  <c r="BE102" i="20"/>
  <c r="AI102" i="20"/>
  <c r="AE102" i="20"/>
  <c r="AD102" i="20"/>
  <c r="AC102" i="20"/>
  <c r="AB102" i="20"/>
  <c r="V102" i="20"/>
  <c r="U102" i="20"/>
  <c r="T102" i="20"/>
  <c r="G102" i="20"/>
  <c r="BB102" i="20" s="1"/>
  <c r="B102" i="20"/>
  <c r="CL101" i="20"/>
  <c r="CK101" i="20"/>
  <c r="CJ101" i="20"/>
  <c r="CI101" i="20"/>
  <c r="BZ101" i="20"/>
  <c r="CB101" i="20" s="1"/>
  <c r="CH101" i="20" s="1"/>
  <c r="BY101" i="20"/>
  <c r="CA101" i="20" s="1"/>
  <c r="BH101" i="20"/>
  <c r="BG101" i="20"/>
  <c r="BF101" i="20"/>
  <c r="BE101" i="20"/>
  <c r="BB101" i="20"/>
  <c r="AI101" i="20"/>
  <c r="AD101" i="20"/>
  <c r="AC101" i="20"/>
  <c r="AB101" i="20"/>
  <c r="AE101" i="20" s="1"/>
  <c r="V101" i="20"/>
  <c r="U101" i="20"/>
  <c r="T101" i="20"/>
  <c r="G101" i="20"/>
  <c r="B101" i="20"/>
  <c r="CL100" i="20"/>
  <c r="CK100" i="20"/>
  <c r="CJ100" i="20"/>
  <c r="CI100" i="20"/>
  <c r="CB100" i="20"/>
  <c r="BZ100" i="20"/>
  <c r="BY100" i="20"/>
  <c r="CA100" i="20" s="1"/>
  <c r="CG100" i="20" s="1"/>
  <c r="BH100" i="20"/>
  <c r="BG100" i="20"/>
  <c r="BF100" i="20"/>
  <c r="BE100" i="20"/>
  <c r="AI100" i="20"/>
  <c r="AD100" i="20"/>
  <c r="AC100" i="20"/>
  <c r="AB100" i="20"/>
  <c r="AE100" i="20" s="1"/>
  <c r="V100" i="20"/>
  <c r="U100" i="20"/>
  <c r="T100" i="20"/>
  <c r="G100" i="20"/>
  <c r="BB100" i="20" s="1"/>
  <c r="B100" i="20"/>
  <c r="CL99" i="20"/>
  <c r="CK99" i="20"/>
  <c r="CJ99" i="20"/>
  <c r="CI99" i="20"/>
  <c r="CB99" i="20"/>
  <c r="CA99" i="20"/>
  <c r="BZ99" i="20"/>
  <c r="BY99" i="20"/>
  <c r="BG99" i="20"/>
  <c r="BF99" i="20"/>
  <c r="BH99" i="20" s="1"/>
  <c r="BE99" i="20"/>
  <c r="BB99" i="20"/>
  <c r="AI99" i="20"/>
  <c r="AE99" i="20"/>
  <c r="AD99" i="20"/>
  <c r="AC99" i="20"/>
  <c r="AB99" i="20"/>
  <c r="U99" i="20"/>
  <c r="T99" i="20"/>
  <c r="G99" i="20"/>
  <c r="B99" i="20"/>
  <c r="CL98" i="20"/>
  <c r="CK98" i="20"/>
  <c r="CJ98" i="20"/>
  <c r="CI98" i="20"/>
  <c r="CB98" i="20"/>
  <c r="BZ98" i="20"/>
  <c r="BY98" i="20"/>
  <c r="CA98" i="20" s="1"/>
  <c r="BG98" i="20"/>
  <c r="BF98" i="20"/>
  <c r="BH98" i="20" s="1"/>
  <c r="BE98" i="20"/>
  <c r="BB98" i="20"/>
  <c r="AF98" i="20"/>
  <c r="AI98" i="20" s="1"/>
  <c r="AE98" i="20"/>
  <c r="AD98" i="20"/>
  <c r="AC98" i="20"/>
  <c r="AB98" i="20"/>
  <c r="U98" i="20"/>
  <c r="T98" i="20"/>
  <c r="G98" i="20"/>
  <c r="B98" i="20"/>
  <c r="CL97" i="20"/>
  <c r="CK97" i="20"/>
  <c r="CJ97" i="20"/>
  <c r="CI97" i="20"/>
  <c r="CH97" i="20"/>
  <c r="CG97" i="20"/>
  <c r="CA97" i="20"/>
  <c r="BZ97" i="20"/>
  <c r="CB97" i="20" s="1"/>
  <c r="BY97" i="20"/>
  <c r="BH97" i="20"/>
  <c r="BG97" i="20"/>
  <c r="BF97" i="20"/>
  <c r="BE97" i="20"/>
  <c r="BB97" i="20"/>
  <c r="AI97" i="20"/>
  <c r="AD97" i="20"/>
  <c r="AC97" i="20"/>
  <c r="AB97" i="20"/>
  <c r="AE97" i="20" s="1"/>
  <c r="U97" i="20"/>
  <c r="T97" i="20"/>
  <c r="G97" i="20"/>
  <c r="B97" i="20"/>
  <c r="CL96" i="20"/>
  <c r="CK96" i="20"/>
  <c r="CJ96" i="20"/>
  <c r="CI96" i="20"/>
  <c r="CB96" i="20"/>
  <c r="CA96" i="20"/>
  <c r="CG96" i="20" s="1"/>
  <c r="BZ96" i="20"/>
  <c r="BY96" i="20"/>
  <c r="BG96" i="20"/>
  <c r="BF96" i="20"/>
  <c r="BH96" i="20" s="1"/>
  <c r="BE96" i="20"/>
  <c r="AI96" i="20"/>
  <c r="AD96" i="20"/>
  <c r="AC96" i="20"/>
  <c r="AB96" i="20"/>
  <c r="AE96" i="20" s="1"/>
  <c r="U96" i="20"/>
  <c r="T96" i="20"/>
  <c r="G96" i="20"/>
  <c r="BB96" i="20" s="1"/>
  <c r="B96" i="20"/>
  <c r="CL95" i="20"/>
  <c r="CK95" i="20"/>
  <c r="CJ95" i="20"/>
  <c r="CI95" i="20"/>
  <c r="CH95" i="20"/>
  <c r="BZ95" i="20"/>
  <c r="CB95" i="20" s="1"/>
  <c r="BY95" i="20"/>
  <c r="CA95" i="20" s="1"/>
  <c r="CG95" i="20" s="1"/>
  <c r="BG95" i="20"/>
  <c r="BF95" i="20"/>
  <c r="BH95" i="20" s="1"/>
  <c r="BE95" i="20"/>
  <c r="BB95" i="20"/>
  <c r="AI95" i="20"/>
  <c r="AD95" i="20"/>
  <c r="AC95" i="20"/>
  <c r="AB95" i="20"/>
  <c r="AE95" i="20" s="1"/>
  <c r="U95" i="20"/>
  <c r="T95" i="20"/>
  <c r="G95" i="20"/>
  <c r="B95" i="20"/>
  <c r="CL94" i="20"/>
  <c r="CK94" i="20"/>
  <c r="CJ94" i="20"/>
  <c r="CI94" i="20"/>
  <c r="CB94" i="20"/>
  <c r="BZ94" i="20"/>
  <c r="BY94" i="20"/>
  <c r="CA94" i="20" s="1"/>
  <c r="CG94" i="20" s="1"/>
  <c r="BH94" i="20"/>
  <c r="BG94" i="20"/>
  <c r="BF94" i="20"/>
  <c r="BE94" i="20"/>
  <c r="AI94" i="20"/>
  <c r="U94" i="20"/>
  <c r="T94" i="20"/>
  <c r="G94" i="20"/>
  <c r="BB94" i="20" s="1"/>
  <c r="B94" i="20"/>
  <c r="CL93" i="20"/>
  <c r="CK93" i="20"/>
  <c r="CJ93" i="20"/>
  <c r="CI93" i="20"/>
  <c r="CA93" i="20"/>
  <c r="BZ93" i="20"/>
  <c r="CB93" i="20" s="1"/>
  <c r="BY93" i="20"/>
  <c r="BG93" i="20"/>
  <c r="BF93" i="20"/>
  <c r="BH93" i="20" s="1"/>
  <c r="BE93" i="20"/>
  <c r="AI93" i="20"/>
  <c r="U93" i="20"/>
  <c r="T93" i="20"/>
  <c r="G93" i="20"/>
  <c r="BB93" i="20" s="1"/>
  <c r="B93" i="20"/>
  <c r="CL92" i="20"/>
  <c r="CK92" i="20"/>
  <c r="CJ92" i="20"/>
  <c r="CI92" i="20"/>
  <c r="BZ92" i="20"/>
  <c r="CB92" i="20" s="1"/>
  <c r="BY92" i="20"/>
  <c r="CA92" i="20" s="1"/>
  <c r="CG92" i="20" s="1"/>
  <c r="BG92" i="20"/>
  <c r="BF92" i="20"/>
  <c r="BH92" i="20" s="1"/>
  <c r="BE92" i="20"/>
  <c r="BB92" i="20"/>
  <c r="AI92" i="20"/>
  <c r="U92" i="20"/>
  <c r="T92" i="20"/>
  <c r="G92" i="20"/>
  <c r="B92" i="20"/>
  <c r="CL91" i="20"/>
  <c r="CK91" i="20"/>
  <c r="CJ91" i="20"/>
  <c r="CI91" i="20"/>
  <c r="CB91" i="20"/>
  <c r="BZ91" i="20"/>
  <c r="BY91" i="20"/>
  <c r="CA91" i="20" s="1"/>
  <c r="CG91" i="20" s="1"/>
  <c r="BH91" i="20"/>
  <c r="BG91" i="20"/>
  <c r="BF91" i="20"/>
  <c r="BE91" i="20"/>
  <c r="BB91" i="20"/>
  <c r="AI91" i="20"/>
  <c r="U91" i="20"/>
  <c r="T91" i="20"/>
  <c r="G91" i="20"/>
  <c r="B91" i="20"/>
  <c r="CL90" i="20"/>
  <c r="CK90" i="20"/>
  <c r="CJ90" i="20"/>
  <c r="CI90" i="20"/>
  <c r="CG90" i="20"/>
  <c r="CB90" i="20"/>
  <c r="CA90" i="20"/>
  <c r="BZ90" i="20"/>
  <c r="BY90" i="20"/>
  <c r="BG90" i="20"/>
  <c r="BF90" i="20"/>
  <c r="BH90" i="20" s="1"/>
  <c r="BE90" i="20"/>
  <c r="AI90" i="20"/>
  <c r="U90" i="20"/>
  <c r="T90" i="20"/>
  <c r="G90" i="20"/>
  <c r="BB90" i="20" s="1"/>
  <c r="B90" i="20"/>
  <c r="CL89" i="20"/>
  <c r="CK89" i="20"/>
  <c r="CJ89" i="20"/>
  <c r="CI89" i="20"/>
  <c r="BZ89" i="20"/>
  <c r="CB89" i="20" s="1"/>
  <c r="BY89" i="20"/>
  <c r="CA89" i="20" s="1"/>
  <c r="CG89" i="20" s="1"/>
  <c r="BG89" i="20"/>
  <c r="BF89" i="20"/>
  <c r="BH89" i="20" s="1"/>
  <c r="BE89" i="20"/>
  <c r="U89" i="20"/>
  <c r="T89" i="20"/>
  <c r="G89" i="20"/>
  <c r="BB89" i="20" s="1"/>
  <c r="B89" i="20"/>
  <c r="CL88" i="20"/>
  <c r="CK88" i="20"/>
  <c r="CJ88" i="20"/>
  <c r="CI88" i="20"/>
  <c r="CB88" i="20"/>
  <c r="BZ88" i="20"/>
  <c r="BY88" i="20"/>
  <c r="CA88" i="20" s="1"/>
  <c r="BG88" i="20"/>
  <c r="BH88" i="20" s="1"/>
  <c r="BF88" i="20"/>
  <c r="BE88" i="20"/>
  <c r="BB88" i="20"/>
  <c r="AI88" i="20"/>
  <c r="U88" i="20"/>
  <c r="T88" i="20"/>
  <c r="G88" i="20"/>
  <c r="B88" i="20"/>
  <c r="CL87" i="20"/>
  <c r="CK87" i="20"/>
  <c r="CJ87" i="20"/>
  <c r="CI87" i="20"/>
  <c r="BZ87" i="20"/>
  <c r="CB87" i="20" s="1"/>
  <c r="BG87" i="20"/>
  <c r="BF87" i="20"/>
  <c r="BH87" i="20" s="1"/>
  <c r="BE87" i="20"/>
  <c r="AI87" i="20"/>
  <c r="U87" i="20"/>
  <c r="T87" i="20"/>
  <c r="L87" i="20"/>
  <c r="I87" i="20"/>
  <c r="H87" i="20"/>
  <c r="B87" i="20"/>
  <c r="CL86" i="20"/>
  <c r="CK86" i="20"/>
  <c r="CJ86" i="20"/>
  <c r="CI86" i="20"/>
  <c r="CB86" i="20"/>
  <c r="CH86" i="20" s="1"/>
  <c r="BY86" i="20"/>
  <c r="CA86" i="20" s="1"/>
  <c r="BG86" i="20"/>
  <c r="BH86" i="20" s="1"/>
  <c r="BF86" i="20"/>
  <c r="BE86" i="20"/>
  <c r="BD86" i="20"/>
  <c r="AI86" i="20"/>
  <c r="U86" i="20"/>
  <c r="T86" i="20"/>
  <c r="L86" i="20"/>
  <c r="I86" i="20"/>
  <c r="BZ86" i="20" s="1"/>
  <c r="G86" i="20"/>
  <c r="BB86" i="20" s="1"/>
  <c r="B86" i="20"/>
  <c r="CL85" i="20"/>
  <c r="CK85" i="20"/>
  <c r="CJ85" i="20"/>
  <c r="CI85" i="20"/>
  <c r="CB85" i="20"/>
  <c r="BY85" i="20"/>
  <c r="CA85" i="20" s="1"/>
  <c r="CG85" i="20" s="1"/>
  <c r="BG85" i="20"/>
  <c r="BF85" i="20"/>
  <c r="BH85" i="20" s="1"/>
  <c r="BE85" i="20"/>
  <c r="BB85" i="20"/>
  <c r="AI85" i="20"/>
  <c r="U85" i="20"/>
  <c r="T85" i="20"/>
  <c r="L85" i="20"/>
  <c r="J85" i="20" s="1"/>
  <c r="I85" i="20"/>
  <c r="BZ85" i="20" s="1"/>
  <c r="G85" i="20"/>
  <c r="B85" i="20"/>
  <c r="CL84" i="20"/>
  <c r="CK84" i="20"/>
  <c r="CJ84" i="20"/>
  <c r="CI84" i="20"/>
  <c r="CB84" i="20"/>
  <c r="CH84" i="20" s="1"/>
  <c r="CA84" i="20"/>
  <c r="BY84" i="20"/>
  <c r="BG84" i="20"/>
  <c r="BF84" i="20"/>
  <c r="BH84" i="20" s="1"/>
  <c r="BE84" i="20"/>
  <c r="BD84" i="20"/>
  <c r="AI84" i="20"/>
  <c r="U84" i="20"/>
  <c r="T84" i="20"/>
  <c r="L84" i="20"/>
  <c r="I84" i="20"/>
  <c r="BZ84" i="20" s="1"/>
  <c r="B84" i="20"/>
  <c r="CL83" i="20"/>
  <c r="CK83" i="20"/>
  <c r="CJ83" i="20"/>
  <c r="CI83" i="20"/>
  <c r="BZ83" i="20"/>
  <c r="CB83" i="20" s="1"/>
  <c r="BY83" i="20"/>
  <c r="CA83" i="20" s="1"/>
  <c r="BG83" i="20"/>
  <c r="BF83" i="20"/>
  <c r="BH83" i="20" s="1"/>
  <c r="BD83" i="20"/>
  <c r="BE83" i="20" s="1"/>
  <c r="AI83" i="20"/>
  <c r="U83" i="20"/>
  <c r="T83" i="20"/>
  <c r="G83" i="20"/>
  <c r="BB83" i="20" s="1"/>
  <c r="B83" i="20"/>
  <c r="CL82" i="20"/>
  <c r="CK82" i="20"/>
  <c r="CJ82" i="20"/>
  <c r="CI82" i="20"/>
  <c r="CH82" i="20"/>
  <c r="CA82" i="20"/>
  <c r="CG82" i="20" s="1"/>
  <c r="BZ82" i="20"/>
  <c r="CB82" i="20" s="1"/>
  <c r="BY82" i="20"/>
  <c r="BG82" i="20"/>
  <c r="BF82" i="20"/>
  <c r="BH82" i="20" s="1"/>
  <c r="BE82" i="20"/>
  <c r="AI82" i="20"/>
  <c r="U82" i="20"/>
  <c r="T82" i="20"/>
  <c r="G82" i="20"/>
  <c r="B82" i="20"/>
  <c r="CL81" i="20"/>
  <c r="CK81" i="20"/>
  <c r="CJ81" i="20"/>
  <c r="CI81" i="20"/>
  <c r="CB81" i="20"/>
  <c r="CA81" i="20"/>
  <c r="CG81" i="20" s="1"/>
  <c r="BZ81" i="20"/>
  <c r="BY81" i="20"/>
  <c r="BG81" i="20"/>
  <c r="BF81" i="20"/>
  <c r="BH81" i="20" s="1"/>
  <c r="BE81" i="20"/>
  <c r="BB81" i="20"/>
  <c r="AI81" i="20"/>
  <c r="U81" i="20"/>
  <c r="T81" i="20"/>
  <c r="J81" i="20"/>
  <c r="G81" i="20"/>
  <c r="B81" i="20"/>
  <c r="CL80" i="20"/>
  <c r="CK80" i="20"/>
  <c r="CJ80" i="20"/>
  <c r="CI80" i="20"/>
  <c r="CH80" i="20"/>
  <c r="CA80" i="20"/>
  <c r="CG80" i="20" s="1"/>
  <c r="BZ80" i="20"/>
  <c r="CB80" i="20" s="1"/>
  <c r="BY80" i="20"/>
  <c r="BG80" i="20"/>
  <c r="BF80" i="20"/>
  <c r="BH80" i="20" s="1"/>
  <c r="BE80" i="20"/>
  <c r="AI80" i="20"/>
  <c r="U80" i="20"/>
  <c r="T80" i="20"/>
  <c r="G80" i="20"/>
  <c r="B80" i="20"/>
  <c r="CL79" i="20"/>
  <c r="CK79" i="20"/>
  <c r="CJ79" i="20"/>
  <c r="CI79" i="20"/>
  <c r="CG79" i="20"/>
  <c r="BZ79" i="20"/>
  <c r="CB79" i="20" s="1"/>
  <c r="CH79" i="20" s="1"/>
  <c r="BY79" i="20"/>
  <c r="CA79" i="20" s="1"/>
  <c r="BG79" i="20"/>
  <c r="BF79" i="20"/>
  <c r="BH79" i="20" s="1"/>
  <c r="BE79" i="20"/>
  <c r="BB79" i="20"/>
  <c r="AI79" i="20"/>
  <c r="U79" i="20"/>
  <c r="T79" i="20"/>
  <c r="J79" i="20"/>
  <c r="G79" i="20"/>
  <c r="B79" i="20"/>
  <c r="CL78" i="20"/>
  <c r="CK78" i="20"/>
  <c r="CJ78" i="20"/>
  <c r="CI78" i="20"/>
  <c r="CA78" i="20"/>
  <c r="BZ78" i="20"/>
  <c r="CB78" i="20" s="1"/>
  <c r="CH78" i="20" s="1"/>
  <c r="BY78" i="20"/>
  <c r="BH78" i="20"/>
  <c r="BG78" i="20"/>
  <c r="BF78" i="20"/>
  <c r="BE78" i="20"/>
  <c r="BB78" i="20"/>
  <c r="AI78" i="20"/>
  <c r="U78" i="20"/>
  <c r="T78" i="20"/>
  <c r="G78" i="20"/>
  <c r="J78" i="20" s="1"/>
  <c r="B78" i="20"/>
  <c r="CL77" i="20"/>
  <c r="CK77" i="20"/>
  <c r="CJ77" i="20"/>
  <c r="CI77" i="20"/>
  <c r="CH77" i="20"/>
  <c r="CG77" i="20"/>
  <c r="CB77" i="20"/>
  <c r="BZ77" i="20"/>
  <c r="BY77" i="20"/>
  <c r="CA77" i="20" s="1"/>
  <c r="BG77" i="20"/>
  <c r="BF77" i="20"/>
  <c r="BH77" i="20" s="1"/>
  <c r="BE77" i="20"/>
  <c r="BB77" i="20"/>
  <c r="AI77" i="20"/>
  <c r="U77" i="20"/>
  <c r="T77" i="20"/>
  <c r="J77" i="20"/>
  <c r="G77" i="20"/>
  <c r="B77" i="20"/>
  <c r="CL76" i="20"/>
  <c r="CK76" i="20"/>
  <c r="CJ76" i="20"/>
  <c r="CI76" i="20"/>
  <c r="CB76" i="20"/>
  <c r="CH76" i="20" s="1"/>
  <c r="BZ76" i="20"/>
  <c r="BY76" i="20"/>
  <c r="CA76" i="20" s="1"/>
  <c r="CG76" i="20" s="1"/>
  <c r="BG76" i="20"/>
  <c r="BH76" i="20" s="1"/>
  <c r="BF76" i="20"/>
  <c r="BE76" i="20"/>
  <c r="BB76" i="20"/>
  <c r="AI76" i="20"/>
  <c r="U76" i="20"/>
  <c r="T76" i="20"/>
  <c r="J76" i="20"/>
  <c r="G76" i="20"/>
  <c r="B76" i="20"/>
  <c r="CL75" i="20"/>
  <c r="CK75" i="20"/>
  <c r="CJ75" i="20"/>
  <c r="CI75" i="20"/>
  <c r="CB75" i="20"/>
  <c r="BZ75" i="20"/>
  <c r="BY75" i="20"/>
  <c r="CA75" i="20" s="1"/>
  <c r="CH75" i="20" s="1"/>
  <c r="BG75" i="20"/>
  <c r="BH75" i="20" s="1"/>
  <c r="BF75" i="20"/>
  <c r="BE75" i="20"/>
  <c r="BB75" i="20"/>
  <c r="AI75" i="20"/>
  <c r="U75" i="20"/>
  <c r="T75" i="20"/>
  <c r="O75" i="20"/>
  <c r="O76" i="20" s="1"/>
  <c r="O77" i="20" s="1"/>
  <c r="O78" i="20" s="1"/>
  <c r="O79" i="20" s="1"/>
  <c r="O80" i="20" s="1"/>
  <c r="O81" i="20" s="1"/>
  <c r="O82" i="20" s="1"/>
  <c r="O83" i="20" s="1"/>
  <c r="O84" i="20" s="1"/>
  <c r="O85" i="20" s="1"/>
  <c r="O86" i="20" s="1"/>
  <c r="O87" i="20" s="1"/>
  <c r="O88" i="20" s="1"/>
  <c r="O89" i="20" s="1"/>
  <c r="O90" i="20" s="1"/>
  <c r="O91" i="20" s="1"/>
  <c r="O92" i="20" s="1"/>
  <c r="O93" i="20" s="1"/>
  <c r="O94" i="20" s="1"/>
  <c r="O95" i="20" s="1"/>
  <c r="O96" i="20" s="1"/>
  <c r="O97" i="20" s="1"/>
  <c r="O98" i="20" s="1"/>
  <c r="O99" i="20" s="1"/>
  <c r="O100" i="20" s="1"/>
  <c r="O101" i="20" s="1"/>
  <c r="O102" i="20" s="1"/>
  <c r="O103" i="20" s="1"/>
  <c r="O104" i="20" s="1"/>
  <c r="O105" i="20" s="1"/>
  <c r="O106" i="20" s="1"/>
  <c r="O107" i="20" s="1"/>
  <c r="O108" i="20" s="1"/>
  <c r="J75" i="20"/>
  <c r="G75" i="20"/>
  <c r="B75" i="20"/>
  <c r="CL74" i="20"/>
  <c r="CK74" i="20"/>
  <c r="CJ74" i="20"/>
  <c r="CI74" i="20"/>
  <c r="CB74" i="20"/>
  <c r="BZ74" i="20"/>
  <c r="BY74" i="20"/>
  <c r="CA74" i="20" s="1"/>
  <c r="CG74" i="20" s="1"/>
  <c r="BG74" i="20"/>
  <c r="BH74" i="20" s="1"/>
  <c r="BF74" i="20"/>
  <c r="BE74" i="20"/>
  <c r="AI74" i="20"/>
  <c r="U74" i="20"/>
  <c r="T74" i="20"/>
  <c r="G74" i="20"/>
  <c r="B74" i="20"/>
  <c r="CL73" i="20"/>
  <c r="CK73" i="20"/>
  <c r="CJ73" i="20"/>
  <c r="CI73" i="20"/>
  <c r="CB73" i="20"/>
  <c r="CA73" i="20"/>
  <c r="BZ73" i="20"/>
  <c r="BY73" i="20"/>
  <c r="BG73" i="20"/>
  <c r="BF73" i="20"/>
  <c r="BH73" i="20" s="1"/>
  <c r="BE73" i="20"/>
  <c r="AI73" i="20"/>
  <c r="U73" i="20"/>
  <c r="T73" i="20"/>
  <c r="G73" i="20"/>
  <c r="J73" i="20" s="1"/>
  <c r="B73" i="20"/>
  <c r="CL72" i="20"/>
  <c r="CK72" i="20"/>
  <c r="CJ72" i="20"/>
  <c r="CI72" i="20"/>
  <c r="CB72" i="20"/>
  <c r="CA72" i="20"/>
  <c r="CG72" i="20" s="1"/>
  <c r="BZ72" i="20"/>
  <c r="BY72" i="20"/>
  <c r="BH72" i="20"/>
  <c r="BG72" i="20"/>
  <c r="BF72" i="20"/>
  <c r="BE72" i="20"/>
  <c r="AI72" i="20"/>
  <c r="U72" i="20"/>
  <c r="T72" i="20"/>
  <c r="G72" i="20"/>
  <c r="B72" i="20"/>
  <c r="CL71" i="20"/>
  <c r="CK71" i="20"/>
  <c r="CJ71" i="20"/>
  <c r="CI71" i="20"/>
  <c r="CA71" i="20"/>
  <c r="CG71" i="20" s="1"/>
  <c r="BZ71" i="20"/>
  <c r="CB71" i="20" s="1"/>
  <c r="BY71" i="20"/>
  <c r="BG71" i="20"/>
  <c r="BF71" i="20"/>
  <c r="BH71" i="20" s="1"/>
  <c r="BE71" i="20"/>
  <c r="BB71" i="20"/>
  <c r="AI71" i="20"/>
  <c r="U71" i="20"/>
  <c r="T71" i="20"/>
  <c r="J71" i="20"/>
  <c r="G71" i="20"/>
  <c r="B71" i="20"/>
  <c r="CL70" i="20"/>
  <c r="CK70" i="20"/>
  <c r="CJ70" i="20"/>
  <c r="CI70" i="20"/>
  <c r="CA70" i="20"/>
  <c r="BZ70" i="20"/>
  <c r="CB70" i="20" s="1"/>
  <c r="CH70" i="20" s="1"/>
  <c r="BY70" i="20"/>
  <c r="BG70" i="20"/>
  <c r="BF70" i="20"/>
  <c r="BH70" i="20" s="1"/>
  <c r="BE70" i="20"/>
  <c r="BB70" i="20"/>
  <c r="AI70" i="20"/>
  <c r="U70" i="20"/>
  <c r="T70" i="20"/>
  <c r="G70" i="20"/>
  <c r="J70" i="20" s="1"/>
  <c r="B70" i="20"/>
  <c r="CL69" i="20"/>
  <c r="CK69" i="20"/>
  <c r="CJ69" i="20"/>
  <c r="CI69" i="20"/>
  <c r="CA69" i="20"/>
  <c r="BZ69" i="20"/>
  <c r="CB69" i="20" s="1"/>
  <c r="BY69" i="20"/>
  <c r="BH69" i="20"/>
  <c r="BG69" i="20"/>
  <c r="BF69" i="20"/>
  <c r="BE69" i="20"/>
  <c r="AI69" i="20"/>
  <c r="U69" i="20"/>
  <c r="T69" i="20"/>
  <c r="J69" i="20"/>
  <c r="G69" i="20"/>
  <c r="BB69" i="20" s="1"/>
  <c r="B69" i="20"/>
  <c r="CL68" i="20"/>
  <c r="CK68" i="20"/>
  <c r="CJ68" i="20"/>
  <c r="CI68" i="20"/>
  <c r="CA68" i="20"/>
  <c r="CG68" i="20" s="1"/>
  <c r="BZ68" i="20"/>
  <c r="CB68" i="20" s="1"/>
  <c r="BY68" i="20"/>
  <c r="BG68" i="20"/>
  <c r="BF68" i="20"/>
  <c r="BH68" i="20" s="1"/>
  <c r="BE68" i="20"/>
  <c r="AI68" i="20"/>
  <c r="U68" i="20"/>
  <c r="T68" i="20"/>
  <c r="O68" i="20"/>
  <c r="O69" i="20" s="1"/>
  <c r="O70" i="20" s="1"/>
  <c r="O71" i="20" s="1"/>
  <c r="O72" i="20" s="1"/>
  <c r="O73" i="20" s="1"/>
  <c r="O74" i="20" s="1"/>
  <c r="G68" i="20"/>
  <c r="B68" i="20"/>
  <c r="CL67" i="20"/>
  <c r="CK67" i="20"/>
  <c r="CJ67" i="20"/>
  <c r="CI67" i="20"/>
  <c r="CA67" i="20"/>
  <c r="BZ67" i="20"/>
  <c r="CB67" i="20" s="1"/>
  <c r="CH67" i="20" s="1"/>
  <c r="BY67" i="20"/>
  <c r="BG67" i="20"/>
  <c r="BF67" i="20"/>
  <c r="BH67" i="20" s="1"/>
  <c r="BE67" i="20"/>
  <c r="AI67" i="20"/>
  <c r="U67" i="20"/>
  <c r="T67" i="20"/>
  <c r="G67" i="20"/>
  <c r="BB67" i="20" s="1"/>
  <c r="B67" i="20"/>
  <c r="CL66" i="20"/>
  <c r="CK66" i="20"/>
  <c r="CJ66" i="20"/>
  <c r="CI66" i="20"/>
  <c r="CG66" i="20"/>
  <c r="CB66" i="20"/>
  <c r="CH66" i="20" s="1"/>
  <c r="BZ66" i="20"/>
  <c r="BY66" i="20"/>
  <c r="CA66" i="20" s="1"/>
  <c r="BG66" i="20"/>
  <c r="BF66" i="20"/>
  <c r="BE66" i="20"/>
  <c r="BB66" i="20"/>
  <c r="AI66" i="20"/>
  <c r="U66" i="20"/>
  <c r="T66" i="20"/>
  <c r="J66" i="20"/>
  <c r="B66" i="20"/>
  <c r="CL65" i="20"/>
  <c r="CK65" i="20"/>
  <c r="CJ65" i="20"/>
  <c r="CI65" i="20"/>
  <c r="CH65" i="20"/>
  <c r="CB65" i="20"/>
  <c r="CA65" i="20"/>
  <c r="CG65" i="20" s="1"/>
  <c r="BZ65" i="20"/>
  <c r="BY65" i="20"/>
  <c r="BG65" i="20"/>
  <c r="BF65" i="20"/>
  <c r="BE65" i="20"/>
  <c r="BD65" i="20"/>
  <c r="BB65" i="20"/>
  <c r="AI65" i="20"/>
  <c r="U65" i="20"/>
  <c r="T65" i="20"/>
  <c r="J65" i="20"/>
  <c r="G65" i="20"/>
  <c r="B65" i="20"/>
  <c r="CL64" i="20"/>
  <c r="CK64" i="20"/>
  <c r="CJ64" i="20"/>
  <c r="CI64" i="20"/>
  <c r="BZ64" i="20"/>
  <c r="CB64" i="20" s="1"/>
  <c r="BY64" i="20"/>
  <c r="CA64" i="20" s="1"/>
  <c r="CG64" i="20" s="1"/>
  <c r="BG64" i="20"/>
  <c r="BH64" i="20" s="1"/>
  <c r="BF64" i="20"/>
  <c r="BE64" i="20"/>
  <c r="AI64" i="20"/>
  <c r="U64" i="20"/>
  <c r="T64" i="20"/>
  <c r="O64" i="20"/>
  <c r="O65" i="20" s="1"/>
  <c r="O66" i="20" s="1"/>
  <c r="O67" i="20" s="1"/>
  <c r="L64" i="20"/>
  <c r="G64" i="20"/>
  <c r="BB64" i="20" s="1"/>
  <c r="B64" i="20"/>
  <c r="CL63" i="20"/>
  <c r="CK63" i="20"/>
  <c r="CJ63" i="20"/>
  <c r="CI63" i="20"/>
  <c r="CB63" i="20"/>
  <c r="CH63" i="20" s="1"/>
  <c r="CA63" i="20"/>
  <c r="BZ63" i="20"/>
  <c r="BY63" i="20"/>
  <c r="BG63" i="20"/>
  <c r="BF63" i="20"/>
  <c r="BH63" i="20" s="1"/>
  <c r="BE63" i="20"/>
  <c r="BB63" i="20"/>
  <c r="AI63" i="20"/>
  <c r="U63" i="20"/>
  <c r="T63" i="20"/>
  <c r="G63" i="20"/>
  <c r="J63" i="20" s="1"/>
  <c r="B63" i="20"/>
  <c r="CL62" i="20"/>
  <c r="CK62" i="20"/>
  <c r="CJ62" i="20"/>
  <c r="CI62" i="20"/>
  <c r="BZ62" i="20"/>
  <c r="CB62" i="20" s="1"/>
  <c r="BY62" i="20"/>
  <c r="CA62" i="20" s="1"/>
  <c r="CG62" i="20" s="1"/>
  <c r="BH62" i="20"/>
  <c r="BG62" i="20"/>
  <c r="BF62" i="20"/>
  <c r="BE62" i="20"/>
  <c r="BB62" i="20"/>
  <c r="AI62" i="20"/>
  <c r="U62" i="20"/>
  <c r="T62" i="20"/>
  <c r="J62" i="20"/>
  <c r="G62" i="20"/>
  <c r="B62" i="20"/>
  <c r="CL61" i="20"/>
  <c r="CK61" i="20"/>
  <c r="CJ61" i="20"/>
  <c r="CI61" i="20"/>
  <c r="CA61" i="20"/>
  <c r="BZ61" i="20"/>
  <c r="CB61" i="20" s="1"/>
  <c r="BY61" i="20"/>
  <c r="BG61" i="20"/>
  <c r="BH61" i="20" s="1"/>
  <c r="BF61" i="20"/>
  <c r="BE61" i="20"/>
  <c r="BB61" i="20"/>
  <c r="AI61" i="20"/>
  <c r="U61" i="20"/>
  <c r="T61" i="20"/>
  <c r="G61" i="20"/>
  <c r="J61" i="20" s="1"/>
  <c r="B61" i="20"/>
  <c r="CL60" i="20"/>
  <c r="CK60" i="20"/>
  <c r="CJ60" i="20"/>
  <c r="CI60" i="20"/>
  <c r="CA60" i="20"/>
  <c r="BZ60" i="20"/>
  <c r="CB60" i="20" s="1"/>
  <c r="CH60" i="20" s="1"/>
  <c r="BY60" i="20"/>
  <c r="BG60" i="20"/>
  <c r="BF60" i="20"/>
  <c r="BH60" i="20" s="1"/>
  <c r="BE60" i="20"/>
  <c r="AI60" i="20"/>
  <c r="U60" i="20"/>
  <c r="T60" i="20"/>
  <c r="G60" i="20"/>
  <c r="B60" i="20"/>
  <c r="CL59" i="20"/>
  <c r="CK59" i="20"/>
  <c r="CJ59" i="20"/>
  <c r="CI59" i="20"/>
  <c r="CB59" i="20"/>
  <c r="CA59" i="20"/>
  <c r="CG59" i="20" s="1"/>
  <c r="BZ59" i="20"/>
  <c r="BY59" i="20"/>
  <c r="BG59" i="20"/>
  <c r="BF59" i="20"/>
  <c r="BH59" i="20" s="1"/>
  <c r="BE59" i="20"/>
  <c r="AI59" i="20"/>
  <c r="U59" i="20"/>
  <c r="T59" i="20"/>
  <c r="G59" i="20"/>
  <c r="B59" i="20"/>
  <c r="CL58" i="20"/>
  <c r="CK58" i="20"/>
  <c r="CJ58" i="20"/>
  <c r="CI58" i="20"/>
  <c r="BZ58" i="20"/>
  <c r="CB58" i="20" s="1"/>
  <c r="CH58" i="20" s="1"/>
  <c r="BY58" i="20"/>
  <c r="CA58" i="20" s="1"/>
  <c r="CG58" i="20" s="1"/>
  <c r="BH58" i="20"/>
  <c r="BG58" i="20"/>
  <c r="BF58" i="20"/>
  <c r="BE58" i="20"/>
  <c r="BB58" i="20"/>
  <c r="AI58" i="20"/>
  <c r="U58" i="20"/>
  <c r="T58" i="20"/>
  <c r="J58" i="20"/>
  <c r="G58" i="20"/>
  <c r="B58" i="20"/>
  <c r="CL57" i="20"/>
  <c r="CK57" i="20"/>
  <c r="CJ57" i="20"/>
  <c r="CI57" i="20"/>
  <c r="CA57" i="20"/>
  <c r="BZ57" i="20"/>
  <c r="CB57" i="20" s="1"/>
  <c r="CH57" i="20" s="1"/>
  <c r="BY57" i="20"/>
  <c r="BG57" i="20"/>
  <c r="BH57" i="20" s="1"/>
  <c r="BF57" i="20"/>
  <c r="BE57" i="20"/>
  <c r="BB57" i="20"/>
  <c r="AI57" i="20"/>
  <c r="V57" i="20"/>
  <c r="U57" i="20"/>
  <c r="T57" i="20"/>
  <c r="O57" i="20"/>
  <c r="O58" i="20" s="1"/>
  <c r="O59" i="20" s="1"/>
  <c r="O60" i="20" s="1"/>
  <c r="O61" i="20" s="1"/>
  <c r="O62" i="20" s="1"/>
  <c r="O63" i="20" s="1"/>
  <c r="J57" i="20"/>
  <c r="G57" i="20"/>
  <c r="N57" i="20" s="1"/>
  <c r="N58" i="20" s="1"/>
  <c r="N59" i="20" s="1"/>
  <c r="B57" i="20"/>
  <c r="CL56" i="20"/>
  <c r="CK56" i="20"/>
  <c r="CJ56" i="20"/>
  <c r="CI56" i="20"/>
  <c r="CB56" i="20"/>
  <c r="BZ56" i="20"/>
  <c r="BY56" i="20"/>
  <c r="CA56" i="20" s="1"/>
  <c r="CG56" i="20" s="1"/>
  <c r="BH56" i="20"/>
  <c r="BG56" i="20"/>
  <c r="BF56" i="20"/>
  <c r="BE56" i="20"/>
  <c r="BB56" i="20"/>
  <c r="AA56" i="20"/>
  <c r="V56" i="20"/>
  <c r="U56" i="20"/>
  <c r="T56" i="20"/>
  <c r="N56" i="20"/>
  <c r="G56" i="20"/>
  <c r="B56" i="20"/>
  <c r="CL55" i="20"/>
  <c r="CK55" i="20"/>
  <c r="CJ55" i="20"/>
  <c r="CI55" i="20"/>
  <c r="CB55" i="20"/>
  <c r="CH55" i="20" s="1"/>
  <c r="BZ55" i="20"/>
  <c r="BY55" i="20"/>
  <c r="CA55" i="20" s="1"/>
  <c r="BG55" i="20"/>
  <c r="BF55" i="20"/>
  <c r="BH55" i="20" s="1"/>
  <c r="BE55" i="20"/>
  <c r="BB55" i="20"/>
  <c r="AA55" i="20"/>
  <c r="V55" i="20"/>
  <c r="U55" i="20"/>
  <c r="T55" i="20"/>
  <c r="N55" i="20"/>
  <c r="G55" i="20"/>
  <c r="B55" i="20"/>
  <c r="CL54" i="20"/>
  <c r="CK54" i="20"/>
  <c r="CJ54" i="20"/>
  <c r="CI54" i="20"/>
  <c r="BZ54" i="20"/>
  <c r="CB54" i="20" s="1"/>
  <c r="BY54" i="20"/>
  <c r="CA54" i="20" s="1"/>
  <c r="CG54" i="20" s="1"/>
  <c r="BH54" i="20"/>
  <c r="BG54" i="20"/>
  <c r="BF54" i="20"/>
  <c r="BE54" i="20"/>
  <c r="V54" i="20"/>
  <c r="AA54" i="20" s="1"/>
  <c r="U54" i="20"/>
  <c r="T54" i="20"/>
  <c r="G54" i="20"/>
  <c r="B54" i="20"/>
  <c r="CL53" i="20"/>
  <c r="CK53" i="20"/>
  <c r="CJ53" i="20"/>
  <c r="CI53" i="20"/>
  <c r="CA53" i="20"/>
  <c r="CG53" i="20" s="1"/>
  <c r="BZ53" i="20"/>
  <c r="CB53" i="20" s="1"/>
  <c r="BY53" i="20"/>
  <c r="BG53" i="20"/>
  <c r="BF53" i="20"/>
  <c r="BH53" i="20" s="1"/>
  <c r="BE53" i="20"/>
  <c r="BB53" i="20"/>
  <c r="V53" i="20"/>
  <c r="AA53" i="20" s="1"/>
  <c r="U53" i="20"/>
  <c r="T53" i="20"/>
  <c r="G53" i="20"/>
  <c r="N53" i="20" s="1"/>
  <c r="B53" i="20"/>
  <c r="CL52" i="20"/>
  <c r="CK52" i="20"/>
  <c r="CJ52" i="20"/>
  <c r="CI52" i="20"/>
  <c r="CB52" i="20"/>
  <c r="CA52" i="20"/>
  <c r="CG52" i="20" s="1"/>
  <c r="BZ52" i="20"/>
  <c r="BY52" i="20"/>
  <c r="BG52" i="20"/>
  <c r="BF52" i="20"/>
  <c r="BH52" i="20" s="1"/>
  <c r="BE52" i="20"/>
  <c r="AA52" i="20"/>
  <c r="V52" i="20"/>
  <c r="U52" i="20"/>
  <c r="T52" i="20"/>
  <c r="G52" i="20"/>
  <c r="BB52" i="20" s="1"/>
  <c r="B52" i="20"/>
  <c r="CL51" i="20"/>
  <c r="CK51" i="20"/>
  <c r="CJ51" i="20"/>
  <c r="CI51" i="20"/>
  <c r="CB51" i="20"/>
  <c r="CH51" i="20" s="1"/>
  <c r="CA51" i="20"/>
  <c r="BZ51" i="20"/>
  <c r="BY51" i="20"/>
  <c r="BG51" i="20"/>
  <c r="BF51" i="20"/>
  <c r="BH51" i="20" s="1"/>
  <c r="BE51" i="20"/>
  <c r="AA51" i="20"/>
  <c r="V51" i="20"/>
  <c r="U51" i="20"/>
  <c r="T51" i="20"/>
  <c r="G51" i="20"/>
  <c r="B51" i="20"/>
  <c r="CL50" i="20"/>
  <c r="CK50" i="20"/>
  <c r="CJ50" i="20"/>
  <c r="CI50" i="20"/>
  <c r="CA50" i="20"/>
  <c r="BZ50" i="20"/>
  <c r="CB50" i="20" s="1"/>
  <c r="CH50" i="20" s="1"/>
  <c r="BY50" i="20"/>
  <c r="BG50" i="20"/>
  <c r="BF50" i="20"/>
  <c r="BE50" i="20"/>
  <c r="BB50" i="20"/>
  <c r="AA50" i="20"/>
  <c r="V50" i="20"/>
  <c r="U50" i="20"/>
  <c r="T50" i="20"/>
  <c r="G50" i="20"/>
  <c r="N50" i="20" s="1"/>
  <c r="B50" i="20"/>
  <c r="CL49" i="20"/>
  <c r="CK49" i="20"/>
  <c r="CJ49" i="20"/>
  <c r="CI49" i="20"/>
  <c r="CB49" i="20"/>
  <c r="CH49" i="20" s="1"/>
  <c r="CA49" i="20"/>
  <c r="BZ49" i="20"/>
  <c r="BY49" i="20"/>
  <c r="BH49" i="20"/>
  <c r="BG49" i="20"/>
  <c r="BF49" i="20"/>
  <c r="BE49" i="20"/>
  <c r="V49" i="20"/>
  <c r="AA49" i="20" s="1"/>
  <c r="U49" i="20"/>
  <c r="T49" i="20"/>
  <c r="G49" i="20"/>
  <c r="B49" i="20"/>
  <c r="CL48" i="20"/>
  <c r="CK48" i="20"/>
  <c r="CJ48" i="20"/>
  <c r="CI48" i="20"/>
  <c r="CA48" i="20"/>
  <c r="BZ48" i="20"/>
  <c r="CB48" i="20" s="1"/>
  <c r="BY48" i="20"/>
  <c r="BG48" i="20"/>
  <c r="BF48" i="20"/>
  <c r="BH48" i="20" s="1"/>
  <c r="BE48" i="20"/>
  <c r="V48" i="20"/>
  <c r="AA48" i="20" s="1"/>
  <c r="U48" i="20"/>
  <c r="T48" i="20"/>
  <c r="G48" i="20"/>
  <c r="B48" i="20"/>
  <c r="CL47" i="20"/>
  <c r="CK47" i="20"/>
  <c r="CJ47" i="20"/>
  <c r="CI47" i="20"/>
  <c r="CB47" i="20"/>
  <c r="CH47" i="20" s="1"/>
  <c r="CA47" i="20"/>
  <c r="CG47" i="20" s="1"/>
  <c r="BZ47" i="20"/>
  <c r="BY47" i="20"/>
  <c r="BH47" i="20"/>
  <c r="BG47" i="20"/>
  <c r="BF47" i="20"/>
  <c r="BE47" i="20"/>
  <c r="V47" i="20"/>
  <c r="AA47" i="20" s="1"/>
  <c r="U47" i="20"/>
  <c r="T47" i="20"/>
  <c r="G47" i="20"/>
  <c r="BB47" i="20" s="1"/>
  <c r="B47" i="20"/>
  <c r="CL46" i="20"/>
  <c r="CK46" i="20"/>
  <c r="CJ46" i="20"/>
  <c r="CI46" i="20"/>
  <c r="BZ46" i="20"/>
  <c r="CB46" i="20" s="1"/>
  <c r="BY46" i="20"/>
  <c r="CA46" i="20" s="1"/>
  <c r="CG46" i="20" s="1"/>
  <c r="BG46" i="20"/>
  <c r="BF46" i="20"/>
  <c r="BH46" i="20" s="1"/>
  <c r="BE46" i="20"/>
  <c r="BB46" i="20"/>
  <c r="AA46" i="20"/>
  <c r="V46" i="20"/>
  <c r="U46" i="20"/>
  <c r="T46" i="20"/>
  <c r="N46" i="20"/>
  <c r="G46" i="20"/>
  <c r="B46" i="20"/>
  <c r="CL45" i="20"/>
  <c r="CK45" i="20"/>
  <c r="CJ45" i="20"/>
  <c r="CI45" i="20"/>
  <c r="BZ45" i="20"/>
  <c r="CB45" i="20" s="1"/>
  <c r="BY45" i="20"/>
  <c r="CA45" i="20" s="1"/>
  <c r="BG45" i="20"/>
  <c r="BH45" i="20" s="1"/>
  <c r="BF45" i="20"/>
  <c r="BE45" i="20"/>
  <c r="BB45" i="20"/>
  <c r="V45" i="20"/>
  <c r="AA45" i="20" s="1"/>
  <c r="U45" i="20"/>
  <c r="T45" i="20"/>
  <c r="N45" i="20"/>
  <c r="G45" i="20"/>
  <c r="B45" i="20"/>
  <c r="CL44" i="20"/>
  <c r="CK44" i="20"/>
  <c r="CJ44" i="20"/>
  <c r="CI44" i="20"/>
  <c r="CG44" i="20"/>
  <c r="BZ44" i="20"/>
  <c r="CB44" i="20" s="1"/>
  <c r="BY44" i="20"/>
  <c r="CA44" i="20" s="1"/>
  <c r="BH44" i="20"/>
  <c r="BG44" i="20"/>
  <c r="BF44" i="20"/>
  <c r="BE44" i="20"/>
  <c r="V44" i="20"/>
  <c r="AA44" i="20" s="1"/>
  <c r="U44" i="20"/>
  <c r="T44" i="20"/>
  <c r="G44" i="20"/>
  <c r="B44" i="20"/>
  <c r="CL43" i="20"/>
  <c r="CK43" i="20"/>
  <c r="CJ43" i="20"/>
  <c r="CI43" i="20"/>
  <c r="CH43" i="20"/>
  <c r="BZ43" i="20"/>
  <c r="CB43" i="20" s="1"/>
  <c r="BY43" i="20"/>
  <c r="CA43" i="20" s="1"/>
  <c r="CG43" i="20" s="1"/>
  <c r="BG43" i="20"/>
  <c r="BF43" i="20"/>
  <c r="BH43" i="20" s="1"/>
  <c r="BE43" i="20"/>
  <c r="BB43" i="20"/>
  <c r="V43" i="20"/>
  <c r="AA43" i="20" s="1"/>
  <c r="U43" i="20"/>
  <c r="T43" i="20"/>
  <c r="G43" i="20"/>
  <c r="N43" i="20" s="1"/>
  <c r="B43" i="20"/>
  <c r="CL42" i="20"/>
  <c r="CK42" i="20"/>
  <c r="CJ42" i="20"/>
  <c r="CI42" i="20"/>
  <c r="CB42" i="20"/>
  <c r="CH42" i="20" s="1"/>
  <c r="BZ42" i="20"/>
  <c r="BY42" i="20"/>
  <c r="CA42" i="20" s="1"/>
  <c r="BH42" i="20"/>
  <c r="BG42" i="20"/>
  <c r="BF42" i="20"/>
  <c r="BE42" i="20"/>
  <c r="BB42" i="20"/>
  <c r="AA42" i="20"/>
  <c r="V42" i="20"/>
  <c r="U42" i="20"/>
  <c r="T42" i="20"/>
  <c r="N42" i="20"/>
  <c r="G42" i="20"/>
  <c r="B42" i="20"/>
  <c r="CL41" i="20"/>
  <c r="CK41" i="20"/>
  <c r="CJ41" i="20"/>
  <c r="CI41" i="20"/>
  <c r="CB41" i="20"/>
  <c r="CH41" i="20" s="1"/>
  <c r="BZ41" i="20"/>
  <c r="BY41" i="20"/>
  <c r="CA41" i="20" s="1"/>
  <c r="BH41" i="20"/>
  <c r="BG41" i="20"/>
  <c r="BF41" i="20"/>
  <c r="BE41" i="20"/>
  <c r="BB41" i="20"/>
  <c r="V41" i="20"/>
  <c r="AA41" i="20" s="1"/>
  <c r="U41" i="20"/>
  <c r="T41" i="20"/>
  <c r="N41" i="20"/>
  <c r="G41" i="20"/>
  <c r="B41" i="20"/>
  <c r="CL40" i="20"/>
  <c r="CK40" i="20"/>
  <c r="CJ40" i="20"/>
  <c r="CI40" i="20"/>
  <c r="CB40" i="20"/>
  <c r="CH40" i="20" s="1"/>
  <c r="CA40" i="20"/>
  <c r="CG40" i="20" s="1"/>
  <c r="BZ40" i="20"/>
  <c r="BY40" i="20"/>
  <c r="BG40" i="20"/>
  <c r="BH40" i="20" s="1"/>
  <c r="BF40" i="20"/>
  <c r="BE40" i="20"/>
  <c r="V40" i="20"/>
  <c r="AA40" i="20" s="1"/>
  <c r="U40" i="20"/>
  <c r="T40" i="20"/>
  <c r="G40" i="20"/>
  <c r="N40" i="20" s="1"/>
  <c r="B40" i="20"/>
  <c r="CL39" i="20"/>
  <c r="CK39" i="20"/>
  <c r="CJ39" i="20"/>
  <c r="CI39" i="20"/>
  <c r="CB39" i="20"/>
  <c r="CA39" i="20"/>
  <c r="CG39" i="20" s="1"/>
  <c r="BZ39" i="20"/>
  <c r="BY39" i="20"/>
  <c r="BH39" i="20"/>
  <c r="BG39" i="20"/>
  <c r="BF39" i="20"/>
  <c r="BE39" i="20"/>
  <c r="V39" i="20"/>
  <c r="AA39" i="20" s="1"/>
  <c r="U39" i="20"/>
  <c r="T39" i="20"/>
  <c r="G39" i="20"/>
  <c r="B39" i="20"/>
  <c r="CL38" i="20"/>
  <c r="CK38" i="20"/>
  <c r="CJ38" i="20"/>
  <c r="CI38" i="20"/>
  <c r="CB38" i="20"/>
  <c r="BZ38" i="20"/>
  <c r="BY38" i="20"/>
  <c r="CA38" i="20" s="1"/>
  <c r="BH38" i="20"/>
  <c r="BG38" i="20"/>
  <c r="BF38" i="20"/>
  <c r="BE38" i="20"/>
  <c r="V38" i="20"/>
  <c r="AA38" i="20" s="1"/>
  <c r="U38" i="20"/>
  <c r="T38" i="20"/>
  <c r="G38" i="20"/>
  <c r="BB38" i="20" s="1"/>
  <c r="B38" i="20"/>
  <c r="CL37" i="20"/>
  <c r="CK37" i="20"/>
  <c r="CJ37" i="20"/>
  <c r="CI37" i="20"/>
  <c r="CB37" i="20"/>
  <c r="BZ37" i="20"/>
  <c r="BY37" i="20"/>
  <c r="CA37" i="20" s="1"/>
  <c r="CG37" i="20" s="1"/>
  <c r="BH37" i="20"/>
  <c r="BG37" i="20"/>
  <c r="BF37" i="20"/>
  <c r="BE37" i="20"/>
  <c r="V37" i="20"/>
  <c r="AA37" i="20" s="1"/>
  <c r="U37" i="20"/>
  <c r="T37" i="20"/>
  <c r="N37" i="20"/>
  <c r="G37" i="20"/>
  <c r="BB37" i="20" s="1"/>
  <c r="B37" i="20"/>
  <c r="CL36" i="20"/>
  <c r="CK36" i="20"/>
  <c r="CJ36" i="20"/>
  <c r="CI36" i="20"/>
  <c r="BZ36" i="20"/>
  <c r="CB36" i="20" s="1"/>
  <c r="BY36" i="20"/>
  <c r="CA36" i="20" s="1"/>
  <c r="CG36" i="20" s="1"/>
  <c r="BG36" i="20"/>
  <c r="BF36" i="20"/>
  <c r="BH36" i="20" s="1"/>
  <c r="BE36" i="20"/>
  <c r="BB36" i="20"/>
  <c r="AA36" i="20"/>
  <c r="V36" i="20"/>
  <c r="U36" i="20"/>
  <c r="T36" i="20"/>
  <c r="G36" i="20"/>
  <c r="N36" i="20" s="1"/>
  <c r="B36" i="20"/>
  <c r="CL35" i="20"/>
  <c r="CK35" i="20"/>
  <c r="CJ35" i="20"/>
  <c r="CI35" i="20"/>
  <c r="CH35" i="20"/>
  <c r="CB35" i="20"/>
  <c r="CA35" i="20"/>
  <c r="CG35" i="20" s="1"/>
  <c r="BZ35" i="20"/>
  <c r="BY35" i="20"/>
  <c r="BH35" i="20"/>
  <c r="BG35" i="20"/>
  <c r="BF35" i="20"/>
  <c r="BE35" i="20"/>
  <c r="BB35" i="20"/>
  <c r="V35" i="20"/>
  <c r="AA35" i="20" s="1"/>
  <c r="U35" i="20"/>
  <c r="T35" i="20"/>
  <c r="G35" i="20"/>
  <c r="N35" i="20" s="1"/>
  <c r="B35" i="20"/>
  <c r="CL34" i="20"/>
  <c r="CK34" i="20"/>
  <c r="CJ34" i="20"/>
  <c r="CI34" i="20"/>
  <c r="BZ34" i="20"/>
  <c r="CB34" i="20" s="1"/>
  <c r="BY34" i="20"/>
  <c r="CA34" i="20" s="1"/>
  <c r="CG34" i="20" s="1"/>
  <c r="BG34" i="20"/>
  <c r="BF34" i="20"/>
  <c r="BH34" i="20" s="1"/>
  <c r="BE34" i="20"/>
  <c r="V34" i="20"/>
  <c r="AA34" i="20" s="1"/>
  <c r="U34" i="20"/>
  <c r="T34" i="20"/>
  <c r="G34" i="20"/>
  <c r="B34" i="20"/>
  <c r="CL33" i="20"/>
  <c r="CK33" i="20"/>
  <c r="CJ33" i="20"/>
  <c r="CI33" i="20"/>
  <c r="BZ33" i="20"/>
  <c r="CB33" i="20" s="1"/>
  <c r="BY33" i="20"/>
  <c r="CA33" i="20" s="1"/>
  <c r="CG33" i="20" s="1"/>
  <c r="BG33" i="20"/>
  <c r="BF33" i="20"/>
  <c r="BE33" i="20"/>
  <c r="BB33" i="20"/>
  <c r="AA33" i="20"/>
  <c r="V33" i="20"/>
  <c r="U33" i="20"/>
  <c r="T33" i="20"/>
  <c r="N33" i="20"/>
  <c r="G33" i="20"/>
  <c r="B33" i="20"/>
  <c r="CL32" i="20"/>
  <c r="CK32" i="20"/>
  <c r="CJ32" i="20"/>
  <c r="CI32" i="20"/>
  <c r="CB32" i="20"/>
  <c r="CH32" i="20" s="1"/>
  <c r="CA32" i="20"/>
  <c r="CG32" i="20" s="1"/>
  <c r="BZ32" i="20"/>
  <c r="BY32" i="20"/>
  <c r="BG32" i="20"/>
  <c r="BF32" i="20"/>
  <c r="BH32" i="20" s="1"/>
  <c r="BE32" i="20"/>
  <c r="V32" i="20"/>
  <c r="AA32" i="20" s="1"/>
  <c r="U32" i="20"/>
  <c r="T32" i="20"/>
  <c r="G32" i="20"/>
  <c r="BB32" i="20" s="1"/>
  <c r="B32" i="20"/>
  <c r="CL31" i="20"/>
  <c r="CK31" i="20"/>
  <c r="CJ31" i="20"/>
  <c r="CI31" i="20"/>
  <c r="CA31" i="20"/>
  <c r="BZ31" i="20"/>
  <c r="CB31" i="20" s="1"/>
  <c r="CH31" i="20" s="1"/>
  <c r="BY31" i="20"/>
  <c r="BG31" i="20"/>
  <c r="BF31" i="20"/>
  <c r="BH31" i="20" s="1"/>
  <c r="BE31" i="20"/>
  <c r="V31" i="20"/>
  <c r="AA31" i="20" s="1"/>
  <c r="U31" i="20"/>
  <c r="T31" i="20"/>
  <c r="G31" i="20"/>
  <c r="BB31" i="20" s="1"/>
  <c r="B31" i="20"/>
  <c r="CL30" i="20"/>
  <c r="CK30" i="20"/>
  <c r="CJ30" i="20"/>
  <c r="CI30" i="20"/>
  <c r="CA30" i="20"/>
  <c r="BZ30" i="20"/>
  <c r="CB30" i="20" s="1"/>
  <c r="CH30" i="20" s="1"/>
  <c r="BY30" i="20"/>
  <c r="BG30" i="20"/>
  <c r="BF30" i="20"/>
  <c r="BH30" i="20" s="1"/>
  <c r="BE30" i="20"/>
  <c r="BB30" i="20"/>
  <c r="V30" i="20"/>
  <c r="AA30" i="20" s="1"/>
  <c r="U30" i="20"/>
  <c r="T30" i="20"/>
  <c r="G30" i="20"/>
  <c r="N30" i="20" s="1"/>
  <c r="B30" i="20"/>
  <c r="CL29" i="20"/>
  <c r="CK29" i="20"/>
  <c r="CJ29" i="20"/>
  <c r="CI29" i="20"/>
  <c r="CH29" i="20"/>
  <c r="CG29" i="20"/>
  <c r="CA29" i="20"/>
  <c r="BZ29" i="20"/>
  <c r="CB29" i="20" s="1"/>
  <c r="BY29" i="20"/>
  <c r="BH29" i="20"/>
  <c r="BG29" i="20"/>
  <c r="BF29" i="20"/>
  <c r="BE29" i="20"/>
  <c r="V29" i="20"/>
  <c r="AA29" i="20" s="1"/>
  <c r="U29" i="20"/>
  <c r="T29" i="20"/>
  <c r="G29" i="20"/>
  <c r="BB29" i="20" s="1"/>
  <c r="B29" i="20"/>
  <c r="CL28" i="20"/>
  <c r="CK28" i="20"/>
  <c r="CJ28" i="20"/>
  <c r="CI28" i="20"/>
  <c r="BZ28" i="20"/>
  <c r="CB28" i="20" s="1"/>
  <c r="CH28" i="20" s="1"/>
  <c r="BY28" i="20"/>
  <c r="CA28" i="20" s="1"/>
  <c r="CG28" i="20" s="1"/>
  <c r="BG28" i="20"/>
  <c r="BF28" i="20"/>
  <c r="BH28" i="20" s="1"/>
  <c r="BE28" i="20"/>
  <c r="BB28" i="20"/>
  <c r="V28" i="20"/>
  <c r="AA28" i="20" s="1"/>
  <c r="U28" i="20"/>
  <c r="T28" i="20"/>
  <c r="G28" i="20"/>
  <c r="B28" i="20"/>
  <c r="CL27" i="20"/>
  <c r="CK27" i="20"/>
  <c r="CJ27" i="20"/>
  <c r="CI27" i="20"/>
  <c r="CB27" i="20"/>
  <c r="CA27" i="20"/>
  <c r="CG27" i="20" s="1"/>
  <c r="BG27" i="20"/>
  <c r="BH27" i="20" s="1"/>
  <c r="BF27" i="20"/>
  <c r="BE27" i="20"/>
  <c r="BB27" i="20"/>
  <c r="AA27" i="20"/>
  <c r="U27" i="20"/>
  <c r="T27" i="20"/>
  <c r="G27" i="20"/>
  <c r="B27" i="20"/>
  <c r="CL26" i="20"/>
  <c r="CK26" i="20"/>
  <c r="CJ26" i="20"/>
  <c r="CI26" i="20"/>
  <c r="CB26" i="20"/>
  <c r="CH26" i="20" s="1"/>
  <c r="CA26" i="20"/>
  <c r="BH26" i="20"/>
  <c r="BG26" i="20"/>
  <c r="BF26" i="20"/>
  <c r="BE26" i="20"/>
  <c r="BB26" i="20"/>
  <c r="AA26" i="20"/>
  <c r="U26" i="20"/>
  <c r="T26" i="20"/>
  <c r="G26" i="20"/>
  <c r="B26" i="20"/>
  <c r="CL25" i="20"/>
  <c r="CK25" i="20"/>
  <c r="CJ25" i="20"/>
  <c r="CI25" i="20"/>
  <c r="CB25" i="20"/>
  <c r="CH25" i="20" s="1"/>
  <c r="CA25" i="20"/>
  <c r="BG25" i="20"/>
  <c r="BF25" i="20"/>
  <c r="BH25" i="20" s="1"/>
  <c r="BE25" i="20"/>
  <c r="V25" i="20"/>
  <c r="AA25" i="20" s="1"/>
  <c r="U25" i="20"/>
  <c r="T25" i="20"/>
  <c r="G25" i="20"/>
  <c r="BB25" i="20" s="1"/>
  <c r="B25" i="20"/>
  <c r="CL24" i="20"/>
  <c r="CK24" i="20"/>
  <c r="CJ24" i="20"/>
  <c r="CI24" i="20"/>
  <c r="CB24" i="20"/>
  <c r="CA24" i="20"/>
  <c r="BG24" i="20"/>
  <c r="BF24" i="20"/>
  <c r="BH24" i="20" s="1"/>
  <c r="BE24" i="20"/>
  <c r="BB24" i="20"/>
  <c r="AI24" i="20"/>
  <c r="AA24" i="20"/>
  <c r="V24" i="20"/>
  <c r="U24" i="20"/>
  <c r="T24" i="20"/>
  <c r="G24" i="20"/>
  <c r="B24" i="20"/>
  <c r="CL23" i="20"/>
  <c r="CK23" i="20"/>
  <c r="CJ23" i="20"/>
  <c r="CI23" i="20"/>
  <c r="CB23" i="20"/>
  <c r="CA23" i="20"/>
  <c r="CG23" i="20" s="1"/>
  <c r="BG23" i="20"/>
  <c r="BH23" i="20" s="1"/>
  <c r="BF23" i="20"/>
  <c r="BE23" i="20"/>
  <c r="AK23" i="20"/>
  <c r="AN23" i="20" s="1"/>
  <c r="AQ23" i="20" s="1"/>
  <c r="AT23" i="20" s="1"/>
  <c r="AW23" i="20" s="1"/>
  <c r="AZ23" i="20" s="1"/>
  <c r="AJ23" i="20"/>
  <c r="AM23" i="20" s="1"/>
  <c r="AP23" i="20" s="1"/>
  <c r="AS23" i="20" s="1"/>
  <c r="AV23" i="20" s="1"/>
  <c r="AY23" i="20" s="1"/>
  <c r="AI23" i="20"/>
  <c r="AL23" i="20" s="1"/>
  <c r="AO23" i="20" s="1"/>
  <c r="AR23" i="20" s="1"/>
  <c r="AU23" i="20" s="1"/>
  <c r="AX23" i="20" s="1"/>
  <c r="BA23" i="20" s="1"/>
  <c r="AA23" i="20"/>
  <c r="U23" i="20"/>
  <c r="T23" i="20"/>
  <c r="G23" i="20"/>
  <c r="BB23" i="20" s="1"/>
  <c r="B23" i="20"/>
  <c r="CL22" i="20"/>
  <c r="CK22" i="20"/>
  <c r="CJ22" i="20"/>
  <c r="CI22" i="20"/>
  <c r="CB22" i="20"/>
  <c r="CH22" i="20" s="1"/>
  <c r="CA22" i="20"/>
  <c r="CG22" i="20" s="1"/>
  <c r="BG22" i="20"/>
  <c r="BH22" i="20" s="1"/>
  <c r="BF22" i="20"/>
  <c r="BE22" i="20"/>
  <c r="AI22" i="20"/>
  <c r="AA22" i="20"/>
  <c r="U22" i="20"/>
  <c r="T22" i="20"/>
  <c r="G22" i="20"/>
  <c r="BB22" i="20" s="1"/>
  <c r="B22" i="20"/>
  <c r="CL21" i="20"/>
  <c r="CK21" i="20"/>
  <c r="CJ21" i="20"/>
  <c r="CI21" i="20"/>
  <c r="CB21" i="20"/>
  <c r="CG21" i="20" s="1"/>
  <c r="CA21" i="20"/>
  <c r="BG21" i="20"/>
  <c r="BH21" i="20" s="1"/>
  <c r="BE21" i="20"/>
  <c r="BB21" i="20"/>
  <c r="AI21" i="20"/>
  <c r="AA21" i="20"/>
  <c r="U21" i="20"/>
  <c r="T21" i="20"/>
  <c r="G21" i="20"/>
  <c r="B21" i="20"/>
  <c r="CL20" i="20"/>
  <c r="CK20" i="20"/>
  <c r="CJ20" i="20"/>
  <c r="CI20" i="20"/>
  <c r="CB20" i="20"/>
  <c r="CH20" i="20" s="1"/>
  <c r="CA20" i="20"/>
  <c r="BG20" i="20"/>
  <c r="BF20" i="20"/>
  <c r="BH20" i="20" s="1"/>
  <c r="BE20" i="20"/>
  <c r="AI20" i="20"/>
  <c r="AA20" i="20"/>
  <c r="U20" i="20"/>
  <c r="T20" i="20"/>
  <c r="G20" i="20"/>
  <c r="BB20" i="20" s="1"/>
  <c r="B20" i="20"/>
  <c r="CL19" i="20"/>
  <c r="CK19" i="20"/>
  <c r="CJ19" i="20"/>
  <c r="CI19" i="20"/>
  <c r="CB19" i="20"/>
  <c r="CH19" i="20" s="1"/>
  <c r="CA19" i="20"/>
  <c r="CG19" i="20" s="1"/>
  <c r="BG19" i="20"/>
  <c r="BF19" i="20"/>
  <c r="BH19" i="20" s="1"/>
  <c r="BE19" i="20"/>
  <c r="AI19" i="20"/>
  <c r="AA19" i="20"/>
  <c r="U19" i="20"/>
  <c r="T19" i="20"/>
  <c r="G19" i="20"/>
  <c r="BB19" i="20" s="1"/>
  <c r="B19" i="20"/>
  <c r="CL18" i="20"/>
  <c r="CK18" i="20"/>
  <c r="CJ18" i="20"/>
  <c r="CI18" i="20"/>
  <c r="CH18" i="20"/>
  <c r="CB18" i="20"/>
  <c r="CA18" i="20"/>
  <c r="CG18" i="20" s="1"/>
  <c r="BG18" i="20"/>
  <c r="BF18" i="20"/>
  <c r="BH18" i="20" s="1"/>
  <c r="BE18" i="20"/>
  <c r="BB18" i="20"/>
  <c r="AI18" i="20"/>
  <c r="AA18" i="20"/>
  <c r="U18" i="20"/>
  <c r="T18" i="20"/>
  <c r="G18" i="20"/>
  <c r="B18" i="20"/>
  <c r="CL17" i="20"/>
  <c r="CK17" i="20"/>
  <c r="CJ17" i="20"/>
  <c r="CI17" i="20"/>
  <c r="CG17" i="20"/>
  <c r="CB17" i="20"/>
  <c r="CA17" i="20"/>
  <c r="CH17" i="20" s="1"/>
  <c r="BG17" i="20"/>
  <c r="BF17" i="20"/>
  <c r="BH17" i="20" s="1"/>
  <c r="BE17" i="20"/>
  <c r="BB17" i="20"/>
  <c r="AI17" i="20"/>
  <c r="AA17" i="20"/>
  <c r="U17" i="20"/>
  <c r="T17" i="20"/>
  <c r="G17" i="20"/>
  <c r="B17" i="20"/>
  <c r="CL16" i="20"/>
  <c r="CK16" i="20"/>
  <c r="CJ16" i="20"/>
  <c r="CI16" i="20"/>
  <c r="CH16" i="20"/>
  <c r="CG16" i="20"/>
  <c r="CB16" i="20"/>
  <c r="CA16" i="20"/>
  <c r="BG16" i="20"/>
  <c r="BF16" i="20"/>
  <c r="BH16" i="20" s="1"/>
  <c r="BE16" i="20"/>
  <c r="BB16" i="20"/>
  <c r="AI16" i="20"/>
  <c r="AA16" i="20"/>
  <c r="V16" i="20"/>
  <c r="U16" i="20"/>
  <c r="T16" i="20"/>
  <c r="O16" i="20"/>
  <c r="O17" i="20" s="1"/>
  <c r="O18" i="20" s="1"/>
  <c r="O19" i="20" s="1"/>
  <c r="O20" i="20" s="1"/>
  <c r="O21" i="20" s="1"/>
  <c r="O22" i="20" s="1"/>
  <c r="O23" i="20" s="1"/>
  <c r="O24" i="20" s="1"/>
  <c r="O25" i="20" s="1"/>
  <c r="O26" i="20" s="1"/>
  <c r="O27" i="20" s="1"/>
  <c r="O28" i="20" s="1"/>
  <c r="O29" i="20" s="1"/>
  <c r="O30" i="20" s="1"/>
  <c r="O31" i="20" s="1"/>
  <c r="O32" i="20" s="1"/>
  <c r="O33" i="20" s="1"/>
  <c r="O34" i="20" s="1"/>
  <c r="O35" i="20" s="1"/>
  <c r="O36" i="20" s="1"/>
  <c r="O37" i="20" s="1"/>
  <c r="O38" i="20" s="1"/>
  <c r="O39" i="20" s="1"/>
  <c r="O40" i="20" s="1"/>
  <c r="O41" i="20" s="1"/>
  <c r="O42" i="20" s="1"/>
  <c r="O43" i="20" s="1"/>
  <c r="O44" i="20" s="1"/>
  <c r="O45" i="20" s="1"/>
  <c r="O46" i="20" s="1"/>
  <c r="O47" i="20" s="1"/>
  <c r="O48" i="20" s="1"/>
  <c r="O49" i="20" s="1"/>
  <c r="O50" i="20" s="1"/>
  <c r="O51" i="20" s="1"/>
  <c r="O52" i="20" s="1"/>
  <c r="O53" i="20" s="1"/>
  <c r="O54" i="20" s="1"/>
  <c r="O55" i="20" s="1"/>
  <c r="O56" i="20" s="1"/>
  <c r="N16" i="20"/>
  <c r="G16" i="20"/>
  <c r="B16" i="20"/>
  <c r="CL15" i="20"/>
  <c r="CK15" i="20"/>
  <c r="CJ15" i="20"/>
  <c r="CI15" i="20"/>
  <c r="CH15" i="20"/>
  <c r="CG15" i="20"/>
  <c r="CB15" i="20"/>
  <c r="CA15" i="20"/>
  <c r="BG15" i="20"/>
  <c r="BF15" i="20"/>
  <c r="BH15" i="20" s="1"/>
  <c r="BE15" i="20"/>
  <c r="BB15" i="20"/>
  <c r="AI15" i="20"/>
  <c r="AA15" i="20"/>
  <c r="V15" i="20"/>
  <c r="U15" i="20"/>
  <c r="T15" i="20"/>
  <c r="G15" i="20"/>
  <c r="B15" i="20"/>
  <c r="CL14" i="20"/>
  <c r="CK14" i="20"/>
  <c r="CJ14" i="20"/>
  <c r="CI14" i="20"/>
  <c r="CB14" i="20"/>
  <c r="CH14" i="20" s="1"/>
  <c r="CA14" i="20"/>
  <c r="CG14" i="20" s="1"/>
  <c r="BG14" i="20"/>
  <c r="BF14" i="20"/>
  <c r="BH14" i="20" s="1"/>
  <c r="BE14" i="20"/>
  <c r="BB14" i="20"/>
  <c r="AI14" i="20"/>
  <c r="V14" i="20"/>
  <c r="AA14" i="20" s="1"/>
  <c r="U14" i="20"/>
  <c r="T14" i="20"/>
  <c r="G14" i="20"/>
  <c r="B14" i="20"/>
  <c r="CL13" i="20"/>
  <c r="CK13" i="20"/>
  <c r="CJ13" i="20"/>
  <c r="CI13" i="20"/>
  <c r="CH13" i="20"/>
  <c r="CB13" i="20"/>
  <c r="CA13" i="20"/>
  <c r="CG13" i="20" s="1"/>
  <c r="BG13" i="20"/>
  <c r="BF13" i="20"/>
  <c r="BH13" i="20" s="1"/>
  <c r="BE13" i="20"/>
  <c r="BB13" i="20"/>
  <c r="AF13" i="20"/>
  <c r="AI13" i="20" s="1"/>
  <c r="AA13" i="20"/>
  <c r="U13" i="20"/>
  <c r="T13" i="20"/>
  <c r="G13" i="20"/>
  <c r="B13" i="20"/>
  <c r="CL12" i="20"/>
  <c r="CK12" i="20"/>
  <c r="CJ12" i="20"/>
  <c r="CI12" i="20"/>
  <c r="CB12" i="20"/>
  <c r="CA12" i="20"/>
  <c r="BG12" i="20"/>
  <c r="BH12" i="20" s="1"/>
  <c r="BF12" i="20"/>
  <c r="BE12" i="20"/>
  <c r="AI12" i="20"/>
  <c r="AA12" i="20"/>
  <c r="V12" i="20"/>
  <c r="U12" i="20"/>
  <c r="T12" i="20"/>
  <c r="G12" i="20"/>
  <c r="BB12" i="20" s="1"/>
  <c r="B12" i="20"/>
  <c r="CL11" i="20"/>
  <c r="CK11" i="20"/>
  <c r="CJ11" i="20"/>
  <c r="CI11" i="20"/>
  <c r="CB11" i="20"/>
  <c r="CH11" i="20" s="1"/>
  <c r="CA11" i="20"/>
  <c r="CG11" i="20" s="1"/>
  <c r="BG11" i="20"/>
  <c r="BF11" i="20"/>
  <c r="BH11" i="20" s="1"/>
  <c r="BE11" i="20"/>
  <c r="AI11" i="20"/>
  <c r="AA11" i="20"/>
  <c r="U11" i="20"/>
  <c r="T11" i="20"/>
  <c r="G11" i="20"/>
  <c r="B11" i="20"/>
  <c r="CL10" i="20"/>
  <c r="CK10" i="20"/>
  <c r="CJ10" i="20"/>
  <c r="CI10" i="20"/>
  <c r="CB10" i="20"/>
  <c r="CH10" i="20" s="1"/>
  <c r="CA10" i="20"/>
  <c r="BH10" i="20"/>
  <c r="BG10" i="20"/>
  <c r="BF10" i="20"/>
  <c r="BE10" i="20"/>
  <c r="BB10" i="20"/>
  <c r="AI10" i="20"/>
  <c r="AA10" i="20"/>
  <c r="U10" i="20"/>
  <c r="T10" i="20"/>
  <c r="G10" i="20"/>
  <c r="B10" i="20"/>
  <c r="CL9" i="20"/>
  <c r="CK9" i="20"/>
  <c r="CJ9" i="20"/>
  <c r="CI9" i="20"/>
  <c r="CB9" i="20"/>
  <c r="CA9" i="20"/>
  <c r="CG9" i="20" s="1"/>
  <c r="BH9" i="20"/>
  <c r="BG9" i="20"/>
  <c r="BF9" i="20"/>
  <c r="BE9" i="20"/>
  <c r="BB9" i="20"/>
  <c r="AI9" i="20"/>
  <c r="AA9" i="20"/>
  <c r="U9" i="20"/>
  <c r="T9" i="20"/>
  <c r="G9" i="20"/>
  <c r="B9" i="20"/>
  <c r="CL8" i="20"/>
  <c r="CK8" i="20"/>
  <c r="CJ8" i="20"/>
  <c r="CI8" i="20"/>
  <c r="CH8" i="20"/>
  <c r="CB8" i="20"/>
  <c r="CA8" i="20"/>
  <c r="CG8" i="20" s="1"/>
  <c r="BG8" i="20"/>
  <c r="BH8" i="20" s="1"/>
  <c r="BF8" i="20"/>
  <c r="BE8" i="20"/>
  <c r="AI8" i="20"/>
  <c r="AA8" i="20"/>
  <c r="U8" i="20"/>
  <c r="T8" i="20"/>
  <c r="O8" i="20"/>
  <c r="O9" i="20" s="1"/>
  <c r="O10" i="20" s="1"/>
  <c r="O11" i="20" s="1"/>
  <c r="O12" i="20" s="1"/>
  <c r="O13" i="20" s="1"/>
  <c r="O14" i="20" s="1"/>
  <c r="O15" i="20" s="1"/>
  <c r="G8" i="20"/>
  <c r="BB8" i="20" s="1"/>
  <c r="B8" i="20"/>
  <c r="CL7" i="20"/>
  <c r="CK7" i="20"/>
  <c r="CJ7" i="20"/>
  <c r="CI7" i="20"/>
  <c r="CG7" i="20"/>
  <c r="CB7" i="20"/>
  <c r="CA7" i="20"/>
  <c r="BG7" i="20"/>
  <c r="BF7" i="20"/>
  <c r="BH7" i="20" s="1"/>
  <c r="BE7" i="20"/>
  <c r="BB7" i="20"/>
  <c r="AI7" i="20"/>
  <c r="V7" i="20"/>
  <c r="AA7" i="20" s="1"/>
  <c r="U7" i="20"/>
  <c r="T7" i="20"/>
  <c r="G7" i="20"/>
  <c r="B7" i="20"/>
  <c r="CL6" i="20"/>
  <c r="CK6" i="20"/>
  <c r="CJ6" i="20"/>
  <c r="CI6" i="20"/>
  <c r="CB6" i="20"/>
  <c r="CA6" i="20"/>
  <c r="BH6" i="20"/>
  <c r="BG6" i="20"/>
  <c r="BF6" i="20"/>
  <c r="BE6" i="20"/>
  <c r="AI6" i="20"/>
  <c r="AA6" i="20"/>
  <c r="V6" i="20"/>
  <c r="U6" i="20"/>
  <c r="T6" i="20"/>
  <c r="O6" i="20"/>
  <c r="O7" i="20" s="1"/>
  <c r="G6" i="20"/>
  <c r="BB6" i="20" s="1"/>
  <c r="B6" i="20"/>
  <c r="CL5" i="20"/>
  <c r="CK5" i="20"/>
  <c r="CJ5" i="20"/>
  <c r="CI5" i="20"/>
  <c r="CB5" i="20"/>
  <c r="CH5" i="20" s="1"/>
  <c r="CA5" i="20"/>
  <c r="CG5" i="20" s="1"/>
  <c r="BG5" i="20"/>
  <c r="BF5" i="20"/>
  <c r="BH5" i="20" s="1"/>
  <c r="BE5" i="20"/>
  <c r="AI5" i="20"/>
  <c r="AG5" i="20"/>
  <c r="W5" i="20"/>
  <c r="V5" i="20"/>
  <c r="AA5" i="20" s="1"/>
  <c r="U5" i="20"/>
  <c r="T5" i="20"/>
  <c r="O5" i="20"/>
  <c r="G5" i="20"/>
  <c r="B5" i="20"/>
  <c r="L29" i="17"/>
  <c r="F20" i="17"/>
  <c r="F19" i="17"/>
  <c r="F18" i="17"/>
  <c r="F17" i="17"/>
  <c r="S16" i="17"/>
  <c r="R16" i="17"/>
  <c r="F16" i="17"/>
  <c r="F15" i="17"/>
  <c r="F21" i="17" s="1"/>
  <c r="F11" i="17"/>
  <c r="F10" i="17"/>
  <c r="G9" i="17"/>
  <c r="F9" i="17"/>
  <c r="F8" i="17"/>
  <c r="F7" i="17"/>
  <c r="F6" i="17"/>
  <c r="F5" i="17"/>
  <c r="D22" i="16"/>
  <c r="E13" i="16"/>
  <c r="D13" i="16"/>
  <c r="C13" i="16"/>
  <c r="C14" i="16" s="1"/>
  <c r="J12" i="16"/>
  <c r="G12" i="16"/>
  <c r="K12" i="16" s="1"/>
  <c r="E12" i="16"/>
  <c r="F12" i="16" s="1"/>
  <c r="D12" i="16"/>
  <c r="D14" i="16" s="1"/>
  <c r="C12" i="16"/>
  <c r="J8" i="16"/>
  <c r="E8" i="16"/>
  <c r="D8" i="16"/>
  <c r="K7" i="16"/>
  <c r="L7" i="16" s="1"/>
  <c r="F7" i="16"/>
  <c r="K6" i="16"/>
  <c r="K8" i="16" s="1"/>
  <c r="L8" i="16" s="1"/>
  <c r="F6" i="16"/>
  <c r="K5" i="16"/>
  <c r="L5" i="16" s="1"/>
  <c r="F5" i="16"/>
  <c r="D28" i="15"/>
  <c r="R27" i="15"/>
  <c r="D27" i="15"/>
  <c r="R28" i="15" s="1"/>
  <c r="J82" i="14"/>
  <c r="I82" i="14"/>
  <c r="AY314" i="12"/>
  <c r="AX314" i="12"/>
  <c r="AT314" i="12"/>
  <c r="AS314" i="12"/>
  <c r="Q314" i="12"/>
  <c r="N314" i="12"/>
  <c r="J314" i="12"/>
  <c r="B314" i="12"/>
  <c r="C314" i="12" s="1" a="1"/>
  <c r="C314" i="12" s="1"/>
  <c r="A314" i="12"/>
  <c r="AY313" i="12"/>
  <c r="AX313" i="12"/>
  <c r="AL313" i="12"/>
  <c r="Q313" i="12"/>
  <c r="AO313" i="12" s="1"/>
  <c r="N313" i="12"/>
  <c r="J313" i="12"/>
  <c r="C313" i="12" a="1"/>
  <c r="C313" i="12" s="1"/>
  <c r="B313" i="12"/>
  <c r="A313" i="12"/>
  <c r="AY312" i="12"/>
  <c r="AX312" i="12"/>
  <c r="Q312" i="12"/>
  <c r="N312" i="12"/>
  <c r="J312" i="12"/>
  <c r="C312" i="12" a="1"/>
  <c r="C312" i="12" s="1"/>
  <c r="B312" i="12"/>
  <c r="A312" i="12"/>
  <c r="AY311" i="12"/>
  <c r="AX311" i="12"/>
  <c r="Q311" i="12"/>
  <c r="N311" i="12"/>
  <c r="J311" i="12"/>
  <c r="B311" i="12"/>
  <c r="C311" i="12" s="1" a="1"/>
  <c r="C311" i="12" s="1"/>
  <c r="A311" i="12"/>
  <c r="Q310" i="12"/>
  <c r="AL310" i="12" s="1"/>
  <c r="N310" i="12"/>
  <c r="J310" i="12"/>
  <c r="C310" i="12" a="1"/>
  <c r="C310" i="12"/>
  <c r="B310" i="12"/>
  <c r="A310" i="12"/>
  <c r="Q309" i="12"/>
  <c r="AL309" i="12" s="1"/>
  <c r="N309" i="12"/>
  <c r="J309" i="12"/>
  <c r="B309" i="12"/>
  <c r="C309" i="12" s="1" a="1"/>
  <c r="C309" i="12" s="1"/>
  <c r="A309" i="12"/>
  <c r="AO308" i="12"/>
  <c r="Q308" i="12"/>
  <c r="AL308" i="12" s="1"/>
  <c r="N308" i="12"/>
  <c r="J308" i="12"/>
  <c r="B308" i="12"/>
  <c r="C308" i="12" s="1" a="1"/>
  <c r="C308" i="12" s="1"/>
  <c r="A308" i="12"/>
  <c r="Q307" i="12"/>
  <c r="N307" i="12"/>
  <c r="J307" i="12"/>
  <c r="B307" i="12"/>
  <c r="C307" i="12" s="1" a="1"/>
  <c r="C307" i="12" s="1"/>
  <c r="A307" i="12"/>
  <c r="AL306" i="12"/>
  <c r="Q306" i="12"/>
  <c r="AO306" i="12" s="1"/>
  <c r="N306" i="12"/>
  <c r="J306" i="12"/>
  <c r="C306" i="12" a="1"/>
  <c r="C306" i="12" s="1"/>
  <c r="B306" i="12"/>
  <c r="A306" i="12"/>
  <c r="Q305" i="12"/>
  <c r="N305" i="12"/>
  <c r="J305" i="12"/>
  <c r="B305" i="12"/>
  <c r="C305" i="12" s="1" a="1"/>
  <c r="C305" i="12" s="1"/>
  <c r="A305" i="12"/>
  <c r="AL304" i="12"/>
  <c r="Q304" i="12"/>
  <c r="AO304" i="12" s="1"/>
  <c r="N304" i="12"/>
  <c r="J304" i="12"/>
  <c r="C304" i="12" a="1"/>
  <c r="C304" i="12"/>
  <c r="B304" i="12"/>
  <c r="A304" i="12"/>
  <c r="AL303" i="12"/>
  <c r="Q303" i="12"/>
  <c r="AO303" i="12" s="1"/>
  <c r="N303" i="12"/>
  <c r="J303" i="12"/>
  <c r="C303" i="12" a="1"/>
  <c r="C303" i="12" s="1"/>
  <c r="B303" i="12"/>
  <c r="A303" i="12"/>
  <c r="AO302" i="12"/>
  <c r="Q302" i="12"/>
  <c r="AL302" i="12" s="1"/>
  <c r="N302" i="12"/>
  <c r="J302" i="12"/>
  <c r="B302" i="12"/>
  <c r="C302" i="12" s="1" a="1"/>
  <c r="C302" i="12" s="1"/>
  <c r="A302" i="12"/>
  <c r="AL301" i="12"/>
  <c r="Q301" i="12"/>
  <c r="AO301" i="12" s="1"/>
  <c r="N301" i="12"/>
  <c r="J301" i="12"/>
  <c r="C301" i="12" a="1"/>
  <c r="C301" i="12" s="1"/>
  <c r="B301" i="12"/>
  <c r="A301" i="12"/>
  <c r="AL300" i="12"/>
  <c r="Q300" i="12"/>
  <c r="AO300" i="12" s="1"/>
  <c r="N300" i="12"/>
  <c r="J300" i="12"/>
  <c r="C300" i="12" a="1"/>
  <c r="C300" i="12" s="1"/>
  <c r="B300" i="12"/>
  <c r="A300" i="12"/>
  <c r="Q299" i="12"/>
  <c r="AL299" i="12" s="1"/>
  <c r="N299" i="12"/>
  <c r="J299" i="12"/>
  <c r="B299" i="12"/>
  <c r="C299" i="12" s="1" a="1"/>
  <c r="C299" i="12" s="1"/>
  <c r="A299" i="12"/>
  <c r="AO298" i="12"/>
  <c r="Q298" i="12"/>
  <c r="AL298" i="12" s="1"/>
  <c r="N298" i="12"/>
  <c r="J298" i="12"/>
  <c r="B298" i="12"/>
  <c r="C298" i="12" s="1" a="1"/>
  <c r="C298" i="12" s="1"/>
  <c r="A298" i="12"/>
  <c r="Q297" i="12"/>
  <c r="AO297" i="12" s="1"/>
  <c r="N297" i="12"/>
  <c r="J297" i="12"/>
  <c r="B297" i="12"/>
  <c r="C297" i="12" s="1" a="1"/>
  <c r="C297" i="12" s="1"/>
  <c r="A297" i="12"/>
  <c r="Q296" i="12"/>
  <c r="AL296" i="12" s="1"/>
  <c r="N296" i="12"/>
  <c r="J296" i="12"/>
  <c r="B296" i="12"/>
  <c r="C296" i="12" s="1" a="1"/>
  <c r="C296" i="12" s="1"/>
  <c r="A296" i="12"/>
  <c r="AO295" i="12"/>
  <c r="AL295" i="12"/>
  <c r="Q295" i="12"/>
  <c r="N295" i="12"/>
  <c r="J295" i="12"/>
  <c r="C295" i="12"/>
  <c r="B295" i="12"/>
  <c r="C295" i="12" s="1" a="1"/>
  <c r="A295" i="12"/>
  <c r="AO294" i="12"/>
  <c r="AL294" i="12"/>
  <c r="Q294" i="12"/>
  <c r="N294" i="12"/>
  <c r="J294" i="12"/>
  <c r="C294" i="12" a="1"/>
  <c r="C294" i="12" s="1"/>
  <c r="B294" i="12"/>
  <c r="A294" i="12"/>
  <c r="Q293" i="12"/>
  <c r="N293" i="12"/>
  <c r="J293" i="12"/>
  <c r="B293" i="12"/>
  <c r="C293" i="12" s="1" a="1"/>
  <c r="C293" i="12" s="1"/>
  <c r="A293" i="12"/>
  <c r="AO292" i="12"/>
  <c r="AL292" i="12"/>
  <c r="Q292" i="12"/>
  <c r="N292" i="12"/>
  <c r="J292" i="12"/>
  <c r="C292" i="12"/>
  <c r="B292" i="12"/>
  <c r="C292" i="12" s="1" a="1"/>
  <c r="A292" i="12"/>
  <c r="AO291" i="12"/>
  <c r="AL291" i="12"/>
  <c r="Q291" i="12"/>
  <c r="N291" i="12"/>
  <c r="J291" i="12"/>
  <c r="C291" i="12" a="1"/>
  <c r="C291" i="12" s="1"/>
  <c r="B291" i="12"/>
  <c r="A291" i="12"/>
  <c r="Q290" i="12"/>
  <c r="N290" i="12"/>
  <c r="J290" i="12"/>
  <c r="C290" i="12" a="1"/>
  <c r="C290" i="12"/>
  <c r="B290" i="12"/>
  <c r="A290" i="12"/>
  <c r="AL289" i="12"/>
  <c r="Q289" i="12"/>
  <c r="AO289" i="12" s="1"/>
  <c r="N289" i="12"/>
  <c r="J289" i="12"/>
  <c r="C289" i="12" a="1"/>
  <c r="C289" i="12" s="1"/>
  <c r="B289" i="12"/>
  <c r="A289" i="12"/>
  <c r="AO288" i="12"/>
  <c r="Q288" i="12"/>
  <c r="AL288" i="12" s="1"/>
  <c r="N288" i="12"/>
  <c r="J288" i="12"/>
  <c r="B288" i="12"/>
  <c r="C288" i="12" s="1" a="1"/>
  <c r="C288" i="12" s="1"/>
  <c r="A288" i="12"/>
  <c r="AL287" i="12"/>
  <c r="Q287" i="12"/>
  <c r="AO287" i="12" s="1"/>
  <c r="N287" i="12"/>
  <c r="J287" i="12"/>
  <c r="C287" i="12" a="1"/>
  <c r="C287" i="12" s="1"/>
  <c r="B287" i="12"/>
  <c r="A287" i="12"/>
  <c r="AL286" i="12"/>
  <c r="Q286" i="12"/>
  <c r="AO286" i="12" s="1"/>
  <c r="N286" i="12"/>
  <c r="J286" i="12"/>
  <c r="C286" i="12" a="1"/>
  <c r="C286" i="12" s="1"/>
  <c r="B286" i="12"/>
  <c r="A286" i="12"/>
  <c r="AO285" i="12"/>
  <c r="Q285" i="12"/>
  <c r="AL285" i="12" s="1"/>
  <c r="N285" i="12"/>
  <c r="J285" i="12"/>
  <c r="C285" i="12"/>
  <c r="B285" i="12"/>
  <c r="C285" i="12" s="1" a="1"/>
  <c r="A285" i="12"/>
  <c r="Q284" i="12"/>
  <c r="N284" i="12"/>
  <c r="J284" i="12"/>
  <c r="C284" i="12"/>
  <c r="B284" i="12"/>
  <c r="C284" i="12" s="1" a="1"/>
  <c r="A284" i="12"/>
  <c r="AL283" i="12"/>
  <c r="Q283" i="12"/>
  <c r="AO283" i="12" s="1"/>
  <c r="N283" i="12"/>
  <c r="J283" i="12"/>
  <c r="C283" i="12" a="1"/>
  <c r="C283" i="12" s="1"/>
  <c r="B283" i="12"/>
  <c r="A283" i="12"/>
  <c r="AO282" i="12"/>
  <c r="AL282" i="12"/>
  <c r="Q282" i="12"/>
  <c r="N282" i="12"/>
  <c r="J282" i="12"/>
  <c r="B282" i="12"/>
  <c r="C282" i="12" s="1" a="1"/>
  <c r="C282" i="12" s="1"/>
  <c r="A282" i="12"/>
  <c r="AO281" i="12"/>
  <c r="AL281" i="12"/>
  <c r="Q281" i="12"/>
  <c r="N281" i="12"/>
  <c r="J281" i="12"/>
  <c r="C281" i="12" a="1"/>
  <c r="C281" i="12" s="1"/>
  <c r="B281" i="12"/>
  <c r="A281" i="12"/>
  <c r="AO280" i="12"/>
  <c r="AL280" i="12"/>
  <c r="Q280" i="12"/>
  <c r="N280" i="12"/>
  <c r="J280" i="12"/>
  <c r="C280" i="12" a="1"/>
  <c r="C280" i="12" s="1"/>
  <c r="B280" i="12"/>
  <c r="A280" i="12"/>
  <c r="Q279" i="12"/>
  <c r="AO279" i="12" s="1"/>
  <c r="N279" i="12"/>
  <c r="J279" i="12"/>
  <c r="C279" i="12" a="1"/>
  <c r="C279" i="12"/>
  <c r="B279" i="12"/>
  <c r="A279" i="12"/>
  <c r="AO278" i="12"/>
  <c r="AL278" i="12"/>
  <c r="Q278" i="12"/>
  <c r="N278" i="12"/>
  <c r="J278" i="12"/>
  <c r="B278" i="12"/>
  <c r="C278" i="12" s="1" a="1"/>
  <c r="C278" i="12" s="1"/>
  <c r="A278" i="12"/>
  <c r="AO277" i="12"/>
  <c r="AL277" i="12"/>
  <c r="Q277" i="12"/>
  <c r="N277" i="12"/>
  <c r="J277" i="12"/>
  <c r="C277" i="12" a="1"/>
  <c r="C277" i="12"/>
  <c r="B277" i="12"/>
  <c r="A277" i="12"/>
  <c r="Q276" i="12"/>
  <c r="AO276" i="12" s="1"/>
  <c r="N276" i="12"/>
  <c r="J276" i="12"/>
  <c r="C276" i="12" a="1"/>
  <c r="C276" i="12" s="1"/>
  <c r="B276" i="12"/>
  <c r="A276" i="12"/>
  <c r="Q275" i="12"/>
  <c r="AO275" i="12" s="1"/>
  <c r="N275" i="12"/>
  <c r="J275" i="12"/>
  <c r="C275" i="12" a="1"/>
  <c r="C275" i="12" s="1"/>
  <c r="B275" i="12"/>
  <c r="A275" i="12"/>
  <c r="AO274" i="12"/>
  <c r="Q274" i="12"/>
  <c r="AL274" i="12" s="1"/>
  <c r="N274" i="12"/>
  <c r="J274" i="12"/>
  <c r="B274" i="12"/>
  <c r="C274" i="12" s="1" a="1"/>
  <c r="C274" i="12" s="1"/>
  <c r="A274" i="12"/>
  <c r="AO273" i="12"/>
  <c r="AL273" i="12"/>
  <c r="Q273" i="12"/>
  <c r="N273" i="12"/>
  <c r="J273" i="12"/>
  <c r="B273" i="12"/>
  <c r="C273" i="12" s="1" a="1"/>
  <c r="C273" i="12" s="1"/>
  <c r="A273" i="12"/>
  <c r="AO272" i="12"/>
  <c r="AL272" i="12"/>
  <c r="Q272" i="12"/>
  <c r="N272" i="12"/>
  <c r="J272" i="12"/>
  <c r="C272" i="12" a="1"/>
  <c r="C272" i="12" s="1"/>
  <c r="B272" i="12"/>
  <c r="A272" i="12"/>
  <c r="AO271" i="12"/>
  <c r="Q271" i="12"/>
  <c r="AL271" i="12" s="1"/>
  <c r="N271" i="12"/>
  <c r="J271" i="12"/>
  <c r="B271" i="12"/>
  <c r="C271" i="12" s="1" a="1"/>
  <c r="C271" i="12" s="1"/>
  <c r="A271" i="12"/>
  <c r="Q270" i="12"/>
  <c r="N270" i="12"/>
  <c r="J270" i="12"/>
  <c r="C270" i="12"/>
  <c r="B270" i="12"/>
  <c r="C270" i="12" s="1" a="1"/>
  <c r="A270" i="12"/>
  <c r="AO269" i="12"/>
  <c r="AJ269" i="12"/>
  <c r="Q269" i="12"/>
  <c r="AL269" i="12" s="1"/>
  <c r="P269" i="12"/>
  <c r="AN269" i="12" s="1"/>
  <c r="O269" i="12"/>
  <c r="AM269" i="12" s="1"/>
  <c r="N269" i="12"/>
  <c r="J269" i="12"/>
  <c r="C269" i="12" a="1"/>
  <c r="C269" i="12" s="1"/>
  <c r="B269" i="12"/>
  <c r="A269" i="12"/>
  <c r="Q268" i="12"/>
  <c r="P268" i="12"/>
  <c r="O268" i="12"/>
  <c r="N268" i="12"/>
  <c r="J268" i="12"/>
  <c r="B268" i="12"/>
  <c r="C268" i="12" s="1" a="1"/>
  <c r="C268" i="12" s="1"/>
  <c r="A268" i="12"/>
  <c r="N267" i="12"/>
  <c r="U267" i="12" s="1"/>
  <c r="J267" i="12"/>
  <c r="B267" i="12"/>
  <c r="C267" i="12" s="1" a="1"/>
  <c r="C267" i="12" s="1"/>
  <c r="A267" i="12"/>
  <c r="N266" i="12"/>
  <c r="J266" i="12"/>
  <c r="B266" i="12"/>
  <c r="C266" i="12" s="1" a="1"/>
  <c r="C266" i="12" s="1"/>
  <c r="A266" i="12"/>
  <c r="N265" i="12"/>
  <c r="J265" i="12"/>
  <c r="C265" i="12" a="1"/>
  <c r="C265" i="12" s="1"/>
  <c r="B265" i="12"/>
  <c r="A265" i="12"/>
  <c r="U264" i="12"/>
  <c r="U265" i="12" s="1"/>
  <c r="U266" i="12" s="1"/>
  <c r="N264" i="12"/>
  <c r="J264" i="12"/>
  <c r="B264" i="12"/>
  <c r="C264" i="12" s="1" a="1"/>
  <c r="C264" i="12" s="1"/>
  <c r="A264" i="12"/>
  <c r="N263" i="12"/>
  <c r="U263" i="12" s="1"/>
  <c r="J263" i="12"/>
  <c r="T263" i="12" s="1"/>
  <c r="T264" i="12" s="1"/>
  <c r="T265" i="12" s="1"/>
  <c r="T266" i="12" s="1"/>
  <c r="B263" i="12"/>
  <c r="C263" i="12" s="1" a="1"/>
  <c r="C263" i="12" s="1"/>
  <c r="A263" i="12"/>
  <c r="N262" i="12"/>
  <c r="J262" i="12"/>
  <c r="C262" i="12" a="1"/>
  <c r="C262" i="12" s="1"/>
  <c r="B262" i="12"/>
  <c r="A262" i="12"/>
  <c r="N261" i="12"/>
  <c r="J261" i="12"/>
  <c r="C261" i="12" a="1"/>
  <c r="C261" i="12"/>
  <c r="B261" i="12"/>
  <c r="A261" i="12"/>
  <c r="N260" i="12"/>
  <c r="J260" i="12"/>
  <c r="C260" i="12" a="1"/>
  <c r="C260" i="12" s="1"/>
  <c r="B260" i="12"/>
  <c r="A260" i="12"/>
  <c r="N259" i="12"/>
  <c r="J259" i="12"/>
  <c r="B259" i="12"/>
  <c r="C259" i="12" s="1" a="1"/>
  <c r="C259" i="12" s="1"/>
  <c r="A259" i="12"/>
  <c r="N258" i="12"/>
  <c r="J258" i="12"/>
  <c r="B258" i="12"/>
  <c r="C258" i="12" s="1" a="1"/>
  <c r="C258" i="12" s="1"/>
  <c r="A258" i="12"/>
  <c r="N257" i="12"/>
  <c r="J257" i="12"/>
  <c r="C257" i="12" a="1"/>
  <c r="C257" i="12" s="1"/>
  <c r="B257" i="12"/>
  <c r="A257" i="12"/>
  <c r="N256" i="12"/>
  <c r="J256" i="12"/>
  <c r="C256" i="12" a="1"/>
  <c r="C256" i="12" s="1"/>
  <c r="B256" i="12"/>
  <c r="A256" i="12"/>
  <c r="N255" i="12"/>
  <c r="J255" i="12"/>
  <c r="B255" i="12"/>
  <c r="C255" i="12" s="1" a="1"/>
  <c r="C255" i="12" s="1"/>
  <c r="A255" i="12"/>
  <c r="N254" i="12"/>
  <c r="J254" i="12"/>
  <c r="B254" i="12"/>
  <c r="C254" i="12" s="1" a="1"/>
  <c r="C254" i="12" s="1"/>
  <c r="A254" i="12"/>
  <c r="N253" i="12"/>
  <c r="J253" i="12"/>
  <c r="C253" i="12"/>
  <c r="B253" i="12"/>
  <c r="C253" i="12" s="1" a="1"/>
  <c r="A253" i="12"/>
  <c r="N252" i="12"/>
  <c r="J252" i="12"/>
  <c r="C252" i="12" a="1"/>
  <c r="C252" i="12" s="1"/>
  <c r="B252" i="12"/>
  <c r="A252" i="12"/>
  <c r="N251" i="12"/>
  <c r="J251" i="12"/>
  <c r="B251" i="12"/>
  <c r="C251" i="12" s="1" a="1"/>
  <c r="C251" i="12" s="1"/>
  <c r="A251" i="12"/>
  <c r="N250" i="12"/>
  <c r="J250" i="12"/>
  <c r="B250" i="12"/>
  <c r="C250" i="12" s="1" a="1"/>
  <c r="C250" i="12" s="1"/>
  <c r="A250" i="12"/>
  <c r="N249" i="12"/>
  <c r="J249" i="12"/>
  <c r="B249" i="12"/>
  <c r="C249" i="12" s="1" a="1"/>
  <c r="C249" i="12" s="1"/>
  <c r="A249" i="12"/>
  <c r="N248" i="12"/>
  <c r="J248" i="12"/>
  <c r="B248" i="12"/>
  <c r="C248" i="12" s="1" a="1"/>
  <c r="C248" i="12" s="1"/>
  <c r="A248" i="12"/>
  <c r="N247" i="12"/>
  <c r="J247" i="12"/>
  <c r="C247" i="12" a="1"/>
  <c r="C247" i="12" s="1"/>
  <c r="B247" i="12"/>
  <c r="A247" i="12"/>
  <c r="N246" i="12"/>
  <c r="J246" i="12"/>
  <c r="C246" i="12" a="1"/>
  <c r="C246" i="12"/>
  <c r="B246" i="12"/>
  <c r="A246" i="12"/>
  <c r="N245" i="12"/>
  <c r="J245" i="12"/>
  <c r="B245" i="12"/>
  <c r="C245" i="12" s="1" a="1"/>
  <c r="C245" i="12" s="1"/>
  <c r="A245" i="12"/>
  <c r="N244" i="12"/>
  <c r="J244" i="12"/>
  <c r="C244" i="12" a="1"/>
  <c r="C244" i="12" s="1"/>
  <c r="B244" i="12"/>
  <c r="A244" i="12"/>
  <c r="N243" i="12"/>
  <c r="J243" i="12"/>
  <c r="B243" i="12"/>
  <c r="C243" i="12" s="1" a="1"/>
  <c r="C243" i="12" s="1"/>
  <c r="A243" i="12"/>
  <c r="N242" i="12"/>
  <c r="J242" i="12"/>
  <c r="C242" i="12" a="1"/>
  <c r="C242" i="12" s="1"/>
  <c r="B242" i="12"/>
  <c r="A242" i="12"/>
  <c r="N241" i="12"/>
  <c r="J241" i="12"/>
  <c r="C241" i="12" a="1"/>
  <c r="C241" i="12"/>
  <c r="B241" i="12"/>
  <c r="A241" i="12"/>
  <c r="N240" i="12"/>
  <c r="J240" i="12"/>
  <c r="B240" i="12"/>
  <c r="C240" i="12" s="1" a="1"/>
  <c r="C240" i="12" s="1"/>
  <c r="A240" i="12"/>
  <c r="N239" i="12"/>
  <c r="J239" i="12"/>
  <c r="C239" i="12" a="1"/>
  <c r="C239" i="12" s="1"/>
  <c r="B239" i="12"/>
  <c r="A239" i="12"/>
  <c r="N238" i="12"/>
  <c r="J238" i="12"/>
  <c r="C238" i="12" a="1"/>
  <c r="C238" i="12" s="1"/>
  <c r="B238" i="12"/>
  <c r="A238" i="12"/>
  <c r="N237" i="12"/>
  <c r="J237" i="12"/>
  <c r="C237" i="12" a="1"/>
  <c r="C237" i="12" s="1"/>
  <c r="B237" i="12"/>
  <c r="A237" i="12"/>
  <c r="N236" i="12"/>
  <c r="J236" i="12"/>
  <c r="C236" i="12"/>
  <c r="B236" i="12"/>
  <c r="C236" i="12" s="1" a="1"/>
  <c r="A236" i="12"/>
  <c r="N235" i="12"/>
  <c r="J235" i="12"/>
  <c r="C235" i="12" a="1"/>
  <c r="C235" i="12" s="1"/>
  <c r="B235" i="12"/>
  <c r="A235" i="12"/>
  <c r="N234" i="12"/>
  <c r="J234" i="12"/>
  <c r="B234" i="12"/>
  <c r="C234" i="12" s="1" a="1"/>
  <c r="C234" i="12" s="1"/>
  <c r="A234" i="12"/>
  <c r="N233" i="12"/>
  <c r="J233" i="12"/>
  <c r="C233" i="12" a="1"/>
  <c r="C233" i="12" s="1"/>
  <c r="B233" i="12"/>
  <c r="A233" i="12"/>
  <c r="N232" i="12"/>
  <c r="J232" i="12"/>
  <c r="B232" i="12"/>
  <c r="C232" i="12" s="1" a="1"/>
  <c r="C232" i="12" s="1"/>
  <c r="A232" i="12"/>
  <c r="N231" i="12"/>
  <c r="J231" i="12"/>
  <c r="C231" i="12" a="1"/>
  <c r="C231" i="12" s="1"/>
  <c r="B231" i="12"/>
  <c r="A231" i="12"/>
  <c r="N230" i="12"/>
  <c r="J230" i="12"/>
  <c r="B230" i="12"/>
  <c r="C230" i="12" s="1" a="1"/>
  <c r="C230" i="12" s="1"/>
  <c r="A230" i="12"/>
  <c r="N229" i="12"/>
  <c r="J229" i="12"/>
  <c r="C229" i="12"/>
  <c r="B229" i="12"/>
  <c r="C229" i="12" s="1" a="1"/>
  <c r="A229" i="12"/>
  <c r="N228" i="12"/>
  <c r="J228" i="12"/>
  <c r="C228" i="12" a="1"/>
  <c r="C228" i="12"/>
  <c r="B228" i="12"/>
  <c r="A228" i="12"/>
  <c r="N227" i="12"/>
  <c r="J227" i="12"/>
  <c r="C227" i="12" a="1"/>
  <c r="C227" i="12" s="1"/>
  <c r="B227" i="12"/>
  <c r="A227" i="12"/>
  <c r="N226" i="12"/>
  <c r="J226" i="12"/>
  <c r="C226" i="12" a="1"/>
  <c r="C226" i="12" s="1"/>
  <c r="B226" i="12"/>
  <c r="A226" i="12"/>
  <c r="N225" i="12"/>
  <c r="J225" i="12"/>
  <c r="C225" i="12" a="1"/>
  <c r="C225" i="12" s="1"/>
  <c r="B225" i="12"/>
  <c r="A225" i="12"/>
  <c r="N224" i="12"/>
  <c r="J224" i="12"/>
  <c r="B224" i="12"/>
  <c r="C224" i="12" s="1" a="1"/>
  <c r="C224" i="12" s="1"/>
  <c r="A224" i="12"/>
  <c r="N223" i="12"/>
  <c r="J223" i="12"/>
  <c r="C223" i="12" a="1"/>
  <c r="C223" i="12" s="1"/>
  <c r="B223" i="12"/>
  <c r="A223" i="12"/>
  <c r="N222" i="12"/>
  <c r="J222" i="12"/>
  <c r="B222" i="12"/>
  <c r="C222" i="12" s="1" a="1"/>
  <c r="C222" i="12" s="1"/>
  <c r="A222" i="12"/>
  <c r="N221" i="12"/>
  <c r="J221" i="12"/>
  <c r="B221" i="12"/>
  <c r="C221" i="12" s="1" a="1"/>
  <c r="C221" i="12" s="1"/>
  <c r="A221" i="12"/>
  <c r="N220" i="12"/>
  <c r="J220" i="12"/>
  <c r="C220" i="12" a="1"/>
  <c r="C220" i="12" s="1"/>
  <c r="B220" i="12"/>
  <c r="A220" i="12"/>
  <c r="N219" i="12"/>
  <c r="J219" i="12"/>
  <c r="C219" i="12" a="1"/>
  <c r="C219" i="12"/>
  <c r="B219" i="12"/>
  <c r="A219" i="12"/>
  <c r="N218" i="12"/>
  <c r="J218" i="12"/>
  <c r="C218" i="12" a="1"/>
  <c r="C218" i="12" s="1"/>
  <c r="B218" i="12"/>
  <c r="A218" i="12"/>
  <c r="N217" i="12"/>
  <c r="J217" i="12"/>
  <c r="C217" i="12"/>
  <c r="B217" i="12"/>
  <c r="C217" i="12" s="1" a="1"/>
  <c r="A217" i="12"/>
  <c r="N216" i="12"/>
  <c r="J216" i="12"/>
  <c r="C216" i="12"/>
  <c r="B216" i="12"/>
  <c r="C216" i="12" s="1" a="1"/>
  <c r="A216" i="12"/>
  <c r="N215" i="12"/>
  <c r="J215" i="12"/>
  <c r="C215" i="12" a="1"/>
  <c r="C215" i="12" s="1"/>
  <c r="B215" i="12"/>
  <c r="A215" i="12"/>
  <c r="N214" i="12"/>
  <c r="J214" i="12"/>
  <c r="C214" i="12"/>
  <c r="B214" i="12"/>
  <c r="C214" i="12" s="1" a="1"/>
  <c r="A214" i="12"/>
  <c r="N213" i="12"/>
  <c r="J213" i="12"/>
  <c r="C213" i="12" a="1"/>
  <c r="C213" i="12" s="1"/>
  <c r="B213" i="12"/>
  <c r="A213" i="12"/>
  <c r="U212" i="12"/>
  <c r="U213" i="12" s="1"/>
  <c r="U214" i="12" s="1"/>
  <c r="U215" i="12" s="1"/>
  <c r="U216" i="12" s="1"/>
  <c r="U217" i="12" s="1"/>
  <c r="U218" i="12" s="1"/>
  <c r="U219" i="12" s="1"/>
  <c r="U220" i="12" s="1"/>
  <c r="U221" i="12" s="1"/>
  <c r="U222" i="12" s="1"/>
  <c r="U223" i="12" s="1"/>
  <c r="U224" i="12" s="1"/>
  <c r="U225" i="12" s="1"/>
  <c r="U226" i="12" s="1"/>
  <c r="U227" i="12" s="1"/>
  <c r="U228" i="12" s="1"/>
  <c r="U229" i="12" s="1"/>
  <c r="U230" i="12" s="1"/>
  <c r="U231" i="12" s="1"/>
  <c r="U232" i="12" s="1"/>
  <c r="U233" i="12" s="1"/>
  <c r="U234" i="12" s="1"/>
  <c r="U235" i="12" s="1"/>
  <c r="U236" i="12" s="1"/>
  <c r="U237" i="12" s="1"/>
  <c r="U238" i="12" s="1"/>
  <c r="U239" i="12" s="1"/>
  <c r="U240" i="12" s="1"/>
  <c r="U241" i="12" s="1"/>
  <c r="U242" i="12" s="1"/>
  <c r="U243" i="12" s="1"/>
  <c r="U244" i="12" s="1"/>
  <c r="U245" i="12" s="1"/>
  <c r="U246" i="12" s="1"/>
  <c r="U247" i="12" s="1"/>
  <c r="U248" i="12" s="1"/>
  <c r="U249" i="12" s="1"/>
  <c r="U250" i="12" s="1"/>
  <c r="U251" i="12" s="1"/>
  <c r="U252" i="12" s="1"/>
  <c r="U253" i="12" s="1"/>
  <c r="U254" i="12" s="1"/>
  <c r="U255" i="12" s="1"/>
  <c r="U256" i="12" s="1"/>
  <c r="U257" i="12" s="1"/>
  <c r="U258" i="12" s="1"/>
  <c r="U259" i="12" s="1"/>
  <c r="U260" i="12" s="1"/>
  <c r="U261" i="12" s="1"/>
  <c r="U262" i="12" s="1"/>
  <c r="N212" i="12"/>
  <c r="J212" i="12"/>
  <c r="C212" i="12" a="1"/>
  <c r="C212" i="12" s="1"/>
  <c r="B212" i="12"/>
  <c r="A212" i="12"/>
  <c r="N211" i="12"/>
  <c r="J211" i="12"/>
  <c r="C211" i="12" a="1"/>
  <c r="C211" i="12"/>
  <c r="B211" i="12"/>
  <c r="A211" i="12"/>
  <c r="U210" i="12"/>
  <c r="U211" i="12" s="1"/>
  <c r="T210" i="12"/>
  <c r="T211" i="12" s="1"/>
  <c r="T212" i="12" s="1"/>
  <c r="T213" i="12" s="1"/>
  <c r="T214" i="12" s="1"/>
  <c r="T215" i="12" s="1"/>
  <c r="T216" i="12" s="1"/>
  <c r="T217" i="12" s="1"/>
  <c r="T218" i="12" s="1"/>
  <c r="T219" i="12" s="1"/>
  <c r="T220" i="12" s="1"/>
  <c r="T221" i="12" s="1"/>
  <c r="T222" i="12" s="1"/>
  <c r="T223" i="12" s="1"/>
  <c r="T224" i="12" s="1"/>
  <c r="T225" i="12" s="1"/>
  <c r="T226" i="12" s="1"/>
  <c r="T227" i="12" s="1"/>
  <c r="T228" i="12" s="1"/>
  <c r="T229" i="12" s="1"/>
  <c r="T230" i="12" s="1"/>
  <c r="T231" i="12" s="1"/>
  <c r="T232" i="12" s="1"/>
  <c r="T233" i="12" s="1"/>
  <c r="T234" i="12" s="1"/>
  <c r="T235" i="12" s="1"/>
  <c r="T236" i="12" s="1"/>
  <c r="T237" i="12" s="1"/>
  <c r="T238" i="12" s="1"/>
  <c r="T239" i="12" s="1"/>
  <c r="T240" i="12" s="1"/>
  <c r="T241" i="12" s="1"/>
  <c r="T242" i="12" s="1"/>
  <c r="T243" i="12" s="1"/>
  <c r="T244" i="12" s="1"/>
  <c r="T245" i="12" s="1"/>
  <c r="T246" i="12" s="1"/>
  <c r="T247" i="12" s="1"/>
  <c r="T248" i="12" s="1"/>
  <c r="T249" i="12" s="1"/>
  <c r="T250" i="12" s="1"/>
  <c r="T251" i="12" s="1"/>
  <c r="T252" i="12" s="1"/>
  <c r="T253" i="12" s="1"/>
  <c r="T254" i="12" s="1"/>
  <c r="T255" i="12" s="1"/>
  <c r="T256" i="12" s="1"/>
  <c r="T257" i="12" s="1"/>
  <c r="T258" i="12" s="1"/>
  <c r="T259" i="12" s="1"/>
  <c r="T260" i="12" s="1"/>
  <c r="T261" i="12" s="1"/>
  <c r="T262" i="12" s="1"/>
  <c r="N210" i="12"/>
  <c r="J210" i="12"/>
  <c r="C210" i="12" a="1"/>
  <c r="C210" i="12" s="1"/>
  <c r="B210" i="12"/>
  <c r="A210" i="12"/>
  <c r="N209" i="12"/>
  <c r="J209" i="12"/>
  <c r="B209" i="12"/>
  <c r="C209" i="12" s="1" a="1"/>
  <c r="C209" i="12" s="1"/>
  <c r="A209" i="12"/>
  <c r="N208" i="12"/>
  <c r="J208" i="12"/>
  <c r="C208" i="12" a="1"/>
  <c r="C208" i="12" s="1"/>
  <c r="B208" i="12"/>
  <c r="A208" i="12"/>
  <c r="N207" i="12"/>
  <c r="J207" i="12"/>
  <c r="B207" i="12"/>
  <c r="C207" i="12" s="1" a="1"/>
  <c r="C207" i="12" s="1"/>
  <c r="A207" i="12"/>
  <c r="N206" i="12"/>
  <c r="J206" i="12"/>
  <c r="C206" i="12"/>
  <c r="B206" i="12"/>
  <c r="C206" i="12" s="1" a="1"/>
  <c r="A206" i="12"/>
  <c r="AN205" i="12"/>
  <c r="AM205" i="12"/>
  <c r="AJ205" i="12"/>
  <c r="Q205" i="12"/>
  <c r="P205" i="12"/>
  <c r="AK205" i="12" s="1"/>
  <c r="O205" i="12"/>
  <c r="N205" i="12"/>
  <c r="J205" i="12"/>
  <c r="B205" i="12"/>
  <c r="C205" i="12" s="1" a="1"/>
  <c r="C205" i="12" s="1"/>
  <c r="A205" i="12"/>
  <c r="AM204" i="12"/>
  <c r="AL204" i="12"/>
  <c r="AK204" i="12"/>
  <c r="AJ204" i="12"/>
  <c r="Q204" i="12"/>
  <c r="AO204" i="12" s="1"/>
  <c r="P204" i="12"/>
  <c r="AN204" i="12" s="1"/>
  <c r="O204" i="12"/>
  <c r="N204" i="12"/>
  <c r="J204" i="12"/>
  <c r="C204" i="12" a="1"/>
  <c r="C204" i="12" s="1"/>
  <c r="B204" i="12"/>
  <c r="A204" i="12"/>
  <c r="AN203" i="12"/>
  <c r="AK203" i="12"/>
  <c r="R203" i="12"/>
  <c r="BC203" i="12" s="1"/>
  <c r="Q203" i="12"/>
  <c r="AO203" i="12" s="1"/>
  <c r="P203" i="12"/>
  <c r="O203" i="12"/>
  <c r="AM203" i="12" s="1"/>
  <c r="N203" i="12"/>
  <c r="J203" i="12"/>
  <c r="B203" i="12"/>
  <c r="C203" i="12" s="1" a="1"/>
  <c r="C203" i="12" s="1"/>
  <c r="A203" i="12"/>
  <c r="AO202" i="12"/>
  <c r="AN202" i="12"/>
  <c r="AK202" i="12"/>
  <c r="AJ202" i="12"/>
  <c r="Q202" i="12"/>
  <c r="AL202" i="12" s="1"/>
  <c r="P202" i="12"/>
  <c r="O202" i="12"/>
  <c r="AM202" i="12" s="1"/>
  <c r="N202" i="12"/>
  <c r="J202" i="12"/>
  <c r="B202" i="12"/>
  <c r="C202" i="12" s="1" a="1"/>
  <c r="C202" i="12" s="1"/>
  <c r="A202" i="12"/>
  <c r="AN201" i="12"/>
  <c r="AM201" i="12"/>
  <c r="AK201" i="12"/>
  <c r="AJ201" i="12"/>
  <c r="Q201" i="12"/>
  <c r="AO201" i="12" s="1"/>
  <c r="P201" i="12"/>
  <c r="O201" i="12"/>
  <c r="N201" i="12"/>
  <c r="J201" i="12"/>
  <c r="C201" i="12" a="1"/>
  <c r="C201" i="12"/>
  <c r="B201" i="12"/>
  <c r="A201" i="12"/>
  <c r="AO200" i="12"/>
  <c r="AM200" i="12"/>
  <c r="AL200" i="12"/>
  <c r="Q200" i="12"/>
  <c r="P200" i="12"/>
  <c r="O200" i="12"/>
  <c r="AJ200" i="12" s="1"/>
  <c r="N200" i="12"/>
  <c r="J200" i="12"/>
  <c r="C200" i="12" a="1"/>
  <c r="C200" i="12" s="1"/>
  <c r="B200" i="12"/>
  <c r="A200" i="12"/>
  <c r="Q199" i="12"/>
  <c r="P199" i="12"/>
  <c r="O199" i="12"/>
  <c r="N199" i="12"/>
  <c r="J199" i="12"/>
  <c r="C199" i="12" a="1"/>
  <c r="C199" i="12" s="1"/>
  <c r="B199" i="12"/>
  <c r="A199" i="12"/>
  <c r="AO198" i="12"/>
  <c r="AN198" i="12"/>
  <c r="AM198" i="12"/>
  <c r="AL198" i="12"/>
  <c r="AK198" i="12"/>
  <c r="Q198" i="12"/>
  <c r="P198" i="12"/>
  <c r="O198" i="12"/>
  <c r="N198" i="12"/>
  <c r="J198" i="12"/>
  <c r="B198" i="12"/>
  <c r="C198" i="12" s="1" a="1"/>
  <c r="C198" i="12" s="1"/>
  <c r="A198" i="12"/>
  <c r="AO197" i="12"/>
  <c r="AN197" i="12"/>
  <c r="AL197" i="12"/>
  <c r="Q197" i="12"/>
  <c r="P197" i="12"/>
  <c r="AK197" i="12" s="1"/>
  <c r="O197" i="12"/>
  <c r="N197" i="12"/>
  <c r="J197" i="12"/>
  <c r="C197" i="12" a="1"/>
  <c r="C197" i="12" s="1"/>
  <c r="B197" i="12"/>
  <c r="A197" i="12"/>
  <c r="AL196" i="12"/>
  <c r="AJ196" i="12"/>
  <c r="Q196" i="12"/>
  <c r="AO196" i="12" s="1"/>
  <c r="P196" i="12"/>
  <c r="O196" i="12"/>
  <c r="AM196" i="12" s="1"/>
  <c r="N196" i="12"/>
  <c r="J196" i="12"/>
  <c r="B196" i="12"/>
  <c r="C196" i="12" s="1" a="1"/>
  <c r="C196" i="12" s="1"/>
  <c r="A196" i="12"/>
  <c r="AO195" i="12"/>
  <c r="AL195" i="12"/>
  <c r="Q195" i="12"/>
  <c r="P195" i="12"/>
  <c r="O195" i="12"/>
  <c r="N195" i="12"/>
  <c r="J195" i="12"/>
  <c r="C195" i="12" a="1"/>
  <c r="C195" i="12" s="1"/>
  <c r="B195" i="12"/>
  <c r="A195" i="12"/>
  <c r="AO194" i="12"/>
  <c r="AN194" i="12"/>
  <c r="AL194" i="12"/>
  <c r="Q194" i="12"/>
  <c r="P194" i="12"/>
  <c r="AK194" i="12" s="1"/>
  <c r="O194" i="12"/>
  <c r="N194" i="12"/>
  <c r="J194" i="12"/>
  <c r="C194" i="12" a="1"/>
  <c r="C194" i="12" s="1"/>
  <c r="B194" i="12"/>
  <c r="A194" i="12"/>
  <c r="AN193" i="12"/>
  <c r="AM193" i="12"/>
  <c r="AJ193" i="12"/>
  <c r="Q193" i="12"/>
  <c r="P193" i="12"/>
  <c r="AK193" i="12" s="1"/>
  <c r="O193" i="12"/>
  <c r="N193" i="12"/>
  <c r="J193" i="12"/>
  <c r="B193" i="12"/>
  <c r="C193" i="12" s="1" a="1"/>
  <c r="C193" i="12" s="1"/>
  <c r="A193" i="12"/>
  <c r="BD192" i="12"/>
  <c r="AO192" i="12"/>
  <c r="AN192" i="12"/>
  <c r="AM192" i="12"/>
  <c r="AL192" i="12"/>
  <c r="AK192" i="12"/>
  <c r="AJ192" i="12"/>
  <c r="AH192" i="12"/>
  <c r="AD192" i="12"/>
  <c r="W192" i="12"/>
  <c r="Q192" i="12"/>
  <c r="P192" i="12"/>
  <c r="O192" i="12"/>
  <c r="R192" i="12" s="1"/>
  <c r="AT191" i="12" s="1"/>
  <c r="N192" i="12"/>
  <c r="J192" i="12"/>
  <c r="B192" i="12"/>
  <c r="C192" i="12" s="1" a="1"/>
  <c r="C192" i="12" s="1"/>
  <c r="A192" i="12"/>
  <c r="AJ191" i="12"/>
  <c r="Q191" i="12"/>
  <c r="P191" i="12"/>
  <c r="AK191" i="12" s="1"/>
  <c r="O191" i="12"/>
  <c r="AM191" i="12" s="1"/>
  <c r="N191" i="12"/>
  <c r="J191" i="12"/>
  <c r="B191" i="12"/>
  <c r="C191" i="12" s="1" a="1"/>
  <c r="C191" i="12" s="1"/>
  <c r="A191" i="12"/>
  <c r="AM190" i="12"/>
  <c r="AJ190" i="12"/>
  <c r="Q190" i="12"/>
  <c r="AO190" i="12" s="1"/>
  <c r="P190" i="12"/>
  <c r="AN190" i="12" s="1"/>
  <c r="O190" i="12"/>
  <c r="N190" i="12"/>
  <c r="J190" i="12"/>
  <c r="B190" i="12"/>
  <c r="C190" i="12" s="1" a="1"/>
  <c r="C190" i="12" s="1"/>
  <c r="A190" i="12"/>
  <c r="AO189" i="12"/>
  <c r="AM189" i="12"/>
  <c r="AL189" i="12"/>
  <c r="Q189" i="12"/>
  <c r="P189" i="12"/>
  <c r="O189" i="12"/>
  <c r="N189" i="12"/>
  <c r="J189" i="12"/>
  <c r="C189" i="12"/>
  <c r="B189" i="12"/>
  <c r="C189" i="12" s="1" a="1"/>
  <c r="A189" i="12"/>
  <c r="AO188" i="12"/>
  <c r="AN188" i="12"/>
  <c r="AK188" i="12"/>
  <c r="Q188" i="12"/>
  <c r="AL188" i="12" s="1"/>
  <c r="P188" i="12"/>
  <c r="O188" i="12"/>
  <c r="N188" i="12"/>
  <c r="J188" i="12"/>
  <c r="C188" i="12"/>
  <c r="B188" i="12"/>
  <c r="C188" i="12" s="1" a="1"/>
  <c r="A188" i="12"/>
  <c r="AO187" i="12"/>
  <c r="AN187" i="12"/>
  <c r="AM187" i="12"/>
  <c r="AK187" i="12"/>
  <c r="AJ187" i="12"/>
  <c r="R187" i="12"/>
  <c r="Q187" i="12"/>
  <c r="AL187" i="12" s="1"/>
  <c r="P187" i="12"/>
  <c r="O187" i="12"/>
  <c r="N187" i="12"/>
  <c r="J187" i="12"/>
  <c r="C187" i="12" a="1"/>
  <c r="C187" i="12" s="1"/>
  <c r="B187" i="12"/>
  <c r="A187" i="12"/>
  <c r="BD186" i="12"/>
  <c r="AS186" i="12"/>
  <c r="AO186" i="12"/>
  <c r="AN186" i="12"/>
  <c r="AM186" i="12"/>
  <c r="AL186" i="12"/>
  <c r="AK186" i="12"/>
  <c r="AJ186" i="12"/>
  <c r="AC186" i="12"/>
  <c r="AB186" i="12"/>
  <c r="Y186" i="12"/>
  <c r="R186" i="12"/>
  <c r="AT185" i="12" s="1"/>
  <c r="Q186" i="12"/>
  <c r="P186" i="12"/>
  <c r="O186" i="12"/>
  <c r="N186" i="12"/>
  <c r="J186" i="12"/>
  <c r="C186" i="12" a="1"/>
  <c r="C186" i="12"/>
  <c r="B186" i="12"/>
  <c r="A186" i="12"/>
  <c r="BC185" i="12"/>
  <c r="AS185" i="12"/>
  <c r="AJ185" i="12"/>
  <c r="AI185" i="12"/>
  <c r="AH185" i="12"/>
  <c r="AC185" i="12"/>
  <c r="AB185" i="12"/>
  <c r="X185" i="12"/>
  <c r="S185" i="12"/>
  <c r="V185" i="12" s="1"/>
  <c r="R185" i="12"/>
  <c r="AY181" i="12" s="1"/>
  <c r="Q185" i="12"/>
  <c r="AO185" i="12" s="1"/>
  <c r="P185" i="12"/>
  <c r="AN185" i="12" s="1"/>
  <c r="O185" i="12"/>
  <c r="AM185" i="12" s="1"/>
  <c r="N185" i="12"/>
  <c r="J185" i="12"/>
  <c r="B185" i="12"/>
  <c r="C185" i="12" s="1" a="1"/>
  <c r="C185" i="12" s="1"/>
  <c r="A185" i="12"/>
  <c r="BD184" i="12"/>
  <c r="AO184" i="12"/>
  <c r="AN184" i="12"/>
  <c r="AM184" i="12"/>
  <c r="AL184" i="12"/>
  <c r="AK184" i="12"/>
  <c r="AI184" i="12"/>
  <c r="AH184" i="12"/>
  <c r="AG184" i="12"/>
  <c r="AF184" i="12"/>
  <c r="Z184" i="12"/>
  <c r="Y184" i="12"/>
  <c r="W184" i="12"/>
  <c r="V184" i="12"/>
  <c r="S184" i="12"/>
  <c r="X184" i="12" s="1"/>
  <c r="R184" i="12"/>
  <c r="Q184" i="12"/>
  <c r="P184" i="12"/>
  <c r="O184" i="12"/>
  <c r="AJ184" i="12" s="1"/>
  <c r="N184" i="12"/>
  <c r="J184" i="12"/>
  <c r="B184" i="12"/>
  <c r="C184" i="12" s="1" a="1"/>
  <c r="C184" i="12" s="1"/>
  <c r="A184" i="12"/>
  <c r="AN183" i="12"/>
  <c r="AM183" i="12"/>
  <c r="Q183" i="12"/>
  <c r="AO183" i="12" s="1"/>
  <c r="P183" i="12"/>
  <c r="AK183" i="12" s="1"/>
  <c r="O183" i="12"/>
  <c r="AJ183" i="12" s="1"/>
  <c r="N183" i="12"/>
  <c r="J183" i="12"/>
  <c r="C183" i="12" a="1"/>
  <c r="C183" i="12" s="1"/>
  <c r="B183" i="12"/>
  <c r="A183" i="12"/>
  <c r="AY182" i="12"/>
  <c r="AX182" i="12"/>
  <c r="AM182" i="12"/>
  <c r="AL182" i="12"/>
  <c r="AJ182" i="12"/>
  <c r="Q182" i="12"/>
  <c r="AO182" i="12" s="1"/>
  <c r="P182" i="12"/>
  <c r="AN182" i="12" s="1"/>
  <c r="O182" i="12"/>
  <c r="N182" i="12"/>
  <c r="J182" i="12"/>
  <c r="C182" i="12" a="1"/>
  <c r="C182" i="12" s="1"/>
  <c r="B182" i="12"/>
  <c r="A182" i="12"/>
  <c r="AO181" i="12"/>
  <c r="AN181" i="12"/>
  <c r="AK181" i="12"/>
  <c r="AJ181" i="12"/>
  <c r="Q181" i="12"/>
  <c r="AL181" i="12" s="1"/>
  <c r="P181" i="12"/>
  <c r="O181" i="12"/>
  <c r="AM181" i="12" s="1"/>
  <c r="N181" i="12"/>
  <c r="J181" i="12"/>
  <c r="B181" i="12"/>
  <c r="C181" i="12" s="1" a="1"/>
  <c r="C181" i="12" s="1"/>
  <c r="A181" i="12"/>
  <c r="AX180" i="12"/>
  <c r="AK180" i="12"/>
  <c r="AJ180" i="12"/>
  <c r="Q180" i="12"/>
  <c r="P180" i="12"/>
  <c r="AN180" i="12" s="1"/>
  <c r="O180" i="12"/>
  <c r="AM180" i="12" s="1"/>
  <c r="N180" i="12"/>
  <c r="J180" i="12"/>
  <c r="C180" i="12"/>
  <c r="B180" i="12"/>
  <c r="C180" i="12" s="1" a="1"/>
  <c r="A180" i="12"/>
  <c r="AN179" i="12"/>
  <c r="AM179" i="12"/>
  <c r="AK179" i="12"/>
  <c r="AJ179" i="12"/>
  <c r="Q179" i="12"/>
  <c r="P179" i="12"/>
  <c r="O179" i="12"/>
  <c r="N179" i="12"/>
  <c r="J179" i="12"/>
  <c r="C179" i="12" a="1"/>
  <c r="C179" i="12" s="1"/>
  <c r="B179" i="12"/>
  <c r="A179" i="12"/>
  <c r="AO178" i="12"/>
  <c r="AL178" i="12"/>
  <c r="Q178" i="12"/>
  <c r="P178" i="12"/>
  <c r="AN178" i="12" s="1"/>
  <c r="O178" i="12"/>
  <c r="AM178" i="12" s="1"/>
  <c r="N178" i="12"/>
  <c r="J178" i="12"/>
  <c r="B178" i="12"/>
  <c r="C178" i="12" s="1" a="1"/>
  <c r="C178" i="12" s="1"/>
  <c r="A178" i="12"/>
  <c r="AL177" i="12"/>
  <c r="AD177" i="12"/>
  <c r="AC177" i="12"/>
  <c r="AA177" i="12"/>
  <c r="W177" i="12"/>
  <c r="R177" i="12"/>
  <c r="BC177" i="12" s="1"/>
  <c r="Q177" i="12"/>
  <c r="AO177" i="12" s="1"/>
  <c r="P177" i="12"/>
  <c r="AN177" i="12" s="1"/>
  <c r="O177" i="12"/>
  <c r="N177" i="12"/>
  <c r="J177" i="12"/>
  <c r="C177" i="12" a="1"/>
  <c r="C177" i="12" s="1"/>
  <c r="B177" i="12"/>
  <c r="A177" i="12"/>
  <c r="BD176" i="12"/>
  <c r="AO176" i="12"/>
  <c r="AN176" i="12"/>
  <c r="AM176" i="12"/>
  <c r="AL176" i="12"/>
  <c r="AK176" i="12"/>
  <c r="Y176" i="12"/>
  <c r="R176" i="12"/>
  <c r="AH176" i="12" s="1"/>
  <c r="Q176" i="12"/>
  <c r="P176" i="12"/>
  <c r="O176" i="12"/>
  <c r="AJ176" i="12" s="1"/>
  <c r="N176" i="12"/>
  <c r="J176" i="12"/>
  <c r="B176" i="12"/>
  <c r="C176" i="12" s="1" a="1"/>
  <c r="C176" i="12" s="1"/>
  <c r="A176" i="12"/>
  <c r="AO175" i="12"/>
  <c r="AM175" i="12"/>
  <c r="AL175" i="12"/>
  <c r="AK175" i="12"/>
  <c r="Q175" i="12"/>
  <c r="P175" i="12"/>
  <c r="AN175" i="12" s="1"/>
  <c r="O175" i="12"/>
  <c r="AJ175" i="12" s="1"/>
  <c r="N175" i="12"/>
  <c r="J175" i="12"/>
  <c r="C175" i="12" a="1"/>
  <c r="C175" i="12"/>
  <c r="B175" i="12"/>
  <c r="A175" i="12"/>
  <c r="BD174" i="12"/>
  <c r="BC174" i="12"/>
  <c r="AL174" i="12"/>
  <c r="AK174" i="12"/>
  <c r="AJ174" i="12"/>
  <c r="Y174" i="12"/>
  <c r="R174" i="12"/>
  <c r="AG174" i="12" s="1"/>
  <c r="Q174" i="12"/>
  <c r="AO174" i="12" s="1"/>
  <c r="P174" i="12"/>
  <c r="AN174" i="12" s="1"/>
  <c r="O174" i="12"/>
  <c r="AM174" i="12" s="1"/>
  <c r="N174" i="12"/>
  <c r="J174" i="12"/>
  <c r="C174" i="12" a="1"/>
  <c r="C174" i="12"/>
  <c r="B174" i="12"/>
  <c r="A174" i="12"/>
  <c r="BD173" i="12"/>
  <c r="BC173" i="12"/>
  <c r="AX173" i="12"/>
  <c r="AO173" i="12"/>
  <c r="AN173" i="12"/>
  <c r="AL173" i="12"/>
  <c r="AK173" i="12"/>
  <c r="AJ173" i="12"/>
  <c r="Y173" i="12"/>
  <c r="Q173" i="12"/>
  <c r="P173" i="12"/>
  <c r="O173" i="12"/>
  <c r="R173" i="12" s="1"/>
  <c r="AC173" i="12" s="1"/>
  <c r="N173" i="12"/>
  <c r="J173" i="12"/>
  <c r="C173" i="12" a="1"/>
  <c r="C173" i="12" s="1"/>
  <c r="B173" i="12"/>
  <c r="A173" i="12"/>
  <c r="BC172" i="12"/>
  <c r="AX172" i="12"/>
  <c r="AO172" i="12"/>
  <c r="AN172" i="12"/>
  <c r="AL172" i="12"/>
  <c r="AH172" i="12"/>
  <c r="S172" i="12"/>
  <c r="R172" i="12"/>
  <c r="BD172" i="12" s="1"/>
  <c r="Q172" i="12"/>
  <c r="P172" i="12"/>
  <c r="AK172" i="12" s="1"/>
  <c r="O172" i="12"/>
  <c r="AJ172" i="12" s="1"/>
  <c r="N172" i="12"/>
  <c r="J172" i="12"/>
  <c r="C172" i="12" a="1"/>
  <c r="C172" i="12" s="1"/>
  <c r="B172" i="12"/>
  <c r="A172" i="12"/>
  <c r="BC171" i="12"/>
  <c r="AM171" i="12"/>
  <c r="AL171" i="12"/>
  <c r="AJ171" i="12"/>
  <c r="AI171" i="12"/>
  <c r="AH171" i="12"/>
  <c r="R171" i="12"/>
  <c r="Q171" i="12"/>
  <c r="AO171" i="12" s="1"/>
  <c r="P171" i="12"/>
  <c r="AN171" i="12" s="1"/>
  <c r="O171" i="12"/>
  <c r="N171" i="12"/>
  <c r="J171" i="12"/>
  <c r="B171" i="12"/>
  <c r="C171" i="12" s="1" a="1"/>
  <c r="C171" i="12" s="1"/>
  <c r="A171" i="12"/>
  <c r="AY170" i="12"/>
  <c r="AN170" i="12"/>
  <c r="AM170" i="12"/>
  <c r="AK170" i="12"/>
  <c r="AJ170" i="12"/>
  <c r="Q170" i="12"/>
  <c r="P170" i="12"/>
  <c r="O170" i="12"/>
  <c r="N170" i="12"/>
  <c r="J170" i="12"/>
  <c r="B170" i="12"/>
  <c r="C170" i="12" s="1" a="1"/>
  <c r="C170" i="12" s="1"/>
  <c r="A170" i="12"/>
  <c r="AY169" i="12"/>
  <c r="AX169" i="12"/>
  <c r="AM169" i="12"/>
  <c r="AJ169" i="12"/>
  <c r="Q169" i="12"/>
  <c r="P169" i="12"/>
  <c r="O169" i="12"/>
  <c r="N169" i="12"/>
  <c r="J169" i="12"/>
  <c r="B169" i="12"/>
  <c r="C169" i="12" s="1" a="1"/>
  <c r="C169" i="12" s="1"/>
  <c r="A169" i="12"/>
  <c r="AY168" i="12"/>
  <c r="AM168" i="12"/>
  <c r="AJ168" i="12"/>
  <c r="Q168" i="12"/>
  <c r="P168" i="12"/>
  <c r="O168" i="12"/>
  <c r="N168" i="12"/>
  <c r="J168" i="12"/>
  <c r="C168" i="12" a="1"/>
  <c r="C168" i="12"/>
  <c r="B168" i="12"/>
  <c r="A168" i="12"/>
  <c r="AY167" i="12"/>
  <c r="AO167" i="12"/>
  <c r="AL167" i="12"/>
  <c r="AK167" i="12"/>
  <c r="Q167" i="12"/>
  <c r="P167" i="12"/>
  <c r="AN167" i="12" s="1"/>
  <c r="O167" i="12"/>
  <c r="N167" i="12"/>
  <c r="J167" i="12"/>
  <c r="B167" i="12"/>
  <c r="C167" i="12" s="1" a="1"/>
  <c r="C167" i="12" s="1"/>
  <c r="A167" i="12"/>
  <c r="AO166" i="12"/>
  <c r="AK166" i="12"/>
  <c r="AJ166" i="12"/>
  <c r="AG166" i="12"/>
  <c r="AF166" i="12"/>
  <c r="S166" i="12"/>
  <c r="X166" i="12" s="1"/>
  <c r="R166" i="12"/>
  <c r="AH166" i="12" s="1"/>
  <c r="Q166" i="12"/>
  <c r="AL166" i="12" s="1"/>
  <c r="P166" i="12"/>
  <c r="AN166" i="12" s="1"/>
  <c r="O166" i="12"/>
  <c r="AM166" i="12" s="1"/>
  <c r="N166" i="12"/>
  <c r="J166" i="12"/>
  <c r="B166" i="12"/>
  <c r="C166" i="12" s="1" a="1"/>
  <c r="C166" i="12" s="1"/>
  <c r="A166" i="12"/>
  <c r="BD165" i="12"/>
  <c r="AO165" i="12"/>
  <c r="AN165" i="12"/>
  <c r="AM165" i="12"/>
  <c r="AL165" i="12"/>
  <c r="AK165" i="12"/>
  <c r="AJ165" i="12"/>
  <c r="AB165" i="12"/>
  <c r="W165" i="12"/>
  <c r="Q165" i="12"/>
  <c r="R165" i="12" s="1"/>
  <c r="P165" i="12"/>
  <c r="O165" i="12"/>
  <c r="N165" i="12"/>
  <c r="J165" i="12"/>
  <c r="C165" i="12" a="1"/>
  <c r="C165" i="12"/>
  <c r="B165" i="12"/>
  <c r="A165" i="12"/>
  <c r="AS164" i="12"/>
  <c r="AO164" i="12"/>
  <c r="AL164" i="12"/>
  <c r="Q164" i="12"/>
  <c r="P164" i="12"/>
  <c r="O164" i="12"/>
  <c r="N164" i="12"/>
  <c r="J164" i="12"/>
  <c r="B164" i="12"/>
  <c r="C164" i="12" s="1" a="1"/>
  <c r="C164" i="12" s="1"/>
  <c r="A164" i="12"/>
  <c r="BC163" i="12"/>
  <c r="AL163" i="12"/>
  <c r="AK163" i="12"/>
  <c r="AG163" i="12"/>
  <c r="S163" i="12"/>
  <c r="Q163" i="12"/>
  <c r="AO163" i="12" s="1"/>
  <c r="P163" i="12"/>
  <c r="AN163" i="12" s="1"/>
  <c r="O163" i="12"/>
  <c r="R163" i="12" s="1"/>
  <c r="AI163" i="12" s="1"/>
  <c r="N163" i="12"/>
  <c r="J163" i="12"/>
  <c r="C163" i="12" a="1"/>
  <c r="C163" i="12" s="1"/>
  <c r="B163" i="12"/>
  <c r="A163" i="12"/>
  <c r="AO162" i="12"/>
  <c r="AN162" i="12"/>
  <c r="AL162" i="12"/>
  <c r="AK162" i="12"/>
  <c r="Q162" i="12"/>
  <c r="P162" i="12"/>
  <c r="O162" i="12"/>
  <c r="N162" i="12"/>
  <c r="J162" i="12"/>
  <c r="C162" i="12" a="1"/>
  <c r="C162" i="12" s="1"/>
  <c r="B162" i="12"/>
  <c r="A162" i="12"/>
  <c r="AX161" i="12"/>
  <c r="Q161" i="12"/>
  <c r="P161" i="12"/>
  <c r="O161" i="12"/>
  <c r="N161" i="12"/>
  <c r="J161" i="12"/>
  <c r="C161" i="12" a="1"/>
  <c r="C161" i="12"/>
  <c r="B161" i="12"/>
  <c r="A161" i="12"/>
  <c r="BD160" i="12"/>
  <c r="BC160" i="12"/>
  <c r="AM160" i="12"/>
  <c r="AL160" i="12"/>
  <c r="AJ160" i="12"/>
  <c r="AI160" i="12"/>
  <c r="AH160" i="12"/>
  <c r="Y160" i="12"/>
  <c r="U160" i="12"/>
  <c r="U161" i="12" s="1"/>
  <c r="R160" i="12"/>
  <c r="AG160" i="12" s="1"/>
  <c r="Q160" i="12"/>
  <c r="AO160" i="12" s="1"/>
  <c r="P160" i="12"/>
  <c r="AN160" i="12" s="1"/>
  <c r="O160" i="12"/>
  <c r="N160" i="12"/>
  <c r="J160" i="12"/>
  <c r="B160" i="12"/>
  <c r="C160" i="12" s="1" a="1"/>
  <c r="C160" i="12" s="1"/>
  <c r="A160" i="12"/>
  <c r="AS159" i="12"/>
  <c r="AO159" i="12"/>
  <c r="AN159" i="12"/>
  <c r="AL159" i="12"/>
  <c r="Q159" i="12"/>
  <c r="P159" i="12"/>
  <c r="AK159" i="12" s="1"/>
  <c r="O159" i="12"/>
  <c r="N159" i="12"/>
  <c r="J159" i="12"/>
  <c r="B159" i="12"/>
  <c r="C159" i="12" s="1" a="1"/>
  <c r="C159" i="12" s="1"/>
  <c r="A159" i="12"/>
  <c r="AM158" i="12"/>
  <c r="U158" i="12"/>
  <c r="U159" i="12" s="1"/>
  <c r="T158" i="12"/>
  <c r="Q158" i="12"/>
  <c r="P158" i="12"/>
  <c r="O158" i="12"/>
  <c r="AJ158" i="12" s="1"/>
  <c r="N158" i="12"/>
  <c r="J158" i="12"/>
  <c r="C158" i="12" a="1"/>
  <c r="C158" i="12" s="1"/>
  <c r="B158" i="12"/>
  <c r="A158" i="12"/>
  <c r="BD157" i="12"/>
  <c r="AN157" i="12"/>
  <c r="AM157" i="12"/>
  <c r="AK157" i="12"/>
  <c r="AJ157" i="12"/>
  <c r="Z157" i="12"/>
  <c r="V157" i="12"/>
  <c r="S157" i="12"/>
  <c r="X157" i="12" s="1"/>
  <c r="Q157" i="12"/>
  <c r="AO157" i="12" s="1"/>
  <c r="P157" i="12"/>
  <c r="O157" i="12"/>
  <c r="R157" i="12" s="1"/>
  <c r="AI157" i="12" s="1"/>
  <c r="N157" i="12"/>
  <c r="J157" i="12"/>
  <c r="B157" i="12"/>
  <c r="C157" i="12" s="1" a="1"/>
  <c r="C157" i="12" s="1"/>
  <c r="A157" i="12"/>
  <c r="AX156" i="12"/>
  <c r="AT156" i="12"/>
  <c r="AM156" i="12"/>
  <c r="AJ156" i="12"/>
  <c r="Q156" i="12"/>
  <c r="AO156" i="12" s="1"/>
  <c r="P156" i="12"/>
  <c r="O156" i="12"/>
  <c r="N156" i="12"/>
  <c r="J156" i="12"/>
  <c r="C156" i="12" a="1"/>
  <c r="C156" i="12" s="1"/>
  <c r="B156" i="12"/>
  <c r="A156" i="12"/>
  <c r="AN155" i="12"/>
  <c r="Q155" i="12"/>
  <c r="AL155" i="12" s="1"/>
  <c r="P155" i="12"/>
  <c r="AK155" i="12" s="1"/>
  <c r="O155" i="12"/>
  <c r="AM155" i="12" s="1"/>
  <c r="N155" i="12"/>
  <c r="J155" i="12"/>
  <c r="B155" i="12"/>
  <c r="C155" i="12" s="1" a="1"/>
  <c r="C155" i="12" s="1"/>
  <c r="A155" i="12"/>
  <c r="AM154" i="12"/>
  <c r="AJ154" i="12"/>
  <c r="Q154" i="12"/>
  <c r="AO154" i="12" s="1"/>
  <c r="P154" i="12"/>
  <c r="O154" i="12"/>
  <c r="N154" i="12"/>
  <c r="J154" i="12"/>
  <c r="C154" i="12" a="1"/>
  <c r="C154" i="12" s="1"/>
  <c r="B154" i="12"/>
  <c r="A154" i="12"/>
  <c r="AY153" i="12"/>
  <c r="AN153" i="12"/>
  <c r="AM153" i="12"/>
  <c r="AK153" i="12"/>
  <c r="Y153" i="12"/>
  <c r="W153" i="12"/>
  <c r="R153" i="12"/>
  <c r="AS152" i="12" s="1"/>
  <c r="Q153" i="12"/>
  <c r="AL153" i="12" s="1"/>
  <c r="P153" i="12"/>
  <c r="O153" i="12"/>
  <c r="AJ153" i="12" s="1"/>
  <c r="N153" i="12"/>
  <c r="J153" i="12"/>
  <c r="C153" i="12"/>
  <c r="B153" i="12"/>
  <c r="C153" i="12" s="1" a="1"/>
  <c r="A153" i="12"/>
  <c r="AO152" i="12"/>
  <c r="AN152" i="12"/>
  <c r="AJ152" i="12"/>
  <c r="AH152" i="12"/>
  <c r="AG152" i="12"/>
  <c r="AD152" i="12"/>
  <c r="AB152" i="12"/>
  <c r="AA152" i="12"/>
  <c r="W152" i="12"/>
  <c r="R152" i="12"/>
  <c r="AY148" i="12" s="1"/>
  <c r="Q152" i="12"/>
  <c r="AL152" i="12" s="1"/>
  <c r="P152" i="12"/>
  <c r="AK152" i="12" s="1"/>
  <c r="O152" i="12"/>
  <c r="AM152" i="12" s="1"/>
  <c r="N152" i="12"/>
  <c r="J152" i="12"/>
  <c r="C152" i="12"/>
  <c r="B152" i="12"/>
  <c r="C152" i="12" s="1" a="1"/>
  <c r="A152" i="12"/>
  <c r="AT151" i="12"/>
  <c r="AN151" i="12"/>
  <c r="AM151" i="12"/>
  <c r="AL151" i="12"/>
  <c r="AK151" i="12"/>
  <c r="AJ151" i="12"/>
  <c r="W151" i="12"/>
  <c r="R151" i="12"/>
  <c r="BC151" i="12" s="1"/>
  <c r="Q151" i="12"/>
  <c r="AO151" i="12" s="1"/>
  <c r="P151" i="12"/>
  <c r="O151" i="12"/>
  <c r="N151" i="12"/>
  <c r="J151" i="12"/>
  <c r="C151" i="12" a="1"/>
  <c r="C151" i="12" s="1"/>
  <c r="B151" i="12"/>
  <c r="A151" i="12"/>
  <c r="AO150" i="12"/>
  <c r="AL150" i="12"/>
  <c r="AK150" i="12"/>
  <c r="Q150" i="12"/>
  <c r="P150" i="12"/>
  <c r="AN150" i="12" s="1"/>
  <c r="O150" i="12"/>
  <c r="N150" i="12"/>
  <c r="J150" i="12"/>
  <c r="C150" i="12" a="1"/>
  <c r="C150" i="12"/>
  <c r="B150" i="12"/>
  <c r="A150" i="12"/>
  <c r="AX149" i="12"/>
  <c r="Q149" i="12"/>
  <c r="AO149" i="12" s="1"/>
  <c r="P149" i="12"/>
  <c r="AN149" i="12" s="1"/>
  <c r="O149" i="12"/>
  <c r="N149" i="12"/>
  <c r="J149" i="12"/>
  <c r="C149" i="12" a="1"/>
  <c r="C149" i="12" s="1"/>
  <c r="B149" i="12"/>
  <c r="A149" i="12"/>
  <c r="AX148" i="12"/>
  <c r="AO148" i="12"/>
  <c r="AN148" i="12"/>
  <c r="AM148" i="12"/>
  <c r="AL148" i="12"/>
  <c r="AK148" i="12"/>
  <c r="Q148" i="12"/>
  <c r="P148" i="12"/>
  <c r="O148" i="12"/>
  <c r="AJ148" i="12" s="1"/>
  <c r="N148" i="12"/>
  <c r="J148" i="12"/>
  <c r="C148" i="12" a="1"/>
  <c r="C148" i="12" s="1"/>
  <c r="B148" i="12"/>
  <c r="A148" i="12"/>
  <c r="AO147" i="12"/>
  <c r="AN147" i="12"/>
  <c r="AL147" i="12"/>
  <c r="AK147" i="12"/>
  <c r="Q147" i="12"/>
  <c r="P147" i="12"/>
  <c r="O147" i="12"/>
  <c r="N147" i="12"/>
  <c r="J147" i="12"/>
  <c r="C147" i="12" a="1"/>
  <c r="C147" i="12" s="1"/>
  <c r="B147" i="12"/>
  <c r="A147" i="12"/>
  <c r="BD146" i="12"/>
  <c r="AL146" i="12"/>
  <c r="AJ146" i="12"/>
  <c r="AI146" i="12"/>
  <c r="R146" i="12"/>
  <c r="Q146" i="12"/>
  <c r="AO146" i="12" s="1"/>
  <c r="P146" i="12"/>
  <c r="O146" i="12"/>
  <c r="AM146" i="12" s="1"/>
  <c r="N146" i="12"/>
  <c r="J146" i="12"/>
  <c r="B146" i="12"/>
  <c r="C146" i="12" s="1" a="1"/>
  <c r="C146" i="12" s="1"/>
  <c r="A146" i="12"/>
  <c r="AO145" i="12"/>
  <c r="AL145" i="12"/>
  <c r="Q145" i="12"/>
  <c r="P145" i="12"/>
  <c r="O145" i="12"/>
  <c r="N145" i="12"/>
  <c r="J145" i="12"/>
  <c r="C145" i="12" a="1"/>
  <c r="C145" i="12" s="1"/>
  <c r="B145" i="12"/>
  <c r="A145" i="12"/>
  <c r="AO144" i="12"/>
  <c r="AN144" i="12"/>
  <c r="AL144" i="12"/>
  <c r="Q144" i="12"/>
  <c r="P144" i="12"/>
  <c r="AK144" i="12" s="1"/>
  <c r="O144" i="12"/>
  <c r="AJ144" i="12" s="1"/>
  <c r="N144" i="12"/>
  <c r="J144" i="12"/>
  <c r="C144" i="12" a="1"/>
  <c r="C144" i="12" s="1"/>
  <c r="B144" i="12"/>
  <c r="A144" i="12"/>
  <c r="AN143" i="12"/>
  <c r="AM143" i="12"/>
  <c r="AJ143" i="12"/>
  <c r="AC143" i="12"/>
  <c r="W143" i="12"/>
  <c r="S143" i="12"/>
  <c r="X143" i="12" s="1"/>
  <c r="R143" i="12"/>
  <c r="AH143" i="12" s="1"/>
  <c r="Q143" i="12"/>
  <c r="P143" i="12"/>
  <c r="AK143" i="12" s="1"/>
  <c r="O143" i="12"/>
  <c r="N143" i="12"/>
  <c r="J143" i="12"/>
  <c r="B143" i="12"/>
  <c r="C143" i="12" s="1" a="1"/>
  <c r="C143" i="12" s="1"/>
  <c r="A143" i="12"/>
  <c r="AN142" i="12"/>
  <c r="AM142" i="12"/>
  <c r="AK142" i="12"/>
  <c r="AJ142" i="12"/>
  <c r="Q142" i="12"/>
  <c r="AO142" i="12" s="1"/>
  <c r="P142" i="12"/>
  <c r="O142" i="12"/>
  <c r="N142" i="12"/>
  <c r="J142" i="12"/>
  <c r="B142" i="12"/>
  <c r="C142" i="12" s="1" a="1"/>
  <c r="C142" i="12" s="1"/>
  <c r="A142" i="12"/>
  <c r="Q141" i="12"/>
  <c r="AL141" i="12" s="1"/>
  <c r="P141" i="12"/>
  <c r="AK141" i="12" s="1"/>
  <c r="O141" i="12"/>
  <c r="N141" i="12"/>
  <c r="J141" i="12"/>
  <c r="B141" i="12"/>
  <c r="C141" i="12" s="1" a="1"/>
  <c r="C141" i="12" s="1"/>
  <c r="A141" i="12"/>
  <c r="AO140" i="12"/>
  <c r="AN140" i="12"/>
  <c r="AL140" i="12"/>
  <c r="AK140" i="12"/>
  <c r="AJ140" i="12"/>
  <c r="Z140" i="12"/>
  <c r="W140" i="12"/>
  <c r="Q140" i="12"/>
  <c r="R140" i="12" s="1"/>
  <c r="P140" i="12"/>
  <c r="O140" i="12"/>
  <c r="AM140" i="12" s="1"/>
  <c r="N140" i="12"/>
  <c r="J140" i="12"/>
  <c r="C140" i="12" a="1"/>
  <c r="C140" i="12" s="1"/>
  <c r="B140" i="12"/>
  <c r="A140" i="12"/>
  <c r="AN139" i="12"/>
  <c r="AM139" i="12"/>
  <c r="AL139" i="12"/>
  <c r="AK139" i="12"/>
  <c r="AJ139" i="12"/>
  <c r="Q139" i="12"/>
  <c r="AO139" i="12" s="1"/>
  <c r="P139" i="12"/>
  <c r="O139" i="12"/>
  <c r="N139" i="12"/>
  <c r="J139" i="12"/>
  <c r="C139" i="12" a="1"/>
  <c r="C139" i="12" s="1"/>
  <c r="B139" i="12"/>
  <c r="A139" i="12"/>
  <c r="Q138" i="12"/>
  <c r="P138" i="12"/>
  <c r="O138" i="12"/>
  <c r="N138" i="12"/>
  <c r="J138" i="12"/>
  <c r="C138" i="12"/>
  <c r="B138" i="12"/>
  <c r="C138" i="12" s="1" a="1"/>
  <c r="A138" i="12"/>
  <c r="AO137" i="12"/>
  <c r="AN137" i="12"/>
  <c r="AM137" i="12"/>
  <c r="AK137" i="12"/>
  <c r="AJ137" i="12"/>
  <c r="AI137" i="12"/>
  <c r="AF137" i="12"/>
  <c r="AE137" i="12"/>
  <c r="AB137" i="12"/>
  <c r="Y137" i="12"/>
  <c r="R137" i="12"/>
  <c r="Q137" i="12"/>
  <c r="AL137" i="12" s="1"/>
  <c r="P137" i="12"/>
  <c r="O137" i="12"/>
  <c r="N137" i="12"/>
  <c r="J137" i="12"/>
  <c r="C137" i="12" a="1"/>
  <c r="C137" i="12" s="1"/>
  <c r="B137" i="12"/>
  <c r="A137" i="12"/>
  <c r="AT136" i="12"/>
  <c r="AS136" i="12"/>
  <c r="AO136" i="12"/>
  <c r="AL136" i="12"/>
  <c r="Q136" i="12"/>
  <c r="P136" i="12"/>
  <c r="O136" i="12"/>
  <c r="AM136" i="12" s="1"/>
  <c r="N136" i="12"/>
  <c r="J136" i="12"/>
  <c r="C136" i="12"/>
  <c r="B136" i="12"/>
  <c r="C136" i="12" s="1" a="1"/>
  <c r="A136" i="12"/>
  <c r="AJ135" i="12"/>
  <c r="Q135" i="12"/>
  <c r="P135" i="12"/>
  <c r="AN135" i="12" s="1"/>
  <c r="O135" i="12"/>
  <c r="AM135" i="12" s="1"/>
  <c r="N135" i="12"/>
  <c r="J135" i="12"/>
  <c r="C135" i="12"/>
  <c r="B135" i="12"/>
  <c r="C135" i="12" s="1" a="1"/>
  <c r="A135" i="12"/>
  <c r="AO134" i="12"/>
  <c r="AN134" i="12"/>
  <c r="AL134" i="12"/>
  <c r="AK134" i="12"/>
  <c r="Q134" i="12"/>
  <c r="P134" i="12"/>
  <c r="O134" i="12"/>
  <c r="N134" i="12"/>
  <c r="J134" i="12"/>
  <c r="C134" i="12" a="1"/>
  <c r="C134" i="12" s="1"/>
  <c r="B134" i="12"/>
  <c r="A134" i="12"/>
  <c r="AY133" i="12"/>
  <c r="AX133" i="12"/>
  <c r="AL133" i="12"/>
  <c r="Q133" i="12"/>
  <c r="AO133" i="12" s="1"/>
  <c r="P133" i="12"/>
  <c r="AN133" i="12" s="1"/>
  <c r="O133" i="12"/>
  <c r="N133" i="12"/>
  <c r="J133" i="12"/>
  <c r="C133" i="12" a="1"/>
  <c r="C133" i="12" s="1"/>
  <c r="B133" i="12"/>
  <c r="A133" i="12"/>
  <c r="BD132" i="12"/>
  <c r="BC132" i="12"/>
  <c r="AO132" i="12"/>
  <c r="AN132" i="12"/>
  <c r="AM132" i="12"/>
  <c r="AL132" i="12"/>
  <c r="AK132" i="12"/>
  <c r="AJ132" i="12"/>
  <c r="AC132" i="12"/>
  <c r="Z132" i="12"/>
  <c r="Y132" i="12"/>
  <c r="Q132" i="12"/>
  <c r="P132" i="12"/>
  <c r="O132" i="12"/>
  <c r="R132" i="12" s="1"/>
  <c r="N132" i="12"/>
  <c r="J132" i="12"/>
  <c r="C132" i="12" a="1"/>
  <c r="C132" i="12" s="1"/>
  <c r="B132" i="12"/>
  <c r="A132" i="12"/>
  <c r="AT131" i="12"/>
  <c r="AS131" i="12"/>
  <c r="AO131" i="12"/>
  <c r="Q131" i="12"/>
  <c r="AL131" i="12" s="1"/>
  <c r="P131" i="12"/>
  <c r="O131" i="12"/>
  <c r="N131" i="12"/>
  <c r="J131" i="12"/>
  <c r="C131" i="12" a="1"/>
  <c r="C131" i="12" s="1"/>
  <c r="B131" i="12"/>
  <c r="A131" i="12"/>
  <c r="AM130" i="12"/>
  <c r="AJ130" i="12"/>
  <c r="Q130" i="12"/>
  <c r="P130" i="12"/>
  <c r="AN130" i="12" s="1"/>
  <c r="O130" i="12"/>
  <c r="N130" i="12"/>
  <c r="J130" i="12"/>
  <c r="B130" i="12"/>
  <c r="C130" i="12" s="1" a="1"/>
  <c r="C130" i="12" s="1"/>
  <c r="A130" i="12"/>
  <c r="AO129" i="12"/>
  <c r="AM129" i="12"/>
  <c r="AL129" i="12"/>
  <c r="AJ129" i="12"/>
  <c r="Q129" i="12"/>
  <c r="P129" i="12"/>
  <c r="AN129" i="12" s="1"/>
  <c r="O129" i="12"/>
  <c r="R129" i="12" s="1"/>
  <c r="N129" i="12"/>
  <c r="J129" i="12"/>
  <c r="B129" i="12"/>
  <c r="C129" i="12" s="1" a="1"/>
  <c r="C129" i="12" s="1"/>
  <c r="A129" i="12"/>
  <c r="AY128" i="12"/>
  <c r="AO128" i="12"/>
  <c r="AM128" i="12"/>
  <c r="Q128" i="12"/>
  <c r="AL128" i="12" s="1"/>
  <c r="P128" i="12"/>
  <c r="O128" i="12"/>
  <c r="AJ128" i="12" s="1"/>
  <c r="N128" i="12"/>
  <c r="J128" i="12"/>
  <c r="C128" i="12" a="1"/>
  <c r="C128" i="12" s="1"/>
  <c r="B128" i="12"/>
  <c r="A128" i="12"/>
  <c r="AN127" i="12"/>
  <c r="AM127" i="12"/>
  <c r="AK127" i="12"/>
  <c r="AJ127" i="12"/>
  <c r="Q127" i="12"/>
  <c r="P127" i="12"/>
  <c r="O127" i="12"/>
  <c r="N127" i="12"/>
  <c r="J127" i="12"/>
  <c r="C127" i="12"/>
  <c r="B127" i="12"/>
  <c r="C127" i="12" s="1" a="1"/>
  <c r="A127" i="12"/>
  <c r="AM126" i="12"/>
  <c r="AJ126" i="12"/>
  <c r="Q126" i="12"/>
  <c r="AL126" i="12" s="1"/>
  <c r="P126" i="12"/>
  <c r="AK126" i="12" s="1"/>
  <c r="O126" i="12"/>
  <c r="N126" i="12"/>
  <c r="J126" i="12"/>
  <c r="C126" i="12" a="1"/>
  <c r="C126" i="12"/>
  <c r="B126" i="12"/>
  <c r="A126" i="12"/>
  <c r="AN125" i="12"/>
  <c r="Q125" i="12"/>
  <c r="AL125" i="12" s="1"/>
  <c r="P125" i="12"/>
  <c r="AK125" i="12" s="1"/>
  <c r="O125" i="12"/>
  <c r="AM125" i="12" s="1"/>
  <c r="N125" i="12"/>
  <c r="J125" i="12"/>
  <c r="B125" i="12"/>
  <c r="C125" i="12" s="1" a="1"/>
  <c r="C125" i="12" s="1"/>
  <c r="A125" i="12"/>
  <c r="BC124" i="12"/>
  <c r="AO124" i="12"/>
  <c r="AN124" i="12"/>
  <c r="AM124" i="12"/>
  <c r="AL124" i="12"/>
  <c r="AK124" i="12"/>
  <c r="AJ124" i="12"/>
  <c r="AF124" i="12"/>
  <c r="W124" i="12"/>
  <c r="R124" i="12"/>
  <c r="AH124" i="12" s="1"/>
  <c r="Q124" i="12"/>
  <c r="P124" i="12"/>
  <c r="O124" i="12"/>
  <c r="N124" i="12"/>
  <c r="J124" i="12"/>
  <c r="B124" i="12"/>
  <c r="C124" i="12" s="1" a="1"/>
  <c r="C124" i="12" s="1"/>
  <c r="A124" i="12"/>
  <c r="AT123" i="12"/>
  <c r="AN123" i="12"/>
  <c r="AL123" i="12"/>
  <c r="AK123" i="12"/>
  <c r="Q123" i="12"/>
  <c r="AO123" i="12" s="1"/>
  <c r="P123" i="12"/>
  <c r="O123" i="12"/>
  <c r="AJ123" i="12" s="1"/>
  <c r="N123" i="12"/>
  <c r="J123" i="12"/>
  <c r="C123" i="12" a="1"/>
  <c r="C123" i="12"/>
  <c r="B123" i="12"/>
  <c r="A123" i="12"/>
  <c r="AO122" i="12"/>
  <c r="AK122" i="12"/>
  <c r="Q122" i="12"/>
  <c r="AL122" i="12" s="1"/>
  <c r="P122" i="12"/>
  <c r="AN122" i="12" s="1"/>
  <c r="O122" i="12"/>
  <c r="N122" i="12"/>
  <c r="J122" i="12"/>
  <c r="B122" i="12"/>
  <c r="C122" i="12" s="1" a="1"/>
  <c r="C122" i="12" s="1"/>
  <c r="A122" i="12"/>
  <c r="AO121" i="12"/>
  <c r="AN121" i="12"/>
  <c r="AM121" i="12"/>
  <c r="AL121" i="12"/>
  <c r="AK121" i="12"/>
  <c r="AJ121" i="12"/>
  <c r="AF121" i="12"/>
  <c r="Y121" i="12"/>
  <c r="W121" i="12"/>
  <c r="R121" i="12"/>
  <c r="BD121" i="12" s="1"/>
  <c r="Q121" i="12"/>
  <c r="P121" i="12"/>
  <c r="O121" i="12"/>
  <c r="N121" i="12"/>
  <c r="J121" i="12"/>
  <c r="C121" i="12" a="1"/>
  <c r="C121" i="12"/>
  <c r="B121" i="12"/>
  <c r="A121" i="12"/>
  <c r="AO120" i="12"/>
  <c r="AL120" i="12"/>
  <c r="Q120" i="12"/>
  <c r="P120" i="12"/>
  <c r="O120" i="12"/>
  <c r="AJ120" i="12" s="1"/>
  <c r="N120" i="12"/>
  <c r="J120" i="12"/>
  <c r="C120" i="12" a="1"/>
  <c r="C120" i="12" s="1"/>
  <c r="B120" i="12"/>
  <c r="A120" i="12"/>
  <c r="AL119" i="12"/>
  <c r="Q119" i="12"/>
  <c r="AO119" i="12" s="1"/>
  <c r="P119" i="12"/>
  <c r="AN119" i="12" s="1"/>
  <c r="O119" i="12"/>
  <c r="N119" i="12"/>
  <c r="J119" i="12"/>
  <c r="C119" i="12" a="1"/>
  <c r="C119" i="12" s="1"/>
  <c r="B119" i="12"/>
  <c r="A119" i="12"/>
  <c r="BD118" i="12"/>
  <c r="AO118" i="12"/>
  <c r="AN118" i="12"/>
  <c r="AL118" i="12"/>
  <c r="AK118" i="12"/>
  <c r="AJ118" i="12"/>
  <c r="R118" i="12"/>
  <c r="Q118" i="12"/>
  <c r="P118" i="12"/>
  <c r="O118" i="12"/>
  <c r="AM118" i="12" s="1"/>
  <c r="N118" i="12"/>
  <c r="J118" i="12"/>
  <c r="B118" i="12"/>
  <c r="C118" i="12" s="1" a="1"/>
  <c r="C118" i="12" s="1"/>
  <c r="A118" i="12"/>
  <c r="AX117" i="12"/>
  <c r="AL117" i="12"/>
  <c r="AK117" i="12"/>
  <c r="Q117" i="12"/>
  <c r="AO117" i="12" s="1"/>
  <c r="P117" i="12"/>
  <c r="AN117" i="12" s="1"/>
  <c r="O117" i="12"/>
  <c r="N117" i="12"/>
  <c r="J117" i="12"/>
  <c r="C117" i="12" a="1"/>
  <c r="C117" i="12"/>
  <c r="B117" i="12"/>
  <c r="A117" i="12"/>
  <c r="AM116" i="12"/>
  <c r="AL116" i="12"/>
  <c r="Q116" i="12"/>
  <c r="AO116" i="12" s="1"/>
  <c r="P116" i="12"/>
  <c r="O116" i="12"/>
  <c r="AJ116" i="12" s="1"/>
  <c r="N116" i="12"/>
  <c r="J116" i="12"/>
  <c r="C116" i="12" a="1"/>
  <c r="C116" i="12" s="1"/>
  <c r="B116" i="12"/>
  <c r="A116" i="12"/>
  <c r="BC115" i="12"/>
  <c r="AO115" i="12"/>
  <c r="AN115" i="12"/>
  <c r="AM115" i="12"/>
  <c r="AL115" i="12"/>
  <c r="AI115" i="12"/>
  <c r="AA115" i="12"/>
  <c r="W115" i="12"/>
  <c r="Q115" i="12"/>
  <c r="P115" i="12"/>
  <c r="AK115" i="12" s="1"/>
  <c r="O115" i="12"/>
  <c r="R115" i="12" s="1"/>
  <c r="AD115" i="12" s="1"/>
  <c r="N115" i="12"/>
  <c r="J115" i="12"/>
  <c r="C115" i="12"/>
  <c r="B115" i="12"/>
  <c r="C115" i="12" s="1" a="1"/>
  <c r="A115" i="12"/>
  <c r="AT114" i="12"/>
  <c r="AN114" i="12"/>
  <c r="AM114" i="12"/>
  <c r="Q114" i="12"/>
  <c r="P114" i="12"/>
  <c r="AK114" i="12" s="1"/>
  <c r="O114" i="12"/>
  <c r="AJ114" i="12" s="1"/>
  <c r="N114" i="12"/>
  <c r="J114" i="12"/>
  <c r="C114" i="12" a="1"/>
  <c r="C114" i="12" s="1"/>
  <c r="B114" i="12"/>
  <c r="A114" i="12"/>
  <c r="AJ113" i="12"/>
  <c r="Q113" i="12"/>
  <c r="P113" i="12"/>
  <c r="O113" i="12"/>
  <c r="AM113" i="12" s="1"/>
  <c r="N113" i="12"/>
  <c r="J113" i="12"/>
  <c r="C113" i="12"/>
  <c r="B113" i="12"/>
  <c r="C113" i="12" s="1" a="1"/>
  <c r="A113" i="12"/>
  <c r="AO112" i="12"/>
  <c r="AN112" i="12"/>
  <c r="AM112" i="12"/>
  <c r="AL112" i="12"/>
  <c r="AK112" i="12"/>
  <c r="AJ112" i="12"/>
  <c r="Q112" i="12"/>
  <c r="P112" i="12"/>
  <c r="O112" i="12"/>
  <c r="R112" i="12" s="1"/>
  <c r="N112" i="12"/>
  <c r="J112" i="12"/>
  <c r="C112" i="12" a="1"/>
  <c r="C112" i="12" s="1"/>
  <c r="B112" i="12"/>
  <c r="A112" i="12"/>
  <c r="AY111" i="12"/>
  <c r="AO111" i="12"/>
  <c r="AN111" i="12"/>
  <c r="Q111" i="12"/>
  <c r="AL111" i="12" s="1"/>
  <c r="P111" i="12"/>
  <c r="AK111" i="12" s="1"/>
  <c r="O111" i="12"/>
  <c r="AM111" i="12" s="1"/>
  <c r="N111" i="12"/>
  <c r="J111" i="12"/>
  <c r="B111" i="12"/>
  <c r="C111" i="12" s="1" a="1"/>
  <c r="C111" i="12" s="1"/>
  <c r="A111" i="12"/>
  <c r="BC110" i="12"/>
  <c r="AN110" i="12"/>
  <c r="AM110" i="12"/>
  <c r="AK110" i="12"/>
  <c r="AJ110" i="12"/>
  <c r="R110" i="12"/>
  <c r="Q110" i="12"/>
  <c r="P110" i="12"/>
  <c r="O110" i="12"/>
  <c r="N110" i="12"/>
  <c r="J110" i="12"/>
  <c r="C110" i="12" a="1"/>
  <c r="C110" i="12" s="1"/>
  <c r="B110" i="12"/>
  <c r="A110" i="12"/>
  <c r="AN109" i="12"/>
  <c r="AK109" i="12"/>
  <c r="R109" i="12"/>
  <c r="AY105" i="12" s="1"/>
  <c r="Q109" i="12"/>
  <c r="AO109" i="12" s="1"/>
  <c r="P109" i="12"/>
  <c r="O109" i="12"/>
  <c r="N109" i="12"/>
  <c r="J109" i="12"/>
  <c r="B109" i="12"/>
  <c r="C109" i="12" s="1" a="1"/>
  <c r="C109" i="12" s="1"/>
  <c r="A109" i="12"/>
  <c r="AX108" i="12"/>
  <c r="AS108" i="12"/>
  <c r="AN108" i="12"/>
  <c r="AK108" i="12"/>
  <c r="AJ108" i="12"/>
  <c r="Q108" i="12"/>
  <c r="AL108" i="12" s="1"/>
  <c r="P108" i="12"/>
  <c r="O108" i="12"/>
  <c r="AM108" i="12" s="1"/>
  <c r="N108" i="12"/>
  <c r="J108" i="12"/>
  <c r="C108" i="12"/>
  <c r="B108" i="12"/>
  <c r="C108" i="12" s="1" a="1"/>
  <c r="A108" i="12"/>
  <c r="AN107" i="12"/>
  <c r="AM107" i="12"/>
  <c r="AL107" i="12"/>
  <c r="AK107" i="12"/>
  <c r="AJ107" i="12"/>
  <c r="U107" i="12"/>
  <c r="Q107" i="12"/>
  <c r="R107" i="12" s="1"/>
  <c r="P107" i="12"/>
  <c r="O107" i="12"/>
  <c r="N107" i="12"/>
  <c r="J107" i="12"/>
  <c r="B107" i="12"/>
  <c r="C107" i="12" s="1" a="1"/>
  <c r="C107" i="12" s="1"/>
  <c r="A107" i="12"/>
  <c r="BD106" i="12"/>
  <c r="BA106" i="12"/>
  <c r="BB106" i="12" s="1"/>
  <c r="AO106" i="12"/>
  <c r="AN106" i="12"/>
  <c r="AL106" i="12"/>
  <c r="AK106" i="12"/>
  <c r="AJ106" i="12"/>
  <c r="S106" i="12"/>
  <c r="V106" i="12" s="1"/>
  <c r="R106" i="12"/>
  <c r="Q106" i="12"/>
  <c r="P106" i="12"/>
  <c r="O106" i="12"/>
  <c r="AM106" i="12" s="1"/>
  <c r="N106" i="12"/>
  <c r="U106" i="12" s="1"/>
  <c r="J106" i="12"/>
  <c r="T106" i="12" s="1"/>
  <c r="T107" i="12" s="1"/>
  <c r="T108" i="12" s="1"/>
  <c r="T109" i="12" s="1"/>
  <c r="T110" i="12" s="1"/>
  <c r="T111" i="12" s="1"/>
  <c r="T112" i="12" s="1"/>
  <c r="T113" i="12" s="1"/>
  <c r="T114" i="12" s="1"/>
  <c r="T115" i="12" s="1"/>
  <c r="T116" i="12" s="1"/>
  <c r="T117" i="12" s="1"/>
  <c r="T118" i="12" s="1"/>
  <c r="T119" i="12" s="1"/>
  <c r="T120" i="12" s="1"/>
  <c r="T121" i="12" s="1"/>
  <c r="T122" i="12" s="1"/>
  <c r="T123" i="12" s="1"/>
  <c r="T124" i="12" s="1"/>
  <c r="T125" i="12" s="1"/>
  <c r="T126" i="12" s="1"/>
  <c r="T127" i="12" s="1"/>
  <c r="T128" i="12" s="1"/>
  <c r="T129" i="12" s="1"/>
  <c r="T130" i="12" s="1"/>
  <c r="T131" i="12" s="1"/>
  <c r="T132" i="12" s="1"/>
  <c r="T133" i="12" s="1"/>
  <c r="T134" i="12" s="1"/>
  <c r="T135" i="12" s="1"/>
  <c r="T136" i="12" s="1"/>
  <c r="T137" i="12" s="1"/>
  <c r="T138" i="12" s="1"/>
  <c r="T139" i="12" s="1"/>
  <c r="T140" i="12" s="1"/>
  <c r="T141" i="12" s="1"/>
  <c r="T142" i="12" s="1"/>
  <c r="T143" i="12" s="1"/>
  <c r="T144" i="12" s="1"/>
  <c r="T145" i="12" s="1"/>
  <c r="T146" i="12" s="1"/>
  <c r="T147" i="12" s="1"/>
  <c r="T148" i="12" s="1"/>
  <c r="T149" i="12" s="1"/>
  <c r="T150" i="12" s="1"/>
  <c r="T151" i="12" s="1"/>
  <c r="T152" i="12" s="1"/>
  <c r="T153" i="12" s="1"/>
  <c r="T154" i="12" s="1"/>
  <c r="T155" i="12" s="1"/>
  <c r="T156" i="12" s="1"/>
  <c r="T157" i="12" s="1"/>
  <c r="B106" i="12"/>
  <c r="C106" i="12" s="1" a="1"/>
  <c r="C106" i="12" s="1"/>
  <c r="A106" i="12"/>
  <c r="BB105" i="12"/>
  <c r="BA105" i="12"/>
  <c r="Q105" i="12"/>
  <c r="P105" i="12"/>
  <c r="O105" i="12"/>
  <c r="N105" i="12"/>
  <c r="J105" i="12"/>
  <c r="C105" i="12" a="1"/>
  <c r="C105" i="12"/>
  <c r="B105" i="12"/>
  <c r="A105" i="12"/>
  <c r="BB104" i="12"/>
  <c r="BA104" i="12"/>
  <c r="AO104" i="12"/>
  <c r="AN104" i="12"/>
  <c r="AL104" i="12"/>
  <c r="AK104" i="12"/>
  <c r="R104" i="12"/>
  <c r="Q104" i="12"/>
  <c r="P104" i="12"/>
  <c r="O104" i="12"/>
  <c r="N104" i="12"/>
  <c r="J104" i="12"/>
  <c r="C104" i="12" a="1"/>
  <c r="C104" i="12" s="1"/>
  <c r="B104" i="12"/>
  <c r="A104" i="12"/>
  <c r="BB103" i="12"/>
  <c r="BA103" i="12"/>
  <c r="AS103" i="12"/>
  <c r="AO103" i="12"/>
  <c r="AN103" i="12"/>
  <c r="AL103" i="12"/>
  <c r="Q103" i="12"/>
  <c r="P103" i="12"/>
  <c r="AK103" i="12" s="1"/>
  <c r="O103" i="12"/>
  <c r="N103" i="12"/>
  <c r="J103" i="12"/>
  <c r="C103" i="12" a="1"/>
  <c r="C103" i="12" s="1"/>
  <c r="B103" i="12"/>
  <c r="A103" i="12"/>
  <c r="BA102" i="12"/>
  <c r="BB102" i="12" s="1"/>
  <c r="AJ102" i="12"/>
  <c r="Q102" i="12"/>
  <c r="AO102" i="12" s="1"/>
  <c r="P102" i="12"/>
  <c r="O102" i="12"/>
  <c r="AM102" i="12" s="1"/>
  <c r="N102" i="12"/>
  <c r="J102" i="12"/>
  <c r="B102" i="12"/>
  <c r="C102" i="12" s="1" a="1"/>
  <c r="C102" i="12" s="1"/>
  <c r="A102" i="12"/>
  <c r="BD101" i="12"/>
  <c r="BA101" i="12"/>
  <c r="BB101" i="12" s="1"/>
  <c r="AO101" i="12"/>
  <c r="AN101" i="12"/>
  <c r="AL101" i="12"/>
  <c r="AK101" i="12"/>
  <c r="AJ101" i="12"/>
  <c r="AA101" i="12"/>
  <c r="X101" i="12"/>
  <c r="S101" i="12"/>
  <c r="V101" i="12" s="1"/>
  <c r="Q101" i="12"/>
  <c r="P101" i="12"/>
  <c r="O101" i="12"/>
  <c r="R101" i="12" s="1"/>
  <c r="AD101" i="12" s="1"/>
  <c r="N101" i="12"/>
  <c r="J101" i="12"/>
  <c r="C101" i="12"/>
  <c r="B101" i="12"/>
  <c r="C101" i="12" s="1" a="1"/>
  <c r="A101" i="12"/>
  <c r="BA100" i="12"/>
  <c r="BB100" i="12" s="1"/>
  <c r="AN100" i="12"/>
  <c r="Q100" i="12"/>
  <c r="P100" i="12"/>
  <c r="AK100" i="12" s="1"/>
  <c r="O100" i="12"/>
  <c r="N100" i="12"/>
  <c r="J100" i="12"/>
  <c r="C100" i="12" a="1"/>
  <c r="C100" i="12" s="1"/>
  <c r="B100" i="12"/>
  <c r="A100" i="12"/>
  <c r="BB99" i="12"/>
  <c r="BA99" i="12"/>
  <c r="AN99" i="12"/>
  <c r="AM99" i="12"/>
  <c r="AK99" i="12"/>
  <c r="Q99" i="12"/>
  <c r="P99" i="12"/>
  <c r="O99" i="12"/>
  <c r="AJ99" i="12" s="1"/>
  <c r="N99" i="12"/>
  <c r="J99" i="12"/>
  <c r="B99" i="12"/>
  <c r="C99" i="12" s="1" a="1"/>
  <c r="C99" i="12" s="1"/>
  <c r="A99" i="12"/>
  <c r="BA98" i="12"/>
  <c r="BB98" i="12" s="1"/>
  <c r="AO98" i="12"/>
  <c r="AM98" i="12"/>
  <c r="AL98" i="12"/>
  <c r="AJ98" i="12"/>
  <c r="Q98" i="12"/>
  <c r="P98" i="12"/>
  <c r="AN98" i="12" s="1"/>
  <c r="O98" i="12"/>
  <c r="N98" i="12"/>
  <c r="J98" i="12"/>
  <c r="B98" i="12"/>
  <c r="C98" i="12" s="1" a="1"/>
  <c r="C98" i="12" s="1"/>
  <c r="A98" i="12"/>
  <c r="BA97" i="12"/>
  <c r="BB97" i="12" s="1"/>
  <c r="AY97" i="12"/>
  <c r="AN97" i="12"/>
  <c r="AM97" i="12"/>
  <c r="AJ97" i="12"/>
  <c r="Q97" i="12"/>
  <c r="P97" i="12"/>
  <c r="AK97" i="12" s="1"/>
  <c r="O97" i="12"/>
  <c r="N97" i="12"/>
  <c r="J97" i="12"/>
  <c r="B97" i="12"/>
  <c r="C97" i="12" s="1" a="1"/>
  <c r="C97" i="12" s="1"/>
  <c r="A97" i="12"/>
  <c r="BD96" i="12"/>
  <c r="BC96" i="12"/>
  <c r="BB96" i="12"/>
  <c r="BA96" i="12"/>
  <c r="AN96" i="12"/>
  <c r="AM96" i="12"/>
  <c r="AK96" i="12"/>
  <c r="AJ96" i="12"/>
  <c r="AI96" i="12"/>
  <c r="AF96" i="12"/>
  <c r="S96" i="12"/>
  <c r="Q96" i="12"/>
  <c r="AO96" i="12" s="1"/>
  <c r="P96" i="12"/>
  <c r="R96" i="12" s="1"/>
  <c r="O96" i="12"/>
  <c r="N96" i="12"/>
  <c r="J96" i="12"/>
  <c r="C96" i="12" a="1"/>
  <c r="C96" i="12" s="1"/>
  <c r="B96" i="12"/>
  <c r="A96" i="12"/>
  <c r="BA95" i="12"/>
  <c r="BB95" i="12" s="1"/>
  <c r="AS95" i="12"/>
  <c r="AO95" i="12"/>
  <c r="AN95" i="12"/>
  <c r="AL95" i="12"/>
  <c r="AK95" i="12"/>
  <c r="AJ95" i="12"/>
  <c r="Q95" i="12"/>
  <c r="P95" i="12"/>
  <c r="O95" i="12"/>
  <c r="N95" i="12"/>
  <c r="J95" i="12"/>
  <c r="B95" i="12"/>
  <c r="C95" i="12" s="1" a="1"/>
  <c r="C95" i="12" s="1"/>
  <c r="A95" i="12"/>
  <c r="BA94" i="12"/>
  <c r="BB94" i="12" s="1"/>
  <c r="AN94" i="12"/>
  <c r="AK94" i="12"/>
  <c r="AI94" i="12"/>
  <c r="AH94" i="12"/>
  <c r="AG94" i="12"/>
  <c r="V94" i="12"/>
  <c r="S94" i="12"/>
  <c r="X94" i="12" s="1"/>
  <c r="R94" i="12"/>
  <c r="Q94" i="12"/>
  <c r="P94" i="12"/>
  <c r="O94" i="12"/>
  <c r="AM94" i="12" s="1"/>
  <c r="N94" i="12"/>
  <c r="J94" i="12"/>
  <c r="C94" i="12"/>
  <c r="B94" i="12"/>
  <c r="C94" i="12" s="1" a="1"/>
  <c r="A94" i="12"/>
  <c r="BA93" i="12"/>
  <c r="BB93" i="12" s="1"/>
  <c r="AT93" i="12"/>
  <c r="AN93" i="12"/>
  <c r="AM93" i="12"/>
  <c r="AK93" i="12"/>
  <c r="AJ93" i="12"/>
  <c r="AG93" i="12"/>
  <c r="AF93" i="12"/>
  <c r="Z93" i="12"/>
  <c r="R93" i="12"/>
  <c r="AX89" i="12" s="1"/>
  <c r="Q93" i="12"/>
  <c r="P93" i="12"/>
  <c r="O93" i="12"/>
  <c r="N93" i="12"/>
  <c r="J93" i="12"/>
  <c r="C93" i="12" a="1"/>
  <c r="C93" i="12" s="1"/>
  <c r="B93" i="12"/>
  <c r="A93" i="12"/>
  <c r="BA92" i="12"/>
  <c r="BB92" i="12" s="1"/>
  <c r="AS92" i="12"/>
  <c r="AO92" i="12"/>
  <c r="Q92" i="12"/>
  <c r="AL92" i="12" s="1"/>
  <c r="P92" i="12"/>
  <c r="AN92" i="12" s="1"/>
  <c r="O92" i="12"/>
  <c r="N92" i="12"/>
  <c r="J92" i="12"/>
  <c r="C92" i="12" a="1"/>
  <c r="C92" i="12"/>
  <c r="B92" i="12"/>
  <c r="A92" i="12"/>
  <c r="BB91" i="12"/>
  <c r="BA91" i="12"/>
  <c r="AO91" i="12"/>
  <c r="Q91" i="12"/>
  <c r="AL91" i="12" s="1"/>
  <c r="P91" i="12"/>
  <c r="O91" i="12"/>
  <c r="N91" i="12"/>
  <c r="J91" i="12"/>
  <c r="C91" i="12" a="1"/>
  <c r="C91" i="12"/>
  <c r="B91" i="12"/>
  <c r="A91" i="12"/>
  <c r="BB90" i="12"/>
  <c r="BA90" i="12"/>
  <c r="AO90" i="12"/>
  <c r="AN90" i="12"/>
  <c r="AM90" i="12"/>
  <c r="AL90" i="12"/>
  <c r="AK90" i="12"/>
  <c r="AH90" i="12"/>
  <c r="AF90" i="12"/>
  <c r="AC90" i="12"/>
  <c r="AB90" i="12"/>
  <c r="W90" i="12"/>
  <c r="S90" i="12"/>
  <c r="X90" i="12" s="1"/>
  <c r="R90" i="12"/>
  <c r="Q90" i="12"/>
  <c r="P90" i="12"/>
  <c r="O90" i="12"/>
  <c r="AJ90" i="12" s="1"/>
  <c r="N90" i="12"/>
  <c r="J90" i="12"/>
  <c r="C90" i="12" a="1"/>
  <c r="C90" i="12"/>
  <c r="B90" i="12"/>
  <c r="A90" i="12"/>
  <c r="BB89" i="12"/>
  <c r="BA89" i="12"/>
  <c r="AO89" i="12"/>
  <c r="AL89" i="12"/>
  <c r="AK89" i="12"/>
  <c r="Q89" i="12"/>
  <c r="P89" i="12"/>
  <c r="AN89" i="12" s="1"/>
  <c r="O89" i="12"/>
  <c r="N89" i="12"/>
  <c r="J89" i="12"/>
  <c r="C89" i="12" a="1"/>
  <c r="C89" i="12" s="1"/>
  <c r="B89" i="12"/>
  <c r="A89" i="12"/>
  <c r="BB88" i="12"/>
  <c r="BA88" i="12"/>
  <c r="AJ88" i="12"/>
  <c r="Q88" i="12"/>
  <c r="P88" i="12"/>
  <c r="O88" i="12"/>
  <c r="N88" i="12"/>
  <c r="J88" i="12"/>
  <c r="C88" i="12" a="1"/>
  <c r="C88" i="12" s="1"/>
  <c r="B88" i="12"/>
  <c r="A88" i="12"/>
  <c r="BB87" i="12"/>
  <c r="BA87" i="12"/>
  <c r="AO87" i="12"/>
  <c r="AN87" i="12"/>
  <c r="AL87" i="12"/>
  <c r="Q87" i="12"/>
  <c r="P87" i="12"/>
  <c r="AK87" i="12" s="1"/>
  <c r="O87" i="12"/>
  <c r="N87" i="12"/>
  <c r="J87" i="12"/>
  <c r="B87" i="12"/>
  <c r="C87" i="12" s="1" a="1"/>
  <c r="C87" i="12" s="1"/>
  <c r="A87" i="12"/>
  <c r="BA86" i="12"/>
  <c r="BB86" i="12" s="1"/>
  <c r="AO86" i="12"/>
  <c r="AN86" i="12"/>
  <c r="AF86" i="12"/>
  <c r="AD86" i="12"/>
  <c r="R86" i="12"/>
  <c r="AX82" i="12" s="1"/>
  <c r="Q86" i="12"/>
  <c r="AL86" i="12" s="1"/>
  <c r="P86" i="12"/>
  <c r="AK86" i="12" s="1"/>
  <c r="O86" i="12"/>
  <c r="N86" i="12"/>
  <c r="J86" i="12"/>
  <c r="C86" i="12" a="1"/>
  <c r="C86" i="12" s="1"/>
  <c r="B86" i="12"/>
  <c r="A86" i="12"/>
  <c r="BA85" i="12"/>
  <c r="BB85" i="12" s="1"/>
  <c r="AN85" i="12"/>
  <c r="AM85" i="12"/>
  <c r="AL85" i="12"/>
  <c r="Q85" i="12"/>
  <c r="AO85" i="12" s="1"/>
  <c r="P85" i="12"/>
  <c r="AK85" i="12" s="1"/>
  <c r="O85" i="12"/>
  <c r="AJ85" i="12" s="1"/>
  <c r="N85" i="12"/>
  <c r="J85" i="12"/>
  <c r="C85" i="12" a="1"/>
  <c r="C85" i="12"/>
  <c r="B85" i="12"/>
  <c r="A85" i="12"/>
  <c r="BC84" i="12"/>
  <c r="BB84" i="12"/>
  <c r="BA84" i="12"/>
  <c r="AN84" i="12"/>
  <c r="W84" i="12"/>
  <c r="Q84" i="12"/>
  <c r="AL84" i="12" s="1"/>
  <c r="P84" i="12"/>
  <c r="AK84" i="12" s="1"/>
  <c r="O84" i="12"/>
  <c r="R84" i="12" s="1"/>
  <c r="AY80" i="12" s="1"/>
  <c r="N84" i="12"/>
  <c r="J84" i="12"/>
  <c r="C84" i="12" a="1"/>
  <c r="C84" i="12" s="1"/>
  <c r="B84" i="12"/>
  <c r="A84" i="12"/>
  <c r="BA83" i="12"/>
  <c r="BB83" i="12" s="1"/>
  <c r="AT83" i="12"/>
  <c r="AN83" i="12"/>
  <c r="AM83" i="12"/>
  <c r="AJ83" i="12"/>
  <c r="Q83" i="12"/>
  <c r="AL83" i="12" s="1"/>
  <c r="P83" i="12"/>
  <c r="AK83" i="12" s="1"/>
  <c r="O83" i="12"/>
  <c r="R83" i="12" s="1"/>
  <c r="N83" i="12"/>
  <c r="J83" i="12"/>
  <c r="B83" i="12"/>
  <c r="C83" i="12" s="1" a="1"/>
  <c r="C83" i="12" s="1"/>
  <c r="A83" i="12"/>
  <c r="BB82" i="12"/>
  <c r="BA82" i="12"/>
  <c r="AO82" i="12"/>
  <c r="AM82" i="12"/>
  <c r="AL82" i="12"/>
  <c r="AK82" i="12"/>
  <c r="AJ82" i="12"/>
  <c r="Q82" i="12"/>
  <c r="P82" i="12"/>
  <c r="O82" i="12"/>
  <c r="N82" i="12"/>
  <c r="J82" i="12"/>
  <c r="B82" i="12"/>
  <c r="C82" i="12" s="1" a="1"/>
  <c r="C82" i="12" s="1"/>
  <c r="A82" i="12"/>
  <c r="BB81" i="12"/>
  <c r="BA81" i="12"/>
  <c r="AN81" i="12"/>
  <c r="AM81" i="12"/>
  <c r="AL81" i="12"/>
  <c r="AK81" i="12"/>
  <c r="AJ81" i="12"/>
  <c r="Q81" i="12"/>
  <c r="AO81" i="12" s="1"/>
  <c r="P81" i="12"/>
  <c r="O81" i="12"/>
  <c r="N81" i="12"/>
  <c r="J81" i="12"/>
  <c r="C81" i="12"/>
  <c r="B81" i="12"/>
  <c r="C81" i="12" s="1" a="1"/>
  <c r="A81" i="12"/>
  <c r="BB80" i="12"/>
  <c r="BA80" i="12"/>
  <c r="AO80" i="12"/>
  <c r="AM80" i="12"/>
  <c r="AL80" i="12"/>
  <c r="AJ80" i="12"/>
  <c r="Q80" i="12"/>
  <c r="P80" i="12"/>
  <c r="O80" i="12"/>
  <c r="N80" i="12"/>
  <c r="J80" i="12"/>
  <c r="C80" i="12" a="1"/>
  <c r="C80" i="12" s="1"/>
  <c r="B80" i="12"/>
  <c r="A80" i="12"/>
  <c r="BB79" i="12"/>
  <c r="BA79" i="12"/>
  <c r="AN79" i="12"/>
  <c r="AK79" i="12"/>
  <c r="Q79" i="12"/>
  <c r="P79" i="12"/>
  <c r="O79" i="12"/>
  <c r="AJ79" i="12" s="1"/>
  <c r="N79" i="12"/>
  <c r="J79" i="12"/>
  <c r="C79" i="12"/>
  <c r="B79" i="12"/>
  <c r="C79" i="12" s="1" a="1"/>
  <c r="A79" i="12"/>
  <c r="BA78" i="12"/>
  <c r="BB78" i="12" s="1"/>
  <c r="AN78" i="12"/>
  <c r="AK78" i="12"/>
  <c r="AJ78" i="12"/>
  <c r="Q78" i="12"/>
  <c r="P78" i="12"/>
  <c r="O78" i="12"/>
  <c r="AM78" i="12" s="1"/>
  <c r="N78" i="12"/>
  <c r="J78" i="12"/>
  <c r="C78" i="12" a="1"/>
  <c r="C78" i="12" s="1"/>
  <c r="B78" i="12"/>
  <c r="A78" i="12"/>
  <c r="BA77" i="12"/>
  <c r="BB77" i="12" s="1"/>
  <c r="AO77" i="12"/>
  <c r="AN77" i="12"/>
  <c r="AM77" i="12"/>
  <c r="AK77" i="12"/>
  <c r="Q77" i="12"/>
  <c r="AL77" i="12" s="1"/>
  <c r="P77" i="12"/>
  <c r="O77" i="12"/>
  <c r="N77" i="12"/>
  <c r="J77" i="12"/>
  <c r="B77" i="12"/>
  <c r="C77" i="12" s="1" a="1"/>
  <c r="C77" i="12" s="1"/>
  <c r="A77" i="12"/>
  <c r="BC76" i="12"/>
  <c r="BB76" i="12"/>
  <c r="BA76" i="12"/>
  <c r="AJ76" i="12"/>
  <c r="AD76" i="12"/>
  <c r="R76" i="12"/>
  <c r="AH76" i="12" s="1"/>
  <c r="Q76" i="12"/>
  <c r="AL76" i="12" s="1"/>
  <c r="P76" i="12"/>
  <c r="AN76" i="12" s="1"/>
  <c r="O76" i="12"/>
  <c r="AM76" i="12" s="1"/>
  <c r="N76" i="12"/>
  <c r="J76" i="12"/>
  <c r="B76" i="12"/>
  <c r="C76" i="12" s="1" a="1"/>
  <c r="C76" i="12" s="1"/>
  <c r="A76" i="12"/>
  <c r="BA75" i="12"/>
  <c r="BB75" i="12" s="1"/>
  <c r="AT75" i="12"/>
  <c r="AK75" i="12"/>
  <c r="Q75" i="12"/>
  <c r="AL75" i="12" s="1"/>
  <c r="P75" i="12"/>
  <c r="AN75" i="12" s="1"/>
  <c r="O75" i="12"/>
  <c r="AJ75" i="12" s="1"/>
  <c r="N75" i="12"/>
  <c r="J75" i="12"/>
  <c r="B75" i="12"/>
  <c r="C75" i="12" s="1" a="1"/>
  <c r="C75" i="12" s="1"/>
  <c r="A75" i="12"/>
  <c r="BA74" i="12"/>
  <c r="BB74" i="12" s="1"/>
  <c r="AO74" i="12"/>
  <c r="AN74" i="12"/>
  <c r="AL74" i="12"/>
  <c r="AJ74" i="12"/>
  <c r="AH74" i="12"/>
  <c r="AG74" i="12"/>
  <c r="AF74" i="12"/>
  <c r="AB74" i="12"/>
  <c r="AA74" i="12"/>
  <c r="W74" i="12"/>
  <c r="S74" i="12"/>
  <c r="R74" i="12"/>
  <c r="AT73" i="12" s="1"/>
  <c r="Q74" i="12"/>
  <c r="P74" i="12"/>
  <c r="AK74" i="12" s="1"/>
  <c r="O74" i="12"/>
  <c r="AM74" i="12" s="1"/>
  <c r="N74" i="12"/>
  <c r="J74" i="12"/>
  <c r="B74" i="12"/>
  <c r="C74" i="12" s="1" a="1"/>
  <c r="C74" i="12" s="1"/>
  <c r="A74" i="12"/>
  <c r="BD73" i="12"/>
  <c r="BB73" i="12"/>
  <c r="BA73" i="12"/>
  <c r="AM73" i="12"/>
  <c r="AL73" i="12"/>
  <c r="AK73" i="12"/>
  <c r="AI73" i="12"/>
  <c r="AG73" i="12"/>
  <c r="AF73" i="12"/>
  <c r="AE73" i="12"/>
  <c r="AA73" i="12"/>
  <c r="Y73" i="12"/>
  <c r="X73" i="12"/>
  <c r="S73" i="12"/>
  <c r="V73" i="12" s="1"/>
  <c r="R73" i="12"/>
  <c r="AS72" i="12" s="1"/>
  <c r="Q73" i="12"/>
  <c r="AO73" i="12" s="1"/>
  <c r="P73" i="12"/>
  <c r="AN73" i="12" s="1"/>
  <c r="O73" i="12"/>
  <c r="AJ73" i="12" s="1"/>
  <c r="N73" i="12"/>
  <c r="J73" i="12"/>
  <c r="C73" i="12" a="1"/>
  <c r="C73" i="12" s="1"/>
  <c r="B73" i="12"/>
  <c r="A73" i="12"/>
  <c r="BA72" i="12"/>
  <c r="BB72" i="12" s="1"/>
  <c r="AN72" i="12"/>
  <c r="AM72" i="12"/>
  <c r="AL72" i="12"/>
  <c r="AK72" i="12"/>
  <c r="AJ72" i="12"/>
  <c r="R72" i="12"/>
  <c r="Q72" i="12"/>
  <c r="AO72" i="12" s="1"/>
  <c r="P72" i="12"/>
  <c r="O72" i="12"/>
  <c r="N72" i="12"/>
  <c r="J72" i="12"/>
  <c r="B72" i="12"/>
  <c r="C72" i="12" s="1" a="1"/>
  <c r="C72" i="12" s="1"/>
  <c r="A72" i="12"/>
  <c r="BB71" i="12"/>
  <c r="BA71" i="12"/>
  <c r="AK71" i="12"/>
  <c r="Q71" i="12"/>
  <c r="P71" i="12"/>
  <c r="AN71" i="12" s="1"/>
  <c r="O71" i="12"/>
  <c r="N71" i="12"/>
  <c r="J71" i="12"/>
  <c r="C71" i="12" a="1"/>
  <c r="C71" i="12" s="1"/>
  <c r="B71" i="12"/>
  <c r="A71" i="12"/>
  <c r="BA70" i="12"/>
  <c r="BB70" i="12" s="1"/>
  <c r="AX70" i="12"/>
  <c r="AN70" i="12"/>
  <c r="AL70" i="12"/>
  <c r="Q70" i="12"/>
  <c r="AO70" i="12" s="1"/>
  <c r="P70" i="12"/>
  <c r="AK70" i="12" s="1"/>
  <c r="O70" i="12"/>
  <c r="N70" i="12"/>
  <c r="J70" i="12"/>
  <c r="C70" i="12" a="1"/>
  <c r="C70" i="12" s="1"/>
  <c r="B70" i="12"/>
  <c r="A70" i="12"/>
  <c r="BB69" i="12"/>
  <c r="BA69" i="12"/>
  <c r="AX69" i="12"/>
  <c r="AL69" i="12"/>
  <c r="AK69" i="12"/>
  <c r="Q69" i="12"/>
  <c r="AO69" i="12" s="1"/>
  <c r="P69" i="12"/>
  <c r="AN69" i="12" s="1"/>
  <c r="O69" i="12"/>
  <c r="N69" i="12"/>
  <c r="J69" i="12"/>
  <c r="C69" i="12" a="1"/>
  <c r="C69" i="12" s="1"/>
  <c r="B69" i="12"/>
  <c r="A69" i="12"/>
  <c r="BA68" i="12"/>
  <c r="BB68" i="12" s="1"/>
  <c r="AL68" i="12"/>
  <c r="AJ68" i="12"/>
  <c r="Q68" i="12"/>
  <c r="AO68" i="12" s="1"/>
  <c r="P68" i="12"/>
  <c r="O68" i="12"/>
  <c r="N68" i="12"/>
  <c r="J68" i="12"/>
  <c r="B68" i="12"/>
  <c r="C68" i="12" s="1" a="1"/>
  <c r="C68" i="12" s="1"/>
  <c r="A68" i="12"/>
  <c r="BA67" i="12"/>
  <c r="BB67" i="12" s="1"/>
  <c r="AO67" i="12"/>
  <c r="AM67" i="12"/>
  <c r="AJ67" i="12"/>
  <c r="Q67" i="12"/>
  <c r="AL67" i="12" s="1"/>
  <c r="P67" i="12"/>
  <c r="AN67" i="12" s="1"/>
  <c r="O67" i="12"/>
  <c r="N67" i="12"/>
  <c r="J67" i="12"/>
  <c r="C67" i="12"/>
  <c r="B67" i="12"/>
  <c r="C67" i="12" s="1" a="1"/>
  <c r="A67" i="12"/>
  <c r="BA66" i="12"/>
  <c r="BB66" i="12" s="1"/>
  <c r="AN66" i="12"/>
  <c r="AM66" i="12"/>
  <c r="AJ66" i="12"/>
  <c r="Q66" i="12"/>
  <c r="AL66" i="12" s="1"/>
  <c r="P66" i="12"/>
  <c r="O66" i="12"/>
  <c r="N66" i="12"/>
  <c r="J66" i="12"/>
  <c r="C66" i="12" a="1"/>
  <c r="C66" i="12" s="1"/>
  <c r="B66" i="12"/>
  <c r="A66" i="12"/>
  <c r="BA65" i="12"/>
  <c r="BB65" i="12" s="1"/>
  <c r="Q65" i="12"/>
  <c r="P65" i="12"/>
  <c r="AK65" i="12" s="1"/>
  <c r="O65" i="12"/>
  <c r="N65" i="12"/>
  <c r="J65" i="12"/>
  <c r="B65" i="12"/>
  <c r="C65" i="12" s="1" a="1"/>
  <c r="C65" i="12" s="1"/>
  <c r="A65" i="12"/>
  <c r="BB64" i="12"/>
  <c r="BA64" i="12"/>
  <c r="AJ64" i="12"/>
  <c r="Q64" i="12"/>
  <c r="P64" i="12"/>
  <c r="AK64" i="12" s="1"/>
  <c r="O64" i="12"/>
  <c r="AM64" i="12" s="1"/>
  <c r="N64" i="12"/>
  <c r="J64" i="12"/>
  <c r="B64" i="12"/>
  <c r="C64" i="12" s="1" a="1"/>
  <c r="C64" i="12" s="1"/>
  <c r="A64" i="12"/>
  <c r="BA63" i="12"/>
  <c r="BB63" i="12" s="1"/>
  <c r="AN63" i="12"/>
  <c r="AK63" i="12"/>
  <c r="AJ63" i="12"/>
  <c r="Q63" i="12"/>
  <c r="AL63" i="12" s="1"/>
  <c r="P63" i="12"/>
  <c r="O63" i="12"/>
  <c r="N63" i="12"/>
  <c r="J63" i="12"/>
  <c r="B63" i="12"/>
  <c r="C63" i="12" s="1" a="1"/>
  <c r="C63" i="12" s="1"/>
  <c r="A63" i="12"/>
  <c r="BC62" i="12"/>
  <c r="BA62" i="12"/>
  <c r="BB62" i="12" s="1"/>
  <c r="AN62" i="12"/>
  <c r="AM62" i="12"/>
  <c r="AJ62" i="12"/>
  <c r="AH62" i="12"/>
  <c r="AG62" i="12"/>
  <c r="AD62" i="12"/>
  <c r="AB62" i="12"/>
  <c r="AA62" i="12"/>
  <c r="W62" i="12"/>
  <c r="R62" i="12"/>
  <c r="AX58" i="12" s="1"/>
  <c r="Q62" i="12"/>
  <c r="AO62" i="12" s="1"/>
  <c r="P62" i="12"/>
  <c r="AK62" i="12" s="1"/>
  <c r="O62" i="12"/>
  <c r="N62" i="12"/>
  <c r="J62" i="12"/>
  <c r="C62" i="12" a="1"/>
  <c r="C62" i="12"/>
  <c r="B62" i="12"/>
  <c r="A62" i="12"/>
  <c r="BA61" i="12"/>
  <c r="BB61" i="12" s="1"/>
  <c r="AO61" i="12"/>
  <c r="AM61" i="12"/>
  <c r="AJ61" i="12"/>
  <c r="Q61" i="12"/>
  <c r="AL61" i="12" s="1"/>
  <c r="P61" i="12"/>
  <c r="O61" i="12"/>
  <c r="N61" i="12"/>
  <c r="J61" i="12"/>
  <c r="C61" i="12" a="1"/>
  <c r="C61" i="12" s="1"/>
  <c r="B61" i="12"/>
  <c r="A61" i="12"/>
  <c r="BA60" i="12"/>
  <c r="BB60" i="12" s="1"/>
  <c r="AO60" i="12"/>
  <c r="AN60" i="12"/>
  <c r="AL60" i="12"/>
  <c r="AK60" i="12"/>
  <c r="Q60" i="12"/>
  <c r="P60" i="12"/>
  <c r="O60" i="12"/>
  <c r="N60" i="12"/>
  <c r="J60" i="12"/>
  <c r="C60" i="12"/>
  <c r="B60" i="12"/>
  <c r="C60" i="12" s="1" a="1"/>
  <c r="A60" i="12"/>
  <c r="BB59" i="12"/>
  <c r="BA59" i="12"/>
  <c r="AN59" i="12"/>
  <c r="AL59" i="12"/>
  <c r="AK59" i="12"/>
  <c r="Q59" i="12"/>
  <c r="AO59" i="12" s="1"/>
  <c r="P59" i="12"/>
  <c r="O59" i="12"/>
  <c r="N59" i="12"/>
  <c r="J59" i="12"/>
  <c r="C59" i="12" a="1"/>
  <c r="C59" i="12"/>
  <c r="B59" i="12"/>
  <c r="A59" i="12"/>
  <c r="BB58" i="12"/>
  <c r="BA58" i="12"/>
  <c r="AM58" i="12"/>
  <c r="AJ58" i="12"/>
  <c r="R58" i="12"/>
  <c r="Q58" i="12"/>
  <c r="AO58" i="12" s="1"/>
  <c r="P58" i="12"/>
  <c r="AK58" i="12" s="1"/>
  <c r="O58" i="12"/>
  <c r="N58" i="12"/>
  <c r="J58" i="12"/>
  <c r="C58" i="12" a="1"/>
  <c r="C58" i="12"/>
  <c r="B58" i="12"/>
  <c r="A58" i="12"/>
  <c r="BB57" i="12"/>
  <c r="BA57" i="12"/>
  <c r="AN57" i="12"/>
  <c r="AM57" i="12"/>
  <c r="AK57" i="12"/>
  <c r="AJ57" i="12"/>
  <c r="Q57" i="12"/>
  <c r="AO57" i="12" s="1"/>
  <c r="P57" i="12"/>
  <c r="O57" i="12"/>
  <c r="N57" i="12"/>
  <c r="J57" i="12"/>
  <c r="B57" i="12"/>
  <c r="C57" i="12" s="1" a="1"/>
  <c r="C57" i="12" s="1"/>
  <c r="A57" i="12"/>
  <c r="BA56" i="12"/>
  <c r="BB56" i="12" s="1"/>
  <c r="AO56" i="12"/>
  <c r="AL56" i="12"/>
  <c r="Q56" i="12"/>
  <c r="P56" i="12"/>
  <c r="AK56" i="12" s="1"/>
  <c r="O56" i="12"/>
  <c r="N56" i="12"/>
  <c r="J56" i="12"/>
  <c r="C56" i="12" a="1"/>
  <c r="C56" i="12" s="1"/>
  <c r="B56" i="12"/>
  <c r="A56" i="12"/>
  <c r="BB55" i="12"/>
  <c r="BA55" i="12"/>
  <c r="AO55" i="12"/>
  <c r="AN55" i="12"/>
  <c r="AM55" i="12"/>
  <c r="AK55" i="12"/>
  <c r="Q55" i="12"/>
  <c r="AL55" i="12" s="1"/>
  <c r="P55" i="12"/>
  <c r="O55" i="12"/>
  <c r="R55" i="12" s="1"/>
  <c r="N55" i="12"/>
  <c r="J55" i="12"/>
  <c r="B55" i="12"/>
  <c r="C55" i="12" s="1" a="1"/>
  <c r="C55" i="12" s="1"/>
  <c r="A55" i="12"/>
  <c r="BA54" i="12"/>
  <c r="BB54" i="12" s="1"/>
  <c r="AX54" i="12"/>
  <c r="AN54" i="12"/>
  <c r="Q54" i="12"/>
  <c r="AL54" i="12" s="1"/>
  <c r="P54" i="12"/>
  <c r="AK54" i="12" s="1"/>
  <c r="O54" i="12"/>
  <c r="N54" i="12"/>
  <c r="U54" i="12" s="1"/>
  <c r="U55" i="12" s="1"/>
  <c r="U56" i="12" s="1"/>
  <c r="U57" i="12" s="1"/>
  <c r="U58" i="12" s="1"/>
  <c r="U59" i="12" s="1"/>
  <c r="U60" i="12" s="1"/>
  <c r="U61" i="12" s="1"/>
  <c r="U62" i="12" s="1"/>
  <c r="U63" i="12" s="1"/>
  <c r="U64" i="12" s="1"/>
  <c r="U65" i="12" s="1"/>
  <c r="U66" i="12" s="1"/>
  <c r="U67" i="12" s="1"/>
  <c r="U68" i="12" s="1"/>
  <c r="U69" i="12" s="1"/>
  <c r="U70" i="12" s="1"/>
  <c r="U71" i="12" s="1"/>
  <c r="U72" i="12" s="1"/>
  <c r="U73" i="12" s="1"/>
  <c r="U74" i="12" s="1"/>
  <c r="U75" i="12" s="1"/>
  <c r="U76" i="12" s="1"/>
  <c r="U77" i="12" s="1"/>
  <c r="U78" i="12" s="1"/>
  <c r="U79" i="12" s="1"/>
  <c r="U80" i="12" s="1"/>
  <c r="U81" i="12" s="1"/>
  <c r="U82" i="12" s="1"/>
  <c r="U83" i="12" s="1"/>
  <c r="U84" i="12" s="1"/>
  <c r="U85" i="12" s="1"/>
  <c r="U86" i="12" s="1"/>
  <c r="U87" i="12" s="1"/>
  <c r="U88" i="12" s="1"/>
  <c r="U89" i="12" s="1"/>
  <c r="U90" i="12" s="1"/>
  <c r="U91" i="12" s="1"/>
  <c r="U92" i="12" s="1"/>
  <c r="U93" i="12" s="1"/>
  <c r="U94" i="12" s="1"/>
  <c r="U95" i="12" s="1"/>
  <c r="U96" i="12" s="1"/>
  <c r="U97" i="12" s="1"/>
  <c r="U98" i="12" s="1"/>
  <c r="U99" i="12" s="1"/>
  <c r="U100" i="12" s="1"/>
  <c r="U101" i="12" s="1"/>
  <c r="U102" i="12" s="1"/>
  <c r="U103" i="12" s="1"/>
  <c r="U104" i="12" s="1"/>
  <c r="U105" i="12" s="1"/>
  <c r="J54" i="12"/>
  <c r="T54" i="12" s="1"/>
  <c r="T55" i="12" s="1"/>
  <c r="T56" i="12" s="1"/>
  <c r="T57" i="12" s="1"/>
  <c r="T58" i="12" s="1"/>
  <c r="T59" i="12" s="1"/>
  <c r="T60" i="12" s="1"/>
  <c r="T61" i="12" s="1"/>
  <c r="T62" i="12" s="1"/>
  <c r="T63" i="12" s="1"/>
  <c r="T64" i="12" s="1"/>
  <c r="T65" i="12" s="1"/>
  <c r="T66" i="12" s="1"/>
  <c r="T67" i="12" s="1"/>
  <c r="T68" i="12" s="1"/>
  <c r="T69" i="12" s="1"/>
  <c r="T70" i="12" s="1"/>
  <c r="T71" i="12" s="1"/>
  <c r="T72" i="12" s="1"/>
  <c r="T73" i="12" s="1"/>
  <c r="T74" i="12" s="1"/>
  <c r="T75" i="12" s="1"/>
  <c r="T76" i="12" s="1"/>
  <c r="T77" i="12" s="1"/>
  <c r="T78" i="12" s="1"/>
  <c r="T79" i="12" s="1"/>
  <c r="T80" i="12" s="1"/>
  <c r="T81" i="12" s="1"/>
  <c r="T82" i="12" s="1"/>
  <c r="T83" i="12" s="1"/>
  <c r="T84" i="12" s="1"/>
  <c r="T85" i="12" s="1"/>
  <c r="T86" i="12" s="1"/>
  <c r="T87" i="12" s="1"/>
  <c r="T88" i="12" s="1"/>
  <c r="T89" i="12" s="1"/>
  <c r="T90" i="12" s="1"/>
  <c r="T91" i="12" s="1"/>
  <c r="T92" i="12" s="1"/>
  <c r="T93" i="12" s="1"/>
  <c r="T94" i="12" s="1"/>
  <c r="T95" i="12" s="1"/>
  <c r="T96" i="12" s="1"/>
  <c r="T97" i="12" s="1"/>
  <c r="T98" i="12" s="1"/>
  <c r="T99" i="12" s="1"/>
  <c r="T100" i="12" s="1"/>
  <c r="T101" i="12" s="1"/>
  <c r="T102" i="12" s="1"/>
  <c r="T103" i="12" s="1"/>
  <c r="T104" i="12" s="1"/>
  <c r="T105" i="12" s="1"/>
  <c r="C54" i="12" a="1"/>
  <c r="C54" i="12"/>
  <c r="B54" i="12"/>
  <c r="A54" i="12"/>
  <c r="BA53" i="12"/>
  <c r="BB53" i="12" s="1"/>
  <c r="AO53" i="12"/>
  <c r="AK53" i="12"/>
  <c r="AJ53" i="12"/>
  <c r="Q53" i="12"/>
  <c r="AL53" i="12" s="1"/>
  <c r="P53" i="12"/>
  <c r="AN53" i="12" s="1"/>
  <c r="O53" i="12"/>
  <c r="N53" i="12"/>
  <c r="J53" i="12"/>
  <c r="C53" i="12"/>
  <c r="B53" i="12"/>
  <c r="C53" i="12" s="1" a="1"/>
  <c r="A53" i="12"/>
  <c r="BB52" i="12"/>
  <c r="BA52" i="12"/>
  <c r="AM52" i="12"/>
  <c r="AL52" i="12"/>
  <c r="AJ52" i="12"/>
  <c r="Q52" i="12"/>
  <c r="AO52" i="12" s="1"/>
  <c r="P52" i="12"/>
  <c r="AN52" i="12" s="1"/>
  <c r="O52" i="12"/>
  <c r="N52" i="12"/>
  <c r="J52" i="12"/>
  <c r="C52" i="12" a="1"/>
  <c r="C52" i="12" s="1"/>
  <c r="B52" i="12"/>
  <c r="A52" i="12"/>
  <c r="BA51" i="12"/>
  <c r="BB51" i="12" s="1"/>
  <c r="AO51" i="12"/>
  <c r="Q51" i="12"/>
  <c r="AL51" i="12" s="1"/>
  <c r="P51" i="12"/>
  <c r="AN51" i="12" s="1"/>
  <c r="O51" i="12"/>
  <c r="AM51" i="12" s="1"/>
  <c r="N51" i="12"/>
  <c r="J51" i="12"/>
  <c r="C51" i="12" a="1"/>
  <c r="C51" i="12"/>
  <c r="B51" i="12"/>
  <c r="A51" i="12"/>
  <c r="BB50" i="12"/>
  <c r="BA50" i="12"/>
  <c r="AO50" i="12"/>
  <c r="AL50" i="12"/>
  <c r="AK50" i="12"/>
  <c r="AJ50" i="12"/>
  <c r="Q50" i="12"/>
  <c r="P50" i="12"/>
  <c r="AN50" i="12" s="1"/>
  <c r="O50" i="12"/>
  <c r="N50" i="12"/>
  <c r="J50" i="12"/>
  <c r="C50" i="12" a="1"/>
  <c r="C50" i="12" s="1"/>
  <c r="B50" i="12"/>
  <c r="A50" i="12"/>
  <c r="BC49" i="12"/>
  <c r="BB49" i="12"/>
  <c r="BA49" i="12"/>
  <c r="AO49" i="12"/>
  <c r="AN49" i="12"/>
  <c r="AL49" i="12"/>
  <c r="AC49" i="12"/>
  <c r="AA49" i="12"/>
  <c r="Z49" i="12"/>
  <c r="R49" i="12"/>
  <c r="W49" i="12" s="1"/>
  <c r="Q49" i="12"/>
  <c r="P49" i="12"/>
  <c r="AK49" i="12" s="1"/>
  <c r="O49" i="12"/>
  <c r="AJ49" i="12" s="1"/>
  <c r="N49" i="12"/>
  <c r="J49" i="12"/>
  <c r="D49" i="12"/>
  <c r="E49" i="12" s="1"/>
  <c r="D50" i="12" s="1"/>
  <c r="E50" i="12" s="1"/>
  <c r="D51" i="12" s="1"/>
  <c r="E51" i="12" s="1"/>
  <c r="D52" i="12" s="1"/>
  <c r="E52" i="12" s="1"/>
  <c r="D53" i="12" s="1"/>
  <c r="E53" i="12" s="1"/>
  <c r="D54" i="12" s="1"/>
  <c r="E54" i="12" s="1"/>
  <c r="D55" i="12" s="1"/>
  <c r="E55" i="12" s="1"/>
  <c r="D56" i="12" s="1"/>
  <c r="E56" i="12" s="1"/>
  <c r="D57" i="12" s="1"/>
  <c r="E57" i="12" s="1"/>
  <c r="D58" i="12" s="1"/>
  <c r="E58" i="12" s="1"/>
  <c r="D59" i="12" s="1"/>
  <c r="E59" i="12" s="1"/>
  <c r="D60" i="12" s="1"/>
  <c r="E60" i="12" s="1"/>
  <c r="D61" i="12" s="1"/>
  <c r="E61" i="12" s="1"/>
  <c r="D62" i="12" s="1"/>
  <c r="E62" i="12" s="1"/>
  <c r="D63" i="12" s="1"/>
  <c r="E63" i="12" s="1"/>
  <c r="D64" i="12" s="1"/>
  <c r="E64" i="12" s="1"/>
  <c r="D65" i="12" s="1"/>
  <c r="E65" i="12" s="1"/>
  <c r="D66" i="12" s="1"/>
  <c r="E66" i="12" s="1"/>
  <c r="D67" i="12" s="1"/>
  <c r="E67" i="12" s="1"/>
  <c r="D68" i="12" s="1"/>
  <c r="E68" i="12" s="1"/>
  <c r="D69" i="12" s="1"/>
  <c r="E69" i="12" s="1"/>
  <c r="D70" i="12" s="1"/>
  <c r="E70" i="12" s="1"/>
  <c r="D71" i="12" s="1"/>
  <c r="E71" i="12" s="1"/>
  <c r="D72" i="12" s="1"/>
  <c r="E72" i="12" s="1"/>
  <c r="D73" i="12" s="1"/>
  <c r="E73" i="12" s="1"/>
  <c r="D74" i="12" s="1"/>
  <c r="E74" i="12" s="1"/>
  <c r="D75" i="12" s="1"/>
  <c r="E75" i="12" s="1"/>
  <c r="D76" i="12" s="1"/>
  <c r="E76" i="12" s="1"/>
  <c r="D77" i="12" s="1"/>
  <c r="E77" i="12" s="1"/>
  <c r="D78" i="12" s="1"/>
  <c r="E78" i="12" s="1"/>
  <c r="D79" i="12" s="1"/>
  <c r="E79" i="12" s="1"/>
  <c r="D80" i="12" s="1"/>
  <c r="E80" i="12" s="1"/>
  <c r="D81" i="12" s="1"/>
  <c r="E81" i="12" s="1"/>
  <c r="D82" i="12" s="1"/>
  <c r="E82" i="12" s="1"/>
  <c r="D83" i="12" s="1"/>
  <c r="E83" i="12" s="1"/>
  <c r="D84" i="12" s="1"/>
  <c r="E84" i="12" s="1"/>
  <c r="D85" i="12" s="1"/>
  <c r="E85" i="12" s="1"/>
  <c r="D86" i="12" s="1"/>
  <c r="E86" i="12" s="1"/>
  <c r="D87" i="12" s="1"/>
  <c r="E87" i="12" s="1"/>
  <c r="D88" i="12" s="1"/>
  <c r="E88" i="12" s="1"/>
  <c r="D89" i="12" s="1"/>
  <c r="E89" i="12" s="1"/>
  <c r="D90" i="12" s="1"/>
  <c r="E90" i="12" s="1"/>
  <c r="D91" i="12" s="1"/>
  <c r="E91" i="12" s="1"/>
  <c r="D92" i="12" s="1"/>
  <c r="E92" i="12" s="1"/>
  <c r="D93" i="12" s="1"/>
  <c r="E93" i="12" s="1"/>
  <c r="D94" i="12" s="1"/>
  <c r="E94" i="12" s="1"/>
  <c r="D95" i="12" s="1"/>
  <c r="E95" i="12" s="1"/>
  <c r="D96" i="12" s="1"/>
  <c r="E96" i="12" s="1"/>
  <c r="D97" i="12" s="1"/>
  <c r="E97" i="12" s="1"/>
  <c r="D98" i="12" s="1"/>
  <c r="E98" i="12" s="1"/>
  <c r="D99" i="12" s="1"/>
  <c r="E99" i="12" s="1"/>
  <c r="D100" i="12" s="1"/>
  <c r="E100" i="12" s="1"/>
  <c r="D101" i="12" s="1"/>
  <c r="E101" i="12" s="1"/>
  <c r="D102" i="12" s="1"/>
  <c r="E102" i="12" s="1"/>
  <c r="D103" i="12" s="1"/>
  <c r="E103" i="12" s="1"/>
  <c r="D104" i="12" s="1"/>
  <c r="E104" i="12" s="1"/>
  <c r="D105" i="12" s="1"/>
  <c r="E105" i="12" s="1"/>
  <c r="D106" i="12" s="1"/>
  <c r="E106" i="12" s="1"/>
  <c r="D107" i="12" s="1"/>
  <c r="E107" i="12" s="1"/>
  <c r="D108" i="12" s="1"/>
  <c r="E108" i="12" s="1"/>
  <c r="D109" i="12" s="1"/>
  <c r="E109" i="12" s="1"/>
  <c r="D110" i="12" s="1"/>
  <c r="E110" i="12" s="1"/>
  <c r="D111" i="12" s="1"/>
  <c r="E111" i="12" s="1"/>
  <c r="D112" i="12" s="1"/>
  <c r="E112" i="12" s="1"/>
  <c r="D113" i="12" s="1"/>
  <c r="E113" i="12" s="1"/>
  <c r="D114" i="12" s="1"/>
  <c r="E114" i="12" s="1"/>
  <c r="D115" i="12" s="1"/>
  <c r="E115" i="12" s="1"/>
  <c r="D116" i="12" s="1"/>
  <c r="E116" i="12" s="1"/>
  <c r="D117" i="12" s="1"/>
  <c r="E117" i="12" s="1"/>
  <c r="D118" i="12" s="1"/>
  <c r="E118" i="12" s="1"/>
  <c r="D119" i="12" s="1"/>
  <c r="E119" i="12" s="1"/>
  <c r="D120" i="12" s="1"/>
  <c r="E120" i="12" s="1"/>
  <c r="D121" i="12" s="1"/>
  <c r="E121" i="12" s="1"/>
  <c r="D122" i="12" s="1"/>
  <c r="E122" i="12" s="1"/>
  <c r="D123" i="12" s="1"/>
  <c r="E123" i="12" s="1"/>
  <c r="D124" i="12" s="1"/>
  <c r="E124" i="12" s="1"/>
  <c r="D125" i="12" s="1"/>
  <c r="E125" i="12" s="1"/>
  <c r="D126" i="12" s="1"/>
  <c r="E126" i="12" s="1"/>
  <c r="D127" i="12" s="1"/>
  <c r="E127" i="12" s="1"/>
  <c r="D128" i="12" s="1"/>
  <c r="E128" i="12" s="1"/>
  <c r="D129" i="12" s="1"/>
  <c r="E129" i="12" s="1"/>
  <c r="D130" i="12" s="1"/>
  <c r="E130" i="12" s="1"/>
  <c r="D131" i="12" s="1"/>
  <c r="E131" i="12" s="1"/>
  <c r="D132" i="12" s="1"/>
  <c r="E132" i="12" s="1"/>
  <c r="D133" i="12" s="1"/>
  <c r="E133" i="12" s="1"/>
  <c r="D134" i="12" s="1"/>
  <c r="E134" i="12" s="1"/>
  <c r="D135" i="12" s="1"/>
  <c r="E135" i="12" s="1"/>
  <c r="D136" i="12" s="1"/>
  <c r="E136" i="12" s="1"/>
  <c r="D137" i="12" s="1"/>
  <c r="E137" i="12" s="1"/>
  <c r="D138" i="12" s="1"/>
  <c r="E138" i="12" s="1"/>
  <c r="D139" i="12" s="1"/>
  <c r="E139" i="12" s="1"/>
  <c r="D140" i="12" s="1"/>
  <c r="E140" i="12" s="1"/>
  <c r="D141" i="12" s="1"/>
  <c r="E141" i="12" s="1"/>
  <c r="D142" i="12" s="1"/>
  <c r="E142" i="12" s="1"/>
  <c r="D143" i="12" s="1"/>
  <c r="E143" i="12" s="1"/>
  <c r="D144" i="12" s="1"/>
  <c r="E144" i="12" s="1"/>
  <c r="D145" i="12" s="1"/>
  <c r="E145" i="12" s="1"/>
  <c r="D146" i="12" s="1"/>
  <c r="E146" i="12" s="1"/>
  <c r="D147" i="12" s="1"/>
  <c r="E147" i="12" s="1"/>
  <c r="D148" i="12" s="1"/>
  <c r="E148" i="12" s="1"/>
  <c r="D149" i="12" s="1"/>
  <c r="E149" i="12" s="1"/>
  <c r="D150" i="12" s="1"/>
  <c r="E150" i="12" s="1"/>
  <c r="D151" i="12" s="1"/>
  <c r="E151" i="12" s="1"/>
  <c r="D152" i="12" s="1"/>
  <c r="E152" i="12" s="1"/>
  <c r="D153" i="12" s="1"/>
  <c r="E153" i="12" s="1"/>
  <c r="D154" i="12" s="1"/>
  <c r="E154" i="12" s="1"/>
  <c r="D155" i="12" s="1"/>
  <c r="E155" i="12" s="1"/>
  <c r="D156" i="12" s="1"/>
  <c r="E156" i="12" s="1"/>
  <c r="D157" i="12" s="1"/>
  <c r="E157" i="12" s="1"/>
  <c r="D158" i="12" s="1"/>
  <c r="E158" i="12" s="1"/>
  <c r="D159" i="12" s="1"/>
  <c r="E159" i="12" s="1"/>
  <c r="D160" i="12" s="1"/>
  <c r="E160" i="12" s="1"/>
  <c r="D161" i="12" s="1"/>
  <c r="E161" i="12" s="1"/>
  <c r="D162" i="12" s="1"/>
  <c r="E162" i="12" s="1"/>
  <c r="D163" i="12" s="1"/>
  <c r="E163" i="12" s="1"/>
  <c r="D164" i="12" s="1"/>
  <c r="E164" i="12" s="1"/>
  <c r="D165" i="12" s="1"/>
  <c r="E165" i="12" s="1"/>
  <c r="D166" i="12" s="1"/>
  <c r="E166" i="12" s="1"/>
  <c r="D167" i="12" s="1"/>
  <c r="E167" i="12" s="1"/>
  <c r="D168" i="12" s="1"/>
  <c r="E168" i="12" s="1"/>
  <c r="D169" i="12" s="1"/>
  <c r="E169" i="12" s="1"/>
  <c r="D170" i="12" s="1"/>
  <c r="E170" i="12" s="1"/>
  <c r="D171" i="12" s="1"/>
  <c r="E171" i="12" s="1"/>
  <c r="D172" i="12" s="1"/>
  <c r="E172" i="12" s="1"/>
  <c r="D173" i="12" s="1"/>
  <c r="E173" i="12" s="1"/>
  <c r="D174" i="12" s="1"/>
  <c r="E174" i="12" s="1"/>
  <c r="D175" i="12" s="1"/>
  <c r="E175" i="12" s="1"/>
  <c r="D176" i="12" s="1"/>
  <c r="E176" i="12" s="1"/>
  <c r="D177" i="12" s="1"/>
  <c r="E177" i="12" s="1"/>
  <c r="D178" i="12" s="1"/>
  <c r="E178" i="12" s="1"/>
  <c r="D179" i="12" s="1"/>
  <c r="E179" i="12" s="1"/>
  <c r="D180" i="12" s="1"/>
  <c r="E180" i="12" s="1"/>
  <c r="D181" i="12" s="1"/>
  <c r="E181" i="12" s="1"/>
  <c r="D182" i="12" s="1"/>
  <c r="E182" i="12" s="1"/>
  <c r="D183" i="12" s="1"/>
  <c r="E183" i="12" s="1"/>
  <c r="D184" i="12" s="1"/>
  <c r="E184" i="12" s="1"/>
  <c r="D185" i="12" s="1"/>
  <c r="E185" i="12" s="1"/>
  <c r="D186" i="12" s="1"/>
  <c r="E186" i="12" s="1"/>
  <c r="D187" i="12" s="1"/>
  <c r="E187" i="12" s="1"/>
  <c r="D188" i="12" s="1"/>
  <c r="E188" i="12" s="1"/>
  <c r="D189" i="12" s="1"/>
  <c r="E189" i="12" s="1"/>
  <c r="D190" i="12" s="1"/>
  <c r="E190" i="12" s="1"/>
  <c r="D191" i="12" s="1"/>
  <c r="E191" i="12" s="1"/>
  <c r="D192" i="12" s="1"/>
  <c r="E192" i="12" s="1"/>
  <c r="D193" i="12" s="1"/>
  <c r="E193" i="12" s="1"/>
  <c r="D194" i="12" s="1"/>
  <c r="E194" i="12" s="1"/>
  <c r="D195" i="12" s="1"/>
  <c r="E195" i="12" s="1"/>
  <c r="D196" i="12" s="1"/>
  <c r="E196" i="12" s="1"/>
  <c r="D197" i="12" s="1"/>
  <c r="E197" i="12" s="1"/>
  <c r="D198" i="12" s="1"/>
  <c r="E198" i="12" s="1"/>
  <c r="D199" i="12" s="1"/>
  <c r="E199" i="12" s="1"/>
  <c r="D200" i="12" s="1"/>
  <c r="E200" i="12" s="1"/>
  <c r="D201" i="12" s="1"/>
  <c r="E201" i="12" s="1"/>
  <c r="D202" i="12" s="1"/>
  <c r="E202" i="12" s="1"/>
  <c r="D203" i="12" s="1"/>
  <c r="E203" i="12" s="1"/>
  <c r="D204" i="12" s="1"/>
  <c r="E204" i="12" s="1"/>
  <c r="D205" i="12" s="1"/>
  <c r="E205" i="12" s="1"/>
  <c r="D206" i="12" s="1"/>
  <c r="E206" i="12" s="1"/>
  <c r="D207" i="12" s="1"/>
  <c r="E207" i="12" s="1"/>
  <c r="D208" i="12" s="1"/>
  <c r="E208" i="12" s="1"/>
  <c r="D209" i="12" s="1"/>
  <c r="E209" i="12" s="1"/>
  <c r="D210" i="12" s="1"/>
  <c r="E210" i="12" s="1"/>
  <c r="D211" i="12" s="1"/>
  <c r="E211" i="12" s="1"/>
  <c r="D212" i="12" s="1"/>
  <c r="E212" i="12" s="1"/>
  <c r="D213" i="12" s="1"/>
  <c r="E213" i="12" s="1"/>
  <c r="D214" i="12" s="1"/>
  <c r="E214" i="12" s="1"/>
  <c r="D215" i="12" s="1"/>
  <c r="E215" i="12" s="1"/>
  <c r="D216" i="12" s="1"/>
  <c r="E216" i="12" s="1"/>
  <c r="D217" i="12" s="1"/>
  <c r="E217" i="12" s="1"/>
  <c r="D218" i="12" s="1"/>
  <c r="E218" i="12" s="1"/>
  <c r="D219" i="12" s="1"/>
  <c r="E219" i="12" s="1"/>
  <c r="D220" i="12" s="1"/>
  <c r="E220" i="12" s="1"/>
  <c r="D221" i="12" s="1"/>
  <c r="E221" i="12" s="1"/>
  <c r="D222" i="12" s="1"/>
  <c r="E222" i="12" s="1"/>
  <c r="D223" i="12" s="1"/>
  <c r="E223" i="12" s="1"/>
  <c r="D224" i="12" s="1"/>
  <c r="E224" i="12" s="1"/>
  <c r="D225" i="12" s="1"/>
  <c r="E225" i="12" s="1"/>
  <c r="D226" i="12" s="1"/>
  <c r="E226" i="12" s="1"/>
  <c r="D227" i="12" s="1"/>
  <c r="E227" i="12" s="1"/>
  <c r="D228" i="12" s="1"/>
  <c r="E228" i="12" s="1"/>
  <c r="D229" i="12" s="1"/>
  <c r="E229" i="12" s="1"/>
  <c r="D230" i="12" s="1"/>
  <c r="E230" i="12" s="1"/>
  <c r="D231" i="12" s="1"/>
  <c r="E231" i="12" s="1"/>
  <c r="D232" i="12" s="1"/>
  <c r="E232" i="12" s="1"/>
  <c r="D233" i="12" s="1"/>
  <c r="E233" i="12" s="1"/>
  <c r="D234" i="12" s="1"/>
  <c r="E234" i="12" s="1"/>
  <c r="D235" i="12" s="1"/>
  <c r="E235" i="12" s="1"/>
  <c r="D236" i="12" s="1"/>
  <c r="E236" i="12" s="1"/>
  <c r="D237" i="12" s="1"/>
  <c r="E237" i="12" s="1"/>
  <c r="D238" i="12" s="1"/>
  <c r="E238" i="12" s="1"/>
  <c r="D239" i="12" s="1"/>
  <c r="E239" i="12" s="1"/>
  <c r="D240" i="12" s="1"/>
  <c r="E240" i="12" s="1"/>
  <c r="D241" i="12" s="1"/>
  <c r="E241" i="12" s="1"/>
  <c r="D242" i="12" s="1"/>
  <c r="E242" i="12" s="1"/>
  <c r="D243" i="12" s="1"/>
  <c r="E243" i="12" s="1"/>
  <c r="D244" i="12" s="1"/>
  <c r="E244" i="12" s="1"/>
  <c r="D245" i="12" s="1"/>
  <c r="E245" i="12" s="1"/>
  <c r="D246" i="12" s="1"/>
  <c r="E246" i="12" s="1"/>
  <c r="D247" i="12" s="1"/>
  <c r="E247" i="12" s="1"/>
  <c r="D248" i="12" s="1"/>
  <c r="E248" i="12" s="1"/>
  <c r="D249" i="12" s="1"/>
  <c r="E249" i="12" s="1"/>
  <c r="D250" i="12" s="1"/>
  <c r="E250" i="12" s="1"/>
  <c r="D251" i="12" s="1"/>
  <c r="E251" i="12" s="1"/>
  <c r="D252" i="12" s="1"/>
  <c r="E252" i="12" s="1"/>
  <c r="D253" i="12" s="1"/>
  <c r="E253" i="12" s="1"/>
  <c r="D254" i="12" s="1"/>
  <c r="E254" i="12" s="1"/>
  <c r="D255" i="12" s="1"/>
  <c r="E255" i="12" s="1"/>
  <c r="D256" i="12" s="1"/>
  <c r="E256" i="12" s="1"/>
  <c r="D257" i="12" s="1"/>
  <c r="E257" i="12" s="1"/>
  <c r="D258" i="12" s="1"/>
  <c r="E258" i="12" s="1"/>
  <c r="D259" i="12" s="1"/>
  <c r="E259" i="12" s="1"/>
  <c r="D260" i="12" s="1"/>
  <c r="E260" i="12" s="1"/>
  <c r="D261" i="12" s="1"/>
  <c r="E261" i="12" s="1"/>
  <c r="D262" i="12" s="1"/>
  <c r="E262" i="12" s="1"/>
  <c r="D263" i="12" s="1"/>
  <c r="E263" i="12" s="1"/>
  <c r="D264" i="12" s="1"/>
  <c r="E264" i="12" s="1"/>
  <c r="D265" i="12" s="1"/>
  <c r="E265" i="12" s="1"/>
  <c r="D266" i="12" s="1"/>
  <c r="E266" i="12" s="1"/>
  <c r="D267" i="12" s="1"/>
  <c r="E267" i="12" s="1"/>
  <c r="D268" i="12" s="1"/>
  <c r="E268" i="12" s="1"/>
  <c r="D269" i="12" s="1"/>
  <c r="E269" i="12" s="1"/>
  <c r="D270" i="12" s="1"/>
  <c r="E270" i="12" s="1"/>
  <c r="D271" i="12" s="1"/>
  <c r="E271" i="12" s="1"/>
  <c r="D272" i="12" s="1"/>
  <c r="E272" i="12" s="1"/>
  <c r="D273" i="12" s="1"/>
  <c r="E273" i="12" s="1"/>
  <c r="D274" i="12" s="1"/>
  <c r="E274" i="12" s="1"/>
  <c r="D275" i="12" s="1"/>
  <c r="E275" i="12" s="1"/>
  <c r="D276" i="12" s="1"/>
  <c r="E276" i="12" s="1"/>
  <c r="D277" i="12" s="1"/>
  <c r="E277" i="12" s="1"/>
  <c r="D278" i="12" s="1"/>
  <c r="E278" i="12" s="1"/>
  <c r="D279" i="12" s="1"/>
  <c r="E279" i="12" s="1"/>
  <c r="D280" i="12" s="1"/>
  <c r="E280" i="12" s="1"/>
  <c r="D281" i="12" s="1"/>
  <c r="E281" i="12" s="1"/>
  <c r="D282" i="12" s="1"/>
  <c r="E282" i="12" s="1"/>
  <c r="D283" i="12" s="1"/>
  <c r="E283" i="12" s="1"/>
  <c r="D284" i="12" s="1"/>
  <c r="E284" i="12" s="1"/>
  <c r="D285" i="12" s="1"/>
  <c r="E285" i="12" s="1"/>
  <c r="D286" i="12" s="1"/>
  <c r="E286" i="12" s="1"/>
  <c r="D287" i="12" s="1"/>
  <c r="E287" i="12" s="1"/>
  <c r="D288" i="12" s="1"/>
  <c r="E288" i="12" s="1"/>
  <c r="D289" i="12" s="1"/>
  <c r="E289" i="12" s="1"/>
  <c r="D290" i="12" s="1"/>
  <c r="E290" i="12" s="1"/>
  <c r="D291" i="12" s="1"/>
  <c r="E291" i="12" s="1"/>
  <c r="D292" i="12" s="1"/>
  <c r="E292" i="12" s="1"/>
  <c r="D293" i="12" s="1"/>
  <c r="E293" i="12" s="1"/>
  <c r="D294" i="12" s="1"/>
  <c r="E294" i="12" s="1"/>
  <c r="D295" i="12" s="1"/>
  <c r="E295" i="12" s="1"/>
  <c r="D296" i="12" s="1"/>
  <c r="E296" i="12" s="1"/>
  <c r="D297" i="12" s="1"/>
  <c r="E297" i="12" s="1"/>
  <c r="D298" i="12" s="1"/>
  <c r="E298" i="12" s="1"/>
  <c r="D299" i="12" s="1"/>
  <c r="E299" i="12" s="1"/>
  <c r="D300" i="12" s="1"/>
  <c r="E300" i="12" s="1"/>
  <c r="D301" i="12" s="1"/>
  <c r="E301" i="12" s="1"/>
  <c r="D302" i="12" s="1"/>
  <c r="E302" i="12" s="1"/>
  <c r="D303" i="12" s="1"/>
  <c r="E303" i="12" s="1"/>
  <c r="D304" i="12" s="1"/>
  <c r="E304" i="12" s="1"/>
  <c r="D305" i="12" s="1"/>
  <c r="E305" i="12" s="1"/>
  <c r="D306" i="12" s="1"/>
  <c r="E306" i="12" s="1"/>
  <c r="D307" i="12" s="1"/>
  <c r="E307" i="12" s="1"/>
  <c r="D308" i="12" s="1"/>
  <c r="E308" i="12" s="1"/>
  <c r="D309" i="12" s="1"/>
  <c r="E309" i="12" s="1"/>
  <c r="D310" i="12" s="1"/>
  <c r="E310" i="12" s="1"/>
  <c r="D311" i="12" s="1"/>
  <c r="E311" i="12" s="1"/>
  <c r="D312" i="12" s="1"/>
  <c r="E312" i="12" s="1"/>
  <c r="D313" i="12" s="1"/>
  <c r="E313" i="12" s="1"/>
  <c r="D314" i="12" s="1"/>
  <c r="E314" i="12" s="1"/>
  <c r="C49" i="12" a="1"/>
  <c r="C49" i="12" s="1"/>
  <c r="B49" i="12"/>
  <c r="A49" i="12"/>
  <c r="BC48" i="12"/>
  <c r="BA48" i="12"/>
  <c r="BB48" i="12" s="1"/>
  <c r="AT48" i="12"/>
  <c r="AN48" i="12"/>
  <c r="AM48" i="12"/>
  <c r="AL48" i="12"/>
  <c r="AJ48" i="12"/>
  <c r="AC48" i="12"/>
  <c r="Y48" i="12"/>
  <c r="R48" i="12"/>
  <c r="AG48" i="12" s="1"/>
  <c r="Q48" i="12"/>
  <c r="AO48" i="12" s="1"/>
  <c r="P48" i="12"/>
  <c r="AK48" i="12" s="1"/>
  <c r="O48" i="12"/>
  <c r="N48" i="12"/>
  <c r="J48" i="12"/>
  <c r="C48" i="12" a="1"/>
  <c r="C48" i="12" s="1"/>
  <c r="B48" i="12"/>
  <c r="A48" i="12"/>
  <c r="BB47" i="12"/>
  <c r="BA47" i="12"/>
  <c r="AS47" i="12"/>
  <c r="AO47" i="12"/>
  <c r="AN47" i="12"/>
  <c r="AM47" i="12"/>
  <c r="AK47" i="12"/>
  <c r="Q47" i="12"/>
  <c r="AL47" i="12" s="1"/>
  <c r="P47" i="12"/>
  <c r="O47" i="12"/>
  <c r="N47" i="12"/>
  <c r="J47" i="12"/>
  <c r="C47" i="12" a="1"/>
  <c r="C47" i="12"/>
  <c r="B47" i="12"/>
  <c r="A47" i="12"/>
  <c r="BA46" i="12"/>
  <c r="BB46" i="12" s="1"/>
  <c r="AO46" i="12"/>
  <c r="AM46" i="12"/>
  <c r="AJ46" i="12"/>
  <c r="R46" i="12"/>
  <c r="Q46" i="12"/>
  <c r="AL46" i="12" s="1"/>
  <c r="P46" i="12"/>
  <c r="AK46" i="12" s="1"/>
  <c r="O46" i="12"/>
  <c r="N46" i="12"/>
  <c r="J46" i="12"/>
  <c r="B46" i="12"/>
  <c r="C46" i="12" s="1" a="1"/>
  <c r="C46" i="12" s="1"/>
  <c r="A46" i="12"/>
  <c r="BB45" i="12"/>
  <c r="BA45" i="12"/>
  <c r="AY45" i="12"/>
  <c r="AN45" i="12"/>
  <c r="AM45" i="12"/>
  <c r="AK45" i="12"/>
  <c r="AJ45" i="12"/>
  <c r="Q45" i="12"/>
  <c r="P45" i="12"/>
  <c r="O45" i="12"/>
  <c r="N45" i="12"/>
  <c r="J45" i="12"/>
  <c r="B45" i="12"/>
  <c r="C45" i="12" s="1" a="1"/>
  <c r="C45" i="12" s="1"/>
  <c r="A45" i="12"/>
  <c r="BA44" i="12"/>
  <c r="BB44" i="12" s="1"/>
  <c r="AO44" i="12"/>
  <c r="AM44" i="12"/>
  <c r="AL44" i="12"/>
  <c r="AJ44" i="12"/>
  <c r="Q44" i="12"/>
  <c r="P44" i="12"/>
  <c r="AK44" i="12" s="1"/>
  <c r="O44" i="12"/>
  <c r="N44" i="12"/>
  <c r="J44" i="12"/>
  <c r="B44" i="12"/>
  <c r="C44" i="12" s="1" a="1"/>
  <c r="C44" i="12" s="1"/>
  <c r="A44" i="12"/>
  <c r="BB43" i="12"/>
  <c r="BA43" i="12"/>
  <c r="AN43" i="12"/>
  <c r="AK43" i="12"/>
  <c r="Q43" i="12"/>
  <c r="P43" i="12"/>
  <c r="O43" i="12"/>
  <c r="N43" i="12"/>
  <c r="J43" i="12"/>
  <c r="C43" i="12"/>
  <c r="B43" i="12"/>
  <c r="C43" i="12" s="1" a="1"/>
  <c r="A43" i="12"/>
  <c r="BD42" i="12"/>
  <c r="BC42" i="12"/>
  <c r="BB42" i="12"/>
  <c r="BA42" i="12"/>
  <c r="AN42" i="12"/>
  <c r="AM42" i="12"/>
  <c r="AK42" i="12"/>
  <c r="AJ42" i="12"/>
  <c r="AI42" i="12"/>
  <c r="AH42" i="12"/>
  <c r="AF42" i="12"/>
  <c r="AB42" i="12"/>
  <c r="Z42" i="12"/>
  <c r="S42" i="12"/>
  <c r="R42" i="12"/>
  <c r="Q42" i="12"/>
  <c r="AO42" i="12" s="1"/>
  <c r="P42" i="12"/>
  <c r="O42" i="12"/>
  <c r="N42" i="12"/>
  <c r="J42" i="12"/>
  <c r="C42" i="12" a="1"/>
  <c r="C42" i="12" s="1"/>
  <c r="B42" i="12"/>
  <c r="A42" i="12"/>
  <c r="BD41" i="12"/>
  <c r="BC41" i="12"/>
  <c r="BB41" i="12"/>
  <c r="BA41" i="12"/>
  <c r="AT41" i="12"/>
  <c r="AL41" i="12"/>
  <c r="AK41" i="12"/>
  <c r="AJ41" i="12"/>
  <c r="AG41" i="12"/>
  <c r="AA41" i="12"/>
  <c r="V41" i="12"/>
  <c r="S41" i="12"/>
  <c r="X41" i="12" s="1"/>
  <c r="R41" i="12"/>
  <c r="AT40" i="12" s="1"/>
  <c r="Q41" i="12"/>
  <c r="AO41" i="12" s="1"/>
  <c r="P41" i="12"/>
  <c r="AN41" i="12" s="1"/>
  <c r="O41" i="12"/>
  <c r="AM41" i="12" s="1"/>
  <c r="N41" i="12"/>
  <c r="J41" i="12"/>
  <c r="C41" i="12" a="1"/>
  <c r="C41" i="12"/>
  <c r="B41" i="12"/>
  <c r="A41" i="12"/>
  <c r="BB40" i="12"/>
  <c r="BA40" i="12"/>
  <c r="AJ40" i="12"/>
  <c r="R40" i="12"/>
  <c r="Q40" i="12"/>
  <c r="P40" i="12"/>
  <c r="O40" i="12"/>
  <c r="AM40" i="12" s="1"/>
  <c r="N40" i="12"/>
  <c r="J40" i="12"/>
  <c r="C40" i="12"/>
  <c r="B40" i="12"/>
  <c r="C40" i="12" s="1" a="1"/>
  <c r="A40" i="12"/>
  <c r="BB39" i="12"/>
  <c r="BA39" i="12"/>
  <c r="AO39" i="12"/>
  <c r="AN39" i="12"/>
  <c r="AL39" i="12"/>
  <c r="AK39" i="12"/>
  <c r="AI39" i="12"/>
  <c r="AF39" i="12"/>
  <c r="Z39" i="12"/>
  <c r="S39" i="12"/>
  <c r="V39" i="12" s="1"/>
  <c r="R39" i="12"/>
  <c r="AS38" i="12" s="1"/>
  <c r="Q39" i="12"/>
  <c r="P39" i="12"/>
  <c r="O39" i="12"/>
  <c r="N39" i="12"/>
  <c r="J39" i="12"/>
  <c r="C39" i="12" a="1"/>
  <c r="C39" i="12" s="1"/>
  <c r="B39" i="12"/>
  <c r="A39" i="12"/>
  <c r="BB38" i="12"/>
  <c r="BA38" i="12"/>
  <c r="AX38" i="12"/>
  <c r="AH38" i="12"/>
  <c r="AE38" i="12"/>
  <c r="Z38" i="12"/>
  <c r="S38" i="12"/>
  <c r="R38" i="12"/>
  <c r="Q38" i="12"/>
  <c r="P38" i="12"/>
  <c r="AN38" i="12" s="1"/>
  <c r="O38" i="12"/>
  <c r="N38" i="12"/>
  <c r="J38" i="12"/>
  <c r="C38" i="12" a="1"/>
  <c r="C38" i="12" s="1"/>
  <c r="B38" i="12"/>
  <c r="A38" i="12"/>
  <c r="BC37" i="12"/>
  <c r="BA37" i="12"/>
  <c r="BB37" i="12" s="1"/>
  <c r="AY37" i="12"/>
  <c r="AX37" i="12"/>
  <c r="AK37" i="12"/>
  <c r="AI37" i="12"/>
  <c r="AH37" i="12"/>
  <c r="AG37" i="12"/>
  <c r="AF37" i="12"/>
  <c r="AD37" i="12"/>
  <c r="AB37" i="12"/>
  <c r="V37" i="12"/>
  <c r="S37" i="12"/>
  <c r="X37" i="12" s="1"/>
  <c r="R37" i="12"/>
  <c r="AS36" i="12" s="1"/>
  <c r="Q37" i="12"/>
  <c r="P37" i="12"/>
  <c r="AN37" i="12" s="1"/>
  <c r="O37" i="12"/>
  <c r="AM37" i="12" s="1"/>
  <c r="N37" i="12"/>
  <c r="J37" i="12"/>
  <c r="C37" i="12" a="1"/>
  <c r="C37" i="12" s="1"/>
  <c r="B37" i="12"/>
  <c r="A37" i="12"/>
  <c r="BC36" i="12"/>
  <c r="BB36" i="12"/>
  <c r="BA36" i="12"/>
  <c r="AO36" i="12"/>
  <c r="AL36" i="12"/>
  <c r="AK36" i="12"/>
  <c r="AI36" i="12"/>
  <c r="AC36" i="12"/>
  <c r="W36" i="12"/>
  <c r="Q36" i="12"/>
  <c r="P36" i="12"/>
  <c r="AN36" i="12" s="1"/>
  <c r="O36" i="12"/>
  <c r="R36" i="12" s="1"/>
  <c r="AH36" i="12" s="1"/>
  <c r="N36" i="12"/>
  <c r="J36" i="12"/>
  <c r="B36" i="12"/>
  <c r="C36" i="12" s="1" a="1"/>
  <c r="C36" i="12" s="1"/>
  <c r="A36" i="12"/>
  <c r="BB35" i="12"/>
  <c r="BA35" i="12"/>
  <c r="AO35" i="12"/>
  <c r="AN35" i="12"/>
  <c r="AM35" i="12"/>
  <c r="AL35" i="12"/>
  <c r="AB35" i="12"/>
  <c r="AA35" i="12"/>
  <c r="R35" i="12"/>
  <c r="Q35" i="12"/>
  <c r="P35" i="12"/>
  <c r="AK35" i="12" s="1"/>
  <c r="O35" i="12"/>
  <c r="AJ35" i="12" s="1"/>
  <c r="N35" i="12"/>
  <c r="J35" i="12"/>
  <c r="C35" i="12" a="1"/>
  <c r="C35" i="12" s="1"/>
  <c r="B35" i="12"/>
  <c r="A35" i="12"/>
  <c r="BB34" i="12"/>
  <c r="BA34" i="12"/>
  <c r="AS34" i="12"/>
  <c r="AN34" i="12"/>
  <c r="AL34" i="12"/>
  <c r="AJ34" i="12"/>
  <c r="Q34" i="12"/>
  <c r="AO34" i="12" s="1"/>
  <c r="P34" i="12"/>
  <c r="AK34" i="12" s="1"/>
  <c r="O34" i="12"/>
  <c r="N34" i="12"/>
  <c r="J34" i="12"/>
  <c r="C34" i="12"/>
  <c r="B34" i="12"/>
  <c r="C34" i="12" s="1" a="1"/>
  <c r="A34" i="12"/>
  <c r="BB33" i="12"/>
  <c r="BA33" i="12"/>
  <c r="AY33" i="12"/>
  <c r="AX33" i="12"/>
  <c r="AO33" i="12"/>
  <c r="Q33" i="12"/>
  <c r="AL33" i="12" s="1"/>
  <c r="P33" i="12"/>
  <c r="O33" i="12"/>
  <c r="N33" i="12"/>
  <c r="J33" i="12"/>
  <c r="C33" i="12"/>
  <c r="B33" i="12"/>
  <c r="C33" i="12" s="1" a="1"/>
  <c r="A33" i="12"/>
  <c r="BA32" i="12"/>
  <c r="BB32" i="12" s="1"/>
  <c r="AY32" i="12"/>
  <c r="AX32" i="12"/>
  <c r="AO32" i="12"/>
  <c r="AI32" i="12"/>
  <c r="AH32" i="12"/>
  <c r="AG32" i="12"/>
  <c r="R32" i="12"/>
  <c r="Q32" i="12"/>
  <c r="AL32" i="12" s="1"/>
  <c r="P32" i="12"/>
  <c r="O32" i="12"/>
  <c r="N32" i="12"/>
  <c r="J32" i="12"/>
  <c r="B32" i="12"/>
  <c r="C32" i="12" s="1" a="1"/>
  <c r="C32" i="12" s="1"/>
  <c r="A32" i="12"/>
  <c r="BA31" i="12"/>
  <c r="BB31" i="12" s="1"/>
  <c r="AN31" i="12"/>
  <c r="AK31" i="12"/>
  <c r="Q31" i="12"/>
  <c r="P31" i="12"/>
  <c r="O31" i="12"/>
  <c r="N31" i="12"/>
  <c r="J31" i="12"/>
  <c r="B31" i="12"/>
  <c r="C31" i="12" s="1" a="1"/>
  <c r="C31" i="12" s="1"/>
  <c r="A31" i="12"/>
  <c r="BB30" i="12"/>
  <c r="BA30" i="12"/>
  <c r="AN30" i="12"/>
  <c r="AL30" i="12"/>
  <c r="AK30" i="12"/>
  <c r="Q30" i="12"/>
  <c r="AO30" i="12" s="1"/>
  <c r="P30" i="12"/>
  <c r="O30" i="12"/>
  <c r="N30" i="12"/>
  <c r="J30" i="12"/>
  <c r="C30" i="12" a="1"/>
  <c r="C30" i="12" s="1"/>
  <c r="B30" i="12"/>
  <c r="A30" i="12"/>
  <c r="BB29" i="12"/>
  <c r="BA29" i="12"/>
  <c r="AN29" i="12"/>
  <c r="AM29" i="12"/>
  <c r="AK29" i="12"/>
  <c r="AJ29" i="12"/>
  <c r="Q29" i="12"/>
  <c r="P29" i="12"/>
  <c r="O29" i="12"/>
  <c r="N29" i="12"/>
  <c r="J29" i="12"/>
  <c r="B29" i="12"/>
  <c r="C29" i="12" s="1" a="1"/>
  <c r="C29" i="12" s="1"/>
  <c r="A29" i="12"/>
  <c r="BB28" i="12"/>
  <c r="BA28" i="12"/>
  <c r="AO28" i="12"/>
  <c r="AN28" i="12"/>
  <c r="AM28" i="12"/>
  <c r="AL28" i="12"/>
  <c r="AJ28" i="12"/>
  <c r="AB28" i="12"/>
  <c r="Y28" i="12"/>
  <c r="S28" i="12"/>
  <c r="Q28" i="12"/>
  <c r="R28" i="12" s="1"/>
  <c r="P28" i="12"/>
  <c r="AK28" i="12" s="1"/>
  <c r="O28" i="12"/>
  <c r="N28" i="12"/>
  <c r="J28" i="12"/>
  <c r="C28" i="12" a="1"/>
  <c r="C28" i="12" s="1"/>
  <c r="B28" i="12"/>
  <c r="A28" i="12"/>
  <c r="BA27" i="12"/>
  <c r="BB27" i="12" s="1"/>
  <c r="AT27" i="12"/>
  <c r="AS27" i="12"/>
  <c r="AO27" i="12"/>
  <c r="AL27" i="12"/>
  <c r="AK27" i="12"/>
  <c r="Q27" i="12"/>
  <c r="P27" i="12"/>
  <c r="AN27" i="12" s="1"/>
  <c r="O27" i="12"/>
  <c r="AM27" i="12" s="1"/>
  <c r="N27" i="12"/>
  <c r="J27" i="12"/>
  <c r="C27" i="12"/>
  <c r="B27" i="12"/>
  <c r="C27" i="12" s="1" a="1"/>
  <c r="A27" i="12"/>
  <c r="BB26" i="12"/>
  <c r="BA26" i="12"/>
  <c r="AO26" i="12"/>
  <c r="AL26" i="12"/>
  <c r="AG26" i="12"/>
  <c r="AF26" i="12"/>
  <c r="AE26" i="12"/>
  <c r="AD26" i="12"/>
  <c r="AC26" i="12"/>
  <c r="AB26" i="12"/>
  <c r="Z26" i="12"/>
  <c r="W26" i="12"/>
  <c r="R26" i="12"/>
  <c r="Q26" i="12"/>
  <c r="P26" i="12"/>
  <c r="O26" i="12"/>
  <c r="N26" i="12"/>
  <c r="J26" i="12"/>
  <c r="B26" i="12"/>
  <c r="C26" i="12" s="1" a="1"/>
  <c r="C26" i="12" s="1"/>
  <c r="A26" i="12"/>
  <c r="BA25" i="12"/>
  <c r="BB25" i="12" s="1"/>
  <c r="AT25" i="12"/>
  <c r="AN25" i="12"/>
  <c r="AK25" i="12"/>
  <c r="AJ25" i="12"/>
  <c r="Q25" i="12"/>
  <c r="P25" i="12"/>
  <c r="O25" i="12"/>
  <c r="AM25" i="12" s="1"/>
  <c r="N25" i="12"/>
  <c r="J25" i="12"/>
  <c r="B25" i="12"/>
  <c r="C25" i="12" s="1" a="1"/>
  <c r="C25" i="12" s="1"/>
  <c r="A25" i="12"/>
  <c r="BB24" i="12"/>
  <c r="BA24" i="12"/>
  <c r="AO24" i="12"/>
  <c r="AN24" i="12"/>
  <c r="AM24" i="12"/>
  <c r="AL24" i="12"/>
  <c r="AK24" i="12"/>
  <c r="AJ24" i="12"/>
  <c r="R24" i="12"/>
  <c r="Q24" i="12"/>
  <c r="P24" i="12"/>
  <c r="O24" i="12"/>
  <c r="N24" i="12"/>
  <c r="J24" i="12"/>
  <c r="C24" i="12" a="1"/>
  <c r="C24" i="12" s="1"/>
  <c r="B24" i="12"/>
  <c r="A24" i="12"/>
  <c r="BB23" i="12"/>
  <c r="BA23" i="12"/>
  <c r="AO23" i="12"/>
  <c r="AM23" i="12"/>
  <c r="AK23" i="12"/>
  <c r="R23" i="12"/>
  <c r="Q23" i="12"/>
  <c r="AL23" i="12" s="1"/>
  <c r="P23" i="12"/>
  <c r="AN23" i="12" s="1"/>
  <c r="O23" i="12"/>
  <c r="AJ23" i="12" s="1"/>
  <c r="N23" i="12"/>
  <c r="J23" i="12"/>
  <c r="C23" i="12"/>
  <c r="B23" i="12"/>
  <c r="C23" i="12" s="1" a="1"/>
  <c r="A23" i="12"/>
  <c r="BA22" i="12"/>
  <c r="BB22" i="12" s="1"/>
  <c r="AY22" i="12"/>
  <c r="AX22" i="12"/>
  <c r="AO22" i="12"/>
  <c r="AN22" i="12"/>
  <c r="AL22" i="12"/>
  <c r="AK22" i="12"/>
  <c r="AJ22" i="12"/>
  <c r="AG22" i="12"/>
  <c r="AF22" i="12"/>
  <c r="AD22" i="12"/>
  <c r="AB22" i="12"/>
  <c r="Z22" i="12"/>
  <c r="W22" i="12"/>
  <c r="S22" i="12"/>
  <c r="X22" i="12" s="1"/>
  <c r="R22" i="12"/>
  <c r="AX18" i="12" s="1"/>
  <c r="Q22" i="12"/>
  <c r="P22" i="12"/>
  <c r="O22" i="12"/>
  <c r="AM22" i="12" s="1"/>
  <c r="N22" i="12"/>
  <c r="J22" i="12"/>
  <c r="B22" i="12"/>
  <c r="C22" i="12" s="1" a="1"/>
  <c r="C22" i="12" s="1"/>
  <c r="A22" i="12"/>
  <c r="BB21" i="12"/>
  <c r="BA21" i="12"/>
  <c r="AN21" i="12"/>
  <c r="AM21" i="12"/>
  <c r="AK21" i="12"/>
  <c r="AG21" i="12"/>
  <c r="AF21" i="12"/>
  <c r="AE21" i="12"/>
  <c r="AB21" i="12"/>
  <c r="Q21" i="12"/>
  <c r="R21" i="12" s="1"/>
  <c r="AX17" i="12" s="1"/>
  <c r="P21" i="12"/>
  <c r="O21" i="12"/>
  <c r="AJ21" i="12" s="1"/>
  <c r="N21" i="12"/>
  <c r="J21" i="12"/>
  <c r="C21" i="12" a="1"/>
  <c r="C21" i="12" s="1"/>
  <c r="B21" i="12"/>
  <c r="A21" i="12"/>
  <c r="BD20" i="12"/>
  <c r="BB20" i="12"/>
  <c r="BA20" i="12"/>
  <c r="AK20" i="12"/>
  <c r="AC20" i="12"/>
  <c r="AB20" i="12"/>
  <c r="Z20" i="12"/>
  <c r="R20" i="12"/>
  <c r="Q20" i="12"/>
  <c r="P20" i="12"/>
  <c r="AN20" i="12" s="1"/>
  <c r="O20" i="12"/>
  <c r="AM20" i="12" s="1"/>
  <c r="N20" i="12"/>
  <c r="J20" i="12"/>
  <c r="C20" i="12" a="1"/>
  <c r="C20" i="12"/>
  <c r="B20" i="12"/>
  <c r="A20" i="12"/>
  <c r="BA19" i="12"/>
  <c r="BB19" i="12" s="1"/>
  <c r="AY19" i="12"/>
  <c r="AO19" i="12"/>
  <c r="AL19" i="12"/>
  <c r="AK19" i="12"/>
  <c r="Q19" i="12"/>
  <c r="P19" i="12"/>
  <c r="AN19" i="12" s="1"/>
  <c r="O19" i="12"/>
  <c r="N19" i="12"/>
  <c r="J19" i="12"/>
  <c r="C19" i="12" a="1"/>
  <c r="C19" i="12" s="1"/>
  <c r="B19" i="12"/>
  <c r="A19" i="12"/>
  <c r="BD18" i="12"/>
  <c r="BC18" i="12"/>
  <c r="BA18" i="12"/>
  <c r="BB18" i="12" s="1"/>
  <c r="AY18" i="12"/>
  <c r="AO18" i="12"/>
  <c r="AN18" i="12"/>
  <c r="AM18" i="12"/>
  <c r="AL18" i="12"/>
  <c r="AJ18" i="12"/>
  <c r="AI18" i="12"/>
  <c r="AH18" i="12"/>
  <c r="AG18" i="12"/>
  <c r="Z18" i="12"/>
  <c r="Y18" i="12"/>
  <c r="V18" i="12"/>
  <c r="S18" i="12"/>
  <c r="X18" i="12" s="1"/>
  <c r="R18" i="12"/>
  <c r="Q18" i="12"/>
  <c r="P18" i="12"/>
  <c r="AK18" i="12" s="1"/>
  <c r="O18" i="12"/>
  <c r="N18" i="12"/>
  <c r="J18" i="12"/>
  <c r="C18" i="12" a="1"/>
  <c r="C18" i="12" s="1"/>
  <c r="B18" i="12"/>
  <c r="A18" i="12"/>
  <c r="BB17" i="12"/>
  <c r="BA17" i="12"/>
  <c r="AO17" i="12"/>
  <c r="AN17" i="12"/>
  <c r="AL17" i="12"/>
  <c r="AK17" i="12"/>
  <c r="W17" i="12"/>
  <c r="R17" i="12"/>
  <c r="Q17" i="12"/>
  <c r="P17" i="12"/>
  <c r="O17" i="12"/>
  <c r="N17" i="12"/>
  <c r="J17" i="12"/>
  <c r="C17" i="12" a="1"/>
  <c r="C17" i="12" s="1"/>
  <c r="B17" i="12"/>
  <c r="A17" i="12"/>
  <c r="BB16" i="12"/>
  <c r="BA16" i="12"/>
  <c r="AY16" i="12"/>
  <c r="AX16" i="12"/>
  <c r="AT16" i="12"/>
  <c r="AJ16" i="12"/>
  <c r="Q16" i="12"/>
  <c r="P16" i="12"/>
  <c r="O16" i="12"/>
  <c r="AM16" i="12" s="1"/>
  <c r="N16" i="12"/>
  <c r="J16" i="12"/>
  <c r="C16" i="12" a="1"/>
  <c r="C16" i="12" s="1"/>
  <c r="B16" i="12"/>
  <c r="A16" i="12"/>
  <c r="BA15" i="12"/>
  <c r="BB15" i="12" s="1"/>
  <c r="AO15" i="12"/>
  <c r="Q15" i="12"/>
  <c r="AL15" i="12" s="1"/>
  <c r="P15" i="12"/>
  <c r="AK15" i="12" s="1"/>
  <c r="O15" i="12"/>
  <c r="N15" i="12"/>
  <c r="J15" i="12"/>
  <c r="B15" i="12"/>
  <c r="C15" i="12" s="1" a="1"/>
  <c r="C15" i="12" s="1"/>
  <c r="A15" i="12"/>
  <c r="BD14" i="12"/>
  <c r="BA14" i="12"/>
  <c r="BB14" i="12" s="1"/>
  <c r="AO14" i="12"/>
  <c r="AN14" i="12"/>
  <c r="AM14" i="12"/>
  <c r="AL14" i="12"/>
  <c r="AJ14" i="12"/>
  <c r="AE14" i="12"/>
  <c r="AD14" i="12"/>
  <c r="AB14" i="12"/>
  <c r="AA14" i="12"/>
  <c r="Z14" i="12"/>
  <c r="Y14" i="12"/>
  <c r="S14" i="12"/>
  <c r="R14" i="12"/>
  <c r="AH14" i="12" s="1"/>
  <c r="Q14" i="12"/>
  <c r="P14" i="12"/>
  <c r="AK14" i="12" s="1"/>
  <c r="O14" i="12"/>
  <c r="N14" i="12"/>
  <c r="J14" i="12"/>
  <c r="C14" i="12" a="1"/>
  <c r="C14" i="12" s="1"/>
  <c r="B14" i="12"/>
  <c r="A14" i="12"/>
  <c r="BB13" i="12"/>
  <c r="BA13" i="12"/>
  <c r="AT13" i="12"/>
  <c r="AS13" i="12"/>
  <c r="AN13" i="12"/>
  <c r="AM13" i="12"/>
  <c r="AJ13" i="12"/>
  <c r="S13" i="12"/>
  <c r="R13" i="12"/>
  <c r="Q13" i="12"/>
  <c r="P13" i="12"/>
  <c r="AK13" i="12" s="1"/>
  <c r="O13" i="12"/>
  <c r="N13" i="12"/>
  <c r="J13" i="12"/>
  <c r="C13" i="12" a="1"/>
  <c r="C13" i="12" s="1"/>
  <c r="B13" i="12"/>
  <c r="A13" i="12"/>
  <c r="BA12" i="12"/>
  <c r="BB12" i="12" s="1"/>
  <c r="AN12" i="12"/>
  <c r="AK12" i="12"/>
  <c r="Q12" i="12"/>
  <c r="AL12" i="12" s="1"/>
  <c r="P12" i="12"/>
  <c r="O12" i="12"/>
  <c r="N12" i="12"/>
  <c r="J12" i="12"/>
  <c r="C12" i="12" a="1"/>
  <c r="C12" i="12" s="1"/>
  <c r="B12" i="12"/>
  <c r="A12" i="12"/>
  <c r="BA11" i="12"/>
  <c r="BB11" i="12" s="1"/>
  <c r="AN11" i="12"/>
  <c r="AK11" i="12"/>
  <c r="R11" i="12"/>
  <c r="Q11" i="12"/>
  <c r="AL11" i="12" s="1"/>
  <c r="P11" i="12"/>
  <c r="O11" i="12"/>
  <c r="N11" i="12"/>
  <c r="J11" i="12"/>
  <c r="B11" i="12"/>
  <c r="C11" i="12" s="1" a="1"/>
  <c r="C11" i="12" s="1"/>
  <c r="A11" i="12"/>
  <c r="BB10" i="12"/>
  <c r="BA10" i="12"/>
  <c r="AX10" i="12"/>
  <c r="AO10" i="12"/>
  <c r="AN10" i="12"/>
  <c r="AM10" i="12"/>
  <c r="AL10" i="12"/>
  <c r="AK10" i="12"/>
  <c r="AJ10" i="12"/>
  <c r="AE10" i="12"/>
  <c r="AD10" i="12"/>
  <c r="AA10" i="12"/>
  <c r="Z10" i="12"/>
  <c r="Y10" i="12"/>
  <c r="W10" i="12"/>
  <c r="V10" i="12"/>
  <c r="S10" i="12"/>
  <c r="X10" i="12" s="1"/>
  <c r="R10" i="12"/>
  <c r="BC10" i="12" s="1"/>
  <c r="Q10" i="12"/>
  <c r="P10" i="12"/>
  <c r="O10" i="12"/>
  <c r="N10" i="12"/>
  <c r="J10" i="12"/>
  <c r="B10" i="12"/>
  <c r="C10" i="12" s="1" a="1"/>
  <c r="C10" i="12" s="1"/>
  <c r="A10" i="12"/>
  <c r="BD9" i="12"/>
  <c r="BB9" i="12"/>
  <c r="BA9" i="12"/>
  <c r="AT9" i="12"/>
  <c r="AS9" i="12"/>
  <c r="AM9" i="12"/>
  <c r="AK9" i="12"/>
  <c r="AJ9" i="12"/>
  <c r="AI9" i="12"/>
  <c r="AB9" i="12"/>
  <c r="Q9" i="12"/>
  <c r="R9" i="12" s="1"/>
  <c r="BC9" i="12" s="1"/>
  <c r="P9" i="12"/>
  <c r="AN9" i="12" s="1"/>
  <c r="O9" i="12"/>
  <c r="N9" i="12"/>
  <c r="J9" i="12"/>
  <c r="C9" i="12" a="1"/>
  <c r="C9" i="12" s="1"/>
  <c r="B9" i="12"/>
  <c r="A9" i="12"/>
  <c r="BB8" i="12"/>
  <c r="BA8" i="12"/>
  <c r="AO8" i="12"/>
  <c r="AL8" i="12"/>
  <c r="AK8" i="12"/>
  <c r="Q8" i="12"/>
  <c r="P8" i="12"/>
  <c r="AN8" i="12" s="1"/>
  <c r="O8" i="12"/>
  <c r="N8" i="12"/>
  <c r="J8" i="12"/>
  <c r="B8" i="12"/>
  <c r="C8" i="12" s="1" a="1"/>
  <c r="C8" i="12" s="1"/>
  <c r="A8" i="12"/>
  <c r="BB7" i="12"/>
  <c r="BA7" i="12"/>
  <c r="AN7" i="12"/>
  <c r="AM7" i="12"/>
  <c r="AK7" i="12"/>
  <c r="Q7" i="12"/>
  <c r="P7" i="12"/>
  <c r="O7" i="12"/>
  <c r="AJ7" i="12" s="1"/>
  <c r="N7" i="12"/>
  <c r="J7" i="12"/>
  <c r="E7" i="12"/>
  <c r="D8" i="12" s="1"/>
  <c r="E8" i="12" s="1"/>
  <c r="D9" i="12" s="1"/>
  <c r="E9" i="12" s="1"/>
  <c r="D10" i="12" s="1"/>
  <c r="E10" i="12" s="1"/>
  <c r="D11" i="12" s="1"/>
  <c r="E11" i="12" s="1"/>
  <c r="D12" i="12" s="1"/>
  <c r="E12" i="12" s="1"/>
  <c r="D13" i="12" s="1"/>
  <c r="E13" i="12" s="1"/>
  <c r="D14" i="12" s="1"/>
  <c r="E14" i="12" s="1"/>
  <c r="D15" i="12" s="1"/>
  <c r="E15" i="12" s="1"/>
  <c r="D16" i="12" s="1"/>
  <c r="E16" i="12" s="1"/>
  <c r="D17" i="12" s="1"/>
  <c r="E17" i="12" s="1"/>
  <c r="D18" i="12" s="1"/>
  <c r="E18" i="12" s="1"/>
  <c r="D19" i="12" s="1"/>
  <c r="E19" i="12" s="1"/>
  <c r="D20" i="12" s="1"/>
  <c r="E20" i="12" s="1"/>
  <c r="D21" i="12" s="1"/>
  <c r="E21" i="12" s="1"/>
  <c r="D22" i="12" s="1"/>
  <c r="E22" i="12" s="1"/>
  <c r="D23" i="12" s="1"/>
  <c r="E23" i="12" s="1"/>
  <c r="D24" i="12" s="1"/>
  <c r="E24" i="12" s="1"/>
  <c r="D25" i="12" s="1"/>
  <c r="E25" i="12" s="1"/>
  <c r="D26" i="12" s="1"/>
  <c r="E26" i="12" s="1"/>
  <c r="D27" i="12" s="1"/>
  <c r="E27" i="12" s="1"/>
  <c r="D28" i="12" s="1"/>
  <c r="E28" i="12" s="1"/>
  <c r="D29" i="12" s="1"/>
  <c r="E29" i="12" s="1"/>
  <c r="D30" i="12" s="1"/>
  <c r="E30" i="12" s="1"/>
  <c r="D31" i="12" s="1"/>
  <c r="E31" i="12" s="1"/>
  <c r="D32" i="12" s="1"/>
  <c r="E32" i="12" s="1"/>
  <c r="D33" i="12" s="1"/>
  <c r="E33" i="12" s="1"/>
  <c r="D34" i="12" s="1"/>
  <c r="E34" i="12" s="1"/>
  <c r="D35" i="12" s="1"/>
  <c r="E35" i="12" s="1"/>
  <c r="D36" i="12" s="1"/>
  <c r="E36" i="12" s="1"/>
  <c r="D37" i="12" s="1"/>
  <c r="E37" i="12" s="1"/>
  <c r="D38" i="12" s="1"/>
  <c r="E38" i="12" s="1"/>
  <c r="D39" i="12" s="1"/>
  <c r="E39" i="12" s="1"/>
  <c r="D40" i="12" s="1"/>
  <c r="E40" i="12" s="1"/>
  <c r="D41" i="12" s="1"/>
  <c r="E41" i="12" s="1"/>
  <c r="D42" i="12" s="1"/>
  <c r="E42" i="12" s="1"/>
  <c r="D43" i="12" s="1"/>
  <c r="E43" i="12" s="1"/>
  <c r="D44" i="12" s="1"/>
  <c r="E44" i="12" s="1"/>
  <c r="D45" i="12" s="1"/>
  <c r="E45" i="12" s="1"/>
  <c r="D46" i="12" s="1"/>
  <c r="E46" i="12" s="1"/>
  <c r="D47" i="12" s="1"/>
  <c r="E47" i="12" s="1"/>
  <c r="D48" i="12" s="1"/>
  <c r="E48" i="12" s="1"/>
  <c r="C7" i="12" a="1"/>
  <c r="C7" i="12" s="1"/>
  <c r="B7" i="12"/>
  <c r="A7" i="12"/>
  <c r="BB6" i="12"/>
  <c r="BA6" i="12"/>
  <c r="AL6" i="12"/>
  <c r="Q6" i="12"/>
  <c r="AO6" i="12" s="1"/>
  <c r="P6" i="12"/>
  <c r="AK6" i="12" s="1"/>
  <c r="O6" i="12"/>
  <c r="N6" i="12"/>
  <c r="J6" i="12"/>
  <c r="B6" i="12"/>
  <c r="C6" i="12" s="1" a="1"/>
  <c r="C6" i="12" s="1"/>
  <c r="A6" i="12"/>
  <c r="BA5" i="12"/>
  <c r="BB5" i="12" s="1"/>
  <c r="AO5" i="12"/>
  <c r="AL5" i="12"/>
  <c r="AK5" i="12"/>
  <c r="AJ5" i="12"/>
  <c r="Q5" i="12"/>
  <c r="P5" i="12"/>
  <c r="AN5" i="12" s="1"/>
  <c r="O5" i="12"/>
  <c r="N5" i="12"/>
  <c r="J5" i="12"/>
  <c r="B5" i="12"/>
  <c r="C5" i="12" s="1" a="1"/>
  <c r="C5" i="12" s="1"/>
  <c r="A5" i="12"/>
  <c r="BA4" i="12"/>
  <c r="BB4" i="12" s="1"/>
  <c r="AO4" i="12"/>
  <c r="AN4" i="12"/>
  <c r="AL4" i="12"/>
  <c r="AJ4" i="12"/>
  <c r="Q4" i="12"/>
  <c r="P4" i="12"/>
  <c r="AK4" i="12" s="1"/>
  <c r="O4" i="12"/>
  <c r="R4" i="12" s="1"/>
  <c r="N4" i="12"/>
  <c r="J4" i="12"/>
  <c r="B4" i="12"/>
  <c r="C4" i="12" s="1" a="1"/>
  <c r="C4" i="12" s="1"/>
  <c r="A4" i="12"/>
  <c r="BB3" i="12"/>
  <c r="BA3" i="12"/>
  <c r="AM3" i="12"/>
  <c r="AL3" i="12"/>
  <c r="Q3" i="12"/>
  <c r="AO3" i="12" s="1"/>
  <c r="P3" i="12"/>
  <c r="O3" i="12"/>
  <c r="AJ3" i="12" s="1"/>
  <c r="N3" i="12"/>
  <c r="J3" i="12"/>
  <c r="T3" i="12" s="1"/>
  <c r="T4" i="12" s="1"/>
  <c r="T5" i="12" s="1"/>
  <c r="T6" i="12" s="1"/>
  <c r="E3" i="12"/>
  <c r="D4" i="12" s="1"/>
  <c r="E4" i="12" s="1"/>
  <c r="D5" i="12" s="1"/>
  <c r="E5" i="12" s="1"/>
  <c r="D6" i="12" s="1"/>
  <c r="E6" i="12" s="1"/>
  <c r="D7" i="12" s="1"/>
  <c r="D3" i="12"/>
  <c r="C3" i="12" a="1"/>
  <c r="C3" i="12" s="1"/>
  <c r="B3" i="12"/>
  <c r="A3" i="12"/>
  <c r="BB2" i="12"/>
  <c r="BA2" i="12"/>
  <c r="AJ2" i="12"/>
  <c r="T2" i="12"/>
  <c r="Q2" i="12"/>
  <c r="P2" i="12"/>
  <c r="O2" i="12"/>
  <c r="AM2" i="12" s="1"/>
  <c r="N2" i="12"/>
  <c r="U2" i="12" s="1"/>
  <c r="U3" i="12" s="1"/>
  <c r="J2" i="12"/>
  <c r="E2" i="12"/>
  <c r="B2" i="12"/>
  <c r="C2" i="12" s="1" a="1"/>
  <c r="C2" i="12" s="1"/>
  <c r="A2" i="12"/>
  <c r="K319" i="11"/>
  <c r="J319" i="11"/>
  <c r="G319" i="11" s="1"/>
  <c r="B319" i="11"/>
  <c r="C319" i="11" s="1" a="1"/>
  <c r="C319" i="11" s="1"/>
  <c r="A319" i="11"/>
  <c r="K318" i="11"/>
  <c r="J318" i="11"/>
  <c r="G318" i="11"/>
  <c r="C318" i="11" a="1"/>
  <c r="C318" i="11" s="1"/>
  <c r="B318" i="11"/>
  <c r="A318" i="11"/>
  <c r="K317" i="11"/>
  <c r="J317" i="11"/>
  <c r="G317" i="11"/>
  <c r="B317" i="11"/>
  <c r="C317" i="11" s="1" a="1"/>
  <c r="C317" i="11" s="1"/>
  <c r="A317" i="11"/>
  <c r="K316" i="11"/>
  <c r="J316" i="11"/>
  <c r="G316" i="11" s="1"/>
  <c r="C316" i="11" a="1"/>
  <c r="C316" i="11"/>
  <c r="B316" i="11"/>
  <c r="A316" i="11"/>
  <c r="K315" i="11"/>
  <c r="J315" i="11"/>
  <c r="G315" i="11"/>
  <c r="C315" i="11" a="1"/>
  <c r="C315" i="11" s="1"/>
  <c r="B315" i="11"/>
  <c r="A315" i="11"/>
  <c r="K314" i="11"/>
  <c r="J314" i="11"/>
  <c r="B314" i="11"/>
  <c r="C314" i="11" s="1" a="1"/>
  <c r="C314" i="11" s="1"/>
  <c r="A314" i="11"/>
  <c r="K313" i="11"/>
  <c r="J313" i="11"/>
  <c r="G313" i="11" s="1"/>
  <c r="C313" i="11" a="1"/>
  <c r="C313" i="11"/>
  <c r="B313" i="11"/>
  <c r="A313" i="11"/>
  <c r="K312" i="11"/>
  <c r="J312" i="11"/>
  <c r="C312" i="11" a="1"/>
  <c r="C312" i="11" s="1"/>
  <c r="B312" i="11"/>
  <c r="A312" i="11"/>
  <c r="K311" i="11"/>
  <c r="J311" i="11"/>
  <c r="G311" i="11"/>
  <c r="C311" i="11" a="1"/>
  <c r="C311" i="11" s="1"/>
  <c r="B311" i="11"/>
  <c r="A311" i="11"/>
  <c r="K310" i="11"/>
  <c r="J310" i="11"/>
  <c r="G310" i="11"/>
  <c r="B310" i="11"/>
  <c r="C310" i="11" s="1" a="1"/>
  <c r="C310" i="11" s="1"/>
  <c r="A310" i="11"/>
  <c r="K309" i="11"/>
  <c r="J309" i="11"/>
  <c r="C309" i="11" a="1"/>
  <c r="C309" i="11" s="1"/>
  <c r="B309" i="11"/>
  <c r="A309" i="11"/>
  <c r="K308" i="11"/>
  <c r="G308" i="11" s="1"/>
  <c r="J308" i="11"/>
  <c r="C308" i="11" a="1"/>
  <c r="C308" i="11"/>
  <c r="B308" i="11"/>
  <c r="A308" i="11"/>
  <c r="K307" i="11"/>
  <c r="J307" i="11"/>
  <c r="G307" i="11" s="1"/>
  <c r="B307" i="11"/>
  <c r="C307" i="11" s="1" a="1"/>
  <c r="C307" i="11" s="1"/>
  <c r="A307" i="11"/>
  <c r="K306" i="11"/>
  <c r="G306" i="11" s="1"/>
  <c r="J306" i="11"/>
  <c r="B306" i="11"/>
  <c r="C306" i="11" s="1" a="1"/>
  <c r="C306" i="11" s="1"/>
  <c r="A306" i="11"/>
  <c r="K305" i="11"/>
  <c r="J305" i="11"/>
  <c r="C305" i="11" a="1"/>
  <c r="C305" i="11"/>
  <c r="B305" i="11"/>
  <c r="A305" i="11"/>
  <c r="K304" i="11"/>
  <c r="J304" i="11"/>
  <c r="G304" i="11" s="1"/>
  <c r="C304" i="11" a="1"/>
  <c r="C304" i="11"/>
  <c r="B304" i="11"/>
  <c r="A304" i="11"/>
  <c r="K303" i="11"/>
  <c r="J303" i="11"/>
  <c r="G303" i="11"/>
  <c r="C303" i="11"/>
  <c r="B303" i="11"/>
  <c r="C303" i="11" s="1" a="1"/>
  <c r="A303" i="11"/>
  <c r="K302" i="11"/>
  <c r="J302" i="11"/>
  <c r="G302" i="11" s="1"/>
  <c r="C302" i="11" a="1"/>
  <c r="C302" i="11" s="1"/>
  <c r="B302" i="11"/>
  <c r="A302" i="11"/>
  <c r="K301" i="11"/>
  <c r="J301" i="11"/>
  <c r="G301" i="11"/>
  <c r="C301" i="11" a="1"/>
  <c r="C301" i="11"/>
  <c r="B301" i="11"/>
  <c r="A301" i="11"/>
  <c r="K300" i="11"/>
  <c r="J300" i="11"/>
  <c r="G300" i="11" s="1"/>
  <c r="B300" i="11"/>
  <c r="C300" i="11" s="1" a="1"/>
  <c r="C300" i="11" s="1"/>
  <c r="A300" i="11"/>
  <c r="K299" i="11"/>
  <c r="J299" i="11"/>
  <c r="G299" i="11" s="1"/>
  <c r="B299" i="11"/>
  <c r="C299" i="11" s="1" a="1"/>
  <c r="C299" i="11" s="1"/>
  <c r="A299" i="11"/>
  <c r="K298" i="11"/>
  <c r="J298" i="11"/>
  <c r="B298" i="11"/>
  <c r="C298" i="11" s="1" a="1"/>
  <c r="C298" i="11" s="1"/>
  <c r="A298" i="11"/>
  <c r="K297" i="11"/>
  <c r="J297" i="11"/>
  <c r="G297" i="11"/>
  <c r="C297" i="11" a="1"/>
  <c r="C297" i="11" s="1"/>
  <c r="B297" i="11"/>
  <c r="A297" i="11"/>
  <c r="K296" i="11"/>
  <c r="J296" i="11"/>
  <c r="G296" i="11"/>
  <c r="C296" i="11"/>
  <c r="B296" i="11"/>
  <c r="C296" i="11" s="1" a="1"/>
  <c r="A296" i="11"/>
  <c r="K295" i="11"/>
  <c r="J295" i="11"/>
  <c r="C295" i="11" a="1"/>
  <c r="C295" i="11" s="1"/>
  <c r="B295" i="11"/>
  <c r="A295" i="11"/>
  <c r="K294" i="11"/>
  <c r="J294" i="11"/>
  <c r="G294" i="11"/>
  <c r="C294" i="11" a="1"/>
  <c r="C294" i="11"/>
  <c r="B294" i="11"/>
  <c r="A294" i="11"/>
  <c r="K293" i="11"/>
  <c r="J293" i="11"/>
  <c r="G293" i="11" s="1"/>
  <c r="B293" i="11"/>
  <c r="C293" i="11" s="1" a="1"/>
  <c r="C293" i="11" s="1"/>
  <c r="A293" i="11"/>
  <c r="K292" i="11"/>
  <c r="G292" i="11" s="1"/>
  <c r="J292" i="11"/>
  <c r="B292" i="11"/>
  <c r="C292" i="11" s="1" a="1"/>
  <c r="C292" i="11" s="1"/>
  <c r="A292" i="11"/>
  <c r="K291" i="11"/>
  <c r="J291" i="11"/>
  <c r="G291" i="11" s="1"/>
  <c r="B291" i="11"/>
  <c r="C291" i="11" s="1" a="1"/>
  <c r="C291" i="11" s="1"/>
  <c r="A291" i="11"/>
  <c r="K290" i="11"/>
  <c r="J290" i="11"/>
  <c r="G290" i="11" s="1"/>
  <c r="C290" i="11" a="1"/>
  <c r="C290" i="11"/>
  <c r="B290" i="11"/>
  <c r="A290" i="11"/>
  <c r="K289" i="11"/>
  <c r="J289" i="11"/>
  <c r="G289" i="11"/>
  <c r="B289" i="11"/>
  <c r="C289" i="11" s="1" a="1"/>
  <c r="C289" i="11" s="1"/>
  <c r="A289" i="11"/>
  <c r="K288" i="11"/>
  <c r="G288" i="11" s="1"/>
  <c r="J288" i="11"/>
  <c r="C288" i="11" a="1"/>
  <c r="C288" i="11" s="1"/>
  <c r="B288" i="11"/>
  <c r="A288" i="11"/>
  <c r="K287" i="11"/>
  <c r="J287" i="11"/>
  <c r="G287" i="11"/>
  <c r="C287" i="11" a="1"/>
  <c r="C287" i="11" s="1"/>
  <c r="B287" i="11"/>
  <c r="A287" i="11"/>
  <c r="K286" i="11"/>
  <c r="J286" i="11"/>
  <c r="G286" i="11"/>
  <c r="B286" i="11"/>
  <c r="C286" i="11" s="1" a="1"/>
  <c r="C286" i="11" s="1"/>
  <c r="A286" i="11"/>
  <c r="K285" i="11"/>
  <c r="G285" i="11" s="1"/>
  <c r="J285" i="11"/>
  <c r="C285" i="11" a="1"/>
  <c r="C285" i="11" s="1"/>
  <c r="B285" i="11"/>
  <c r="A285" i="11"/>
  <c r="K284" i="11"/>
  <c r="J284" i="11"/>
  <c r="G284" i="11" s="1"/>
  <c r="B284" i="11"/>
  <c r="C284" i="11" s="1" a="1"/>
  <c r="C284" i="11" s="1"/>
  <c r="A284" i="11"/>
  <c r="K283" i="11"/>
  <c r="J283" i="11"/>
  <c r="G283" i="11" s="1"/>
  <c r="C283" i="11" a="1"/>
  <c r="C283" i="11" s="1"/>
  <c r="B283" i="11"/>
  <c r="A283" i="11"/>
  <c r="K282" i="11"/>
  <c r="J282" i="11"/>
  <c r="G282" i="11" s="1"/>
  <c r="B282" i="11"/>
  <c r="C282" i="11" s="1" a="1"/>
  <c r="C282" i="11" s="1"/>
  <c r="A282" i="11"/>
  <c r="K281" i="11"/>
  <c r="J281" i="11"/>
  <c r="B281" i="11"/>
  <c r="C281" i="11" s="1" a="1"/>
  <c r="C281" i="11" s="1"/>
  <c r="A281" i="11"/>
  <c r="K280" i="11"/>
  <c r="J280" i="11"/>
  <c r="G280" i="11"/>
  <c r="C280" i="11" a="1"/>
  <c r="C280" i="11" s="1"/>
  <c r="B280" i="11"/>
  <c r="A280" i="11"/>
  <c r="K279" i="11"/>
  <c r="J279" i="11"/>
  <c r="G279" i="11"/>
  <c r="C279" i="11" a="1"/>
  <c r="C279" i="11" s="1"/>
  <c r="B279" i="11"/>
  <c r="A279" i="11"/>
  <c r="K278" i="11"/>
  <c r="J278" i="11"/>
  <c r="G278" i="11" s="1"/>
  <c r="B278" i="11"/>
  <c r="C278" i="11" s="1" a="1"/>
  <c r="C278" i="11" s="1"/>
  <c r="A278" i="11"/>
  <c r="K277" i="11"/>
  <c r="J277" i="11"/>
  <c r="B277" i="11"/>
  <c r="C277" i="11" s="1" a="1"/>
  <c r="C277" i="11" s="1"/>
  <c r="A277" i="11"/>
  <c r="K276" i="11"/>
  <c r="J276" i="11"/>
  <c r="G276" i="11"/>
  <c r="C276" i="11" a="1"/>
  <c r="C276" i="11"/>
  <c r="B276" i="11"/>
  <c r="A276" i="11"/>
  <c r="K275" i="11"/>
  <c r="J275" i="11"/>
  <c r="G275" i="11" s="1"/>
  <c r="C275" i="11"/>
  <c r="B275" i="11"/>
  <c r="C275" i="11" s="1" a="1"/>
  <c r="A275" i="11"/>
  <c r="K274" i="11"/>
  <c r="J274" i="11"/>
  <c r="G274" i="11"/>
  <c r="C274" i="11" a="1"/>
  <c r="C274" i="11" s="1"/>
  <c r="B274" i="11"/>
  <c r="A274" i="11"/>
  <c r="K273" i="11"/>
  <c r="J273" i="11"/>
  <c r="G273" i="11" s="1"/>
  <c r="B273" i="11"/>
  <c r="C273" i="11" s="1" a="1"/>
  <c r="C273" i="11" s="1"/>
  <c r="A273" i="11"/>
  <c r="K272" i="11"/>
  <c r="J272" i="11"/>
  <c r="B272" i="11"/>
  <c r="C272" i="11" s="1" a="1"/>
  <c r="C272" i="11" s="1"/>
  <c r="A272" i="11"/>
  <c r="K271" i="11"/>
  <c r="J271" i="11"/>
  <c r="G271" i="11" s="1"/>
  <c r="B271" i="11"/>
  <c r="C271" i="11" s="1" a="1"/>
  <c r="C271" i="11" s="1"/>
  <c r="A271" i="11"/>
  <c r="K270" i="11"/>
  <c r="J270" i="11"/>
  <c r="G270" i="11" s="1"/>
  <c r="B270" i="11"/>
  <c r="C270" i="11" s="1" a="1"/>
  <c r="C270" i="11" s="1"/>
  <c r="A270" i="11"/>
  <c r="K269" i="11"/>
  <c r="J269" i="11"/>
  <c r="G269" i="11"/>
  <c r="C269" i="11" a="1"/>
  <c r="C269" i="11" s="1"/>
  <c r="B269" i="11"/>
  <c r="A269" i="11"/>
  <c r="K268" i="11"/>
  <c r="J268" i="11"/>
  <c r="C268" i="11" a="1"/>
  <c r="C268" i="11" s="1"/>
  <c r="B268" i="11"/>
  <c r="A268" i="11"/>
  <c r="K267" i="11"/>
  <c r="J267" i="11"/>
  <c r="G267" i="11" s="1"/>
  <c r="C267" i="11" a="1"/>
  <c r="C267" i="11" s="1"/>
  <c r="B267" i="11"/>
  <c r="A267" i="11"/>
  <c r="K266" i="11"/>
  <c r="J266" i="11"/>
  <c r="C266" i="11" a="1"/>
  <c r="C266" i="11" s="1"/>
  <c r="B266" i="11"/>
  <c r="A266" i="11"/>
  <c r="K265" i="11"/>
  <c r="J265" i="11"/>
  <c r="G265" i="11"/>
  <c r="C265" i="11" a="1"/>
  <c r="C265" i="11" s="1"/>
  <c r="B265" i="11"/>
  <c r="A265" i="11"/>
  <c r="K264" i="11"/>
  <c r="J264" i="11"/>
  <c r="G264" i="11"/>
  <c r="C264" i="11"/>
  <c r="B264" i="11"/>
  <c r="C264" i="11" s="1" a="1"/>
  <c r="A264" i="11"/>
  <c r="K263" i="11"/>
  <c r="J263" i="11"/>
  <c r="G263" i="11"/>
  <c r="C263" i="11" a="1"/>
  <c r="C263" i="11" s="1"/>
  <c r="B263" i="11"/>
  <c r="A263" i="11"/>
  <c r="K262" i="11"/>
  <c r="J262" i="11"/>
  <c r="G262" i="11"/>
  <c r="C262" i="11" a="1"/>
  <c r="C262" i="11" s="1"/>
  <c r="B262" i="11"/>
  <c r="A262" i="11"/>
  <c r="K261" i="11"/>
  <c r="J261" i="11"/>
  <c r="B261" i="11"/>
  <c r="C261" i="11" s="1" a="1"/>
  <c r="C261" i="11" s="1"/>
  <c r="A261" i="11"/>
  <c r="K260" i="11"/>
  <c r="J260" i="11"/>
  <c r="G260" i="11"/>
  <c r="B260" i="11"/>
  <c r="C260" i="11" s="1" a="1"/>
  <c r="C260" i="11" s="1"/>
  <c r="A260" i="11"/>
  <c r="K259" i="11"/>
  <c r="J259" i="11"/>
  <c r="C259" i="11" a="1"/>
  <c r="C259" i="11" s="1"/>
  <c r="B259" i="11"/>
  <c r="A259" i="11"/>
  <c r="K258" i="11"/>
  <c r="J258" i="11"/>
  <c r="G258" i="11"/>
  <c r="C258" i="11" a="1"/>
  <c r="C258" i="11" s="1"/>
  <c r="B258" i="11"/>
  <c r="A258" i="11"/>
  <c r="K257" i="11"/>
  <c r="J257" i="11"/>
  <c r="G257" i="11"/>
  <c r="B257" i="11"/>
  <c r="C257" i="11" s="1" a="1"/>
  <c r="C257" i="11" s="1"/>
  <c r="A257" i="11"/>
  <c r="K256" i="11"/>
  <c r="J256" i="11"/>
  <c r="G256" i="11" s="1"/>
  <c r="C256" i="11" a="1"/>
  <c r="C256" i="11"/>
  <c r="B256" i="11"/>
  <c r="A256" i="11"/>
  <c r="K255" i="11"/>
  <c r="J255" i="11"/>
  <c r="G255" i="11"/>
  <c r="C255" i="11" a="1"/>
  <c r="C255" i="11"/>
  <c r="B255" i="11"/>
  <c r="A255" i="11"/>
  <c r="K254" i="11"/>
  <c r="J254" i="11"/>
  <c r="G254" i="11" s="1"/>
  <c r="B254" i="11"/>
  <c r="C254" i="11" s="1" a="1"/>
  <c r="C254" i="11" s="1"/>
  <c r="A254" i="11"/>
  <c r="K253" i="11"/>
  <c r="J253" i="11"/>
  <c r="G253" i="11" s="1"/>
  <c r="C253" i="11" a="1"/>
  <c r="C253" i="11" s="1"/>
  <c r="B253" i="11"/>
  <c r="A253" i="11"/>
  <c r="K252" i="11"/>
  <c r="J252" i="11"/>
  <c r="G252" i="11" s="1"/>
  <c r="C252" i="11"/>
  <c r="B252" i="11"/>
  <c r="C252" i="11" s="1" a="1"/>
  <c r="A252" i="11"/>
  <c r="K251" i="11"/>
  <c r="J251" i="11"/>
  <c r="G251" i="11" s="1"/>
  <c r="C251" i="11" a="1"/>
  <c r="C251" i="11" s="1"/>
  <c r="B251" i="11"/>
  <c r="A251" i="11"/>
  <c r="K250" i="11"/>
  <c r="J250" i="11"/>
  <c r="G250" i="11"/>
  <c r="C250" i="11"/>
  <c r="B250" i="11"/>
  <c r="C250" i="11" s="1" a="1"/>
  <c r="A250" i="11"/>
  <c r="K249" i="11"/>
  <c r="J249" i="11"/>
  <c r="G249" i="11" s="1"/>
  <c r="C249" i="11" a="1"/>
  <c r="C249" i="11"/>
  <c r="B249" i="11"/>
  <c r="A249" i="11"/>
  <c r="K248" i="11"/>
  <c r="J248" i="11"/>
  <c r="G248" i="11"/>
  <c r="B248" i="11"/>
  <c r="C248" i="11" s="1" a="1"/>
  <c r="C248" i="11" s="1"/>
  <c r="A248" i="11"/>
  <c r="K247" i="11"/>
  <c r="J247" i="11"/>
  <c r="G247" i="11" s="1"/>
  <c r="B247" i="11"/>
  <c r="C247" i="11" s="1" a="1"/>
  <c r="C247" i="11" s="1"/>
  <c r="A247" i="11"/>
  <c r="K246" i="11"/>
  <c r="J246" i="11"/>
  <c r="G246" i="11" s="1"/>
  <c r="B246" i="11"/>
  <c r="C246" i="11" s="1" a="1"/>
  <c r="C246" i="11" s="1"/>
  <c r="A246" i="11"/>
  <c r="K245" i="11"/>
  <c r="J245" i="11"/>
  <c r="G245" i="11" s="1"/>
  <c r="B245" i="11"/>
  <c r="C245" i="11" s="1" a="1"/>
  <c r="C245" i="11" s="1"/>
  <c r="A245" i="11"/>
  <c r="K244" i="11"/>
  <c r="J244" i="11"/>
  <c r="G244" i="11" s="1"/>
  <c r="C244" i="11" a="1"/>
  <c r="C244" i="11" s="1"/>
  <c r="B244" i="11"/>
  <c r="A244" i="11"/>
  <c r="K243" i="11"/>
  <c r="J243" i="11"/>
  <c r="G243" i="11" s="1"/>
  <c r="B243" i="11"/>
  <c r="C243" i="11" s="1" a="1"/>
  <c r="C243" i="11" s="1"/>
  <c r="A243" i="11"/>
  <c r="G242" i="11"/>
  <c r="B242" i="11"/>
  <c r="C242" i="11" s="1" a="1"/>
  <c r="C242" i="11" s="1"/>
  <c r="A242" i="11"/>
  <c r="K241" i="11"/>
  <c r="G241" i="11" s="1"/>
  <c r="J241" i="11"/>
  <c r="C241" i="11" a="1"/>
  <c r="C241" i="11" s="1"/>
  <c r="B241" i="11"/>
  <c r="A241" i="11"/>
  <c r="K240" i="11"/>
  <c r="J240" i="11"/>
  <c r="G240" i="11"/>
  <c r="C240" i="11" a="1"/>
  <c r="C240" i="11"/>
  <c r="B240" i="11"/>
  <c r="A240" i="11"/>
  <c r="K239" i="11"/>
  <c r="J239" i="11"/>
  <c r="G239" i="11" s="1"/>
  <c r="B239" i="11"/>
  <c r="C239" i="11" s="1" a="1"/>
  <c r="C239" i="11" s="1"/>
  <c r="A239" i="11"/>
  <c r="K238" i="11"/>
  <c r="J238" i="11"/>
  <c r="C238" i="11" a="1"/>
  <c r="C238" i="11" s="1"/>
  <c r="B238" i="11"/>
  <c r="A238" i="11"/>
  <c r="K237" i="11"/>
  <c r="J237" i="11"/>
  <c r="G237" i="11" s="1"/>
  <c r="B237" i="11"/>
  <c r="C237" i="11" s="1" a="1"/>
  <c r="C237" i="11" s="1"/>
  <c r="A237" i="11"/>
  <c r="K236" i="11"/>
  <c r="J236" i="11"/>
  <c r="G236" i="11" s="1"/>
  <c r="C236" i="11" a="1"/>
  <c r="C236" i="11" s="1"/>
  <c r="B236" i="11"/>
  <c r="A236" i="11"/>
  <c r="C235" i="11" a="1"/>
  <c r="C235" i="11"/>
  <c r="B235" i="11"/>
  <c r="A235" i="11"/>
  <c r="C234" i="11" a="1"/>
  <c r="C234" i="11" s="1"/>
  <c r="B234" i="11"/>
  <c r="A234" i="11"/>
  <c r="B233" i="11"/>
  <c r="C233" i="11" s="1" a="1"/>
  <c r="C233" i="11" s="1"/>
  <c r="A233" i="11"/>
  <c r="C232" i="11" a="1"/>
  <c r="C232" i="11" s="1"/>
  <c r="B232" i="11"/>
  <c r="A232" i="11"/>
  <c r="B231" i="11"/>
  <c r="C231" i="11" s="1" a="1"/>
  <c r="C231" i="11" s="1"/>
  <c r="A231" i="11"/>
  <c r="B230" i="11"/>
  <c r="C230" i="11" s="1" a="1"/>
  <c r="C230" i="11" s="1"/>
  <c r="A230" i="11"/>
  <c r="C229" i="11" a="1"/>
  <c r="C229" i="11" s="1"/>
  <c r="B229" i="11"/>
  <c r="A229" i="11"/>
  <c r="B228" i="11"/>
  <c r="C228" i="11" s="1" a="1"/>
  <c r="C228" i="11" s="1"/>
  <c r="A228" i="11"/>
  <c r="B227" i="11"/>
  <c r="C227" i="11" s="1" a="1"/>
  <c r="C227" i="11" s="1"/>
  <c r="A227" i="11"/>
  <c r="C226" i="11" a="1"/>
  <c r="C226" i="11"/>
  <c r="B226" i="11"/>
  <c r="A226" i="11"/>
  <c r="C225" i="11" a="1"/>
  <c r="C225" i="11" s="1"/>
  <c r="B225" i="11"/>
  <c r="A225" i="11"/>
  <c r="C224" i="11" a="1"/>
  <c r="C224" i="11" s="1"/>
  <c r="B224" i="11"/>
  <c r="A224" i="11"/>
  <c r="B223" i="11"/>
  <c r="C223" i="11" s="1" a="1"/>
  <c r="C223" i="11" s="1"/>
  <c r="A223" i="11"/>
  <c r="C222" i="11" a="1"/>
  <c r="C222" i="11" s="1"/>
  <c r="B222" i="11"/>
  <c r="A222" i="11"/>
  <c r="C221" i="11" a="1"/>
  <c r="C221" i="11"/>
  <c r="B221" i="11"/>
  <c r="A221" i="11"/>
  <c r="B220" i="11"/>
  <c r="C220" i="11" s="1" a="1"/>
  <c r="C220" i="11" s="1"/>
  <c r="A220" i="11"/>
  <c r="C219" i="11" a="1"/>
  <c r="C219" i="11"/>
  <c r="B219" i="11"/>
  <c r="A219" i="11"/>
  <c r="B218" i="11"/>
  <c r="C218" i="11" s="1" a="1"/>
  <c r="C218" i="11" s="1"/>
  <c r="A218" i="11"/>
  <c r="C217" i="11" a="1"/>
  <c r="C217" i="11" s="1"/>
  <c r="B217" i="11"/>
  <c r="A217" i="11"/>
  <c r="C216" i="11" a="1"/>
  <c r="C216" i="11" s="1"/>
  <c r="B216" i="11"/>
  <c r="A216" i="11"/>
  <c r="C215" i="11"/>
  <c r="B215" i="11"/>
  <c r="C215" i="11" s="1" a="1"/>
  <c r="A215" i="11"/>
  <c r="C214" i="11" a="1"/>
  <c r="C214" i="11"/>
  <c r="B214" i="11"/>
  <c r="A214" i="11"/>
  <c r="C213" i="11" a="1"/>
  <c r="C213" i="11" s="1"/>
  <c r="B213" i="11"/>
  <c r="A213" i="11"/>
  <c r="C212" i="11" a="1"/>
  <c r="C212" i="11" s="1"/>
  <c r="B212" i="11"/>
  <c r="A212" i="11"/>
  <c r="B211" i="11"/>
  <c r="C211" i="11" s="1" a="1"/>
  <c r="C211" i="11" s="1"/>
  <c r="A211" i="11"/>
  <c r="C210" i="11" a="1"/>
  <c r="C210" i="11" s="1"/>
  <c r="B210" i="11"/>
  <c r="A210" i="11"/>
  <c r="C209" i="11" a="1"/>
  <c r="C209" i="11" s="1"/>
  <c r="B209" i="11"/>
  <c r="A209" i="11"/>
  <c r="B208" i="11"/>
  <c r="C208" i="11" s="1" a="1"/>
  <c r="C208" i="11" s="1"/>
  <c r="A208" i="11"/>
  <c r="B207" i="11"/>
  <c r="C207" i="11" s="1" a="1"/>
  <c r="C207" i="11" s="1"/>
  <c r="A207" i="11"/>
  <c r="C206" i="11"/>
  <c r="B206" i="11"/>
  <c r="C206" i="11" s="1" a="1"/>
  <c r="A206" i="11"/>
  <c r="B205" i="11"/>
  <c r="C205" i="11" s="1" a="1"/>
  <c r="C205" i="11" s="1"/>
  <c r="A205" i="11"/>
  <c r="C204" i="11" a="1"/>
  <c r="C204" i="11" s="1"/>
  <c r="B204" i="11"/>
  <c r="A204" i="11"/>
  <c r="C203" i="11" a="1"/>
  <c r="C203" i="11" s="1"/>
  <c r="B203" i="11"/>
  <c r="A203" i="11"/>
  <c r="B202" i="11"/>
  <c r="C202" i="11" s="1" a="1"/>
  <c r="C202" i="11" s="1"/>
  <c r="A202" i="11"/>
  <c r="B201" i="11"/>
  <c r="C201" i="11" s="1" a="1"/>
  <c r="C201" i="11" s="1"/>
  <c r="A201" i="11"/>
  <c r="C200" i="11" a="1"/>
  <c r="C200" i="11"/>
  <c r="B200" i="11"/>
  <c r="A200" i="11"/>
  <c r="C199" i="11" a="1"/>
  <c r="C199" i="11"/>
  <c r="B199" i="11"/>
  <c r="A199" i="11"/>
  <c r="C198" i="11" a="1"/>
  <c r="C198" i="11"/>
  <c r="B198" i="11"/>
  <c r="A198" i="11"/>
  <c r="B197" i="11"/>
  <c r="C197" i="11" s="1" a="1"/>
  <c r="C197" i="11" s="1"/>
  <c r="A197" i="11"/>
  <c r="C196" i="11" a="1"/>
  <c r="C196" i="11" s="1"/>
  <c r="B196" i="11"/>
  <c r="A196" i="11"/>
  <c r="B195" i="11"/>
  <c r="C195" i="11" s="1" a="1"/>
  <c r="C195" i="11" s="1"/>
  <c r="A195" i="11"/>
  <c r="C194" i="11" a="1"/>
  <c r="C194" i="11"/>
  <c r="B194" i="11"/>
  <c r="A194" i="11"/>
  <c r="B193" i="11"/>
  <c r="C193" i="11" s="1" a="1"/>
  <c r="C193" i="11" s="1"/>
  <c r="A193" i="11"/>
  <c r="C192" i="11" a="1"/>
  <c r="C192" i="11"/>
  <c r="B192" i="11"/>
  <c r="A192" i="11"/>
  <c r="C191" i="11" a="1"/>
  <c r="C191" i="11" s="1"/>
  <c r="B191" i="11"/>
  <c r="A191" i="11"/>
  <c r="B190" i="11"/>
  <c r="C190" i="11" s="1" a="1"/>
  <c r="C190" i="11" s="1"/>
  <c r="A190" i="11"/>
  <c r="B189" i="11"/>
  <c r="C189" i="11" s="1" a="1"/>
  <c r="C189" i="11" s="1"/>
  <c r="A189" i="11"/>
  <c r="C188" i="11" a="1"/>
  <c r="C188" i="11" s="1"/>
  <c r="B188" i="11"/>
  <c r="A188" i="11"/>
  <c r="C187" i="11" a="1"/>
  <c r="C187" i="11" s="1"/>
  <c r="B187" i="11"/>
  <c r="A187" i="11"/>
  <c r="B186" i="11"/>
  <c r="C186" i="11" s="1" a="1"/>
  <c r="C186" i="11" s="1"/>
  <c r="A186" i="11"/>
  <c r="B185" i="11"/>
  <c r="C185" i="11" s="1" a="1"/>
  <c r="C185" i="11" s="1"/>
  <c r="A185" i="11"/>
  <c r="B184" i="11"/>
  <c r="C184" i="11" s="1" a="1"/>
  <c r="C184" i="11" s="1"/>
  <c r="A184" i="11"/>
  <c r="B183" i="11"/>
  <c r="C183" i="11" s="1" a="1"/>
  <c r="C183" i="11" s="1"/>
  <c r="A183" i="11"/>
  <c r="C182" i="11" a="1"/>
  <c r="C182" i="11" s="1"/>
  <c r="B182" i="11"/>
  <c r="A182" i="11"/>
  <c r="B181" i="11"/>
  <c r="C181" i="11" s="1" a="1"/>
  <c r="C181" i="11" s="1"/>
  <c r="A181" i="11"/>
  <c r="C180" i="11" a="1"/>
  <c r="C180" i="11" s="1"/>
  <c r="B180" i="11"/>
  <c r="A180" i="11"/>
  <c r="B179" i="11"/>
  <c r="C179" i="11" s="1" a="1"/>
  <c r="C179" i="11" s="1"/>
  <c r="A179" i="11"/>
  <c r="C178" i="11" a="1"/>
  <c r="C178" i="11" s="1"/>
  <c r="B178" i="11"/>
  <c r="A178" i="11"/>
  <c r="C177" i="11" a="1"/>
  <c r="C177" i="11"/>
  <c r="B177" i="11"/>
  <c r="A177" i="11"/>
  <c r="C176" i="11"/>
  <c r="B176" i="11"/>
  <c r="C176" i="11" s="1" a="1"/>
  <c r="A176" i="11"/>
  <c r="B175" i="11"/>
  <c r="C175" i="11" s="1" a="1"/>
  <c r="C175" i="11" s="1"/>
  <c r="A175" i="11"/>
  <c r="C174" i="11" a="1"/>
  <c r="C174" i="11" s="1"/>
  <c r="B174" i="11"/>
  <c r="A174" i="11"/>
  <c r="C173" i="11" a="1"/>
  <c r="C173" i="11" s="1"/>
  <c r="B173" i="11"/>
  <c r="A173" i="11"/>
  <c r="C172" i="11" a="1"/>
  <c r="C172" i="11"/>
  <c r="B172" i="11"/>
  <c r="A172" i="11"/>
  <c r="C171" i="11"/>
  <c r="B171" i="11"/>
  <c r="C171" i="11" s="1" a="1"/>
  <c r="A171" i="11"/>
  <c r="C170" i="11" a="1"/>
  <c r="C170" i="11"/>
  <c r="B170" i="11"/>
  <c r="A170" i="11"/>
  <c r="C169" i="11" a="1"/>
  <c r="C169" i="11"/>
  <c r="B169" i="11"/>
  <c r="A169" i="11"/>
  <c r="B168" i="11"/>
  <c r="C168" i="11" s="1" a="1"/>
  <c r="C168" i="11" s="1"/>
  <c r="A168" i="11"/>
  <c r="C167" i="11" a="1"/>
  <c r="C167" i="11" s="1"/>
  <c r="B167" i="11"/>
  <c r="A167" i="11"/>
  <c r="B166" i="11"/>
  <c r="C166" i="11" s="1" a="1"/>
  <c r="C166" i="11" s="1"/>
  <c r="A166" i="11"/>
  <c r="C165" i="11" a="1"/>
  <c r="C165" i="11" s="1"/>
  <c r="B165" i="11"/>
  <c r="A165" i="11"/>
  <c r="C164" i="11" a="1"/>
  <c r="C164" i="11" s="1"/>
  <c r="B164" i="11"/>
  <c r="A164" i="11"/>
  <c r="B163" i="11"/>
  <c r="C163" i="11" s="1" a="1"/>
  <c r="C163" i="11" s="1"/>
  <c r="A163" i="11"/>
  <c r="B162" i="11"/>
  <c r="C162" i="11" s="1" a="1"/>
  <c r="C162" i="11" s="1"/>
  <c r="A162" i="11"/>
  <c r="C161" i="11" a="1"/>
  <c r="C161" i="11" s="1"/>
  <c r="B161" i="11"/>
  <c r="A161" i="11"/>
  <c r="C160" i="11" a="1"/>
  <c r="C160" i="11" s="1"/>
  <c r="B160" i="11"/>
  <c r="A160" i="11"/>
  <c r="C159" i="11" a="1"/>
  <c r="C159" i="11" s="1"/>
  <c r="B159" i="11"/>
  <c r="A159" i="11"/>
  <c r="C158" i="11" a="1"/>
  <c r="C158" i="11" s="1"/>
  <c r="B158" i="11"/>
  <c r="A158" i="11"/>
  <c r="C157" i="11"/>
  <c r="B157" i="11"/>
  <c r="C157" i="11" s="1" a="1"/>
  <c r="A157" i="11"/>
  <c r="B156" i="11"/>
  <c r="C156" i="11" s="1" a="1"/>
  <c r="C156" i="11" s="1"/>
  <c r="A156" i="11"/>
  <c r="C155" i="11" a="1"/>
  <c r="C155" i="11" s="1"/>
  <c r="B155" i="11"/>
  <c r="A155" i="11"/>
  <c r="C154" i="11" a="1"/>
  <c r="C154" i="11" s="1"/>
  <c r="B154" i="11"/>
  <c r="A154" i="11"/>
  <c r="B153" i="11"/>
  <c r="C153" i="11" s="1" a="1"/>
  <c r="C153" i="11" s="1"/>
  <c r="A153" i="11"/>
  <c r="C152" i="11"/>
  <c r="B152" i="11"/>
  <c r="C152" i="11" s="1" a="1"/>
  <c r="A152" i="11"/>
  <c r="C151" i="11" a="1"/>
  <c r="C151" i="11" s="1"/>
  <c r="B151" i="11"/>
  <c r="A151" i="11"/>
  <c r="C150" i="11" a="1"/>
  <c r="C150" i="11"/>
  <c r="B150" i="11"/>
  <c r="A150" i="11"/>
  <c r="C149" i="11"/>
  <c r="B149" i="11"/>
  <c r="C149" i="11" s="1" a="1"/>
  <c r="A149" i="11"/>
  <c r="C148" i="11" a="1"/>
  <c r="C148" i="11" s="1"/>
  <c r="B148" i="11"/>
  <c r="A148" i="11"/>
  <c r="B147" i="11"/>
  <c r="C147" i="11" s="1" a="1"/>
  <c r="C147" i="11" s="1"/>
  <c r="A147" i="11"/>
  <c r="C146" i="11" a="1"/>
  <c r="C146" i="11" s="1"/>
  <c r="B146" i="11"/>
  <c r="A146" i="11"/>
  <c r="C145" i="11" a="1"/>
  <c r="C145" i="11" s="1"/>
  <c r="B145" i="11"/>
  <c r="A145" i="11"/>
  <c r="C144" i="11" a="1"/>
  <c r="C144" i="11" s="1"/>
  <c r="B144" i="11"/>
  <c r="A144" i="11"/>
  <c r="C143" i="11" a="1"/>
  <c r="C143" i="11" s="1"/>
  <c r="B143" i="11"/>
  <c r="A143" i="11"/>
  <c r="C142" i="11"/>
  <c r="B142" i="11"/>
  <c r="C142" i="11" s="1" a="1"/>
  <c r="A142" i="11"/>
  <c r="B141" i="11"/>
  <c r="C141" i="11" s="1" a="1"/>
  <c r="C141" i="11" s="1"/>
  <c r="A141" i="11"/>
  <c r="B140" i="11"/>
  <c r="C140" i="11" s="1" a="1"/>
  <c r="C140" i="11" s="1"/>
  <c r="A140" i="11"/>
  <c r="B139" i="11"/>
  <c r="C139" i="11" s="1" a="1"/>
  <c r="C139" i="11" s="1"/>
  <c r="A139" i="11"/>
  <c r="C138" i="11" a="1"/>
  <c r="C138" i="11"/>
  <c r="B138" i="11"/>
  <c r="A138" i="11"/>
  <c r="C137" i="11" a="1"/>
  <c r="C137" i="11"/>
  <c r="B137" i="11"/>
  <c r="A137" i="11"/>
  <c r="C136" i="11" a="1"/>
  <c r="C136" i="11"/>
  <c r="B136" i="11"/>
  <c r="A136" i="11"/>
  <c r="B135" i="11"/>
  <c r="C135" i="11" s="1" a="1"/>
  <c r="C135" i="11" s="1"/>
  <c r="A135" i="11"/>
  <c r="C134" i="11" a="1"/>
  <c r="C134" i="11" s="1"/>
  <c r="B134" i="11"/>
  <c r="A134" i="11"/>
  <c r="C133" i="11" a="1"/>
  <c r="C133" i="11" s="1"/>
  <c r="B133" i="11"/>
  <c r="A133" i="11"/>
  <c r="B132" i="11"/>
  <c r="C132" i="11" s="1" a="1"/>
  <c r="C132" i="11" s="1"/>
  <c r="A132" i="11"/>
  <c r="B131" i="11"/>
  <c r="C131" i="11" s="1" a="1"/>
  <c r="C131" i="11" s="1"/>
  <c r="A131" i="11"/>
  <c r="B130" i="11"/>
  <c r="C130" i="11" s="1" a="1"/>
  <c r="C130" i="11" s="1"/>
  <c r="A130" i="11"/>
  <c r="B129" i="11"/>
  <c r="C129" i="11" s="1" a="1"/>
  <c r="C129" i="11" s="1"/>
  <c r="A129" i="11"/>
  <c r="C128" i="11" a="1"/>
  <c r="C128" i="11" s="1"/>
  <c r="B128" i="11"/>
  <c r="A128" i="11"/>
  <c r="B127" i="11"/>
  <c r="C127" i="11" s="1" a="1"/>
  <c r="C127" i="11" s="1"/>
  <c r="A127" i="11"/>
  <c r="C126" i="11" a="1"/>
  <c r="C126" i="11" s="1"/>
  <c r="B126" i="11"/>
  <c r="A126" i="11"/>
  <c r="C125" i="11" a="1"/>
  <c r="C125" i="11" s="1"/>
  <c r="B125" i="11"/>
  <c r="A125" i="11"/>
  <c r="C124" i="11" a="1"/>
  <c r="C124" i="11"/>
  <c r="B124" i="11"/>
  <c r="A124" i="11"/>
  <c r="C123" i="11"/>
  <c r="B123" i="11"/>
  <c r="C123" i="11" s="1" a="1"/>
  <c r="A123" i="11"/>
  <c r="C122" i="11" a="1"/>
  <c r="C122" i="11"/>
  <c r="B122" i="11"/>
  <c r="A122" i="11"/>
  <c r="C121" i="11" a="1"/>
  <c r="C121" i="11" s="1"/>
  <c r="B121" i="11"/>
  <c r="A121" i="11"/>
  <c r="B120" i="11"/>
  <c r="C120" i="11" s="1" a="1"/>
  <c r="C120" i="11" s="1"/>
  <c r="A120" i="11"/>
  <c r="C119" i="11" a="1"/>
  <c r="C119" i="11"/>
  <c r="B119" i="11"/>
  <c r="A119" i="11"/>
  <c r="C118" i="11" a="1"/>
  <c r="C118" i="11" s="1"/>
  <c r="B118" i="11"/>
  <c r="A118" i="11"/>
  <c r="C117" i="11" a="1"/>
  <c r="C117" i="11"/>
  <c r="B117" i="11"/>
  <c r="A117" i="11"/>
  <c r="B116" i="11"/>
  <c r="C116" i="11" s="1" a="1"/>
  <c r="C116" i="11" s="1"/>
  <c r="A116" i="11"/>
  <c r="C115" i="11" a="1"/>
  <c r="C115" i="11" s="1"/>
  <c r="B115" i="11"/>
  <c r="A115" i="11"/>
  <c r="C114" i="11" a="1"/>
  <c r="C114" i="11" s="1"/>
  <c r="B114" i="11"/>
  <c r="A114" i="11"/>
  <c r="C113" i="11" a="1"/>
  <c r="C113" i="11" s="1"/>
  <c r="B113" i="11"/>
  <c r="A113" i="11"/>
  <c r="C112" i="11" a="1"/>
  <c r="C112" i="11"/>
  <c r="B112" i="11"/>
  <c r="A112" i="11"/>
  <c r="B111" i="11"/>
  <c r="C111" i="11" s="1" a="1"/>
  <c r="C111" i="11" s="1"/>
  <c r="A111" i="11"/>
  <c r="B110" i="11"/>
  <c r="C110" i="11" s="1" a="1"/>
  <c r="C110" i="11" s="1"/>
  <c r="A110" i="11"/>
  <c r="C109" i="11"/>
  <c r="B109" i="11"/>
  <c r="C109" i="11" s="1" a="1"/>
  <c r="A109" i="11"/>
  <c r="B108" i="11"/>
  <c r="C108" i="11" s="1" a="1"/>
  <c r="C108" i="11" s="1"/>
  <c r="A108" i="11"/>
  <c r="C107" i="11" a="1"/>
  <c r="C107" i="11" s="1"/>
  <c r="B107" i="11"/>
  <c r="A107" i="11"/>
  <c r="C106" i="11" a="1"/>
  <c r="C106" i="11" s="1"/>
  <c r="B106" i="11"/>
  <c r="A106" i="11"/>
  <c r="C105" i="11" a="1"/>
  <c r="C105" i="11"/>
  <c r="B105" i="11"/>
  <c r="A105" i="11"/>
  <c r="B104" i="11"/>
  <c r="C104" i="11" s="1" a="1"/>
  <c r="C104" i="11" s="1"/>
  <c r="A104" i="11"/>
  <c r="B103" i="11"/>
  <c r="C103" i="11" s="1" a="1"/>
  <c r="C103" i="11" s="1"/>
  <c r="A103" i="11"/>
  <c r="B102" i="11"/>
  <c r="C102" i="11" s="1" a="1"/>
  <c r="C102" i="11" s="1"/>
  <c r="A102" i="11"/>
  <c r="C101" i="11" a="1"/>
  <c r="C101" i="11" s="1"/>
  <c r="B101" i="11"/>
  <c r="A101" i="11"/>
  <c r="C100" i="11" a="1"/>
  <c r="C100" i="11" s="1"/>
  <c r="B100" i="11"/>
  <c r="A100" i="11"/>
  <c r="C99" i="11"/>
  <c r="B99" i="11"/>
  <c r="C99" i="11" s="1" a="1"/>
  <c r="A99" i="11"/>
  <c r="C98" i="11" a="1"/>
  <c r="C98" i="11"/>
  <c r="B98" i="11"/>
  <c r="A98" i="11"/>
  <c r="B97" i="11"/>
  <c r="C97" i="11" s="1" a="1"/>
  <c r="C97" i="11" s="1"/>
  <c r="A97" i="11"/>
  <c r="C96" i="11" a="1"/>
  <c r="C96" i="11" s="1"/>
  <c r="B96" i="11"/>
  <c r="A96" i="11"/>
  <c r="B95" i="11"/>
  <c r="C95" i="11" s="1" a="1"/>
  <c r="C95" i="11" s="1"/>
  <c r="A95" i="11"/>
  <c r="C94" i="11" a="1"/>
  <c r="C94" i="11" s="1"/>
  <c r="B94" i="11"/>
  <c r="A94" i="11"/>
  <c r="C93" i="11" a="1"/>
  <c r="C93" i="11" s="1"/>
  <c r="B93" i="11"/>
  <c r="A93" i="11"/>
  <c r="B92" i="11"/>
  <c r="C92" i="11" s="1" a="1"/>
  <c r="C92" i="11" s="1"/>
  <c r="A92" i="11"/>
  <c r="C91" i="11" a="1"/>
  <c r="C91" i="11" s="1"/>
  <c r="B91" i="11"/>
  <c r="A91" i="11"/>
  <c r="B90" i="11"/>
  <c r="C90" i="11" s="1" a="1"/>
  <c r="C90" i="11" s="1"/>
  <c r="A90" i="11"/>
  <c r="C89" i="11" a="1"/>
  <c r="C89" i="11" s="1"/>
  <c r="B89" i="11"/>
  <c r="A89" i="11"/>
  <c r="B88" i="11"/>
  <c r="C88" i="11" s="1" a="1"/>
  <c r="C88" i="11" s="1"/>
  <c r="A88" i="11"/>
  <c r="B87" i="11"/>
  <c r="C87" i="11" s="1" a="1"/>
  <c r="C87" i="11" s="1"/>
  <c r="A87" i="11"/>
  <c r="C86" i="11" a="1"/>
  <c r="C86" i="11" s="1"/>
  <c r="B86" i="11"/>
  <c r="A86" i="11"/>
  <c r="C85" i="11" a="1"/>
  <c r="C85" i="11"/>
  <c r="B85" i="11"/>
  <c r="A85" i="11"/>
  <c r="C84" i="11" a="1"/>
  <c r="C84" i="11" s="1"/>
  <c r="B84" i="11"/>
  <c r="A84" i="11"/>
  <c r="B83" i="11"/>
  <c r="C83" i="11" s="1" a="1"/>
  <c r="C83" i="11" s="1"/>
  <c r="A83" i="11"/>
  <c r="B82" i="11"/>
  <c r="C82" i="11" s="1" a="1"/>
  <c r="C82" i="11" s="1"/>
  <c r="A82" i="11"/>
  <c r="B81" i="11"/>
  <c r="C81" i="11" s="1" a="1"/>
  <c r="C81" i="11" s="1"/>
  <c r="A81" i="11"/>
  <c r="C80" i="11"/>
  <c r="B80" i="11"/>
  <c r="C80" i="11" s="1" a="1"/>
  <c r="A80" i="11"/>
  <c r="C79" i="11" a="1"/>
  <c r="C79" i="11" s="1"/>
  <c r="B79" i="11"/>
  <c r="A79" i="11"/>
  <c r="C78" i="11" a="1"/>
  <c r="C78" i="11" s="1"/>
  <c r="B78" i="11"/>
  <c r="A78" i="11"/>
  <c r="C77" i="11" a="1"/>
  <c r="C77" i="11" s="1"/>
  <c r="B77" i="11"/>
  <c r="A77" i="11"/>
  <c r="B76" i="11"/>
  <c r="C76" i="11" s="1" a="1"/>
  <c r="C76" i="11" s="1"/>
  <c r="A76" i="11"/>
  <c r="B75" i="11"/>
  <c r="C75" i="11" s="1" a="1"/>
  <c r="C75" i="11" s="1"/>
  <c r="A75" i="11"/>
  <c r="B74" i="11"/>
  <c r="C74" i="11" s="1" a="1"/>
  <c r="C74" i="11" s="1"/>
  <c r="A74" i="11"/>
  <c r="C73" i="11" a="1"/>
  <c r="C73" i="11" s="1"/>
  <c r="B73" i="11"/>
  <c r="A73" i="11"/>
  <c r="C72" i="11" a="1"/>
  <c r="C72" i="11" s="1"/>
  <c r="B72" i="11"/>
  <c r="A72" i="11"/>
  <c r="C71" i="11"/>
  <c r="B71" i="11"/>
  <c r="C71" i="11" s="1" a="1"/>
  <c r="A71" i="11"/>
  <c r="B70" i="11"/>
  <c r="C70" i="11" s="1" a="1"/>
  <c r="C70" i="11" s="1"/>
  <c r="A70" i="11"/>
  <c r="C69" i="11" a="1"/>
  <c r="C69" i="11" s="1"/>
  <c r="B69" i="11"/>
  <c r="A69" i="11"/>
  <c r="C68" i="11"/>
  <c r="B68" i="11"/>
  <c r="C68" i="11" s="1" a="1"/>
  <c r="A68" i="11"/>
  <c r="B67" i="11"/>
  <c r="C67" i="11" s="1" a="1"/>
  <c r="C67" i="11" s="1"/>
  <c r="A67" i="11"/>
  <c r="B66" i="11"/>
  <c r="C66" i="11" s="1" a="1"/>
  <c r="C66" i="11" s="1"/>
  <c r="A66" i="11"/>
  <c r="C65" i="11" a="1"/>
  <c r="C65" i="11" s="1"/>
  <c r="B65" i="11"/>
  <c r="A65" i="11"/>
  <c r="C64" i="11" a="1"/>
  <c r="C64" i="11"/>
  <c r="B64" i="11"/>
  <c r="A64" i="11"/>
  <c r="C63" i="11" a="1"/>
  <c r="C63" i="11" s="1"/>
  <c r="B63" i="11"/>
  <c r="A63" i="11"/>
  <c r="B62" i="11"/>
  <c r="C62" i="11" s="1" a="1"/>
  <c r="C62" i="11" s="1"/>
  <c r="A62" i="11"/>
  <c r="B61" i="11"/>
  <c r="C61" i="11" s="1" a="1"/>
  <c r="C61" i="11" s="1"/>
  <c r="A61" i="11"/>
  <c r="B60" i="11"/>
  <c r="C60" i="11" s="1" a="1"/>
  <c r="C60" i="11" s="1"/>
  <c r="A60" i="11"/>
  <c r="C59" i="11" a="1"/>
  <c r="C59" i="11" s="1"/>
  <c r="B59" i="11"/>
  <c r="A59" i="11"/>
  <c r="C58" i="11" a="1"/>
  <c r="C58" i="11" s="1"/>
  <c r="B58" i="11"/>
  <c r="A58" i="11"/>
  <c r="B57" i="11"/>
  <c r="C57" i="11" s="1" a="1"/>
  <c r="C57" i="11" s="1"/>
  <c r="A57" i="11"/>
  <c r="B56" i="11"/>
  <c r="C56" i="11" s="1" a="1"/>
  <c r="C56" i="11" s="1"/>
  <c r="A56" i="11"/>
  <c r="C55" i="11" a="1"/>
  <c r="C55" i="11"/>
  <c r="B55" i="11"/>
  <c r="A55" i="11"/>
  <c r="B54" i="11"/>
  <c r="C54" i="11" s="1" a="1"/>
  <c r="C54" i="11" s="1"/>
  <c r="A54" i="11"/>
  <c r="B53" i="11"/>
  <c r="C53" i="11" s="1" a="1"/>
  <c r="C53" i="11" s="1"/>
  <c r="A53" i="11"/>
  <c r="B52" i="11"/>
  <c r="C52" i="11" s="1" a="1"/>
  <c r="C52" i="11" s="1"/>
  <c r="A52" i="11"/>
  <c r="C51" i="11" a="1"/>
  <c r="C51" i="11" s="1"/>
  <c r="B51" i="11"/>
  <c r="A51" i="11"/>
  <c r="C50" i="11" a="1"/>
  <c r="C50" i="11" s="1"/>
  <c r="B50" i="11"/>
  <c r="A50" i="11"/>
  <c r="B49" i="11"/>
  <c r="C49" i="11" s="1" a="1"/>
  <c r="C49" i="11" s="1"/>
  <c r="A49" i="11"/>
  <c r="B48" i="11"/>
  <c r="C48" i="11" s="1" a="1"/>
  <c r="C48" i="11" s="1"/>
  <c r="A48" i="11"/>
  <c r="B47" i="11"/>
  <c r="C47" i="11" s="1" a="1"/>
  <c r="C47" i="11" s="1"/>
  <c r="A47" i="11"/>
  <c r="C46" i="11"/>
  <c r="B46" i="11"/>
  <c r="C46" i="11" s="1" a="1"/>
  <c r="A46" i="11"/>
  <c r="B45" i="11"/>
  <c r="C45" i="11" s="1" a="1"/>
  <c r="C45" i="11" s="1"/>
  <c r="A45" i="11"/>
  <c r="C44" i="11" a="1"/>
  <c r="C44" i="11" s="1"/>
  <c r="B44" i="11"/>
  <c r="A44" i="11"/>
  <c r="B43" i="11"/>
  <c r="C43" i="11" s="1" a="1"/>
  <c r="C43" i="11" s="1"/>
  <c r="A43" i="11"/>
  <c r="C42" i="11" a="1"/>
  <c r="C42" i="11"/>
  <c r="B42" i="11"/>
  <c r="A42" i="11"/>
  <c r="B41" i="11"/>
  <c r="C41" i="11" s="1" a="1"/>
  <c r="C41" i="11" s="1"/>
  <c r="A41" i="11"/>
  <c r="B40" i="11"/>
  <c r="C40" i="11" s="1" a="1"/>
  <c r="C40" i="11" s="1"/>
  <c r="A40" i="11"/>
  <c r="B39" i="11"/>
  <c r="C39" i="11" s="1" a="1"/>
  <c r="C39" i="11" s="1"/>
  <c r="A39" i="11"/>
  <c r="C38" i="11" a="1"/>
  <c r="C38" i="11" s="1"/>
  <c r="B38" i="11"/>
  <c r="A38" i="11"/>
  <c r="C37" i="11" a="1"/>
  <c r="C37" i="11" s="1"/>
  <c r="B37" i="11"/>
  <c r="A37" i="11"/>
  <c r="B36" i="11"/>
  <c r="C36" i="11" s="1" a="1"/>
  <c r="C36" i="11" s="1"/>
  <c r="A36" i="11"/>
  <c r="C35" i="11" a="1"/>
  <c r="C35" i="11" s="1"/>
  <c r="B35" i="11"/>
  <c r="A35" i="11"/>
  <c r="B34" i="11"/>
  <c r="C34" i="11" s="1" a="1"/>
  <c r="C34" i="11" s="1"/>
  <c r="A34" i="11"/>
  <c r="C33" i="11" a="1"/>
  <c r="C33" i="11" s="1"/>
  <c r="B33" i="11"/>
  <c r="A33" i="11"/>
  <c r="C32" i="11"/>
  <c r="B32" i="11"/>
  <c r="C32" i="11" s="1" a="1"/>
  <c r="A32" i="11"/>
  <c r="C31" i="11" a="1"/>
  <c r="C31" i="11" s="1"/>
  <c r="B31" i="11"/>
  <c r="A31" i="11"/>
  <c r="C30" i="11" a="1"/>
  <c r="C30" i="11" s="1"/>
  <c r="B30" i="11"/>
  <c r="A30" i="11"/>
  <c r="C29" i="11" a="1"/>
  <c r="C29" i="11"/>
  <c r="B29" i="11"/>
  <c r="A29" i="11"/>
  <c r="C28" i="11" a="1"/>
  <c r="C28" i="11" s="1"/>
  <c r="B28" i="11"/>
  <c r="A28" i="11"/>
  <c r="C27" i="11" a="1"/>
  <c r="C27" i="11" s="1"/>
  <c r="B27" i="11"/>
  <c r="A27" i="11"/>
  <c r="C26" i="11" a="1"/>
  <c r="C26" i="11" s="1"/>
  <c r="B26" i="11"/>
  <c r="A26" i="11"/>
  <c r="B25" i="11"/>
  <c r="C25" i="11" s="1" a="1"/>
  <c r="C25" i="11" s="1"/>
  <c r="A25" i="11"/>
  <c r="C24" i="11"/>
  <c r="B24" i="11"/>
  <c r="C24" i="11" s="1" a="1"/>
  <c r="A24" i="11"/>
  <c r="C23" i="11" a="1"/>
  <c r="C23" i="11" s="1"/>
  <c r="B23" i="11"/>
  <c r="A23" i="11"/>
  <c r="C22" i="11"/>
  <c r="B22" i="11"/>
  <c r="C22" i="11" s="1" a="1"/>
  <c r="A22" i="11"/>
  <c r="B21" i="11"/>
  <c r="C21" i="11" s="1" a="1"/>
  <c r="C21" i="11" s="1"/>
  <c r="A21" i="11"/>
  <c r="C20" i="11" a="1"/>
  <c r="C20" i="11" s="1"/>
  <c r="B20" i="11"/>
  <c r="A20" i="11"/>
  <c r="C19" i="11" a="1"/>
  <c r="C19" i="11" s="1"/>
  <c r="B19" i="11"/>
  <c r="A19" i="11"/>
  <c r="B18" i="11"/>
  <c r="C18" i="11" s="1" a="1"/>
  <c r="C18" i="11" s="1"/>
  <c r="A18" i="11"/>
  <c r="B17" i="11"/>
  <c r="C17" i="11" s="1" a="1"/>
  <c r="C17" i="11" s="1"/>
  <c r="A17" i="11"/>
  <c r="C16" i="11" a="1"/>
  <c r="C16" i="11" s="1"/>
  <c r="B16" i="11"/>
  <c r="A16" i="11"/>
  <c r="C15" i="11" a="1"/>
  <c r="C15" i="11"/>
  <c r="B15" i="11"/>
  <c r="A15" i="11"/>
  <c r="B14" i="11"/>
  <c r="C14" i="11" s="1" a="1"/>
  <c r="C14" i="11" s="1"/>
  <c r="A14" i="11"/>
  <c r="B13" i="11"/>
  <c r="C13" i="11" s="1" a="1"/>
  <c r="C13" i="11" s="1"/>
  <c r="A13" i="11"/>
  <c r="B12" i="11"/>
  <c r="C12" i="11" s="1" a="1"/>
  <c r="C12" i="11" s="1"/>
  <c r="A12" i="11"/>
  <c r="C11" i="11"/>
  <c r="B11" i="11"/>
  <c r="C11" i="11" s="1" a="1"/>
  <c r="A11" i="11"/>
  <c r="C10" i="11" a="1"/>
  <c r="C10" i="11" s="1"/>
  <c r="B10" i="11"/>
  <c r="A10" i="11"/>
  <c r="C9" i="11" a="1"/>
  <c r="C9" i="11" s="1"/>
  <c r="B9" i="11"/>
  <c r="A9" i="11"/>
  <c r="D8" i="11"/>
  <c r="E8" i="11" s="1"/>
  <c r="C8" i="11"/>
  <c r="B8" i="11"/>
  <c r="C8" i="11" s="1" a="1"/>
  <c r="A8" i="11"/>
  <c r="E7" i="11"/>
  <c r="C7" i="11" a="1"/>
  <c r="C7" i="11" s="1"/>
  <c r="B7" i="11"/>
  <c r="A7" i="11"/>
  <c r="E1" i="11"/>
  <c r="D1" i="11" s="1"/>
  <c r="S265" i="10"/>
  <c r="B265" i="10"/>
  <c r="C265" i="10" s="1" a="1"/>
  <c r="C265" i="10" s="1"/>
  <c r="A265" i="10"/>
  <c r="S264" i="10"/>
  <c r="B264" i="10"/>
  <c r="C264" i="10" s="1" a="1"/>
  <c r="C264" i="10" s="1"/>
  <c r="A264" i="10"/>
  <c r="S263" i="10"/>
  <c r="C263" i="10" a="1"/>
  <c r="C263" i="10" s="1"/>
  <c r="B263" i="10"/>
  <c r="A263" i="10"/>
  <c r="S262" i="10"/>
  <c r="C262" i="10" a="1"/>
  <c r="C262" i="10"/>
  <c r="B262" i="10"/>
  <c r="A262" i="10"/>
  <c r="S261" i="10"/>
  <c r="C261" i="10"/>
  <c r="B261" i="10"/>
  <c r="C261" i="10" s="1" a="1"/>
  <c r="A261" i="10"/>
  <c r="S260" i="10"/>
  <c r="C260" i="10" a="1"/>
  <c r="C260" i="10"/>
  <c r="B260" i="10"/>
  <c r="A260" i="10"/>
  <c r="S259" i="10"/>
  <c r="B259" i="10"/>
  <c r="C259" i="10" s="1" a="1"/>
  <c r="C259" i="10" s="1"/>
  <c r="A259" i="10"/>
  <c r="S258" i="10"/>
  <c r="C258" i="10" a="1"/>
  <c r="C258" i="10" s="1"/>
  <c r="B258" i="10"/>
  <c r="A258" i="10"/>
  <c r="S257" i="10"/>
  <c r="B257" i="10"/>
  <c r="C257" i="10" s="1" a="1"/>
  <c r="C257" i="10" s="1"/>
  <c r="A257" i="10"/>
  <c r="S256" i="10"/>
  <c r="C256" i="10" a="1"/>
  <c r="C256" i="10"/>
  <c r="B256" i="10"/>
  <c r="A256" i="10"/>
  <c r="S255" i="10"/>
  <c r="C255" i="10" a="1"/>
  <c r="C255" i="10" s="1"/>
  <c r="B255" i="10"/>
  <c r="A255" i="10"/>
  <c r="S254" i="10"/>
  <c r="C254" i="10" a="1"/>
  <c r="C254" i="10" s="1"/>
  <c r="B254" i="10"/>
  <c r="A254" i="10"/>
  <c r="S253" i="10"/>
  <c r="B253" i="10"/>
  <c r="C253" i="10" s="1" a="1"/>
  <c r="C253" i="10" s="1"/>
  <c r="A253" i="10"/>
  <c r="S252" i="10"/>
  <c r="B252" i="10"/>
  <c r="C252" i="10" s="1" a="1"/>
  <c r="C252" i="10" s="1"/>
  <c r="A252" i="10"/>
  <c r="S251" i="10"/>
  <c r="B251" i="10"/>
  <c r="C251" i="10" s="1" a="1"/>
  <c r="C251" i="10" s="1"/>
  <c r="A251" i="10"/>
  <c r="S250" i="10"/>
  <c r="B250" i="10"/>
  <c r="C250" i="10" s="1" a="1"/>
  <c r="C250" i="10" s="1"/>
  <c r="A250" i="10"/>
  <c r="S249" i="10"/>
  <c r="C249" i="10" a="1"/>
  <c r="C249" i="10" s="1"/>
  <c r="B249" i="10"/>
  <c r="A249" i="10"/>
  <c r="S248" i="10"/>
  <c r="C248" i="10" a="1"/>
  <c r="C248" i="10" s="1"/>
  <c r="B248" i="10"/>
  <c r="A248" i="10"/>
  <c r="S247" i="10"/>
  <c r="C247" i="10" a="1"/>
  <c r="C247" i="10" s="1"/>
  <c r="B247" i="10"/>
  <c r="A247" i="10"/>
  <c r="S246" i="10"/>
  <c r="B246" i="10"/>
  <c r="C246" i="10" s="1" a="1"/>
  <c r="C246" i="10" s="1"/>
  <c r="A246" i="10"/>
  <c r="S245" i="10"/>
  <c r="B245" i="10"/>
  <c r="C245" i="10" s="1" a="1"/>
  <c r="C245" i="10" s="1"/>
  <c r="A245" i="10"/>
  <c r="S244" i="10"/>
  <c r="C244" i="10" a="1"/>
  <c r="C244" i="10" s="1"/>
  <c r="B244" i="10"/>
  <c r="A244" i="10"/>
  <c r="S243" i="10"/>
  <c r="B243" i="10"/>
  <c r="C243" i="10" s="1" a="1"/>
  <c r="C243" i="10" s="1"/>
  <c r="A243" i="10"/>
  <c r="S242" i="10"/>
  <c r="B242" i="10"/>
  <c r="C242" i="10" s="1" a="1"/>
  <c r="C242" i="10" s="1"/>
  <c r="A242" i="10"/>
  <c r="S241" i="10"/>
  <c r="B241" i="10"/>
  <c r="C241" i="10" s="1" a="1"/>
  <c r="C241" i="10" s="1"/>
  <c r="A241" i="10"/>
  <c r="S240" i="10"/>
  <c r="C240" i="10" a="1"/>
  <c r="C240" i="10" s="1"/>
  <c r="B240" i="10"/>
  <c r="A240" i="10"/>
  <c r="S239" i="10"/>
  <c r="C239" i="10"/>
  <c r="B239" i="10"/>
  <c r="C239" i="10" s="1" a="1"/>
  <c r="A239" i="10"/>
  <c r="S238" i="10"/>
  <c r="B238" i="10"/>
  <c r="C238" i="10" s="1" a="1"/>
  <c r="C238" i="10" s="1"/>
  <c r="A238" i="10"/>
  <c r="S237" i="10"/>
  <c r="B237" i="10"/>
  <c r="C237" i="10" s="1" a="1"/>
  <c r="C237" i="10" s="1"/>
  <c r="A237" i="10"/>
  <c r="S236" i="10"/>
  <c r="B236" i="10"/>
  <c r="C236" i="10" s="1" a="1"/>
  <c r="C236" i="10" s="1"/>
  <c r="A236" i="10"/>
  <c r="S235" i="10"/>
  <c r="B235" i="10"/>
  <c r="C235" i="10" s="1" a="1"/>
  <c r="C235" i="10" s="1"/>
  <c r="A235" i="10"/>
  <c r="S234" i="10"/>
  <c r="C234" i="10" a="1"/>
  <c r="C234" i="10"/>
  <c r="B234" i="10"/>
  <c r="A234" i="10"/>
  <c r="S233" i="10"/>
  <c r="C233" i="10" a="1"/>
  <c r="C233" i="10" s="1"/>
  <c r="B233" i="10"/>
  <c r="A233" i="10"/>
  <c r="S232" i="10"/>
  <c r="B232" i="10"/>
  <c r="C232" i="10" s="1" a="1"/>
  <c r="C232" i="10" s="1"/>
  <c r="A232" i="10"/>
  <c r="S231" i="10"/>
  <c r="C231" i="10"/>
  <c r="B231" i="10"/>
  <c r="C231" i="10" s="1" a="1"/>
  <c r="A231" i="10"/>
  <c r="S230" i="10"/>
  <c r="C230" i="10" a="1"/>
  <c r="C230" i="10"/>
  <c r="B230" i="10"/>
  <c r="A230" i="10"/>
  <c r="S229" i="10"/>
  <c r="B229" i="10"/>
  <c r="C229" i="10" s="1" a="1"/>
  <c r="C229" i="10" s="1"/>
  <c r="A229" i="10"/>
  <c r="S228" i="10"/>
  <c r="C228" i="10" a="1"/>
  <c r="C228" i="10"/>
  <c r="B228" i="10"/>
  <c r="A228" i="10"/>
  <c r="S227" i="10"/>
  <c r="C227" i="10"/>
  <c r="B227" i="10"/>
  <c r="C227" i="10" s="1" a="1"/>
  <c r="A227" i="10"/>
  <c r="S226" i="10"/>
  <c r="C226" i="10" a="1"/>
  <c r="C226" i="10" s="1"/>
  <c r="B226" i="10"/>
  <c r="A226" i="10"/>
  <c r="S225" i="10"/>
  <c r="C225" i="10"/>
  <c r="B225" i="10"/>
  <c r="C225" i="10" s="1" a="1"/>
  <c r="A225" i="10"/>
  <c r="S224" i="10"/>
  <c r="C224" i="10" a="1"/>
  <c r="C224" i="10" s="1"/>
  <c r="B224" i="10"/>
  <c r="A224" i="10"/>
  <c r="S223" i="10"/>
  <c r="C223" i="10" a="1"/>
  <c r="C223" i="10" s="1"/>
  <c r="B223" i="10"/>
  <c r="A223" i="10"/>
  <c r="S222" i="10"/>
  <c r="B222" i="10"/>
  <c r="C222" i="10" s="1" a="1"/>
  <c r="C222" i="10" s="1"/>
  <c r="A222" i="10"/>
  <c r="S221" i="10"/>
  <c r="B221" i="10"/>
  <c r="C221" i="10" s="1" a="1"/>
  <c r="C221" i="10" s="1"/>
  <c r="A221" i="10"/>
  <c r="U220" i="10"/>
  <c r="T220" i="10" s="1"/>
  <c r="S220" i="10"/>
  <c r="C220" i="10" a="1"/>
  <c r="C220" i="10"/>
  <c r="B220" i="10"/>
  <c r="A220" i="10"/>
  <c r="U219" i="10"/>
  <c r="S219" i="10"/>
  <c r="C219" i="10" a="1"/>
  <c r="C219" i="10" s="1"/>
  <c r="B219" i="10"/>
  <c r="A219" i="10"/>
  <c r="S218" i="10"/>
  <c r="B218" i="10"/>
  <c r="C218" i="10" s="1" a="1"/>
  <c r="C218" i="10" s="1"/>
  <c r="A218" i="10"/>
  <c r="S217" i="10"/>
  <c r="C217" i="10"/>
  <c r="B217" i="10"/>
  <c r="C217" i="10" s="1" a="1"/>
  <c r="A217" i="10"/>
  <c r="S216" i="10"/>
  <c r="C216" i="10" a="1"/>
  <c r="C216" i="10" s="1"/>
  <c r="B216" i="10"/>
  <c r="A216" i="10"/>
  <c r="S215" i="10"/>
  <c r="B215" i="10"/>
  <c r="C215" i="10" s="1" a="1"/>
  <c r="C215" i="10" s="1"/>
  <c r="A215" i="10"/>
  <c r="S214" i="10"/>
  <c r="C214" i="10" a="1"/>
  <c r="C214" i="10" s="1"/>
  <c r="B214" i="10"/>
  <c r="A214" i="10"/>
  <c r="S213" i="10"/>
  <c r="C213" i="10" a="1"/>
  <c r="C213" i="10" s="1"/>
  <c r="B213" i="10"/>
  <c r="A213" i="10"/>
  <c r="S212" i="10"/>
  <c r="C212" i="10" a="1"/>
  <c r="C212" i="10"/>
  <c r="B212" i="10"/>
  <c r="A212" i="10"/>
  <c r="S211" i="10"/>
  <c r="B211" i="10"/>
  <c r="C211" i="10" s="1" a="1"/>
  <c r="C211" i="10" s="1"/>
  <c r="A211" i="10"/>
  <c r="S210" i="10"/>
  <c r="C210" i="10" a="1"/>
  <c r="C210" i="10" s="1"/>
  <c r="B210" i="10"/>
  <c r="A210" i="10"/>
  <c r="S209" i="10"/>
  <c r="B209" i="10"/>
  <c r="C209" i="10" s="1" a="1"/>
  <c r="C209" i="10" s="1"/>
  <c r="A209" i="10"/>
  <c r="S208" i="10"/>
  <c r="B208" i="10"/>
  <c r="C208" i="10" s="1" a="1"/>
  <c r="C208" i="10" s="1"/>
  <c r="A208" i="10"/>
  <c r="S207" i="10"/>
  <c r="C207" i="10"/>
  <c r="B207" i="10"/>
  <c r="C207" i="10" s="1" a="1"/>
  <c r="A207" i="10"/>
  <c r="S206" i="10"/>
  <c r="C206" i="10" a="1"/>
  <c r="C206" i="10" s="1"/>
  <c r="B206" i="10"/>
  <c r="A206" i="10"/>
  <c r="S205" i="10"/>
  <c r="C205" i="10" a="1"/>
  <c r="C205" i="10" s="1"/>
  <c r="B205" i="10"/>
  <c r="A205" i="10"/>
  <c r="S204" i="10"/>
  <c r="B204" i="10"/>
  <c r="C204" i="10" s="1" a="1"/>
  <c r="C204" i="10" s="1"/>
  <c r="A204" i="10"/>
  <c r="S203" i="10"/>
  <c r="B203" i="10"/>
  <c r="C203" i="10" s="1" a="1"/>
  <c r="C203" i="10" s="1"/>
  <c r="A203" i="10"/>
  <c r="S202" i="10"/>
  <c r="C202" i="10" a="1"/>
  <c r="C202" i="10"/>
  <c r="B202" i="10"/>
  <c r="A202" i="10"/>
  <c r="S201" i="10"/>
  <c r="C201" i="10" a="1"/>
  <c r="C201" i="10" s="1"/>
  <c r="B201" i="10"/>
  <c r="A201" i="10"/>
  <c r="S200" i="10"/>
  <c r="C200" i="10" a="1"/>
  <c r="C200" i="10" s="1"/>
  <c r="B200" i="10"/>
  <c r="A200" i="10"/>
  <c r="S199" i="10"/>
  <c r="C199" i="10"/>
  <c r="B199" i="10"/>
  <c r="C199" i="10" s="1" a="1"/>
  <c r="A199" i="10"/>
  <c r="S198" i="10"/>
  <c r="C198" i="10" a="1"/>
  <c r="C198" i="10"/>
  <c r="B198" i="10"/>
  <c r="A198" i="10"/>
  <c r="S197" i="10"/>
  <c r="C197" i="10"/>
  <c r="B197" i="10"/>
  <c r="C197" i="10" s="1" a="1"/>
  <c r="A197" i="10"/>
  <c r="S196" i="10"/>
  <c r="C196" i="10" a="1"/>
  <c r="C196" i="10" s="1"/>
  <c r="B196" i="10"/>
  <c r="A196" i="10"/>
  <c r="S195" i="10"/>
  <c r="B195" i="10"/>
  <c r="C195" i="10" s="1" a="1"/>
  <c r="C195" i="10" s="1"/>
  <c r="A195" i="10"/>
  <c r="S194" i="10"/>
  <c r="B194" i="10"/>
  <c r="C194" i="10" s="1" a="1"/>
  <c r="C194" i="10" s="1"/>
  <c r="A194" i="10"/>
  <c r="S193" i="10"/>
  <c r="B193" i="10"/>
  <c r="C193" i="10" s="1" a="1"/>
  <c r="C193" i="10" s="1"/>
  <c r="A193" i="10"/>
  <c r="S192" i="10"/>
  <c r="B192" i="10"/>
  <c r="C192" i="10" s="1" a="1"/>
  <c r="C192" i="10" s="1"/>
  <c r="A192" i="10"/>
  <c r="S191" i="10"/>
  <c r="C191" i="10" a="1"/>
  <c r="C191" i="10" s="1"/>
  <c r="B191" i="10"/>
  <c r="A191" i="10"/>
  <c r="S190" i="10"/>
  <c r="C190" i="10"/>
  <c r="B190" i="10"/>
  <c r="C190" i="10" s="1" a="1"/>
  <c r="A190" i="10"/>
  <c r="S189" i="10"/>
  <c r="B189" i="10"/>
  <c r="C189" i="10" s="1" a="1"/>
  <c r="C189" i="10" s="1"/>
  <c r="A189" i="10"/>
  <c r="S188" i="10"/>
  <c r="C188" i="10" a="1"/>
  <c r="C188" i="10"/>
  <c r="B188" i="10"/>
  <c r="A188" i="10"/>
  <c r="S187" i="10"/>
  <c r="C187" i="10" a="1"/>
  <c r="C187" i="10" s="1"/>
  <c r="B187" i="10"/>
  <c r="A187" i="10"/>
  <c r="S186" i="10"/>
  <c r="B186" i="10"/>
  <c r="C186" i="10" s="1" a="1"/>
  <c r="C186" i="10" s="1"/>
  <c r="A186" i="10"/>
  <c r="S185" i="10"/>
  <c r="B185" i="10"/>
  <c r="C185" i="10" s="1" a="1"/>
  <c r="C185" i="10" s="1"/>
  <c r="A185" i="10"/>
  <c r="S184" i="10"/>
  <c r="C184" i="10" a="1"/>
  <c r="C184" i="10"/>
  <c r="B184" i="10"/>
  <c r="A184" i="10"/>
  <c r="S183" i="10"/>
  <c r="C183" i="10"/>
  <c r="B183" i="10"/>
  <c r="C183" i="10" s="1" a="1"/>
  <c r="A183" i="10"/>
  <c r="S182" i="10"/>
  <c r="C182" i="10" a="1"/>
  <c r="C182" i="10" s="1"/>
  <c r="B182" i="10"/>
  <c r="A182" i="10"/>
  <c r="S181" i="10"/>
  <c r="B181" i="10"/>
  <c r="C181" i="10" s="1" a="1"/>
  <c r="C181" i="10" s="1"/>
  <c r="A181" i="10"/>
  <c r="S180" i="10"/>
  <c r="B180" i="10"/>
  <c r="C180" i="10" s="1" a="1"/>
  <c r="C180" i="10" s="1"/>
  <c r="A180" i="10"/>
  <c r="S179" i="10"/>
  <c r="C179" i="10" a="1"/>
  <c r="C179" i="10" s="1"/>
  <c r="B179" i="10"/>
  <c r="A179" i="10"/>
  <c r="S178" i="10"/>
  <c r="B178" i="10"/>
  <c r="C178" i="10" s="1" a="1"/>
  <c r="C178" i="10" s="1"/>
  <c r="A178" i="10"/>
  <c r="S177" i="10"/>
  <c r="C177" i="10" a="1"/>
  <c r="C177" i="10" s="1"/>
  <c r="B177" i="10"/>
  <c r="A177" i="10"/>
  <c r="S176" i="10"/>
  <c r="C176" i="10"/>
  <c r="B176" i="10"/>
  <c r="C176" i="10" s="1" a="1"/>
  <c r="A176" i="10"/>
  <c r="S175" i="10"/>
  <c r="C175" i="10" a="1"/>
  <c r="C175" i="10" s="1"/>
  <c r="B175" i="10"/>
  <c r="A175" i="10"/>
  <c r="S174" i="10"/>
  <c r="C174" i="10" a="1"/>
  <c r="C174" i="10"/>
  <c r="B174" i="10"/>
  <c r="A174" i="10"/>
  <c r="S173" i="10"/>
  <c r="C173" i="10" a="1"/>
  <c r="C173" i="10" s="1"/>
  <c r="B173" i="10"/>
  <c r="A173" i="10"/>
  <c r="S172" i="10"/>
  <c r="C172" i="10"/>
  <c r="B172" i="10"/>
  <c r="C172" i="10" s="1" a="1"/>
  <c r="A172" i="10"/>
  <c r="S171" i="10"/>
  <c r="B171" i="10"/>
  <c r="C171" i="10" s="1" a="1"/>
  <c r="C171" i="10" s="1"/>
  <c r="A171" i="10"/>
  <c r="S170" i="10"/>
  <c r="C170" i="10" a="1"/>
  <c r="C170" i="10"/>
  <c r="B170" i="10"/>
  <c r="A170" i="10"/>
  <c r="S169" i="10"/>
  <c r="B169" i="10"/>
  <c r="C169" i="10" s="1" a="1"/>
  <c r="C169" i="10" s="1"/>
  <c r="A169" i="10"/>
  <c r="S168" i="10"/>
  <c r="C168" i="10"/>
  <c r="B168" i="10"/>
  <c r="C168" i="10" s="1" a="1"/>
  <c r="A168" i="10"/>
  <c r="S167" i="10"/>
  <c r="C167" i="10" a="1"/>
  <c r="C167" i="10"/>
  <c r="B167" i="10"/>
  <c r="A167" i="10"/>
  <c r="S166" i="10"/>
  <c r="B166" i="10"/>
  <c r="C166" i="10" s="1" a="1"/>
  <c r="C166" i="10" s="1"/>
  <c r="A166" i="10"/>
  <c r="S165" i="10"/>
  <c r="C165" i="10" a="1"/>
  <c r="C165" i="10" s="1"/>
  <c r="B165" i="10"/>
  <c r="A165" i="10"/>
  <c r="S164" i="10"/>
  <c r="B164" i="10"/>
  <c r="C164" i="10" s="1" a="1"/>
  <c r="C164" i="10" s="1"/>
  <c r="A164" i="10"/>
  <c r="S163" i="10"/>
  <c r="C163" i="10" a="1"/>
  <c r="C163" i="10" s="1"/>
  <c r="B163" i="10"/>
  <c r="A163" i="10"/>
  <c r="S162" i="10"/>
  <c r="C162" i="10"/>
  <c r="B162" i="10"/>
  <c r="C162" i="10" s="1" a="1"/>
  <c r="A162" i="10"/>
  <c r="S161" i="10"/>
  <c r="C161" i="10" a="1"/>
  <c r="C161" i="10" s="1"/>
  <c r="B161" i="10"/>
  <c r="A161" i="10"/>
  <c r="S160" i="10"/>
  <c r="C160" i="10" a="1"/>
  <c r="C160" i="10"/>
  <c r="B160" i="10"/>
  <c r="A160" i="10"/>
  <c r="S159" i="10"/>
  <c r="B159" i="10"/>
  <c r="C159" i="10" s="1" a="1"/>
  <c r="C159" i="10" s="1"/>
  <c r="A159" i="10"/>
  <c r="S158" i="10"/>
  <c r="B158" i="10"/>
  <c r="C158" i="10" s="1" a="1"/>
  <c r="C158" i="10" s="1"/>
  <c r="A158" i="10"/>
  <c r="S157" i="10"/>
  <c r="C157" i="10" a="1"/>
  <c r="C157" i="10" s="1"/>
  <c r="B157" i="10"/>
  <c r="A157" i="10"/>
  <c r="U156" i="10"/>
  <c r="S156" i="10"/>
  <c r="T156" i="10" s="1"/>
  <c r="C156" i="10" a="1"/>
  <c r="C156" i="10"/>
  <c r="B156" i="10"/>
  <c r="A156" i="10"/>
  <c r="U155" i="10"/>
  <c r="T155" i="10"/>
  <c r="S155" i="10"/>
  <c r="C155" i="10"/>
  <c r="B155" i="10"/>
  <c r="C155" i="10" s="1" a="1"/>
  <c r="A155" i="10"/>
  <c r="U154" i="10"/>
  <c r="T154" i="10"/>
  <c r="S154" i="10"/>
  <c r="B154" i="10"/>
  <c r="C154" i="10" s="1" a="1"/>
  <c r="C154" i="10" s="1"/>
  <c r="A154" i="10"/>
  <c r="U153" i="10"/>
  <c r="S153" i="10"/>
  <c r="T153" i="10" s="1"/>
  <c r="B153" i="10"/>
  <c r="C153" i="10" s="1" a="1"/>
  <c r="C153" i="10" s="1"/>
  <c r="A153" i="10"/>
  <c r="U152" i="10"/>
  <c r="S152" i="10"/>
  <c r="T152" i="10" s="1"/>
  <c r="B152" i="10"/>
  <c r="C152" i="10" s="1" a="1"/>
  <c r="C152" i="10" s="1"/>
  <c r="A152" i="10"/>
  <c r="U151" i="10"/>
  <c r="S151" i="10"/>
  <c r="C151" i="10"/>
  <c r="B151" i="10"/>
  <c r="C151" i="10" s="1" a="1"/>
  <c r="A151" i="10"/>
  <c r="U150" i="10"/>
  <c r="T150" i="10" s="1"/>
  <c r="S150" i="10"/>
  <c r="C150" i="10" a="1"/>
  <c r="C150" i="10" s="1"/>
  <c r="B150" i="10"/>
  <c r="A150" i="10"/>
  <c r="U149" i="10"/>
  <c r="S149" i="10"/>
  <c r="T149" i="10" s="1"/>
  <c r="C149" i="10" a="1"/>
  <c r="C149" i="10" s="1"/>
  <c r="B149" i="10"/>
  <c r="A149" i="10"/>
  <c r="U148" i="10"/>
  <c r="S148" i="10"/>
  <c r="T148" i="10" s="1"/>
  <c r="B148" i="10"/>
  <c r="C148" i="10" s="1" a="1"/>
  <c r="C148" i="10" s="1"/>
  <c r="A148" i="10"/>
  <c r="U147" i="10"/>
  <c r="T147" i="10"/>
  <c r="S147" i="10"/>
  <c r="B147" i="10"/>
  <c r="C147" i="10" s="1" a="1"/>
  <c r="C147" i="10" s="1"/>
  <c r="A147" i="10"/>
  <c r="U146" i="10"/>
  <c r="S146" i="10"/>
  <c r="C146" i="10" a="1"/>
  <c r="C146" i="10" s="1"/>
  <c r="B146" i="10"/>
  <c r="A146" i="10"/>
  <c r="U145" i="10"/>
  <c r="T145" i="10" s="1"/>
  <c r="S145" i="10"/>
  <c r="D145" i="10"/>
  <c r="E145" i="10" s="1"/>
  <c r="D146" i="10" s="1"/>
  <c r="E146" i="10" s="1"/>
  <c r="D147" i="10" s="1"/>
  <c r="E147" i="10" s="1"/>
  <c r="D148" i="10" s="1"/>
  <c r="E148" i="10" s="1"/>
  <c r="D149" i="10" s="1"/>
  <c r="E149" i="10" s="1"/>
  <c r="D150" i="10" s="1"/>
  <c r="E150" i="10" s="1"/>
  <c r="D151" i="10" s="1"/>
  <c r="E151" i="10" s="1"/>
  <c r="D152" i="10" s="1"/>
  <c r="E152" i="10" s="1"/>
  <c r="D153" i="10" s="1"/>
  <c r="E153" i="10" s="1"/>
  <c r="D154" i="10" s="1"/>
  <c r="E154" i="10" s="1"/>
  <c r="D155" i="10" s="1"/>
  <c r="E155" i="10" s="1"/>
  <c r="D156" i="10" s="1"/>
  <c r="E156" i="10" s="1"/>
  <c r="D157" i="10" s="1"/>
  <c r="E157" i="10" s="1"/>
  <c r="D158" i="10" s="1"/>
  <c r="E158" i="10" s="1"/>
  <c r="D159" i="10" s="1"/>
  <c r="E159" i="10" s="1"/>
  <c r="D160" i="10" s="1"/>
  <c r="E160" i="10" s="1"/>
  <c r="D161" i="10" s="1"/>
  <c r="E161" i="10" s="1"/>
  <c r="D162" i="10" s="1"/>
  <c r="E162" i="10" s="1"/>
  <c r="D163" i="10" s="1"/>
  <c r="E163" i="10" s="1"/>
  <c r="D164" i="10" s="1"/>
  <c r="E164" i="10" s="1"/>
  <c r="D165" i="10" s="1"/>
  <c r="E165" i="10" s="1"/>
  <c r="D166" i="10" s="1"/>
  <c r="E166" i="10" s="1"/>
  <c r="D167" i="10" s="1"/>
  <c r="E167" i="10" s="1"/>
  <c r="D168" i="10" s="1"/>
  <c r="E168" i="10" s="1"/>
  <c r="D169" i="10" s="1"/>
  <c r="E169" i="10" s="1"/>
  <c r="D170" i="10" s="1"/>
  <c r="E170" i="10" s="1"/>
  <c r="D171" i="10" s="1"/>
  <c r="E171" i="10" s="1"/>
  <c r="D172" i="10" s="1"/>
  <c r="E172" i="10" s="1"/>
  <c r="D173" i="10" s="1"/>
  <c r="E173" i="10" s="1"/>
  <c r="D174" i="10" s="1"/>
  <c r="E174" i="10" s="1"/>
  <c r="D175" i="10" s="1"/>
  <c r="E175" i="10" s="1"/>
  <c r="D176" i="10" s="1"/>
  <c r="E176" i="10" s="1"/>
  <c r="D177" i="10" s="1"/>
  <c r="E177" i="10" s="1"/>
  <c r="D178" i="10" s="1"/>
  <c r="E178" i="10" s="1"/>
  <c r="D179" i="10" s="1"/>
  <c r="E179" i="10" s="1"/>
  <c r="D180" i="10" s="1"/>
  <c r="E180" i="10" s="1"/>
  <c r="D181" i="10" s="1"/>
  <c r="E181" i="10" s="1"/>
  <c r="D182" i="10" s="1"/>
  <c r="E182" i="10" s="1"/>
  <c r="D183" i="10" s="1"/>
  <c r="E183" i="10" s="1"/>
  <c r="D184" i="10" s="1"/>
  <c r="E184" i="10" s="1"/>
  <c r="D185" i="10" s="1"/>
  <c r="E185" i="10" s="1"/>
  <c r="D186" i="10" s="1"/>
  <c r="E186" i="10" s="1"/>
  <c r="D187" i="10" s="1"/>
  <c r="E187" i="10" s="1"/>
  <c r="D188" i="10" s="1"/>
  <c r="E188" i="10" s="1"/>
  <c r="D189" i="10" s="1"/>
  <c r="E189" i="10" s="1"/>
  <c r="D190" i="10" s="1"/>
  <c r="E190" i="10" s="1"/>
  <c r="D191" i="10" s="1"/>
  <c r="E191" i="10" s="1"/>
  <c r="D192" i="10" s="1"/>
  <c r="E192" i="10" s="1"/>
  <c r="D193" i="10" s="1"/>
  <c r="E193" i="10" s="1"/>
  <c r="D194" i="10" s="1"/>
  <c r="E194" i="10" s="1"/>
  <c r="D195" i="10" s="1"/>
  <c r="E195" i="10" s="1"/>
  <c r="D196" i="10" s="1"/>
  <c r="E196" i="10" s="1"/>
  <c r="D197" i="10" s="1"/>
  <c r="E197" i="10" s="1"/>
  <c r="D198" i="10" s="1"/>
  <c r="E198" i="10" s="1"/>
  <c r="D199" i="10" s="1"/>
  <c r="E199" i="10" s="1"/>
  <c r="D200" i="10" s="1"/>
  <c r="E200" i="10" s="1"/>
  <c r="D201" i="10" s="1"/>
  <c r="E201" i="10" s="1"/>
  <c r="D202" i="10" s="1"/>
  <c r="E202" i="10" s="1"/>
  <c r="D203" i="10" s="1"/>
  <c r="E203" i="10" s="1"/>
  <c r="D204" i="10" s="1"/>
  <c r="E204" i="10" s="1"/>
  <c r="D205" i="10" s="1"/>
  <c r="E205" i="10" s="1"/>
  <c r="D206" i="10" s="1"/>
  <c r="E206" i="10" s="1"/>
  <c r="D207" i="10" s="1"/>
  <c r="E207" i="10" s="1"/>
  <c r="D208" i="10" s="1"/>
  <c r="E208" i="10" s="1"/>
  <c r="D209" i="10" s="1"/>
  <c r="E209" i="10" s="1"/>
  <c r="D210" i="10" s="1"/>
  <c r="E210" i="10" s="1"/>
  <c r="D211" i="10" s="1"/>
  <c r="E211" i="10" s="1"/>
  <c r="D212" i="10" s="1"/>
  <c r="E212" i="10" s="1"/>
  <c r="D213" i="10" s="1"/>
  <c r="E213" i="10" s="1"/>
  <c r="D214" i="10" s="1"/>
  <c r="E214" i="10" s="1"/>
  <c r="D215" i="10" s="1"/>
  <c r="E215" i="10" s="1"/>
  <c r="D216" i="10" s="1"/>
  <c r="E216" i="10" s="1"/>
  <c r="D217" i="10" s="1"/>
  <c r="E217" i="10" s="1"/>
  <c r="D218" i="10" s="1"/>
  <c r="E218" i="10" s="1"/>
  <c r="D219" i="10" s="1"/>
  <c r="E219" i="10" s="1"/>
  <c r="D220" i="10" s="1"/>
  <c r="E220" i="10" s="1"/>
  <c r="D221" i="10" s="1"/>
  <c r="E221" i="10" s="1"/>
  <c r="D222" i="10" s="1"/>
  <c r="E222" i="10" s="1"/>
  <c r="D223" i="10" s="1"/>
  <c r="E223" i="10" s="1"/>
  <c r="D224" i="10" s="1"/>
  <c r="E224" i="10" s="1"/>
  <c r="D225" i="10" s="1"/>
  <c r="E225" i="10" s="1"/>
  <c r="D226" i="10" s="1"/>
  <c r="E226" i="10" s="1"/>
  <c r="D227" i="10" s="1"/>
  <c r="E227" i="10" s="1"/>
  <c r="D228" i="10" s="1"/>
  <c r="E228" i="10" s="1"/>
  <c r="D229" i="10" s="1"/>
  <c r="E229" i="10" s="1"/>
  <c r="D230" i="10" s="1"/>
  <c r="E230" i="10" s="1"/>
  <c r="D231" i="10" s="1"/>
  <c r="E231" i="10" s="1"/>
  <c r="D232" i="10" s="1"/>
  <c r="E232" i="10" s="1"/>
  <c r="D233" i="10" s="1"/>
  <c r="E233" i="10" s="1"/>
  <c r="D234" i="10" s="1"/>
  <c r="E234" i="10" s="1"/>
  <c r="D235" i="10" s="1"/>
  <c r="E235" i="10" s="1"/>
  <c r="D236" i="10" s="1"/>
  <c r="E236" i="10" s="1"/>
  <c r="D237" i="10" s="1"/>
  <c r="E237" i="10" s="1"/>
  <c r="D238" i="10" s="1"/>
  <c r="E238" i="10" s="1"/>
  <c r="D239" i="10" s="1"/>
  <c r="E239" i="10" s="1"/>
  <c r="D240" i="10" s="1"/>
  <c r="E240" i="10" s="1"/>
  <c r="D241" i="10" s="1"/>
  <c r="E241" i="10" s="1"/>
  <c r="D242" i="10" s="1"/>
  <c r="E242" i="10" s="1"/>
  <c r="D243" i="10" s="1"/>
  <c r="E243" i="10" s="1"/>
  <c r="D244" i="10" s="1"/>
  <c r="E244" i="10" s="1"/>
  <c r="D245" i="10" s="1"/>
  <c r="E245" i="10" s="1"/>
  <c r="D246" i="10" s="1"/>
  <c r="E246" i="10" s="1"/>
  <c r="D247" i="10" s="1"/>
  <c r="E247" i="10" s="1"/>
  <c r="D248" i="10" s="1"/>
  <c r="E248" i="10" s="1"/>
  <c r="D249" i="10" s="1"/>
  <c r="E249" i="10" s="1"/>
  <c r="D250" i="10" s="1"/>
  <c r="E250" i="10" s="1"/>
  <c r="D251" i="10" s="1"/>
  <c r="E251" i="10" s="1"/>
  <c r="D252" i="10" s="1"/>
  <c r="E252" i="10" s="1"/>
  <c r="D253" i="10" s="1"/>
  <c r="E253" i="10" s="1"/>
  <c r="D254" i="10" s="1"/>
  <c r="E254" i="10" s="1"/>
  <c r="D255" i="10" s="1"/>
  <c r="E255" i="10" s="1"/>
  <c r="D256" i="10" s="1"/>
  <c r="E256" i="10" s="1"/>
  <c r="D257" i="10" s="1"/>
  <c r="E257" i="10" s="1"/>
  <c r="D258" i="10" s="1"/>
  <c r="E258" i="10" s="1"/>
  <c r="D259" i="10" s="1"/>
  <c r="E259" i="10" s="1"/>
  <c r="D260" i="10" s="1"/>
  <c r="E260" i="10" s="1"/>
  <c r="D261" i="10" s="1"/>
  <c r="E261" i="10" s="1"/>
  <c r="D262" i="10" s="1"/>
  <c r="E262" i="10" s="1"/>
  <c r="D263" i="10" s="1"/>
  <c r="E263" i="10" s="1"/>
  <c r="D264" i="10" s="1"/>
  <c r="E264" i="10" s="1"/>
  <c r="D265" i="10" s="1"/>
  <c r="E265" i="10" s="1"/>
  <c r="B145" i="10"/>
  <c r="C145" i="10" s="1" a="1"/>
  <c r="C145" i="10" s="1"/>
  <c r="A145" i="10"/>
  <c r="U144" i="10"/>
  <c r="S144" i="10"/>
  <c r="T144" i="10" s="1"/>
  <c r="B144" i="10"/>
  <c r="C144" i="10" s="1" a="1"/>
  <c r="C144" i="10" s="1"/>
  <c r="A144" i="10"/>
  <c r="U143" i="10"/>
  <c r="T143" i="10"/>
  <c r="S143" i="10"/>
  <c r="B143" i="10"/>
  <c r="C143" i="10" s="1" a="1"/>
  <c r="C143" i="10" s="1"/>
  <c r="A143" i="10"/>
  <c r="U142" i="10"/>
  <c r="S142" i="10"/>
  <c r="T142" i="10" s="1"/>
  <c r="C142" i="10" a="1"/>
  <c r="C142" i="10"/>
  <c r="B142" i="10"/>
  <c r="A142" i="10"/>
  <c r="U141" i="10"/>
  <c r="T141" i="10"/>
  <c r="S141" i="10"/>
  <c r="C141" i="10"/>
  <c r="B141" i="10"/>
  <c r="C141" i="10" s="1" a="1"/>
  <c r="A141" i="10"/>
  <c r="U140" i="10"/>
  <c r="S140" i="10"/>
  <c r="T140" i="10" s="1"/>
  <c r="C140" i="10"/>
  <c r="B140" i="10"/>
  <c r="C140" i="10" s="1" a="1"/>
  <c r="A140" i="10"/>
  <c r="U139" i="10"/>
  <c r="S139" i="10"/>
  <c r="T139" i="10" s="1"/>
  <c r="C139" i="10" a="1"/>
  <c r="C139" i="10" s="1"/>
  <c r="B139" i="10"/>
  <c r="A139" i="10"/>
  <c r="U138" i="10"/>
  <c r="T138" i="10" s="1"/>
  <c r="S138" i="10"/>
  <c r="B138" i="10"/>
  <c r="C138" i="10" s="1" a="1"/>
  <c r="C138" i="10" s="1"/>
  <c r="A138" i="10"/>
  <c r="U137" i="10"/>
  <c r="T137" i="10"/>
  <c r="S137" i="10"/>
  <c r="B137" i="10"/>
  <c r="C137" i="10" s="1" a="1"/>
  <c r="C137" i="10" s="1"/>
  <c r="A137" i="10"/>
  <c r="U136" i="10"/>
  <c r="T136" i="10" s="1"/>
  <c r="S136" i="10"/>
  <c r="C136" i="10" a="1"/>
  <c r="C136" i="10"/>
  <c r="B136" i="10"/>
  <c r="A136" i="10"/>
  <c r="U135" i="10"/>
  <c r="T135" i="10"/>
  <c r="S135" i="10"/>
  <c r="C135" i="10" a="1"/>
  <c r="C135" i="10" s="1"/>
  <c r="B135" i="10"/>
  <c r="A135" i="10"/>
  <c r="U134" i="10"/>
  <c r="S134" i="10"/>
  <c r="T134" i="10" s="1"/>
  <c r="B134" i="10"/>
  <c r="C134" i="10" s="1" a="1"/>
  <c r="C134" i="10" s="1"/>
  <c r="A134" i="10"/>
  <c r="U133" i="10"/>
  <c r="T133" i="10"/>
  <c r="S133" i="10"/>
  <c r="B133" i="10"/>
  <c r="C133" i="10" s="1" a="1"/>
  <c r="C133" i="10" s="1"/>
  <c r="A133" i="10"/>
  <c r="U132" i="10"/>
  <c r="S132" i="10"/>
  <c r="C132" i="10" a="1"/>
  <c r="C132" i="10" s="1"/>
  <c r="B132" i="10"/>
  <c r="A132" i="10"/>
  <c r="U131" i="10"/>
  <c r="T131" i="10" s="1"/>
  <c r="S131" i="10"/>
  <c r="C131" i="10" a="1"/>
  <c r="C131" i="10" s="1"/>
  <c r="B131" i="10"/>
  <c r="A131" i="10"/>
  <c r="U130" i="10"/>
  <c r="S130" i="10"/>
  <c r="T130" i="10" s="1"/>
  <c r="C130" i="10" a="1"/>
  <c r="C130" i="10" s="1"/>
  <c r="B130" i="10"/>
  <c r="A130" i="10"/>
  <c r="U129" i="10"/>
  <c r="T129" i="10" s="1"/>
  <c r="S129" i="10"/>
  <c r="C129" i="10" a="1"/>
  <c r="C129" i="10" s="1"/>
  <c r="B129" i="10"/>
  <c r="A129" i="10"/>
  <c r="U128" i="10"/>
  <c r="T128" i="10"/>
  <c r="S128" i="10"/>
  <c r="C128" i="10" a="1"/>
  <c r="C128" i="10" s="1"/>
  <c r="B128" i="10"/>
  <c r="A128" i="10"/>
  <c r="U127" i="10"/>
  <c r="T127" i="10" s="1"/>
  <c r="S127" i="10"/>
  <c r="C127" i="10"/>
  <c r="B127" i="10"/>
  <c r="C127" i="10" s="1" a="1"/>
  <c r="A127" i="10"/>
  <c r="U126" i="10"/>
  <c r="S126" i="10"/>
  <c r="T126" i="10" s="1"/>
  <c r="B126" i="10"/>
  <c r="C126" i="10" s="1" a="1"/>
  <c r="C126" i="10" s="1"/>
  <c r="A126" i="10"/>
  <c r="U125" i="10"/>
  <c r="S125" i="10"/>
  <c r="T125" i="10" s="1"/>
  <c r="C125" i="10" a="1"/>
  <c r="C125" i="10"/>
  <c r="B125" i="10"/>
  <c r="A125" i="10"/>
  <c r="U124" i="10"/>
  <c r="T124" i="10"/>
  <c r="S124" i="10"/>
  <c r="B124" i="10"/>
  <c r="C124" i="10" s="1" a="1"/>
  <c r="C124" i="10" s="1"/>
  <c r="A124" i="10"/>
  <c r="U123" i="10"/>
  <c r="T123" i="10" s="1"/>
  <c r="S123" i="10"/>
  <c r="C123" i="10" a="1"/>
  <c r="C123" i="10" s="1"/>
  <c r="B123" i="10"/>
  <c r="A123" i="10"/>
  <c r="U122" i="10"/>
  <c r="T122" i="10" s="1"/>
  <c r="S122" i="10"/>
  <c r="B122" i="10"/>
  <c r="C122" i="10" s="1" a="1"/>
  <c r="C122" i="10" s="1"/>
  <c r="A122" i="10"/>
  <c r="U121" i="10"/>
  <c r="S121" i="10"/>
  <c r="T121" i="10" s="1"/>
  <c r="C121" i="10" a="1"/>
  <c r="C121" i="10" s="1"/>
  <c r="B121" i="10"/>
  <c r="A121" i="10"/>
  <c r="U120" i="10"/>
  <c r="T120" i="10"/>
  <c r="S120" i="10"/>
  <c r="B120" i="10"/>
  <c r="C120" i="10" s="1" a="1"/>
  <c r="C120" i="10" s="1"/>
  <c r="A120" i="10"/>
  <c r="U119" i="10"/>
  <c r="T119" i="10" s="1"/>
  <c r="S119" i="10"/>
  <c r="C119" i="10" a="1"/>
  <c r="C119" i="10" s="1"/>
  <c r="B119" i="10"/>
  <c r="A119" i="10"/>
  <c r="U118" i="10"/>
  <c r="T118" i="10" s="1"/>
  <c r="S118" i="10"/>
  <c r="C118" i="10" a="1"/>
  <c r="C118" i="10"/>
  <c r="B118" i="10"/>
  <c r="A118" i="10"/>
  <c r="U117" i="10"/>
  <c r="S117" i="10"/>
  <c r="T117" i="10" s="1"/>
  <c r="B117" i="10"/>
  <c r="C117" i="10" s="1" a="1"/>
  <c r="C117" i="10" s="1"/>
  <c r="A117" i="10"/>
  <c r="U116" i="10"/>
  <c r="T116" i="10" s="1"/>
  <c r="S116" i="10"/>
  <c r="C116" i="10" a="1"/>
  <c r="C116" i="10"/>
  <c r="B116" i="10"/>
  <c r="A116" i="10"/>
  <c r="U115" i="10"/>
  <c r="T115" i="10" s="1"/>
  <c r="S115" i="10"/>
  <c r="B115" i="10"/>
  <c r="C115" i="10" s="1" a="1"/>
  <c r="C115" i="10" s="1"/>
  <c r="A115" i="10"/>
  <c r="U114" i="10"/>
  <c r="S114" i="10"/>
  <c r="T114" i="10" s="1"/>
  <c r="C114" i="10" a="1"/>
  <c r="C114" i="10" s="1"/>
  <c r="B114" i="10"/>
  <c r="A114" i="10"/>
  <c r="U113" i="10"/>
  <c r="T113" i="10" s="1"/>
  <c r="S113" i="10"/>
  <c r="C113" i="10" a="1"/>
  <c r="C113" i="10" s="1"/>
  <c r="B113" i="10"/>
  <c r="A113" i="10"/>
  <c r="U112" i="10"/>
  <c r="S112" i="10"/>
  <c r="T112" i="10" s="1"/>
  <c r="B112" i="10"/>
  <c r="C112" i="10" s="1" a="1"/>
  <c r="C112" i="10" s="1"/>
  <c r="A112" i="10"/>
  <c r="U111" i="10"/>
  <c r="T111" i="10"/>
  <c r="S111" i="10"/>
  <c r="C111" i="10" a="1"/>
  <c r="C111" i="10" s="1"/>
  <c r="B111" i="10"/>
  <c r="A111" i="10"/>
  <c r="U110" i="10"/>
  <c r="T110" i="10" s="1"/>
  <c r="S110" i="10"/>
  <c r="B110" i="10"/>
  <c r="C110" i="10" s="1" a="1"/>
  <c r="C110" i="10" s="1"/>
  <c r="A110" i="10"/>
  <c r="U109" i="10"/>
  <c r="T109" i="10" s="1"/>
  <c r="S109" i="10"/>
  <c r="B109" i="10"/>
  <c r="C109" i="10" s="1" a="1"/>
  <c r="C109" i="10" s="1"/>
  <c r="A109" i="10"/>
  <c r="U108" i="10"/>
  <c r="S108" i="10"/>
  <c r="B108" i="10"/>
  <c r="C108" i="10" s="1" a="1"/>
  <c r="C108" i="10" s="1"/>
  <c r="A108" i="10"/>
  <c r="U107" i="10"/>
  <c r="S107" i="10"/>
  <c r="T107" i="10" s="1"/>
  <c r="B107" i="10"/>
  <c r="C107" i="10" s="1" a="1"/>
  <c r="C107" i="10" s="1"/>
  <c r="A107" i="10"/>
  <c r="U106" i="10"/>
  <c r="T106" i="10"/>
  <c r="S106" i="10"/>
  <c r="B106" i="10"/>
  <c r="C106" i="10" s="1" a="1"/>
  <c r="C106" i="10" s="1"/>
  <c r="A106" i="10"/>
  <c r="U105" i="10"/>
  <c r="T105" i="10"/>
  <c r="S105" i="10"/>
  <c r="C105" i="10"/>
  <c r="B105" i="10"/>
  <c r="C105" i="10" s="1" a="1"/>
  <c r="A105" i="10"/>
  <c r="U104" i="10"/>
  <c r="T104" i="10" s="1"/>
  <c r="S104" i="10"/>
  <c r="C104" i="10" a="1"/>
  <c r="C104" i="10"/>
  <c r="B104" i="10"/>
  <c r="A104" i="10"/>
  <c r="U103" i="10"/>
  <c r="S103" i="10"/>
  <c r="T103" i="10" s="1"/>
  <c r="B103" i="10"/>
  <c r="C103" i="10" s="1" a="1"/>
  <c r="C103" i="10" s="1"/>
  <c r="A103" i="10"/>
  <c r="U102" i="10"/>
  <c r="T102" i="10"/>
  <c r="S102" i="10"/>
  <c r="C102" i="10" a="1"/>
  <c r="C102" i="10"/>
  <c r="B102" i="10"/>
  <c r="A102" i="10"/>
  <c r="U101" i="10"/>
  <c r="T101" i="10"/>
  <c r="S101" i="10"/>
  <c r="C101" i="10" a="1"/>
  <c r="C101" i="10" s="1"/>
  <c r="B101" i="10"/>
  <c r="A101" i="10"/>
  <c r="U100" i="10"/>
  <c r="S100" i="10"/>
  <c r="T100" i="10" s="1"/>
  <c r="C100" i="10" a="1"/>
  <c r="C100" i="10" s="1"/>
  <c r="B100" i="10"/>
  <c r="A100" i="10"/>
  <c r="U99" i="10"/>
  <c r="T99" i="10"/>
  <c r="S99" i="10"/>
  <c r="B99" i="10"/>
  <c r="C99" i="10" s="1" a="1"/>
  <c r="C99" i="10" s="1"/>
  <c r="A99" i="10"/>
  <c r="U98" i="10"/>
  <c r="S98" i="10"/>
  <c r="T98" i="10" s="1"/>
  <c r="C98" i="10" a="1"/>
  <c r="C98" i="10" s="1"/>
  <c r="B98" i="10"/>
  <c r="A98" i="10"/>
  <c r="U97" i="10"/>
  <c r="T97" i="10"/>
  <c r="S97" i="10"/>
  <c r="C97" i="10" a="1"/>
  <c r="C97" i="10" s="1"/>
  <c r="B97" i="10"/>
  <c r="A97" i="10"/>
  <c r="U96" i="10"/>
  <c r="S96" i="10"/>
  <c r="T96" i="10" s="1"/>
  <c r="C96" i="10"/>
  <c r="B96" i="10"/>
  <c r="C96" i="10" s="1" a="1"/>
  <c r="A96" i="10"/>
  <c r="U95" i="10"/>
  <c r="T95" i="10"/>
  <c r="S95" i="10"/>
  <c r="B95" i="10"/>
  <c r="C95" i="10" s="1" a="1"/>
  <c r="C95" i="10" s="1"/>
  <c r="A95" i="10"/>
  <c r="U94" i="10"/>
  <c r="S94" i="10"/>
  <c r="C94" i="10" a="1"/>
  <c r="C94" i="10" s="1"/>
  <c r="B94" i="10"/>
  <c r="A94" i="10"/>
  <c r="U93" i="10"/>
  <c r="S93" i="10"/>
  <c r="T93" i="10" s="1"/>
  <c r="C93" i="10" a="1"/>
  <c r="C93" i="10" s="1"/>
  <c r="B93" i="10"/>
  <c r="A93" i="10"/>
  <c r="U92" i="10"/>
  <c r="S92" i="10"/>
  <c r="T92" i="10" s="1"/>
  <c r="C92" i="10"/>
  <c r="B92" i="10"/>
  <c r="C92" i="10" s="1" a="1"/>
  <c r="A92" i="10"/>
  <c r="U91" i="10"/>
  <c r="T91" i="10"/>
  <c r="S91" i="10"/>
  <c r="C91" i="10" a="1"/>
  <c r="C91" i="10" s="1"/>
  <c r="B91" i="10"/>
  <c r="A91" i="10"/>
  <c r="U90" i="10"/>
  <c r="S90" i="10"/>
  <c r="C90" i="10" a="1"/>
  <c r="C90" i="10"/>
  <c r="B90" i="10"/>
  <c r="A90" i="10"/>
  <c r="U89" i="10"/>
  <c r="T89" i="10" s="1"/>
  <c r="S89" i="10"/>
  <c r="C89" i="10" a="1"/>
  <c r="C89" i="10" s="1"/>
  <c r="B89" i="10"/>
  <c r="A89" i="10"/>
  <c r="U88" i="10"/>
  <c r="T88" i="10" s="1"/>
  <c r="S88" i="10"/>
  <c r="B88" i="10"/>
  <c r="C88" i="10" s="1" a="1"/>
  <c r="C88" i="10" s="1"/>
  <c r="A88" i="10"/>
  <c r="U87" i="10"/>
  <c r="T87" i="10"/>
  <c r="S87" i="10"/>
  <c r="C87" i="10" a="1"/>
  <c r="C87" i="10"/>
  <c r="B87" i="10"/>
  <c r="A87" i="10"/>
  <c r="U86" i="10"/>
  <c r="T86" i="10" s="1"/>
  <c r="S86" i="10"/>
  <c r="C86" i="10" a="1"/>
  <c r="C86" i="10" s="1"/>
  <c r="B86" i="10"/>
  <c r="A86" i="10"/>
  <c r="U85" i="10"/>
  <c r="S85" i="10"/>
  <c r="T85" i="10" s="1"/>
  <c r="C85" i="10" a="1"/>
  <c r="C85" i="10"/>
  <c r="B85" i="10"/>
  <c r="A85" i="10"/>
  <c r="U84" i="10"/>
  <c r="S84" i="10"/>
  <c r="T84" i="10" s="1"/>
  <c r="B84" i="10"/>
  <c r="C84" i="10" s="1" a="1"/>
  <c r="C84" i="10" s="1"/>
  <c r="A84" i="10"/>
  <c r="U83" i="10"/>
  <c r="S83" i="10"/>
  <c r="T83" i="10" s="1"/>
  <c r="C83" i="10" a="1"/>
  <c r="C83" i="10"/>
  <c r="B83" i="10"/>
  <c r="A83" i="10"/>
  <c r="U82" i="10"/>
  <c r="T82" i="10" s="1"/>
  <c r="S82" i="10"/>
  <c r="B82" i="10"/>
  <c r="C82" i="10" s="1" a="1"/>
  <c r="C82" i="10" s="1"/>
  <c r="A82" i="10"/>
  <c r="U81" i="10"/>
  <c r="T81" i="10" s="1"/>
  <c r="S81" i="10"/>
  <c r="C81" i="10" a="1"/>
  <c r="C81" i="10"/>
  <c r="B81" i="10"/>
  <c r="A81" i="10"/>
  <c r="U80" i="10"/>
  <c r="T80" i="10"/>
  <c r="S80" i="10"/>
  <c r="C80" i="10" a="1"/>
  <c r="C80" i="10" s="1"/>
  <c r="B80" i="10"/>
  <c r="A80" i="10"/>
  <c r="U79" i="10"/>
  <c r="S79" i="10"/>
  <c r="T79" i="10" s="1"/>
  <c r="C79" i="10" a="1"/>
  <c r="C79" i="10" s="1"/>
  <c r="B79" i="10"/>
  <c r="A79" i="10"/>
  <c r="U78" i="10"/>
  <c r="S78" i="10"/>
  <c r="T78" i="10" s="1"/>
  <c r="C78" i="10"/>
  <c r="B78" i="10"/>
  <c r="C78" i="10" s="1" a="1"/>
  <c r="A78" i="10"/>
  <c r="U77" i="10"/>
  <c r="S77" i="10"/>
  <c r="T77" i="10" s="1"/>
  <c r="C77" i="10"/>
  <c r="B77" i="10"/>
  <c r="C77" i="10" s="1" a="1"/>
  <c r="A77" i="10"/>
  <c r="U76" i="10"/>
  <c r="S76" i="10"/>
  <c r="C76" i="10" a="1"/>
  <c r="C76" i="10" s="1"/>
  <c r="B76" i="10"/>
  <c r="A76" i="10"/>
  <c r="U75" i="10"/>
  <c r="T75" i="10" s="1"/>
  <c r="S75" i="10"/>
  <c r="C75" i="10" a="1"/>
  <c r="C75" i="10" s="1"/>
  <c r="B75" i="10"/>
  <c r="A75" i="10"/>
  <c r="U74" i="10"/>
  <c r="S74" i="10"/>
  <c r="T74" i="10" s="1"/>
  <c r="C74" i="10" a="1"/>
  <c r="C74" i="10"/>
  <c r="B74" i="10"/>
  <c r="A74" i="10"/>
  <c r="U73" i="10"/>
  <c r="T73" i="10"/>
  <c r="S73" i="10"/>
  <c r="B73" i="10"/>
  <c r="C73" i="10" s="1" a="1"/>
  <c r="C73" i="10" s="1"/>
  <c r="A73" i="10"/>
  <c r="U72" i="10"/>
  <c r="S72" i="10"/>
  <c r="T72" i="10" s="1"/>
  <c r="C72" i="10" a="1"/>
  <c r="C72" i="10" s="1"/>
  <c r="B72" i="10"/>
  <c r="A72" i="10"/>
  <c r="U71" i="10"/>
  <c r="T71" i="10"/>
  <c r="S71" i="10"/>
  <c r="B71" i="10"/>
  <c r="C71" i="10" s="1" a="1"/>
  <c r="C71" i="10" s="1"/>
  <c r="A71" i="10"/>
  <c r="U70" i="10"/>
  <c r="T70" i="10"/>
  <c r="S70" i="10"/>
  <c r="B70" i="10"/>
  <c r="C70" i="10" s="1" a="1"/>
  <c r="C70" i="10" s="1"/>
  <c r="A70" i="10"/>
  <c r="U69" i="10"/>
  <c r="T69" i="10" s="1"/>
  <c r="S69" i="10"/>
  <c r="B69" i="10"/>
  <c r="C69" i="10" s="1" a="1"/>
  <c r="C69" i="10" s="1"/>
  <c r="A69" i="10"/>
  <c r="U68" i="10"/>
  <c r="T68" i="10"/>
  <c r="S68" i="10"/>
  <c r="C68" i="10" a="1"/>
  <c r="C68" i="10" s="1"/>
  <c r="B68" i="10"/>
  <c r="A68" i="10"/>
  <c r="U67" i="10"/>
  <c r="T67" i="10" s="1"/>
  <c r="S67" i="10"/>
  <c r="B67" i="10"/>
  <c r="C67" i="10" s="1" a="1"/>
  <c r="C67" i="10" s="1"/>
  <c r="A67" i="10"/>
  <c r="U66" i="10"/>
  <c r="T66" i="10" s="1"/>
  <c r="S66" i="10"/>
  <c r="C66" i="10" a="1"/>
  <c r="C66" i="10"/>
  <c r="B66" i="10"/>
  <c r="A66" i="10"/>
  <c r="U65" i="10"/>
  <c r="T65" i="10"/>
  <c r="S65" i="10"/>
  <c r="C65" i="10"/>
  <c r="B65" i="10"/>
  <c r="C65" i="10" s="1" a="1"/>
  <c r="A65" i="10"/>
  <c r="U64" i="10"/>
  <c r="S64" i="10"/>
  <c r="T64" i="10" s="1"/>
  <c r="B64" i="10"/>
  <c r="C64" i="10" s="1" a="1"/>
  <c r="C64" i="10" s="1"/>
  <c r="A64" i="10"/>
  <c r="U63" i="10"/>
  <c r="T63" i="10" s="1"/>
  <c r="S63" i="10"/>
  <c r="B63" i="10"/>
  <c r="C63" i="10" s="1" a="1"/>
  <c r="C63" i="10" s="1"/>
  <c r="A63" i="10"/>
  <c r="U62" i="10"/>
  <c r="S62" i="10"/>
  <c r="B62" i="10"/>
  <c r="C62" i="10" s="1" a="1"/>
  <c r="C62" i="10" s="1"/>
  <c r="A62" i="10"/>
  <c r="U61" i="10"/>
  <c r="T61" i="10" s="1"/>
  <c r="S61" i="10"/>
  <c r="C61" i="10" a="1"/>
  <c r="C61" i="10" s="1"/>
  <c r="B61" i="10"/>
  <c r="A61" i="10"/>
  <c r="U60" i="10"/>
  <c r="T60" i="10" s="1"/>
  <c r="S60" i="10"/>
  <c r="C60" i="10" a="1"/>
  <c r="C60" i="10" s="1"/>
  <c r="B60" i="10"/>
  <c r="A60" i="10"/>
  <c r="U59" i="10"/>
  <c r="T59" i="10"/>
  <c r="S59" i="10"/>
  <c r="B59" i="10"/>
  <c r="C59" i="10" s="1" a="1"/>
  <c r="C59" i="10" s="1"/>
  <c r="A59" i="10"/>
  <c r="U58" i="10"/>
  <c r="S58" i="10"/>
  <c r="T58" i="10" s="1"/>
  <c r="C58" i="10" a="1"/>
  <c r="C58" i="10"/>
  <c r="B58" i="10"/>
  <c r="A58" i="10"/>
  <c r="U57" i="10"/>
  <c r="S57" i="10"/>
  <c r="T57" i="10" s="1"/>
  <c r="B57" i="10"/>
  <c r="C57" i="10" s="1" a="1"/>
  <c r="C57" i="10" s="1"/>
  <c r="A57" i="10"/>
  <c r="U56" i="10"/>
  <c r="S56" i="10"/>
  <c r="T56" i="10" s="1"/>
  <c r="B56" i="10"/>
  <c r="C56" i="10" s="1" a="1"/>
  <c r="C56" i="10" s="1"/>
  <c r="A56" i="10"/>
  <c r="U55" i="10"/>
  <c r="T55" i="10"/>
  <c r="S55" i="10"/>
  <c r="C55" i="10" a="1"/>
  <c r="C55" i="10" s="1"/>
  <c r="B55" i="10"/>
  <c r="A55" i="10"/>
  <c r="U54" i="10"/>
  <c r="T54" i="10" s="1"/>
  <c r="S54" i="10"/>
  <c r="B54" i="10"/>
  <c r="C54" i="10" s="1" a="1"/>
  <c r="C54" i="10" s="1"/>
  <c r="A54" i="10"/>
  <c r="U53" i="10"/>
  <c r="T53" i="10"/>
  <c r="S53" i="10"/>
  <c r="C53" i="10" a="1"/>
  <c r="C53" i="10"/>
  <c r="B53" i="10"/>
  <c r="A53" i="10"/>
  <c r="U52" i="10"/>
  <c r="T52" i="10" s="1"/>
  <c r="S52" i="10"/>
  <c r="C52" i="10"/>
  <c r="B52" i="10"/>
  <c r="C52" i="10" s="1" a="1"/>
  <c r="A52" i="10"/>
  <c r="U51" i="10"/>
  <c r="S51" i="10"/>
  <c r="T51" i="10" s="1"/>
  <c r="B51" i="10"/>
  <c r="C51" i="10" s="1" a="1"/>
  <c r="C51" i="10" s="1"/>
  <c r="A51" i="10"/>
  <c r="U50" i="10"/>
  <c r="T50" i="10" s="1"/>
  <c r="S50" i="10"/>
  <c r="B50" i="10"/>
  <c r="C50" i="10" s="1" a="1"/>
  <c r="C50" i="10" s="1"/>
  <c r="A50" i="10"/>
  <c r="U49" i="10"/>
  <c r="S49" i="10"/>
  <c r="T49" i="10" s="1"/>
  <c r="C49" i="10" a="1"/>
  <c r="C49" i="10" s="1"/>
  <c r="B49" i="10"/>
  <c r="A49" i="10"/>
  <c r="U48" i="10"/>
  <c r="S48" i="10"/>
  <c r="T48" i="10" s="1"/>
  <c r="C48" i="10"/>
  <c r="B48" i="10"/>
  <c r="C48" i="10" s="1" a="1"/>
  <c r="A48" i="10"/>
  <c r="U47" i="10"/>
  <c r="S47" i="10"/>
  <c r="T47" i="10" s="1"/>
  <c r="B47" i="10"/>
  <c r="C47" i="10" s="1" a="1"/>
  <c r="C47" i="10" s="1"/>
  <c r="A47" i="10"/>
  <c r="U46" i="10"/>
  <c r="S46" i="10"/>
  <c r="T46" i="10" s="1"/>
  <c r="C46" i="10" a="1"/>
  <c r="C46" i="10" s="1"/>
  <c r="B46" i="10"/>
  <c r="A46" i="10"/>
  <c r="U45" i="10"/>
  <c r="T45" i="10" s="1"/>
  <c r="S45" i="10"/>
  <c r="B45" i="10"/>
  <c r="C45" i="10" s="1" a="1"/>
  <c r="C45" i="10" s="1"/>
  <c r="A45" i="10"/>
  <c r="U44" i="10"/>
  <c r="T44" i="10"/>
  <c r="S44" i="10"/>
  <c r="C44" i="10" a="1"/>
  <c r="C44" i="10" s="1"/>
  <c r="B44" i="10"/>
  <c r="A44" i="10"/>
  <c r="U43" i="10"/>
  <c r="T43" i="10" s="1"/>
  <c r="S43" i="10"/>
  <c r="C43" i="10" a="1"/>
  <c r="C43" i="10" s="1"/>
  <c r="B43" i="10"/>
  <c r="A43" i="10"/>
  <c r="U42" i="10"/>
  <c r="T42" i="10"/>
  <c r="S42" i="10"/>
  <c r="C42" i="10" a="1"/>
  <c r="C42" i="10" s="1"/>
  <c r="B42" i="10"/>
  <c r="A42" i="10"/>
  <c r="U41" i="10"/>
  <c r="S41" i="10"/>
  <c r="T41" i="10" s="1"/>
  <c r="C41" i="10" a="1"/>
  <c r="C41" i="10"/>
  <c r="B41" i="10"/>
  <c r="A41" i="10"/>
  <c r="U40" i="10"/>
  <c r="T40" i="10" s="1"/>
  <c r="S40" i="10"/>
  <c r="B40" i="10"/>
  <c r="C40" i="10" s="1" a="1"/>
  <c r="C40" i="10" s="1"/>
  <c r="A40" i="10"/>
  <c r="U39" i="10"/>
  <c r="T39" i="10" s="1"/>
  <c r="S39" i="10"/>
  <c r="C39" i="10" a="1"/>
  <c r="C39" i="10" s="1"/>
  <c r="B39" i="10"/>
  <c r="A39" i="10"/>
  <c r="U38" i="10"/>
  <c r="T38" i="10" s="1"/>
  <c r="S38" i="10"/>
  <c r="C38" i="10" a="1"/>
  <c r="C38" i="10"/>
  <c r="B38" i="10"/>
  <c r="A38" i="10"/>
  <c r="U37" i="10"/>
  <c r="T37" i="10"/>
  <c r="S37" i="10"/>
  <c r="B37" i="10"/>
  <c r="C37" i="10" s="1" a="1"/>
  <c r="C37" i="10" s="1"/>
  <c r="A37" i="10"/>
  <c r="U36" i="10"/>
  <c r="S36" i="10"/>
  <c r="T36" i="10" s="1"/>
  <c r="C36" i="10"/>
  <c r="B36" i="10"/>
  <c r="C36" i="10" s="1" a="1"/>
  <c r="A36" i="10"/>
  <c r="U35" i="10"/>
  <c r="T35" i="10"/>
  <c r="S35" i="10"/>
  <c r="C35" i="10" a="1"/>
  <c r="C35" i="10" s="1"/>
  <c r="B35" i="10"/>
  <c r="A35" i="10"/>
  <c r="U34" i="10"/>
  <c r="S34" i="10"/>
  <c r="T34" i="10" s="1"/>
  <c r="C34" i="10"/>
  <c r="B34" i="10"/>
  <c r="C34" i="10" s="1" a="1"/>
  <c r="A34" i="10"/>
  <c r="U33" i="10"/>
  <c r="S33" i="10"/>
  <c r="B33" i="10"/>
  <c r="C33" i="10" s="1" a="1"/>
  <c r="C33" i="10" s="1"/>
  <c r="A33" i="10"/>
  <c r="U32" i="10"/>
  <c r="S32" i="10"/>
  <c r="T32" i="10" s="1"/>
  <c r="C32" i="10" a="1"/>
  <c r="C32" i="10" s="1"/>
  <c r="B32" i="10"/>
  <c r="A32" i="10"/>
  <c r="U31" i="10"/>
  <c r="T31" i="10" s="1"/>
  <c r="S31" i="10"/>
  <c r="B31" i="10"/>
  <c r="C31" i="10" s="1" a="1"/>
  <c r="C31" i="10" s="1"/>
  <c r="A31" i="10"/>
  <c r="U30" i="10"/>
  <c r="S30" i="10"/>
  <c r="T30" i="10" s="1"/>
  <c r="C30" i="10" a="1"/>
  <c r="C30" i="10" s="1"/>
  <c r="B30" i="10"/>
  <c r="A30" i="10"/>
  <c r="U29" i="10"/>
  <c r="T29" i="10" s="1"/>
  <c r="S29" i="10"/>
  <c r="C29" i="10" a="1"/>
  <c r="C29" i="10" s="1"/>
  <c r="B29" i="10"/>
  <c r="A29" i="10"/>
  <c r="U28" i="10"/>
  <c r="T28" i="10"/>
  <c r="S28" i="10"/>
  <c r="C28" i="10" a="1"/>
  <c r="C28" i="10" s="1"/>
  <c r="B28" i="10"/>
  <c r="A28" i="10"/>
  <c r="U27" i="10"/>
  <c r="T27" i="10" s="1"/>
  <c r="S27" i="10"/>
  <c r="C27" i="10" a="1"/>
  <c r="C27" i="10"/>
  <c r="B27" i="10"/>
  <c r="A27" i="10"/>
  <c r="U26" i="10"/>
  <c r="T26" i="10" s="1"/>
  <c r="S26" i="10"/>
  <c r="C26" i="10"/>
  <c r="B26" i="10"/>
  <c r="C26" i="10" s="1" a="1"/>
  <c r="A26" i="10"/>
  <c r="U25" i="10"/>
  <c r="T25" i="10" s="1"/>
  <c r="S25" i="10"/>
  <c r="C25" i="10" a="1"/>
  <c r="C25" i="10"/>
  <c r="B25" i="10"/>
  <c r="A25" i="10"/>
  <c r="U24" i="10"/>
  <c r="T24" i="10" s="1"/>
  <c r="S24" i="10"/>
  <c r="B24" i="10"/>
  <c r="C24" i="10" s="1" a="1"/>
  <c r="C24" i="10" s="1"/>
  <c r="A24" i="10"/>
  <c r="U23" i="10"/>
  <c r="S23" i="10"/>
  <c r="T23" i="10" s="1"/>
  <c r="C23" i="10" a="1"/>
  <c r="C23" i="10" s="1"/>
  <c r="B23" i="10"/>
  <c r="A23" i="10"/>
  <c r="U22" i="10"/>
  <c r="S22" i="10"/>
  <c r="C22" i="10"/>
  <c r="B22" i="10"/>
  <c r="C22" i="10" s="1" a="1"/>
  <c r="A22" i="10"/>
  <c r="U21" i="10"/>
  <c r="S21" i="10"/>
  <c r="T21" i="10" s="1"/>
  <c r="B21" i="10"/>
  <c r="C21" i="10" s="1" a="1"/>
  <c r="C21" i="10" s="1"/>
  <c r="A21" i="10"/>
  <c r="U20" i="10"/>
  <c r="T20" i="10" s="1"/>
  <c r="S20" i="10"/>
  <c r="C20" i="10"/>
  <c r="B20" i="10"/>
  <c r="C20" i="10" s="1" a="1"/>
  <c r="A20" i="10"/>
  <c r="U19" i="10"/>
  <c r="S19" i="10"/>
  <c r="T19" i="10" s="1"/>
  <c r="B19" i="10"/>
  <c r="C19" i="10" s="1" a="1"/>
  <c r="C19" i="10" s="1"/>
  <c r="A19" i="10"/>
  <c r="U18" i="10"/>
  <c r="S18" i="10"/>
  <c r="T18" i="10" s="1"/>
  <c r="B18" i="10"/>
  <c r="C18" i="10" s="1" a="1"/>
  <c r="C18" i="10" s="1"/>
  <c r="A18" i="10"/>
  <c r="U17" i="10"/>
  <c r="T17" i="10" s="1"/>
  <c r="S17" i="10"/>
  <c r="B17" i="10"/>
  <c r="C17" i="10" s="1" a="1"/>
  <c r="C17" i="10" s="1"/>
  <c r="A17" i="10"/>
  <c r="U16" i="10"/>
  <c r="T16" i="10" s="1"/>
  <c r="S16" i="10"/>
  <c r="C16" i="10" a="1"/>
  <c r="C16" i="10"/>
  <c r="B16" i="10"/>
  <c r="A16" i="10"/>
  <c r="U15" i="10"/>
  <c r="T15" i="10" s="1"/>
  <c r="S15" i="10"/>
  <c r="C15" i="10" a="1"/>
  <c r="C15" i="10" s="1"/>
  <c r="B15" i="10"/>
  <c r="A15" i="10"/>
  <c r="U14" i="10"/>
  <c r="S14" i="10"/>
  <c r="T14" i="10" s="1"/>
  <c r="C14" i="10" a="1"/>
  <c r="C14" i="10" s="1"/>
  <c r="B14" i="10"/>
  <c r="A14" i="10"/>
  <c r="U13" i="10"/>
  <c r="T13" i="10"/>
  <c r="S13" i="10"/>
  <c r="D13" i="10"/>
  <c r="E13" i="10" s="1"/>
  <c r="D14" i="10" s="1"/>
  <c r="E14" i="10" s="1"/>
  <c r="D15" i="10" s="1"/>
  <c r="E15" i="10" s="1"/>
  <c r="D16" i="10" s="1"/>
  <c r="E16" i="10" s="1"/>
  <c r="D17" i="10" s="1"/>
  <c r="E17" i="10" s="1"/>
  <c r="D18" i="10" s="1"/>
  <c r="E18" i="10" s="1"/>
  <c r="D19" i="10" s="1"/>
  <c r="E19" i="10" s="1"/>
  <c r="D20" i="10" s="1"/>
  <c r="E20" i="10" s="1"/>
  <c r="D21" i="10" s="1"/>
  <c r="E21" i="10" s="1"/>
  <c r="D22" i="10" s="1"/>
  <c r="E22" i="10" s="1"/>
  <c r="D23" i="10" s="1"/>
  <c r="E23" i="10" s="1"/>
  <c r="D24" i="10" s="1"/>
  <c r="E24" i="10" s="1"/>
  <c r="D25" i="10" s="1"/>
  <c r="E25" i="10" s="1"/>
  <c r="D26" i="10" s="1"/>
  <c r="E26" i="10" s="1"/>
  <c r="D27" i="10" s="1"/>
  <c r="E27" i="10" s="1"/>
  <c r="D28" i="10" s="1"/>
  <c r="E28" i="10" s="1"/>
  <c r="D29" i="10" s="1"/>
  <c r="E29" i="10" s="1"/>
  <c r="D30" i="10" s="1"/>
  <c r="E30" i="10" s="1"/>
  <c r="D31" i="10" s="1"/>
  <c r="E31" i="10" s="1"/>
  <c r="D32" i="10" s="1"/>
  <c r="E32" i="10" s="1"/>
  <c r="D33" i="10" s="1"/>
  <c r="E33" i="10" s="1"/>
  <c r="D34" i="10" s="1"/>
  <c r="E34" i="10" s="1"/>
  <c r="D35" i="10" s="1"/>
  <c r="E35" i="10" s="1"/>
  <c r="D36" i="10" s="1"/>
  <c r="E36" i="10" s="1"/>
  <c r="D37" i="10" s="1"/>
  <c r="E37" i="10" s="1"/>
  <c r="D38" i="10" s="1"/>
  <c r="E38" i="10" s="1"/>
  <c r="D39" i="10" s="1"/>
  <c r="E39" i="10" s="1"/>
  <c r="D40" i="10" s="1"/>
  <c r="E40" i="10" s="1"/>
  <c r="D41" i="10" s="1"/>
  <c r="E41" i="10" s="1"/>
  <c r="D42" i="10" s="1"/>
  <c r="E42" i="10" s="1"/>
  <c r="D43" i="10" s="1"/>
  <c r="E43" i="10" s="1"/>
  <c r="D44" i="10" s="1"/>
  <c r="E44" i="10" s="1"/>
  <c r="D45" i="10" s="1"/>
  <c r="E45" i="10" s="1"/>
  <c r="D46" i="10" s="1"/>
  <c r="E46" i="10" s="1"/>
  <c r="D47" i="10" s="1"/>
  <c r="E47" i="10" s="1"/>
  <c r="D48" i="10" s="1"/>
  <c r="E48" i="10" s="1"/>
  <c r="D49" i="10" s="1"/>
  <c r="E49" i="10" s="1"/>
  <c r="D50" i="10" s="1"/>
  <c r="E50" i="10" s="1"/>
  <c r="D51" i="10" s="1"/>
  <c r="E51" i="10" s="1"/>
  <c r="D52" i="10" s="1"/>
  <c r="E52" i="10" s="1"/>
  <c r="D53" i="10" s="1"/>
  <c r="E53" i="10" s="1"/>
  <c r="D54" i="10" s="1"/>
  <c r="E54" i="10" s="1"/>
  <c r="D55" i="10" s="1"/>
  <c r="E55" i="10" s="1"/>
  <c r="D56" i="10" s="1"/>
  <c r="E56" i="10" s="1"/>
  <c r="D57" i="10" s="1"/>
  <c r="E57" i="10" s="1"/>
  <c r="D58" i="10" s="1"/>
  <c r="E58" i="10" s="1"/>
  <c r="D59" i="10" s="1"/>
  <c r="E59" i="10" s="1"/>
  <c r="D60" i="10" s="1"/>
  <c r="E60" i="10" s="1"/>
  <c r="D61" i="10" s="1"/>
  <c r="E61" i="10" s="1"/>
  <c r="D62" i="10" s="1"/>
  <c r="E62" i="10" s="1"/>
  <c r="D63" i="10" s="1"/>
  <c r="E63" i="10" s="1"/>
  <c r="D64" i="10" s="1"/>
  <c r="E64" i="10" s="1"/>
  <c r="D65" i="10" s="1"/>
  <c r="E65" i="10" s="1"/>
  <c r="D66" i="10" s="1"/>
  <c r="E66" i="10" s="1"/>
  <c r="D67" i="10" s="1"/>
  <c r="E67" i="10" s="1"/>
  <c r="D68" i="10" s="1"/>
  <c r="E68" i="10" s="1"/>
  <c r="D69" i="10" s="1"/>
  <c r="E69" i="10" s="1"/>
  <c r="D70" i="10" s="1"/>
  <c r="E70" i="10" s="1"/>
  <c r="D71" i="10" s="1"/>
  <c r="E71" i="10" s="1"/>
  <c r="D72" i="10" s="1"/>
  <c r="E72" i="10" s="1"/>
  <c r="D73" i="10" s="1"/>
  <c r="E73" i="10" s="1"/>
  <c r="D74" i="10" s="1"/>
  <c r="E74" i="10" s="1"/>
  <c r="D75" i="10" s="1"/>
  <c r="E75" i="10" s="1"/>
  <c r="D76" i="10" s="1"/>
  <c r="E76" i="10" s="1"/>
  <c r="D77" i="10" s="1"/>
  <c r="E77" i="10" s="1"/>
  <c r="D78" i="10" s="1"/>
  <c r="E78" i="10" s="1"/>
  <c r="D79" i="10" s="1"/>
  <c r="E79" i="10" s="1"/>
  <c r="D80" i="10" s="1"/>
  <c r="E80" i="10" s="1"/>
  <c r="D81" i="10" s="1"/>
  <c r="E81" i="10" s="1"/>
  <c r="D82" i="10" s="1"/>
  <c r="E82" i="10" s="1"/>
  <c r="D83" i="10" s="1"/>
  <c r="E83" i="10" s="1"/>
  <c r="D84" i="10" s="1"/>
  <c r="E84" i="10" s="1"/>
  <c r="D85" i="10" s="1"/>
  <c r="E85" i="10" s="1"/>
  <c r="D86" i="10" s="1"/>
  <c r="E86" i="10" s="1"/>
  <c r="D87" i="10" s="1"/>
  <c r="E87" i="10" s="1"/>
  <c r="D88" i="10" s="1"/>
  <c r="E88" i="10" s="1"/>
  <c r="D89" i="10" s="1"/>
  <c r="E89" i="10" s="1"/>
  <c r="D90" i="10" s="1"/>
  <c r="E90" i="10" s="1"/>
  <c r="D91" i="10" s="1"/>
  <c r="E91" i="10" s="1"/>
  <c r="D92" i="10" s="1"/>
  <c r="E92" i="10" s="1"/>
  <c r="D93" i="10" s="1"/>
  <c r="E93" i="10" s="1"/>
  <c r="D94" i="10" s="1"/>
  <c r="E94" i="10" s="1"/>
  <c r="D95" i="10" s="1"/>
  <c r="E95" i="10" s="1"/>
  <c r="D96" i="10" s="1"/>
  <c r="E96" i="10" s="1"/>
  <c r="D97" i="10" s="1"/>
  <c r="E97" i="10" s="1"/>
  <c r="D98" i="10" s="1"/>
  <c r="E98" i="10" s="1"/>
  <c r="D99" i="10" s="1"/>
  <c r="E99" i="10" s="1"/>
  <c r="D100" i="10" s="1"/>
  <c r="E100" i="10" s="1"/>
  <c r="D101" i="10" s="1"/>
  <c r="E101" i="10" s="1"/>
  <c r="D102" i="10" s="1"/>
  <c r="E102" i="10" s="1"/>
  <c r="D103" i="10" s="1"/>
  <c r="E103" i="10" s="1"/>
  <c r="D104" i="10" s="1"/>
  <c r="E104" i="10" s="1"/>
  <c r="D105" i="10" s="1"/>
  <c r="E105" i="10" s="1"/>
  <c r="D106" i="10" s="1"/>
  <c r="E106" i="10" s="1"/>
  <c r="D107" i="10" s="1"/>
  <c r="E107" i="10" s="1"/>
  <c r="D108" i="10" s="1"/>
  <c r="E108" i="10" s="1"/>
  <c r="D109" i="10" s="1"/>
  <c r="E109" i="10" s="1"/>
  <c r="D110" i="10" s="1"/>
  <c r="E110" i="10" s="1"/>
  <c r="D111" i="10" s="1"/>
  <c r="E111" i="10" s="1"/>
  <c r="D112" i="10" s="1"/>
  <c r="E112" i="10" s="1"/>
  <c r="D113" i="10" s="1"/>
  <c r="E113" i="10" s="1"/>
  <c r="D114" i="10" s="1"/>
  <c r="E114" i="10" s="1"/>
  <c r="D115" i="10" s="1"/>
  <c r="E115" i="10" s="1"/>
  <c r="D116" i="10" s="1"/>
  <c r="E116" i="10" s="1"/>
  <c r="D117" i="10" s="1"/>
  <c r="E117" i="10" s="1"/>
  <c r="D118" i="10" s="1"/>
  <c r="E118" i="10" s="1"/>
  <c r="D119" i="10" s="1"/>
  <c r="E119" i="10" s="1"/>
  <c r="D120" i="10" s="1"/>
  <c r="E120" i="10" s="1"/>
  <c r="D121" i="10" s="1"/>
  <c r="E121" i="10" s="1"/>
  <c r="D122" i="10" s="1"/>
  <c r="E122" i="10" s="1"/>
  <c r="D123" i="10" s="1"/>
  <c r="E123" i="10" s="1"/>
  <c r="D124" i="10" s="1"/>
  <c r="E124" i="10" s="1"/>
  <c r="D125" i="10" s="1"/>
  <c r="E125" i="10" s="1"/>
  <c r="D126" i="10" s="1"/>
  <c r="E126" i="10" s="1"/>
  <c r="D127" i="10" s="1"/>
  <c r="E127" i="10" s="1"/>
  <c r="D128" i="10" s="1"/>
  <c r="E128" i="10" s="1"/>
  <c r="D129" i="10" s="1"/>
  <c r="E129" i="10" s="1"/>
  <c r="D130" i="10" s="1"/>
  <c r="E130" i="10" s="1"/>
  <c r="D131" i="10" s="1"/>
  <c r="E131" i="10" s="1"/>
  <c r="D132" i="10" s="1"/>
  <c r="E132" i="10" s="1"/>
  <c r="D133" i="10" s="1"/>
  <c r="E133" i="10" s="1"/>
  <c r="D134" i="10" s="1"/>
  <c r="E134" i="10" s="1"/>
  <c r="D135" i="10" s="1"/>
  <c r="E135" i="10" s="1"/>
  <c r="D136" i="10" s="1"/>
  <c r="E136" i="10" s="1"/>
  <c r="D137" i="10" s="1"/>
  <c r="E137" i="10" s="1"/>
  <c r="D138" i="10" s="1"/>
  <c r="E138" i="10" s="1"/>
  <c r="D139" i="10" s="1"/>
  <c r="E139" i="10" s="1"/>
  <c r="D140" i="10" s="1"/>
  <c r="E140" i="10" s="1"/>
  <c r="D141" i="10" s="1"/>
  <c r="E141" i="10" s="1"/>
  <c r="D142" i="10" s="1"/>
  <c r="E142" i="10" s="1"/>
  <c r="D143" i="10" s="1"/>
  <c r="E143" i="10" s="1"/>
  <c r="D144" i="10" s="1"/>
  <c r="E144" i="10" s="1"/>
  <c r="C13" i="10" a="1"/>
  <c r="C13" i="10" s="1"/>
  <c r="B13" i="10"/>
  <c r="A13" i="10"/>
  <c r="U12" i="10"/>
  <c r="T12" i="10"/>
  <c r="S12" i="10"/>
  <c r="B12" i="10"/>
  <c r="C12" i="10" s="1" a="1"/>
  <c r="C12" i="10" s="1"/>
  <c r="A12" i="10"/>
  <c r="U11" i="10"/>
  <c r="T11" i="10" s="1"/>
  <c r="S11" i="10"/>
  <c r="C11" i="10" a="1"/>
  <c r="C11" i="10"/>
  <c r="B11" i="10"/>
  <c r="A11" i="10"/>
  <c r="U10" i="10"/>
  <c r="T10" i="10" s="1"/>
  <c r="S10" i="10"/>
  <c r="C10" i="10"/>
  <c r="B10" i="10"/>
  <c r="C10" i="10" s="1" a="1"/>
  <c r="A10" i="10"/>
  <c r="U9" i="10"/>
  <c r="S9" i="10"/>
  <c r="T9" i="10" s="1"/>
  <c r="B9" i="10"/>
  <c r="C9" i="10" s="1" a="1"/>
  <c r="C9" i="10" s="1"/>
  <c r="A9" i="10"/>
  <c r="U8" i="10"/>
  <c r="T8" i="10" s="1"/>
  <c r="S8" i="10"/>
  <c r="D8" i="10"/>
  <c r="E8" i="10" s="1"/>
  <c r="D9" i="10" s="1"/>
  <c r="E9" i="10" s="1"/>
  <c r="D10" i="10" s="1"/>
  <c r="E10" i="10" s="1"/>
  <c r="D11" i="10" s="1"/>
  <c r="E11" i="10" s="1"/>
  <c r="D12" i="10" s="1"/>
  <c r="E12" i="10" s="1"/>
  <c r="C8" i="10"/>
  <c r="B8" i="10"/>
  <c r="C8" i="10" s="1" a="1"/>
  <c r="A8" i="10"/>
  <c r="U7" i="10"/>
  <c r="S7" i="10"/>
  <c r="T7" i="10" s="1"/>
  <c r="D7" i="10"/>
  <c r="E7" i="10" s="1"/>
  <c r="C7" i="10" a="1"/>
  <c r="C7" i="10" s="1"/>
  <c r="B7" i="10"/>
  <c r="A7" i="10"/>
  <c r="U6" i="10"/>
  <c r="S6" i="10"/>
  <c r="E6" i="10"/>
  <c r="D6" i="10"/>
  <c r="C6" i="10"/>
  <c r="B6" i="10"/>
  <c r="C6" i="10" s="1" a="1"/>
  <c r="A6" i="10"/>
  <c r="U5" i="10"/>
  <c r="S5" i="10"/>
  <c r="T5" i="10" s="1"/>
  <c r="C5" i="10" a="1"/>
  <c r="C5" i="10" s="1"/>
  <c r="B5" i="10"/>
  <c r="A5" i="10"/>
  <c r="E1" i="10"/>
  <c r="D1" i="10" s="1"/>
  <c r="R321" i="9"/>
  <c r="N321" i="9"/>
  <c r="J321" i="9"/>
  <c r="C321" i="9" a="1"/>
  <c r="C321" i="9" s="1"/>
  <c r="B321" i="9"/>
  <c r="A321" i="9"/>
  <c r="R320" i="9"/>
  <c r="N320" i="9"/>
  <c r="J320" i="9"/>
  <c r="B320" i="9"/>
  <c r="C320" i="9" s="1" a="1"/>
  <c r="C320" i="9" s="1"/>
  <c r="A320" i="9"/>
  <c r="R319" i="9"/>
  <c r="N319" i="9"/>
  <c r="J319" i="9"/>
  <c r="C319" i="9" a="1"/>
  <c r="C319" i="9"/>
  <c r="B319" i="9"/>
  <c r="A319" i="9"/>
  <c r="R318" i="9"/>
  <c r="N318" i="9"/>
  <c r="J318" i="9"/>
  <c r="B318" i="9"/>
  <c r="C318" i="9" s="1" a="1"/>
  <c r="C318" i="9" s="1"/>
  <c r="A318" i="9"/>
  <c r="R317" i="9"/>
  <c r="N317" i="9"/>
  <c r="J317" i="9"/>
  <c r="C317" i="9" a="1"/>
  <c r="C317" i="9"/>
  <c r="B317" i="9"/>
  <c r="A317" i="9"/>
  <c r="R316" i="9"/>
  <c r="N316" i="9"/>
  <c r="J316" i="9"/>
  <c r="C316" i="9"/>
  <c r="B316" i="9"/>
  <c r="C316" i="9" s="1" a="1"/>
  <c r="A316" i="9"/>
  <c r="R315" i="9"/>
  <c r="N315" i="9"/>
  <c r="J315" i="9"/>
  <c r="B315" i="9"/>
  <c r="C315" i="9" s="1" a="1"/>
  <c r="C315" i="9" s="1"/>
  <c r="A315" i="9"/>
  <c r="R314" i="9"/>
  <c r="N314" i="9"/>
  <c r="J314" i="9"/>
  <c r="B314" i="9"/>
  <c r="C314" i="9" s="1" a="1"/>
  <c r="C314" i="9" s="1"/>
  <c r="A314" i="9"/>
  <c r="R313" i="9"/>
  <c r="N313" i="9"/>
  <c r="J313" i="9"/>
  <c r="C313" i="9" a="1"/>
  <c r="C313" i="9" s="1"/>
  <c r="B313" i="9"/>
  <c r="A313" i="9"/>
  <c r="R312" i="9"/>
  <c r="N312" i="9"/>
  <c r="J312" i="9"/>
  <c r="B312" i="9"/>
  <c r="C312" i="9" s="1" a="1"/>
  <c r="C312" i="9" s="1"/>
  <c r="A312" i="9"/>
  <c r="R311" i="9"/>
  <c r="N311" i="9"/>
  <c r="J311" i="9"/>
  <c r="B311" i="9"/>
  <c r="C311" i="9" s="1" a="1"/>
  <c r="C311" i="9" s="1"/>
  <c r="A311" i="9"/>
  <c r="R310" i="9"/>
  <c r="N310" i="9"/>
  <c r="J310" i="9"/>
  <c r="C310" i="9" a="1"/>
  <c r="C310" i="9" s="1"/>
  <c r="B310" i="9"/>
  <c r="A310" i="9"/>
  <c r="R309" i="9"/>
  <c r="N309" i="9"/>
  <c r="J309" i="9"/>
  <c r="C309" i="9" a="1"/>
  <c r="C309" i="9" s="1"/>
  <c r="B309" i="9"/>
  <c r="A309" i="9"/>
  <c r="R308" i="9"/>
  <c r="N308" i="9"/>
  <c r="J308" i="9"/>
  <c r="C308" i="9" a="1"/>
  <c r="C308" i="9" s="1"/>
  <c r="B308" i="9"/>
  <c r="A308" i="9"/>
  <c r="R307" i="9"/>
  <c r="N307" i="9"/>
  <c r="J307" i="9"/>
  <c r="B307" i="9"/>
  <c r="C307" i="9" s="1" a="1"/>
  <c r="C307" i="9" s="1"/>
  <c r="A307" i="9"/>
  <c r="R306" i="9"/>
  <c r="N306" i="9"/>
  <c r="J306" i="9"/>
  <c r="B306" i="9"/>
  <c r="C306" i="9" s="1" a="1"/>
  <c r="C306" i="9" s="1"/>
  <c r="A306" i="9"/>
  <c r="R305" i="9"/>
  <c r="N305" i="9"/>
  <c r="J305" i="9"/>
  <c r="C305" i="9" a="1"/>
  <c r="C305" i="9"/>
  <c r="B305" i="9"/>
  <c r="A305" i="9"/>
  <c r="R304" i="9"/>
  <c r="N304" i="9"/>
  <c r="J304" i="9"/>
  <c r="C304" i="9" a="1"/>
  <c r="C304" i="9" s="1"/>
  <c r="B304" i="9"/>
  <c r="A304" i="9"/>
  <c r="R303" i="9"/>
  <c r="N303" i="9"/>
  <c r="J303" i="9"/>
  <c r="B303" i="9"/>
  <c r="C303" i="9" s="1" a="1"/>
  <c r="C303" i="9" s="1"/>
  <c r="A303" i="9"/>
  <c r="R302" i="9"/>
  <c r="N302" i="9"/>
  <c r="J302" i="9"/>
  <c r="B302" i="9"/>
  <c r="C302" i="9" s="1" a="1"/>
  <c r="C302" i="9" s="1"/>
  <c r="A302" i="9"/>
  <c r="R301" i="9"/>
  <c r="N301" i="9"/>
  <c r="J301" i="9"/>
  <c r="B301" i="9"/>
  <c r="C301" i="9" s="1" a="1"/>
  <c r="C301" i="9" s="1"/>
  <c r="A301" i="9"/>
  <c r="R300" i="9"/>
  <c r="N300" i="9"/>
  <c r="J300" i="9"/>
  <c r="B300" i="9"/>
  <c r="C300" i="9" s="1" a="1"/>
  <c r="C300" i="9" s="1"/>
  <c r="A300" i="9"/>
  <c r="R299" i="9"/>
  <c r="N299" i="9"/>
  <c r="J299" i="9"/>
  <c r="C299" i="9" a="1"/>
  <c r="C299" i="9" s="1"/>
  <c r="B299" i="9"/>
  <c r="A299" i="9"/>
  <c r="R298" i="9"/>
  <c r="N298" i="9"/>
  <c r="J298" i="9"/>
  <c r="C298" i="9" a="1"/>
  <c r="C298" i="9" s="1"/>
  <c r="B298" i="9"/>
  <c r="A298" i="9"/>
  <c r="R297" i="9"/>
  <c r="N297" i="9"/>
  <c r="J297" i="9"/>
  <c r="B297" i="9"/>
  <c r="C297" i="9" s="1" a="1"/>
  <c r="C297" i="9" s="1"/>
  <c r="A297" i="9"/>
  <c r="R296" i="9"/>
  <c r="N296" i="9"/>
  <c r="J296" i="9"/>
  <c r="C296" i="9" a="1"/>
  <c r="C296" i="9"/>
  <c r="B296" i="9"/>
  <c r="A296" i="9"/>
  <c r="R295" i="9"/>
  <c r="N295" i="9"/>
  <c r="J295" i="9"/>
  <c r="B295" i="9"/>
  <c r="C295" i="9" s="1" a="1"/>
  <c r="C295" i="9" s="1"/>
  <c r="A295" i="9"/>
  <c r="R294" i="9"/>
  <c r="N294" i="9"/>
  <c r="J294" i="9"/>
  <c r="C294" i="9" a="1"/>
  <c r="C294" i="9" s="1"/>
  <c r="B294" i="9"/>
  <c r="A294" i="9"/>
  <c r="R293" i="9"/>
  <c r="N293" i="9"/>
  <c r="J293" i="9"/>
  <c r="C293" i="9" a="1"/>
  <c r="C293" i="9"/>
  <c r="B293" i="9"/>
  <c r="A293" i="9"/>
  <c r="R292" i="9"/>
  <c r="N292" i="9"/>
  <c r="J292" i="9"/>
  <c r="B292" i="9"/>
  <c r="C292" i="9" s="1" a="1"/>
  <c r="C292" i="9" s="1"/>
  <c r="A292" i="9"/>
  <c r="R291" i="9"/>
  <c r="N291" i="9"/>
  <c r="J291" i="9"/>
  <c r="C291" i="9" a="1"/>
  <c r="C291" i="9" s="1"/>
  <c r="B291" i="9"/>
  <c r="A291" i="9"/>
  <c r="R290" i="9"/>
  <c r="N290" i="9"/>
  <c r="J290" i="9"/>
  <c r="B290" i="9"/>
  <c r="C290" i="9" s="1" a="1"/>
  <c r="C290" i="9" s="1"/>
  <c r="A290" i="9"/>
  <c r="R289" i="9"/>
  <c r="N289" i="9"/>
  <c r="J289" i="9"/>
  <c r="B289" i="9"/>
  <c r="C289" i="9" s="1" a="1"/>
  <c r="C289" i="9" s="1"/>
  <c r="A289" i="9"/>
  <c r="R288" i="9"/>
  <c r="N288" i="9"/>
  <c r="J288" i="9"/>
  <c r="B288" i="9"/>
  <c r="C288" i="9" s="1" a="1"/>
  <c r="C288" i="9" s="1"/>
  <c r="A288" i="9"/>
  <c r="R287" i="9"/>
  <c r="N287" i="9"/>
  <c r="J287" i="9"/>
  <c r="C287" i="9" a="1"/>
  <c r="C287" i="9"/>
  <c r="B287" i="9"/>
  <c r="A287" i="9"/>
  <c r="R286" i="9"/>
  <c r="N286" i="9"/>
  <c r="J286" i="9"/>
  <c r="C286" i="9"/>
  <c r="B286" i="9"/>
  <c r="C286" i="9" s="1" a="1"/>
  <c r="A286" i="9"/>
  <c r="R285" i="9"/>
  <c r="N285" i="9"/>
  <c r="J285" i="9"/>
  <c r="C285" i="9" a="1"/>
  <c r="C285" i="9" s="1"/>
  <c r="B285" i="9"/>
  <c r="A285" i="9"/>
  <c r="R284" i="9"/>
  <c r="N284" i="9"/>
  <c r="J284" i="9"/>
  <c r="B284" i="9"/>
  <c r="C284" i="9" s="1" a="1"/>
  <c r="C284" i="9" s="1"/>
  <c r="A284" i="9"/>
  <c r="R283" i="9"/>
  <c r="N283" i="9"/>
  <c r="J283" i="9"/>
  <c r="B283" i="9"/>
  <c r="C283" i="9" s="1" a="1"/>
  <c r="C283" i="9" s="1"/>
  <c r="A283" i="9"/>
  <c r="R282" i="9"/>
  <c r="N282" i="9"/>
  <c r="J282" i="9"/>
  <c r="C282" i="9" a="1"/>
  <c r="C282" i="9" s="1"/>
  <c r="B282" i="9"/>
  <c r="A282" i="9"/>
  <c r="R281" i="9"/>
  <c r="N281" i="9"/>
  <c r="J281" i="9"/>
  <c r="C281" i="9" a="1"/>
  <c r="C281" i="9"/>
  <c r="B281" i="9"/>
  <c r="A281" i="9"/>
  <c r="R280" i="9"/>
  <c r="N280" i="9"/>
  <c r="J280" i="9"/>
  <c r="C280" i="9" a="1"/>
  <c r="C280" i="9" s="1"/>
  <c r="B280" i="9"/>
  <c r="A280" i="9"/>
  <c r="R279" i="9"/>
  <c r="N279" i="9"/>
  <c r="J279" i="9"/>
  <c r="C279" i="9" a="1"/>
  <c r="C279" i="9" s="1"/>
  <c r="B279" i="9"/>
  <c r="A279" i="9"/>
  <c r="R278" i="9"/>
  <c r="N278" i="9"/>
  <c r="J278" i="9"/>
  <c r="C278" i="9" a="1"/>
  <c r="C278" i="9" s="1"/>
  <c r="B278" i="9"/>
  <c r="A278" i="9"/>
  <c r="R277" i="9"/>
  <c r="N277" i="9"/>
  <c r="J277" i="9"/>
  <c r="C277" i="9" a="1"/>
  <c r="C277" i="9"/>
  <c r="B277" i="9"/>
  <c r="A277" i="9"/>
  <c r="R276" i="9"/>
  <c r="N276" i="9"/>
  <c r="J276" i="9"/>
  <c r="B276" i="9"/>
  <c r="C276" i="9" s="1" a="1"/>
  <c r="C276" i="9" s="1"/>
  <c r="A276" i="9"/>
  <c r="R275" i="9"/>
  <c r="N275" i="9"/>
  <c r="J275" i="9"/>
  <c r="C275" i="9"/>
  <c r="B275" i="9"/>
  <c r="C275" i="9" s="1" a="1"/>
  <c r="A275" i="9"/>
  <c r="R274" i="9"/>
  <c r="N274" i="9"/>
  <c r="J274" i="9"/>
  <c r="C274" i="9"/>
  <c r="B274" i="9"/>
  <c r="C274" i="9" s="1" a="1"/>
  <c r="A274" i="9"/>
  <c r="R273" i="9"/>
  <c r="N273" i="9"/>
  <c r="J273" i="9"/>
  <c r="C273" i="9" a="1"/>
  <c r="C273" i="9" s="1"/>
  <c r="B273" i="9"/>
  <c r="A273" i="9"/>
  <c r="R272" i="9"/>
  <c r="N272" i="9"/>
  <c r="J272" i="9"/>
  <c r="B272" i="9"/>
  <c r="C272" i="9" s="1" a="1"/>
  <c r="C272" i="9" s="1"/>
  <c r="A272" i="9"/>
  <c r="R271" i="9"/>
  <c r="N271" i="9"/>
  <c r="J271" i="9"/>
  <c r="B271" i="9"/>
  <c r="C271" i="9" s="1" a="1"/>
  <c r="C271" i="9" s="1"/>
  <c r="A271" i="9"/>
  <c r="R270" i="9"/>
  <c r="N270" i="9"/>
  <c r="J270" i="9"/>
  <c r="B270" i="9"/>
  <c r="C270" i="9" s="1" a="1"/>
  <c r="C270" i="9" s="1"/>
  <c r="A270" i="9"/>
  <c r="R269" i="9"/>
  <c r="N269" i="9"/>
  <c r="J269" i="9"/>
  <c r="B269" i="9"/>
  <c r="C269" i="9" s="1" a="1"/>
  <c r="C269" i="9" s="1"/>
  <c r="A269" i="9"/>
  <c r="R268" i="9"/>
  <c r="N268" i="9"/>
  <c r="J268" i="9"/>
  <c r="C268" i="9" a="1"/>
  <c r="C268" i="9" s="1"/>
  <c r="B268" i="9"/>
  <c r="A268" i="9"/>
  <c r="R267" i="9"/>
  <c r="N267" i="9"/>
  <c r="J267" i="9"/>
  <c r="C267" i="9" a="1"/>
  <c r="C267" i="9" s="1"/>
  <c r="B267" i="9"/>
  <c r="A267" i="9"/>
  <c r="R266" i="9"/>
  <c r="N266" i="9"/>
  <c r="J266" i="9"/>
  <c r="C266" i="9" a="1"/>
  <c r="C266" i="9" s="1"/>
  <c r="B266" i="9"/>
  <c r="A266" i="9"/>
  <c r="R265" i="9"/>
  <c r="N265" i="9"/>
  <c r="J265" i="9"/>
  <c r="B265" i="9"/>
  <c r="C265" i="9" s="1" a="1"/>
  <c r="C265" i="9" s="1"/>
  <c r="A265" i="9"/>
  <c r="R264" i="9"/>
  <c r="N264" i="9"/>
  <c r="J264" i="9"/>
  <c r="B264" i="9"/>
  <c r="C264" i="9" s="1" a="1"/>
  <c r="C264" i="9" s="1"/>
  <c r="A264" i="9"/>
  <c r="R263" i="9"/>
  <c r="N263" i="9"/>
  <c r="J263" i="9"/>
  <c r="C263" i="9" a="1"/>
  <c r="C263" i="9"/>
  <c r="B263" i="9"/>
  <c r="A263" i="9"/>
  <c r="R262" i="9"/>
  <c r="N262" i="9"/>
  <c r="J262" i="9"/>
  <c r="C262" i="9" a="1"/>
  <c r="C262" i="9" s="1"/>
  <c r="B262" i="9"/>
  <c r="A262" i="9"/>
  <c r="R261" i="9"/>
  <c r="N261" i="9"/>
  <c r="J261" i="9"/>
  <c r="B261" i="9"/>
  <c r="C261" i="9" s="1" a="1"/>
  <c r="C261" i="9" s="1"/>
  <c r="A261" i="9"/>
  <c r="R260" i="9"/>
  <c r="N260" i="9"/>
  <c r="J260" i="9"/>
  <c r="B260" i="9"/>
  <c r="C260" i="9" s="1" a="1"/>
  <c r="C260" i="9" s="1"/>
  <c r="A260" i="9"/>
  <c r="R259" i="9"/>
  <c r="N259" i="9"/>
  <c r="J259" i="9"/>
  <c r="B259" i="9"/>
  <c r="C259" i="9" s="1" a="1"/>
  <c r="C259" i="9" s="1"/>
  <c r="A259" i="9"/>
  <c r="R258" i="9"/>
  <c r="N258" i="9"/>
  <c r="J258" i="9"/>
  <c r="B258" i="9"/>
  <c r="C258" i="9" s="1" a="1"/>
  <c r="C258" i="9" s="1"/>
  <c r="A258" i="9"/>
  <c r="R257" i="9"/>
  <c r="N257" i="9"/>
  <c r="J257" i="9"/>
  <c r="B257" i="9"/>
  <c r="C257" i="9" s="1" a="1"/>
  <c r="C257" i="9" s="1"/>
  <c r="A257" i="9"/>
  <c r="R256" i="9"/>
  <c r="N256" i="9"/>
  <c r="J256" i="9"/>
  <c r="C256" i="9" a="1"/>
  <c r="C256" i="9"/>
  <c r="B256" i="9"/>
  <c r="A256" i="9"/>
  <c r="R255" i="9"/>
  <c r="N255" i="9"/>
  <c r="J255" i="9"/>
  <c r="B255" i="9"/>
  <c r="C255" i="9" s="1" a="1"/>
  <c r="C255" i="9" s="1"/>
  <c r="A255" i="9"/>
  <c r="R254" i="9"/>
  <c r="N254" i="9"/>
  <c r="J254" i="9"/>
  <c r="C254" i="9" a="1"/>
  <c r="C254" i="9" s="1"/>
  <c r="B254" i="9"/>
  <c r="A254" i="9"/>
  <c r="R253" i="9"/>
  <c r="N253" i="9"/>
  <c r="J253" i="9"/>
  <c r="B253" i="9"/>
  <c r="C253" i="9" s="1" a="1"/>
  <c r="C253" i="9" s="1"/>
  <c r="A253" i="9"/>
  <c r="R252" i="9"/>
  <c r="N252" i="9"/>
  <c r="J252" i="9"/>
  <c r="C252" i="9" a="1"/>
  <c r="C252" i="9" s="1"/>
  <c r="B252" i="9"/>
  <c r="A252" i="9"/>
  <c r="R251" i="9"/>
  <c r="N251" i="9"/>
  <c r="J251" i="9"/>
  <c r="C251" i="9"/>
  <c r="B251" i="9"/>
  <c r="C251" i="9" s="1" a="1"/>
  <c r="A251" i="9"/>
  <c r="R250" i="9"/>
  <c r="N250" i="9"/>
  <c r="J250" i="9"/>
  <c r="C250" i="9" a="1"/>
  <c r="C250" i="9"/>
  <c r="B250" i="9"/>
  <c r="A250" i="9"/>
  <c r="R249" i="9"/>
  <c r="N249" i="9"/>
  <c r="J249" i="9"/>
  <c r="C249" i="9" a="1"/>
  <c r="C249" i="9" s="1"/>
  <c r="B249" i="9"/>
  <c r="A249" i="9"/>
  <c r="R248" i="9"/>
  <c r="N248" i="9"/>
  <c r="J248" i="9"/>
  <c r="B248" i="9"/>
  <c r="C248" i="9" s="1" a="1"/>
  <c r="C248" i="9" s="1"/>
  <c r="A248" i="9"/>
  <c r="R247" i="9"/>
  <c r="N247" i="9"/>
  <c r="J247" i="9"/>
  <c r="C247" i="9" a="1"/>
  <c r="C247" i="9" s="1"/>
  <c r="B247" i="9"/>
  <c r="A247" i="9"/>
  <c r="R246" i="9"/>
  <c r="N246" i="9"/>
  <c r="J246" i="9"/>
  <c r="B246" i="9"/>
  <c r="C246" i="9" s="1" a="1"/>
  <c r="C246" i="9" s="1"/>
  <c r="A246" i="9"/>
  <c r="R245" i="9"/>
  <c r="N245" i="9"/>
  <c r="J245" i="9"/>
  <c r="B245" i="9"/>
  <c r="C245" i="9" s="1" a="1"/>
  <c r="C245" i="9" s="1"/>
  <c r="A245" i="9"/>
  <c r="R244" i="9"/>
  <c r="N244" i="9"/>
  <c r="J244" i="9"/>
  <c r="C244" i="9"/>
  <c r="B244" i="9"/>
  <c r="C244" i="9" s="1" a="1"/>
  <c r="A244" i="9"/>
  <c r="R243" i="9"/>
  <c r="N243" i="9"/>
  <c r="J243" i="9"/>
  <c r="C243" i="9" a="1"/>
  <c r="C243" i="9" s="1"/>
  <c r="B243" i="9"/>
  <c r="A243" i="9"/>
  <c r="R242" i="9"/>
  <c r="N242" i="9"/>
  <c r="J242" i="9"/>
  <c r="C242" i="9" a="1"/>
  <c r="C242" i="9" s="1"/>
  <c r="B242" i="9"/>
  <c r="A242" i="9"/>
  <c r="R241" i="9"/>
  <c r="N241" i="9"/>
  <c r="J241" i="9"/>
  <c r="B241" i="9"/>
  <c r="C241" i="9" s="1" a="1"/>
  <c r="C241" i="9" s="1"/>
  <c r="A241" i="9"/>
  <c r="R240" i="9"/>
  <c r="N240" i="9"/>
  <c r="J240" i="9"/>
  <c r="C240" i="9" a="1"/>
  <c r="C240" i="9"/>
  <c r="B240" i="9"/>
  <c r="A240" i="9"/>
  <c r="R239" i="9"/>
  <c r="N239" i="9"/>
  <c r="J239" i="9"/>
  <c r="C239" i="9"/>
  <c r="B239" i="9"/>
  <c r="C239" i="9" s="1" a="1"/>
  <c r="A239" i="9"/>
  <c r="R238" i="9"/>
  <c r="N238" i="9"/>
  <c r="J238" i="9"/>
  <c r="C238" i="9" a="1"/>
  <c r="C238" i="9" s="1"/>
  <c r="B238" i="9"/>
  <c r="A238" i="9"/>
  <c r="R237" i="9"/>
  <c r="N237" i="9"/>
  <c r="J237" i="9"/>
  <c r="C237" i="9"/>
  <c r="B237" i="9"/>
  <c r="C237" i="9" s="1" a="1"/>
  <c r="A237" i="9"/>
  <c r="R236" i="9"/>
  <c r="N236" i="9"/>
  <c r="J236" i="9"/>
  <c r="C236" i="9" a="1"/>
  <c r="C236" i="9" s="1"/>
  <c r="B236" i="9"/>
  <c r="A236" i="9"/>
  <c r="R235" i="9"/>
  <c r="N235" i="9"/>
  <c r="J235" i="9"/>
  <c r="C235" i="9" a="1"/>
  <c r="C235" i="9" s="1"/>
  <c r="B235" i="9"/>
  <c r="A235" i="9"/>
  <c r="R234" i="9"/>
  <c r="N234" i="9"/>
  <c r="J234" i="9"/>
  <c r="B234" i="9"/>
  <c r="C234" i="9" s="1" a="1"/>
  <c r="C234" i="9" s="1"/>
  <c r="A234" i="9"/>
  <c r="R233" i="9"/>
  <c r="N233" i="9"/>
  <c r="J233" i="9"/>
  <c r="B233" i="9"/>
  <c r="C233" i="9" s="1" a="1"/>
  <c r="C233" i="9" s="1"/>
  <c r="A233" i="9"/>
  <c r="R232" i="9"/>
  <c r="N232" i="9"/>
  <c r="J232" i="9"/>
  <c r="C232" i="9"/>
  <c r="B232" i="9"/>
  <c r="C232" i="9" s="1" a="1"/>
  <c r="A232" i="9"/>
  <c r="R231" i="9"/>
  <c r="N231" i="9"/>
  <c r="J231" i="9"/>
  <c r="C231" i="9" a="1"/>
  <c r="C231" i="9" s="1"/>
  <c r="B231" i="9"/>
  <c r="A231" i="9"/>
  <c r="R230" i="9"/>
  <c r="N230" i="9"/>
  <c r="J230" i="9"/>
  <c r="B230" i="9"/>
  <c r="C230" i="9" s="1" a="1"/>
  <c r="C230" i="9" s="1"/>
  <c r="A230" i="9"/>
  <c r="R229" i="9"/>
  <c r="N229" i="9"/>
  <c r="J229" i="9"/>
  <c r="B229" i="9"/>
  <c r="C229" i="9" s="1" a="1"/>
  <c r="C229" i="9" s="1"/>
  <c r="A229" i="9"/>
  <c r="R228" i="9"/>
  <c r="N228" i="9"/>
  <c r="J228" i="9"/>
  <c r="B228" i="9"/>
  <c r="C228" i="9" s="1" a="1"/>
  <c r="C228" i="9" s="1"/>
  <c r="A228" i="9"/>
  <c r="R227" i="9"/>
  <c r="N227" i="9"/>
  <c r="J227" i="9"/>
  <c r="B227" i="9"/>
  <c r="C227" i="9" s="1" a="1"/>
  <c r="C227" i="9" s="1"/>
  <c r="A227" i="9"/>
  <c r="R226" i="9"/>
  <c r="N226" i="9"/>
  <c r="J226" i="9"/>
  <c r="C226" i="9" a="1"/>
  <c r="C226" i="9"/>
  <c r="B226" i="9"/>
  <c r="A226" i="9"/>
  <c r="R225" i="9"/>
  <c r="N225" i="9"/>
  <c r="J225" i="9"/>
  <c r="C225" i="9" a="1"/>
  <c r="C225" i="9"/>
  <c r="B225" i="9"/>
  <c r="A225" i="9"/>
  <c r="R224" i="9"/>
  <c r="N224" i="9"/>
  <c r="J224" i="9"/>
  <c r="C224" i="9" a="1"/>
  <c r="C224" i="9" s="1"/>
  <c r="B224" i="9"/>
  <c r="A224" i="9"/>
  <c r="R223" i="9"/>
  <c r="N223" i="9"/>
  <c r="J223" i="9"/>
  <c r="C223" i="9" a="1"/>
  <c r="C223" i="9" s="1"/>
  <c r="B223" i="9"/>
  <c r="A223" i="9"/>
  <c r="R222" i="9"/>
  <c r="N222" i="9"/>
  <c r="J222" i="9"/>
  <c r="B222" i="9"/>
  <c r="C222" i="9" s="1" a="1"/>
  <c r="C222" i="9" s="1"/>
  <c r="A222" i="9"/>
  <c r="R221" i="9"/>
  <c r="N221" i="9"/>
  <c r="J221" i="9"/>
  <c r="C221" i="9" a="1"/>
  <c r="C221" i="9"/>
  <c r="B221" i="9"/>
  <c r="A221" i="9"/>
  <c r="R220" i="9"/>
  <c r="N220" i="9"/>
  <c r="J220" i="9"/>
  <c r="C220" i="9" a="1"/>
  <c r="C220" i="9" s="1"/>
  <c r="B220" i="9"/>
  <c r="A220" i="9"/>
  <c r="R219" i="9"/>
  <c r="N219" i="9"/>
  <c r="J219" i="9"/>
  <c r="C219" i="9" a="1"/>
  <c r="C219" i="9"/>
  <c r="B219" i="9"/>
  <c r="A219" i="9"/>
  <c r="R218" i="9"/>
  <c r="N218" i="9"/>
  <c r="J218" i="9"/>
  <c r="B218" i="9"/>
  <c r="C218" i="9" s="1" a="1"/>
  <c r="C218" i="9" s="1"/>
  <c r="A218" i="9"/>
  <c r="R217" i="9"/>
  <c r="N217" i="9"/>
  <c r="J217" i="9"/>
  <c r="B217" i="9"/>
  <c r="C217" i="9" s="1" a="1"/>
  <c r="C217" i="9" s="1"/>
  <c r="A217" i="9"/>
  <c r="R216" i="9"/>
  <c r="N216" i="9"/>
  <c r="J216" i="9"/>
  <c r="B216" i="9"/>
  <c r="C216" i="9" s="1" a="1"/>
  <c r="C216" i="9" s="1"/>
  <c r="A216" i="9"/>
  <c r="R215" i="9"/>
  <c r="N215" i="9"/>
  <c r="J215" i="9"/>
  <c r="B215" i="9"/>
  <c r="C215" i="9" s="1" a="1"/>
  <c r="C215" i="9" s="1"/>
  <c r="A215" i="9"/>
  <c r="R214" i="9"/>
  <c r="N214" i="9"/>
  <c r="J214" i="9"/>
  <c r="C214" i="9"/>
  <c r="B214" i="9"/>
  <c r="C214" i="9" s="1" a="1"/>
  <c r="A214" i="9"/>
  <c r="R213" i="9"/>
  <c r="N213" i="9"/>
  <c r="J213" i="9"/>
  <c r="B213" i="9"/>
  <c r="C213" i="9" s="1" a="1"/>
  <c r="C213" i="9" s="1"/>
  <c r="A213" i="9"/>
  <c r="R212" i="9"/>
  <c r="N212" i="9"/>
  <c r="J212" i="9"/>
  <c r="C212" i="9" a="1"/>
  <c r="C212" i="9" s="1"/>
  <c r="B212" i="9"/>
  <c r="A212" i="9"/>
  <c r="R211" i="9"/>
  <c r="N211" i="9"/>
  <c r="J211" i="9"/>
  <c r="C211" i="9" a="1"/>
  <c r="C211" i="9" s="1"/>
  <c r="B211" i="9"/>
  <c r="A211" i="9"/>
  <c r="R210" i="9"/>
  <c r="N210" i="9"/>
  <c r="J210" i="9"/>
  <c r="C210" i="9" a="1"/>
  <c r="C210" i="9" s="1"/>
  <c r="B210" i="9"/>
  <c r="A210" i="9"/>
  <c r="R209" i="9"/>
  <c r="N209" i="9"/>
  <c r="J209" i="9"/>
  <c r="B209" i="9"/>
  <c r="C209" i="9" s="1" a="1"/>
  <c r="C209" i="9" s="1"/>
  <c r="A209" i="9"/>
  <c r="R208" i="9"/>
  <c r="N208" i="9"/>
  <c r="J208" i="9"/>
  <c r="B208" i="9"/>
  <c r="C208" i="9" s="1" a="1"/>
  <c r="C208" i="9" s="1"/>
  <c r="A208" i="9"/>
  <c r="R207" i="9"/>
  <c r="N207" i="9"/>
  <c r="J207" i="9"/>
  <c r="C207" i="9" a="1"/>
  <c r="C207" i="9" s="1"/>
  <c r="B207" i="9"/>
  <c r="A207" i="9"/>
  <c r="R206" i="9"/>
  <c r="N206" i="9"/>
  <c r="J206" i="9"/>
  <c r="C206" i="9" a="1"/>
  <c r="C206" i="9" s="1"/>
  <c r="B206" i="9"/>
  <c r="A206" i="9"/>
  <c r="R205" i="9"/>
  <c r="N205" i="9"/>
  <c r="J205" i="9"/>
  <c r="C205" i="9" a="1"/>
  <c r="C205" i="9" s="1"/>
  <c r="B205" i="9"/>
  <c r="A205" i="9"/>
  <c r="R204" i="9"/>
  <c r="N204" i="9"/>
  <c r="J204" i="9"/>
  <c r="B204" i="9"/>
  <c r="C204" i="9" s="1" a="1"/>
  <c r="C204" i="9" s="1"/>
  <c r="A204" i="9"/>
  <c r="R203" i="9"/>
  <c r="N203" i="9"/>
  <c r="J203" i="9"/>
  <c r="B203" i="9"/>
  <c r="C203" i="9" s="1" a="1"/>
  <c r="C203" i="9" s="1"/>
  <c r="A203" i="9"/>
  <c r="R202" i="9"/>
  <c r="N202" i="9"/>
  <c r="J202" i="9"/>
  <c r="B202" i="9"/>
  <c r="C202" i="9" s="1" a="1"/>
  <c r="C202" i="9" s="1"/>
  <c r="A202" i="9"/>
  <c r="R201" i="9"/>
  <c r="N201" i="9"/>
  <c r="J201" i="9"/>
  <c r="C201" i="9" a="1"/>
  <c r="C201" i="9" s="1"/>
  <c r="B201" i="9"/>
  <c r="A201" i="9"/>
  <c r="R200" i="9"/>
  <c r="N200" i="9"/>
  <c r="J200" i="9"/>
  <c r="C200" i="9" a="1"/>
  <c r="C200" i="9" s="1"/>
  <c r="B200" i="9"/>
  <c r="A200" i="9"/>
  <c r="R199" i="9"/>
  <c r="N199" i="9"/>
  <c r="J199" i="9"/>
  <c r="B199" i="9"/>
  <c r="C199" i="9" s="1" a="1"/>
  <c r="C199" i="9" s="1"/>
  <c r="A199" i="9"/>
  <c r="R198" i="9"/>
  <c r="N198" i="9"/>
  <c r="J198" i="9"/>
  <c r="C198" i="9" a="1"/>
  <c r="C198" i="9"/>
  <c r="B198" i="9"/>
  <c r="A198" i="9"/>
  <c r="R197" i="9"/>
  <c r="N197" i="9"/>
  <c r="J197" i="9"/>
  <c r="B197" i="9"/>
  <c r="C197" i="9" s="1" a="1"/>
  <c r="C197" i="9" s="1"/>
  <c r="A197" i="9"/>
  <c r="R196" i="9"/>
  <c r="N196" i="9"/>
  <c r="J196" i="9"/>
  <c r="C196" i="9" a="1"/>
  <c r="C196" i="9" s="1"/>
  <c r="B196" i="9"/>
  <c r="A196" i="9"/>
  <c r="R195" i="9"/>
  <c r="N195" i="9"/>
  <c r="J195" i="9"/>
  <c r="C195" i="9" a="1"/>
  <c r="C195" i="9" s="1"/>
  <c r="B195" i="9"/>
  <c r="A195" i="9"/>
  <c r="R194" i="9"/>
  <c r="N194" i="9"/>
  <c r="J194" i="9"/>
  <c r="C194" i="9" a="1"/>
  <c r="C194" i="9" s="1"/>
  <c r="B194" i="9"/>
  <c r="A194" i="9"/>
  <c r="R193" i="9"/>
  <c r="N193" i="9"/>
  <c r="J193" i="9"/>
  <c r="C193" i="9" a="1"/>
  <c r="C193" i="9" s="1"/>
  <c r="B193" i="9"/>
  <c r="A193" i="9"/>
  <c r="R192" i="9"/>
  <c r="N192" i="9"/>
  <c r="J192" i="9"/>
  <c r="B192" i="9"/>
  <c r="C192" i="9" s="1" a="1"/>
  <c r="C192" i="9" s="1"/>
  <c r="A192" i="9"/>
  <c r="R191" i="9"/>
  <c r="N191" i="9"/>
  <c r="J191" i="9"/>
  <c r="B191" i="9"/>
  <c r="C191" i="9" s="1" a="1"/>
  <c r="C191" i="9" s="1"/>
  <c r="A191" i="9"/>
  <c r="R190" i="9"/>
  <c r="N190" i="9"/>
  <c r="J190" i="9"/>
  <c r="B190" i="9"/>
  <c r="C190" i="9" s="1" a="1"/>
  <c r="C190" i="9" s="1"/>
  <c r="A190" i="9"/>
  <c r="R189" i="9"/>
  <c r="N189" i="9"/>
  <c r="J189" i="9"/>
  <c r="B189" i="9"/>
  <c r="C189" i="9" s="1" a="1"/>
  <c r="C189" i="9" s="1"/>
  <c r="A189" i="9"/>
  <c r="R188" i="9"/>
  <c r="N188" i="9"/>
  <c r="J188" i="9"/>
  <c r="C188" i="9"/>
  <c r="B188" i="9"/>
  <c r="C188" i="9" s="1" a="1"/>
  <c r="A188" i="9"/>
  <c r="R187" i="9"/>
  <c r="N187" i="9"/>
  <c r="J187" i="9"/>
  <c r="B187" i="9"/>
  <c r="C187" i="9" s="1" a="1"/>
  <c r="C187" i="9" s="1"/>
  <c r="A187" i="9"/>
  <c r="R186" i="9"/>
  <c r="N186" i="9"/>
  <c r="J186" i="9"/>
  <c r="B186" i="9"/>
  <c r="C186" i="9" s="1" a="1"/>
  <c r="C186" i="9" s="1"/>
  <c r="A186" i="9"/>
  <c r="R185" i="9"/>
  <c r="N185" i="9"/>
  <c r="J185" i="9"/>
  <c r="B185" i="9"/>
  <c r="C185" i="9" s="1" a="1"/>
  <c r="C185" i="9" s="1"/>
  <c r="A185" i="9"/>
  <c r="R184" i="9"/>
  <c r="N184" i="9"/>
  <c r="J184" i="9"/>
  <c r="C184" i="9" a="1"/>
  <c r="C184" i="9"/>
  <c r="B184" i="9"/>
  <c r="A184" i="9"/>
  <c r="R183" i="9"/>
  <c r="N183" i="9"/>
  <c r="J183" i="9"/>
  <c r="C183" i="9" a="1"/>
  <c r="C183" i="9" s="1"/>
  <c r="B183" i="9"/>
  <c r="A183" i="9"/>
  <c r="R182" i="9"/>
  <c r="N182" i="9"/>
  <c r="J182" i="9"/>
  <c r="C182" i="9" a="1"/>
  <c r="C182" i="9" s="1"/>
  <c r="B182" i="9"/>
  <c r="A182" i="9"/>
  <c r="R181" i="9"/>
  <c r="N181" i="9"/>
  <c r="J181" i="9"/>
  <c r="C181" i="9" a="1"/>
  <c r="C181" i="9" s="1"/>
  <c r="B181" i="9"/>
  <c r="A181" i="9"/>
  <c r="R180" i="9"/>
  <c r="N180" i="9"/>
  <c r="J180" i="9"/>
  <c r="C180" i="9" a="1"/>
  <c r="C180" i="9" s="1"/>
  <c r="B180" i="9"/>
  <c r="A180" i="9"/>
  <c r="R179" i="9"/>
  <c r="N179" i="9"/>
  <c r="J179" i="9"/>
  <c r="C179" i="9" a="1"/>
  <c r="C179" i="9"/>
  <c r="B179" i="9"/>
  <c r="A179" i="9"/>
  <c r="R178" i="9"/>
  <c r="N178" i="9"/>
  <c r="J178" i="9"/>
  <c r="C178" i="9"/>
  <c r="B178" i="9"/>
  <c r="C178" i="9" s="1" a="1"/>
  <c r="A178" i="9"/>
  <c r="R177" i="9"/>
  <c r="N177" i="9"/>
  <c r="J177" i="9"/>
  <c r="C177" i="9"/>
  <c r="B177" i="9"/>
  <c r="C177" i="9" s="1" a="1"/>
  <c r="A177" i="9"/>
  <c r="R176" i="9"/>
  <c r="N176" i="9"/>
  <c r="J176" i="9"/>
  <c r="C176" i="9"/>
  <c r="B176" i="9"/>
  <c r="C176" i="9" s="1" a="1"/>
  <c r="A176" i="9"/>
  <c r="R175" i="9"/>
  <c r="N175" i="9"/>
  <c r="J175" i="9"/>
  <c r="C175" i="9" a="1"/>
  <c r="C175" i="9"/>
  <c r="B175" i="9"/>
  <c r="A175" i="9"/>
  <c r="R174" i="9"/>
  <c r="N174" i="9"/>
  <c r="J174" i="9"/>
  <c r="B174" i="9"/>
  <c r="C174" i="9" s="1" a="1"/>
  <c r="C174" i="9" s="1"/>
  <c r="A174" i="9"/>
  <c r="R173" i="9"/>
  <c r="N173" i="9"/>
  <c r="J173" i="9"/>
  <c r="B173" i="9"/>
  <c r="C173" i="9" s="1" a="1"/>
  <c r="C173" i="9" s="1"/>
  <c r="A173" i="9"/>
  <c r="R172" i="9"/>
  <c r="N172" i="9"/>
  <c r="J172" i="9"/>
  <c r="B172" i="9"/>
  <c r="C172" i="9" s="1" a="1"/>
  <c r="C172" i="9" s="1"/>
  <c r="A172" i="9"/>
  <c r="R171" i="9"/>
  <c r="N171" i="9"/>
  <c r="J171" i="9"/>
  <c r="B171" i="9"/>
  <c r="C171" i="9" s="1" a="1"/>
  <c r="C171" i="9" s="1"/>
  <c r="A171" i="9"/>
  <c r="R170" i="9"/>
  <c r="N170" i="9"/>
  <c r="J170" i="9"/>
  <c r="C170" i="9" a="1"/>
  <c r="C170" i="9" s="1"/>
  <c r="B170" i="9"/>
  <c r="A170" i="9"/>
  <c r="R169" i="9"/>
  <c r="N169" i="9"/>
  <c r="J169" i="9"/>
  <c r="C169" i="9" a="1"/>
  <c r="C169" i="9" s="1"/>
  <c r="B169" i="9"/>
  <c r="A169" i="9"/>
  <c r="R168" i="9"/>
  <c r="N168" i="9"/>
  <c r="J168" i="9"/>
  <c r="C168" i="9" a="1"/>
  <c r="C168" i="9" s="1"/>
  <c r="B168" i="9"/>
  <c r="A168" i="9"/>
  <c r="R167" i="9"/>
  <c r="N167" i="9"/>
  <c r="J167" i="9"/>
  <c r="B167" i="9"/>
  <c r="C167" i="9" s="1" a="1"/>
  <c r="C167" i="9" s="1"/>
  <c r="A167" i="9"/>
  <c r="R166" i="9"/>
  <c r="N166" i="9"/>
  <c r="J166" i="9"/>
  <c r="B166" i="9"/>
  <c r="C166" i="9" s="1" a="1"/>
  <c r="C166" i="9" s="1"/>
  <c r="A166" i="9"/>
  <c r="R165" i="9"/>
  <c r="N165" i="9"/>
  <c r="J165" i="9"/>
  <c r="C165" i="9" a="1"/>
  <c r="C165" i="9"/>
  <c r="B165" i="9"/>
  <c r="A165" i="9"/>
  <c r="R164" i="9"/>
  <c r="N164" i="9"/>
  <c r="J164" i="9"/>
  <c r="C164" i="9" a="1"/>
  <c r="C164" i="9" s="1"/>
  <c r="B164" i="9"/>
  <c r="A164" i="9"/>
  <c r="R163" i="9"/>
  <c r="N163" i="9"/>
  <c r="J163" i="9"/>
  <c r="C163" i="9" a="1"/>
  <c r="C163" i="9"/>
  <c r="B163" i="9"/>
  <c r="A163" i="9"/>
  <c r="R162" i="9"/>
  <c r="N162" i="9"/>
  <c r="J162" i="9"/>
  <c r="B162" i="9"/>
  <c r="C162" i="9" s="1" a="1"/>
  <c r="C162" i="9" s="1"/>
  <c r="A162" i="9"/>
  <c r="R161" i="9"/>
  <c r="N161" i="9"/>
  <c r="J161" i="9"/>
  <c r="B161" i="9"/>
  <c r="C161" i="9" s="1" a="1"/>
  <c r="C161" i="9" s="1"/>
  <c r="A161" i="9"/>
  <c r="R160" i="9"/>
  <c r="N160" i="9"/>
  <c r="J160" i="9"/>
  <c r="B160" i="9"/>
  <c r="C160" i="9" s="1" a="1"/>
  <c r="C160" i="9" s="1"/>
  <c r="A160" i="9"/>
  <c r="R159" i="9"/>
  <c r="N159" i="9"/>
  <c r="J159" i="9"/>
  <c r="C159" i="9" a="1"/>
  <c r="C159" i="9" s="1"/>
  <c r="B159" i="9"/>
  <c r="A159" i="9"/>
  <c r="R158" i="9"/>
  <c r="N158" i="9"/>
  <c r="J158" i="9"/>
  <c r="C158" i="9" a="1"/>
  <c r="C158" i="9" s="1"/>
  <c r="B158" i="9"/>
  <c r="A158" i="9"/>
  <c r="R157" i="9"/>
  <c r="N157" i="9"/>
  <c r="J157" i="9"/>
  <c r="B157" i="9"/>
  <c r="C157" i="9" s="1" a="1"/>
  <c r="C157" i="9" s="1"/>
  <c r="A157" i="9"/>
  <c r="R156" i="9"/>
  <c r="N156" i="9"/>
  <c r="J156" i="9"/>
  <c r="B156" i="9"/>
  <c r="C156" i="9" s="1" a="1"/>
  <c r="C156" i="9" s="1"/>
  <c r="A156" i="9"/>
  <c r="R155" i="9"/>
  <c r="N155" i="9"/>
  <c r="J155" i="9"/>
  <c r="B155" i="9"/>
  <c r="C155" i="9" s="1" a="1"/>
  <c r="C155" i="9" s="1"/>
  <c r="A155" i="9"/>
  <c r="R154" i="9"/>
  <c r="N154" i="9"/>
  <c r="J154" i="9"/>
  <c r="C154" i="9" a="1"/>
  <c r="C154" i="9" s="1"/>
  <c r="B154" i="9"/>
  <c r="A154" i="9"/>
  <c r="R153" i="9"/>
  <c r="N153" i="9"/>
  <c r="J153" i="9"/>
  <c r="B153" i="9"/>
  <c r="C153" i="9" s="1" a="1"/>
  <c r="C153" i="9" s="1"/>
  <c r="A153" i="9"/>
  <c r="R152" i="9"/>
  <c r="N152" i="9"/>
  <c r="J152" i="9"/>
  <c r="C152" i="9"/>
  <c r="B152" i="9"/>
  <c r="C152" i="9" s="1" a="1"/>
  <c r="A152" i="9"/>
  <c r="R151" i="9"/>
  <c r="N151" i="9"/>
  <c r="J151" i="9"/>
  <c r="C151" i="9" a="1"/>
  <c r="C151" i="9" s="1"/>
  <c r="B151" i="9"/>
  <c r="A151" i="9"/>
  <c r="R150" i="9"/>
  <c r="N150" i="9"/>
  <c r="J150" i="9"/>
  <c r="C150" i="9" a="1"/>
  <c r="C150" i="9" s="1"/>
  <c r="B150" i="9"/>
  <c r="A150" i="9"/>
  <c r="R149" i="9"/>
  <c r="N149" i="9"/>
  <c r="J149" i="9"/>
  <c r="B149" i="9"/>
  <c r="C149" i="9" s="1" a="1"/>
  <c r="C149" i="9" s="1"/>
  <c r="A149" i="9"/>
  <c r="R148" i="9"/>
  <c r="N148" i="9"/>
  <c r="J148" i="9"/>
  <c r="C148" i="9" a="1"/>
  <c r="C148" i="9" s="1"/>
  <c r="B148" i="9"/>
  <c r="A148" i="9"/>
  <c r="R147" i="9"/>
  <c r="N147" i="9"/>
  <c r="J147" i="9"/>
  <c r="C147" i="9" a="1"/>
  <c r="C147" i="9"/>
  <c r="B147" i="9"/>
  <c r="A147" i="9"/>
  <c r="R146" i="9"/>
  <c r="N146" i="9"/>
  <c r="J146" i="9"/>
  <c r="B146" i="9"/>
  <c r="C146" i="9" s="1" a="1"/>
  <c r="C146" i="9" s="1"/>
  <c r="A146" i="9"/>
  <c r="R145" i="9"/>
  <c r="N145" i="9"/>
  <c r="J145" i="9"/>
  <c r="B145" i="9"/>
  <c r="C145" i="9" s="1" a="1"/>
  <c r="C145" i="9" s="1"/>
  <c r="A145" i="9"/>
  <c r="R144" i="9"/>
  <c r="N144" i="9"/>
  <c r="J144" i="9"/>
  <c r="C144" i="9" a="1"/>
  <c r="C144" i="9" s="1"/>
  <c r="B144" i="9"/>
  <c r="A144" i="9"/>
  <c r="R143" i="9"/>
  <c r="N143" i="9"/>
  <c r="J143" i="9"/>
  <c r="B143" i="9"/>
  <c r="C143" i="9" s="1" a="1"/>
  <c r="C143" i="9" s="1"/>
  <c r="A143" i="9"/>
  <c r="R142" i="9"/>
  <c r="N142" i="9"/>
  <c r="J142" i="9"/>
  <c r="B142" i="9"/>
  <c r="C142" i="9" s="1" a="1"/>
  <c r="C142" i="9" s="1"/>
  <c r="A142" i="9"/>
  <c r="R141" i="9"/>
  <c r="N141" i="9"/>
  <c r="J141" i="9"/>
  <c r="C141" i="9" a="1"/>
  <c r="C141" i="9"/>
  <c r="B141" i="9"/>
  <c r="A141" i="9"/>
  <c r="R140" i="9"/>
  <c r="N140" i="9"/>
  <c r="J140" i="9"/>
  <c r="C140" i="9" a="1"/>
  <c r="C140" i="9" s="1"/>
  <c r="B140" i="9"/>
  <c r="A140" i="9"/>
  <c r="R139" i="9"/>
  <c r="N139" i="9"/>
  <c r="J139" i="9"/>
  <c r="B139" i="9"/>
  <c r="C139" i="9" s="1" a="1"/>
  <c r="C139" i="9" s="1"/>
  <c r="A139" i="9"/>
  <c r="R138" i="9"/>
  <c r="N138" i="9"/>
  <c r="J138" i="9"/>
  <c r="B138" i="9"/>
  <c r="C138" i="9" s="1" a="1"/>
  <c r="C138" i="9" s="1"/>
  <c r="A138" i="9"/>
  <c r="R137" i="9"/>
  <c r="N137" i="9"/>
  <c r="J137" i="9"/>
  <c r="C137" i="9" a="1"/>
  <c r="C137" i="9" s="1"/>
  <c r="B137" i="9"/>
  <c r="A137" i="9"/>
  <c r="R136" i="9"/>
  <c r="N136" i="9"/>
  <c r="J136" i="9"/>
  <c r="C136" i="9" a="1"/>
  <c r="C136" i="9" s="1"/>
  <c r="B136" i="9"/>
  <c r="A136" i="9"/>
  <c r="R135" i="9"/>
  <c r="N135" i="9"/>
  <c r="J135" i="9"/>
  <c r="B135" i="9"/>
  <c r="C135" i="9" s="1" a="1"/>
  <c r="C135" i="9" s="1"/>
  <c r="A135" i="9"/>
  <c r="R134" i="9"/>
  <c r="N134" i="9"/>
  <c r="J134" i="9"/>
  <c r="C134" i="9" a="1"/>
  <c r="C134" i="9" s="1"/>
  <c r="B134" i="9"/>
  <c r="A134" i="9"/>
  <c r="R133" i="9"/>
  <c r="N133" i="9"/>
  <c r="J133" i="9"/>
  <c r="C133" i="9" a="1"/>
  <c r="C133" i="9" s="1"/>
  <c r="B133" i="9"/>
  <c r="A133" i="9"/>
  <c r="R132" i="9"/>
  <c r="N132" i="9"/>
  <c r="J132" i="9"/>
  <c r="B132" i="9"/>
  <c r="C132" i="9" s="1" a="1"/>
  <c r="C132" i="9" s="1"/>
  <c r="A132" i="9"/>
  <c r="R131" i="9"/>
  <c r="N131" i="9"/>
  <c r="J131" i="9"/>
  <c r="B131" i="9"/>
  <c r="C131" i="9" s="1" a="1"/>
  <c r="C131" i="9" s="1"/>
  <c r="A131" i="9"/>
  <c r="R130" i="9"/>
  <c r="N130" i="9"/>
  <c r="J130" i="9"/>
  <c r="B130" i="9"/>
  <c r="C130" i="9" s="1" a="1"/>
  <c r="C130" i="9" s="1"/>
  <c r="A130" i="9"/>
  <c r="R129" i="9"/>
  <c r="N129" i="9"/>
  <c r="J129" i="9"/>
  <c r="B129" i="9"/>
  <c r="C129" i="9" s="1" a="1"/>
  <c r="C129" i="9" s="1"/>
  <c r="A129" i="9"/>
  <c r="R128" i="9"/>
  <c r="N128" i="9"/>
  <c r="J128" i="9"/>
  <c r="C128" i="9" a="1"/>
  <c r="C128" i="9" s="1"/>
  <c r="B128" i="9"/>
  <c r="A128" i="9"/>
  <c r="R127" i="9"/>
  <c r="N127" i="9"/>
  <c r="J127" i="9"/>
  <c r="B127" i="9"/>
  <c r="C127" i="9" s="1" a="1"/>
  <c r="C127" i="9" s="1"/>
  <c r="A127" i="9"/>
  <c r="R126" i="9"/>
  <c r="N126" i="9"/>
  <c r="J126" i="9"/>
  <c r="C126" i="9" a="1"/>
  <c r="C126" i="9" s="1"/>
  <c r="B126" i="9"/>
  <c r="A126" i="9"/>
  <c r="R125" i="9"/>
  <c r="N125" i="9"/>
  <c r="J125" i="9"/>
  <c r="B125" i="9"/>
  <c r="C125" i="9" s="1" a="1"/>
  <c r="C125" i="9" s="1"/>
  <c r="A125" i="9"/>
  <c r="R124" i="9"/>
  <c r="N124" i="9"/>
  <c r="J124" i="9"/>
  <c r="C124" i="9"/>
  <c r="B124" i="9"/>
  <c r="C124" i="9" s="1" a="1"/>
  <c r="A124" i="9"/>
  <c r="R123" i="9"/>
  <c r="N123" i="9"/>
  <c r="J123" i="9"/>
  <c r="C123" i="9" a="1"/>
  <c r="C123" i="9" s="1"/>
  <c r="B123" i="9"/>
  <c r="A123" i="9"/>
  <c r="R122" i="9"/>
  <c r="N122" i="9"/>
  <c r="J122" i="9"/>
  <c r="C122" i="9" a="1"/>
  <c r="C122" i="9" s="1"/>
  <c r="B122" i="9"/>
  <c r="A122" i="9"/>
  <c r="R121" i="9"/>
  <c r="N121" i="9"/>
  <c r="J121" i="9"/>
  <c r="B121" i="9"/>
  <c r="C121" i="9" s="1" a="1"/>
  <c r="C121" i="9" s="1"/>
  <c r="A121" i="9"/>
  <c r="R120" i="9"/>
  <c r="N120" i="9"/>
  <c r="J120" i="9"/>
  <c r="C120" i="9" a="1"/>
  <c r="C120" i="9" s="1"/>
  <c r="B120" i="9"/>
  <c r="A120" i="9"/>
  <c r="R119" i="9"/>
  <c r="N119" i="9"/>
  <c r="J119" i="9"/>
  <c r="C119" i="9" a="1"/>
  <c r="C119" i="9"/>
  <c r="B119" i="9"/>
  <c r="A119" i="9"/>
  <c r="R118" i="9"/>
  <c r="N118" i="9"/>
  <c r="J118" i="9"/>
  <c r="B118" i="9"/>
  <c r="C118" i="9" s="1" a="1"/>
  <c r="C118" i="9" s="1"/>
  <c r="A118" i="9"/>
  <c r="R117" i="9"/>
  <c r="N117" i="9"/>
  <c r="J117" i="9"/>
  <c r="C117" i="9"/>
  <c r="B117" i="9"/>
  <c r="C117" i="9" s="1" a="1"/>
  <c r="A117" i="9"/>
  <c r="R116" i="9"/>
  <c r="N116" i="9"/>
  <c r="J116" i="9"/>
  <c r="B116" i="9"/>
  <c r="C116" i="9" s="1" a="1"/>
  <c r="C116" i="9" s="1"/>
  <c r="A116" i="9"/>
  <c r="R115" i="9"/>
  <c r="N115" i="9"/>
  <c r="J115" i="9"/>
  <c r="B115" i="9"/>
  <c r="C115" i="9" s="1" a="1"/>
  <c r="C115" i="9" s="1"/>
  <c r="A115" i="9"/>
  <c r="R114" i="9"/>
  <c r="N114" i="9"/>
  <c r="J114" i="9"/>
  <c r="C114" i="9" a="1"/>
  <c r="C114" i="9" s="1"/>
  <c r="B114" i="9"/>
  <c r="A114" i="9"/>
  <c r="R113" i="9"/>
  <c r="N113" i="9"/>
  <c r="J113" i="9"/>
  <c r="C113" i="9" a="1"/>
  <c r="C113" i="9"/>
  <c r="B113" i="9"/>
  <c r="A113" i="9"/>
  <c r="R112" i="9"/>
  <c r="N112" i="9"/>
  <c r="J112" i="9"/>
  <c r="C112" i="9" a="1"/>
  <c r="C112" i="9" s="1"/>
  <c r="B112" i="9"/>
  <c r="A112" i="9"/>
  <c r="R111" i="9"/>
  <c r="N111" i="9"/>
  <c r="J111" i="9"/>
  <c r="C111" i="9"/>
  <c r="B111" i="9"/>
  <c r="C111" i="9" s="1" a="1"/>
  <c r="A111" i="9"/>
  <c r="R110" i="9"/>
  <c r="N110" i="9"/>
  <c r="J110" i="9"/>
  <c r="B110" i="9"/>
  <c r="C110" i="9" s="1" a="1"/>
  <c r="C110" i="9" s="1"/>
  <c r="A110" i="9"/>
  <c r="R109" i="9"/>
  <c r="N109" i="9"/>
  <c r="J109" i="9"/>
  <c r="C109" i="9" a="1"/>
  <c r="C109" i="9" s="1"/>
  <c r="B109" i="9"/>
  <c r="A109" i="9"/>
  <c r="R108" i="9"/>
  <c r="N108" i="9"/>
  <c r="J108" i="9"/>
  <c r="C108" i="9" a="1"/>
  <c r="C108" i="9" s="1"/>
  <c r="B108" i="9"/>
  <c r="A108" i="9"/>
  <c r="R107" i="9"/>
  <c r="N107" i="9"/>
  <c r="J107" i="9"/>
  <c r="C107" i="9"/>
  <c r="B107" i="9"/>
  <c r="C107" i="9" s="1" a="1"/>
  <c r="A107" i="9"/>
  <c r="R106" i="9"/>
  <c r="N106" i="9"/>
  <c r="J106" i="9"/>
  <c r="C106" i="9" a="1"/>
  <c r="C106" i="9" s="1"/>
  <c r="B106" i="9"/>
  <c r="A106" i="9"/>
  <c r="R105" i="9"/>
  <c r="N105" i="9"/>
  <c r="J105" i="9"/>
  <c r="C105" i="9" a="1"/>
  <c r="C105" i="9" s="1"/>
  <c r="B105" i="9"/>
  <c r="A105" i="9"/>
  <c r="R104" i="9"/>
  <c r="N104" i="9"/>
  <c r="J104" i="9"/>
  <c r="B104" i="9"/>
  <c r="C104" i="9" s="1" a="1"/>
  <c r="C104" i="9" s="1"/>
  <c r="A104" i="9"/>
  <c r="R103" i="9"/>
  <c r="N103" i="9"/>
  <c r="J103" i="9"/>
  <c r="C103" i="9" a="1"/>
  <c r="C103" i="9" s="1"/>
  <c r="B103" i="9"/>
  <c r="A103" i="9"/>
  <c r="R102" i="9"/>
  <c r="N102" i="9"/>
  <c r="J102" i="9"/>
  <c r="C102" i="9" a="1"/>
  <c r="C102" i="9"/>
  <c r="B102" i="9"/>
  <c r="A102" i="9"/>
  <c r="R101" i="9"/>
  <c r="N101" i="9"/>
  <c r="J101" i="9"/>
  <c r="B101" i="9"/>
  <c r="C101" i="9" s="1" a="1"/>
  <c r="C101" i="9" s="1"/>
  <c r="A101" i="9"/>
  <c r="R100" i="9"/>
  <c r="N100" i="9"/>
  <c r="J100" i="9"/>
  <c r="C100" i="9" a="1"/>
  <c r="C100" i="9"/>
  <c r="B100" i="9"/>
  <c r="A100" i="9"/>
  <c r="R99" i="9"/>
  <c r="N99" i="9"/>
  <c r="J99" i="9"/>
  <c r="C99" i="9"/>
  <c r="B99" i="9"/>
  <c r="C99" i="9" s="1" a="1"/>
  <c r="A99" i="9"/>
  <c r="R98" i="9"/>
  <c r="N98" i="9"/>
  <c r="J98" i="9"/>
  <c r="C98" i="9" a="1"/>
  <c r="C98" i="9" s="1"/>
  <c r="B98" i="9"/>
  <c r="A98" i="9"/>
  <c r="R97" i="9"/>
  <c r="N97" i="9"/>
  <c r="J97" i="9"/>
  <c r="C97" i="9"/>
  <c r="B97" i="9"/>
  <c r="C97" i="9" s="1" a="1"/>
  <c r="A97" i="9"/>
  <c r="R96" i="9"/>
  <c r="N96" i="9"/>
  <c r="J96" i="9"/>
  <c r="B96" i="9"/>
  <c r="C96" i="9" s="1" a="1"/>
  <c r="C96" i="9" s="1"/>
  <c r="A96" i="9"/>
  <c r="R95" i="9"/>
  <c r="N95" i="9"/>
  <c r="J95" i="9"/>
  <c r="C95" i="9" a="1"/>
  <c r="C95" i="9" s="1"/>
  <c r="B95" i="9"/>
  <c r="A95" i="9"/>
  <c r="R94" i="9"/>
  <c r="N94" i="9"/>
  <c r="J94" i="9"/>
  <c r="C94" i="9" a="1"/>
  <c r="C94" i="9" s="1"/>
  <c r="B94" i="9"/>
  <c r="A94" i="9"/>
  <c r="R93" i="9"/>
  <c r="N93" i="9"/>
  <c r="J93" i="9"/>
  <c r="B93" i="9"/>
  <c r="C93" i="9" s="1" a="1"/>
  <c r="C93" i="9" s="1"/>
  <c r="A93" i="9"/>
  <c r="R92" i="9"/>
  <c r="N92" i="9"/>
  <c r="J92" i="9"/>
  <c r="C92" i="9" a="1"/>
  <c r="C92" i="9" s="1"/>
  <c r="B92" i="9"/>
  <c r="A92" i="9"/>
  <c r="R91" i="9"/>
  <c r="N91" i="9"/>
  <c r="J91" i="9"/>
  <c r="C91" i="9" a="1"/>
  <c r="C91" i="9" s="1"/>
  <c r="B91" i="9"/>
  <c r="A91" i="9"/>
  <c r="R90" i="9"/>
  <c r="N90" i="9"/>
  <c r="J90" i="9"/>
  <c r="B90" i="9"/>
  <c r="C90" i="9" s="1" a="1"/>
  <c r="C90" i="9" s="1"/>
  <c r="A90" i="9"/>
  <c r="R89" i="9"/>
  <c r="N89" i="9"/>
  <c r="J89" i="9"/>
  <c r="C89" i="9" a="1"/>
  <c r="C89" i="9"/>
  <c r="B89" i="9"/>
  <c r="A89" i="9"/>
  <c r="R88" i="9"/>
  <c r="N88" i="9"/>
  <c r="J88" i="9"/>
  <c r="C88" i="9" a="1"/>
  <c r="C88" i="9" s="1"/>
  <c r="B88" i="9"/>
  <c r="A88" i="9"/>
  <c r="R87" i="9"/>
  <c r="N87" i="9"/>
  <c r="J87" i="9"/>
  <c r="B87" i="9"/>
  <c r="C87" i="9" s="1" a="1"/>
  <c r="C87" i="9" s="1"/>
  <c r="A87" i="9"/>
  <c r="R86" i="9"/>
  <c r="N86" i="9"/>
  <c r="J86" i="9"/>
  <c r="C86" i="9" a="1"/>
  <c r="C86" i="9" s="1"/>
  <c r="B86" i="9"/>
  <c r="A86" i="9"/>
  <c r="R85" i="9"/>
  <c r="N85" i="9"/>
  <c r="J85" i="9"/>
  <c r="B85" i="9"/>
  <c r="C85" i="9" s="1" a="1"/>
  <c r="C85" i="9" s="1"/>
  <c r="A85" i="9"/>
  <c r="R84" i="9"/>
  <c r="N84" i="9"/>
  <c r="J84" i="9"/>
  <c r="C84" i="9" a="1"/>
  <c r="C84" i="9" s="1"/>
  <c r="B84" i="9"/>
  <c r="A84" i="9"/>
  <c r="R83" i="9"/>
  <c r="N83" i="9"/>
  <c r="J83" i="9"/>
  <c r="C83" i="9"/>
  <c r="B83" i="9"/>
  <c r="C83" i="9" s="1" a="1"/>
  <c r="A83" i="9"/>
  <c r="R82" i="9"/>
  <c r="N82" i="9"/>
  <c r="J82" i="9"/>
  <c r="B82" i="9"/>
  <c r="C82" i="9" s="1" a="1"/>
  <c r="C82" i="9" s="1"/>
  <c r="A82" i="9"/>
  <c r="R81" i="9"/>
  <c r="N81" i="9"/>
  <c r="J81" i="9"/>
  <c r="C81" i="9" a="1"/>
  <c r="C81" i="9" s="1"/>
  <c r="B81" i="9"/>
  <c r="A81" i="9"/>
  <c r="R80" i="9"/>
  <c r="N80" i="9"/>
  <c r="J80" i="9"/>
  <c r="C80" i="9" a="1"/>
  <c r="C80" i="9" s="1"/>
  <c r="B80" i="9"/>
  <c r="A80" i="9"/>
  <c r="R79" i="9"/>
  <c r="N79" i="9"/>
  <c r="J79" i="9"/>
  <c r="C79" i="9"/>
  <c r="B79" i="9"/>
  <c r="C79" i="9" s="1" a="1"/>
  <c r="A79" i="9"/>
  <c r="R78" i="9"/>
  <c r="N78" i="9"/>
  <c r="J78" i="9"/>
  <c r="C78" i="9" a="1"/>
  <c r="C78" i="9" s="1"/>
  <c r="B78" i="9"/>
  <c r="A78" i="9"/>
  <c r="R77" i="9"/>
  <c r="N77" i="9"/>
  <c r="J77" i="9"/>
  <c r="C77" i="9" a="1"/>
  <c r="C77" i="9"/>
  <c r="B77" i="9"/>
  <c r="A77" i="9"/>
  <c r="R76" i="9"/>
  <c r="N76" i="9"/>
  <c r="J76" i="9"/>
  <c r="C76" i="9"/>
  <c r="B76" i="9"/>
  <c r="C76" i="9" s="1" a="1"/>
  <c r="A76" i="9"/>
  <c r="R75" i="9"/>
  <c r="N75" i="9"/>
  <c r="J75" i="9"/>
  <c r="B75" i="9"/>
  <c r="C75" i="9" s="1" a="1"/>
  <c r="C75" i="9" s="1"/>
  <c r="A75" i="9"/>
  <c r="R74" i="9"/>
  <c r="N74" i="9"/>
  <c r="J74" i="9"/>
  <c r="B74" i="9"/>
  <c r="C74" i="9" s="1" a="1"/>
  <c r="C74" i="9" s="1"/>
  <c r="A74" i="9"/>
  <c r="R73" i="9"/>
  <c r="N73" i="9"/>
  <c r="J73" i="9"/>
  <c r="B73" i="9"/>
  <c r="C73" i="9" s="1" a="1"/>
  <c r="C73" i="9" s="1"/>
  <c r="A73" i="9"/>
  <c r="R72" i="9"/>
  <c r="N72" i="9"/>
  <c r="J72" i="9"/>
  <c r="B72" i="9"/>
  <c r="C72" i="9" s="1" a="1"/>
  <c r="C72" i="9" s="1"/>
  <c r="A72" i="9"/>
  <c r="R71" i="9"/>
  <c r="N71" i="9"/>
  <c r="J71" i="9"/>
  <c r="C71" i="9" a="1"/>
  <c r="C71" i="9" s="1"/>
  <c r="B71" i="9"/>
  <c r="A71" i="9"/>
  <c r="R70" i="9"/>
  <c r="N70" i="9"/>
  <c r="J70" i="9"/>
  <c r="C70" i="9" a="1"/>
  <c r="C70" i="9" s="1"/>
  <c r="B70" i="9"/>
  <c r="A70" i="9"/>
  <c r="R69" i="9"/>
  <c r="N69" i="9"/>
  <c r="J69" i="9"/>
  <c r="C69" i="9"/>
  <c r="B69" i="9"/>
  <c r="C69" i="9" s="1" a="1"/>
  <c r="A69" i="9"/>
  <c r="R68" i="9"/>
  <c r="N68" i="9"/>
  <c r="J68" i="9"/>
  <c r="B68" i="9"/>
  <c r="C68" i="9" s="1" a="1"/>
  <c r="C68" i="9" s="1"/>
  <c r="A68" i="9"/>
  <c r="R67" i="9"/>
  <c r="N67" i="9"/>
  <c r="J67" i="9"/>
  <c r="C67" i="9" a="1"/>
  <c r="C67" i="9" s="1"/>
  <c r="B67" i="9"/>
  <c r="A67" i="9"/>
  <c r="R66" i="9"/>
  <c r="N66" i="9"/>
  <c r="J66" i="9"/>
  <c r="C66" i="9" a="1"/>
  <c r="C66" i="9" s="1"/>
  <c r="B66" i="9"/>
  <c r="A66" i="9"/>
  <c r="R65" i="9"/>
  <c r="N65" i="9"/>
  <c r="J65" i="9"/>
  <c r="B65" i="9"/>
  <c r="C65" i="9" s="1" a="1"/>
  <c r="C65" i="9" s="1"/>
  <c r="A65" i="9"/>
  <c r="R64" i="9"/>
  <c r="N64" i="9"/>
  <c r="J64" i="9"/>
  <c r="C64" i="9" a="1"/>
  <c r="C64" i="9" s="1"/>
  <c r="B64" i="9"/>
  <c r="A64" i="9"/>
  <c r="R63" i="9"/>
  <c r="N63" i="9"/>
  <c r="J63" i="9"/>
  <c r="C63" i="9" a="1"/>
  <c r="C63" i="9" s="1"/>
  <c r="B63" i="9"/>
  <c r="A63" i="9"/>
  <c r="R62" i="9"/>
  <c r="N62" i="9"/>
  <c r="J62" i="9"/>
  <c r="B62" i="9"/>
  <c r="C62" i="9" s="1" a="1"/>
  <c r="C62" i="9" s="1"/>
  <c r="A62" i="9"/>
  <c r="R61" i="9"/>
  <c r="N61" i="9"/>
  <c r="J61" i="9"/>
  <c r="C61" i="9" a="1"/>
  <c r="C61" i="9" s="1"/>
  <c r="B61" i="9"/>
  <c r="A61" i="9"/>
  <c r="R60" i="9"/>
  <c r="N60" i="9"/>
  <c r="J60" i="9"/>
  <c r="C60" i="9" a="1"/>
  <c r="C60" i="9" s="1"/>
  <c r="B60" i="9"/>
  <c r="A60" i="9"/>
  <c r="R59" i="9"/>
  <c r="N59" i="9"/>
  <c r="J59" i="9"/>
  <c r="B59" i="9"/>
  <c r="C59" i="9" s="1" a="1"/>
  <c r="C59" i="9" s="1"/>
  <c r="A59" i="9"/>
  <c r="R58" i="9"/>
  <c r="N58" i="9"/>
  <c r="J58" i="9"/>
  <c r="C58" i="9" a="1"/>
  <c r="C58" i="9" s="1"/>
  <c r="B58" i="9"/>
  <c r="A58" i="9"/>
  <c r="R57" i="9"/>
  <c r="N57" i="9"/>
  <c r="J57" i="9"/>
  <c r="C57" i="9" a="1"/>
  <c r="C57" i="9" s="1"/>
  <c r="B57" i="9"/>
  <c r="A57" i="9"/>
  <c r="R56" i="9"/>
  <c r="N56" i="9"/>
  <c r="J56" i="9"/>
  <c r="C56" i="9" a="1"/>
  <c r="C56" i="9" s="1"/>
  <c r="B56" i="9"/>
  <c r="A56" i="9"/>
  <c r="R55" i="9"/>
  <c r="N55" i="9"/>
  <c r="J55" i="9"/>
  <c r="B55" i="9"/>
  <c r="C55" i="9" s="1" a="1"/>
  <c r="C55" i="9" s="1"/>
  <c r="A55" i="9"/>
  <c r="R54" i="9"/>
  <c r="N54" i="9"/>
  <c r="J54" i="9"/>
  <c r="C54" i="9" a="1"/>
  <c r="C54" i="9" s="1"/>
  <c r="B54" i="9"/>
  <c r="A54" i="9"/>
  <c r="R53" i="9"/>
  <c r="N53" i="9"/>
  <c r="J53" i="9"/>
  <c r="C53" i="9" a="1"/>
  <c r="C53" i="9" s="1"/>
  <c r="B53" i="9"/>
  <c r="A53" i="9"/>
  <c r="R52" i="9"/>
  <c r="N52" i="9"/>
  <c r="J52" i="9"/>
  <c r="B52" i="9"/>
  <c r="C52" i="9" s="1" a="1"/>
  <c r="C52" i="9" s="1"/>
  <c r="A52" i="9"/>
  <c r="R51" i="9"/>
  <c r="N51" i="9"/>
  <c r="J51" i="9"/>
  <c r="C51" i="9" a="1"/>
  <c r="C51" i="9" s="1"/>
  <c r="B51" i="9"/>
  <c r="A51" i="9"/>
  <c r="R50" i="9"/>
  <c r="N50" i="9"/>
  <c r="J50" i="9"/>
  <c r="C50" i="9" a="1"/>
  <c r="C50" i="9" s="1"/>
  <c r="B50" i="9"/>
  <c r="A50" i="9"/>
  <c r="R49" i="9"/>
  <c r="N49" i="9"/>
  <c r="J49" i="9"/>
  <c r="C49" i="9" a="1"/>
  <c r="C49" i="9"/>
  <c r="B49" i="9"/>
  <c r="A49" i="9"/>
  <c r="R48" i="9"/>
  <c r="N48" i="9"/>
  <c r="J48" i="9"/>
  <c r="C48" i="9"/>
  <c r="B48" i="9"/>
  <c r="C48" i="9" s="1" a="1"/>
  <c r="A48" i="9"/>
  <c r="R47" i="9"/>
  <c r="N47" i="9"/>
  <c r="J47" i="9"/>
  <c r="C47" i="9" a="1"/>
  <c r="C47" i="9"/>
  <c r="B47" i="9"/>
  <c r="A47" i="9"/>
  <c r="R46" i="9"/>
  <c r="N46" i="9"/>
  <c r="J46" i="9"/>
  <c r="C46" i="9" a="1"/>
  <c r="C46" i="9" s="1"/>
  <c r="B46" i="9"/>
  <c r="A46" i="9"/>
  <c r="R45" i="9"/>
  <c r="N45" i="9"/>
  <c r="J45" i="9"/>
  <c r="B45" i="9"/>
  <c r="C45" i="9" s="1" a="1"/>
  <c r="C45" i="9" s="1"/>
  <c r="A45" i="9"/>
  <c r="R44" i="9"/>
  <c r="N44" i="9"/>
  <c r="J44" i="9"/>
  <c r="C44" i="9" a="1"/>
  <c r="C44" i="9" s="1"/>
  <c r="B44" i="9"/>
  <c r="A44" i="9"/>
  <c r="R43" i="9"/>
  <c r="N43" i="9"/>
  <c r="J43" i="9"/>
  <c r="C43" i="9" a="1"/>
  <c r="C43" i="9"/>
  <c r="B43" i="9"/>
  <c r="A43" i="9"/>
  <c r="R42" i="9"/>
  <c r="N42" i="9"/>
  <c r="J42" i="9"/>
  <c r="C42" i="9" a="1"/>
  <c r="C42" i="9" s="1"/>
  <c r="B42" i="9"/>
  <c r="A42" i="9"/>
  <c r="R41" i="9"/>
  <c r="N41" i="9"/>
  <c r="J41" i="9"/>
  <c r="C41" i="9"/>
  <c r="B41" i="9"/>
  <c r="C41" i="9" s="1" a="1"/>
  <c r="A41" i="9"/>
  <c r="R40" i="9"/>
  <c r="N40" i="9"/>
  <c r="J40" i="9"/>
  <c r="C40" i="9" a="1"/>
  <c r="C40" i="9"/>
  <c r="B40" i="9"/>
  <c r="A40" i="9"/>
  <c r="R39" i="9"/>
  <c r="N39" i="9"/>
  <c r="J39" i="9"/>
  <c r="C39" i="9" a="1"/>
  <c r="C39" i="9" s="1"/>
  <c r="B39" i="9"/>
  <c r="A39" i="9"/>
  <c r="R38" i="9"/>
  <c r="N38" i="9"/>
  <c r="J38" i="9"/>
  <c r="C38" i="9" a="1"/>
  <c r="C38" i="9" s="1"/>
  <c r="B38" i="9"/>
  <c r="A38" i="9"/>
  <c r="R37" i="9"/>
  <c r="N37" i="9"/>
  <c r="J37" i="9"/>
  <c r="C37" i="9" a="1"/>
  <c r="C37" i="9"/>
  <c r="B37" i="9"/>
  <c r="A37" i="9"/>
  <c r="R36" i="9"/>
  <c r="N36" i="9"/>
  <c r="J36" i="9"/>
  <c r="C36" i="9" a="1"/>
  <c r="C36" i="9"/>
  <c r="B36" i="9"/>
  <c r="A36" i="9"/>
  <c r="R35" i="9"/>
  <c r="N35" i="9"/>
  <c r="J35" i="9"/>
  <c r="C35" i="9" a="1"/>
  <c r="C35" i="9" s="1"/>
  <c r="B35" i="9"/>
  <c r="A35" i="9"/>
  <c r="R34" i="9"/>
  <c r="N34" i="9"/>
  <c r="J34" i="9"/>
  <c r="C34" i="9"/>
  <c r="B34" i="9"/>
  <c r="C34" i="9" s="1" a="1"/>
  <c r="A34" i="9"/>
  <c r="R33" i="9"/>
  <c r="N33" i="9"/>
  <c r="J33" i="9"/>
  <c r="C33" i="9" a="1"/>
  <c r="C33" i="9" s="1"/>
  <c r="B33" i="9"/>
  <c r="A33" i="9"/>
  <c r="R32" i="9"/>
  <c r="N32" i="9"/>
  <c r="J32" i="9"/>
  <c r="B32" i="9"/>
  <c r="C32" i="9" s="1" a="1"/>
  <c r="C32" i="9" s="1"/>
  <c r="A32" i="9"/>
  <c r="R31" i="9"/>
  <c r="N31" i="9"/>
  <c r="J31" i="9"/>
  <c r="B31" i="9"/>
  <c r="C31" i="9" s="1" a="1"/>
  <c r="C31" i="9" s="1"/>
  <c r="A31" i="9"/>
  <c r="R30" i="9"/>
  <c r="N30" i="9"/>
  <c r="J30" i="9"/>
  <c r="B30" i="9"/>
  <c r="C30" i="9" s="1" a="1"/>
  <c r="C30" i="9" s="1"/>
  <c r="A30" i="9"/>
  <c r="R29" i="9"/>
  <c r="N29" i="9"/>
  <c r="J29" i="9"/>
  <c r="B29" i="9"/>
  <c r="C29" i="9" s="1" a="1"/>
  <c r="C29" i="9" s="1"/>
  <c r="A29" i="9"/>
  <c r="R28" i="9"/>
  <c r="N28" i="9"/>
  <c r="J28" i="9"/>
  <c r="C28" i="9" a="1"/>
  <c r="C28" i="9" s="1"/>
  <c r="B28" i="9"/>
  <c r="A28" i="9"/>
  <c r="R27" i="9"/>
  <c r="N27" i="9"/>
  <c r="J27" i="9"/>
  <c r="C27" i="9"/>
  <c r="B27" i="9"/>
  <c r="C27" i="9" s="1" a="1"/>
  <c r="A27" i="9"/>
  <c r="R26" i="9"/>
  <c r="N26" i="9"/>
  <c r="J26" i="9"/>
  <c r="B26" i="9"/>
  <c r="C26" i="9" s="1" a="1"/>
  <c r="C26" i="9" s="1"/>
  <c r="A26" i="9"/>
  <c r="R25" i="9"/>
  <c r="N25" i="9"/>
  <c r="J25" i="9"/>
  <c r="C25" i="9" a="1"/>
  <c r="C25" i="9" s="1"/>
  <c r="B25" i="9"/>
  <c r="A25" i="9"/>
  <c r="R24" i="9"/>
  <c r="N24" i="9"/>
  <c r="J24" i="9"/>
  <c r="B24" i="9"/>
  <c r="C24" i="9" s="1" a="1"/>
  <c r="C24" i="9" s="1"/>
  <c r="A24" i="9"/>
  <c r="R23" i="9"/>
  <c r="N23" i="9"/>
  <c r="J23" i="9"/>
  <c r="C23" i="9"/>
  <c r="B23" i="9"/>
  <c r="C23" i="9" s="1" a="1"/>
  <c r="A23" i="9"/>
  <c r="R22" i="9"/>
  <c r="N22" i="9"/>
  <c r="J22" i="9"/>
  <c r="C22" i="9" a="1"/>
  <c r="C22" i="9" s="1"/>
  <c r="B22" i="9"/>
  <c r="A22" i="9"/>
  <c r="R21" i="9"/>
  <c r="N21" i="9"/>
  <c r="J21" i="9"/>
  <c r="C21" i="9" a="1"/>
  <c r="C21" i="9"/>
  <c r="B21" i="9"/>
  <c r="A21" i="9"/>
  <c r="R20" i="9"/>
  <c r="N20" i="9"/>
  <c r="J20" i="9"/>
  <c r="C20" i="9"/>
  <c r="B20" i="9"/>
  <c r="C20" i="9" s="1" a="1"/>
  <c r="A20" i="9"/>
  <c r="R19" i="9"/>
  <c r="N19" i="9"/>
  <c r="J19" i="9"/>
  <c r="B19" i="9"/>
  <c r="C19" i="9" s="1" a="1"/>
  <c r="C19" i="9" s="1"/>
  <c r="A19" i="9"/>
  <c r="R18" i="9"/>
  <c r="N18" i="9"/>
  <c r="J18" i="9"/>
  <c r="B18" i="9"/>
  <c r="C18" i="9" s="1" a="1"/>
  <c r="C18" i="9" s="1"/>
  <c r="A18" i="9"/>
  <c r="R17" i="9"/>
  <c r="N17" i="9"/>
  <c r="J17" i="9"/>
  <c r="B17" i="9"/>
  <c r="C17" i="9" s="1" a="1"/>
  <c r="C17" i="9" s="1"/>
  <c r="A17" i="9"/>
  <c r="R16" i="9"/>
  <c r="N16" i="9"/>
  <c r="J16" i="9"/>
  <c r="B16" i="9"/>
  <c r="C16" i="9" s="1" a="1"/>
  <c r="C16" i="9" s="1"/>
  <c r="A16" i="9"/>
  <c r="R15" i="9"/>
  <c r="N15" i="9"/>
  <c r="J15" i="9"/>
  <c r="B15" i="9"/>
  <c r="C15" i="9" s="1" a="1"/>
  <c r="C15" i="9" s="1"/>
  <c r="A15" i="9"/>
  <c r="R14" i="9"/>
  <c r="N14" i="9"/>
  <c r="J14" i="9"/>
  <c r="D14" i="9"/>
  <c r="E14" i="9" s="1"/>
  <c r="D15" i="9" s="1"/>
  <c r="E15" i="9" s="1"/>
  <c r="D16" i="9" s="1"/>
  <c r="E16" i="9" s="1"/>
  <c r="D17" i="9" s="1"/>
  <c r="E17" i="9" s="1"/>
  <c r="D18" i="9" s="1"/>
  <c r="E18" i="9" s="1"/>
  <c r="D19" i="9" s="1"/>
  <c r="E19" i="9" s="1"/>
  <c r="D20" i="9" s="1"/>
  <c r="E20" i="9" s="1"/>
  <c r="D21" i="9" s="1"/>
  <c r="E21" i="9" s="1"/>
  <c r="D22" i="9" s="1"/>
  <c r="E22" i="9" s="1"/>
  <c r="D23" i="9" s="1"/>
  <c r="E23" i="9" s="1"/>
  <c r="D24" i="9" s="1"/>
  <c r="E24" i="9" s="1"/>
  <c r="D25" i="9" s="1"/>
  <c r="E25" i="9" s="1"/>
  <c r="D26" i="9" s="1"/>
  <c r="E26" i="9" s="1"/>
  <c r="D27" i="9" s="1"/>
  <c r="E27" i="9" s="1"/>
  <c r="D28" i="9" s="1"/>
  <c r="E28" i="9" s="1"/>
  <c r="D29" i="9" s="1"/>
  <c r="E29" i="9" s="1"/>
  <c r="D30" i="9" s="1"/>
  <c r="E30" i="9" s="1"/>
  <c r="D31" i="9" s="1"/>
  <c r="E31" i="9" s="1"/>
  <c r="D32" i="9" s="1"/>
  <c r="E32" i="9" s="1"/>
  <c r="D33" i="9" s="1"/>
  <c r="E33" i="9" s="1"/>
  <c r="D34" i="9" s="1"/>
  <c r="E34" i="9" s="1"/>
  <c r="D35" i="9" s="1"/>
  <c r="E35" i="9" s="1"/>
  <c r="D36" i="9" s="1"/>
  <c r="E36" i="9" s="1"/>
  <c r="D37" i="9" s="1"/>
  <c r="E37" i="9" s="1"/>
  <c r="D38" i="9" s="1"/>
  <c r="E38" i="9" s="1"/>
  <c r="D39" i="9" s="1"/>
  <c r="E39" i="9" s="1"/>
  <c r="D40" i="9" s="1"/>
  <c r="E40" i="9" s="1"/>
  <c r="D41" i="9" s="1"/>
  <c r="E41" i="9" s="1"/>
  <c r="D42" i="9" s="1"/>
  <c r="E42" i="9" s="1"/>
  <c r="D43" i="9" s="1"/>
  <c r="E43" i="9" s="1"/>
  <c r="D44" i="9" s="1"/>
  <c r="E44" i="9" s="1"/>
  <c r="D45" i="9" s="1"/>
  <c r="E45" i="9" s="1"/>
  <c r="D46" i="9" s="1"/>
  <c r="E46" i="9" s="1"/>
  <c r="D47" i="9" s="1"/>
  <c r="E47" i="9" s="1"/>
  <c r="D48" i="9" s="1"/>
  <c r="E48" i="9" s="1"/>
  <c r="D49" i="9" s="1"/>
  <c r="E49" i="9" s="1"/>
  <c r="D50" i="9" s="1"/>
  <c r="E50" i="9" s="1"/>
  <c r="D51" i="9" s="1"/>
  <c r="E51" i="9" s="1"/>
  <c r="D52" i="9" s="1"/>
  <c r="E52" i="9" s="1"/>
  <c r="D53" i="9" s="1"/>
  <c r="E53" i="9" s="1"/>
  <c r="D54" i="9" s="1"/>
  <c r="E54" i="9" s="1"/>
  <c r="D55" i="9" s="1"/>
  <c r="E55" i="9" s="1"/>
  <c r="D56" i="9" s="1"/>
  <c r="E56" i="9" s="1"/>
  <c r="D57" i="9" s="1"/>
  <c r="E57" i="9" s="1"/>
  <c r="D58" i="9" s="1"/>
  <c r="E58" i="9" s="1"/>
  <c r="D59" i="9" s="1"/>
  <c r="E59" i="9" s="1"/>
  <c r="D60" i="9" s="1"/>
  <c r="E60" i="9" s="1"/>
  <c r="D61" i="9" s="1"/>
  <c r="E61" i="9" s="1"/>
  <c r="D62" i="9" s="1"/>
  <c r="E62" i="9" s="1"/>
  <c r="D63" i="9" s="1"/>
  <c r="E63" i="9" s="1"/>
  <c r="D64" i="9" s="1"/>
  <c r="E64" i="9" s="1"/>
  <c r="D65" i="9" s="1"/>
  <c r="E65" i="9" s="1"/>
  <c r="D66" i="9" s="1"/>
  <c r="E66" i="9" s="1"/>
  <c r="D67" i="9" s="1"/>
  <c r="E67" i="9" s="1"/>
  <c r="D68" i="9" s="1"/>
  <c r="E68" i="9" s="1"/>
  <c r="D69" i="9" s="1"/>
  <c r="E69" i="9" s="1"/>
  <c r="D70" i="9" s="1"/>
  <c r="E70" i="9" s="1"/>
  <c r="D71" i="9" s="1"/>
  <c r="E71" i="9" s="1"/>
  <c r="D72" i="9" s="1"/>
  <c r="E72" i="9" s="1"/>
  <c r="D73" i="9" s="1"/>
  <c r="E73" i="9" s="1"/>
  <c r="D74" i="9" s="1"/>
  <c r="E74" i="9" s="1"/>
  <c r="D75" i="9" s="1"/>
  <c r="E75" i="9" s="1"/>
  <c r="D76" i="9" s="1"/>
  <c r="E76" i="9" s="1"/>
  <c r="D77" i="9" s="1"/>
  <c r="E77" i="9" s="1"/>
  <c r="D78" i="9" s="1"/>
  <c r="E78" i="9" s="1"/>
  <c r="D79" i="9" s="1"/>
  <c r="E79" i="9" s="1"/>
  <c r="D80" i="9" s="1"/>
  <c r="E80" i="9" s="1"/>
  <c r="D81" i="9" s="1"/>
  <c r="E81" i="9" s="1"/>
  <c r="D82" i="9" s="1"/>
  <c r="E82" i="9" s="1"/>
  <c r="D83" i="9" s="1"/>
  <c r="E83" i="9" s="1"/>
  <c r="D84" i="9" s="1"/>
  <c r="E84" i="9" s="1"/>
  <c r="D85" i="9" s="1"/>
  <c r="E85" i="9" s="1"/>
  <c r="D86" i="9" s="1"/>
  <c r="E86" i="9" s="1"/>
  <c r="D87" i="9" s="1"/>
  <c r="E87" i="9" s="1"/>
  <c r="D88" i="9" s="1"/>
  <c r="E88" i="9" s="1"/>
  <c r="D89" i="9" s="1"/>
  <c r="E89" i="9" s="1"/>
  <c r="D90" i="9" s="1"/>
  <c r="E90" i="9" s="1"/>
  <c r="D91" i="9" s="1"/>
  <c r="E91" i="9" s="1"/>
  <c r="D92" i="9" s="1"/>
  <c r="E92" i="9" s="1"/>
  <c r="D93" i="9" s="1"/>
  <c r="E93" i="9" s="1"/>
  <c r="D94" i="9" s="1"/>
  <c r="E94" i="9" s="1"/>
  <c r="D95" i="9" s="1"/>
  <c r="E95" i="9" s="1"/>
  <c r="D96" i="9" s="1"/>
  <c r="E96" i="9" s="1"/>
  <c r="D97" i="9" s="1"/>
  <c r="E97" i="9" s="1"/>
  <c r="D98" i="9" s="1"/>
  <c r="E98" i="9" s="1"/>
  <c r="D99" i="9" s="1"/>
  <c r="E99" i="9" s="1"/>
  <c r="D100" i="9" s="1"/>
  <c r="E100" i="9" s="1"/>
  <c r="D101" i="9" s="1"/>
  <c r="E101" i="9" s="1"/>
  <c r="D102" i="9" s="1"/>
  <c r="E102" i="9" s="1"/>
  <c r="D103" i="9" s="1"/>
  <c r="E103" i="9" s="1"/>
  <c r="D104" i="9" s="1"/>
  <c r="E104" i="9" s="1"/>
  <c r="D105" i="9" s="1"/>
  <c r="E105" i="9" s="1"/>
  <c r="D106" i="9" s="1"/>
  <c r="E106" i="9" s="1"/>
  <c r="D107" i="9" s="1"/>
  <c r="E107" i="9" s="1"/>
  <c r="D108" i="9" s="1"/>
  <c r="E108" i="9" s="1"/>
  <c r="D109" i="9" s="1"/>
  <c r="E109" i="9" s="1"/>
  <c r="D110" i="9" s="1"/>
  <c r="E110" i="9" s="1"/>
  <c r="D111" i="9" s="1"/>
  <c r="E111" i="9" s="1"/>
  <c r="D112" i="9" s="1"/>
  <c r="E112" i="9" s="1"/>
  <c r="D113" i="9" s="1"/>
  <c r="E113" i="9" s="1"/>
  <c r="D114" i="9" s="1"/>
  <c r="E114" i="9" s="1"/>
  <c r="D115" i="9" s="1"/>
  <c r="E115" i="9" s="1"/>
  <c r="D116" i="9" s="1"/>
  <c r="E116" i="9" s="1"/>
  <c r="D117" i="9" s="1"/>
  <c r="E117" i="9" s="1"/>
  <c r="D118" i="9" s="1"/>
  <c r="E118" i="9" s="1"/>
  <c r="D119" i="9" s="1"/>
  <c r="E119" i="9" s="1"/>
  <c r="D120" i="9" s="1"/>
  <c r="E120" i="9" s="1"/>
  <c r="D121" i="9" s="1"/>
  <c r="E121" i="9" s="1"/>
  <c r="D122" i="9" s="1"/>
  <c r="E122" i="9" s="1"/>
  <c r="D123" i="9" s="1"/>
  <c r="E123" i="9" s="1"/>
  <c r="D124" i="9" s="1"/>
  <c r="E124" i="9" s="1"/>
  <c r="D125" i="9" s="1"/>
  <c r="E125" i="9" s="1"/>
  <c r="D126" i="9" s="1"/>
  <c r="E126" i="9" s="1"/>
  <c r="D127" i="9" s="1"/>
  <c r="E127" i="9" s="1"/>
  <c r="D128" i="9" s="1"/>
  <c r="E128" i="9" s="1"/>
  <c r="D129" i="9" s="1"/>
  <c r="E129" i="9" s="1"/>
  <c r="D130" i="9" s="1"/>
  <c r="E130" i="9" s="1"/>
  <c r="D131" i="9" s="1"/>
  <c r="E131" i="9" s="1"/>
  <c r="D132" i="9" s="1"/>
  <c r="E132" i="9" s="1"/>
  <c r="D133" i="9" s="1"/>
  <c r="E133" i="9" s="1"/>
  <c r="D134" i="9" s="1"/>
  <c r="E134" i="9" s="1"/>
  <c r="D135" i="9" s="1"/>
  <c r="E135" i="9" s="1"/>
  <c r="D136" i="9" s="1"/>
  <c r="E136" i="9" s="1"/>
  <c r="D137" i="9" s="1"/>
  <c r="E137" i="9" s="1"/>
  <c r="D138" i="9" s="1"/>
  <c r="E138" i="9" s="1"/>
  <c r="D139" i="9" s="1"/>
  <c r="E139" i="9" s="1"/>
  <c r="D140" i="9" s="1"/>
  <c r="E140" i="9" s="1"/>
  <c r="D141" i="9" s="1"/>
  <c r="E141" i="9" s="1"/>
  <c r="D142" i="9" s="1"/>
  <c r="E142" i="9" s="1"/>
  <c r="D143" i="9" s="1"/>
  <c r="E143" i="9" s="1"/>
  <c r="D144" i="9" s="1"/>
  <c r="E144" i="9" s="1"/>
  <c r="D145" i="9" s="1"/>
  <c r="E145" i="9" s="1"/>
  <c r="D146" i="9" s="1"/>
  <c r="E146" i="9" s="1"/>
  <c r="D147" i="9" s="1"/>
  <c r="E147" i="9" s="1"/>
  <c r="D148" i="9" s="1"/>
  <c r="E148" i="9" s="1"/>
  <c r="D149" i="9" s="1"/>
  <c r="E149" i="9" s="1"/>
  <c r="D150" i="9" s="1"/>
  <c r="E150" i="9" s="1"/>
  <c r="D151" i="9" s="1"/>
  <c r="E151" i="9" s="1"/>
  <c r="D152" i="9" s="1"/>
  <c r="E152" i="9" s="1"/>
  <c r="D153" i="9" s="1"/>
  <c r="E153" i="9" s="1"/>
  <c r="D154" i="9" s="1"/>
  <c r="E154" i="9" s="1"/>
  <c r="D155" i="9" s="1"/>
  <c r="E155" i="9" s="1"/>
  <c r="D156" i="9" s="1"/>
  <c r="E156" i="9" s="1"/>
  <c r="D157" i="9" s="1"/>
  <c r="E157" i="9" s="1"/>
  <c r="D158" i="9" s="1"/>
  <c r="E158" i="9" s="1"/>
  <c r="D159" i="9" s="1"/>
  <c r="E159" i="9" s="1"/>
  <c r="D160" i="9" s="1"/>
  <c r="E160" i="9" s="1"/>
  <c r="D161" i="9" s="1"/>
  <c r="E161" i="9" s="1"/>
  <c r="D162" i="9" s="1"/>
  <c r="E162" i="9" s="1"/>
  <c r="D163" i="9" s="1"/>
  <c r="E163" i="9" s="1"/>
  <c r="D164" i="9" s="1"/>
  <c r="E164" i="9" s="1"/>
  <c r="D165" i="9" s="1"/>
  <c r="E165" i="9" s="1"/>
  <c r="D166" i="9" s="1"/>
  <c r="E166" i="9" s="1"/>
  <c r="D167" i="9" s="1"/>
  <c r="E167" i="9" s="1"/>
  <c r="D168" i="9" s="1"/>
  <c r="E168" i="9" s="1"/>
  <c r="D169" i="9" s="1"/>
  <c r="E169" i="9" s="1"/>
  <c r="D170" i="9" s="1"/>
  <c r="E170" i="9" s="1"/>
  <c r="D171" i="9" s="1"/>
  <c r="E171" i="9" s="1"/>
  <c r="D172" i="9" s="1"/>
  <c r="E172" i="9" s="1"/>
  <c r="D173" i="9" s="1"/>
  <c r="E173" i="9" s="1"/>
  <c r="D174" i="9" s="1"/>
  <c r="E174" i="9" s="1"/>
  <c r="D175" i="9" s="1"/>
  <c r="E175" i="9" s="1"/>
  <c r="D176" i="9" s="1"/>
  <c r="E176" i="9" s="1"/>
  <c r="D177" i="9" s="1"/>
  <c r="E177" i="9" s="1"/>
  <c r="D178" i="9" s="1"/>
  <c r="E178" i="9" s="1"/>
  <c r="D179" i="9" s="1"/>
  <c r="E179" i="9" s="1"/>
  <c r="D180" i="9" s="1"/>
  <c r="E180" i="9" s="1"/>
  <c r="D181" i="9" s="1"/>
  <c r="E181" i="9" s="1"/>
  <c r="D182" i="9" s="1"/>
  <c r="E182" i="9" s="1"/>
  <c r="D183" i="9" s="1"/>
  <c r="E183" i="9" s="1"/>
  <c r="D184" i="9" s="1"/>
  <c r="E184" i="9" s="1"/>
  <c r="D185" i="9" s="1"/>
  <c r="E185" i="9" s="1"/>
  <c r="D186" i="9" s="1"/>
  <c r="E186" i="9" s="1"/>
  <c r="D187" i="9" s="1"/>
  <c r="E187" i="9" s="1"/>
  <c r="D188" i="9" s="1"/>
  <c r="E188" i="9" s="1"/>
  <c r="D189" i="9" s="1"/>
  <c r="E189" i="9" s="1"/>
  <c r="D190" i="9" s="1"/>
  <c r="E190" i="9" s="1"/>
  <c r="D191" i="9" s="1"/>
  <c r="E191" i="9" s="1"/>
  <c r="D192" i="9" s="1"/>
  <c r="E192" i="9" s="1"/>
  <c r="D193" i="9" s="1"/>
  <c r="E193" i="9" s="1"/>
  <c r="D194" i="9" s="1"/>
  <c r="E194" i="9" s="1"/>
  <c r="D195" i="9" s="1"/>
  <c r="E195" i="9" s="1"/>
  <c r="D196" i="9" s="1"/>
  <c r="E196" i="9" s="1"/>
  <c r="D197" i="9" s="1"/>
  <c r="E197" i="9" s="1"/>
  <c r="D198" i="9" s="1"/>
  <c r="E198" i="9" s="1"/>
  <c r="D199" i="9" s="1"/>
  <c r="E199" i="9" s="1"/>
  <c r="D200" i="9" s="1"/>
  <c r="E200" i="9" s="1"/>
  <c r="D201" i="9" s="1"/>
  <c r="E201" i="9" s="1"/>
  <c r="D202" i="9" s="1"/>
  <c r="E202" i="9" s="1"/>
  <c r="D203" i="9" s="1"/>
  <c r="E203" i="9" s="1"/>
  <c r="D204" i="9" s="1"/>
  <c r="E204" i="9" s="1"/>
  <c r="D205" i="9" s="1"/>
  <c r="E205" i="9" s="1"/>
  <c r="D206" i="9" s="1"/>
  <c r="E206" i="9" s="1"/>
  <c r="D207" i="9" s="1"/>
  <c r="E207" i="9" s="1"/>
  <c r="D208" i="9" s="1"/>
  <c r="E208" i="9" s="1"/>
  <c r="D209" i="9" s="1"/>
  <c r="E209" i="9" s="1"/>
  <c r="D210" i="9" s="1"/>
  <c r="E210" i="9" s="1"/>
  <c r="D211" i="9" s="1"/>
  <c r="E211" i="9" s="1"/>
  <c r="D212" i="9" s="1"/>
  <c r="E212" i="9" s="1"/>
  <c r="D213" i="9" s="1"/>
  <c r="E213" i="9" s="1"/>
  <c r="D214" i="9" s="1"/>
  <c r="E214" i="9" s="1"/>
  <c r="D215" i="9" s="1"/>
  <c r="E215" i="9" s="1"/>
  <c r="D216" i="9" s="1"/>
  <c r="E216" i="9" s="1"/>
  <c r="D217" i="9" s="1"/>
  <c r="E217" i="9" s="1"/>
  <c r="D218" i="9" s="1"/>
  <c r="E218" i="9" s="1"/>
  <c r="D219" i="9" s="1"/>
  <c r="E219" i="9" s="1"/>
  <c r="D220" i="9" s="1"/>
  <c r="E220" i="9" s="1"/>
  <c r="D221" i="9" s="1"/>
  <c r="E221" i="9" s="1"/>
  <c r="D222" i="9" s="1"/>
  <c r="E222" i="9" s="1"/>
  <c r="D223" i="9" s="1"/>
  <c r="E223" i="9" s="1"/>
  <c r="D224" i="9" s="1"/>
  <c r="E224" i="9" s="1"/>
  <c r="D225" i="9" s="1"/>
  <c r="E225" i="9" s="1"/>
  <c r="D226" i="9" s="1"/>
  <c r="E226" i="9" s="1"/>
  <c r="D227" i="9" s="1"/>
  <c r="E227" i="9" s="1"/>
  <c r="D228" i="9" s="1"/>
  <c r="E228" i="9" s="1"/>
  <c r="D229" i="9" s="1"/>
  <c r="E229" i="9" s="1"/>
  <c r="D230" i="9" s="1"/>
  <c r="E230" i="9" s="1"/>
  <c r="D231" i="9" s="1"/>
  <c r="E231" i="9" s="1"/>
  <c r="D232" i="9" s="1"/>
  <c r="E232" i="9" s="1"/>
  <c r="D233" i="9" s="1"/>
  <c r="E233" i="9" s="1"/>
  <c r="D234" i="9" s="1"/>
  <c r="E234" i="9" s="1"/>
  <c r="D235" i="9" s="1"/>
  <c r="E235" i="9" s="1"/>
  <c r="D236" i="9" s="1"/>
  <c r="E236" i="9" s="1"/>
  <c r="D237" i="9" s="1"/>
  <c r="E237" i="9" s="1"/>
  <c r="D238" i="9" s="1"/>
  <c r="E238" i="9" s="1"/>
  <c r="D239" i="9" s="1"/>
  <c r="E239" i="9" s="1"/>
  <c r="D240" i="9" s="1"/>
  <c r="E240" i="9" s="1"/>
  <c r="D241" i="9" s="1"/>
  <c r="E241" i="9" s="1"/>
  <c r="D242" i="9" s="1"/>
  <c r="E242" i="9" s="1"/>
  <c r="D243" i="9" s="1"/>
  <c r="E243" i="9" s="1"/>
  <c r="D244" i="9" s="1"/>
  <c r="E244" i="9" s="1"/>
  <c r="D245" i="9" s="1"/>
  <c r="E245" i="9" s="1"/>
  <c r="D246" i="9" s="1"/>
  <c r="E246" i="9" s="1"/>
  <c r="D247" i="9" s="1"/>
  <c r="E247" i="9" s="1"/>
  <c r="D248" i="9" s="1"/>
  <c r="E248" i="9" s="1"/>
  <c r="D249" i="9" s="1"/>
  <c r="E249" i="9" s="1"/>
  <c r="D250" i="9" s="1"/>
  <c r="E250" i="9" s="1"/>
  <c r="D251" i="9" s="1"/>
  <c r="E251" i="9" s="1"/>
  <c r="D252" i="9" s="1"/>
  <c r="E252" i="9" s="1"/>
  <c r="D253" i="9" s="1"/>
  <c r="E253" i="9" s="1"/>
  <c r="D254" i="9" s="1"/>
  <c r="E254" i="9" s="1"/>
  <c r="D255" i="9" s="1"/>
  <c r="E255" i="9" s="1"/>
  <c r="D256" i="9" s="1"/>
  <c r="E256" i="9" s="1"/>
  <c r="D257" i="9" s="1"/>
  <c r="E257" i="9" s="1"/>
  <c r="D258" i="9" s="1"/>
  <c r="E258" i="9" s="1"/>
  <c r="D259" i="9" s="1"/>
  <c r="E259" i="9" s="1"/>
  <c r="D260" i="9" s="1"/>
  <c r="E260" i="9" s="1"/>
  <c r="D261" i="9" s="1"/>
  <c r="E261" i="9" s="1"/>
  <c r="D262" i="9" s="1"/>
  <c r="E262" i="9" s="1"/>
  <c r="D263" i="9" s="1"/>
  <c r="E263" i="9" s="1"/>
  <c r="D264" i="9" s="1"/>
  <c r="E264" i="9" s="1"/>
  <c r="D265" i="9" s="1"/>
  <c r="E265" i="9" s="1"/>
  <c r="D266" i="9" s="1"/>
  <c r="E266" i="9" s="1"/>
  <c r="D267" i="9" s="1"/>
  <c r="E267" i="9" s="1"/>
  <c r="D268" i="9" s="1"/>
  <c r="E268" i="9" s="1"/>
  <c r="D269" i="9" s="1"/>
  <c r="E269" i="9" s="1"/>
  <c r="D270" i="9" s="1"/>
  <c r="E270" i="9" s="1"/>
  <c r="D271" i="9" s="1"/>
  <c r="E271" i="9" s="1"/>
  <c r="D272" i="9" s="1"/>
  <c r="E272" i="9" s="1"/>
  <c r="D273" i="9" s="1"/>
  <c r="E273" i="9" s="1"/>
  <c r="D274" i="9" s="1"/>
  <c r="E274" i="9" s="1"/>
  <c r="D275" i="9" s="1"/>
  <c r="E275" i="9" s="1"/>
  <c r="D276" i="9" s="1"/>
  <c r="E276" i="9" s="1"/>
  <c r="D277" i="9" s="1"/>
  <c r="E277" i="9" s="1"/>
  <c r="D278" i="9" s="1"/>
  <c r="E278" i="9" s="1"/>
  <c r="D279" i="9" s="1"/>
  <c r="E279" i="9" s="1"/>
  <c r="D280" i="9" s="1"/>
  <c r="E280" i="9" s="1"/>
  <c r="D281" i="9" s="1"/>
  <c r="E281" i="9" s="1"/>
  <c r="D282" i="9" s="1"/>
  <c r="E282" i="9" s="1"/>
  <c r="D283" i="9" s="1"/>
  <c r="E283" i="9" s="1"/>
  <c r="D284" i="9" s="1"/>
  <c r="E284" i="9" s="1"/>
  <c r="D285" i="9" s="1"/>
  <c r="E285" i="9" s="1"/>
  <c r="D286" i="9" s="1"/>
  <c r="E286" i="9" s="1"/>
  <c r="D287" i="9" s="1"/>
  <c r="E287" i="9" s="1"/>
  <c r="D288" i="9" s="1"/>
  <c r="E288" i="9" s="1"/>
  <c r="D289" i="9" s="1"/>
  <c r="E289" i="9" s="1"/>
  <c r="D290" i="9" s="1"/>
  <c r="E290" i="9" s="1"/>
  <c r="D291" i="9" s="1"/>
  <c r="E291" i="9" s="1"/>
  <c r="D292" i="9" s="1"/>
  <c r="E292" i="9" s="1"/>
  <c r="D293" i="9" s="1"/>
  <c r="E293" i="9" s="1"/>
  <c r="D294" i="9" s="1"/>
  <c r="E294" i="9" s="1"/>
  <c r="D295" i="9" s="1"/>
  <c r="E295" i="9" s="1"/>
  <c r="D296" i="9" s="1"/>
  <c r="E296" i="9" s="1"/>
  <c r="D297" i="9" s="1"/>
  <c r="E297" i="9" s="1"/>
  <c r="D298" i="9" s="1"/>
  <c r="E298" i="9" s="1"/>
  <c r="D299" i="9" s="1"/>
  <c r="E299" i="9" s="1"/>
  <c r="D300" i="9" s="1"/>
  <c r="E300" i="9" s="1"/>
  <c r="D301" i="9" s="1"/>
  <c r="E301" i="9" s="1"/>
  <c r="D302" i="9" s="1"/>
  <c r="E302" i="9" s="1"/>
  <c r="D303" i="9" s="1"/>
  <c r="E303" i="9" s="1"/>
  <c r="D304" i="9" s="1"/>
  <c r="E304" i="9" s="1"/>
  <c r="D305" i="9" s="1"/>
  <c r="E305" i="9" s="1"/>
  <c r="D306" i="9" s="1"/>
  <c r="E306" i="9" s="1"/>
  <c r="D307" i="9" s="1"/>
  <c r="E307" i="9" s="1"/>
  <c r="D308" i="9" s="1"/>
  <c r="E308" i="9" s="1"/>
  <c r="D309" i="9" s="1"/>
  <c r="E309" i="9" s="1"/>
  <c r="D310" i="9" s="1"/>
  <c r="E310" i="9" s="1"/>
  <c r="D311" i="9" s="1"/>
  <c r="E311" i="9" s="1"/>
  <c r="D312" i="9" s="1"/>
  <c r="E312" i="9" s="1"/>
  <c r="D313" i="9" s="1"/>
  <c r="E313" i="9" s="1"/>
  <c r="D314" i="9" s="1"/>
  <c r="E314" i="9" s="1"/>
  <c r="D315" i="9" s="1"/>
  <c r="E315" i="9" s="1"/>
  <c r="D316" i="9" s="1"/>
  <c r="E316" i="9" s="1"/>
  <c r="D317" i="9" s="1"/>
  <c r="E317" i="9" s="1"/>
  <c r="D318" i="9" s="1"/>
  <c r="E318" i="9" s="1"/>
  <c r="D319" i="9" s="1"/>
  <c r="E319" i="9" s="1"/>
  <c r="D320" i="9" s="1"/>
  <c r="E320" i="9" s="1"/>
  <c r="D321" i="9" s="1"/>
  <c r="E321" i="9" s="1"/>
  <c r="C14" i="9" a="1"/>
  <c r="C14" i="9" s="1"/>
  <c r="B14" i="9"/>
  <c r="A14" i="9"/>
  <c r="R13" i="9"/>
  <c r="N13" i="9"/>
  <c r="J13" i="9"/>
  <c r="C13" i="9"/>
  <c r="B13" i="9"/>
  <c r="C13" i="9" s="1" a="1"/>
  <c r="A13" i="9"/>
  <c r="R12" i="9"/>
  <c r="N12" i="9"/>
  <c r="J12" i="9"/>
  <c r="B12" i="9"/>
  <c r="C12" i="9" s="1" a="1"/>
  <c r="C12" i="9" s="1"/>
  <c r="A12" i="9"/>
  <c r="R11" i="9"/>
  <c r="N11" i="9"/>
  <c r="J11" i="9"/>
  <c r="C11" i="9" a="1"/>
  <c r="C11" i="9" s="1"/>
  <c r="B11" i="9"/>
  <c r="A11" i="9"/>
  <c r="R10" i="9"/>
  <c r="N10" i="9"/>
  <c r="J10" i="9"/>
  <c r="E10" i="9"/>
  <c r="D11" i="9" s="1"/>
  <c r="E11" i="9" s="1"/>
  <c r="D12" i="9" s="1"/>
  <c r="E12" i="9" s="1"/>
  <c r="D13" i="9" s="1"/>
  <c r="E13" i="9" s="1"/>
  <c r="D10" i="9"/>
  <c r="C10" i="9" a="1"/>
  <c r="C10" i="9" s="1"/>
  <c r="B10" i="9"/>
  <c r="A10" i="9"/>
  <c r="R9" i="9"/>
  <c r="N9" i="9"/>
  <c r="J9" i="9"/>
  <c r="E9" i="9"/>
  <c r="B9" i="9"/>
  <c r="C9" i="9" s="1" a="1"/>
  <c r="C9" i="9" s="1"/>
  <c r="A9" i="9"/>
  <c r="E1" i="9"/>
  <c r="D1" i="9" s="1"/>
  <c r="X318" i="8"/>
  <c r="W318" i="8"/>
  <c r="V318" i="8"/>
  <c r="U318" i="8"/>
  <c r="T318" i="8"/>
  <c r="P318" i="8"/>
  <c r="O318" i="8"/>
  <c r="K318" i="8"/>
  <c r="G318" i="8"/>
  <c r="Q318" i="8" s="1"/>
  <c r="B318" i="8"/>
  <c r="C318" i="8" s="1" a="1"/>
  <c r="C318" i="8" s="1"/>
  <c r="A318" i="8"/>
  <c r="X317" i="8"/>
  <c r="W317" i="8"/>
  <c r="V317" i="8"/>
  <c r="U317" i="8"/>
  <c r="R317" i="8"/>
  <c r="K317" i="8"/>
  <c r="U316" i="8" s="1"/>
  <c r="G317" i="8"/>
  <c r="C317" i="8" a="1"/>
  <c r="C317" i="8" s="1"/>
  <c r="B317" i="8"/>
  <c r="A317" i="8"/>
  <c r="X316" i="8"/>
  <c r="W316" i="8"/>
  <c r="V316" i="8"/>
  <c r="R316" i="8"/>
  <c r="Q316" i="8"/>
  <c r="P316" i="8"/>
  <c r="O316" i="8"/>
  <c r="K316" i="8"/>
  <c r="T316" i="8" s="1"/>
  <c r="G316" i="8"/>
  <c r="C316" i="8" a="1"/>
  <c r="C316" i="8" s="1"/>
  <c r="B316" i="8"/>
  <c r="A316" i="8"/>
  <c r="X315" i="8"/>
  <c r="W315" i="8"/>
  <c r="V315" i="8"/>
  <c r="T315" i="8"/>
  <c r="Q315" i="8"/>
  <c r="P315" i="8"/>
  <c r="O315" i="8"/>
  <c r="K315" i="8"/>
  <c r="G315" i="8"/>
  <c r="C315" i="8"/>
  <c r="B315" i="8"/>
  <c r="C315" i="8" s="1" a="1"/>
  <c r="A315" i="8"/>
  <c r="Y314" i="8"/>
  <c r="X314" i="8"/>
  <c r="W314" i="8"/>
  <c r="V314" i="8"/>
  <c r="T314" i="8"/>
  <c r="S314" i="8"/>
  <c r="O314" i="8"/>
  <c r="K314" i="8"/>
  <c r="G314" i="8"/>
  <c r="C314" i="8" a="1"/>
  <c r="C314" i="8" s="1"/>
  <c r="B314" i="8"/>
  <c r="A314" i="8"/>
  <c r="Y313" i="8"/>
  <c r="X313" i="8"/>
  <c r="W313" i="8"/>
  <c r="V313" i="8"/>
  <c r="T313" i="8"/>
  <c r="S313" i="8"/>
  <c r="R313" i="8"/>
  <c r="K313" i="8"/>
  <c r="G313" i="8"/>
  <c r="C313" i="8" a="1"/>
  <c r="C313" i="8" s="1"/>
  <c r="B313" i="8"/>
  <c r="A313" i="8"/>
  <c r="Y312" i="8"/>
  <c r="X312" i="8"/>
  <c r="W312" i="8"/>
  <c r="V312" i="8"/>
  <c r="U312" i="8"/>
  <c r="T312" i="8"/>
  <c r="R312" i="8"/>
  <c r="Q312" i="8"/>
  <c r="P312" i="8"/>
  <c r="O312" i="8"/>
  <c r="K312" i="8"/>
  <c r="S312" i="8" s="1"/>
  <c r="G312" i="8"/>
  <c r="C312" i="8" a="1"/>
  <c r="C312" i="8" s="1"/>
  <c r="B312" i="8"/>
  <c r="A312" i="8"/>
  <c r="X311" i="8"/>
  <c r="W311" i="8"/>
  <c r="V311" i="8"/>
  <c r="U311" i="8"/>
  <c r="P311" i="8"/>
  <c r="K311" i="8"/>
  <c r="G311" i="8"/>
  <c r="Q311" i="8" s="1"/>
  <c r="B311" i="8"/>
  <c r="C311" i="8" s="1" a="1"/>
  <c r="C311" i="8" s="1"/>
  <c r="A311" i="8"/>
  <c r="Y310" i="8"/>
  <c r="X310" i="8"/>
  <c r="W310" i="8"/>
  <c r="V310" i="8"/>
  <c r="U310" i="8"/>
  <c r="T310" i="8"/>
  <c r="S310" i="8"/>
  <c r="R310" i="8"/>
  <c r="P310" i="8"/>
  <c r="K310" i="8"/>
  <c r="G310" i="8"/>
  <c r="O310" i="8" s="1"/>
  <c r="C310" i="8" a="1"/>
  <c r="C310" i="8" s="1"/>
  <c r="B310" i="8"/>
  <c r="A310" i="8"/>
  <c r="Y309" i="8"/>
  <c r="X309" i="8"/>
  <c r="W309" i="8"/>
  <c r="V309" i="8"/>
  <c r="U309" i="8"/>
  <c r="S309" i="8"/>
  <c r="R309" i="8"/>
  <c r="Q309" i="8"/>
  <c r="P309" i="8"/>
  <c r="O309" i="8"/>
  <c r="K309" i="8"/>
  <c r="T309" i="8" s="1"/>
  <c r="G309" i="8"/>
  <c r="C309" i="8" a="1"/>
  <c r="C309" i="8" s="1"/>
  <c r="B309" i="8"/>
  <c r="A309" i="8"/>
  <c r="X308" i="8"/>
  <c r="W308" i="8"/>
  <c r="V308" i="8"/>
  <c r="U308" i="8"/>
  <c r="Q308" i="8"/>
  <c r="P308" i="8"/>
  <c r="O308" i="8"/>
  <c r="K308" i="8"/>
  <c r="G308" i="8"/>
  <c r="C308" i="8" a="1"/>
  <c r="C308" i="8"/>
  <c r="B308" i="8"/>
  <c r="A308" i="8"/>
  <c r="X307" i="8"/>
  <c r="W307" i="8"/>
  <c r="V307" i="8"/>
  <c r="T307" i="8"/>
  <c r="S307" i="8"/>
  <c r="R307" i="8"/>
  <c r="K307" i="8"/>
  <c r="G307" i="8"/>
  <c r="B307" i="8"/>
  <c r="C307" i="8" s="1" a="1"/>
  <c r="C307" i="8" s="1"/>
  <c r="A307" i="8"/>
  <c r="Y306" i="8"/>
  <c r="X306" i="8"/>
  <c r="W306" i="8"/>
  <c r="V306" i="8"/>
  <c r="T306" i="8"/>
  <c r="S306" i="8"/>
  <c r="R306" i="8"/>
  <c r="Q306" i="8"/>
  <c r="K306" i="8"/>
  <c r="G306" i="8"/>
  <c r="B306" i="8"/>
  <c r="C306" i="8" s="1" a="1"/>
  <c r="C306" i="8" s="1"/>
  <c r="A306" i="8"/>
  <c r="Y305" i="8"/>
  <c r="X305" i="8"/>
  <c r="W305" i="8"/>
  <c r="V305" i="8"/>
  <c r="U305" i="8"/>
  <c r="O305" i="8"/>
  <c r="K305" i="8"/>
  <c r="G305" i="8"/>
  <c r="Q305" i="8" s="1"/>
  <c r="B305" i="8"/>
  <c r="C305" i="8" s="1" a="1"/>
  <c r="C305" i="8" s="1"/>
  <c r="A305" i="8"/>
  <c r="X304" i="8"/>
  <c r="W304" i="8"/>
  <c r="V304" i="8"/>
  <c r="R304" i="8"/>
  <c r="P304" i="8"/>
  <c r="K304" i="8"/>
  <c r="Y304" i="8" s="1"/>
  <c r="G304" i="8"/>
  <c r="B304" i="8"/>
  <c r="C304" i="8" s="1" a="1"/>
  <c r="C304" i="8" s="1"/>
  <c r="A304" i="8"/>
  <c r="Y303" i="8"/>
  <c r="X303" i="8"/>
  <c r="W303" i="8"/>
  <c r="V303" i="8"/>
  <c r="S303" i="8"/>
  <c r="R303" i="8"/>
  <c r="K303" i="8"/>
  <c r="U302" i="8" s="1"/>
  <c r="G303" i="8"/>
  <c r="C303" i="8" a="1"/>
  <c r="C303" i="8" s="1"/>
  <c r="B303" i="8"/>
  <c r="A303" i="8"/>
  <c r="Y302" i="8"/>
  <c r="X302" i="8"/>
  <c r="W302" i="8"/>
  <c r="V302" i="8"/>
  <c r="S302" i="8"/>
  <c r="R302" i="8"/>
  <c r="Q302" i="8"/>
  <c r="P302" i="8"/>
  <c r="O302" i="8"/>
  <c r="K302" i="8"/>
  <c r="T302" i="8" s="1"/>
  <c r="G302" i="8"/>
  <c r="C302" i="8" a="1"/>
  <c r="C302" i="8" s="1"/>
  <c r="B302" i="8"/>
  <c r="A302" i="8"/>
  <c r="X301" i="8"/>
  <c r="W301" i="8"/>
  <c r="V301" i="8"/>
  <c r="U301" i="8"/>
  <c r="S301" i="8"/>
  <c r="Q301" i="8"/>
  <c r="P301" i="8"/>
  <c r="O301" i="8"/>
  <c r="K301" i="8"/>
  <c r="T301" i="8" s="1"/>
  <c r="G301" i="8"/>
  <c r="C301" i="8" a="1"/>
  <c r="C301" i="8" s="1"/>
  <c r="B301" i="8"/>
  <c r="A301" i="8"/>
  <c r="Y300" i="8"/>
  <c r="X300" i="8"/>
  <c r="W300" i="8"/>
  <c r="V300" i="8"/>
  <c r="U300" i="8"/>
  <c r="S300" i="8"/>
  <c r="K300" i="8"/>
  <c r="T300" i="8" s="1"/>
  <c r="G300" i="8"/>
  <c r="C300" i="8" a="1"/>
  <c r="C300" i="8" s="1"/>
  <c r="B300" i="8"/>
  <c r="A300" i="8"/>
  <c r="Y299" i="8"/>
  <c r="X299" i="8"/>
  <c r="W299" i="8"/>
  <c r="V299" i="8"/>
  <c r="T299" i="8"/>
  <c r="S299" i="8"/>
  <c r="R299" i="8"/>
  <c r="Q299" i="8"/>
  <c r="P299" i="8"/>
  <c r="O299" i="8"/>
  <c r="K299" i="8"/>
  <c r="G299" i="8"/>
  <c r="C299" i="8" a="1"/>
  <c r="C299" i="8" s="1"/>
  <c r="B299" i="8"/>
  <c r="A299" i="8"/>
  <c r="Y298" i="8"/>
  <c r="X298" i="8"/>
  <c r="W298" i="8"/>
  <c r="V298" i="8"/>
  <c r="U298" i="8"/>
  <c r="T298" i="8"/>
  <c r="R298" i="8"/>
  <c r="Q298" i="8"/>
  <c r="P298" i="8"/>
  <c r="O298" i="8"/>
  <c r="K298" i="8"/>
  <c r="S298" i="8" s="1"/>
  <c r="G298" i="8"/>
  <c r="B298" i="8"/>
  <c r="C298" i="8" s="1" a="1"/>
  <c r="C298" i="8" s="1"/>
  <c r="A298" i="8"/>
  <c r="X297" i="8"/>
  <c r="W297" i="8"/>
  <c r="V297" i="8"/>
  <c r="U297" i="8"/>
  <c r="O297" i="8"/>
  <c r="K297" i="8"/>
  <c r="G297" i="8"/>
  <c r="Q297" i="8" s="1"/>
  <c r="B297" i="8"/>
  <c r="C297" i="8" s="1" a="1"/>
  <c r="C297" i="8" s="1"/>
  <c r="A297" i="8"/>
  <c r="X296" i="8"/>
  <c r="W296" i="8"/>
  <c r="V296" i="8"/>
  <c r="S296" i="8"/>
  <c r="R296" i="8"/>
  <c r="Q296" i="8"/>
  <c r="K296" i="8"/>
  <c r="G296" i="8"/>
  <c r="O296" i="8" s="1"/>
  <c r="C296" i="8" a="1"/>
  <c r="C296" i="8" s="1"/>
  <c r="B296" i="8"/>
  <c r="A296" i="8"/>
  <c r="Y295" i="8"/>
  <c r="X295" i="8"/>
  <c r="W295" i="8"/>
  <c r="V295" i="8"/>
  <c r="U295" i="8"/>
  <c r="S295" i="8"/>
  <c r="R295" i="8"/>
  <c r="Q295" i="8"/>
  <c r="P295" i="8"/>
  <c r="O295" i="8"/>
  <c r="K295" i="8"/>
  <c r="T295" i="8" s="1"/>
  <c r="G295" i="8"/>
  <c r="C295" i="8" a="1"/>
  <c r="C295" i="8" s="1"/>
  <c r="B295" i="8"/>
  <c r="A295" i="8"/>
  <c r="X294" i="8"/>
  <c r="W294" i="8"/>
  <c r="V294" i="8"/>
  <c r="U294" i="8"/>
  <c r="P294" i="8"/>
  <c r="K294" i="8"/>
  <c r="G294" i="8"/>
  <c r="C294" i="8" a="1"/>
  <c r="C294" i="8" s="1"/>
  <c r="B294" i="8"/>
  <c r="A294" i="8"/>
  <c r="X293" i="8"/>
  <c r="W293" i="8"/>
  <c r="V293" i="8"/>
  <c r="U293" i="8"/>
  <c r="S293" i="8"/>
  <c r="Q293" i="8"/>
  <c r="O293" i="8"/>
  <c r="K293" i="8"/>
  <c r="G293" i="8"/>
  <c r="P293" i="8" s="1"/>
  <c r="B293" i="8"/>
  <c r="C293" i="8" s="1" a="1"/>
  <c r="C293" i="8" s="1"/>
  <c r="A293" i="8"/>
  <c r="Y292" i="8"/>
  <c r="X292" i="8"/>
  <c r="W292" i="8"/>
  <c r="V292" i="8"/>
  <c r="T292" i="8"/>
  <c r="S292" i="8"/>
  <c r="R292" i="8"/>
  <c r="K292" i="8"/>
  <c r="G292" i="8"/>
  <c r="C292" i="8"/>
  <c r="B292" i="8"/>
  <c r="C292" i="8" s="1" a="1"/>
  <c r="A292" i="8"/>
  <c r="Y291" i="8"/>
  <c r="X291" i="8"/>
  <c r="W291" i="8"/>
  <c r="V291" i="8"/>
  <c r="U291" i="8"/>
  <c r="R291" i="8"/>
  <c r="Q291" i="8"/>
  <c r="P291" i="8"/>
  <c r="O291" i="8"/>
  <c r="K291" i="8"/>
  <c r="G291" i="8"/>
  <c r="C291" i="8" a="1"/>
  <c r="C291" i="8" s="1"/>
  <c r="B291" i="8"/>
  <c r="A291" i="8"/>
  <c r="X290" i="8"/>
  <c r="W290" i="8"/>
  <c r="V290" i="8"/>
  <c r="U290" i="8"/>
  <c r="S290" i="8"/>
  <c r="K290" i="8"/>
  <c r="G290" i="8"/>
  <c r="C290" i="8"/>
  <c r="B290" i="8"/>
  <c r="C290" i="8" s="1" a="1"/>
  <c r="A290" i="8"/>
  <c r="Y289" i="8"/>
  <c r="X289" i="8"/>
  <c r="W289" i="8"/>
  <c r="V289" i="8"/>
  <c r="T289" i="8"/>
  <c r="S289" i="8"/>
  <c r="R289" i="8"/>
  <c r="K289" i="8"/>
  <c r="U288" i="8" s="1"/>
  <c r="G289" i="8"/>
  <c r="C289" i="8" a="1"/>
  <c r="C289" i="8"/>
  <c r="B289" i="8"/>
  <c r="A289" i="8"/>
  <c r="X288" i="8"/>
  <c r="W288" i="8"/>
  <c r="V288" i="8"/>
  <c r="Q288" i="8"/>
  <c r="P288" i="8"/>
  <c r="O288" i="8"/>
  <c r="K288" i="8"/>
  <c r="T288" i="8" s="1"/>
  <c r="G288" i="8"/>
  <c r="C288" i="8" a="1"/>
  <c r="C288" i="8" s="1"/>
  <c r="B288" i="8"/>
  <c r="A288" i="8"/>
  <c r="X287" i="8"/>
  <c r="W287" i="8"/>
  <c r="V287" i="8"/>
  <c r="T287" i="8"/>
  <c r="S287" i="8"/>
  <c r="Q287" i="8"/>
  <c r="P287" i="8"/>
  <c r="O287" i="8"/>
  <c r="K287" i="8"/>
  <c r="G287" i="8"/>
  <c r="B287" i="8"/>
  <c r="C287" i="8" s="1" a="1"/>
  <c r="C287" i="8" s="1"/>
  <c r="A287" i="8"/>
  <c r="X286" i="8"/>
  <c r="W286" i="8"/>
  <c r="V286" i="8"/>
  <c r="U286" i="8"/>
  <c r="T286" i="8"/>
  <c r="S286" i="8"/>
  <c r="O286" i="8"/>
  <c r="K286" i="8"/>
  <c r="G286" i="8"/>
  <c r="B286" i="8"/>
  <c r="C286" i="8" s="1" a="1"/>
  <c r="C286" i="8" s="1"/>
  <c r="A286" i="8"/>
  <c r="Y285" i="8"/>
  <c r="X285" i="8"/>
  <c r="W285" i="8"/>
  <c r="V285" i="8"/>
  <c r="T285" i="8"/>
  <c r="S285" i="8"/>
  <c r="R285" i="8"/>
  <c r="P285" i="8"/>
  <c r="K285" i="8"/>
  <c r="G285" i="8"/>
  <c r="C285" i="8" a="1"/>
  <c r="C285" i="8" s="1"/>
  <c r="B285" i="8"/>
  <c r="A285" i="8"/>
  <c r="Y284" i="8"/>
  <c r="X284" i="8"/>
  <c r="W284" i="8"/>
  <c r="V284" i="8"/>
  <c r="U284" i="8"/>
  <c r="T284" i="8"/>
  <c r="R284" i="8"/>
  <c r="Q284" i="8"/>
  <c r="P284" i="8"/>
  <c r="O284" i="8"/>
  <c r="K284" i="8"/>
  <c r="S284" i="8" s="1"/>
  <c r="G284" i="8"/>
  <c r="C284" i="8" a="1"/>
  <c r="C284" i="8"/>
  <c r="B284" i="8"/>
  <c r="A284" i="8"/>
  <c r="Y283" i="8"/>
  <c r="X283" i="8"/>
  <c r="W283" i="8"/>
  <c r="V283" i="8"/>
  <c r="U283" i="8"/>
  <c r="T283" i="8"/>
  <c r="P283" i="8"/>
  <c r="O283" i="8"/>
  <c r="K283" i="8"/>
  <c r="G283" i="8"/>
  <c r="Q283" i="8" s="1"/>
  <c r="B283" i="8"/>
  <c r="C283" i="8" s="1" a="1"/>
  <c r="C283" i="8" s="1"/>
  <c r="A283" i="8"/>
  <c r="X282" i="8"/>
  <c r="W282" i="8"/>
  <c r="V282" i="8"/>
  <c r="U282" i="8"/>
  <c r="T282" i="8"/>
  <c r="P282" i="8"/>
  <c r="K282" i="8"/>
  <c r="G282" i="8"/>
  <c r="O282" i="8" s="1"/>
  <c r="C282" i="8" a="1"/>
  <c r="C282" i="8" s="1"/>
  <c r="B282" i="8"/>
  <c r="A282" i="8"/>
  <c r="Y281" i="8"/>
  <c r="X281" i="8"/>
  <c r="W281" i="8"/>
  <c r="V281" i="8"/>
  <c r="S281" i="8"/>
  <c r="R281" i="8"/>
  <c r="Q281" i="8"/>
  <c r="P281" i="8"/>
  <c r="O281" i="8"/>
  <c r="K281" i="8"/>
  <c r="T281" i="8" s="1"/>
  <c r="G281" i="8"/>
  <c r="B281" i="8"/>
  <c r="C281" i="8" s="1" a="1"/>
  <c r="C281" i="8" s="1"/>
  <c r="A281" i="8"/>
  <c r="X280" i="8"/>
  <c r="W280" i="8"/>
  <c r="V280" i="8"/>
  <c r="U280" i="8"/>
  <c r="O280" i="8"/>
  <c r="K280" i="8"/>
  <c r="G280" i="8"/>
  <c r="C280" i="8"/>
  <c r="B280" i="8"/>
  <c r="C280" i="8" s="1" a="1"/>
  <c r="A280" i="8"/>
  <c r="X279" i="8"/>
  <c r="W279" i="8"/>
  <c r="V279" i="8"/>
  <c r="U279" i="8"/>
  <c r="T279" i="8"/>
  <c r="S279" i="8"/>
  <c r="R279" i="8"/>
  <c r="O279" i="8"/>
  <c r="K279" i="8"/>
  <c r="G279" i="8"/>
  <c r="P279" i="8" s="1"/>
  <c r="B279" i="8"/>
  <c r="C279" i="8" s="1" a="1"/>
  <c r="C279" i="8" s="1"/>
  <c r="A279" i="8"/>
  <c r="Y278" i="8"/>
  <c r="X278" i="8"/>
  <c r="W278" i="8"/>
  <c r="V278" i="8"/>
  <c r="T278" i="8"/>
  <c r="S278" i="8"/>
  <c r="R278" i="8"/>
  <c r="Q278" i="8"/>
  <c r="K278" i="8"/>
  <c r="G278" i="8"/>
  <c r="C278" i="8" a="1"/>
  <c r="C278" i="8" s="1"/>
  <c r="B278" i="8"/>
  <c r="A278" i="8"/>
  <c r="X277" i="8"/>
  <c r="W277" i="8"/>
  <c r="V277" i="8"/>
  <c r="U277" i="8"/>
  <c r="Q277" i="8"/>
  <c r="K277" i="8"/>
  <c r="G277" i="8"/>
  <c r="B277" i="8"/>
  <c r="C277" i="8" s="1" a="1"/>
  <c r="C277" i="8" s="1"/>
  <c r="A277" i="8"/>
  <c r="X276" i="8"/>
  <c r="W276" i="8"/>
  <c r="V276" i="8"/>
  <c r="T276" i="8"/>
  <c r="R276" i="8"/>
  <c r="P276" i="8"/>
  <c r="O276" i="8"/>
  <c r="K276" i="8"/>
  <c r="Y276" i="8" s="1"/>
  <c r="G276" i="8"/>
  <c r="Q276" i="8" s="1"/>
  <c r="B276" i="8"/>
  <c r="C276" i="8" s="1" a="1"/>
  <c r="C276" i="8" s="1"/>
  <c r="A276" i="8"/>
  <c r="X275" i="8"/>
  <c r="W275" i="8"/>
  <c r="V275" i="8"/>
  <c r="U275" i="8"/>
  <c r="K275" i="8"/>
  <c r="G275" i="8"/>
  <c r="C275" i="8" a="1"/>
  <c r="C275" i="8"/>
  <c r="B275" i="8"/>
  <c r="A275" i="8"/>
  <c r="Y274" i="8"/>
  <c r="X274" i="8"/>
  <c r="W274" i="8"/>
  <c r="V274" i="8"/>
  <c r="S274" i="8"/>
  <c r="R274" i="8"/>
  <c r="Q274" i="8"/>
  <c r="P274" i="8"/>
  <c r="O274" i="8"/>
  <c r="K274" i="8"/>
  <c r="T274" i="8" s="1"/>
  <c r="G274" i="8"/>
  <c r="C274" i="8" a="1"/>
  <c r="C274" i="8"/>
  <c r="B274" i="8"/>
  <c r="A274" i="8"/>
  <c r="X273" i="8"/>
  <c r="W273" i="8"/>
  <c r="V273" i="8"/>
  <c r="U273" i="8"/>
  <c r="Q273" i="8"/>
  <c r="P273" i="8"/>
  <c r="O273" i="8"/>
  <c r="K273" i="8"/>
  <c r="G273" i="8"/>
  <c r="B273" i="8"/>
  <c r="C273" i="8" s="1" a="1"/>
  <c r="C273" i="8" s="1"/>
  <c r="A273" i="8"/>
  <c r="X272" i="8"/>
  <c r="W272" i="8"/>
  <c r="V272" i="8"/>
  <c r="K272" i="8"/>
  <c r="Y272" i="8" s="1"/>
  <c r="G272" i="8"/>
  <c r="O272" i="8" s="1"/>
  <c r="C272" i="8" a="1"/>
  <c r="C272" i="8" s="1"/>
  <c r="B272" i="8"/>
  <c r="A272" i="8"/>
  <c r="Y271" i="8"/>
  <c r="X271" i="8"/>
  <c r="W271" i="8"/>
  <c r="V271" i="8"/>
  <c r="T271" i="8"/>
  <c r="S271" i="8"/>
  <c r="R271" i="8"/>
  <c r="Q271" i="8"/>
  <c r="P271" i="8"/>
  <c r="O271" i="8"/>
  <c r="K271" i="8"/>
  <c r="G271" i="8"/>
  <c r="C271" i="8" a="1"/>
  <c r="C271" i="8" s="1"/>
  <c r="B271" i="8"/>
  <c r="A271" i="8"/>
  <c r="Y270" i="8"/>
  <c r="X270" i="8"/>
  <c r="W270" i="8"/>
  <c r="V270" i="8"/>
  <c r="U270" i="8"/>
  <c r="T270" i="8"/>
  <c r="R270" i="8"/>
  <c r="Q270" i="8"/>
  <c r="P270" i="8"/>
  <c r="O270" i="8"/>
  <c r="K270" i="8"/>
  <c r="S270" i="8" s="1"/>
  <c r="G270" i="8"/>
  <c r="C270" i="8" a="1"/>
  <c r="C270" i="8" s="1"/>
  <c r="B270" i="8"/>
  <c r="A270" i="8"/>
  <c r="Y269" i="8"/>
  <c r="X269" i="8"/>
  <c r="W269" i="8"/>
  <c r="V269" i="8"/>
  <c r="T269" i="8"/>
  <c r="O269" i="8"/>
  <c r="K269" i="8"/>
  <c r="G269" i="8"/>
  <c r="B269" i="8"/>
  <c r="C269" i="8" s="1" a="1"/>
  <c r="C269" i="8" s="1"/>
  <c r="A269" i="8"/>
  <c r="Y268" i="8"/>
  <c r="X268" i="8"/>
  <c r="W268" i="8"/>
  <c r="V268" i="8"/>
  <c r="U268" i="8"/>
  <c r="S268" i="8"/>
  <c r="R268" i="8"/>
  <c r="Q268" i="8"/>
  <c r="P268" i="8"/>
  <c r="K268" i="8"/>
  <c r="T268" i="8" s="1"/>
  <c r="G268" i="8"/>
  <c r="O268" i="8" s="1"/>
  <c r="C268" i="8" a="1"/>
  <c r="C268" i="8" s="1"/>
  <c r="B268" i="8"/>
  <c r="A268" i="8"/>
  <c r="Y267" i="8"/>
  <c r="X267" i="8"/>
  <c r="W267" i="8"/>
  <c r="V267" i="8"/>
  <c r="U267" i="8"/>
  <c r="S267" i="8"/>
  <c r="R267" i="8"/>
  <c r="Q267" i="8"/>
  <c r="P267" i="8"/>
  <c r="O267" i="8"/>
  <c r="K267" i="8"/>
  <c r="T267" i="8" s="1"/>
  <c r="G267" i="8"/>
  <c r="C267" i="8" a="1"/>
  <c r="C267" i="8"/>
  <c r="B267" i="8"/>
  <c r="A267" i="8"/>
  <c r="X266" i="8"/>
  <c r="W266" i="8"/>
  <c r="V266" i="8"/>
  <c r="P266" i="8"/>
  <c r="O266" i="8"/>
  <c r="K266" i="8"/>
  <c r="G266" i="8"/>
  <c r="C266" i="8" a="1"/>
  <c r="C266" i="8"/>
  <c r="B266" i="8"/>
  <c r="A266" i="8"/>
  <c r="X265" i="8"/>
  <c r="W265" i="8"/>
  <c r="V265" i="8"/>
  <c r="S265" i="8"/>
  <c r="R265" i="8"/>
  <c r="Q265" i="8"/>
  <c r="O265" i="8"/>
  <c r="K265" i="8"/>
  <c r="G265" i="8"/>
  <c r="P265" i="8" s="1"/>
  <c r="B265" i="8"/>
  <c r="C265" i="8" s="1" a="1"/>
  <c r="C265" i="8" s="1"/>
  <c r="A265" i="8"/>
  <c r="Y264" i="8"/>
  <c r="X264" i="8"/>
  <c r="W264" i="8"/>
  <c r="V264" i="8"/>
  <c r="T264" i="8"/>
  <c r="S264" i="8"/>
  <c r="R264" i="8"/>
  <c r="Q264" i="8"/>
  <c r="K264" i="8"/>
  <c r="G264" i="8"/>
  <c r="B264" i="8"/>
  <c r="C264" i="8" s="1" a="1"/>
  <c r="C264" i="8" s="1"/>
  <c r="A264" i="8"/>
  <c r="X263" i="8"/>
  <c r="W263" i="8"/>
  <c r="V263" i="8"/>
  <c r="R263" i="8"/>
  <c r="Q263" i="8"/>
  <c r="P263" i="8"/>
  <c r="K263" i="8"/>
  <c r="G263" i="8"/>
  <c r="U263" i="8" s="1"/>
  <c r="B263" i="8"/>
  <c r="C263" i="8" s="1" a="1"/>
  <c r="C263" i="8" s="1"/>
  <c r="A263" i="8"/>
  <c r="X262" i="8"/>
  <c r="W262" i="8"/>
  <c r="V262" i="8"/>
  <c r="U262" i="8"/>
  <c r="T262" i="8"/>
  <c r="S262" i="8"/>
  <c r="R262" i="8"/>
  <c r="K262" i="8"/>
  <c r="Y262" i="8" s="1"/>
  <c r="G262" i="8"/>
  <c r="B262" i="8"/>
  <c r="C262" i="8" s="1" a="1"/>
  <c r="C262" i="8" s="1"/>
  <c r="A262" i="8"/>
  <c r="X261" i="8"/>
  <c r="W261" i="8"/>
  <c r="V261" i="8"/>
  <c r="U261" i="8"/>
  <c r="T261" i="8"/>
  <c r="K261" i="8"/>
  <c r="G261" i="8"/>
  <c r="C261" i="8" a="1"/>
  <c r="C261" i="8" s="1"/>
  <c r="B261" i="8"/>
  <c r="A261" i="8"/>
  <c r="X260" i="8"/>
  <c r="W260" i="8"/>
  <c r="V260" i="8"/>
  <c r="S260" i="8"/>
  <c r="R260" i="8"/>
  <c r="Q260" i="8"/>
  <c r="P260" i="8"/>
  <c r="O260" i="8"/>
  <c r="K260" i="8"/>
  <c r="T260" i="8" s="1"/>
  <c r="G260" i="8"/>
  <c r="C260" i="8" a="1"/>
  <c r="C260" i="8"/>
  <c r="B260" i="8"/>
  <c r="A260" i="8"/>
  <c r="X259" i="8"/>
  <c r="W259" i="8"/>
  <c r="V259" i="8"/>
  <c r="U259" i="8"/>
  <c r="S259" i="8"/>
  <c r="Q259" i="8"/>
  <c r="P259" i="8"/>
  <c r="O259" i="8"/>
  <c r="K259" i="8"/>
  <c r="G259" i="8"/>
  <c r="C259" i="8" a="1"/>
  <c r="C259" i="8" s="1"/>
  <c r="B259" i="8"/>
  <c r="A259" i="8"/>
  <c r="Y258" i="8"/>
  <c r="X258" i="8"/>
  <c r="W258" i="8"/>
  <c r="V258" i="8"/>
  <c r="U258" i="8"/>
  <c r="T258" i="8"/>
  <c r="S258" i="8"/>
  <c r="O258" i="8"/>
  <c r="K258" i="8"/>
  <c r="G258" i="8"/>
  <c r="B258" i="8"/>
  <c r="C258" i="8" s="1" a="1"/>
  <c r="C258" i="8" s="1"/>
  <c r="A258" i="8"/>
  <c r="Y257" i="8"/>
  <c r="X257" i="8"/>
  <c r="W257" i="8"/>
  <c r="V257" i="8"/>
  <c r="T257" i="8"/>
  <c r="S257" i="8"/>
  <c r="R257" i="8"/>
  <c r="K257" i="8"/>
  <c r="G257" i="8"/>
  <c r="C257" i="8" a="1"/>
  <c r="C257" i="8" s="1"/>
  <c r="B257" i="8"/>
  <c r="A257" i="8"/>
  <c r="Y256" i="8"/>
  <c r="X256" i="8"/>
  <c r="W256" i="8"/>
  <c r="V256" i="8"/>
  <c r="U256" i="8"/>
  <c r="T256" i="8"/>
  <c r="R256" i="8"/>
  <c r="Q256" i="8"/>
  <c r="P256" i="8"/>
  <c r="O256" i="8"/>
  <c r="K256" i="8"/>
  <c r="S256" i="8" s="1"/>
  <c r="G256" i="8"/>
  <c r="C256" i="8"/>
  <c r="B256" i="8"/>
  <c r="C256" i="8" s="1" a="1"/>
  <c r="A256" i="8"/>
  <c r="X255" i="8"/>
  <c r="W255" i="8"/>
  <c r="V255" i="8"/>
  <c r="U255" i="8"/>
  <c r="T255" i="8"/>
  <c r="P255" i="8"/>
  <c r="O255" i="8"/>
  <c r="K255" i="8"/>
  <c r="G255" i="8"/>
  <c r="Q255" i="8" s="1"/>
  <c r="B255" i="8"/>
  <c r="C255" i="8" s="1" a="1"/>
  <c r="C255" i="8" s="1"/>
  <c r="A255" i="8"/>
  <c r="X254" i="8"/>
  <c r="W254" i="8"/>
  <c r="V254" i="8"/>
  <c r="U254" i="8"/>
  <c r="T254" i="8"/>
  <c r="S254" i="8"/>
  <c r="R254" i="8"/>
  <c r="Q254" i="8"/>
  <c r="K254" i="8"/>
  <c r="Y254" i="8" s="1"/>
  <c r="G254" i="8"/>
  <c r="C254" i="8" a="1"/>
  <c r="C254" i="8" s="1"/>
  <c r="B254" i="8"/>
  <c r="A254" i="8"/>
  <c r="Y253" i="8"/>
  <c r="X253" i="8"/>
  <c r="W253" i="8"/>
  <c r="V253" i="8"/>
  <c r="U253" i="8"/>
  <c r="S253" i="8"/>
  <c r="R253" i="8"/>
  <c r="Q253" i="8"/>
  <c r="P253" i="8"/>
  <c r="O253" i="8"/>
  <c r="K253" i="8"/>
  <c r="T253" i="8" s="1"/>
  <c r="G253" i="8"/>
  <c r="C253" i="8"/>
  <c r="B253" i="8"/>
  <c r="C253" i="8" s="1" a="1"/>
  <c r="A253" i="8"/>
  <c r="X252" i="8"/>
  <c r="W252" i="8"/>
  <c r="V252" i="8"/>
  <c r="U252" i="8"/>
  <c r="Q252" i="8"/>
  <c r="P252" i="8"/>
  <c r="O252" i="8"/>
  <c r="K252" i="8"/>
  <c r="G252" i="8"/>
  <c r="B252" i="8"/>
  <c r="C252" i="8" s="1" a="1"/>
  <c r="C252" i="8" s="1"/>
  <c r="A252" i="8"/>
  <c r="X251" i="8"/>
  <c r="W251" i="8"/>
  <c r="V251" i="8"/>
  <c r="U251" i="8"/>
  <c r="T251" i="8"/>
  <c r="K251" i="8"/>
  <c r="G251" i="8"/>
  <c r="B251" i="8"/>
  <c r="C251" i="8" s="1" a="1"/>
  <c r="C251" i="8" s="1"/>
  <c r="A251" i="8"/>
  <c r="Y250" i="8"/>
  <c r="X250" i="8"/>
  <c r="W250" i="8"/>
  <c r="V250" i="8"/>
  <c r="T250" i="8"/>
  <c r="S250" i="8"/>
  <c r="R250" i="8"/>
  <c r="K250" i="8"/>
  <c r="G250" i="8"/>
  <c r="B250" i="8"/>
  <c r="C250" i="8" s="1" a="1"/>
  <c r="C250" i="8" s="1"/>
  <c r="A250" i="8"/>
  <c r="X249" i="8"/>
  <c r="W249" i="8"/>
  <c r="V249" i="8"/>
  <c r="O249" i="8"/>
  <c r="K249" i="8"/>
  <c r="G249" i="8"/>
  <c r="B249" i="8"/>
  <c r="C249" i="8" s="1" a="1"/>
  <c r="C249" i="8" s="1"/>
  <c r="A249" i="8"/>
  <c r="X248" i="8"/>
  <c r="W248" i="8"/>
  <c r="V248" i="8"/>
  <c r="R248" i="8"/>
  <c r="P248" i="8"/>
  <c r="O248" i="8"/>
  <c r="K248" i="8"/>
  <c r="G248" i="8"/>
  <c r="Q248" i="8" s="1"/>
  <c r="B248" i="8"/>
  <c r="C248" i="8" s="1" a="1"/>
  <c r="C248" i="8" s="1"/>
  <c r="A248" i="8"/>
  <c r="X247" i="8"/>
  <c r="W247" i="8"/>
  <c r="V247" i="8"/>
  <c r="R247" i="8"/>
  <c r="K247" i="8"/>
  <c r="G247" i="8"/>
  <c r="C247" i="8" a="1"/>
  <c r="C247" i="8" s="1"/>
  <c r="B247" i="8"/>
  <c r="A247" i="8"/>
  <c r="X246" i="8"/>
  <c r="W246" i="8"/>
  <c r="V246" i="8"/>
  <c r="Q246" i="8"/>
  <c r="P246" i="8"/>
  <c r="O246" i="8"/>
  <c r="K246" i="8"/>
  <c r="G246" i="8"/>
  <c r="C246" i="8" a="1"/>
  <c r="C246" i="8"/>
  <c r="B246" i="8"/>
  <c r="A246" i="8"/>
  <c r="X245" i="8"/>
  <c r="W245" i="8"/>
  <c r="V245" i="8"/>
  <c r="T245" i="8"/>
  <c r="S245" i="8"/>
  <c r="Q245" i="8"/>
  <c r="P245" i="8"/>
  <c r="O245" i="8"/>
  <c r="K245" i="8"/>
  <c r="G245" i="8"/>
  <c r="C245" i="8" a="1"/>
  <c r="C245" i="8" s="1"/>
  <c r="B245" i="8"/>
  <c r="A245" i="8"/>
  <c r="X244" i="8"/>
  <c r="W244" i="8"/>
  <c r="V244" i="8"/>
  <c r="U244" i="8"/>
  <c r="T244" i="8"/>
  <c r="K244" i="8"/>
  <c r="G244" i="8"/>
  <c r="C244" i="8" a="1"/>
  <c r="C244" i="8" s="1"/>
  <c r="B244" i="8"/>
  <c r="A244" i="8"/>
  <c r="Y243" i="8"/>
  <c r="X243" i="8"/>
  <c r="W243" i="8"/>
  <c r="V243" i="8"/>
  <c r="T243" i="8"/>
  <c r="S243" i="8"/>
  <c r="R243" i="8"/>
  <c r="Q243" i="8"/>
  <c r="P243" i="8"/>
  <c r="O243" i="8"/>
  <c r="K243" i="8"/>
  <c r="G243" i="8"/>
  <c r="C243" i="8" a="1"/>
  <c r="C243" i="8" s="1"/>
  <c r="B243" i="8"/>
  <c r="A243" i="8"/>
  <c r="Y242" i="8"/>
  <c r="X242" i="8"/>
  <c r="W242" i="8"/>
  <c r="V242" i="8"/>
  <c r="U242" i="8"/>
  <c r="T242" i="8"/>
  <c r="R242" i="8"/>
  <c r="Q242" i="8"/>
  <c r="P242" i="8"/>
  <c r="O242" i="8"/>
  <c r="K242" i="8"/>
  <c r="S242" i="8" s="1"/>
  <c r="G242" i="8"/>
  <c r="B242" i="8"/>
  <c r="C242" i="8" s="1" a="1"/>
  <c r="C242" i="8" s="1"/>
  <c r="A242" i="8"/>
  <c r="X241" i="8"/>
  <c r="W241" i="8"/>
  <c r="V241" i="8"/>
  <c r="O241" i="8"/>
  <c r="K241" i="8"/>
  <c r="G241" i="8"/>
  <c r="B241" i="8"/>
  <c r="C241" i="8" s="1" a="1"/>
  <c r="C241" i="8" s="1"/>
  <c r="A241" i="8"/>
  <c r="X240" i="8"/>
  <c r="W240" i="8"/>
  <c r="V240" i="8"/>
  <c r="S240" i="8"/>
  <c r="R240" i="8"/>
  <c r="Q240" i="8"/>
  <c r="P240" i="8"/>
  <c r="K240" i="8"/>
  <c r="T240" i="8" s="1"/>
  <c r="G240" i="8"/>
  <c r="O240" i="8" s="1"/>
  <c r="C240" i="8" a="1"/>
  <c r="C240" i="8" s="1"/>
  <c r="B240" i="8"/>
  <c r="A240" i="8"/>
  <c r="Y239" i="8"/>
  <c r="X239" i="8"/>
  <c r="W239" i="8"/>
  <c r="V239" i="8"/>
  <c r="U239" i="8"/>
  <c r="S239" i="8"/>
  <c r="R239" i="8"/>
  <c r="Q239" i="8"/>
  <c r="P239" i="8"/>
  <c r="O239" i="8"/>
  <c r="K239" i="8"/>
  <c r="T239" i="8" s="1"/>
  <c r="G239" i="8"/>
  <c r="C239" i="8" a="1"/>
  <c r="C239" i="8" s="1"/>
  <c r="B239" i="8"/>
  <c r="A239" i="8"/>
  <c r="X238" i="8"/>
  <c r="W238" i="8"/>
  <c r="V238" i="8"/>
  <c r="U238" i="8"/>
  <c r="T238" i="8"/>
  <c r="Q238" i="8"/>
  <c r="O238" i="8"/>
  <c r="K238" i="8"/>
  <c r="G238" i="8"/>
  <c r="P238" i="8" s="1"/>
  <c r="B238" i="8"/>
  <c r="C238" i="8" s="1" a="1"/>
  <c r="C238" i="8" s="1"/>
  <c r="A238" i="8"/>
  <c r="Y237" i="8"/>
  <c r="X237" i="8"/>
  <c r="W237" i="8"/>
  <c r="V237" i="8"/>
  <c r="U237" i="8"/>
  <c r="S237" i="8"/>
  <c r="R237" i="8"/>
  <c r="Q237" i="8"/>
  <c r="O237" i="8"/>
  <c r="K237" i="8"/>
  <c r="G237" i="8"/>
  <c r="P237" i="8" s="1"/>
  <c r="B237" i="8"/>
  <c r="C237" i="8" s="1" a="1"/>
  <c r="C237" i="8" s="1"/>
  <c r="A237" i="8"/>
  <c r="Y236" i="8"/>
  <c r="X236" i="8"/>
  <c r="W236" i="8"/>
  <c r="V236" i="8"/>
  <c r="T236" i="8"/>
  <c r="S236" i="8"/>
  <c r="R236" i="8"/>
  <c r="K236" i="8"/>
  <c r="G236" i="8"/>
  <c r="B236" i="8"/>
  <c r="C236" i="8" s="1" a="1"/>
  <c r="C236" i="8" s="1"/>
  <c r="A236" i="8"/>
  <c r="X235" i="8"/>
  <c r="W235" i="8"/>
  <c r="V235" i="8"/>
  <c r="P235" i="8"/>
  <c r="O235" i="8"/>
  <c r="K235" i="8"/>
  <c r="G235" i="8"/>
  <c r="C235" i="8" a="1"/>
  <c r="C235" i="8" s="1"/>
  <c r="B235" i="8"/>
  <c r="A235" i="8"/>
  <c r="X234" i="8"/>
  <c r="W234" i="8"/>
  <c r="V234" i="8"/>
  <c r="S234" i="8"/>
  <c r="R234" i="8"/>
  <c r="P234" i="8"/>
  <c r="O234" i="8"/>
  <c r="K234" i="8"/>
  <c r="U233" i="8" s="1"/>
  <c r="G234" i="8"/>
  <c r="Q234" i="8" s="1"/>
  <c r="B234" i="8"/>
  <c r="C234" i="8" s="1" a="1"/>
  <c r="C234" i="8" s="1"/>
  <c r="A234" i="8"/>
  <c r="X233" i="8"/>
  <c r="W233" i="8"/>
  <c r="V233" i="8"/>
  <c r="T233" i="8"/>
  <c r="S233" i="8"/>
  <c r="Q233" i="8"/>
  <c r="K233" i="8"/>
  <c r="U232" i="8" s="1"/>
  <c r="G233" i="8"/>
  <c r="C233" i="8" a="1"/>
  <c r="C233" i="8" s="1"/>
  <c r="B233" i="8"/>
  <c r="A233" i="8"/>
  <c r="X232" i="8"/>
  <c r="W232" i="8"/>
  <c r="V232" i="8"/>
  <c r="S232" i="8"/>
  <c r="R232" i="8"/>
  <c r="Q232" i="8"/>
  <c r="P232" i="8"/>
  <c r="O232" i="8"/>
  <c r="K232" i="8"/>
  <c r="U231" i="8" s="1"/>
  <c r="G232" i="8"/>
  <c r="B232" i="8"/>
  <c r="C232" i="8" s="1" a="1"/>
  <c r="C232" i="8" s="1"/>
  <c r="A232" i="8"/>
  <c r="X231" i="8"/>
  <c r="W231" i="8"/>
  <c r="V231" i="8"/>
  <c r="T231" i="8"/>
  <c r="Q231" i="8"/>
  <c r="P231" i="8"/>
  <c r="O231" i="8"/>
  <c r="K231" i="8"/>
  <c r="G231" i="8"/>
  <c r="B231" i="8"/>
  <c r="C231" i="8" s="1" a="1"/>
  <c r="C231" i="8" s="1"/>
  <c r="A231" i="8"/>
  <c r="Y230" i="8"/>
  <c r="X230" i="8"/>
  <c r="W230" i="8"/>
  <c r="V230" i="8"/>
  <c r="T230" i="8"/>
  <c r="S230" i="8"/>
  <c r="R230" i="8"/>
  <c r="O230" i="8"/>
  <c r="K230" i="8"/>
  <c r="G230" i="8"/>
  <c r="C230" i="8" a="1"/>
  <c r="C230" i="8" s="1"/>
  <c r="B230" i="8"/>
  <c r="A230" i="8"/>
  <c r="Y229" i="8"/>
  <c r="X229" i="8"/>
  <c r="W229" i="8"/>
  <c r="V229" i="8"/>
  <c r="T229" i="8"/>
  <c r="S229" i="8"/>
  <c r="R229" i="8"/>
  <c r="O229" i="8"/>
  <c r="K229" i="8"/>
  <c r="G229" i="8"/>
  <c r="C229" i="8" a="1"/>
  <c r="C229" i="8" s="1"/>
  <c r="B229" i="8"/>
  <c r="A229" i="8"/>
  <c r="Y228" i="8"/>
  <c r="X228" i="8"/>
  <c r="W228" i="8"/>
  <c r="V228" i="8"/>
  <c r="U228" i="8"/>
  <c r="T228" i="8"/>
  <c r="R228" i="8"/>
  <c r="Q228" i="8"/>
  <c r="P228" i="8"/>
  <c r="O228" i="8"/>
  <c r="K228" i="8"/>
  <c r="S228" i="8" s="1"/>
  <c r="G228" i="8"/>
  <c r="B228" i="8"/>
  <c r="C228" i="8" s="1" a="1"/>
  <c r="C228" i="8" s="1"/>
  <c r="A228" i="8"/>
  <c r="Y227" i="8"/>
  <c r="X227" i="8"/>
  <c r="W227" i="8"/>
  <c r="V227" i="8"/>
  <c r="U227" i="8"/>
  <c r="T227" i="8"/>
  <c r="S227" i="8"/>
  <c r="P227" i="8"/>
  <c r="K227" i="8"/>
  <c r="R227" i="8" s="1"/>
  <c r="G227" i="8"/>
  <c r="Q227" i="8" s="1"/>
  <c r="C227" i="8"/>
  <c r="B227" i="8"/>
  <c r="C227" i="8" s="1" a="1"/>
  <c r="A227" i="8"/>
  <c r="Y226" i="8"/>
  <c r="X226" i="8"/>
  <c r="W226" i="8"/>
  <c r="V226" i="8"/>
  <c r="U226" i="8"/>
  <c r="T226" i="8"/>
  <c r="Q226" i="8"/>
  <c r="P226" i="8"/>
  <c r="K226" i="8"/>
  <c r="G226" i="8"/>
  <c r="O226" i="8" s="1"/>
  <c r="C226" i="8" a="1"/>
  <c r="C226" i="8" s="1"/>
  <c r="B226" i="8"/>
  <c r="A226" i="8"/>
  <c r="Y225" i="8"/>
  <c r="X225" i="8"/>
  <c r="W225" i="8"/>
  <c r="V225" i="8"/>
  <c r="S225" i="8"/>
  <c r="R225" i="8"/>
  <c r="Q225" i="8"/>
  <c r="P225" i="8"/>
  <c r="O225" i="8"/>
  <c r="K225" i="8"/>
  <c r="T225" i="8" s="1"/>
  <c r="G225" i="8"/>
  <c r="B225" i="8"/>
  <c r="C225" i="8" s="1" a="1"/>
  <c r="C225" i="8" s="1"/>
  <c r="A225" i="8"/>
  <c r="X224" i="8"/>
  <c r="W224" i="8"/>
  <c r="V224" i="8"/>
  <c r="K224" i="8"/>
  <c r="G224" i="8"/>
  <c r="C224" i="8"/>
  <c r="B224" i="8"/>
  <c r="C224" i="8" s="1" a="1"/>
  <c r="A224" i="8"/>
  <c r="Y223" i="8"/>
  <c r="X223" i="8"/>
  <c r="W223" i="8"/>
  <c r="V223" i="8"/>
  <c r="S223" i="8"/>
  <c r="K223" i="8"/>
  <c r="G223" i="8"/>
  <c r="P223" i="8" s="1"/>
  <c r="B223" i="8"/>
  <c r="C223" i="8" s="1" a="1"/>
  <c r="C223" i="8" s="1"/>
  <c r="A223" i="8"/>
  <c r="Y222" i="8"/>
  <c r="X222" i="8"/>
  <c r="W222" i="8"/>
  <c r="V222" i="8"/>
  <c r="T222" i="8"/>
  <c r="S222" i="8"/>
  <c r="R222" i="8"/>
  <c r="K222" i="8"/>
  <c r="G222" i="8"/>
  <c r="O222" i="8" s="1"/>
  <c r="C222" i="8" a="1"/>
  <c r="C222" i="8"/>
  <c r="B222" i="8"/>
  <c r="A222" i="8"/>
  <c r="X221" i="8"/>
  <c r="W221" i="8"/>
  <c r="V221" i="8"/>
  <c r="U221" i="8"/>
  <c r="K221" i="8"/>
  <c r="G221" i="8"/>
  <c r="O221" i="8" s="1"/>
  <c r="C221" i="8" a="1"/>
  <c r="C221" i="8" s="1"/>
  <c r="B221" i="8"/>
  <c r="A221" i="8"/>
  <c r="X220" i="8"/>
  <c r="W220" i="8"/>
  <c r="V220" i="8"/>
  <c r="U220" i="8"/>
  <c r="T220" i="8"/>
  <c r="P220" i="8"/>
  <c r="O220" i="8"/>
  <c r="K220" i="8"/>
  <c r="G220" i="8"/>
  <c r="Q220" i="8" s="1"/>
  <c r="B220" i="8"/>
  <c r="C220" i="8" s="1" a="1"/>
  <c r="C220" i="8" s="1"/>
  <c r="A220" i="8"/>
  <c r="Y219" i="8"/>
  <c r="X219" i="8"/>
  <c r="W219" i="8"/>
  <c r="V219" i="8"/>
  <c r="U219" i="8"/>
  <c r="S219" i="8"/>
  <c r="R219" i="8"/>
  <c r="Q219" i="8"/>
  <c r="K219" i="8"/>
  <c r="U218" i="8" s="1"/>
  <c r="G219" i="8"/>
  <c r="C219" i="8" a="1"/>
  <c r="C219" i="8" s="1"/>
  <c r="B219" i="8"/>
  <c r="A219" i="8"/>
  <c r="Y218" i="8"/>
  <c r="X218" i="8"/>
  <c r="W218" i="8"/>
  <c r="V218" i="8"/>
  <c r="S218" i="8"/>
  <c r="R218" i="8"/>
  <c r="Q218" i="8"/>
  <c r="P218" i="8"/>
  <c r="O218" i="8"/>
  <c r="K218" i="8"/>
  <c r="G218" i="8"/>
  <c r="C218" i="8" a="1"/>
  <c r="C218" i="8" s="1"/>
  <c r="B218" i="8"/>
  <c r="A218" i="8"/>
  <c r="X217" i="8"/>
  <c r="W217" i="8"/>
  <c r="V217" i="8"/>
  <c r="K217" i="8"/>
  <c r="G217" i="8"/>
  <c r="Q217" i="8" s="1"/>
  <c r="C217" i="8" a="1"/>
  <c r="C217" i="8"/>
  <c r="B217" i="8"/>
  <c r="A217" i="8"/>
  <c r="Y216" i="8"/>
  <c r="X216" i="8"/>
  <c r="W216" i="8"/>
  <c r="V216" i="8"/>
  <c r="T216" i="8"/>
  <c r="K216" i="8"/>
  <c r="G216" i="8"/>
  <c r="C216" i="8" a="1"/>
  <c r="C216" i="8" s="1"/>
  <c r="B216" i="8"/>
  <c r="A216" i="8"/>
  <c r="Y215" i="8"/>
  <c r="X215" i="8"/>
  <c r="W215" i="8"/>
  <c r="V215" i="8"/>
  <c r="T215" i="8"/>
  <c r="S215" i="8"/>
  <c r="R215" i="8"/>
  <c r="K215" i="8"/>
  <c r="G215" i="8"/>
  <c r="C215" i="8" a="1"/>
  <c r="C215" i="8" s="1"/>
  <c r="B215" i="8"/>
  <c r="A215" i="8"/>
  <c r="Y214" i="8"/>
  <c r="X214" i="8"/>
  <c r="W214" i="8"/>
  <c r="V214" i="8"/>
  <c r="U214" i="8"/>
  <c r="T214" i="8"/>
  <c r="Q214" i="8"/>
  <c r="P214" i="8"/>
  <c r="O214" i="8"/>
  <c r="K214" i="8"/>
  <c r="S214" i="8" s="1"/>
  <c r="G214" i="8"/>
  <c r="C214" i="8" a="1"/>
  <c r="C214" i="8" s="1"/>
  <c r="B214" i="8"/>
  <c r="A214" i="8"/>
  <c r="Y213" i="8"/>
  <c r="X213" i="8"/>
  <c r="W213" i="8"/>
  <c r="V213" i="8"/>
  <c r="T213" i="8"/>
  <c r="S213" i="8"/>
  <c r="K213" i="8"/>
  <c r="R213" i="8" s="1"/>
  <c r="G213" i="8"/>
  <c r="C213" i="8"/>
  <c r="B213" i="8"/>
  <c r="C213" i="8" s="1" a="1"/>
  <c r="A213" i="8"/>
  <c r="X212" i="8"/>
  <c r="W212" i="8"/>
  <c r="V212" i="8"/>
  <c r="K212" i="8"/>
  <c r="G212" i="8"/>
  <c r="C212" i="8" a="1"/>
  <c r="C212" i="8" s="1"/>
  <c r="B212" i="8"/>
  <c r="A212" i="8"/>
  <c r="Y211" i="8"/>
  <c r="X211" i="8"/>
  <c r="W211" i="8"/>
  <c r="V211" i="8"/>
  <c r="S211" i="8"/>
  <c r="R211" i="8"/>
  <c r="Q211" i="8"/>
  <c r="P211" i="8"/>
  <c r="O211" i="8"/>
  <c r="K211" i="8"/>
  <c r="T211" i="8" s="1"/>
  <c r="G211" i="8"/>
  <c r="C211" i="8" a="1"/>
  <c r="C211" i="8" s="1"/>
  <c r="B211" i="8"/>
  <c r="A211" i="8"/>
  <c r="X210" i="8"/>
  <c r="W210" i="8"/>
  <c r="V210" i="8"/>
  <c r="T210" i="8"/>
  <c r="Q210" i="8"/>
  <c r="P210" i="8"/>
  <c r="K210" i="8"/>
  <c r="G210" i="8"/>
  <c r="U210" i="8" s="1"/>
  <c r="C210" i="8" a="1"/>
  <c r="C210" i="8" s="1"/>
  <c r="B210" i="8"/>
  <c r="A210" i="8"/>
  <c r="X209" i="8"/>
  <c r="W209" i="8"/>
  <c r="V209" i="8"/>
  <c r="U209" i="8"/>
  <c r="T209" i="8"/>
  <c r="S209" i="8"/>
  <c r="Q209" i="8"/>
  <c r="O209" i="8"/>
  <c r="K209" i="8"/>
  <c r="Y209" i="8" s="1"/>
  <c r="G209" i="8"/>
  <c r="P209" i="8" s="1"/>
  <c r="B209" i="8"/>
  <c r="C209" i="8" s="1" a="1"/>
  <c r="C209" i="8" s="1"/>
  <c r="A209" i="8"/>
  <c r="Y208" i="8"/>
  <c r="X208" i="8"/>
  <c r="W208" i="8"/>
  <c r="V208" i="8"/>
  <c r="T208" i="8"/>
  <c r="S208" i="8"/>
  <c r="R208" i="8"/>
  <c r="Q208" i="8"/>
  <c r="P208" i="8"/>
  <c r="K208" i="8"/>
  <c r="G208" i="8"/>
  <c r="O208" i="8" s="1"/>
  <c r="C208" i="8" a="1"/>
  <c r="C208" i="8"/>
  <c r="B208" i="8"/>
  <c r="A208" i="8"/>
  <c r="X207" i="8"/>
  <c r="W207" i="8"/>
  <c r="V207" i="8"/>
  <c r="U207" i="8"/>
  <c r="R207" i="8"/>
  <c r="K207" i="8"/>
  <c r="G207" i="8"/>
  <c r="B207" i="8"/>
  <c r="C207" i="8" s="1" a="1"/>
  <c r="C207" i="8" s="1"/>
  <c r="A207" i="8"/>
  <c r="X206" i="8"/>
  <c r="W206" i="8"/>
  <c r="V206" i="8"/>
  <c r="U206" i="8"/>
  <c r="O206" i="8"/>
  <c r="K206" i="8"/>
  <c r="G206" i="8"/>
  <c r="Q206" i="8" s="1"/>
  <c r="C206" i="8"/>
  <c r="B206" i="8"/>
  <c r="C206" i="8" s="1" a="1"/>
  <c r="A206" i="8"/>
  <c r="X205" i="8"/>
  <c r="W205" i="8"/>
  <c r="V205" i="8"/>
  <c r="K205" i="8"/>
  <c r="G205" i="8"/>
  <c r="C205" i="8" a="1"/>
  <c r="C205" i="8"/>
  <c r="B205" i="8"/>
  <c r="A205" i="8"/>
  <c r="X204" i="8"/>
  <c r="W204" i="8"/>
  <c r="V204" i="8"/>
  <c r="R204" i="8"/>
  <c r="Q204" i="8"/>
  <c r="P204" i="8"/>
  <c r="O204" i="8"/>
  <c r="K204" i="8"/>
  <c r="G204" i="8"/>
  <c r="C204" i="8" a="1"/>
  <c r="C204" i="8" s="1"/>
  <c r="B204" i="8"/>
  <c r="A204" i="8"/>
  <c r="X203" i="8"/>
  <c r="W203" i="8"/>
  <c r="V203" i="8"/>
  <c r="U203" i="8"/>
  <c r="S203" i="8"/>
  <c r="Q203" i="8"/>
  <c r="K203" i="8"/>
  <c r="G203" i="8"/>
  <c r="P203" i="8" s="1"/>
  <c r="C203" i="8" a="1"/>
  <c r="C203" i="8" s="1"/>
  <c r="B203" i="8"/>
  <c r="A203" i="8"/>
  <c r="X202" i="8"/>
  <c r="W202" i="8"/>
  <c r="V202" i="8"/>
  <c r="R202" i="8"/>
  <c r="O202" i="8"/>
  <c r="K202" i="8"/>
  <c r="G202" i="8"/>
  <c r="C202" i="8" a="1"/>
  <c r="C202" i="8" s="1"/>
  <c r="B202" i="8"/>
  <c r="A202" i="8"/>
  <c r="Y201" i="8"/>
  <c r="X201" i="8"/>
  <c r="W201" i="8"/>
  <c r="V201" i="8"/>
  <c r="T201" i="8"/>
  <c r="S201" i="8"/>
  <c r="R201" i="8"/>
  <c r="Q201" i="8"/>
  <c r="K201" i="8"/>
  <c r="G201" i="8"/>
  <c r="C201" i="8" a="1"/>
  <c r="C201" i="8" s="1"/>
  <c r="B201" i="8"/>
  <c r="A201" i="8"/>
  <c r="X200" i="8"/>
  <c r="W200" i="8"/>
  <c r="V200" i="8"/>
  <c r="U200" i="8"/>
  <c r="Q200" i="8"/>
  <c r="P200" i="8"/>
  <c r="O200" i="8"/>
  <c r="K200" i="8"/>
  <c r="G200" i="8"/>
  <c r="C200" i="8" a="1"/>
  <c r="C200" i="8" s="1"/>
  <c r="B200" i="8"/>
  <c r="A200" i="8"/>
  <c r="X199" i="8"/>
  <c r="W199" i="8"/>
  <c r="V199" i="8"/>
  <c r="S199" i="8"/>
  <c r="P199" i="8"/>
  <c r="K199" i="8"/>
  <c r="G199" i="8"/>
  <c r="Q199" i="8" s="1"/>
  <c r="B199" i="8"/>
  <c r="C199" i="8" s="1" a="1"/>
  <c r="C199" i="8" s="1"/>
  <c r="A199" i="8"/>
  <c r="X198" i="8"/>
  <c r="W198" i="8"/>
  <c r="V198" i="8"/>
  <c r="R198" i="8"/>
  <c r="K198" i="8"/>
  <c r="S198" i="8" s="1"/>
  <c r="G198" i="8"/>
  <c r="Q198" i="8" s="1"/>
  <c r="C198" i="8" a="1"/>
  <c r="C198" i="8" s="1"/>
  <c r="B198" i="8"/>
  <c r="A198" i="8"/>
  <c r="Y197" i="8"/>
  <c r="X197" i="8"/>
  <c r="W197" i="8"/>
  <c r="V197" i="8"/>
  <c r="S197" i="8"/>
  <c r="R197" i="8"/>
  <c r="Q197" i="8"/>
  <c r="P197" i="8"/>
  <c r="O197" i="8"/>
  <c r="K197" i="8"/>
  <c r="T197" i="8" s="1"/>
  <c r="G197" i="8"/>
  <c r="B197" i="8"/>
  <c r="C197" i="8" s="1" a="1"/>
  <c r="C197" i="8" s="1"/>
  <c r="A197" i="8"/>
  <c r="X196" i="8"/>
  <c r="W196" i="8"/>
  <c r="V196" i="8"/>
  <c r="U196" i="8"/>
  <c r="T196" i="8"/>
  <c r="Q196" i="8"/>
  <c r="K196" i="8"/>
  <c r="G196" i="8"/>
  <c r="C196" i="8" a="1"/>
  <c r="C196" i="8" s="1"/>
  <c r="B196" i="8"/>
  <c r="A196" i="8"/>
  <c r="X195" i="8"/>
  <c r="W195" i="8"/>
  <c r="V195" i="8"/>
  <c r="U195" i="8"/>
  <c r="O195" i="8"/>
  <c r="K195" i="8"/>
  <c r="Y195" i="8" s="1"/>
  <c r="G195" i="8"/>
  <c r="P195" i="8" s="1"/>
  <c r="B195" i="8"/>
  <c r="C195" i="8" s="1" a="1"/>
  <c r="C195" i="8" s="1"/>
  <c r="A195" i="8"/>
  <c r="Y194" i="8"/>
  <c r="X194" i="8"/>
  <c r="W194" i="8"/>
  <c r="V194" i="8"/>
  <c r="T194" i="8"/>
  <c r="S194" i="8"/>
  <c r="R194" i="8"/>
  <c r="Q194" i="8"/>
  <c r="P194" i="8"/>
  <c r="K194" i="8"/>
  <c r="G194" i="8"/>
  <c r="O194" i="8" s="1"/>
  <c r="B194" i="8"/>
  <c r="C194" i="8" s="1" a="1"/>
  <c r="C194" i="8" s="1"/>
  <c r="A194" i="8"/>
  <c r="X193" i="8"/>
  <c r="W193" i="8"/>
  <c r="V193" i="8"/>
  <c r="U193" i="8"/>
  <c r="R193" i="8"/>
  <c r="Q193" i="8"/>
  <c r="P193" i="8"/>
  <c r="O193" i="8"/>
  <c r="K193" i="8"/>
  <c r="G193" i="8"/>
  <c r="C193" i="8" a="1"/>
  <c r="C193" i="8"/>
  <c r="B193" i="8"/>
  <c r="A193" i="8"/>
  <c r="X192" i="8"/>
  <c r="W192" i="8"/>
  <c r="V192" i="8"/>
  <c r="U192" i="8"/>
  <c r="T192" i="8"/>
  <c r="P192" i="8"/>
  <c r="K192" i="8"/>
  <c r="Y192" i="8" s="1"/>
  <c r="G192" i="8"/>
  <c r="C192" i="8"/>
  <c r="B192" i="8"/>
  <c r="C192" i="8" s="1" a="1"/>
  <c r="A192" i="8"/>
  <c r="X191" i="8"/>
  <c r="W191" i="8"/>
  <c r="V191" i="8"/>
  <c r="U191" i="8"/>
  <c r="Q191" i="8"/>
  <c r="K191" i="8"/>
  <c r="Y191" i="8" s="1"/>
  <c r="G191" i="8"/>
  <c r="C191" i="8" a="1"/>
  <c r="C191" i="8"/>
  <c r="B191" i="8"/>
  <c r="A191" i="8"/>
  <c r="Y190" i="8"/>
  <c r="X190" i="8"/>
  <c r="W190" i="8"/>
  <c r="V190" i="8"/>
  <c r="R190" i="8"/>
  <c r="Q190" i="8"/>
  <c r="P190" i="8"/>
  <c r="O190" i="8"/>
  <c r="K190" i="8"/>
  <c r="T190" i="8" s="1"/>
  <c r="G190" i="8"/>
  <c r="B190" i="8"/>
  <c r="C190" i="8" s="1" a="1"/>
  <c r="C190" i="8" s="1"/>
  <c r="A190" i="8"/>
  <c r="X189" i="8"/>
  <c r="W189" i="8"/>
  <c r="V189" i="8"/>
  <c r="U189" i="8"/>
  <c r="O189" i="8"/>
  <c r="K189" i="8"/>
  <c r="G189" i="8"/>
  <c r="B189" i="8"/>
  <c r="C189" i="8" s="1" a="1"/>
  <c r="C189" i="8" s="1"/>
  <c r="A189" i="8"/>
  <c r="X188" i="8"/>
  <c r="W188" i="8"/>
  <c r="V188" i="8"/>
  <c r="O188" i="8"/>
  <c r="K188" i="8"/>
  <c r="R188" i="8" s="1"/>
  <c r="G188" i="8"/>
  <c r="C188" i="8" a="1"/>
  <c r="C188" i="8" s="1"/>
  <c r="B188" i="8"/>
  <c r="A188" i="8"/>
  <c r="Y187" i="8"/>
  <c r="X187" i="8"/>
  <c r="W187" i="8"/>
  <c r="V187" i="8"/>
  <c r="T187" i="8"/>
  <c r="S187" i="8"/>
  <c r="R187" i="8"/>
  <c r="Q187" i="8"/>
  <c r="P187" i="8"/>
  <c r="O187" i="8"/>
  <c r="K187" i="8"/>
  <c r="G187" i="8"/>
  <c r="C187" i="8" a="1"/>
  <c r="C187" i="8" s="1"/>
  <c r="B187" i="8"/>
  <c r="A187" i="8"/>
  <c r="X186" i="8"/>
  <c r="W186" i="8"/>
  <c r="V186" i="8"/>
  <c r="U186" i="8"/>
  <c r="T186" i="8"/>
  <c r="R186" i="8"/>
  <c r="Q186" i="8"/>
  <c r="P186" i="8"/>
  <c r="O186" i="8"/>
  <c r="K186" i="8"/>
  <c r="G186" i="8"/>
  <c r="B186" i="8"/>
  <c r="C186" i="8" s="1" a="1"/>
  <c r="C186" i="8" s="1"/>
  <c r="A186" i="8"/>
  <c r="Y185" i="8"/>
  <c r="X185" i="8"/>
  <c r="W185" i="8"/>
  <c r="V185" i="8"/>
  <c r="U185" i="8"/>
  <c r="S185" i="8"/>
  <c r="P185" i="8"/>
  <c r="O185" i="8"/>
  <c r="K185" i="8"/>
  <c r="R185" i="8" s="1"/>
  <c r="G185" i="8"/>
  <c r="Q185" i="8" s="1"/>
  <c r="B185" i="8"/>
  <c r="C185" i="8" s="1" a="1"/>
  <c r="C185" i="8" s="1"/>
  <c r="A185" i="8"/>
  <c r="X184" i="8"/>
  <c r="W184" i="8"/>
  <c r="V184" i="8"/>
  <c r="U184" i="8"/>
  <c r="T184" i="8"/>
  <c r="S184" i="8"/>
  <c r="K184" i="8"/>
  <c r="Y184" i="8" s="1"/>
  <c r="G184" i="8"/>
  <c r="C184" i="8" a="1"/>
  <c r="C184" i="8" s="1"/>
  <c r="B184" i="8"/>
  <c r="A184" i="8"/>
  <c r="Y183" i="8"/>
  <c r="X183" i="8"/>
  <c r="W183" i="8"/>
  <c r="V183" i="8"/>
  <c r="S183" i="8"/>
  <c r="R183" i="8"/>
  <c r="Q183" i="8"/>
  <c r="P183" i="8"/>
  <c r="O183" i="8"/>
  <c r="K183" i="8"/>
  <c r="T183" i="8" s="1"/>
  <c r="G183" i="8"/>
  <c r="C183" i="8"/>
  <c r="B183" i="8"/>
  <c r="C183" i="8" s="1" a="1"/>
  <c r="A183" i="8"/>
  <c r="X182" i="8"/>
  <c r="W182" i="8"/>
  <c r="V182" i="8"/>
  <c r="U182" i="8"/>
  <c r="T182" i="8"/>
  <c r="Q182" i="8"/>
  <c r="P182" i="8"/>
  <c r="K182" i="8"/>
  <c r="G182" i="8"/>
  <c r="O182" i="8" s="1"/>
  <c r="B182" i="8"/>
  <c r="C182" i="8" s="1" a="1"/>
  <c r="C182" i="8" s="1"/>
  <c r="A182" i="8"/>
  <c r="X181" i="8"/>
  <c r="W181" i="8"/>
  <c r="V181" i="8"/>
  <c r="U181" i="8"/>
  <c r="T181" i="8"/>
  <c r="S181" i="8"/>
  <c r="R181" i="8"/>
  <c r="K181" i="8"/>
  <c r="G181" i="8"/>
  <c r="B181" i="8"/>
  <c r="C181" i="8" s="1" a="1"/>
  <c r="C181" i="8" s="1"/>
  <c r="A181" i="8"/>
  <c r="Y180" i="8"/>
  <c r="X180" i="8"/>
  <c r="W180" i="8"/>
  <c r="V180" i="8"/>
  <c r="T180" i="8"/>
  <c r="S180" i="8"/>
  <c r="R180" i="8"/>
  <c r="P180" i="8"/>
  <c r="K180" i="8"/>
  <c r="G180" i="8"/>
  <c r="B180" i="8"/>
  <c r="C180" i="8" s="1" a="1"/>
  <c r="C180" i="8" s="1"/>
  <c r="A180" i="8"/>
  <c r="Y179" i="8"/>
  <c r="X179" i="8"/>
  <c r="W179" i="8"/>
  <c r="V179" i="8"/>
  <c r="U179" i="8"/>
  <c r="R179" i="8"/>
  <c r="Q179" i="8"/>
  <c r="P179" i="8"/>
  <c r="O179" i="8"/>
  <c r="K179" i="8"/>
  <c r="G179" i="8"/>
  <c r="B179" i="8"/>
  <c r="C179" i="8" s="1" a="1"/>
  <c r="C179" i="8" s="1"/>
  <c r="A179" i="8"/>
  <c r="X178" i="8"/>
  <c r="W178" i="8"/>
  <c r="V178" i="8"/>
  <c r="U178" i="8"/>
  <c r="K178" i="8"/>
  <c r="G178" i="8"/>
  <c r="B178" i="8"/>
  <c r="C178" i="8" s="1" a="1"/>
  <c r="C178" i="8" s="1"/>
  <c r="A178" i="8"/>
  <c r="X177" i="8"/>
  <c r="W177" i="8"/>
  <c r="V177" i="8"/>
  <c r="U177" i="8"/>
  <c r="Q177" i="8"/>
  <c r="K177" i="8"/>
  <c r="Y177" i="8" s="1"/>
  <c r="G177" i="8"/>
  <c r="C177" i="8" a="1"/>
  <c r="C177" i="8"/>
  <c r="B177" i="8"/>
  <c r="A177" i="8"/>
  <c r="X176" i="8"/>
  <c r="W176" i="8"/>
  <c r="V176" i="8"/>
  <c r="R176" i="8"/>
  <c r="Q176" i="8"/>
  <c r="P176" i="8"/>
  <c r="O176" i="8"/>
  <c r="K176" i="8"/>
  <c r="Y176" i="8" s="1"/>
  <c r="G176" i="8"/>
  <c r="B176" i="8"/>
  <c r="C176" i="8" s="1" a="1"/>
  <c r="C176" i="8" s="1"/>
  <c r="A176" i="8"/>
  <c r="X175" i="8"/>
  <c r="W175" i="8"/>
  <c r="V175" i="8"/>
  <c r="U175" i="8"/>
  <c r="T175" i="8"/>
  <c r="S175" i="8"/>
  <c r="Q175" i="8"/>
  <c r="P175" i="8"/>
  <c r="K175" i="8"/>
  <c r="G175" i="8"/>
  <c r="O175" i="8" s="1"/>
  <c r="C175" i="8" a="1"/>
  <c r="C175" i="8"/>
  <c r="B175" i="8"/>
  <c r="A175" i="8"/>
  <c r="X174" i="8"/>
  <c r="W174" i="8"/>
  <c r="V174" i="8"/>
  <c r="U174" i="8"/>
  <c r="T174" i="8"/>
  <c r="S174" i="8"/>
  <c r="R174" i="8"/>
  <c r="K174" i="8"/>
  <c r="G174" i="8"/>
  <c r="C174" i="8" a="1"/>
  <c r="C174" i="8" s="1"/>
  <c r="B174" i="8"/>
  <c r="A174" i="8"/>
  <c r="Y173" i="8"/>
  <c r="X173" i="8"/>
  <c r="W173" i="8"/>
  <c r="V173" i="8"/>
  <c r="T173" i="8"/>
  <c r="S173" i="8"/>
  <c r="R173" i="8"/>
  <c r="Q173" i="8"/>
  <c r="P173" i="8"/>
  <c r="O173" i="8"/>
  <c r="K173" i="8"/>
  <c r="G173" i="8"/>
  <c r="C173" i="8" a="1"/>
  <c r="C173" i="8"/>
  <c r="B173" i="8"/>
  <c r="A173" i="8"/>
  <c r="Y172" i="8"/>
  <c r="X172" i="8"/>
  <c r="W172" i="8"/>
  <c r="V172" i="8"/>
  <c r="U172" i="8"/>
  <c r="Q172" i="8"/>
  <c r="P172" i="8"/>
  <c r="O172" i="8"/>
  <c r="K172" i="8"/>
  <c r="G172" i="8"/>
  <c r="C172" i="8" a="1"/>
  <c r="C172" i="8" s="1"/>
  <c r="B172" i="8"/>
  <c r="A172" i="8"/>
  <c r="Y171" i="8"/>
  <c r="X171" i="8"/>
  <c r="W171" i="8"/>
  <c r="V171" i="8"/>
  <c r="K171" i="8"/>
  <c r="G171" i="8"/>
  <c r="Q171" i="8" s="1"/>
  <c r="B171" i="8"/>
  <c r="C171" i="8" s="1" a="1"/>
  <c r="C171" i="8" s="1"/>
  <c r="A171" i="8"/>
  <c r="X170" i="8"/>
  <c r="W170" i="8"/>
  <c r="V170" i="8"/>
  <c r="Q170" i="8"/>
  <c r="P170" i="8"/>
  <c r="K170" i="8"/>
  <c r="G170" i="8"/>
  <c r="O170" i="8" s="1"/>
  <c r="C170" i="8" a="1"/>
  <c r="C170" i="8" s="1"/>
  <c r="B170" i="8"/>
  <c r="A170" i="8"/>
  <c r="Y169" i="8"/>
  <c r="X169" i="8"/>
  <c r="W169" i="8"/>
  <c r="V169" i="8"/>
  <c r="S169" i="8"/>
  <c r="R169" i="8"/>
  <c r="Q169" i="8"/>
  <c r="P169" i="8"/>
  <c r="O169" i="8"/>
  <c r="K169" i="8"/>
  <c r="T169" i="8" s="1"/>
  <c r="G169" i="8"/>
  <c r="C169" i="8"/>
  <c r="B169" i="8"/>
  <c r="C169" i="8" s="1" a="1"/>
  <c r="A169" i="8"/>
  <c r="X168" i="8"/>
  <c r="W168" i="8"/>
  <c r="V168" i="8"/>
  <c r="U168" i="8"/>
  <c r="Q168" i="8"/>
  <c r="P168" i="8"/>
  <c r="O168" i="8"/>
  <c r="K168" i="8"/>
  <c r="G168" i="8"/>
  <c r="C168" i="8" a="1"/>
  <c r="C168" i="8" s="1"/>
  <c r="B168" i="8"/>
  <c r="A168" i="8"/>
  <c r="X167" i="8"/>
  <c r="W167" i="8"/>
  <c r="V167" i="8"/>
  <c r="U167" i="8"/>
  <c r="K167" i="8"/>
  <c r="G167" i="8"/>
  <c r="B167" i="8"/>
  <c r="C167" i="8" s="1" a="1"/>
  <c r="C167" i="8" s="1"/>
  <c r="A167" i="8"/>
  <c r="Y166" i="8"/>
  <c r="X166" i="8"/>
  <c r="W166" i="8"/>
  <c r="V166" i="8"/>
  <c r="T166" i="8"/>
  <c r="S166" i="8"/>
  <c r="R166" i="8"/>
  <c r="K166" i="8"/>
  <c r="G166" i="8"/>
  <c r="C166" i="8" a="1"/>
  <c r="C166" i="8" s="1"/>
  <c r="B166" i="8"/>
  <c r="A166" i="8"/>
  <c r="X165" i="8"/>
  <c r="W165" i="8"/>
  <c r="V165" i="8"/>
  <c r="U165" i="8"/>
  <c r="Q165" i="8"/>
  <c r="P165" i="8"/>
  <c r="K165" i="8"/>
  <c r="G165" i="8"/>
  <c r="O165" i="8" s="1"/>
  <c r="B165" i="8"/>
  <c r="C165" i="8" s="1" a="1"/>
  <c r="C165" i="8" s="1"/>
  <c r="A165" i="8"/>
  <c r="X164" i="8"/>
  <c r="W164" i="8"/>
  <c r="V164" i="8"/>
  <c r="S164" i="8"/>
  <c r="R164" i="8"/>
  <c r="P164" i="8"/>
  <c r="O164" i="8"/>
  <c r="K164" i="8"/>
  <c r="Y164" i="8" s="1"/>
  <c r="G164" i="8"/>
  <c r="Q164" i="8" s="1"/>
  <c r="C164" i="8"/>
  <c r="B164" i="8"/>
  <c r="C164" i="8" s="1" a="1"/>
  <c r="A164" i="8"/>
  <c r="Y163" i="8"/>
  <c r="X163" i="8"/>
  <c r="W163" i="8"/>
  <c r="V163" i="8"/>
  <c r="U163" i="8"/>
  <c r="T163" i="8"/>
  <c r="S163" i="8"/>
  <c r="R163" i="8"/>
  <c r="Q163" i="8"/>
  <c r="K163" i="8"/>
  <c r="U162" i="8" s="1"/>
  <c r="G163" i="8"/>
  <c r="C163" i="8" a="1"/>
  <c r="C163" i="8" s="1"/>
  <c r="B163" i="8"/>
  <c r="A163" i="8"/>
  <c r="X162" i="8"/>
  <c r="W162" i="8"/>
  <c r="V162" i="8"/>
  <c r="R162" i="8"/>
  <c r="Q162" i="8"/>
  <c r="P162" i="8"/>
  <c r="O162" i="8"/>
  <c r="K162" i="8"/>
  <c r="Y162" i="8" s="1"/>
  <c r="G162" i="8"/>
  <c r="B162" i="8"/>
  <c r="C162" i="8" s="1" a="1"/>
  <c r="C162" i="8" s="1"/>
  <c r="A162" i="8"/>
  <c r="X161" i="8"/>
  <c r="W161" i="8"/>
  <c r="V161" i="8"/>
  <c r="T161" i="8"/>
  <c r="S161" i="8"/>
  <c r="Q161" i="8"/>
  <c r="K161" i="8"/>
  <c r="G161" i="8"/>
  <c r="C161" i="8" a="1"/>
  <c r="C161" i="8" s="1"/>
  <c r="B161" i="8"/>
  <c r="A161" i="8"/>
  <c r="X160" i="8"/>
  <c r="W160" i="8"/>
  <c r="V160" i="8"/>
  <c r="U160" i="8"/>
  <c r="K160" i="8"/>
  <c r="G160" i="8"/>
  <c r="C160" i="8" a="1"/>
  <c r="C160" i="8" s="1"/>
  <c r="B160" i="8"/>
  <c r="A160" i="8"/>
  <c r="Y159" i="8"/>
  <c r="X159" i="8"/>
  <c r="W159" i="8"/>
  <c r="V159" i="8"/>
  <c r="T159" i="8"/>
  <c r="S159" i="8"/>
  <c r="R159" i="8"/>
  <c r="Q159" i="8"/>
  <c r="K159" i="8"/>
  <c r="G159" i="8"/>
  <c r="P159" i="8" s="1"/>
  <c r="C159" i="8" a="1"/>
  <c r="C159" i="8"/>
  <c r="B159" i="8"/>
  <c r="A159" i="8"/>
  <c r="Y158" i="8"/>
  <c r="X158" i="8"/>
  <c r="W158" i="8"/>
  <c r="V158" i="8"/>
  <c r="U158" i="8"/>
  <c r="T158" i="8"/>
  <c r="R158" i="8"/>
  <c r="Q158" i="8"/>
  <c r="P158" i="8"/>
  <c r="O158" i="8"/>
  <c r="K158" i="8"/>
  <c r="S158" i="8" s="1"/>
  <c r="G158" i="8"/>
  <c r="C158" i="8" a="1"/>
  <c r="C158" i="8" s="1"/>
  <c r="B158" i="8"/>
  <c r="A158" i="8"/>
  <c r="Y157" i="8"/>
  <c r="X157" i="8"/>
  <c r="W157" i="8"/>
  <c r="V157" i="8"/>
  <c r="U157" i="8"/>
  <c r="T157" i="8"/>
  <c r="K157" i="8"/>
  <c r="R157" i="8" s="1"/>
  <c r="G157" i="8"/>
  <c r="B157" i="8"/>
  <c r="C157" i="8" s="1" a="1"/>
  <c r="C157" i="8" s="1"/>
  <c r="A157" i="8"/>
  <c r="Y156" i="8"/>
  <c r="X156" i="8"/>
  <c r="W156" i="8"/>
  <c r="V156" i="8"/>
  <c r="U156" i="8"/>
  <c r="S156" i="8"/>
  <c r="R156" i="8"/>
  <c r="Q156" i="8"/>
  <c r="P156" i="8"/>
  <c r="K156" i="8"/>
  <c r="T156" i="8" s="1"/>
  <c r="G156" i="8"/>
  <c r="O156" i="8" s="1"/>
  <c r="C156" i="8" a="1"/>
  <c r="C156" i="8" s="1"/>
  <c r="B156" i="8"/>
  <c r="A156" i="8"/>
  <c r="Y155" i="8"/>
  <c r="X155" i="8"/>
  <c r="W155" i="8"/>
  <c r="V155" i="8"/>
  <c r="U155" i="8"/>
  <c r="S155" i="8"/>
  <c r="R155" i="8"/>
  <c r="Q155" i="8"/>
  <c r="P155" i="8"/>
  <c r="O155" i="8"/>
  <c r="K155" i="8"/>
  <c r="T155" i="8" s="1"/>
  <c r="G155" i="8"/>
  <c r="C155" i="8" a="1"/>
  <c r="C155" i="8"/>
  <c r="B155" i="8"/>
  <c r="A155" i="8"/>
  <c r="X154" i="8"/>
  <c r="W154" i="8"/>
  <c r="V154" i="8"/>
  <c r="U154" i="8"/>
  <c r="K154" i="8"/>
  <c r="G154" i="8"/>
  <c r="B154" i="8"/>
  <c r="C154" i="8" s="1" a="1"/>
  <c r="C154" i="8" s="1"/>
  <c r="A154" i="8"/>
  <c r="X153" i="8"/>
  <c r="W153" i="8"/>
  <c r="V153" i="8"/>
  <c r="Q153" i="8"/>
  <c r="O153" i="8"/>
  <c r="K153" i="8"/>
  <c r="G153" i="8"/>
  <c r="P153" i="8" s="1"/>
  <c r="B153" i="8"/>
  <c r="C153" i="8" s="1" a="1"/>
  <c r="C153" i="8" s="1"/>
  <c r="A153" i="8"/>
  <c r="Y152" i="8"/>
  <c r="X152" i="8"/>
  <c r="W152" i="8"/>
  <c r="V152" i="8"/>
  <c r="T152" i="8"/>
  <c r="S152" i="8"/>
  <c r="R152" i="8"/>
  <c r="Q152" i="8"/>
  <c r="P152" i="8"/>
  <c r="K152" i="8"/>
  <c r="G152" i="8"/>
  <c r="O152" i="8" s="1"/>
  <c r="C152" i="8" a="1"/>
  <c r="C152" i="8" s="1"/>
  <c r="B152" i="8"/>
  <c r="A152" i="8"/>
  <c r="X151" i="8"/>
  <c r="W151" i="8"/>
  <c r="V151" i="8"/>
  <c r="U151" i="8"/>
  <c r="R151" i="8"/>
  <c r="P151" i="8"/>
  <c r="O151" i="8"/>
  <c r="K151" i="8"/>
  <c r="G151" i="8"/>
  <c r="Q151" i="8" s="1"/>
  <c r="C151" i="8"/>
  <c r="B151" i="8"/>
  <c r="C151" i="8" s="1" a="1"/>
  <c r="A151" i="8"/>
  <c r="X150" i="8"/>
  <c r="W150" i="8"/>
  <c r="V150" i="8"/>
  <c r="S150" i="8"/>
  <c r="R150" i="8"/>
  <c r="P150" i="8"/>
  <c r="O150" i="8"/>
  <c r="K150" i="8"/>
  <c r="Y150" i="8" s="1"/>
  <c r="G150" i="8"/>
  <c r="Q150" i="8" s="1"/>
  <c r="C150" i="8"/>
  <c r="B150" i="8"/>
  <c r="C150" i="8" s="1" a="1"/>
  <c r="A150" i="8"/>
  <c r="Y149" i="8"/>
  <c r="X149" i="8"/>
  <c r="W149" i="8"/>
  <c r="V149" i="8"/>
  <c r="U149" i="8"/>
  <c r="T149" i="8"/>
  <c r="S149" i="8"/>
  <c r="R149" i="8"/>
  <c r="K149" i="8"/>
  <c r="U148" i="8" s="1"/>
  <c r="G149" i="8"/>
  <c r="C149" i="8" a="1"/>
  <c r="C149" i="8"/>
  <c r="B149" i="8"/>
  <c r="A149" i="8"/>
  <c r="X148" i="8"/>
  <c r="W148" i="8"/>
  <c r="V148" i="8"/>
  <c r="Q148" i="8"/>
  <c r="P148" i="8"/>
  <c r="O148" i="8"/>
  <c r="K148" i="8"/>
  <c r="G148" i="8"/>
  <c r="B148" i="8"/>
  <c r="C148" i="8" s="1" a="1"/>
  <c r="C148" i="8" s="1"/>
  <c r="A148" i="8"/>
  <c r="X147" i="8"/>
  <c r="W147" i="8"/>
  <c r="V147" i="8"/>
  <c r="Q147" i="8"/>
  <c r="P147" i="8"/>
  <c r="K147" i="8"/>
  <c r="G147" i="8"/>
  <c r="O147" i="8" s="1"/>
  <c r="C147" i="8"/>
  <c r="B147" i="8"/>
  <c r="C147" i="8" s="1" a="1"/>
  <c r="A147" i="8"/>
  <c r="X146" i="8"/>
  <c r="W146" i="8"/>
  <c r="V146" i="8"/>
  <c r="R146" i="8"/>
  <c r="O146" i="8"/>
  <c r="K146" i="8"/>
  <c r="G146" i="8"/>
  <c r="C146" i="8" a="1"/>
  <c r="C146" i="8" s="1"/>
  <c r="B146" i="8"/>
  <c r="A146" i="8"/>
  <c r="Y145" i="8"/>
  <c r="X145" i="8"/>
  <c r="W145" i="8"/>
  <c r="V145" i="8"/>
  <c r="T145" i="8"/>
  <c r="S145" i="8"/>
  <c r="R145" i="8"/>
  <c r="O145" i="8"/>
  <c r="K145" i="8"/>
  <c r="G145" i="8"/>
  <c r="P145" i="8" s="1"/>
  <c r="C145" i="8" a="1"/>
  <c r="C145" i="8"/>
  <c r="B145" i="8"/>
  <c r="A145" i="8"/>
  <c r="Y144" i="8"/>
  <c r="X144" i="8"/>
  <c r="W144" i="8"/>
  <c r="V144" i="8"/>
  <c r="U144" i="8"/>
  <c r="T144" i="8"/>
  <c r="R144" i="8"/>
  <c r="Q144" i="8"/>
  <c r="P144" i="8"/>
  <c r="O144" i="8"/>
  <c r="K144" i="8"/>
  <c r="S144" i="8" s="1"/>
  <c r="G144" i="8"/>
  <c r="B144" i="8"/>
  <c r="C144" i="8" s="1" a="1"/>
  <c r="C144" i="8" s="1"/>
  <c r="A144" i="8"/>
  <c r="X143" i="8"/>
  <c r="W143" i="8"/>
  <c r="V143" i="8"/>
  <c r="U143" i="8"/>
  <c r="O143" i="8"/>
  <c r="K143" i="8"/>
  <c r="Y143" i="8" s="1"/>
  <c r="G143" i="8"/>
  <c r="B143" i="8"/>
  <c r="C143" i="8" s="1" a="1"/>
  <c r="C143" i="8" s="1"/>
  <c r="A143" i="8"/>
  <c r="X142" i="8"/>
  <c r="W142" i="8"/>
  <c r="V142" i="8"/>
  <c r="R142" i="8"/>
  <c r="K142" i="8"/>
  <c r="T142" i="8" s="1"/>
  <c r="G142" i="8"/>
  <c r="O142" i="8" s="1"/>
  <c r="C142" i="8" a="1"/>
  <c r="C142" i="8" s="1"/>
  <c r="B142" i="8"/>
  <c r="A142" i="8"/>
  <c r="Y141" i="8"/>
  <c r="X141" i="8"/>
  <c r="W141" i="8"/>
  <c r="V141" i="8"/>
  <c r="S141" i="8"/>
  <c r="R141" i="8"/>
  <c r="Q141" i="8"/>
  <c r="P141" i="8"/>
  <c r="O141" i="8"/>
  <c r="K141" i="8"/>
  <c r="T141" i="8" s="1"/>
  <c r="G141" i="8"/>
  <c r="C141" i="8" a="1"/>
  <c r="C141" i="8" s="1"/>
  <c r="B141" i="8"/>
  <c r="A141" i="8"/>
  <c r="X140" i="8"/>
  <c r="W140" i="8"/>
  <c r="V140" i="8"/>
  <c r="U140" i="8"/>
  <c r="T140" i="8"/>
  <c r="Q140" i="8"/>
  <c r="O140" i="8"/>
  <c r="K140" i="8"/>
  <c r="G140" i="8"/>
  <c r="P140" i="8" s="1"/>
  <c r="B140" i="8"/>
  <c r="C140" i="8" s="1" a="1"/>
  <c r="C140" i="8" s="1"/>
  <c r="A140" i="8"/>
  <c r="Y139" i="8"/>
  <c r="X139" i="8"/>
  <c r="W139" i="8"/>
  <c r="V139" i="8"/>
  <c r="U139" i="8"/>
  <c r="S139" i="8"/>
  <c r="R139" i="8"/>
  <c r="Q139" i="8"/>
  <c r="O139" i="8"/>
  <c r="K139" i="8"/>
  <c r="U138" i="8" s="1"/>
  <c r="G139" i="8"/>
  <c r="P139" i="8" s="1"/>
  <c r="B139" i="8"/>
  <c r="C139" i="8" s="1" a="1"/>
  <c r="C139" i="8" s="1"/>
  <c r="A139" i="8"/>
  <c r="Y138" i="8"/>
  <c r="X138" i="8"/>
  <c r="W138" i="8"/>
  <c r="V138" i="8"/>
  <c r="T138" i="8"/>
  <c r="S138" i="8"/>
  <c r="R138" i="8"/>
  <c r="K138" i="8"/>
  <c r="G138" i="8"/>
  <c r="B138" i="8"/>
  <c r="C138" i="8" s="1" a="1"/>
  <c r="C138" i="8" s="1"/>
  <c r="A138" i="8"/>
  <c r="X137" i="8"/>
  <c r="W137" i="8"/>
  <c r="V137" i="8"/>
  <c r="U137" i="8"/>
  <c r="K137" i="8"/>
  <c r="G137" i="8"/>
  <c r="Q137" i="8" s="1"/>
  <c r="C137" i="8" a="1"/>
  <c r="C137" i="8"/>
  <c r="B137" i="8"/>
  <c r="A137" i="8"/>
  <c r="X136" i="8"/>
  <c r="W136" i="8"/>
  <c r="V136" i="8"/>
  <c r="R136" i="8"/>
  <c r="K136" i="8"/>
  <c r="S136" i="8" s="1"/>
  <c r="G136" i="8"/>
  <c r="Q136" i="8" s="1"/>
  <c r="B136" i="8"/>
  <c r="C136" i="8" s="1" a="1"/>
  <c r="C136" i="8" s="1"/>
  <c r="A136" i="8"/>
  <c r="X135" i="8"/>
  <c r="W135" i="8"/>
  <c r="V135" i="8"/>
  <c r="U135" i="8"/>
  <c r="S135" i="8"/>
  <c r="R135" i="8"/>
  <c r="K135" i="8"/>
  <c r="U134" i="8" s="1"/>
  <c r="G135" i="8"/>
  <c r="C135" i="8" a="1"/>
  <c r="C135" i="8"/>
  <c r="B135" i="8"/>
  <c r="A135" i="8"/>
  <c r="X134" i="8"/>
  <c r="W134" i="8"/>
  <c r="V134" i="8"/>
  <c r="R134" i="8"/>
  <c r="Q134" i="8"/>
  <c r="P134" i="8"/>
  <c r="O134" i="8"/>
  <c r="K134" i="8"/>
  <c r="S134" i="8" s="1"/>
  <c r="G134" i="8"/>
  <c r="B134" i="8"/>
  <c r="C134" i="8" s="1" a="1"/>
  <c r="C134" i="8" s="1"/>
  <c r="A134" i="8"/>
  <c r="X133" i="8"/>
  <c r="W133" i="8"/>
  <c r="V133" i="8"/>
  <c r="U133" i="8"/>
  <c r="T133" i="8"/>
  <c r="Q133" i="8"/>
  <c r="P133" i="8"/>
  <c r="O133" i="8"/>
  <c r="K133" i="8"/>
  <c r="G133" i="8"/>
  <c r="B133" i="8"/>
  <c r="C133" i="8" s="1" a="1"/>
  <c r="C133" i="8" s="1"/>
  <c r="A133" i="8"/>
  <c r="Y132" i="8"/>
  <c r="X132" i="8"/>
  <c r="W132" i="8"/>
  <c r="V132" i="8"/>
  <c r="T132" i="8"/>
  <c r="S132" i="8"/>
  <c r="R132" i="8"/>
  <c r="O132" i="8"/>
  <c r="K132" i="8"/>
  <c r="U131" i="8" s="1"/>
  <c r="G132" i="8"/>
  <c r="B132" i="8"/>
  <c r="C132" i="8" s="1" a="1"/>
  <c r="C132" i="8" s="1"/>
  <c r="A132" i="8"/>
  <c r="Y131" i="8"/>
  <c r="X131" i="8"/>
  <c r="W131" i="8"/>
  <c r="V131" i="8"/>
  <c r="T131" i="8"/>
  <c r="S131" i="8"/>
  <c r="R131" i="8"/>
  <c r="K131" i="8"/>
  <c r="G131" i="8"/>
  <c r="C131" i="8" a="1"/>
  <c r="C131" i="8"/>
  <c r="B131" i="8"/>
  <c r="A131" i="8"/>
  <c r="Y130" i="8"/>
  <c r="X130" i="8"/>
  <c r="W130" i="8"/>
  <c r="V130" i="8"/>
  <c r="U130" i="8"/>
  <c r="T130" i="8"/>
  <c r="R130" i="8"/>
  <c r="Q130" i="8"/>
  <c r="P130" i="8"/>
  <c r="O130" i="8"/>
  <c r="K130" i="8"/>
  <c r="S130" i="8" s="1"/>
  <c r="G130" i="8"/>
  <c r="B130" i="8"/>
  <c r="C130" i="8" s="1" a="1"/>
  <c r="C130" i="8" s="1"/>
  <c r="A130" i="8"/>
  <c r="Y129" i="8"/>
  <c r="X129" i="8"/>
  <c r="W129" i="8"/>
  <c r="V129" i="8"/>
  <c r="U129" i="8"/>
  <c r="T129" i="8"/>
  <c r="S129" i="8"/>
  <c r="K129" i="8"/>
  <c r="R129" i="8" s="1"/>
  <c r="G129" i="8"/>
  <c r="Q129" i="8" s="1"/>
  <c r="B129" i="8"/>
  <c r="C129" i="8" s="1" a="1"/>
  <c r="C129" i="8" s="1"/>
  <c r="A129" i="8"/>
  <c r="Y128" i="8"/>
  <c r="X128" i="8"/>
  <c r="W128" i="8"/>
  <c r="V128" i="8"/>
  <c r="U128" i="8"/>
  <c r="Q128" i="8"/>
  <c r="P128" i="8"/>
  <c r="K128" i="8"/>
  <c r="G128" i="8"/>
  <c r="O128" i="8" s="1"/>
  <c r="C128" i="8" a="1"/>
  <c r="C128" i="8" s="1"/>
  <c r="B128" i="8"/>
  <c r="A128" i="8"/>
  <c r="Y127" i="8"/>
  <c r="X127" i="8"/>
  <c r="W127" i="8"/>
  <c r="V127" i="8"/>
  <c r="S127" i="8"/>
  <c r="R127" i="8"/>
  <c r="Q127" i="8"/>
  <c r="P127" i="8"/>
  <c r="O127" i="8"/>
  <c r="K127" i="8"/>
  <c r="T127" i="8" s="1"/>
  <c r="G127" i="8"/>
  <c r="B127" i="8"/>
  <c r="C127" i="8" s="1" a="1"/>
  <c r="C127" i="8" s="1"/>
  <c r="A127" i="8"/>
  <c r="X126" i="8"/>
  <c r="W126" i="8"/>
  <c r="V126" i="8"/>
  <c r="U126" i="8"/>
  <c r="K126" i="8"/>
  <c r="G126" i="8"/>
  <c r="C126" i="8" a="1"/>
  <c r="C126" i="8"/>
  <c r="B126" i="8"/>
  <c r="A126" i="8"/>
  <c r="Y125" i="8"/>
  <c r="X125" i="8"/>
  <c r="W125" i="8"/>
  <c r="V125" i="8"/>
  <c r="K125" i="8"/>
  <c r="G125" i="8"/>
  <c r="P125" i="8" s="1"/>
  <c r="B125" i="8"/>
  <c r="C125" i="8" s="1" a="1"/>
  <c r="C125" i="8" s="1"/>
  <c r="A125" i="8"/>
  <c r="Y124" i="8"/>
  <c r="X124" i="8"/>
  <c r="W124" i="8"/>
  <c r="V124" i="8"/>
  <c r="T124" i="8"/>
  <c r="S124" i="8"/>
  <c r="R124" i="8"/>
  <c r="K124" i="8"/>
  <c r="G124" i="8"/>
  <c r="O124" i="8" s="1"/>
  <c r="C124" i="8" a="1"/>
  <c r="C124" i="8" s="1"/>
  <c r="B124" i="8"/>
  <c r="A124" i="8"/>
  <c r="X123" i="8"/>
  <c r="W123" i="8"/>
  <c r="V123" i="8"/>
  <c r="U123" i="8"/>
  <c r="K123" i="8"/>
  <c r="G123" i="8"/>
  <c r="O123" i="8" s="1"/>
  <c r="C123" i="8" a="1"/>
  <c r="C123" i="8" s="1"/>
  <c r="B123" i="8"/>
  <c r="A123" i="8"/>
  <c r="Y122" i="8"/>
  <c r="X122" i="8"/>
  <c r="W122" i="8"/>
  <c r="V122" i="8"/>
  <c r="Q122" i="8"/>
  <c r="P122" i="8"/>
  <c r="O122" i="8"/>
  <c r="G122" i="8"/>
  <c r="B122" i="8"/>
  <c r="C122" i="8" s="1" a="1"/>
  <c r="C122" i="8" s="1"/>
  <c r="A122" i="8"/>
  <c r="X121" i="8"/>
  <c r="W121" i="8"/>
  <c r="V121" i="8"/>
  <c r="U121" i="8"/>
  <c r="T121" i="8"/>
  <c r="Q121" i="8"/>
  <c r="P121" i="8"/>
  <c r="O121" i="8"/>
  <c r="K121" i="8"/>
  <c r="G121" i="8"/>
  <c r="C121" i="8"/>
  <c r="B121" i="8"/>
  <c r="C121" i="8" s="1" a="1"/>
  <c r="A121" i="8"/>
  <c r="Y120" i="8"/>
  <c r="X120" i="8"/>
  <c r="W120" i="8"/>
  <c r="V120" i="8"/>
  <c r="T120" i="8"/>
  <c r="S120" i="8"/>
  <c r="R120" i="8"/>
  <c r="O120" i="8"/>
  <c r="K120" i="8"/>
  <c r="U119" i="8" s="1"/>
  <c r="G120" i="8"/>
  <c r="B120" i="8"/>
  <c r="C120" i="8" s="1" a="1"/>
  <c r="C120" i="8" s="1"/>
  <c r="A120" i="8"/>
  <c r="Y119" i="8"/>
  <c r="X119" i="8"/>
  <c r="W119" i="8"/>
  <c r="V119" i="8"/>
  <c r="T119" i="8"/>
  <c r="S119" i="8"/>
  <c r="R119" i="8"/>
  <c r="K119" i="8"/>
  <c r="G119" i="8"/>
  <c r="C119" i="8" a="1"/>
  <c r="C119" i="8"/>
  <c r="B119" i="8"/>
  <c r="A119" i="8"/>
  <c r="X118" i="8"/>
  <c r="W118" i="8"/>
  <c r="V118" i="8"/>
  <c r="U118" i="8"/>
  <c r="Q118" i="8"/>
  <c r="P118" i="8"/>
  <c r="O118" i="8"/>
  <c r="K118" i="8"/>
  <c r="G118" i="8"/>
  <c r="C118" i="8" a="1"/>
  <c r="C118" i="8" s="1"/>
  <c r="B118" i="8"/>
  <c r="A118" i="8"/>
  <c r="X117" i="8"/>
  <c r="W117" i="8"/>
  <c r="V117" i="8"/>
  <c r="O117" i="8"/>
  <c r="K117" i="8"/>
  <c r="G117" i="8"/>
  <c r="P117" i="8" s="1"/>
  <c r="B117" i="8"/>
  <c r="C117" i="8" s="1" a="1"/>
  <c r="C117" i="8" s="1"/>
  <c r="A117" i="8"/>
  <c r="Y116" i="8"/>
  <c r="X116" i="8"/>
  <c r="W116" i="8"/>
  <c r="V116" i="8"/>
  <c r="S116" i="8"/>
  <c r="R116" i="8"/>
  <c r="Q116" i="8"/>
  <c r="P116" i="8"/>
  <c r="K116" i="8"/>
  <c r="T116" i="8" s="1"/>
  <c r="G116" i="8"/>
  <c r="O116" i="8" s="1"/>
  <c r="C116" i="8" a="1"/>
  <c r="C116" i="8" s="1"/>
  <c r="B116" i="8"/>
  <c r="A116" i="8"/>
  <c r="Y115" i="8"/>
  <c r="X115" i="8"/>
  <c r="W115" i="8"/>
  <c r="V115" i="8"/>
  <c r="U115" i="8"/>
  <c r="S115" i="8"/>
  <c r="R115" i="8"/>
  <c r="O115" i="8"/>
  <c r="K115" i="8"/>
  <c r="T115" i="8" s="1"/>
  <c r="G115" i="8"/>
  <c r="C115" i="8" a="1"/>
  <c r="C115" i="8" s="1"/>
  <c r="B115" i="8"/>
  <c r="A115" i="8"/>
  <c r="X114" i="8"/>
  <c r="W114" i="8"/>
  <c r="V114" i="8"/>
  <c r="U114" i="8"/>
  <c r="Q114" i="8"/>
  <c r="P114" i="8"/>
  <c r="K114" i="8"/>
  <c r="G114" i="8"/>
  <c r="O114" i="8" s="1"/>
  <c r="B114" i="8"/>
  <c r="C114" i="8" s="1" a="1"/>
  <c r="C114" i="8" s="1"/>
  <c r="A114" i="8"/>
  <c r="Y113" i="8"/>
  <c r="X113" i="8"/>
  <c r="W113" i="8"/>
  <c r="V113" i="8"/>
  <c r="T113" i="8"/>
  <c r="S113" i="8"/>
  <c r="R113" i="8"/>
  <c r="Q113" i="8"/>
  <c r="O113" i="8"/>
  <c r="K113" i="8"/>
  <c r="U112" i="8" s="1"/>
  <c r="G113" i="8"/>
  <c r="P113" i="8" s="1"/>
  <c r="B113" i="8"/>
  <c r="C113" i="8" s="1" a="1"/>
  <c r="C113" i="8" s="1"/>
  <c r="A113" i="8"/>
  <c r="X112" i="8"/>
  <c r="W112" i="8"/>
  <c r="V112" i="8"/>
  <c r="T112" i="8"/>
  <c r="R112" i="8"/>
  <c r="P112" i="8"/>
  <c r="K112" i="8"/>
  <c r="U111" i="8" s="1"/>
  <c r="G112" i="8"/>
  <c r="C112" i="8"/>
  <c r="B112" i="8"/>
  <c r="C112" i="8" s="1" a="1"/>
  <c r="A112" i="8"/>
  <c r="Y111" i="8"/>
  <c r="X111" i="8"/>
  <c r="W111" i="8"/>
  <c r="V111" i="8"/>
  <c r="S111" i="8"/>
  <c r="R111" i="8"/>
  <c r="K111" i="8"/>
  <c r="T111" i="8" s="1"/>
  <c r="G111" i="8"/>
  <c r="Q111" i="8" s="1"/>
  <c r="C111" i="8" a="1"/>
  <c r="C111" i="8"/>
  <c r="B111" i="8"/>
  <c r="A111" i="8"/>
  <c r="X110" i="8"/>
  <c r="W110" i="8"/>
  <c r="V110" i="8"/>
  <c r="U110" i="8"/>
  <c r="T110" i="8"/>
  <c r="O110" i="8"/>
  <c r="K110" i="8"/>
  <c r="G110" i="8"/>
  <c r="B110" i="8"/>
  <c r="C110" i="8" s="1" a="1"/>
  <c r="C110" i="8" s="1"/>
  <c r="A110" i="8"/>
  <c r="X109" i="8"/>
  <c r="W109" i="8"/>
  <c r="V109" i="8"/>
  <c r="Q109" i="8"/>
  <c r="K109" i="8"/>
  <c r="G109" i="8"/>
  <c r="P109" i="8" s="1"/>
  <c r="C109" i="8" a="1"/>
  <c r="C109" i="8"/>
  <c r="B109" i="8"/>
  <c r="A109" i="8"/>
  <c r="X108" i="8"/>
  <c r="W108" i="8"/>
  <c r="V108" i="8"/>
  <c r="S108" i="8"/>
  <c r="R108" i="8"/>
  <c r="Q108" i="8"/>
  <c r="P108" i="8"/>
  <c r="O108" i="8"/>
  <c r="K108" i="8"/>
  <c r="Y108" i="8" s="1"/>
  <c r="G108" i="8"/>
  <c r="B108" i="8"/>
  <c r="C108" i="8" s="1" a="1"/>
  <c r="C108" i="8" s="1"/>
  <c r="A108" i="8"/>
  <c r="Y107" i="8"/>
  <c r="X107" i="8"/>
  <c r="W107" i="8"/>
  <c r="V107" i="8"/>
  <c r="U107" i="8"/>
  <c r="S107" i="8"/>
  <c r="Q107" i="8"/>
  <c r="P107" i="8"/>
  <c r="O107" i="8"/>
  <c r="K107" i="8"/>
  <c r="R107" i="8" s="1"/>
  <c r="G107" i="8"/>
  <c r="B107" i="8"/>
  <c r="C107" i="8" s="1" a="1"/>
  <c r="C107" i="8" s="1"/>
  <c r="A107" i="8"/>
  <c r="X106" i="8"/>
  <c r="W106" i="8"/>
  <c r="V106" i="8"/>
  <c r="U106" i="8"/>
  <c r="T106" i="8"/>
  <c r="O106" i="8"/>
  <c r="K106" i="8"/>
  <c r="Y106" i="8" s="1"/>
  <c r="G106" i="8"/>
  <c r="B106" i="8"/>
  <c r="C106" i="8" s="1" a="1"/>
  <c r="C106" i="8" s="1"/>
  <c r="A106" i="8"/>
  <c r="Y105" i="8"/>
  <c r="X105" i="8"/>
  <c r="W105" i="8"/>
  <c r="V105" i="8"/>
  <c r="T105" i="8"/>
  <c r="S105" i="8"/>
  <c r="R105" i="8"/>
  <c r="Q105" i="8"/>
  <c r="P105" i="8"/>
  <c r="O105" i="8"/>
  <c r="K105" i="8"/>
  <c r="G105" i="8"/>
  <c r="C105" i="8" a="1"/>
  <c r="C105" i="8"/>
  <c r="B105" i="8"/>
  <c r="A105" i="8"/>
  <c r="X104" i="8"/>
  <c r="W104" i="8"/>
  <c r="V104" i="8"/>
  <c r="U104" i="8"/>
  <c r="T104" i="8"/>
  <c r="R104" i="8"/>
  <c r="Q104" i="8"/>
  <c r="P104" i="8"/>
  <c r="O104" i="8"/>
  <c r="K104" i="8"/>
  <c r="G104" i="8"/>
  <c r="C104" i="8"/>
  <c r="B104" i="8"/>
  <c r="C104" i="8" s="1" a="1"/>
  <c r="A104" i="8"/>
  <c r="Y103" i="8"/>
  <c r="X103" i="8"/>
  <c r="W103" i="8"/>
  <c r="V103" i="8"/>
  <c r="T103" i="8"/>
  <c r="S103" i="8"/>
  <c r="Q103" i="8"/>
  <c r="K103" i="8"/>
  <c r="R103" i="8" s="1"/>
  <c r="G103" i="8"/>
  <c r="B103" i="8"/>
  <c r="C103" i="8" s="1" a="1"/>
  <c r="C103" i="8" s="1"/>
  <c r="A103" i="8"/>
  <c r="Y102" i="8"/>
  <c r="X102" i="8"/>
  <c r="W102" i="8"/>
  <c r="V102" i="8"/>
  <c r="U102" i="8"/>
  <c r="Q102" i="8"/>
  <c r="P102" i="8"/>
  <c r="K102" i="8"/>
  <c r="G102" i="8"/>
  <c r="O102" i="8" s="1"/>
  <c r="C102" i="8" a="1"/>
  <c r="C102" i="8" s="1"/>
  <c r="B102" i="8"/>
  <c r="A102" i="8"/>
  <c r="Y101" i="8"/>
  <c r="X101" i="8"/>
  <c r="W101" i="8"/>
  <c r="V101" i="8"/>
  <c r="S101" i="8"/>
  <c r="R101" i="8"/>
  <c r="Q101" i="8"/>
  <c r="K101" i="8"/>
  <c r="T101" i="8" s="1"/>
  <c r="G101" i="8"/>
  <c r="P101" i="8" s="1"/>
  <c r="C101" i="8" a="1"/>
  <c r="C101" i="8"/>
  <c r="B101" i="8"/>
  <c r="A101" i="8"/>
  <c r="X100" i="8"/>
  <c r="W100" i="8"/>
  <c r="V100" i="8"/>
  <c r="U100" i="8"/>
  <c r="T100" i="8"/>
  <c r="K100" i="8"/>
  <c r="G100" i="8"/>
  <c r="O100" i="8" s="1"/>
  <c r="C100" i="8" a="1"/>
  <c r="C100" i="8" s="1"/>
  <c r="B100" i="8"/>
  <c r="A100" i="8"/>
  <c r="Y99" i="8"/>
  <c r="X99" i="8"/>
  <c r="W99" i="8"/>
  <c r="V99" i="8"/>
  <c r="U99" i="8"/>
  <c r="T99" i="8"/>
  <c r="R99" i="8"/>
  <c r="Q99" i="8"/>
  <c r="O99" i="8"/>
  <c r="K99" i="8"/>
  <c r="U98" i="8" s="1"/>
  <c r="G99" i="8"/>
  <c r="P99" i="8" s="1"/>
  <c r="C99" i="8"/>
  <c r="B99" i="8"/>
  <c r="C99" i="8" s="1" a="1"/>
  <c r="A99" i="8"/>
  <c r="Y98" i="8"/>
  <c r="X98" i="8"/>
  <c r="W98" i="8"/>
  <c r="V98" i="8"/>
  <c r="T98" i="8"/>
  <c r="S98" i="8"/>
  <c r="R98" i="8"/>
  <c r="K98" i="8"/>
  <c r="G98" i="8"/>
  <c r="B98" i="8"/>
  <c r="C98" i="8" s="1" a="1"/>
  <c r="C98" i="8" s="1"/>
  <c r="A98" i="8"/>
  <c r="X97" i="8"/>
  <c r="W97" i="8"/>
  <c r="V97" i="8"/>
  <c r="U97" i="8"/>
  <c r="K97" i="8"/>
  <c r="G97" i="8"/>
  <c r="Q97" i="8" s="1"/>
  <c r="C97" i="8" a="1"/>
  <c r="C97" i="8" s="1"/>
  <c r="B97" i="8"/>
  <c r="A97" i="8"/>
  <c r="X96" i="8"/>
  <c r="W96" i="8"/>
  <c r="V96" i="8"/>
  <c r="T96" i="8"/>
  <c r="K96" i="8"/>
  <c r="Y96" i="8" s="1"/>
  <c r="G96" i="8"/>
  <c r="Q96" i="8" s="1"/>
  <c r="C96" i="8" a="1"/>
  <c r="C96" i="8"/>
  <c r="B96" i="8"/>
  <c r="A96" i="8"/>
  <c r="X95" i="8"/>
  <c r="W95" i="8"/>
  <c r="V95" i="8"/>
  <c r="U95" i="8"/>
  <c r="K95" i="8"/>
  <c r="G95" i="8"/>
  <c r="C95" i="8" a="1"/>
  <c r="C95" i="8" s="1"/>
  <c r="B95" i="8"/>
  <c r="A95" i="8"/>
  <c r="Y94" i="8"/>
  <c r="X94" i="8"/>
  <c r="W94" i="8"/>
  <c r="V94" i="8"/>
  <c r="T94" i="8"/>
  <c r="R94" i="8"/>
  <c r="Q94" i="8"/>
  <c r="P94" i="8"/>
  <c r="O94" i="8"/>
  <c r="K94" i="8"/>
  <c r="S94" i="8" s="1"/>
  <c r="G94" i="8"/>
  <c r="C94" i="8" a="1"/>
  <c r="C94" i="8" s="1"/>
  <c r="B94" i="8"/>
  <c r="A94" i="8"/>
  <c r="X93" i="8"/>
  <c r="W93" i="8"/>
  <c r="V93" i="8"/>
  <c r="U93" i="8"/>
  <c r="K93" i="8"/>
  <c r="G93" i="8"/>
  <c r="C93" i="8" a="1"/>
  <c r="C93" i="8" s="1"/>
  <c r="B93" i="8"/>
  <c r="A93" i="8"/>
  <c r="Y92" i="8"/>
  <c r="X92" i="8"/>
  <c r="W92" i="8"/>
  <c r="V92" i="8"/>
  <c r="K92" i="8"/>
  <c r="T92" i="8" s="1"/>
  <c r="G92" i="8"/>
  <c r="C92" i="8" a="1"/>
  <c r="C92" i="8" s="1"/>
  <c r="B92" i="8"/>
  <c r="A92" i="8"/>
  <c r="Y91" i="8"/>
  <c r="X91" i="8"/>
  <c r="W91" i="8"/>
  <c r="V91" i="8"/>
  <c r="T91" i="8"/>
  <c r="S91" i="8"/>
  <c r="R91" i="8"/>
  <c r="O91" i="8"/>
  <c r="K91" i="8"/>
  <c r="G91" i="8"/>
  <c r="P91" i="8" s="1"/>
  <c r="C91" i="8" a="1"/>
  <c r="C91" i="8"/>
  <c r="B91" i="8"/>
  <c r="A91" i="8"/>
  <c r="Y90" i="8"/>
  <c r="X90" i="8"/>
  <c r="W90" i="8"/>
  <c r="V90" i="8"/>
  <c r="U90" i="8"/>
  <c r="T90" i="8"/>
  <c r="R90" i="8"/>
  <c r="Q90" i="8"/>
  <c r="P90" i="8"/>
  <c r="O90" i="8"/>
  <c r="K90" i="8"/>
  <c r="S90" i="8" s="1"/>
  <c r="G90" i="8"/>
  <c r="B90" i="8"/>
  <c r="C90" i="8" s="1" a="1"/>
  <c r="C90" i="8" s="1"/>
  <c r="A90" i="8"/>
  <c r="X89" i="8"/>
  <c r="W89" i="8"/>
  <c r="V89" i="8"/>
  <c r="U89" i="8"/>
  <c r="Q89" i="8"/>
  <c r="P89" i="8"/>
  <c r="O89" i="8"/>
  <c r="K89" i="8"/>
  <c r="G89" i="8"/>
  <c r="B89" i="8"/>
  <c r="C89" i="8" s="1" a="1"/>
  <c r="C89" i="8" s="1"/>
  <c r="A89" i="8"/>
  <c r="Y88" i="8"/>
  <c r="X88" i="8"/>
  <c r="W88" i="8"/>
  <c r="V88" i="8"/>
  <c r="U88" i="8"/>
  <c r="T88" i="8"/>
  <c r="S88" i="8"/>
  <c r="R88" i="8"/>
  <c r="Q88" i="8"/>
  <c r="P88" i="8"/>
  <c r="K88" i="8"/>
  <c r="G88" i="8"/>
  <c r="O88" i="8" s="1"/>
  <c r="C88" i="8" a="1"/>
  <c r="C88" i="8" s="1"/>
  <c r="B88" i="8"/>
  <c r="A88" i="8"/>
  <c r="Y87" i="8"/>
  <c r="X87" i="8"/>
  <c r="W87" i="8"/>
  <c r="V87" i="8"/>
  <c r="U87" i="8"/>
  <c r="S87" i="8"/>
  <c r="R87" i="8"/>
  <c r="K87" i="8"/>
  <c r="T87" i="8" s="1"/>
  <c r="G87" i="8"/>
  <c r="P87" i="8" s="1"/>
  <c r="B87" i="8"/>
  <c r="C87" i="8" s="1" a="1"/>
  <c r="C87" i="8" s="1"/>
  <c r="A87" i="8"/>
  <c r="X86" i="8"/>
  <c r="W86" i="8"/>
  <c r="V86" i="8"/>
  <c r="U86" i="8"/>
  <c r="R86" i="8"/>
  <c r="Q86" i="8"/>
  <c r="P86" i="8"/>
  <c r="O86" i="8"/>
  <c r="K86" i="8"/>
  <c r="G86" i="8"/>
  <c r="C86" i="8"/>
  <c r="B86" i="8"/>
  <c r="C86" i="8" s="1" a="1"/>
  <c r="A86" i="8"/>
  <c r="Y85" i="8"/>
  <c r="X85" i="8"/>
  <c r="W85" i="8"/>
  <c r="V85" i="8"/>
  <c r="U85" i="8"/>
  <c r="K85" i="8"/>
  <c r="G85" i="8"/>
  <c r="B85" i="8"/>
  <c r="C85" i="8" s="1" a="1"/>
  <c r="C85" i="8" s="1"/>
  <c r="A85" i="8"/>
  <c r="Y84" i="8"/>
  <c r="X84" i="8"/>
  <c r="W84" i="8"/>
  <c r="V84" i="8"/>
  <c r="R84" i="8"/>
  <c r="K84" i="8"/>
  <c r="G84" i="8"/>
  <c r="O84" i="8" s="1"/>
  <c r="C84" i="8"/>
  <c r="B84" i="8"/>
  <c r="C84" i="8" s="1" a="1"/>
  <c r="A84" i="8"/>
  <c r="Y83" i="8"/>
  <c r="X83" i="8"/>
  <c r="W83" i="8"/>
  <c r="V83" i="8"/>
  <c r="U83" i="8"/>
  <c r="S83" i="8"/>
  <c r="R83" i="8"/>
  <c r="K83" i="8"/>
  <c r="T83" i="8" s="1"/>
  <c r="G83" i="8"/>
  <c r="C83" i="8" a="1"/>
  <c r="C83" i="8" s="1"/>
  <c r="B83" i="8"/>
  <c r="A83" i="8"/>
  <c r="X82" i="8"/>
  <c r="W82" i="8"/>
  <c r="V82" i="8"/>
  <c r="U82" i="8"/>
  <c r="K82" i="8"/>
  <c r="Y82" i="8" s="1"/>
  <c r="G82" i="8"/>
  <c r="B82" i="8"/>
  <c r="C82" i="8" s="1" a="1"/>
  <c r="C82" i="8" s="1"/>
  <c r="A82" i="8"/>
  <c r="Y81" i="8"/>
  <c r="X81" i="8"/>
  <c r="W81" i="8"/>
  <c r="V81" i="8"/>
  <c r="U81" i="8"/>
  <c r="S81" i="8"/>
  <c r="R81" i="8"/>
  <c r="Q81" i="8"/>
  <c r="O81" i="8"/>
  <c r="K81" i="8"/>
  <c r="U80" i="8" s="1"/>
  <c r="G81" i="8"/>
  <c r="P81" i="8" s="1"/>
  <c r="C81" i="8" a="1"/>
  <c r="C81" i="8"/>
  <c r="B81" i="8"/>
  <c r="A81" i="8"/>
  <c r="X80" i="8"/>
  <c r="W80" i="8"/>
  <c r="V80" i="8"/>
  <c r="Q80" i="8"/>
  <c r="P80" i="8"/>
  <c r="O80" i="8"/>
  <c r="K80" i="8"/>
  <c r="G80" i="8"/>
  <c r="B80" i="8"/>
  <c r="C80" i="8" s="1" a="1"/>
  <c r="C80" i="8" s="1"/>
  <c r="A80" i="8"/>
  <c r="X79" i="8"/>
  <c r="W79" i="8"/>
  <c r="V79" i="8"/>
  <c r="Q79" i="8"/>
  <c r="P79" i="8"/>
  <c r="O79" i="8"/>
  <c r="K79" i="8"/>
  <c r="G79" i="8"/>
  <c r="C79" i="8" a="1"/>
  <c r="C79" i="8"/>
  <c r="B79" i="8"/>
  <c r="A79" i="8"/>
  <c r="X78" i="8"/>
  <c r="W78" i="8"/>
  <c r="V78" i="8"/>
  <c r="T78" i="8"/>
  <c r="S78" i="8"/>
  <c r="P78" i="8"/>
  <c r="O78" i="8"/>
  <c r="K78" i="8"/>
  <c r="Y78" i="8" s="1"/>
  <c r="G78" i="8"/>
  <c r="Q78" i="8" s="1"/>
  <c r="C78" i="8" a="1"/>
  <c r="C78" i="8" s="1"/>
  <c r="B78" i="8"/>
  <c r="A78" i="8"/>
  <c r="X77" i="8"/>
  <c r="W77" i="8"/>
  <c r="V77" i="8"/>
  <c r="U77" i="8"/>
  <c r="S77" i="8"/>
  <c r="O77" i="8"/>
  <c r="K77" i="8"/>
  <c r="Y77" i="8" s="1"/>
  <c r="G77" i="8"/>
  <c r="C77" i="8" a="1"/>
  <c r="C77" i="8"/>
  <c r="B77" i="8"/>
  <c r="A77" i="8"/>
  <c r="Y76" i="8"/>
  <c r="X76" i="8"/>
  <c r="W76" i="8"/>
  <c r="V76" i="8"/>
  <c r="T76" i="8"/>
  <c r="S76" i="8"/>
  <c r="R76" i="8"/>
  <c r="Q76" i="8"/>
  <c r="P76" i="8"/>
  <c r="O76" i="8"/>
  <c r="K76" i="8"/>
  <c r="G76" i="8"/>
  <c r="C76" i="8" a="1"/>
  <c r="C76" i="8" s="1"/>
  <c r="B76" i="8"/>
  <c r="A76" i="8"/>
  <c r="Y75" i="8"/>
  <c r="X75" i="8"/>
  <c r="W75" i="8"/>
  <c r="V75" i="8"/>
  <c r="U75" i="8"/>
  <c r="T75" i="8"/>
  <c r="S75" i="8"/>
  <c r="Q75" i="8"/>
  <c r="P75" i="8"/>
  <c r="O75" i="8"/>
  <c r="K75" i="8"/>
  <c r="R75" i="8" s="1"/>
  <c r="G75" i="8"/>
  <c r="B75" i="8"/>
  <c r="C75" i="8" s="1" a="1"/>
  <c r="C75" i="8" s="1"/>
  <c r="A75" i="8"/>
  <c r="Y74" i="8"/>
  <c r="X74" i="8"/>
  <c r="W74" i="8"/>
  <c r="V74" i="8"/>
  <c r="U74" i="8"/>
  <c r="K74" i="8"/>
  <c r="G74" i="8"/>
  <c r="C74" i="8" a="1"/>
  <c r="C74" i="8" s="1"/>
  <c r="B74" i="8"/>
  <c r="A74" i="8"/>
  <c r="Y73" i="8"/>
  <c r="X73" i="8"/>
  <c r="W73" i="8"/>
  <c r="V73" i="8"/>
  <c r="T73" i="8"/>
  <c r="S73" i="8"/>
  <c r="R73" i="8"/>
  <c r="Q73" i="8"/>
  <c r="P73" i="8"/>
  <c r="K73" i="8"/>
  <c r="G73" i="8"/>
  <c r="O73" i="8" s="1"/>
  <c r="C73" i="8" a="1"/>
  <c r="C73" i="8" s="1"/>
  <c r="B73" i="8"/>
  <c r="A73" i="8"/>
  <c r="Y72" i="8"/>
  <c r="X72" i="8"/>
  <c r="W72" i="8"/>
  <c r="V72" i="8"/>
  <c r="U72" i="8"/>
  <c r="T72" i="8"/>
  <c r="R72" i="8"/>
  <c r="Q72" i="8"/>
  <c r="P72" i="8"/>
  <c r="O72" i="8"/>
  <c r="K72" i="8"/>
  <c r="S72" i="8" s="1"/>
  <c r="G72" i="8"/>
  <c r="B72" i="8"/>
  <c r="C72" i="8" s="1" a="1"/>
  <c r="C72" i="8" s="1"/>
  <c r="A72" i="8"/>
  <c r="Y71" i="8"/>
  <c r="X71" i="8"/>
  <c r="W71" i="8"/>
  <c r="V71" i="8"/>
  <c r="U71" i="8"/>
  <c r="Q71" i="8"/>
  <c r="P71" i="8"/>
  <c r="O71" i="8"/>
  <c r="K71" i="8"/>
  <c r="G71" i="8"/>
  <c r="B71" i="8"/>
  <c r="C71" i="8" s="1" a="1"/>
  <c r="C71" i="8" s="1"/>
  <c r="A71" i="8"/>
  <c r="X70" i="8"/>
  <c r="W70" i="8"/>
  <c r="V70" i="8"/>
  <c r="U70" i="8"/>
  <c r="T70" i="8"/>
  <c r="S70" i="8"/>
  <c r="R70" i="8"/>
  <c r="K70" i="8"/>
  <c r="Y70" i="8" s="1"/>
  <c r="G70" i="8"/>
  <c r="O70" i="8" s="1"/>
  <c r="B70" i="8"/>
  <c r="C70" i="8" s="1" a="1"/>
  <c r="C70" i="8" s="1"/>
  <c r="A70" i="8"/>
  <c r="Y69" i="8"/>
  <c r="X69" i="8"/>
  <c r="W69" i="8"/>
  <c r="V69" i="8"/>
  <c r="U69" i="8"/>
  <c r="S69" i="8"/>
  <c r="R69" i="8"/>
  <c r="K69" i="8"/>
  <c r="T69" i="8" s="1"/>
  <c r="G69" i="8"/>
  <c r="C69" i="8"/>
  <c r="B69" i="8"/>
  <c r="C69" i="8" s="1" a="1"/>
  <c r="A69" i="8"/>
  <c r="X68" i="8"/>
  <c r="W68" i="8"/>
  <c r="V68" i="8"/>
  <c r="U68" i="8"/>
  <c r="R68" i="8"/>
  <c r="K68" i="8"/>
  <c r="G68" i="8"/>
  <c r="Q68" i="8" s="1"/>
  <c r="C68" i="8" a="1"/>
  <c r="C68" i="8" s="1"/>
  <c r="B68" i="8"/>
  <c r="A68" i="8"/>
  <c r="X67" i="8"/>
  <c r="W67" i="8"/>
  <c r="V67" i="8"/>
  <c r="U67" i="8"/>
  <c r="K67" i="8"/>
  <c r="G67" i="8"/>
  <c r="C67" i="8"/>
  <c r="B67" i="8"/>
  <c r="C67" i="8" s="1" a="1"/>
  <c r="A67" i="8"/>
  <c r="Y66" i="8"/>
  <c r="X66" i="8"/>
  <c r="W66" i="8"/>
  <c r="V66" i="8"/>
  <c r="K66" i="8"/>
  <c r="U65" i="8" s="1"/>
  <c r="G66" i="8"/>
  <c r="B66" i="8"/>
  <c r="C66" i="8" s="1" a="1"/>
  <c r="C66" i="8" s="1"/>
  <c r="A66" i="8"/>
  <c r="X65" i="8"/>
  <c r="W65" i="8"/>
  <c r="V65" i="8"/>
  <c r="K65" i="8"/>
  <c r="G65" i="8"/>
  <c r="C65" i="8" a="1"/>
  <c r="C65" i="8" s="1"/>
  <c r="B65" i="8"/>
  <c r="A65" i="8"/>
  <c r="X64" i="8"/>
  <c r="W64" i="8"/>
  <c r="V64" i="8"/>
  <c r="P64" i="8"/>
  <c r="O64" i="8"/>
  <c r="K64" i="8"/>
  <c r="Y64" i="8" s="1"/>
  <c r="G64" i="8"/>
  <c r="Q64" i="8" s="1"/>
  <c r="C64" i="8" a="1"/>
  <c r="C64" i="8" s="1"/>
  <c r="B64" i="8"/>
  <c r="A64" i="8"/>
  <c r="X63" i="8"/>
  <c r="W63" i="8"/>
  <c r="V63" i="8"/>
  <c r="S63" i="8"/>
  <c r="O63" i="8"/>
  <c r="K63" i="8"/>
  <c r="G63" i="8"/>
  <c r="C63" i="8" a="1"/>
  <c r="C63" i="8"/>
  <c r="B63" i="8"/>
  <c r="A63" i="8"/>
  <c r="X62" i="8"/>
  <c r="W62" i="8"/>
  <c r="V62" i="8"/>
  <c r="T62" i="8"/>
  <c r="S62" i="8"/>
  <c r="R62" i="8"/>
  <c r="Q62" i="8"/>
  <c r="P62" i="8"/>
  <c r="O62" i="8"/>
  <c r="K62" i="8"/>
  <c r="Y62" i="8" s="1"/>
  <c r="G62" i="8"/>
  <c r="C62" i="8" a="1"/>
  <c r="C62" i="8" s="1"/>
  <c r="B62" i="8"/>
  <c r="A62" i="8"/>
  <c r="Y61" i="8"/>
  <c r="X61" i="8"/>
  <c r="W61" i="8"/>
  <c r="V61" i="8"/>
  <c r="U61" i="8"/>
  <c r="T61" i="8"/>
  <c r="S61" i="8"/>
  <c r="Q61" i="8"/>
  <c r="P61" i="8"/>
  <c r="O61" i="8"/>
  <c r="K61" i="8"/>
  <c r="R61" i="8" s="1"/>
  <c r="G61" i="8"/>
  <c r="B61" i="8"/>
  <c r="C61" i="8" s="1" a="1"/>
  <c r="C61" i="8" s="1"/>
  <c r="A61" i="8"/>
  <c r="Y60" i="8"/>
  <c r="X60" i="8"/>
  <c r="W60" i="8"/>
  <c r="V60" i="8"/>
  <c r="U60" i="8"/>
  <c r="T60" i="8"/>
  <c r="K60" i="8"/>
  <c r="G60" i="8"/>
  <c r="Q60" i="8" s="1"/>
  <c r="C60" i="8" a="1"/>
  <c r="C60" i="8" s="1"/>
  <c r="B60" i="8"/>
  <c r="A60" i="8"/>
  <c r="Y59" i="8"/>
  <c r="X59" i="8"/>
  <c r="W59" i="8"/>
  <c r="V59" i="8"/>
  <c r="U59" i="8"/>
  <c r="T59" i="8"/>
  <c r="S59" i="8"/>
  <c r="R59" i="8"/>
  <c r="K59" i="8"/>
  <c r="G59" i="8"/>
  <c r="C59" i="8" a="1"/>
  <c r="C59" i="8" s="1"/>
  <c r="B59" i="8"/>
  <c r="A59" i="8"/>
  <c r="Y58" i="8"/>
  <c r="X58" i="8"/>
  <c r="W58" i="8"/>
  <c r="V58" i="8"/>
  <c r="U58" i="8"/>
  <c r="T58" i="8"/>
  <c r="R58" i="8"/>
  <c r="Q58" i="8"/>
  <c r="P58" i="8"/>
  <c r="O58" i="8"/>
  <c r="K58" i="8"/>
  <c r="S58" i="8" s="1"/>
  <c r="G58" i="8"/>
  <c r="C58" i="8" a="1"/>
  <c r="C58" i="8" s="1"/>
  <c r="B58" i="8"/>
  <c r="A58" i="8"/>
  <c r="X57" i="8"/>
  <c r="W57" i="8"/>
  <c r="V57" i="8"/>
  <c r="U57" i="8"/>
  <c r="Q57" i="8"/>
  <c r="P57" i="8"/>
  <c r="O57" i="8"/>
  <c r="K57" i="8"/>
  <c r="Y57" i="8" s="1"/>
  <c r="G57" i="8"/>
  <c r="B57" i="8"/>
  <c r="C57" i="8" s="1" a="1"/>
  <c r="C57" i="8" s="1"/>
  <c r="A57" i="8"/>
  <c r="X56" i="8"/>
  <c r="W56" i="8"/>
  <c r="V56" i="8"/>
  <c r="U56" i="8"/>
  <c r="S56" i="8"/>
  <c r="Q56" i="8"/>
  <c r="P56" i="8"/>
  <c r="K56" i="8"/>
  <c r="Y56" i="8" s="1"/>
  <c r="G56" i="8"/>
  <c r="O56" i="8" s="1"/>
  <c r="B56" i="8"/>
  <c r="C56" i="8" s="1" a="1"/>
  <c r="C56" i="8" s="1"/>
  <c r="A56" i="8"/>
  <c r="Y55" i="8"/>
  <c r="X55" i="8"/>
  <c r="W55" i="8"/>
  <c r="V55" i="8"/>
  <c r="S55" i="8"/>
  <c r="R55" i="8"/>
  <c r="K55" i="8"/>
  <c r="T55" i="8" s="1"/>
  <c r="G55" i="8"/>
  <c r="B55" i="8"/>
  <c r="C55" i="8" s="1" a="1"/>
  <c r="C55" i="8" s="1"/>
  <c r="A55" i="8"/>
  <c r="X54" i="8"/>
  <c r="W54" i="8"/>
  <c r="V54" i="8"/>
  <c r="U54" i="8"/>
  <c r="R54" i="8"/>
  <c r="Q54" i="8"/>
  <c r="P54" i="8"/>
  <c r="O54" i="8"/>
  <c r="K54" i="8"/>
  <c r="G54" i="8"/>
  <c r="B54" i="8"/>
  <c r="C54" i="8" s="1" a="1"/>
  <c r="C54" i="8" s="1"/>
  <c r="A54" i="8"/>
  <c r="X53" i="8"/>
  <c r="W53" i="8"/>
  <c r="V53" i="8"/>
  <c r="U53" i="8"/>
  <c r="T53" i="8"/>
  <c r="S53" i="8"/>
  <c r="R53" i="8"/>
  <c r="K53" i="8"/>
  <c r="G53" i="8"/>
  <c r="P53" i="8" s="1"/>
  <c r="B53" i="8"/>
  <c r="C53" i="8" s="1" a="1"/>
  <c r="C53" i="8" s="1"/>
  <c r="A53" i="8"/>
  <c r="Y52" i="8"/>
  <c r="X52" i="8"/>
  <c r="W52" i="8"/>
  <c r="V52" i="8"/>
  <c r="T52" i="8"/>
  <c r="S52" i="8"/>
  <c r="R52" i="8"/>
  <c r="K52" i="8"/>
  <c r="U51" i="8" s="1"/>
  <c r="G52" i="8"/>
  <c r="B52" i="8"/>
  <c r="C52" i="8" s="1" a="1"/>
  <c r="C52" i="8" s="1"/>
  <c r="A52" i="8"/>
  <c r="Y51" i="8"/>
  <c r="X51" i="8"/>
  <c r="W51" i="8"/>
  <c r="V51" i="8"/>
  <c r="S51" i="8"/>
  <c r="R51" i="8"/>
  <c r="K51" i="8"/>
  <c r="T51" i="8" s="1"/>
  <c r="G51" i="8"/>
  <c r="Q51" i="8" s="1"/>
  <c r="C51" i="8" a="1"/>
  <c r="C51" i="8"/>
  <c r="B51" i="8"/>
  <c r="A51" i="8"/>
  <c r="X50" i="8"/>
  <c r="W50" i="8"/>
  <c r="V50" i="8"/>
  <c r="U50" i="8"/>
  <c r="P50" i="8"/>
  <c r="O50" i="8"/>
  <c r="K50" i="8"/>
  <c r="Y50" i="8" s="1"/>
  <c r="G50" i="8"/>
  <c r="Q50" i="8" s="1"/>
  <c r="C50" i="8" a="1"/>
  <c r="C50" i="8" s="1"/>
  <c r="B50" i="8"/>
  <c r="A50" i="8"/>
  <c r="Y49" i="8"/>
  <c r="X49" i="8"/>
  <c r="W49" i="8"/>
  <c r="V49" i="8"/>
  <c r="K49" i="8"/>
  <c r="G49" i="8"/>
  <c r="C49" i="8" a="1"/>
  <c r="C49" i="8" s="1"/>
  <c r="B49" i="8"/>
  <c r="A49" i="8"/>
  <c r="X48" i="8"/>
  <c r="W48" i="8"/>
  <c r="V48" i="8"/>
  <c r="Q48" i="8"/>
  <c r="P48" i="8"/>
  <c r="O48" i="8"/>
  <c r="K48" i="8"/>
  <c r="G48" i="8"/>
  <c r="C48" i="8" a="1"/>
  <c r="C48" i="8" s="1"/>
  <c r="B48" i="8"/>
  <c r="A48" i="8"/>
  <c r="Y47" i="8"/>
  <c r="X47" i="8"/>
  <c r="W47" i="8"/>
  <c r="V47" i="8"/>
  <c r="U47" i="8"/>
  <c r="T47" i="8"/>
  <c r="S47" i="8"/>
  <c r="Q47" i="8"/>
  <c r="P47" i="8"/>
  <c r="O47" i="8"/>
  <c r="K47" i="8"/>
  <c r="R47" i="8" s="1"/>
  <c r="G47" i="8"/>
  <c r="B47" i="8"/>
  <c r="C47" i="8" s="1" a="1"/>
  <c r="C47" i="8" s="1"/>
  <c r="A47" i="8"/>
  <c r="X46" i="8"/>
  <c r="W46" i="8"/>
  <c r="V46" i="8"/>
  <c r="U46" i="8"/>
  <c r="P46" i="8"/>
  <c r="O46" i="8"/>
  <c r="K46" i="8"/>
  <c r="Y46" i="8" s="1"/>
  <c r="G46" i="8"/>
  <c r="Q46" i="8" s="1"/>
  <c r="B46" i="8"/>
  <c r="C46" i="8" s="1" a="1"/>
  <c r="C46" i="8" s="1"/>
  <c r="A46" i="8"/>
  <c r="Y45" i="8"/>
  <c r="X45" i="8"/>
  <c r="W45" i="8"/>
  <c r="V45" i="8"/>
  <c r="T45" i="8"/>
  <c r="S45" i="8"/>
  <c r="R45" i="8"/>
  <c r="K45" i="8"/>
  <c r="G45" i="8"/>
  <c r="Q45" i="8" s="1"/>
  <c r="C45" i="8" a="1"/>
  <c r="C45" i="8" s="1"/>
  <c r="B45" i="8"/>
  <c r="A45" i="8"/>
  <c r="Y44" i="8"/>
  <c r="X44" i="8"/>
  <c r="W44" i="8"/>
  <c r="V44" i="8"/>
  <c r="U44" i="8"/>
  <c r="T44" i="8"/>
  <c r="R44" i="8"/>
  <c r="Q44" i="8"/>
  <c r="P44" i="8"/>
  <c r="O44" i="8"/>
  <c r="K44" i="8"/>
  <c r="S44" i="8" s="1"/>
  <c r="G44" i="8"/>
  <c r="C44" i="8" a="1"/>
  <c r="C44" i="8" s="1"/>
  <c r="B44" i="8"/>
  <c r="A44" i="8"/>
  <c r="X43" i="8"/>
  <c r="W43" i="8"/>
  <c r="V43" i="8"/>
  <c r="U43" i="8"/>
  <c r="K43" i="8"/>
  <c r="G43" i="8"/>
  <c r="B43" i="8"/>
  <c r="C43" i="8" s="1" a="1"/>
  <c r="C43" i="8" s="1"/>
  <c r="A43" i="8"/>
  <c r="X42" i="8"/>
  <c r="W42" i="8"/>
  <c r="V42" i="8"/>
  <c r="S42" i="8"/>
  <c r="R42" i="8"/>
  <c r="P42" i="8"/>
  <c r="K42" i="8"/>
  <c r="Y42" i="8" s="1"/>
  <c r="G42" i="8"/>
  <c r="O42" i="8" s="1"/>
  <c r="B42" i="8"/>
  <c r="C42" i="8" s="1" a="1"/>
  <c r="C42" i="8" s="1"/>
  <c r="A42" i="8"/>
  <c r="Y41" i="8"/>
  <c r="X41" i="8"/>
  <c r="W41" i="8"/>
  <c r="V41" i="8"/>
  <c r="S41" i="8"/>
  <c r="R41" i="8"/>
  <c r="K41" i="8"/>
  <c r="T41" i="8" s="1"/>
  <c r="G41" i="8"/>
  <c r="Q41" i="8" s="1"/>
  <c r="C41" i="8" a="1"/>
  <c r="C41" i="8" s="1"/>
  <c r="B41" i="8"/>
  <c r="A41" i="8"/>
  <c r="X40" i="8"/>
  <c r="W40" i="8"/>
  <c r="V40" i="8"/>
  <c r="U40" i="8"/>
  <c r="R40" i="8"/>
  <c r="Q40" i="8"/>
  <c r="P40" i="8"/>
  <c r="O40" i="8"/>
  <c r="K40" i="8"/>
  <c r="G40" i="8"/>
  <c r="B40" i="8"/>
  <c r="C40" i="8" s="1" a="1"/>
  <c r="C40" i="8" s="1"/>
  <c r="A40" i="8"/>
  <c r="X39" i="8"/>
  <c r="W39" i="8"/>
  <c r="V39" i="8"/>
  <c r="U39" i="8"/>
  <c r="S39" i="8"/>
  <c r="Q39" i="8"/>
  <c r="O39" i="8"/>
  <c r="K39" i="8"/>
  <c r="T39" i="8" s="1"/>
  <c r="G39" i="8"/>
  <c r="P39" i="8" s="1"/>
  <c r="B39" i="8"/>
  <c r="C39" i="8" s="1" a="1"/>
  <c r="C39" i="8" s="1"/>
  <c r="A39" i="8"/>
  <c r="X38" i="8"/>
  <c r="W38" i="8"/>
  <c r="V38" i="8"/>
  <c r="S38" i="8"/>
  <c r="R38" i="8"/>
  <c r="K38" i="8"/>
  <c r="U37" i="8" s="1"/>
  <c r="G38" i="8"/>
  <c r="B38" i="8"/>
  <c r="C38" i="8" s="1" a="1"/>
  <c r="C38" i="8" s="1"/>
  <c r="A38" i="8"/>
  <c r="Y37" i="8"/>
  <c r="X37" i="8"/>
  <c r="W37" i="8"/>
  <c r="V37" i="8"/>
  <c r="S37" i="8"/>
  <c r="R37" i="8"/>
  <c r="Q37" i="8"/>
  <c r="P37" i="8"/>
  <c r="O37" i="8"/>
  <c r="K37" i="8"/>
  <c r="T37" i="8" s="1"/>
  <c r="G37" i="8"/>
  <c r="C37" i="8" a="1"/>
  <c r="C37" i="8"/>
  <c r="B37" i="8"/>
  <c r="A37" i="8"/>
  <c r="X36" i="8"/>
  <c r="W36" i="8"/>
  <c r="V36" i="8"/>
  <c r="U36" i="8"/>
  <c r="T36" i="8"/>
  <c r="S36" i="8"/>
  <c r="R36" i="8"/>
  <c r="P36" i="8"/>
  <c r="O36" i="8"/>
  <c r="K36" i="8"/>
  <c r="Y36" i="8" s="1"/>
  <c r="G36" i="8"/>
  <c r="Q36" i="8" s="1"/>
  <c r="B36" i="8"/>
  <c r="C36" i="8" s="1" a="1"/>
  <c r="C36" i="8" s="1"/>
  <c r="A36" i="8"/>
  <c r="Y35" i="8"/>
  <c r="X35" i="8"/>
  <c r="W35" i="8"/>
  <c r="V35" i="8"/>
  <c r="U35" i="8"/>
  <c r="T35" i="8"/>
  <c r="K35" i="8"/>
  <c r="G35" i="8"/>
  <c r="C35" i="8" a="1"/>
  <c r="C35" i="8" s="1"/>
  <c r="B35" i="8"/>
  <c r="A35" i="8"/>
  <c r="X34" i="8"/>
  <c r="W34" i="8"/>
  <c r="V34" i="8"/>
  <c r="Q34" i="8"/>
  <c r="P34" i="8"/>
  <c r="O34" i="8"/>
  <c r="K34" i="8"/>
  <c r="G34" i="8"/>
  <c r="C34" i="8" a="1"/>
  <c r="C34" i="8" s="1"/>
  <c r="B34" i="8"/>
  <c r="A34" i="8"/>
  <c r="X33" i="8"/>
  <c r="W33" i="8"/>
  <c r="V33" i="8"/>
  <c r="S33" i="8"/>
  <c r="Q33" i="8"/>
  <c r="P33" i="8"/>
  <c r="O33" i="8"/>
  <c r="K33" i="8"/>
  <c r="R33" i="8" s="1"/>
  <c r="G33" i="8"/>
  <c r="C33" i="8" a="1"/>
  <c r="C33" i="8" s="1"/>
  <c r="B33" i="8"/>
  <c r="A33" i="8"/>
  <c r="X32" i="8"/>
  <c r="W32" i="8"/>
  <c r="V32" i="8"/>
  <c r="U32" i="8"/>
  <c r="T32" i="8"/>
  <c r="S32" i="8"/>
  <c r="K32" i="8"/>
  <c r="R32" i="8" s="1"/>
  <c r="G32" i="8"/>
  <c r="C32" i="8" a="1"/>
  <c r="C32" i="8" s="1"/>
  <c r="B32" i="8"/>
  <c r="A32" i="8"/>
  <c r="Y31" i="8"/>
  <c r="X31" i="8"/>
  <c r="W31" i="8"/>
  <c r="V31" i="8"/>
  <c r="U31" i="8"/>
  <c r="T31" i="8"/>
  <c r="S31" i="8"/>
  <c r="R31" i="8"/>
  <c r="Q31" i="8"/>
  <c r="K31" i="8"/>
  <c r="G31" i="8"/>
  <c r="P31" i="8" s="1"/>
  <c r="C31" i="8" a="1"/>
  <c r="C31" i="8" s="1"/>
  <c r="B31" i="8"/>
  <c r="A31" i="8"/>
  <c r="Y30" i="8"/>
  <c r="X30" i="8"/>
  <c r="W30" i="8"/>
  <c r="V30" i="8"/>
  <c r="U30" i="8"/>
  <c r="T30" i="8"/>
  <c r="R30" i="8"/>
  <c r="Q30" i="8"/>
  <c r="P30" i="8"/>
  <c r="O30" i="8"/>
  <c r="K30" i="8"/>
  <c r="S30" i="8" s="1"/>
  <c r="G30" i="8"/>
  <c r="C30" i="8" a="1"/>
  <c r="C30" i="8" s="1"/>
  <c r="B30" i="8"/>
  <c r="A30" i="8"/>
  <c r="Y29" i="8"/>
  <c r="X29" i="8"/>
  <c r="W29" i="8"/>
  <c r="V29" i="8"/>
  <c r="U29" i="8"/>
  <c r="O29" i="8"/>
  <c r="K29" i="8"/>
  <c r="G29" i="8"/>
  <c r="B29" i="8"/>
  <c r="C29" i="8" s="1" a="1"/>
  <c r="C29" i="8" s="1"/>
  <c r="A29" i="8"/>
  <c r="X28" i="8"/>
  <c r="W28" i="8"/>
  <c r="V28" i="8"/>
  <c r="T28" i="8"/>
  <c r="S28" i="8"/>
  <c r="Q28" i="8"/>
  <c r="P28" i="8"/>
  <c r="K28" i="8"/>
  <c r="Y28" i="8" s="1"/>
  <c r="G28" i="8"/>
  <c r="O28" i="8" s="1"/>
  <c r="B28" i="8"/>
  <c r="C28" i="8" s="1" a="1"/>
  <c r="C28" i="8" s="1"/>
  <c r="A28" i="8"/>
  <c r="Y27" i="8"/>
  <c r="X27" i="8"/>
  <c r="W27" i="8"/>
  <c r="V27" i="8"/>
  <c r="U27" i="8"/>
  <c r="S27" i="8"/>
  <c r="R27" i="8"/>
  <c r="K27" i="8"/>
  <c r="T27" i="8" s="1"/>
  <c r="G27" i="8"/>
  <c r="B27" i="8"/>
  <c r="C27" i="8" s="1" a="1"/>
  <c r="C27" i="8" s="1"/>
  <c r="A27" i="8"/>
  <c r="X26" i="8"/>
  <c r="W26" i="8"/>
  <c r="V26" i="8"/>
  <c r="U26" i="8"/>
  <c r="R26" i="8"/>
  <c r="Q26" i="8"/>
  <c r="P26" i="8"/>
  <c r="O26" i="8"/>
  <c r="K26" i="8"/>
  <c r="G26" i="8"/>
  <c r="B26" i="8"/>
  <c r="C26" i="8" s="1" a="1"/>
  <c r="C26" i="8" s="1"/>
  <c r="A26" i="8"/>
  <c r="X25" i="8"/>
  <c r="W25" i="8"/>
  <c r="V25" i="8"/>
  <c r="U25" i="8"/>
  <c r="T25" i="8"/>
  <c r="S25" i="8"/>
  <c r="R25" i="8"/>
  <c r="K25" i="8"/>
  <c r="G25" i="8"/>
  <c r="P25" i="8" s="1"/>
  <c r="B25" i="8"/>
  <c r="C25" i="8" s="1" a="1"/>
  <c r="C25" i="8" s="1"/>
  <c r="A25" i="8"/>
  <c r="Y24" i="8"/>
  <c r="X24" i="8"/>
  <c r="W24" i="8"/>
  <c r="V24" i="8"/>
  <c r="T24" i="8"/>
  <c r="S24" i="8"/>
  <c r="K24" i="8"/>
  <c r="U23" i="8" s="1"/>
  <c r="G24" i="8"/>
  <c r="C24" i="8" a="1"/>
  <c r="C24" i="8"/>
  <c r="B24" i="8"/>
  <c r="A24" i="8"/>
  <c r="Y23" i="8"/>
  <c r="X23" i="8"/>
  <c r="W23" i="8"/>
  <c r="V23" i="8"/>
  <c r="K23" i="8"/>
  <c r="T23" i="8" s="1"/>
  <c r="G23" i="8"/>
  <c r="B23" i="8"/>
  <c r="C23" i="8" s="1" a="1"/>
  <c r="C23" i="8" s="1"/>
  <c r="A23" i="8"/>
  <c r="X22" i="8"/>
  <c r="W22" i="8"/>
  <c r="V22" i="8"/>
  <c r="O22" i="8"/>
  <c r="K22" i="8"/>
  <c r="G22" i="8"/>
  <c r="Q22" i="8" s="1"/>
  <c r="C22" i="8" a="1"/>
  <c r="C22" i="8" s="1"/>
  <c r="B22" i="8"/>
  <c r="A22" i="8"/>
  <c r="Y21" i="8"/>
  <c r="X21" i="8"/>
  <c r="W21" i="8"/>
  <c r="V21" i="8"/>
  <c r="R21" i="8"/>
  <c r="O21" i="8"/>
  <c r="K21" i="8"/>
  <c r="U20" i="8" s="1"/>
  <c r="G21" i="8"/>
  <c r="C21" i="8" a="1"/>
  <c r="C21" i="8"/>
  <c r="B21" i="8"/>
  <c r="A21" i="8"/>
  <c r="X20" i="8"/>
  <c r="W20" i="8"/>
  <c r="V20" i="8"/>
  <c r="T20" i="8"/>
  <c r="S20" i="8"/>
  <c r="R20" i="8"/>
  <c r="Q20" i="8"/>
  <c r="P20" i="8"/>
  <c r="O20" i="8"/>
  <c r="K20" i="8"/>
  <c r="Y20" i="8" s="1"/>
  <c r="G20" i="8"/>
  <c r="C20" i="8" a="1"/>
  <c r="C20" i="8" s="1"/>
  <c r="B20" i="8"/>
  <c r="A20" i="8"/>
  <c r="Y19" i="8"/>
  <c r="X19" i="8"/>
  <c r="W19" i="8"/>
  <c r="V19" i="8"/>
  <c r="U19" i="8"/>
  <c r="T19" i="8"/>
  <c r="S19" i="8"/>
  <c r="Q19" i="8"/>
  <c r="P19" i="8"/>
  <c r="O19" i="8"/>
  <c r="K19" i="8"/>
  <c r="R19" i="8" s="1"/>
  <c r="G19" i="8"/>
  <c r="B19" i="8"/>
  <c r="C19" i="8" s="1" a="1"/>
  <c r="C19" i="8" s="1"/>
  <c r="A19" i="8"/>
  <c r="Y18" i="8"/>
  <c r="X18" i="8"/>
  <c r="W18" i="8"/>
  <c r="V18" i="8"/>
  <c r="U18" i="8"/>
  <c r="K18" i="8"/>
  <c r="R18" i="8" s="1"/>
  <c r="G18" i="8"/>
  <c r="Q18" i="8" s="1"/>
  <c r="B18" i="8"/>
  <c r="C18" i="8" s="1" a="1"/>
  <c r="C18" i="8" s="1"/>
  <c r="A18" i="8"/>
  <c r="Y17" i="8"/>
  <c r="X17" i="8"/>
  <c r="W17" i="8"/>
  <c r="V17" i="8"/>
  <c r="T17" i="8"/>
  <c r="S17" i="8"/>
  <c r="R17" i="8"/>
  <c r="K17" i="8"/>
  <c r="G17" i="8"/>
  <c r="Q17" i="8" s="1"/>
  <c r="C17" i="8" a="1"/>
  <c r="C17" i="8" s="1"/>
  <c r="B17" i="8"/>
  <c r="A17" i="8"/>
  <c r="Y16" i="8"/>
  <c r="X16" i="8"/>
  <c r="W16" i="8"/>
  <c r="V16" i="8"/>
  <c r="U16" i="8"/>
  <c r="T16" i="8"/>
  <c r="R16" i="8"/>
  <c r="Q16" i="8"/>
  <c r="P16" i="8"/>
  <c r="O16" i="8"/>
  <c r="K16" i="8"/>
  <c r="S16" i="8" s="1"/>
  <c r="G16" i="8"/>
  <c r="B16" i="8"/>
  <c r="C16" i="8" s="1" a="1"/>
  <c r="C16" i="8" s="1"/>
  <c r="A16" i="8"/>
  <c r="Y15" i="8"/>
  <c r="X15" i="8"/>
  <c r="W15" i="8"/>
  <c r="V15" i="8"/>
  <c r="U15" i="8"/>
  <c r="T15" i="8"/>
  <c r="Q15" i="8"/>
  <c r="P15" i="8"/>
  <c r="O15" i="8"/>
  <c r="K15" i="8"/>
  <c r="G15" i="8"/>
  <c r="B15" i="8"/>
  <c r="C15" i="8" s="1" a="1"/>
  <c r="C15" i="8" s="1"/>
  <c r="A15" i="8"/>
  <c r="Y14" i="8"/>
  <c r="X14" i="8"/>
  <c r="W14" i="8"/>
  <c r="V14" i="8"/>
  <c r="U14" i="8"/>
  <c r="T14" i="8"/>
  <c r="S14" i="8"/>
  <c r="K14" i="8"/>
  <c r="R14" i="8" s="1"/>
  <c r="G14" i="8"/>
  <c r="O14" i="8" s="1"/>
  <c r="B14" i="8"/>
  <c r="C14" i="8" s="1" a="1"/>
  <c r="C14" i="8" s="1"/>
  <c r="A14" i="8"/>
  <c r="Y13" i="8"/>
  <c r="X13" i="8"/>
  <c r="W13" i="8"/>
  <c r="V13" i="8"/>
  <c r="U13" i="8"/>
  <c r="S13" i="8"/>
  <c r="R13" i="8"/>
  <c r="K13" i="8"/>
  <c r="T13" i="8" s="1"/>
  <c r="G13" i="8"/>
  <c r="O13" i="8" s="1"/>
  <c r="B13" i="8"/>
  <c r="C13" i="8" s="1" a="1"/>
  <c r="C13" i="8" s="1"/>
  <c r="A13" i="8"/>
  <c r="X12" i="8"/>
  <c r="W12" i="8"/>
  <c r="V12" i="8"/>
  <c r="U12" i="8"/>
  <c r="K12" i="8"/>
  <c r="G12" i="8"/>
  <c r="C12" i="8" a="1"/>
  <c r="C12" i="8" s="1"/>
  <c r="B12" i="8"/>
  <c r="A12" i="8"/>
  <c r="X11" i="8"/>
  <c r="W11" i="8"/>
  <c r="V11" i="8"/>
  <c r="Q11" i="8"/>
  <c r="K11" i="8"/>
  <c r="G11" i="8"/>
  <c r="P11" i="8" s="1"/>
  <c r="B11" i="8"/>
  <c r="C11" i="8" s="1" a="1"/>
  <c r="C11" i="8" s="1"/>
  <c r="A11" i="8"/>
  <c r="X10" i="8"/>
  <c r="W10" i="8"/>
  <c r="V10" i="8"/>
  <c r="R10" i="8"/>
  <c r="Q10" i="8"/>
  <c r="K10" i="8"/>
  <c r="U9" i="8" s="1"/>
  <c r="G10" i="8"/>
  <c r="C10" i="8" a="1"/>
  <c r="C10" i="8"/>
  <c r="B10" i="8"/>
  <c r="A10" i="8"/>
  <c r="X9" i="8"/>
  <c r="W9" i="8"/>
  <c r="V9" i="8"/>
  <c r="S9" i="8"/>
  <c r="R9" i="8"/>
  <c r="P9" i="8"/>
  <c r="K9" i="8"/>
  <c r="T9" i="8" s="1"/>
  <c r="G9" i="8"/>
  <c r="O9" i="8" s="1"/>
  <c r="B9" i="8"/>
  <c r="C9" i="8" s="1" a="1"/>
  <c r="C9" i="8" s="1"/>
  <c r="A9" i="8"/>
  <c r="X8" i="8"/>
  <c r="W8" i="8"/>
  <c r="V8" i="8"/>
  <c r="U8" i="8"/>
  <c r="S8" i="8"/>
  <c r="P8" i="8"/>
  <c r="O8" i="8"/>
  <c r="K8" i="8"/>
  <c r="G8" i="8"/>
  <c r="Q8" i="8" s="1"/>
  <c r="B8" i="8"/>
  <c r="C8" i="8" s="1" a="1"/>
  <c r="C8" i="8" s="1"/>
  <c r="A8" i="8"/>
  <c r="Y7" i="8"/>
  <c r="X7" i="8"/>
  <c r="W7" i="8"/>
  <c r="V7" i="8"/>
  <c r="U7" i="8"/>
  <c r="T7" i="8"/>
  <c r="S7" i="8"/>
  <c r="R7" i="8"/>
  <c r="O7" i="8"/>
  <c r="K7" i="8"/>
  <c r="U6" i="8" s="1"/>
  <c r="G7" i="8"/>
  <c r="C7" i="8" a="1"/>
  <c r="C7" i="8"/>
  <c r="B7" i="8"/>
  <c r="A7" i="8"/>
  <c r="Y6" i="8"/>
  <c r="X6" i="8"/>
  <c r="W6" i="8"/>
  <c r="V6" i="8"/>
  <c r="T6" i="8"/>
  <c r="S6" i="8"/>
  <c r="Q6" i="8"/>
  <c r="P6" i="8"/>
  <c r="O6" i="8"/>
  <c r="K6" i="8"/>
  <c r="R6" i="8" s="1"/>
  <c r="G6" i="8"/>
  <c r="E6" i="8"/>
  <c r="C6" i="8" a="1"/>
  <c r="C6" i="8" s="1"/>
  <c r="B6" i="8"/>
  <c r="A6" i="8"/>
  <c r="E1" i="8"/>
  <c r="D1" i="8" s="1"/>
  <c r="AS319" i="7"/>
  <c r="AP319" i="7"/>
  <c r="AO319" i="7"/>
  <c r="AM319" i="7"/>
  <c r="AL319" i="7"/>
  <c r="AK319" i="7"/>
  <c r="AJ319" i="7"/>
  <c r="AH319" i="7"/>
  <c r="AG319" i="7"/>
  <c r="AC319" i="7"/>
  <c r="BA314" i="12" s="1"/>
  <c r="BB314" i="12" s="1"/>
  <c r="X319" i="7"/>
  <c r="S319" i="7"/>
  <c r="AI319" i="7" s="1"/>
  <c r="N319" i="7"/>
  <c r="I319" i="7"/>
  <c r="C319" i="7" a="1"/>
  <c r="C319" i="7" s="1"/>
  <c r="B319" i="7"/>
  <c r="A319" i="7"/>
  <c r="AR318" i="7"/>
  <c r="AQ318" i="7"/>
  <c r="AP318" i="7"/>
  <c r="AO318" i="7"/>
  <c r="AM318" i="7"/>
  <c r="AL318" i="7"/>
  <c r="AK318" i="7"/>
  <c r="AJ318" i="7"/>
  <c r="AH318" i="7"/>
  <c r="AG318" i="7"/>
  <c r="AC318" i="7"/>
  <c r="BA313" i="12" s="1"/>
  <c r="BB313" i="12" s="1"/>
  <c r="X318" i="7"/>
  <c r="S318" i="7"/>
  <c r="N318" i="7"/>
  <c r="I318" i="7"/>
  <c r="AI318" i="7" s="1"/>
  <c r="B318" i="7"/>
  <c r="C318" i="7" s="1" a="1"/>
  <c r="C318" i="7" s="1"/>
  <c r="A318" i="7"/>
  <c r="AS317" i="7"/>
  <c r="AR317" i="7"/>
  <c r="AP317" i="7"/>
  <c r="AO317" i="7"/>
  <c r="AN317" i="7"/>
  <c r="AM317" i="7"/>
  <c r="AL317" i="7"/>
  <c r="AK317" i="7"/>
  <c r="AJ317" i="7"/>
  <c r="AH317" i="7"/>
  <c r="AG317" i="7"/>
  <c r="AC317" i="7"/>
  <c r="BA312" i="12" s="1"/>
  <c r="BB312" i="12" s="1"/>
  <c r="X317" i="7"/>
  <c r="S317" i="7"/>
  <c r="AI317" i="7" s="1"/>
  <c r="N317" i="7"/>
  <c r="I317" i="7"/>
  <c r="B317" i="7"/>
  <c r="C317" i="7" s="1" a="1"/>
  <c r="C317" i="7" s="1"/>
  <c r="A317" i="7"/>
  <c r="AU316" i="7"/>
  <c r="AQ316" i="7"/>
  <c r="AP316" i="7"/>
  <c r="AO316" i="7"/>
  <c r="AM316" i="7"/>
  <c r="AL316" i="7"/>
  <c r="AK316" i="7"/>
  <c r="AJ316" i="7"/>
  <c r="AH316" i="7"/>
  <c r="AG316" i="7"/>
  <c r="AC316" i="7"/>
  <c r="BA311" i="12" s="1"/>
  <c r="BB311" i="12" s="1"/>
  <c r="X316" i="7"/>
  <c r="S316" i="7"/>
  <c r="N316" i="7"/>
  <c r="AN316" i="7" s="1"/>
  <c r="I316" i="7"/>
  <c r="AI316" i="7" s="1"/>
  <c r="B316" i="7"/>
  <c r="C316" i="7" s="1" a="1"/>
  <c r="C316" i="7" s="1"/>
  <c r="A316" i="7"/>
  <c r="AS315" i="7"/>
  <c r="AR315" i="7"/>
  <c r="AP315" i="7"/>
  <c r="AO315" i="7"/>
  <c r="AN315" i="7"/>
  <c r="AM315" i="7"/>
  <c r="AL315" i="7"/>
  <c r="AK315" i="7"/>
  <c r="AJ315" i="7"/>
  <c r="AH315" i="7"/>
  <c r="AG315" i="7"/>
  <c r="AC315" i="7"/>
  <c r="BA310" i="12" s="1"/>
  <c r="BB310" i="12" s="1"/>
  <c r="X315" i="7"/>
  <c r="S315" i="7"/>
  <c r="AI315" i="7" s="1"/>
  <c r="N315" i="7"/>
  <c r="AU315" i="7" s="1"/>
  <c r="I315" i="7"/>
  <c r="C315" i="7" a="1"/>
  <c r="C315" i="7" s="1"/>
  <c r="B315" i="7"/>
  <c r="A315" i="7"/>
  <c r="AQ314" i="7"/>
  <c r="AP314" i="7"/>
  <c r="AO314" i="7"/>
  <c r="AM314" i="7"/>
  <c r="AL314" i="7"/>
  <c r="AK314" i="7"/>
  <c r="AJ314" i="7"/>
  <c r="AI314" i="7"/>
  <c r="AH314" i="7"/>
  <c r="AG314" i="7"/>
  <c r="AC314" i="7"/>
  <c r="BA309" i="12" s="1"/>
  <c r="BB309" i="12" s="1"/>
  <c r="X314" i="7"/>
  <c r="S314" i="7"/>
  <c r="N314" i="7"/>
  <c r="I314" i="7"/>
  <c r="C314" i="7" a="1"/>
  <c r="C314" i="7"/>
  <c r="B314" i="7"/>
  <c r="A314" i="7"/>
  <c r="AU313" i="7"/>
  <c r="AT313" i="7"/>
  <c r="AS313" i="7"/>
  <c r="AP313" i="7"/>
  <c r="AO313" i="7"/>
  <c r="AN313" i="7"/>
  <c r="AM313" i="7"/>
  <c r="AL313" i="7"/>
  <c r="AK313" i="7"/>
  <c r="AJ313" i="7"/>
  <c r="AI313" i="7"/>
  <c r="AH313" i="7"/>
  <c r="AG313" i="7"/>
  <c r="AC313" i="7"/>
  <c r="BA308" i="12" s="1"/>
  <c r="BB308" i="12" s="1"/>
  <c r="X313" i="7"/>
  <c r="S313" i="7"/>
  <c r="N313" i="7"/>
  <c r="AR313" i="7" s="1"/>
  <c r="I313" i="7"/>
  <c r="B313" i="7"/>
  <c r="C313" i="7" s="1" a="1"/>
  <c r="C313" i="7" s="1"/>
  <c r="A313" i="7"/>
  <c r="AU312" i="7"/>
  <c r="AT312" i="7"/>
  <c r="AR312" i="7"/>
  <c r="AQ312" i="7"/>
  <c r="AP312" i="7"/>
  <c r="AO312" i="7"/>
  <c r="AM312" i="7"/>
  <c r="AL312" i="7"/>
  <c r="AK312" i="7"/>
  <c r="AJ312" i="7"/>
  <c r="AH312" i="7"/>
  <c r="AG312" i="7"/>
  <c r="AC312" i="7"/>
  <c r="BA307" i="12" s="1"/>
  <c r="BB307" i="12" s="1"/>
  <c r="X312" i="7"/>
  <c r="S312" i="7"/>
  <c r="AI312" i="7" s="1"/>
  <c r="N312" i="7"/>
  <c r="AN312" i="7" s="1"/>
  <c r="I312" i="7"/>
  <c r="B312" i="7"/>
  <c r="C312" i="7" s="1" a="1"/>
  <c r="C312" i="7" s="1"/>
  <c r="A312" i="7"/>
  <c r="AR311" i="7"/>
  <c r="AQ311" i="7"/>
  <c r="AP311" i="7"/>
  <c r="AO311" i="7"/>
  <c r="AM311" i="7"/>
  <c r="AL311" i="7"/>
  <c r="AK311" i="7"/>
  <c r="AJ311" i="7"/>
  <c r="AH311" i="7"/>
  <c r="AG311" i="7"/>
  <c r="AC311" i="7"/>
  <c r="BA306" i="12" s="1"/>
  <c r="BB306" i="12" s="1"/>
  <c r="X311" i="7"/>
  <c r="S311" i="7"/>
  <c r="N311" i="7"/>
  <c r="I311" i="7"/>
  <c r="AI311" i="7" s="1"/>
  <c r="C311" i="7" a="1"/>
  <c r="C311" i="7"/>
  <c r="B311" i="7"/>
  <c r="A311" i="7"/>
  <c r="AP310" i="7"/>
  <c r="AO310" i="7"/>
  <c r="AN310" i="7"/>
  <c r="AM310" i="7"/>
  <c r="AL310" i="7"/>
  <c r="AK310" i="7"/>
  <c r="AJ310" i="7"/>
  <c r="AI310" i="7"/>
  <c r="AH310" i="7"/>
  <c r="AG310" i="7"/>
  <c r="AC310" i="7"/>
  <c r="BA305" i="12" s="1"/>
  <c r="BB305" i="12" s="1"/>
  <c r="X310" i="7"/>
  <c r="S310" i="7"/>
  <c r="N310" i="7"/>
  <c r="AT310" i="7" s="1"/>
  <c r="I310" i="7"/>
  <c r="B310" i="7"/>
  <c r="C310" i="7" s="1" a="1"/>
  <c r="C310" i="7" s="1"/>
  <c r="A310" i="7"/>
  <c r="AU309" i="7"/>
  <c r="AT309" i="7"/>
  <c r="AS309" i="7"/>
  <c r="AP309" i="7"/>
  <c r="AO309" i="7"/>
  <c r="AN309" i="7"/>
  <c r="AM309" i="7"/>
  <c r="AL309" i="7"/>
  <c r="AK309" i="7"/>
  <c r="AJ309" i="7"/>
  <c r="AI309" i="7"/>
  <c r="AH309" i="7"/>
  <c r="AG309" i="7"/>
  <c r="AC309" i="7"/>
  <c r="BA304" i="12" s="1"/>
  <c r="BB304" i="12" s="1"/>
  <c r="X309" i="7"/>
  <c r="S309" i="7"/>
  <c r="N309" i="7"/>
  <c r="AR309" i="7" s="1"/>
  <c r="I309" i="7"/>
  <c r="B309" i="7"/>
  <c r="C309" i="7" s="1" a="1"/>
  <c r="C309" i="7" s="1"/>
  <c r="A309" i="7"/>
  <c r="AU308" i="7"/>
  <c r="AT308" i="7"/>
  <c r="AS308" i="7"/>
  <c r="AQ308" i="7"/>
  <c r="AP308" i="7"/>
  <c r="AO308" i="7"/>
  <c r="AM308" i="7"/>
  <c r="AL308" i="7"/>
  <c r="AK308" i="7"/>
  <c r="AJ308" i="7"/>
  <c r="AI308" i="7"/>
  <c r="AH308" i="7"/>
  <c r="AG308" i="7"/>
  <c r="AC308" i="7"/>
  <c r="BA303" i="12" s="1"/>
  <c r="BB303" i="12" s="1"/>
  <c r="X308" i="7"/>
  <c r="S308" i="7"/>
  <c r="N308" i="7"/>
  <c r="AN308" i="7" s="1"/>
  <c r="I308" i="7"/>
  <c r="B308" i="7"/>
  <c r="C308" i="7" s="1" a="1"/>
  <c r="C308" i="7" s="1"/>
  <c r="A308" i="7"/>
  <c r="AU307" i="7"/>
  <c r="AR307" i="7"/>
  <c r="AQ307" i="7"/>
  <c r="AP307" i="7"/>
  <c r="AO307" i="7"/>
  <c r="AM307" i="7"/>
  <c r="AL307" i="7"/>
  <c r="AK307" i="7"/>
  <c r="AJ307" i="7"/>
  <c r="AH307" i="7"/>
  <c r="AG307" i="7"/>
  <c r="AC307" i="7"/>
  <c r="BA302" i="12" s="1"/>
  <c r="BB302" i="12" s="1"/>
  <c r="X307" i="7"/>
  <c r="S307" i="7"/>
  <c r="N307" i="7"/>
  <c r="I307" i="7"/>
  <c r="AI307" i="7" s="1"/>
  <c r="B307" i="7"/>
  <c r="C307" i="7" s="1" a="1"/>
  <c r="C307" i="7" s="1"/>
  <c r="A307" i="7"/>
  <c r="AP306" i="7"/>
  <c r="AO306" i="7"/>
  <c r="AN306" i="7"/>
  <c r="AM306" i="7"/>
  <c r="AL306" i="7"/>
  <c r="AK306" i="7"/>
  <c r="AJ306" i="7"/>
  <c r="AI306" i="7"/>
  <c r="AH306" i="7"/>
  <c r="AG306" i="7"/>
  <c r="AC306" i="7"/>
  <c r="BA301" i="12" s="1"/>
  <c r="BB301" i="12" s="1"/>
  <c r="X306" i="7"/>
  <c r="S306" i="7"/>
  <c r="N306" i="7"/>
  <c r="AR306" i="7" s="1"/>
  <c r="I306" i="7"/>
  <c r="B306" i="7"/>
  <c r="C306" i="7" s="1" a="1"/>
  <c r="C306" i="7" s="1"/>
  <c r="A306" i="7"/>
  <c r="AU305" i="7"/>
  <c r="AT305" i="7"/>
  <c r="AS305" i="7"/>
  <c r="AR305" i="7"/>
  <c r="AP305" i="7"/>
  <c r="AO305" i="7"/>
  <c r="AN305" i="7"/>
  <c r="AM305" i="7"/>
  <c r="AL305" i="7"/>
  <c r="AK305" i="7"/>
  <c r="AJ305" i="7"/>
  <c r="AI305" i="7"/>
  <c r="AH305" i="7"/>
  <c r="AG305" i="7"/>
  <c r="AC305" i="7"/>
  <c r="BA300" i="12" s="1"/>
  <c r="BB300" i="12" s="1"/>
  <c r="X305" i="7"/>
  <c r="S305" i="7"/>
  <c r="N305" i="7"/>
  <c r="AQ305" i="7" s="1"/>
  <c r="I305" i="7"/>
  <c r="C305" i="7"/>
  <c r="B305" i="7"/>
  <c r="C305" i="7" s="1" a="1"/>
  <c r="A305" i="7"/>
  <c r="AU304" i="7"/>
  <c r="AQ304" i="7"/>
  <c r="AP304" i="7"/>
  <c r="AO304" i="7"/>
  <c r="AM304" i="7"/>
  <c r="AL304" i="7"/>
  <c r="AK304" i="7"/>
  <c r="AJ304" i="7"/>
  <c r="AI304" i="7"/>
  <c r="AH304" i="7"/>
  <c r="AG304" i="7"/>
  <c r="AC304" i="7"/>
  <c r="BA299" i="12" s="1"/>
  <c r="BB299" i="12" s="1"/>
  <c r="X304" i="7"/>
  <c r="S304" i="7"/>
  <c r="N304" i="7"/>
  <c r="I304" i="7"/>
  <c r="B304" i="7"/>
  <c r="C304" i="7" s="1" a="1"/>
  <c r="C304" i="7" s="1"/>
  <c r="A304" i="7"/>
  <c r="AQ303" i="7"/>
  <c r="AP303" i="7"/>
  <c r="AO303" i="7"/>
  <c r="AN303" i="7"/>
  <c r="AM303" i="7"/>
  <c r="AL303" i="7"/>
  <c r="AK303" i="7"/>
  <c r="AJ303" i="7"/>
  <c r="AH303" i="7"/>
  <c r="AG303" i="7"/>
  <c r="AC303" i="7"/>
  <c r="BA298" i="12" s="1"/>
  <c r="BB298" i="12" s="1"/>
  <c r="X303" i="7"/>
  <c r="S303" i="7"/>
  <c r="N303" i="7"/>
  <c r="I303" i="7"/>
  <c r="AI303" i="7" s="1"/>
  <c r="C303" i="7" a="1"/>
  <c r="C303" i="7" s="1"/>
  <c r="B303" i="7"/>
  <c r="A303" i="7"/>
  <c r="AP302" i="7"/>
  <c r="AO302" i="7"/>
  <c r="AN302" i="7"/>
  <c r="AM302" i="7"/>
  <c r="AL302" i="7"/>
  <c r="AK302" i="7"/>
  <c r="AJ302" i="7"/>
  <c r="AI302" i="7"/>
  <c r="AH302" i="7"/>
  <c r="AG302" i="7"/>
  <c r="AC302" i="7"/>
  <c r="BA297" i="12" s="1"/>
  <c r="BB297" i="12" s="1"/>
  <c r="X302" i="7"/>
  <c r="S302" i="7"/>
  <c r="N302" i="7"/>
  <c r="AR302" i="7" s="1"/>
  <c r="I302" i="7"/>
  <c r="C302" i="7" a="1"/>
  <c r="C302" i="7"/>
  <c r="B302" i="7"/>
  <c r="A302" i="7"/>
  <c r="AU301" i="7"/>
  <c r="AT301" i="7"/>
  <c r="AP301" i="7"/>
  <c r="AO301" i="7"/>
  <c r="AN301" i="7"/>
  <c r="AM301" i="7"/>
  <c r="AL301" i="7"/>
  <c r="AK301" i="7"/>
  <c r="AJ301" i="7"/>
  <c r="AI301" i="7"/>
  <c r="AH301" i="7"/>
  <c r="AG301" i="7"/>
  <c r="AC301" i="7"/>
  <c r="BA296" i="12" s="1"/>
  <c r="BB296" i="12" s="1"/>
  <c r="X301" i="7"/>
  <c r="S301" i="7"/>
  <c r="N301" i="7"/>
  <c r="AS301" i="7" s="1"/>
  <c r="I301" i="7"/>
  <c r="C301" i="7" a="1"/>
  <c r="C301" i="7" s="1"/>
  <c r="B301" i="7"/>
  <c r="A301" i="7"/>
  <c r="AQ300" i="7"/>
  <c r="AP300" i="7"/>
  <c r="AO300" i="7"/>
  <c r="AM300" i="7"/>
  <c r="AL300" i="7"/>
  <c r="AK300" i="7"/>
  <c r="AJ300" i="7"/>
  <c r="AI300" i="7"/>
  <c r="AH300" i="7"/>
  <c r="AG300" i="7"/>
  <c r="AC300" i="7"/>
  <c r="BA295" i="12" s="1"/>
  <c r="BB295" i="12" s="1"/>
  <c r="X300" i="7"/>
  <c r="S300" i="7"/>
  <c r="N300" i="7"/>
  <c r="I300" i="7"/>
  <c r="B300" i="7"/>
  <c r="C300" i="7" s="1" a="1"/>
  <c r="C300" i="7" s="1"/>
  <c r="A300" i="7"/>
  <c r="AQ299" i="7"/>
  <c r="AP299" i="7"/>
  <c r="AO299" i="7"/>
  <c r="AN299" i="7"/>
  <c r="AM299" i="7"/>
  <c r="AL299" i="7"/>
  <c r="AK299" i="7"/>
  <c r="AJ299" i="7"/>
  <c r="AH299" i="7"/>
  <c r="AG299" i="7"/>
  <c r="AC299" i="7"/>
  <c r="BA294" i="12" s="1"/>
  <c r="BB294" i="12" s="1"/>
  <c r="X299" i="7"/>
  <c r="S299" i="7"/>
  <c r="N299" i="7"/>
  <c r="I299" i="7"/>
  <c r="AI299" i="7" s="1"/>
  <c r="C299" i="7" a="1"/>
  <c r="C299" i="7" s="1"/>
  <c r="B299" i="7"/>
  <c r="A299" i="7"/>
  <c r="AP298" i="7"/>
  <c r="AO298" i="7"/>
  <c r="AM298" i="7"/>
  <c r="AL298" i="7"/>
  <c r="AK298" i="7"/>
  <c r="AJ298" i="7"/>
  <c r="AI298" i="7"/>
  <c r="AH298" i="7"/>
  <c r="AG298" i="7"/>
  <c r="AC298" i="7"/>
  <c r="BA293" i="12" s="1"/>
  <c r="BB293" i="12" s="1"/>
  <c r="X298" i="7"/>
  <c r="S298" i="7"/>
  <c r="N298" i="7"/>
  <c r="I298" i="7"/>
  <c r="C298" i="7" a="1"/>
  <c r="C298" i="7"/>
  <c r="B298" i="7"/>
  <c r="A298" i="7"/>
  <c r="AU297" i="7"/>
  <c r="AP297" i="7"/>
  <c r="AO297" i="7"/>
  <c r="AM297" i="7"/>
  <c r="AL297" i="7"/>
  <c r="AK297" i="7"/>
  <c r="AJ297" i="7"/>
  <c r="AI297" i="7"/>
  <c r="AH297" i="7"/>
  <c r="AG297" i="7"/>
  <c r="AC297" i="7"/>
  <c r="BA292" i="12" s="1"/>
  <c r="BB292" i="12" s="1"/>
  <c r="X297" i="7"/>
  <c r="S297" i="7"/>
  <c r="N297" i="7"/>
  <c r="AN297" i="7" s="1"/>
  <c r="I297" i="7"/>
  <c r="C297" i="7"/>
  <c r="B297" i="7"/>
  <c r="C297" i="7" s="1" a="1"/>
  <c r="A297" i="7"/>
  <c r="AU296" i="7"/>
  <c r="AS296" i="7"/>
  <c r="AP296" i="7"/>
  <c r="AO296" i="7"/>
  <c r="AM296" i="7"/>
  <c r="AL296" i="7"/>
  <c r="AK296" i="7"/>
  <c r="AJ296" i="7"/>
  <c r="AH296" i="7"/>
  <c r="AG296" i="7"/>
  <c r="AC296" i="7"/>
  <c r="BA291" i="12" s="1"/>
  <c r="BB291" i="12" s="1"/>
  <c r="X296" i="7"/>
  <c r="S296" i="7"/>
  <c r="AI296" i="7" s="1"/>
  <c r="N296" i="7"/>
  <c r="AQ296" i="7" s="1"/>
  <c r="I296" i="7"/>
  <c r="C296" i="7" a="1"/>
  <c r="C296" i="7" s="1"/>
  <c r="B296" i="7"/>
  <c r="A296" i="7"/>
  <c r="AQ295" i="7"/>
  <c r="AP295" i="7"/>
  <c r="AO295" i="7"/>
  <c r="AN295" i="7"/>
  <c r="AM295" i="7"/>
  <c r="AL295" i="7"/>
  <c r="AK295" i="7"/>
  <c r="AJ295" i="7"/>
  <c r="AH295" i="7"/>
  <c r="AG295" i="7"/>
  <c r="AC295" i="7"/>
  <c r="BA290" i="12" s="1"/>
  <c r="BB290" i="12" s="1"/>
  <c r="X295" i="7"/>
  <c r="S295" i="7"/>
  <c r="N295" i="7"/>
  <c r="AR295" i="7" s="1"/>
  <c r="I295" i="7"/>
  <c r="AI295" i="7" s="1"/>
  <c r="C295" i="7" a="1"/>
  <c r="C295" i="7" s="1"/>
  <c r="B295" i="7"/>
  <c r="A295" i="7"/>
  <c r="AQ294" i="7"/>
  <c r="AP294" i="7"/>
  <c r="AO294" i="7"/>
  <c r="AM294" i="7"/>
  <c r="AL294" i="7"/>
  <c r="AK294" i="7"/>
  <c r="AJ294" i="7"/>
  <c r="AH294" i="7"/>
  <c r="AG294" i="7"/>
  <c r="AC294" i="7"/>
  <c r="BA289" i="12" s="1"/>
  <c r="BB289" i="12" s="1"/>
  <c r="X294" i="7"/>
  <c r="S294" i="7"/>
  <c r="AI294" i="7" s="1"/>
  <c r="N294" i="7"/>
  <c r="AN294" i="7" s="1"/>
  <c r="I294" i="7"/>
  <c r="B294" i="7"/>
  <c r="C294" i="7" s="1" a="1"/>
  <c r="C294" i="7" s="1"/>
  <c r="A294" i="7"/>
  <c r="AP293" i="7"/>
  <c r="AO293" i="7"/>
  <c r="AM293" i="7"/>
  <c r="AL293" i="7"/>
  <c r="AK293" i="7"/>
  <c r="AJ293" i="7"/>
  <c r="AI293" i="7"/>
  <c r="AH293" i="7"/>
  <c r="AG293" i="7"/>
  <c r="AC293" i="7"/>
  <c r="BA288" i="12" s="1"/>
  <c r="BB288" i="12" s="1"/>
  <c r="X293" i="7"/>
  <c r="S293" i="7"/>
  <c r="N293" i="7"/>
  <c r="AQ293" i="7" s="1"/>
  <c r="I293" i="7"/>
  <c r="B293" i="7"/>
  <c r="C293" i="7" s="1" a="1"/>
  <c r="C293" i="7" s="1"/>
  <c r="A293" i="7"/>
  <c r="AU292" i="7"/>
  <c r="AT292" i="7"/>
  <c r="AQ292" i="7"/>
  <c r="AP292" i="7"/>
  <c r="AO292" i="7"/>
  <c r="AM292" i="7"/>
  <c r="AL292" i="7"/>
  <c r="AK292" i="7"/>
  <c r="AJ292" i="7"/>
  <c r="AI292" i="7"/>
  <c r="AH292" i="7"/>
  <c r="AG292" i="7"/>
  <c r="AC292" i="7"/>
  <c r="BA287" i="12" s="1"/>
  <c r="BB287" i="12" s="1"/>
  <c r="X292" i="7"/>
  <c r="S292" i="7"/>
  <c r="N292" i="7"/>
  <c r="I292" i="7"/>
  <c r="C292" i="7" a="1"/>
  <c r="C292" i="7" s="1"/>
  <c r="B292" i="7"/>
  <c r="A292" i="7"/>
  <c r="AP291" i="7"/>
  <c r="AO291" i="7"/>
  <c r="AM291" i="7"/>
  <c r="AL291" i="7"/>
  <c r="AK291" i="7"/>
  <c r="AJ291" i="7"/>
  <c r="AH291" i="7"/>
  <c r="AG291" i="7"/>
  <c r="AC291" i="7"/>
  <c r="BA286" i="12" s="1"/>
  <c r="BB286" i="12" s="1"/>
  <c r="X291" i="7"/>
  <c r="S291" i="7"/>
  <c r="AI291" i="7" s="1"/>
  <c r="N291" i="7"/>
  <c r="I291" i="7"/>
  <c r="C291" i="7" a="1"/>
  <c r="C291" i="7" s="1"/>
  <c r="B291" i="7"/>
  <c r="A291" i="7"/>
  <c r="AR290" i="7"/>
  <c r="AQ290" i="7"/>
  <c r="AP290" i="7"/>
  <c r="AO290" i="7"/>
  <c r="AM290" i="7"/>
  <c r="AL290" i="7"/>
  <c r="AK290" i="7"/>
  <c r="AJ290" i="7"/>
  <c r="AH290" i="7"/>
  <c r="AG290" i="7"/>
  <c r="AC290" i="7"/>
  <c r="BA285" i="12" s="1"/>
  <c r="BB285" i="12" s="1"/>
  <c r="X290" i="7"/>
  <c r="S290" i="7"/>
  <c r="N290" i="7"/>
  <c r="I290" i="7"/>
  <c r="AI290" i="7" s="1"/>
  <c r="B290" i="7"/>
  <c r="C290" i="7" s="1" a="1"/>
  <c r="C290" i="7" s="1"/>
  <c r="A290" i="7"/>
  <c r="AU289" i="7"/>
  <c r="AP289" i="7"/>
  <c r="AO289" i="7"/>
  <c r="AN289" i="7"/>
  <c r="AM289" i="7"/>
  <c r="AL289" i="7"/>
  <c r="AK289" i="7"/>
  <c r="AJ289" i="7"/>
  <c r="AI289" i="7"/>
  <c r="AH289" i="7"/>
  <c r="AG289" i="7"/>
  <c r="AC289" i="7"/>
  <c r="BA284" i="12" s="1"/>
  <c r="BB284" i="12" s="1"/>
  <c r="X289" i="7"/>
  <c r="S289" i="7"/>
  <c r="N289" i="7"/>
  <c r="AT289" i="7" s="1"/>
  <c r="I289" i="7"/>
  <c r="B289" i="7"/>
  <c r="C289" i="7" s="1" a="1"/>
  <c r="C289" i="7" s="1"/>
  <c r="A289" i="7"/>
  <c r="AQ288" i="7"/>
  <c r="AP288" i="7"/>
  <c r="AO288" i="7"/>
  <c r="AM288" i="7"/>
  <c r="AL288" i="7"/>
  <c r="AK288" i="7"/>
  <c r="AJ288" i="7"/>
  <c r="AI288" i="7"/>
  <c r="AH288" i="7"/>
  <c r="AG288" i="7"/>
  <c r="AC288" i="7"/>
  <c r="BA283" i="12" s="1"/>
  <c r="BB283" i="12" s="1"/>
  <c r="X288" i="7"/>
  <c r="S288" i="7"/>
  <c r="N288" i="7"/>
  <c r="I288" i="7"/>
  <c r="B288" i="7"/>
  <c r="C288" i="7" s="1" a="1"/>
  <c r="C288" i="7" s="1"/>
  <c r="A288" i="7"/>
  <c r="AQ287" i="7"/>
  <c r="AP287" i="7"/>
  <c r="AO287" i="7"/>
  <c r="AM287" i="7"/>
  <c r="AL287" i="7"/>
  <c r="AK287" i="7"/>
  <c r="AJ287" i="7"/>
  <c r="AH287" i="7"/>
  <c r="AG287" i="7"/>
  <c r="AC287" i="7"/>
  <c r="BA282" i="12" s="1"/>
  <c r="BB282" i="12" s="1"/>
  <c r="X287" i="7"/>
  <c r="S287" i="7"/>
  <c r="AI287" i="7" s="1"/>
  <c r="N287" i="7"/>
  <c r="AR287" i="7" s="1"/>
  <c r="I287" i="7"/>
  <c r="B287" i="7"/>
  <c r="C287" i="7" s="1" a="1"/>
  <c r="C287" i="7" s="1"/>
  <c r="A287" i="7"/>
  <c r="AR286" i="7"/>
  <c r="AQ286" i="7"/>
  <c r="AP286" i="7"/>
  <c r="AO286" i="7"/>
  <c r="AM286" i="7"/>
  <c r="AL286" i="7"/>
  <c r="AK286" i="7"/>
  <c r="AJ286" i="7"/>
  <c r="AH286" i="7"/>
  <c r="AG286" i="7"/>
  <c r="AC286" i="7"/>
  <c r="BA281" i="12" s="1"/>
  <c r="BB281" i="12" s="1"/>
  <c r="X286" i="7"/>
  <c r="S286" i="7"/>
  <c r="N286" i="7"/>
  <c r="I286" i="7"/>
  <c r="AI286" i="7" s="1"/>
  <c r="B286" i="7"/>
  <c r="C286" i="7" s="1" a="1"/>
  <c r="C286" i="7" s="1"/>
  <c r="A286" i="7"/>
  <c r="AU285" i="7"/>
  <c r="AP285" i="7"/>
  <c r="AO285" i="7"/>
  <c r="AN285" i="7"/>
  <c r="AM285" i="7"/>
  <c r="AL285" i="7"/>
  <c r="AK285" i="7"/>
  <c r="AJ285" i="7"/>
  <c r="AI285" i="7"/>
  <c r="AH285" i="7"/>
  <c r="AG285" i="7"/>
  <c r="AC285" i="7"/>
  <c r="BA280" i="12" s="1"/>
  <c r="BB280" i="12" s="1"/>
  <c r="X285" i="7"/>
  <c r="S285" i="7"/>
  <c r="N285" i="7"/>
  <c r="AR285" i="7" s="1"/>
  <c r="I285" i="7"/>
  <c r="B285" i="7"/>
  <c r="C285" i="7" s="1" a="1"/>
  <c r="C285" i="7" s="1"/>
  <c r="A285" i="7"/>
  <c r="AP284" i="7"/>
  <c r="AO284" i="7"/>
  <c r="AM284" i="7"/>
  <c r="AL284" i="7"/>
  <c r="AK284" i="7"/>
  <c r="AJ284" i="7"/>
  <c r="AH284" i="7"/>
  <c r="AG284" i="7"/>
  <c r="AC284" i="7"/>
  <c r="BA279" i="12" s="1"/>
  <c r="BB279" i="12" s="1"/>
  <c r="X284" i="7"/>
  <c r="S284" i="7"/>
  <c r="AI284" i="7" s="1"/>
  <c r="N284" i="7"/>
  <c r="AN284" i="7" s="1"/>
  <c r="I284" i="7"/>
  <c r="B284" i="7"/>
  <c r="C284" i="7" s="1" a="1"/>
  <c r="C284" i="7" s="1"/>
  <c r="A284" i="7"/>
  <c r="AR283" i="7"/>
  <c r="AP283" i="7"/>
  <c r="AO283" i="7"/>
  <c r="AM283" i="7"/>
  <c r="AL283" i="7"/>
  <c r="AK283" i="7"/>
  <c r="AJ283" i="7"/>
  <c r="AH283" i="7"/>
  <c r="AG283" i="7"/>
  <c r="AC283" i="7"/>
  <c r="BA278" i="12" s="1"/>
  <c r="BB278" i="12" s="1"/>
  <c r="X283" i="7"/>
  <c r="S283" i="7"/>
  <c r="N283" i="7"/>
  <c r="AS283" i="7" s="1"/>
  <c r="I283" i="7"/>
  <c r="AI283" i="7" s="1"/>
  <c r="C283" i="7" a="1"/>
  <c r="C283" i="7" s="1"/>
  <c r="B283" i="7"/>
  <c r="A283" i="7"/>
  <c r="AQ282" i="7"/>
  <c r="AP282" i="7"/>
  <c r="AO282" i="7"/>
  <c r="AM282" i="7"/>
  <c r="AL282" i="7"/>
  <c r="AK282" i="7"/>
  <c r="AJ282" i="7"/>
  <c r="AH282" i="7"/>
  <c r="AG282" i="7"/>
  <c r="AC282" i="7"/>
  <c r="BA277" i="12" s="1"/>
  <c r="BB277" i="12" s="1"/>
  <c r="X282" i="7"/>
  <c r="S282" i="7"/>
  <c r="N282" i="7"/>
  <c r="AN282" i="7" s="1"/>
  <c r="I282" i="7"/>
  <c r="AI282" i="7" s="1"/>
  <c r="B282" i="7"/>
  <c r="C282" i="7" s="1" a="1"/>
  <c r="C282" i="7" s="1"/>
  <c r="A282" i="7"/>
  <c r="AU281" i="7"/>
  <c r="AP281" i="7"/>
  <c r="AO281" i="7"/>
  <c r="AN281" i="7"/>
  <c r="AM281" i="7"/>
  <c r="AL281" i="7"/>
  <c r="AK281" i="7"/>
  <c r="AJ281" i="7"/>
  <c r="AI281" i="7"/>
  <c r="AH281" i="7"/>
  <c r="AG281" i="7"/>
  <c r="AC281" i="7"/>
  <c r="BA276" i="12" s="1"/>
  <c r="BB276" i="12" s="1"/>
  <c r="X281" i="7"/>
  <c r="S281" i="7"/>
  <c r="N281" i="7"/>
  <c r="AR281" i="7" s="1"/>
  <c r="I281" i="7"/>
  <c r="C281" i="7" a="1"/>
  <c r="C281" i="7"/>
  <c r="B281" i="7"/>
  <c r="A281" i="7"/>
  <c r="AU280" i="7"/>
  <c r="AT280" i="7"/>
  <c r="AS280" i="7"/>
  <c r="AR280" i="7"/>
  <c r="AP280" i="7"/>
  <c r="AO280" i="7"/>
  <c r="AN280" i="7"/>
  <c r="AM280" i="7"/>
  <c r="AL280" i="7"/>
  <c r="AK280" i="7"/>
  <c r="AJ280" i="7"/>
  <c r="AI280" i="7"/>
  <c r="AH280" i="7"/>
  <c r="AG280" i="7"/>
  <c r="AC280" i="7"/>
  <c r="BA275" i="12" s="1"/>
  <c r="BB275" i="12" s="1"/>
  <c r="X280" i="7"/>
  <c r="S280" i="7"/>
  <c r="N280" i="7"/>
  <c r="AQ280" i="7" s="1"/>
  <c r="I280" i="7"/>
  <c r="B280" i="7"/>
  <c r="C280" i="7" s="1" a="1"/>
  <c r="C280" i="7" s="1"/>
  <c r="A280" i="7"/>
  <c r="AS279" i="7"/>
  <c r="AQ279" i="7"/>
  <c r="AP279" i="7"/>
  <c r="AO279" i="7"/>
  <c r="AM279" i="7"/>
  <c r="AL279" i="7"/>
  <c r="AK279" i="7"/>
  <c r="AJ279" i="7"/>
  <c r="AH279" i="7"/>
  <c r="AG279" i="7"/>
  <c r="AC279" i="7"/>
  <c r="BA274" i="12" s="1"/>
  <c r="BB274" i="12" s="1"/>
  <c r="X279" i="7"/>
  <c r="S279" i="7"/>
  <c r="N279" i="7"/>
  <c r="I279" i="7"/>
  <c r="C279" i="7" a="1"/>
  <c r="C279" i="7" s="1"/>
  <c r="B279" i="7"/>
  <c r="A279" i="7"/>
  <c r="AQ278" i="7"/>
  <c r="AP278" i="7"/>
  <c r="AO278" i="7"/>
  <c r="AM278" i="7"/>
  <c r="AL278" i="7"/>
  <c r="AK278" i="7"/>
  <c r="AJ278" i="7"/>
  <c r="AH278" i="7"/>
  <c r="AG278" i="7"/>
  <c r="AC278" i="7"/>
  <c r="BA273" i="12" s="1"/>
  <c r="BB273" i="12" s="1"/>
  <c r="X278" i="7"/>
  <c r="S278" i="7"/>
  <c r="N278" i="7"/>
  <c r="AN278" i="7" s="1"/>
  <c r="I278" i="7"/>
  <c r="AI278" i="7" s="1"/>
  <c r="B278" i="7"/>
  <c r="C278" i="7" s="1" a="1"/>
  <c r="C278" i="7" s="1"/>
  <c r="A278" i="7"/>
  <c r="AU277" i="7"/>
  <c r="AR277" i="7"/>
  <c r="AP277" i="7"/>
  <c r="AO277" i="7"/>
  <c r="AN277" i="7"/>
  <c r="AM277" i="7"/>
  <c r="AL277" i="7"/>
  <c r="AK277" i="7"/>
  <c r="AJ277" i="7"/>
  <c r="AI277" i="7"/>
  <c r="AH277" i="7"/>
  <c r="AG277" i="7"/>
  <c r="AC277" i="7"/>
  <c r="BA272" i="12" s="1"/>
  <c r="BB272" i="12" s="1"/>
  <c r="X277" i="7"/>
  <c r="S277" i="7"/>
  <c r="N277" i="7"/>
  <c r="AT277" i="7" s="1"/>
  <c r="I277" i="7"/>
  <c r="B277" i="7"/>
  <c r="C277" i="7" s="1" a="1"/>
  <c r="C277" i="7" s="1"/>
  <c r="A277" i="7"/>
  <c r="AU276" i="7"/>
  <c r="AT276" i="7"/>
  <c r="AS276" i="7"/>
  <c r="AP276" i="7"/>
  <c r="AO276" i="7"/>
  <c r="AM276" i="7"/>
  <c r="AL276" i="7"/>
  <c r="AK276" i="7"/>
  <c r="AJ276" i="7"/>
  <c r="AI276" i="7"/>
  <c r="AH276" i="7"/>
  <c r="AG276" i="7"/>
  <c r="AC276" i="7"/>
  <c r="BA271" i="12" s="1"/>
  <c r="BB271" i="12" s="1"/>
  <c r="X276" i="7"/>
  <c r="S276" i="7"/>
  <c r="N276" i="7"/>
  <c r="AN276" i="7" s="1"/>
  <c r="I276" i="7"/>
  <c r="B276" i="7"/>
  <c r="C276" i="7" s="1" a="1"/>
  <c r="C276" i="7" s="1"/>
  <c r="A276" i="7"/>
  <c r="AU275" i="7"/>
  <c r="AS275" i="7"/>
  <c r="AR275" i="7"/>
  <c r="AP275" i="7"/>
  <c r="AO275" i="7"/>
  <c r="AN275" i="7"/>
  <c r="AM275" i="7"/>
  <c r="AL275" i="7"/>
  <c r="AK275" i="7"/>
  <c r="AJ275" i="7"/>
  <c r="AH275" i="7"/>
  <c r="AG275" i="7"/>
  <c r="AC275" i="7"/>
  <c r="BA270" i="12" s="1"/>
  <c r="BB270" i="12" s="1"/>
  <c r="X275" i="7"/>
  <c r="S275" i="7"/>
  <c r="AI275" i="7" s="1"/>
  <c r="N275" i="7"/>
  <c r="AT275" i="7" s="1"/>
  <c r="I275" i="7"/>
  <c r="C275" i="7" a="1"/>
  <c r="C275" i="7" s="1"/>
  <c r="B275" i="7"/>
  <c r="A275" i="7"/>
  <c r="AQ274" i="7"/>
  <c r="AP274" i="7"/>
  <c r="AO274" i="7"/>
  <c r="AM274" i="7"/>
  <c r="AL274" i="7"/>
  <c r="AK274" i="7"/>
  <c r="AJ274" i="7"/>
  <c r="AH274" i="7"/>
  <c r="AG274" i="7"/>
  <c r="AC274" i="7"/>
  <c r="BA269" i="12" s="1"/>
  <c r="BB269" i="12" s="1"/>
  <c r="X274" i="7"/>
  <c r="S274" i="7"/>
  <c r="N274" i="7"/>
  <c r="I274" i="7"/>
  <c r="C274" i="7" a="1"/>
  <c r="C274" i="7"/>
  <c r="B274" i="7"/>
  <c r="A274" i="7"/>
  <c r="AP273" i="7"/>
  <c r="AO273" i="7"/>
  <c r="AM273" i="7"/>
  <c r="AL273" i="7"/>
  <c r="AK273" i="7"/>
  <c r="AJ273" i="7"/>
  <c r="AH273" i="7"/>
  <c r="AG273" i="7"/>
  <c r="AC273" i="7"/>
  <c r="BA268" i="12" s="1"/>
  <c r="BB268" i="12" s="1"/>
  <c r="AX268" i="12" s="1"/>
  <c r="X273" i="7"/>
  <c r="S273" i="7"/>
  <c r="N273" i="7"/>
  <c r="AD273" i="4" s="1"/>
  <c r="I273" i="7"/>
  <c r="AI273" i="7" s="1"/>
  <c r="B273" i="7"/>
  <c r="C273" i="7" s="1" a="1"/>
  <c r="C273" i="7" s="1"/>
  <c r="A273" i="7"/>
  <c r="AU272" i="7"/>
  <c r="AS272" i="7"/>
  <c r="AP272" i="7"/>
  <c r="AO272" i="7"/>
  <c r="AM272" i="7"/>
  <c r="AL272" i="7"/>
  <c r="AK272" i="7"/>
  <c r="AJ272" i="7"/>
  <c r="AH272" i="7"/>
  <c r="AG272" i="7"/>
  <c r="AC272" i="7"/>
  <c r="BA267" i="12" s="1"/>
  <c r="BB267" i="12" s="1"/>
  <c r="AX267" i="12" s="1"/>
  <c r="X272" i="7"/>
  <c r="S272" i="7"/>
  <c r="AI272" i="7" s="1"/>
  <c r="N272" i="7"/>
  <c r="AQ272" i="7" s="1"/>
  <c r="I272" i="7"/>
  <c r="B272" i="7"/>
  <c r="C272" i="7" s="1" a="1"/>
  <c r="C272" i="7" s="1"/>
  <c r="A272" i="7"/>
  <c r="AP271" i="7"/>
  <c r="AO271" i="7"/>
  <c r="AM271" i="7"/>
  <c r="AL271" i="7"/>
  <c r="AK271" i="7"/>
  <c r="AJ271" i="7"/>
  <c r="AH271" i="7"/>
  <c r="AG271" i="7"/>
  <c r="AC271" i="7"/>
  <c r="BA266" i="12" s="1"/>
  <c r="BB266" i="12" s="1"/>
  <c r="AX266" i="12" s="1"/>
  <c r="X271" i="7"/>
  <c r="S271" i="7"/>
  <c r="AI271" i="7" s="1"/>
  <c r="N271" i="7"/>
  <c r="AR271" i="7" s="1"/>
  <c r="I271" i="7"/>
  <c r="C271" i="7" a="1"/>
  <c r="C271" i="7" s="1"/>
  <c r="B271" i="7"/>
  <c r="A271" i="7"/>
  <c r="AP270" i="7"/>
  <c r="AO270" i="7"/>
  <c r="AM270" i="7"/>
  <c r="AL270" i="7"/>
  <c r="AK270" i="7"/>
  <c r="AJ270" i="7"/>
  <c r="AH270" i="7"/>
  <c r="AG270" i="7"/>
  <c r="AC270" i="7"/>
  <c r="BA265" i="12" s="1"/>
  <c r="BB265" i="12" s="1"/>
  <c r="AX265" i="12" s="1"/>
  <c r="X270" i="7"/>
  <c r="S270" i="7"/>
  <c r="N270" i="7"/>
  <c r="AT270" i="7" s="1"/>
  <c r="I270" i="7"/>
  <c r="C270" i="7" a="1"/>
  <c r="C270" i="7"/>
  <c r="B270" i="7"/>
  <c r="A270" i="7"/>
  <c r="AP269" i="7"/>
  <c r="AO269" i="7"/>
  <c r="AN269" i="7"/>
  <c r="AM269" i="7"/>
  <c r="AL269" i="7"/>
  <c r="AK269" i="7"/>
  <c r="AJ269" i="7"/>
  <c r="AH269" i="7"/>
  <c r="AG269" i="7"/>
  <c r="AC269" i="7"/>
  <c r="BA264" i="12" s="1"/>
  <c r="BB264" i="12" s="1"/>
  <c r="AX264" i="12" s="1"/>
  <c r="X269" i="7"/>
  <c r="S269" i="7"/>
  <c r="N269" i="7"/>
  <c r="I269" i="7"/>
  <c r="AI269" i="7" s="1"/>
  <c r="C269" i="7" a="1"/>
  <c r="C269" i="7"/>
  <c r="B269" i="7"/>
  <c r="A269" i="7"/>
  <c r="AU268" i="7"/>
  <c r="AR268" i="7"/>
  <c r="AP268" i="7"/>
  <c r="AO268" i="7"/>
  <c r="AM268" i="7"/>
  <c r="AL268" i="7"/>
  <c r="AK268" i="7"/>
  <c r="AJ268" i="7"/>
  <c r="AI268" i="7"/>
  <c r="AH268" i="7"/>
  <c r="AG268" i="7"/>
  <c r="AC268" i="7"/>
  <c r="BA263" i="12" s="1"/>
  <c r="BB263" i="12" s="1"/>
  <c r="AX263" i="12" s="1"/>
  <c r="X268" i="7"/>
  <c r="S268" i="7"/>
  <c r="N268" i="7"/>
  <c r="AT268" i="7" s="1"/>
  <c r="I268" i="7"/>
  <c r="AN268" i="7" s="1"/>
  <c r="B268" i="7"/>
  <c r="C268" i="7" s="1" a="1"/>
  <c r="C268" i="7" s="1"/>
  <c r="A268" i="7"/>
  <c r="AU267" i="7"/>
  <c r="AT267" i="7"/>
  <c r="AS267" i="7"/>
  <c r="AR267" i="7"/>
  <c r="AP267" i="7"/>
  <c r="AO267" i="7"/>
  <c r="AN267" i="7"/>
  <c r="AM267" i="7"/>
  <c r="AL267" i="7"/>
  <c r="AK267" i="7"/>
  <c r="AJ267" i="7"/>
  <c r="AI267" i="7"/>
  <c r="AH267" i="7"/>
  <c r="AG267" i="7"/>
  <c r="AC267" i="7"/>
  <c r="BA262" i="12" s="1"/>
  <c r="BB262" i="12" s="1"/>
  <c r="AX262" i="12" s="1"/>
  <c r="X267" i="7"/>
  <c r="S267" i="7"/>
  <c r="N267" i="7"/>
  <c r="AQ267" i="7" s="1"/>
  <c r="I267" i="7"/>
  <c r="C267" i="7" a="1"/>
  <c r="C267" i="7"/>
  <c r="B267" i="7"/>
  <c r="A267" i="7"/>
  <c r="AR266" i="7"/>
  <c r="AQ266" i="7"/>
  <c r="AP266" i="7"/>
  <c r="AO266" i="7"/>
  <c r="AM266" i="7"/>
  <c r="AL266" i="7"/>
  <c r="AK266" i="7"/>
  <c r="AJ266" i="7"/>
  <c r="AH266" i="7"/>
  <c r="AG266" i="7"/>
  <c r="AC266" i="7"/>
  <c r="BA261" i="12" s="1"/>
  <c r="BB261" i="12" s="1"/>
  <c r="X266" i="7"/>
  <c r="S266" i="7"/>
  <c r="AI266" i="7" s="1"/>
  <c r="N266" i="7"/>
  <c r="I266" i="7"/>
  <c r="B266" i="7"/>
  <c r="C266" i="7" s="1" a="1"/>
  <c r="C266" i="7" s="1"/>
  <c r="A266" i="7"/>
  <c r="AP265" i="7"/>
  <c r="AO265" i="7"/>
  <c r="AM265" i="7"/>
  <c r="AL265" i="7"/>
  <c r="AK265" i="7"/>
  <c r="AJ265" i="7"/>
  <c r="AH265" i="7"/>
  <c r="AG265" i="7"/>
  <c r="AC265" i="7"/>
  <c r="BA260" i="12" s="1"/>
  <c r="BB260" i="12" s="1"/>
  <c r="AX260" i="12" s="1"/>
  <c r="X265" i="7"/>
  <c r="S265" i="7"/>
  <c r="AI265" i="7" s="1"/>
  <c r="N265" i="7"/>
  <c r="AN265" i="7" s="1"/>
  <c r="I265" i="7"/>
  <c r="B265" i="7"/>
  <c r="C265" i="7" s="1" a="1"/>
  <c r="C265" i="7" s="1"/>
  <c r="A265" i="7"/>
  <c r="AU264" i="7"/>
  <c r="AT264" i="7"/>
  <c r="AS264" i="7"/>
  <c r="AQ264" i="7"/>
  <c r="AP264" i="7"/>
  <c r="AO264" i="7"/>
  <c r="AM264" i="7"/>
  <c r="AL264" i="7"/>
  <c r="AK264" i="7"/>
  <c r="AJ264" i="7"/>
  <c r="AH264" i="7"/>
  <c r="AG264" i="7"/>
  <c r="AC264" i="7"/>
  <c r="BA259" i="12" s="1"/>
  <c r="BB259" i="12" s="1"/>
  <c r="AX259" i="12" s="1"/>
  <c r="X264" i="7"/>
  <c r="S264" i="7"/>
  <c r="N264" i="7"/>
  <c r="I264" i="7"/>
  <c r="AI264" i="7" s="1"/>
  <c r="C264" i="7" a="1"/>
  <c r="C264" i="7" s="1"/>
  <c r="B264" i="7"/>
  <c r="A264" i="7"/>
  <c r="AQ263" i="7"/>
  <c r="AP263" i="7"/>
  <c r="AO263" i="7"/>
  <c r="AN263" i="7"/>
  <c r="AM263" i="7"/>
  <c r="AL263" i="7"/>
  <c r="AK263" i="7"/>
  <c r="AJ263" i="7"/>
  <c r="AH263" i="7"/>
  <c r="AG263" i="7"/>
  <c r="AC263" i="7"/>
  <c r="BA258" i="12" s="1"/>
  <c r="BB258" i="12" s="1"/>
  <c r="X263" i="7"/>
  <c r="S263" i="7"/>
  <c r="N263" i="7"/>
  <c r="AU263" i="7" s="1"/>
  <c r="I263" i="7"/>
  <c r="AI263" i="7" s="1"/>
  <c r="B263" i="7"/>
  <c r="C263" i="7" s="1" a="1"/>
  <c r="C263" i="7" s="1"/>
  <c r="A263" i="7"/>
  <c r="AP262" i="7"/>
  <c r="AO262" i="7"/>
  <c r="AM262" i="7"/>
  <c r="AL262" i="7"/>
  <c r="AK262" i="7"/>
  <c r="AJ262" i="7"/>
  <c r="AI262" i="7"/>
  <c r="AH262" i="7"/>
  <c r="AG262" i="7"/>
  <c r="AC262" i="7"/>
  <c r="BA257" i="12" s="1"/>
  <c r="BB257" i="12" s="1"/>
  <c r="X262" i="7"/>
  <c r="S262" i="7"/>
  <c r="N262" i="7"/>
  <c r="AN262" i="7" s="1"/>
  <c r="I262" i="7"/>
  <c r="B262" i="7"/>
  <c r="C262" i="7" s="1" a="1"/>
  <c r="C262" i="7" s="1"/>
  <c r="A262" i="7"/>
  <c r="AU261" i="7"/>
  <c r="AR261" i="7"/>
  <c r="AP261" i="7"/>
  <c r="AO261" i="7"/>
  <c r="AM261" i="7"/>
  <c r="AL261" i="7"/>
  <c r="AK261" i="7"/>
  <c r="AJ261" i="7"/>
  <c r="AH261" i="7"/>
  <c r="AG261" i="7"/>
  <c r="AC261" i="7"/>
  <c r="BA256" i="12" s="1"/>
  <c r="BB256" i="12" s="1"/>
  <c r="X261" i="7"/>
  <c r="S261" i="7"/>
  <c r="N261" i="7"/>
  <c r="AT261" i="7" s="1"/>
  <c r="I261" i="7"/>
  <c r="AN261" i="7" s="1"/>
  <c r="B261" i="7"/>
  <c r="C261" i="7" s="1" a="1"/>
  <c r="C261" i="7" s="1"/>
  <c r="A261" i="7"/>
  <c r="AU260" i="7"/>
  <c r="AT260" i="7"/>
  <c r="AS260" i="7"/>
  <c r="AR260" i="7"/>
  <c r="AP260" i="7"/>
  <c r="AO260" i="7"/>
  <c r="AN260" i="7"/>
  <c r="AM260" i="7"/>
  <c r="AL260" i="7"/>
  <c r="AK260" i="7"/>
  <c r="AJ260" i="7"/>
  <c r="AI260" i="7"/>
  <c r="AH260" i="7"/>
  <c r="AG260" i="7"/>
  <c r="AC260" i="7"/>
  <c r="BA255" i="12" s="1"/>
  <c r="BB255" i="12" s="1"/>
  <c r="X260" i="7"/>
  <c r="S260" i="7"/>
  <c r="N260" i="7"/>
  <c r="AQ260" i="7" s="1"/>
  <c r="I260" i="7"/>
  <c r="C260" i="7" a="1"/>
  <c r="C260" i="7" s="1"/>
  <c r="B260" i="7"/>
  <c r="A260" i="7"/>
  <c r="AP259" i="7"/>
  <c r="AO259" i="7"/>
  <c r="AM259" i="7"/>
  <c r="AL259" i="7"/>
  <c r="AK259" i="7"/>
  <c r="AJ259" i="7"/>
  <c r="AH259" i="7"/>
  <c r="AG259" i="7"/>
  <c r="AC259" i="7"/>
  <c r="BA254" i="12" s="1"/>
  <c r="BB254" i="12" s="1"/>
  <c r="X259" i="7"/>
  <c r="S259" i="7"/>
  <c r="AI259" i="7" s="1"/>
  <c r="N259" i="7"/>
  <c r="AN259" i="7" s="1"/>
  <c r="I259" i="7"/>
  <c r="B259" i="7"/>
  <c r="C259" i="7" s="1" a="1"/>
  <c r="C259" i="7" s="1"/>
  <c r="A259" i="7"/>
  <c r="AU258" i="7"/>
  <c r="AT258" i="7"/>
  <c r="AS258" i="7"/>
  <c r="AQ258" i="7"/>
  <c r="AP258" i="7"/>
  <c r="AO258" i="7"/>
  <c r="AM258" i="7"/>
  <c r="AL258" i="7"/>
  <c r="AK258" i="7"/>
  <c r="AJ258" i="7"/>
  <c r="AH258" i="7"/>
  <c r="AG258" i="7"/>
  <c r="AC258" i="7"/>
  <c r="BA253" i="12" s="1"/>
  <c r="BB253" i="12" s="1"/>
  <c r="X258" i="7"/>
  <c r="S258" i="7"/>
  <c r="N258" i="7"/>
  <c r="I258" i="7"/>
  <c r="AI258" i="7" s="1"/>
  <c r="B258" i="7"/>
  <c r="C258" i="7" s="1" a="1"/>
  <c r="C258" i="7" s="1"/>
  <c r="A258" i="7"/>
  <c r="AU257" i="7"/>
  <c r="AT257" i="7"/>
  <c r="AS257" i="7"/>
  <c r="AQ257" i="7"/>
  <c r="AP257" i="7"/>
  <c r="AO257" i="7"/>
  <c r="AN257" i="7"/>
  <c r="AM257" i="7"/>
  <c r="AL257" i="7"/>
  <c r="AK257" i="7"/>
  <c r="AJ257" i="7"/>
  <c r="AH257" i="7"/>
  <c r="AG257" i="7"/>
  <c r="AC257" i="7"/>
  <c r="BA252" i="12" s="1"/>
  <c r="BB252" i="12" s="1"/>
  <c r="X257" i="7"/>
  <c r="S257" i="7"/>
  <c r="N257" i="7"/>
  <c r="AR257" i="7" s="1"/>
  <c r="I257" i="7"/>
  <c r="AI257" i="7" s="1"/>
  <c r="C257" i="7" a="1"/>
  <c r="C257" i="7" s="1"/>
  <c r="B257" i="7"/>
  <c r="A257" i="7"/>
  <c r="AT256" i="7"/>
  <c r="AS256" i="7"/>
  <c r="AQ256" i="7"/>
  <c r="AP256" i="7"/>
  <c r="AO256" i="7"/>
  <c r="AM256" i="7"/>
  <c r="AL256" i="7"/>
  <c r="AK256" i="7"/>
  <c r="AJ256" i="7"/>
  <c r="AH256" i="7"/>
  <c r="AG256" i="7"/>
  <c r="AC256" i="7"/>
  <c r="BA251" i="12" s="1"/>
  <c r="BB251" i="12" s="1"/>
  <c r="X256" i="7"/>
  <c r="S256" i="7"/>
  <c r="N256" i="7"/>
  <c r="AU256" i="7" s="1"/>
  <c r="I256" i="7"/>
  <c r="AI256" i="7" s="1"/>
  <c r="B256" i="7"/>
  <c r="C256" i="7" s="1" a="1"/>
  <c r="C256" i="7" s="1"/>
  <c r="A256" i="7"/>
  <c r="AQ255" i="7"/>
  <c r="AP255" i="7"/>
  <c r="AO255" i="7"/>
  <c r="AM255" i="7"/>
  <c r="AL255" i="7"/>
  <c r="AK255" i="7"/>
  <c r="AJ255" i="7"/>
  <c r="AH255" i="7"/>
  <c r="AG255" i="7"/>
  <c r="AC255" i="7"/>
  <c r="BA250" i="12" s="1"/>
  <c r="BB250" i="12" s="1"/>
  <c r="X255" i="7"/>
  <c r="S255" i="7"/>
  <c r="N255" i="7"/>
  <c r="I255" i="7"/>
  <c r="B255" i="7"/>
  <c r="C255" i="7" s="1" a="1"/>
  <c r="C255" i="7" s="1"/>
  <c r="A255" i="7"/>
  <c r="AU254" i="7"/>
  <c r="AR254" i="7"/>
  <c r="AP254" i="7"/>
  <c r="AO254" i="7"/>
  <c r="AN254" i="7"/>
  <c r="AM254" i="7"/>
  <c r="AL254" i="7"/>
  <c r="AK254" i="7"/>
  <c r="AJ254" i="7"/>
  <c r="AI254" i="7"/>
  <c r="AH254" i="7"/>
  <c r="AG254" i="7"/>
  <c r="AC254" i="7"/>
  <c r="BA249" i="12" s="1"/>
  <c r="BB249" i="12" s="1"/>
  <c r="X254" i="7"/>
  <c r="S254" i="7"/>
  <c r="N254" i="7"/>
  <c r="AT254" i="7" s="1"/>
  <c r="I254" i="7"/>
  <c r="B254" i="7"/>
  <c r="C254" i="7" s="1" a="1"/>
  <c r="C254" i="7" s="1"/>
  <c r="A254" i="7"/>
  <c r="AU253" i="7"/>
  <c r="AT253" i="7"/>
  <c r="AS253" i="7"/>
  <c r="AR253" i="7"/>
  <c r="AP253" i="7"/>
  <c r="AO253" i="7"/>
  <c r="AN253" i="7"/>
  <c r="AM253" i="7"/>
  <c r="AL253" i="7"/>
  <c r="AK253" i="7"/>
  <c r="AJ253" i="7"/>
  <c r="AI253" i="7"/>
  <c r="AH253" i="7"/>
  <c r="AG253" i="7"/>
  <c r="AC253" i="7"/>
  <c r="BA248" i="12" s="1"/>
  <c r="BB248" i="12" s="1"/>
  <c r="X253" i="7"/>
  <c r="S253" i="7"/>
  <c r="N253" i="7"/>
  <c r="AQ253" i="7" s="1"/>
  <c r="I253" i="7"/>
  <c r="B253" i="7"/>
  <c r="C253" i="7" s="1" a="1"/>
  <c r="C253" i="7" s="1"/>
  <c r="A253" i="7"/>
  <c r="AU252" i="7"/>
  <c r="AT252" i="7"/>
  <c r="AS252" i="7"/>
  <c r="AQ252" i="7"/>
  <c r="AP252" i="7"/>
  <c r="AO252" i="7"/>
  <c r="AM252" i="7"/>
  <c r="AL252" i="7"/>
  <c r="AK252" i="7"/>
  <c r="AJ252" i="7"/>
  <c r="AH252" i="7"/>
  <c r="AG252" i="7"/>
  <c r="AC252" i="7"/>
  <c r="X252" i="7"/>
  <c r="S252" i="7"/>
  <c r="AI252" i="7" s="1"/>
  <c r="N252" i="7"/>
  <c r="AN252" i="7" s="1"/>
  <c r="I252" i="7"/>
  <c r="B252" i="7"/>
  <c r="C252" i="7" s="1" a="1"/>
  <c r="C252" i="7" s="1"/>
  <c r="A252" i="7"/>
  <c r="AU251" i="7"/>
  <c r="AT251" i="7"/>
  <c r="AS251" i="7"/>
  <c r="AQ251" i="7"/>
  <c r="AP251" i="7"/>
  <c r="AO251" i="7"/>
  <c r="AM251" i="7"/>
  <c r="AL251" i="7"/>
  <c r="AK251" i="7"/>
  <c r="AJ251" i="7"/>
  <c r="AI251" i="7"/>
  <c r="AH251" i="7"/>
  <c r="AG251" i="7"/>
  <c r="AC251" i="7"/>
  <c r="BA246" i="12" s="1"/>
  <c r="BB246" i="12" s="1"/>
  <c r="X251" i="7"/>
  <c r="S251" i="7"/>
  <c r="N251" i="7"/>
  <c r="I251" i="7"/>
  <c r="B251" i="7"/>
  <c r="C251" i="7" s="1" a="1"/>
  <c r="C251" i="7" s="1"/>
  <c r="A251" i="7"/>
  <c r="AU250" i="7"/>
  <c r="AT250" i="7"/>
  <c r="AS250" i="7"/>
  <c r="AQ250" i="7"/>
  <c r="AP250" i="7"/>
  <c r="AO250" i="7"/>
  <c r="AN250" i="7"/>
  <c r="AM250" i="7"/>
  <c r="AL250" i="7"/>
  <c r="AK250" i="7"/>
  <c r="AJ250" i="7"/>
  <c r="AH250" i="7"/>
  <c r="AG250" i="7"/>
  <c r="AC250" i="7"/>
  <c r="BA245" i="12" s="1"/>
  <c r="BB245" i="12" s="1"/>
  <c r="X250" i="7"/>
  <c r="S250" i="7"/>
  <c r="N250" i="7"/>
  <c r="AR250" i="7" s="1"/>
  <c r="I250" i="7"/>
  <c r="C250" i="7" a="1"/>
  <c r="C250" i="7" s="1"/>
  <c r="B250" i="7"/>
  <c r="A250" i="7"/>
  <c r="AP249" i="7"/>
  <c r="AO249" i="7"/>
  <c r="AM249" i="7"/>
  <c r="AL249" i="7"/>
  <c r="AK249" i="7"/>
  <c r="AJ249" i="7"/>
  <c r="AH249" i="7"/>
  <c r="AG249" i="7"/>
  <c r="AC249" i="7"/>
  <c r="BA244" i="12" s="1"/>
  <c r="BB244" i="12" s="1"/>
  <c r="X249" i="7"/>
  <c r="S249" i="7"/>
  <c r="N249" i="7"/>
  <c r="AQ249" i="7" s="1"/>
  <c r="I249" i="7"/>
  <c r="AI249" i="7" s="1"/>
  <c r="C249" i="7" a="1"/>
  <c r="C249" i="7" s="1"/>
  <c r="B249" i="7"/>
  <c r="A249" i="7"/>
  <c r="AP248" i="7"/>
  <c r="AO248" i="7"/>
  <c r="AM248" i="7"/>
  <c r="AL248" i="7"/>
  <c r="AK248" i="7"/>
  <c r="AJ248" i="7"/>
  <c r="AH248" i="7"/>
  <c r="AG248" i="7"/>
  <c r="AC248" i="7"/>
  <c r="BA243" i="12" s="1"/>
  <c r="BB243" i="12" s="1"/>
  <c r="X248" i="7"/>
  <c r="S248" i="7"/>
  <c r="AI248" i="7" s="1"/>
  <c r="N248" i="7"/>
  <c r="AN248" i="7" s="1"/>
  <c r="I248" i="7"/>
  <c r="B248" i="7"/>
  <c r="C248" i="7" s="1" a="1"/>
  <c r="C248" i="7" s="1"/>
  <c r="A248" i="7"/>
  <c r="AU247" i="7"/>
  <c r="AR247" i="7"/>
  <c r="AP247" i="7"/>
  <c r="AO247" i="7"/>
  <c r="AN247" i="7"/>
  <c r="AM247" i="7"/>
  <c r="AL247" i="7"/>
  <c r="AK247" i="7"/>
  <c r="AJ247" i="7"/>
  <c r="AH247" i="7"/>
  <c r="AG247" i="7"/>
  <c r="AC247" i="7"/>
  <c r="BA242" i="12" s="1"/>
  <c r="BB242" i="12" s="1"/>
  <c r="X247" i="7"/>
  <c r="S247" i="7"/>
  <c r="N247" i="7"/>
  <c r="AT247" i="7" s="1"/>
  <c r="I247" i="7"/>
  <c r="AI247" i="7" s="1"/>
  <c r="C247" i="7" a="1"/>
  <c r="C247" i="7"/>
  <c r="B247" i="7"/>
  <c r="A247" i="7"/>
  <c r="AU246" i="7"/>
  <c r="AT246" i="7"/>
  <c r="AS246" i="7"/>
  <c r="AR246" i="7"/>
  <c r="AP246" i="7"/>
  <c r="AO246" i="7"/>
  <c r="AN246" i="7"/>
  <c r="AM246" i="7"/>
  <c r="AL246" i="7"/>
  <c r="AK246" i="7"/>
  <c r="AJ246" i="7"/>
  <c r="AI246" i="7"/>
  <c r="AH246" i="7"/>
  <c r="AG246" i="7"/>
  <c r="AC246" i="7"/>
  <c r="BA241" i="12" s="1"/>
  <c r="BB241" i="12" s="1"/>
  <c r="X246" i="7"/>
  <c r="S246" i="7"/>
  <c r="N246" i="7"/>
  <c r="AQ246" i="7" s="1"/>
  <c r="I246" i="7"/>
  <c r="C246" i="7" a="1"/>
  <c r="C246" i="7" s="1"/>
  <c r="B246" i="7"/>
  <c r="A246" i="7"/>
  <c r="AU245" i="7"/>
  <c r="AT245" i="7"/>
  <c r="AS245" i="7"/>
  <c r="AQ245" i="7"/>
  <c r="AP245" i="7"/>
  <c r="AO245" i="7"/>
  <c r="AM245" i="7"/>
  <c r="AL245" i="7"/>
  <c r="AK245" i="7"/>
  <c r="AJ245" i="7"/>
  <c r="AI245" i="7"/>
  <c r="AH245" i="7"/>
  <c r="AG245" i="7"/>
  <c r="AC245" i="7"/>
  <c r="BA240" i="12" s="1"/>
  <c r="BB240" i="12" s="1"/>
  <c r="X245" i="7"/>
  <c r="S245" i="7"/>
  <c r="N245" i="7"/>
  <c r="AN245" i="7" s="1"/>
  <c r="I245" i="7"/>
  <c r="B245" i="7"/>
  <c r="C245" i="7" s="1" a="1"/>
  <c r="C245" i="7" s="1"/>
  <c r="A245" i="7"/>
  <c r="AU244" i="7"/>
  <c r="AT244" i="7"/>
  <c r="AS244" i="7"/>
  <c r="AQ244" i="7"/>
  <c r="AP244" i="7"/>
  <c r="AO244" i="7"/>
  <c r="AM244" i="7"/>
  <c r="AL244" i="7"/>
  <c r="AK244" i="7"/>
  <c r="AJ244" i="7"/>
  <c r="AH244" i="7"/>
  <c r="AG244" i="7"/>
  <c r="AC244" i="7"/>
  <c r="BA239" i="12" s="1"/>
  <c r="BB239" i="12" s="1"/>
  <c r="X244" i="7"/>
  <c r="S244" i="7"/>
  <c r="AI244" i="7" s="1"/>
  <c r="N244" i="7"/>
  <c r="I244" i="7"/>
  <c r="B244" i="7"/>
  <c r="C244" i="7" s="1" a="1"/>
  <c r="C244" i="7" s="1"/>
  <c r="A244" i="7"/>
  <c r="AQ243" i="7"/>
  <c r="AP243" i="7"/>
  <c r="AO243" i="7"/>
  <c r="AM243" i="7"/>
  <c r="AL243" i="7"/>
  <c r="AK243" i="7"/>
  <c r="AJ243" i="7"/>
  <c r="AH243" i="7"/>
  <c r="AG243" i="7"/>
  <c r="AC243" i="7"/>
  <c r="BA238" i="12" s="1"/>
  <c r="BB238" i="12" s="1"/>
  <c r="X243" i="7"/>
  <c r="S243" i="7"/>
  <c r="N243" i="7"/>
  <c r="AU243" i="7" s="1"/>
  <c r="I243" i="7"/>
  <c r="D243" i="7"/>
  <c r="E243" i="7" s="1"/>
  <c r="D244" i="7" s="1"/>
  <c r="E244" i="7" s="1"/>
  <c r="D245" i="7" s="1"/>
  <c r="E245" i="7" s="1"/>
  <c r="D246" i="7" s="1"/>
  <c r="E246" i="7" s="1"/>
  <c r="D247" i="7" s="1"/>
  <c r="E247" i="7" s="1"/>
  <c r="D248" i="7" s="1"/>
  <c r="E248" i="7" s="1"/>
  <c r="D249" i="7" s="1"/>
  <c r="E249" i="7" s="1"/>
  <c r="D250" i="7" s="1"/>
  <c r="E250" i="7" s="1"/>
  <c r="D251" i="7" s="1"/>
  <c r="E251" i="7" s="1"/>
  <c r="D252" i="7" s="1"/>
  <c r="E252" i="7" s="1"/>
  <c r="D253" i="7" s="1"/>
  <c r="E253" i="7" s="1"/>
  <c r="D254" i="7" s="1"/>
  <c r="E254" i="7" s="1"/>
  <c r="D255" i="7" s="1"/>
  <c r="E255" i="7" s="1"/>
  <c r="D256" i="7" s="1"/>
  <c r="E256" i="7" s="1"/>
  <c r="D257" i="7" s="1"/>
  <c r="E257" i="7" s="1"/>
  <c r="D258" i="7" s="1"/>
  <c r="E258" i="7" s="1"/>
  <c r="D259" i="7" s="1"/>
  <c r="E259" i="7" s="1"/>
  <c r="D260" i="7" s="1"/>
  <c r="E260" i="7" s="1"/>
  <c r="D261" i="7" s="1"/>
  <c r="E261" i="7" s="1"/>
  <c r="D262" i="7" s="1"/>
  <c r="E262" i="7" s="1"/>
  <c r="D263" i="7" s="1"/>
  <c r="E263" i="7" s="1"/>
  <c r="D264" i="7" s="1"/>
  <c r="E264" i="7" s="1"/>
  <c r="D265" i="7" s="1"/>
  <c r="E265" i="7" s="1"/>
  <c r="D266" i="7" s="1"/>
  <c r="E266" i="7" s="1"/>
  <c r="D267" i="7" s="1"/>
  <c r="E267" i="7" s="1"/>
  <c r="D268" i="7" s="1"/>
  <c r="E268" i="7" s="1"/>
  <c r="D269" i="7" s="1"/>
  <c r="E269" i="7" s="1"/>
  <c r="D270" i="7" s="1"/>
  <c r="E270" i="7" s="1"/>
  <c r="D271" i="7" s="1"/>
  <c r="E271" i="7" s="1"/>
  <c r="D272" i="7" s="1"/>
  <c r="E272" i="7" s="1"/>
  <c r="D273" i="7" s="1"/>
  <c r="E273" i="7" s="1"/>
  <c r="D274" i="7" s="1"/>
  <c r="E274" i="7" s="1"/>
  <c r="D275" i="7" s="1"/>
  <c r="E275" i="7" s="1"/>
  <c r="D276" i="7" s="1"/>
  <c r="E276" i="7" s="1"/>
  <c r="D277" i="7" s="1"/>
  <c r="E277" i="7" s="1"/>
  <c r="D278" i="7" s="1"/>
  <c r="E278" i="7" s="1"/>
  <c r="D279" i="7" s="1"/>
  <c r="E279" i="7" s="1"/>
  <c r="D280" i="7" s="1"/>
  <c r="E280" i="7" s="1"/>
  <c r="D281" i="7" s="1"/>
  <c r="E281" i="7" s="1"/>
  <c r="D282" i="7" s="1"/>
  <c r="E282" i="7" s="1"/>
  <c r="D283" i="7" s="1"/>
  <c r="E283" i="7" s="1"/>
  <c r="D284" i="7" s="1"/>
  <c r="E284" i="7" s="1"/>
  <c r="D285" i="7" s="1"/>
  <c r="E285" i="7" s="1"/>
  <c r="D286" i="7" s="1"/>
  <c r="E286" i="7" s="1"/>
  <c r="D287" i="7" s="1"/>
  <c r="E287" i="7" s="1"/>
  <c r="D288" i="7" s="1"/>
  <c r="E288" i="7" s="1"/>
  <c r="D289" i="7" s="1"/>
  <c r="E289" i="7" s="1"/>
  <c r="D290" i="7" s="1"/>
  <c r="E290" i="7" s="1"/>
  <c r="D291" i="7" s="1"/>
  <c r="E291" i="7" s="1"/>
  <c r="D292" i="7" s="1"/>
  <c r="E292" i="7" s="1"/>
  <c r="D293" i="7" s="1"/>
  <c r="E293" i="7" s="1"/>
  <c r="D294" i="7" s="1"/>
  <c r="E294" i="7" s="1"/>
  <c r="D295" i="7" s="1"/>
  <c r="E295" i="7" s="1"/>
  <c r="D296" i="7" s="1"/>
  <c r="E296" i="7" s="1"/>
  <c r="D297" i="7" s="1"/>
  <c r="E297" i="7" s="1"/>
  <c r="D298" i="7" s="1"/>
  <c r="E298" i="7" s="1"/>
  <c r="D299" i="7" s="1"/>
  <c r="E299" i="7" s="1"/>
  <c r="D300" i="7" s="1"/>
  <c r="E300" i="7" s="1"/>
  <c r="D301" i="7" s="1"/>
  <c r="E301" i="7" s="1"/>
  <c r="D302" i="7" s="1"/>
  <c r="E302" i="7" s="1"/>
  <c r="D303" i="7" s="1"/>
  <c r="E303" i="7" s="1"/>
  <c r="D304" i="7" s="1"/>
  <c r="E304" i="7" s="1"/>
  <c r="D305" i="7" s="1"/>
  <c r="E305" i="7" s="1"/>
  <c r="D306" i="7" s="1"/>
  <c r="E306" i="7" s="1"/>
  <c r="D307" i="7" s="1"/>
  <c r="E307" i="7" s="1"/>
  <c r="D308" i="7" s="1"/>
  <c r="E308" i="7" s="1"/>
  <c r="D309" i="7" s="1"/>
  <c r="E309" i="7" s="1"/>
  <c r="D310" i="7" s="1"/>
  <c r="E310" i="7" s="1"/>
  <c r="D311" i="7" s="1"/>
  <c r="E311" i="7" s="1"/>
  <c r="D312" i="7" s="1"/>
  <c r="E312" i="7" s="1"/>
  <c r="D313" i="7" s="1"/>
  <c r="E313" i="7" s="1"/>
  <c r="D314" i="7" s="1"/>
  <c r="E314" i="7" s="1"/>
  <c r="D315" i="7" s="1"/>
  <c r="E315" i="7" s="1"/>
  <c r="D316" i="7" s="1"/>
  <c r="E316" i="7" s="1"/>
  <c r="D317" i="7" s="1"/>
  <c r="E317" i="7" s="1"/>
  <c r="D318" i="7" s="1"/>
  <c r="E318" i="7" s="1"/>
  <c r="D319" i="7" s="1"/>
  <c r="E319" i="7" s="1"/>
  <c r="C243" i="7" a="1"/>
  <c r="C243" i="7" s="1"/>
  <c r="B243" i="7"/>
  <c r="A243" i="7"/>
  <c r="AQ242" i="7"/>
  <c r="AP242" i="7"/>
  <c r="AO242" i="7"/>
  <c r="AM242" i="7"/>
  <c r="AL242" i="7"/>
  <c r="AK242" i="7"/>
  <c r="AJ242" i="7"/>
  <c r="AH242" i="7"/>
  <c r="AG242" i="7"/>
  <c r="AC242" i="7"/>
  <c r="BA237" i="12" s="1"/>
  <c r="BB237" i="12" s="1"/>
  <c r="X242" i="7"/>
  <c r="S242" i="7"/>
  <c r="N242" i="7"/>
  <c r="AU242" i="7" s="1"/>
  <c r="I242" i="7"/>
  <c r="AI242" i="7" s="1"/>
  <c r="B242" i="7"/>
  <c r="C242" i="7" s="1" a="1"/>
  <c r="C242" i="7" s="1"/>
  <c r="A242" i="7"/>
  <c r="AR241" i="7"/>
  <c r="AP241" i="7"/>
  <c r="AO241" i="7"/>
  <c r="AM241" i="7"/>
  <c r="AL241" i="7"/>
  <c r="AK241" i="7"/>
  <c r="AJ241" i="7"/>
  <c r="AH241" i="7"/>
  <c r="AG241" i="7"/>
  <c r="AC241" i="7"/>
  <c r="BA236" i="12" s="1"/>
  <c r="BB236" i="12" s="1"/>
  <c r="X241" i="7"/>
  <c r="S241" i="7"/>
  <c r="N241" i="7"/>
  <c r="I241" i="7"/>
  <c r="B241" i="7"/>
  <c r="C241" i="7" s="1" a="1"/>
  <c r="C241" i="7" s="1"/>
  <c r="A241" i="7"/>
  <c r="AU240" i="7"/>
  <c r="AR240" i="7"/>
  <c r="AP240" i="7"/>
  <c r="AO240" i="7"/>
  <c r="AN240" i="7"/>
  <c r="AM240" i="7"/>
  <c r="AL240" i="7"/>
  <c r="AK240" i="7"/>
  <c r="AJ240" i="7"/>
  <c r="AH240" i="7"/>
  <c r="AG240" i="7"/>
  <c r="AC240" i="7"/>
  <c r="BA235" i="12" s="1"/>
  <c r="BB235" i="12" s="1"/>
  <c r="X240" i="7"/>
  <c r="S240" i="7"/>
  <c r="N240" i="7"/>
  <c r="AT240" i="7" s="1"/>
  <c r="I240" i="7"/>
  <c r="AI240" i="7" s="1"/>
  <c r="C240" i="7" a="1"/>
  <c r="C240" i="7" s="1"/>
  <c r="B240" i="7"/>
  <c r="A240" i="7"/>
  <c r="AU239" i="7"/>
  <c r="AT239" i="7"/>
  <c r="AS239" i="7"/>
  <c r="AR239" i="7"/>
  <c r="AP239" i="7"/>
  <c r="AO239" i="7"/>
  <c r="AN239" i="7"/>
  <c r="AM239" i="7"/>
  <c r="AL239" i="7"/>
  <c r="AK239" i="7"/>
  <c r="AJ239" i="7"/>
  <c r="AI239" i="7"/>
  <c r="AH239" i="7"/>
  <c r="AG239" i="7"/>
  <c r="AC239" i="7"/>
  <c r="BA234" i="12" s="1"/>
  <c r="BB234" i="12" s="1"/>
  <c r="X239" i="7"/>
  <c r="S239" i="7"/>
  <c r="N239" i="7"/>
  <c r="AQ239" i="7" s="1"/>
  <c r="I239" i="7"/>
  <c r="B239" i="7"/>
  <c r="C239" i="7" s="1" a="1"/>
  <c r="C239" i="7" s="1"/>
  <c r="A239" i="7"/>
  <c r="AU238" i="7"/>
  <c r="AT238" i="7"/>
  <c r="AS238" i="7"/>
  <c r="AQ238" i="7"/>
  <c r="AP238" i="7"/>
  <c r="AO238" i="7"/>
  <c r="AM238" i="7"/>
  <c r="AL238" i="7"/>
  <c r="AK238" i="7"/>
  <c r="AJ238" i="7"/>
  <c r="AH238" i="7"/>
  <c r="AG238" i="7"/>
  <c r="AC238" i="7"/>
  <c r="BA233" i="12" s="1"/>
  <c r="BB233" i="12" s="1"/>
  <c r="X238" i="7"/>
  <c r="S238" i="7"/>
  <c r="AI238" i="7" s="1"/>
  <c r="N238" i="7"/>
  <c r="AN238" i="7" s="1"/>
  <c r="I238" i="7"/>
  <c r="B238" i="7"/>
  <c r="C238" i="7" s="1" a="1"/>
  <c r="C238" i="7" s="1"/>
  <c r="A238" i="7"/>
  <c r="AQ237" i="7"/>
  <c r="AP237" i="7"/>
  <c r="AO237" i="7"/>
  <c r="AM237" i="7"/>
  <c r="AL237" i="7"/>
  <c r="AK237" i="7"/>
  <c r="AJ237" i="7"/>
  <c r="AH237" i="7"/>
  <c r="AG237" i="7"/>
  <c r="AC237" i="7"/>
  <c r="BA232" i="12" s="1"/>
  <c r="BB232" i="12" s="1"/>
  <c r="X237" i="7"/>
  <c r="S237" i="7"/>
  <c r="N237" i="7"/>
  <c r="I237" i="7"/>
  <c r="AI237" i="7" s="1"/>
  <c r="B237" i="7"/>
  <c r="C237" i="7" s="1" a="1"/>
  <c r="C237" i="7" s="1"/>
  <c r="A237" i="7"/>
  <c r="AU236" i="7"/>
  <c r="AQ236" i="7"/>
  <c r="AP236" i="7"/>
  <c r="AO236" i="7"/>
  <c r="AM236" i="7"/>
  <c r="AL236" i="7"/>
  <c r="AK236" i="7"/>
  <c r="AJ236" i="7"/>
  <c r="AH236" i="7"/>
  <c r="AG236" i="7"/>
  <c r="AC236" i="7"/>
  <c r="BA231" i="12" s="1"/>
  <c r="BB231" i="12" s="1"/>
  <c r="X236" i="7"/>
  <c r="S236" i="7"/>
  <c r="N236" i="7"/>
  <c r="AT236" i="7" s="1"/>
  <c r="I236" i="7"/>
  <c r="AI236" i="7" s="1"/>
  <c r="C236" i="7" a="1"/>
  <c r="C236" i="7" s="1"/>
  <c r="B236" i="7"/>
  <c r="A236" i="7"/>
  <c r="AR235" i="7"/>
  <c r="AP235" i="7"/>
  <c r="AO235" i="7"/>
  <c r="AM235" i="7"/>
  <c r="AL235" i="7"/>
  <c r="AK235" i="7"/>
  <c r="AJ235" i="7"/>
  <c r="AH235" i="7"/>
  <c r="AG235" i="7"/>
  <c r="AC235" i="7"/>
  <c r="BA230" i="12" s="1"/>
  <c r="BB230" i="12" s="1"/>
  <c r="X235" i="7"/>
  <c r="S235" i="7"/>
  <c r="N235" i="7"/>
  <c r="AS235" i="7" s="1"/>
  <c r="I235" i="7"/>
  <c r="B235" i="7"/>
  <c r="C235" i="7" s="1" a="1"/>
  <c r="C235" i="7" s="1"/>
  <c r="A235" i="7"/>
  <c r="AR234" i="7"/>
  <c r="AP234" i="7"/>
  <c r="AO234" i="7"/>
  <c r="AN234" i="7"/>
  <c r="AM234" i="7"/>
  <c r="AL234" i="7"/>
  <c r="AK234" i="7"/>
  <c r="AJ234" i="7"/>
  <c r="AI234" i="7"/>
  <c r="AH234" i="7"/>
  <c r="AG234" i="7"/>
  <c r="AC234" i="7"/>
  <c r="BA229" i="12" s="1"/>
  <c r="BB229" i="12" s="1"/>
  <c r="X234" i="7"/>
  <c r="S234" i="7"/>
  <c r="N234" i="7"/>
  <c r="I234" i="7"/>
  <c r="C234" i="7" a="1"/>
  <c r="C234" i="7"/>
  <c r="B234" i="7"/>
  <c r="A234" i="7"/>
  <c r="AU233" i="7"/>
  <c r="AR233" i="7"/>
  <c r="AP233" i="7"/>
  <c r="AO233" i="7"/>
  <c r="AN233" i="7"/>
  <c r="AM233" i="7"/>
  <c r="AL233" i="7"/>
  <c r="AK233" i="7"/>
  <c r="AJ233" i="7"/>
  <c r="AI233" i="7"/>
  <c r="AH233" i="7"/>
  <c r="AG233" i="7"/>
  <c r="AC233" i="7"/>
  <c r="BA228" i="12" s="1"/>
  <c r="BB228" i="12" s="1"/>
  <c r="X233" i="7"/>
  <c r="S233" i="7"/>
  <c r="N233" i="7"/>
  <c r="AT233" i="7" s="1"/>
  <c r="I233" i="7"/>
  <c r="B233" i="7"/>
  <c r="C233" i="7" s="1" a="1"/>
  <c r="C233" i="7" s="1"/>
  <c r="A233" i="7"/>
  <c r="AU232" i="7"/>
  <c r="AT232" i="7"/>
  <c r="AS232" i="7"/>
  <c r="AR232" i="7"/>
  <c r="AP232" i="7"/>
  <c r="AO232" i="7"/>
  <c r="AN232" i="7"/>
  <c r="AM232" i="7"/>
  <c r="AL232" i="7"/>
  <c r="AK232" i="7"/>
  <c r="AJ232" i="7"/>
  <c r="AI232" i="7"/>
  <c r="AH232" i="7"/>
  <c r="AG232" i="7"/>
  <c r="AC232" i="7"/>
  <c r="BA227" i="12" s="1"/>
  <c r="BB227" i="12" s="1"/>
  <c r="X232" i="7"/>
  <c r="S232" i="7"/>
  <c r="N232" i="7"/>
  <c r="AQ232" i="7" s="1"/>
  <c r="I232" i="7"/>
  <c r="B232" i="7"/>
  <c r="C232" i="7" s="1" a="1"/>
  <c r="C232" i="7" s="1"/>
  <c r="A232" i="7"/>
  <c r="AQ231" i="7"/>
  <c r="AP231" i="7"/>
  <c r="AO231" i="7"/>
  <c r="AM231" i="7"/>
  <c r="AL231" i="7"/>
  <c r="AK231" i="7"/>
  <c r="AJ231" i="7"/>
  <c r="AI231" i="7"/>
  <c r="AH231" i="7"/>
  <c r="AG231" i="7"/>
  <c r="AC231" i="7"/>
  <c r="BA226" i="12" s="1"/>
  <c r="BB226" i="12" s="1"/>
  <c r="X231" i="7"/>
  <c r="S231" i="7"/>
  <c r="N231" i="7"/>
  <c r="AN231" i="7" s="1"/>
  <c r="I231" i="7"/>
  <c r="C231" i="7"/>
  <c r="B231" i="7"/>
  <c r="C231" i="7" s="1" a="1"/>
  <c r="A231" i="7"/>
  <c r="AU230" i="7"/>
  <c r="AQ230" i="7"/>
  <c r="AP230" i="7"/>
  <c r="AO230" i="7"/>
  <c r="AM230" i="7"/>
  <c r="AL230" i="7"/>
  <c r="AK230" i="7"/>
  <c r="AJ230" i="7"/>
  <c r="AI230" i="7"/>
  <c r="AH230" i="7"/>
  <c r="AG230" i="7"/>
  <c r="AC230" i="7"/>
  <c r="BA225" i="12" s="1"/>
  <c r="BB225" i="12" s="1"/>
  <c r="X230" i="7"/>
  <c r="S230" i="7"/>
  <c r="N230" i="7"/>
  <c r="I230" i="7"/>
  <c r="B230" i="7"/>
  <c r="C230" i="7" s="1" a="1"/>
  <c r="C230" i="7" s="1"/>
  <c r="A230" i="7"/>
  <c r="AQ229" i="7"/>
  <c r="AP229" i="7"/>
  <c r="AO229" i="7"/>
  <c r="AM229" i="7"/>
  <c r="AL229" i="7"/>
  <c r="AK229" i="7"/>
  <c r="AJ229" i="7"/>
  <c r="AH229" i="7"/>
  <c r="AG229" i="7"/>
  <c r="AC229" i="7"/>
  <c r="BA224" i="12" s="1"/>
  <c r="BB224" i="12" s="1"/>
  <c r="X229" i="7"/>
  <c r="S229" i="7"/>
  <c r="N229" i="7"/>
  <c r="AR229" i="7" s="1"/>
  <c r="I229" i="7"/>
  <c r="C229" i="7" a="1"/>
  <c r="C229" i="7" s="1"/>
  <c r="B229" i="7"/>
  <c r="A229" i="7"/>
  <c r="AT228" i="7"/>
  <c r="AS228" i="7"/>
  <c r="AP228" i="7"/>
  <c r="AO228" i="7"/>
  <c r="AN228" i="7"/>
  <c r="AM228" i="7"/>
  <c r="AL228" i="7"/>
  <c r="AK228" i="7"/>
  <c r="AJ228" i="7"/>
  <c r="AH228" i="7"/>
  <c r="AG228" i="7"/>
  <c r="AC228" i="7"/>
  <c r="BA223" i="12" s="1"/>
  <c r="BB223" i="12" s="1"/>
  <c r="X228" i="7"/>
  <c r="S228" i="7"/>
  <c r="N228" i="7"/>
  <c r="AU228" i="7" s="1"/>
  <c r="I228" i="7"/>
  <c r="B228" i="7"/>
  <c r="C228" i="7" s="1" a="1"/>
  <c r="C228" i="7" s="1"/>
  <c r="A228" i="7"/>
  <c r="AR227" i="7"/>
  <c r="AP227" i="7"/>
  <c r="AO227" i="7"/>
  <c r="AN227" i="7"/>
  <c r="AM227" i="7"/>
  <c r="AL227" i="7"/>
  <c r="AK227" i="7"/>
  <c r="AJ227" i="7"/>
  <c r="AH227" i="7"/>
  <c r="AG227" i="7"/>
  <c r="AC227" i="7"/>
  <c r="BA222" i="12" s="1"/>
  <c r="BB222" i="12" s="1"/>
  <c r="X227" i="7"/>
  <c r="S227" i="7"/>
  <c r="AI227" i="7" s="1"/>
  <c r="N227" i="7"/>
  <c r="I227" i="7"/>
  <c r="C227" i="7" a="1"/>
  <c r="C227" i="7" s="1"/>
  <c r="B227" i="7"/>
  <c r="A227" i="7"/>
  <c r="AU226" i="7"/>
  <c r="AR226" i="7"/>
  <c r="AP226" i="7"/>
  <c r="AO226" i="7"/>
  <c r="AM226" i="7"/>
  <c r="AL226" i="7"/>
  <c r="AK226" i="7"/>
  <c r="AJ226" i="7"/>
  <c r="AH226" i="7"/>
  <c r="AG226" i="7"/>
  <c r="AC226" i="7"/>
  <c r="BA221" i="12" s="1"/>
  <c r="BB221" i="12" s="1"/>
  <c r="X226" i="7"/>
  <c r="S226" i="7"/>
  <c r="N226" i="7"/>
  <c r="AT226" i="7" s="1"/>
  <c r="I226" i="7"/>
  <c r="C226" i="7" a="1"/>
  <c r="C226" i="7" s="1"/>
  <c r="B226" i="7"/>
  <c r="A226" i="7"/>
  <c r="AU225" i="7"/>
  <c r="AT225" i="7"/>
  <c r="AS225" i="7"/>
  <c r="AR225" i="7"/>
  <c r="AP225" i="7"/>
  <c r="AO225" i="7"/>
  <c r="AN225" i="7"/>
  <c r="AM225" i="7"/>
  <c r="AL225" i="7"/>
  <c r="AK225" i="7"/>
  <c r="AJ225" i="7"/>
  <c r="AI225" i="7"/>
  <c r="AH225" i="7"/>
  <c r="AG225" i="7"/>
  <c r="AC225" i="7"/>
  <c r="BA220" i="12" s="1"/>
  <c r="BB220" i="12" s="1"/>
  <c r="X225" i="7"/>
  <c r="S225" i="7"/>
  <c r="N225" i="7"/>
  <c r="AQ225" i="7" s="1"/>
  <c r="I225" i="7"/>
  <c r="C225" i="7" a="1"/>
  <c r="C225" i="7" s="1"/>
  <c r="B225" i="7"/>
  <c r="A225" i="7"/>
  <c r="AU224" i="7"/>
  <c r="AQ224" i="7"/>
  <c r="AP224" i="7"/>
  <c r="AO224" i="7"/>
  <c r="AM224" i="7"/>
  <c r="AL224" i="7"/>
  <c r="AK224" i="7"/>
  <c r="AJ224" i="7"/>
  <c r="AI224" i="7"/>
  <c r="AH224" i="7"/>
  <c r="AG224" i="7"/>
  <c r="AC224" i="7"/>
  <c r="BA219" i="12" s="1"/>
  <c r="BB219" i="12" s="1"/>
  <c r="X224" i="7"/>
  <c r="S224" i="7"/>
  <c r="N224" i="7"/>
  <c r="AN224" i="7" s="1"/>
  <c r="I224" i="7"/>
  <c r="C224" i="7"/>
  <c r="B224" i="7"/>
  <c r="C224" i="7" s="1" a="1"/>
  <c r="A224" i="7"/>
  <c r="AP223" i="7"/>
  <c r="AO223" i="7"/>
  <c r="AM223" i="7"/>
  <c r="AL223" i="7"/>
  <c r="AK223" i="7"/>
  <c r="AJ223" i="7"/>
  <c r="AH223" i="7"/>
  <c r="AG223" i="7"/>
  <c r="AC223" i="7"/>
  <c r="BA218" i="12" s="1"/>
  <c r="BB218" i="12" s="1"/>
  <c r="X223" i="7"/>
  <c r="S223" i="7"/>
  <c r="N223" i="7"/>
  <c r="I223" i="7"/>
  <c r="B223" i="7"/>
  <c r="C223" i="7" s="1" a="1"/>
  <c r="C223" i="7" s="1"/>
  <c r="A223" i="7"/>
  <c r="AP222" i="7"/>
  <c r="AO222" i="7"/>
  <c r="AM222" i="7"/>
  <c r="AL222" i="7"/>
  <c r="AK222" i="7"/>
  <c r="AJ222" i="7"/>
  <c r="AH222" i="7"/>
  <c r="AG222" i="7"/>
  <c r="AC222" i="7"/>
  <c r="BA217" i="12" s="1"/>
  <c r="BB217" i="12" s="1"/>
  <c r="X222" i="7"/>
  <c r="S222" i="7"/>
  <c r="N222" i="7"/>
  <c r="AU222" i="7" s="1"/>
  <c r="I222" i="7"/>
  <c r="C222" i="7" a="1"/>
  <c r="C222" i="7" s="1"/>
  <c r="B222" i="7"/>
  <c r="A222" i="7"/>
  <c r="AP221" i="7"/>
  <c r="AO221" i="7"/>
  <c r="AM221" i="7"/>
  <c r="AL221" i="7"/>
  <c r="AK221" i="7"/>
  <c r="AJ221" i="7"/>
  <c r="AH221" i="7"/>
  <c r="AG221" i="7"/>
  <c r="AC221" i="7"/>
  <c r="BA216" i="12" s="1"/>
  <c r="BB216" i="12" s="1"/>
  <c r="X221" i="7"/>
  <c r="S221" i="7"/>
  <c r="N221" i="7"/>
  <c r="AT221" i="7" s="1"/>
  <c r="I221" i="7"/>
  <c r="C221" i="7" a="1"/>
  <c r="C221" i="7"/>
  <c r="B221" i="7"/>
  <c r="A221" i="7"/>
  <c r="AP220" i="7"/>
  <c r="AO220" i="7"/>
  <c r="AN220" i="7"/>
  <c r="AM220" i="7"/>
  <c r="AL220" i="7"/>
  <c r="AK220" i="7"/>
  <c r="AJ220" i="7"/>
  <c r="AH220" i="7"/>
  <c r="AG220" i="7"/>
  <c r="AC220" i="7"/>
  <c r="BA215" i="12" s="1"/>
  <c r="BB215" i="12" s="1"/>
  <c r="X220" i="7"/>
  <c r="S220" i="7"/>
  <c r="N220" i="7"/>
  <c r="I220" i="7"/>
  <c r="AI220" i="7" s="1"/>
  <c r="C220" i="7" a="1"/>
  <c r="C220" i="7"/>
  <c r="B220" i="7"/>
  <c r="A220" i="7"/>
  <c r="AU219" i="7"/>
  <c r="AR219" i="7"/>
  <c r="AP219" i="7"/>
  <c r="AO219" i="7"/>
  <c r="AM219" i="7"/>
  <c r="AL219" i="7"/>
  <c r="AK219" i="7"/>
  <c r="AJ219" i="7"/>
  <c r="AI219" i="7"/>
  <c r="AH219" i="7"/>
  <c r="AG219" i="7"/>
  <c r="AC219" i="7"/>
  <c r="BA214" i="12" s="1"/>
  <c r="BB214" i="12" s="1"/>
  <c r="X219" i="7"/>
  <c r="S219" i="7"/>
  <c r="N219" i="7"/>
  <c r="AT219" i="7" s="1"/>
  <c r="I219" i="7"/>
  <c r="AN219" i="7" s="1"/>
  <c r="B219" i="7"/>
  <c r="C219" i="7" s="1" a="1"/>
  <c r="C219" i="7" s="1"/>
  <c r="A219" i="7"/>
  <c r="AU218" i="7"/>
  <c r="AT218" i="7"/>
  <c r="AS218" i="7"/>
  <c r="AR218" i="7"/>
  <c r="AP218" i="7"/>
  <c r="AO218" i="7"/>
  <c r="AN218" i="7"/>
  <c r="AM218" i="7"/>
  <c r="AL218" i="7"/>
  <c r="AK218" i="7"/>
  <c r="AJ218" i="7"/>
  <c r="AI218" i="7"/>
  <c r="AH218" i="7"/>
  <c r="AG218" i="7"/>
  <c r="AC218" i="7"/>
  <c r="BA213" i="12" s="1"/>
  <c r="BB213" i="12" s="1"/>
  <c r="X218" i="7"/>
  <c r="S218" i="7"/>
  <c r="N218" i="7"/>
  <c r="AQ218" i="7" s="1"/>
  <c r="I218" i="7"/>
  <c r="C218" i="7" a="1"/>
  <c r="C218" i="7"/>
  <c r="B218" i="7"/>
  <c r="A218" i="7"/>
  <c r="AR217" i="7"/>
  <c r="AQ217" i="7"/>
  <c r="AP217" i="7"/>
  <c r="AO217" i="7"/>
  <c r="AM217" i="7"/>
  <c r="AL217" i="7"/>
  <c r="AK217" i="7"/>
  <c r="AJ217" i="7"/>
  <c r="AH217" i="7"/>
  <c r="AG217" i="7"/>
  <c r="AC217" i="7"/>
  <c r="BA212" i="12" s="1"/>
  <c r="BB212" i="12" s="1"/>
  <c r="X217" i="7"/>
  <c r="S217" i="7"/>
  <c r="AI217" i="7" s="1"/>
  <c r="N217" i="7"/>
  <c r="I217" i="7"/>
  <c r="B217" i="7"/>
  <c r="C217" i="7" s="1" a="1"/>
  <c r="C217" i="7" s="1"/>
  <c r="A217" i="7"/>
  <c r="AP216" i="7"/>
  <c r="AO216" i="7"/>
  <c r="AM216" i="7"/>
  <c r="AL216" i="7"/>
  <c r="AK216" i="7"/>
  <c r="AJ216" i="7"/>
  <c r="AH216" i="7"/>
  <c r="AG216" i="7"/>
  <c r="AC216" i="7"/>
  <c r="BA211" i="12" s="1"/>
  <c r="BB211" i="12" s="1"/>
  <c r="X216" i="7"/>
  <c r="S216" i="7"/>
  <c r="AI216" i="7" s="1"/>
  <c r="N216" i="7"/>
  <c r="AN216" i="7" s="1"/>
  <c r="I216" i="7"/>
  <c r="B216" i="7"/>
  <c r="C216" i="7" s="1" a="1"/>
  <c r="C216" i="7" s="1"/>
  <c r="A216" i="7"/>
  <c r="AU215" i="7"/>
  <c r="AT215" i="7"/>
  <c r="AS215" i="7"/>
  <c r="AQ215" i="7"/>
  <c r="AP215" i="7"/>
  <c r="AO215" i="7"/>
  <c r="AM215" i="7"/>
  <c r="AL215" i="7"/>
  <c r="AK215" i="7"/>
  <c r="AJ215" i="7"/>
  <c r="AH215" i="7"/>
  <c r="AG215" i="7"/>
  <c r="AC215" i="7"/>
  <c r="BA210" i="12" s="1"/>
  <c r="BB210" i="12" s="1"/>
  <c r="X215" i="7"/>
  <c r="S215" i="7"/>
  <c r="N215" i="7"/>
  <c r="I215" i="7"/>
  <c r="AI215" i="7" s="1"/>
  <c r="C215" i="7" a="1"/>
  <c r="C215" i="7" s="1"/>
  <c r="B215" i="7"/>
  <c r="A215" i="7"/>
  <c r="AQ214" i="7"/>
  <c r="AP214" i="7"/>
  <c r="AO214" i="7"/>
  <c r="AN214" i="7"/>
  <c r="AM214" i="7"/>
  <c r="AL214" i="7"/>
  <c r="AK214" i="7"/>
  <c r="AJ214" i="7"/>
  <c r="AH214" i="7"/>
  <c r="AG214" i="7"/>
  <c r="AC214" i="7"/>
  <c r="BA209" i="12" s="1"/>
  <c r="BB209" i="12" s="1"/>
  <c r="X214" i="7"/>
  <c r="S214" i="7"/>
  <c r="N214" i="7"/>
  <c r="AU214" i="7" s="1"/>
  <c r="I214" i="7"/>
  <c r="AI214" i="7" s="1"/>
  <c r="B214" i="7"/>
  <c r="C214" i="7" s="1" a="1"/>
  <c r="C214" i="7" s="1"/>
  <c r="A214" i="7"/>
  <c r="AP213" i="7"/>
  <c r="AO213" i="7"/>
  <c r="AM213" i="7"/>
  <c r="AL213" i="7"/>
  <c r="AK213" i="7"/>
  <c r="AJ213" i="7"/>
  <c r="AI213" i="7"/>
  <c r="AH213" i="7"/>
  <c r="AG213" i="7"/>
  <c r="AC213" i="7"/>
  <c r="BA208" i="12" s="1"/>
  <c r="BB208" i="12" s="1"/>
  <c r="X213" i="7"/>
  <c r="S213" i="7"/>
  <c r="N213" i="7"/>
  <c r="AN213" i="7" s="1"/>
  <c r="I213" i="7"/>
  <c r="B213" i="7"/>
  <c r="C213" i="7" s="1" a="1"/>
  <c r="C213" i="7" s="1"/>
  <c r="A213" i="7"/>
  <c r="AU212" i="7"/>
  <c r="AR212" i="7"/>
  <c r="AP212" i="7"/>
  <c r="AO212" i="7"/>
  <c r="AM212" i="7"/>
  <c r="AL212" i="7"/>
  <c r="AK212" i="7"/>
  <c r="AJ212" i="7"/>
  <c r="AH212" i="7"/>
  <c r="AG212" i="7"/>
  <c r="AC212" i="7"/>
  <c r="BA207" i="12" s="1"/>
  <c r="BB207" i="12" s="1"/>
  <c r="X212" i="7"/>
  <c r="S212" i="7"/>
  <c r="N212" i="7"/>
  <c r="AT212" i="7" s="1"/>
  <c r="I212" i="7"/>
  <c r="AN212" i="7" s="1"/>
  <c r="B212" i="7"/>
  <c r="C212" i="7" s="1" a="1"/>
  <c r="C212" i="7" s="1"/>
  <c r="A212" i="7"/>
  <c r="AU211" i="7"/>
  <c r="AT211" i="7"/>
  <c r="AS211" i="7"/>
  <c r="AR211" i="7"/>
  <c r="AP211" i="7"/>
  <c r="AO211" i="7"/>
  <c r="AN211" i="7"/>
  <c r="AM211" i="7"/>
  <c r="AL211" i="7"/>
  <c r="AK211" i="7"/>
  <c r="AJ211" i="7"/>
  <c r="AI211" i="7"/>
  <c r="AH211" i="7"/>
  <c r="AG211" i="7"/>
  <c r="AC211" i="7"/>
  <c r="BA206" i="12" s="1"/>
  <c r="BB206" i="12" s="1"/>
  <c r="X211" i="7"/>
  <c r="S211" i="7"/>
  <c r="N211" i="7"/>
  <c r="AQ211" i="7" s="1"/>
  <c r="I211" i="7"/>
  <c r="C211" i="7" a="1"/>
  <c r="C211" i="7" s="1"/>
  <c r="B211" i="7"/>
  <c r="A211" i="7"/>
  <c r="AP210" i="7"/>
  <c r="AO210" i="7"/>
  <c r="AM210" i="7"/>
  <c r="AL210" i="7"/>
  <c r="AK210" i="7"/>
  <c r="AJ210" i="7"/>
  <c r="AH210" i="7"/>
  <c r="AG210" i="7"/>
  <c r="AC210" i="7"/>
  <c r="BA205" i="12" s="1"/>
  <c r="BB205" i="12" s="1"/>
  <c r="X210" i="7"/>
  <c r="S210" i="7"/>
  <c r="AI210" i="7" s="1"/>
  <c r="N210" i="7"/>
  <c r="AN210" i="7" s="1"/>
  <c r="I210" i="7"/>
  <c r="B210" i="7"/>
  <c r="C210" i="7" s="1" a="1"/>
  <c r="C210" i="7" s="1"/>
  <c r="A210" i="7"/>
  <c r="AU209" i="7"/>
  <c r="AT209" i="7"/>
  <c r="AS209" i="7"/>
  <c r="AQ209" i="7"/>
  <c r="AP209" i="7"/>
  <c r="AO209" i="7"/>
  <c r="AM209" i="7"/>
  <c r="AL209" i="7"/>
  <c r="AK209" i="7"/>
  <c r="AJ209" i="7"/>
  <c r="AH209" i="7"/>
  <c r="AG209" i="7"/>
  <c r="AC209" i="7"/>
  <c r="BA204" i="12" s="1"/>
  <c r="BB204" i="12" s="1"/>
  <c r="X209" i="7"/>
  <c r="S209" i="7"/>
  <c r="N209" i="7"/>
  <c r="I209" i="7"/>
  <c r="AI209" i="7" s="1"/>
  <c r="B209" i="7"/>
  <c r="C209" i="7" s="1" a="1"/>
  <c r="C209" i="7" s="1"/>
  <c r="A209" i="7"/>
  <c r="AU208" i="7"/>
  <c r="AT208" i="7"/>
  <c r="AS208" i="7"/>
  <c r="AQ208" i="7"/>
  <c r="AP208" i="7"/>
  <c r="AO208" i="7"/>
  <c r="AN208" i="7"/>
  <c r="AM208" i="7"/>
  <c r="AL208" i="7"/>
  <c r="AK208" i="7"/>
  <c r="AJ208" i="7"/>
  <c r="AH208" i="7"/>
  <c r="AG208" i="7"/>
  <c r="AC208" i="7"/>
  <c r="BA203" i="12" s="1"/>
  <c r="BB203" i="12" s="1"/>
  <c r="X208" i="7"/>
  <c r="S208" i="7"/>
  <c r="N208" i="7"/>
  <c r="AR208" i="7" s="1"/>
  <c r="I208" i="7"/>
  <c r="AI208" i="7" s="1"/>
  <c r="C208" i="7" a="1"/>
  <c r="C208" i="7" s="1"/>
  <c r="B208" i="7"/>
  <c r="A208" i="7"/>
  <c r="AT207" i="7"/>
  <c r="AP207" i="7"/>
  <c r="AO207" i="7"/>
  <c r="AM207" i="7"/>
  <c r="AL207" i="7"/>
  <c r="AK207" i="7"/>
  <c r="AJ207" i="7"/>
  <c r="AH207" i="7"/>
  <c r="AG207" i="7"/>
  <c r="AC207" i="7"/>
  <c r="BA202" i="12" s="1"/>
  <c r="BB202" i="12" s="1"/>
  <c r="X207" i="7"/>
  <c r="S207" i="7"/>
  <c r="N207" i="7"/>
  <c r="AU207" i="7" s="1"/>
  <c r="I207" i="7"/>
  <c r="AI207" i="7" s="1"/>
  <c r="B207" i="7"/>
  <c r="C207" i="7" s="1" a="1"/>
  <c r="C207" i="7" s="1"/>
  <c r="A207" i="7"/>
  <c r="AQ206" i="7"/>
  <c r="AP206" i="7"/>
  <c r="AO206" i="7"/>
  <c r="AN206" i="7"/>
  <c r="AM206" i="7"/>
  <c r="AL206" i="7"/>
  <c r="AK206" i="7"/>
  <c r="AJ206" i="7"/>
  <c r="AH206" i="7"/>
  <c r="AG206" i="7"/>
  <c r="AC206" i="7"/>
  <c r="BA201" i="12" s="1"/>
  <c r="BB201" i="12" s="1"/>
  <c r="X206" i="7"/>
  <c r="S206" i="7"/>
  <c r="N206" i="7"/>
  <c r="I206" i="7"/>
  <c r="AI206" i="7" s="1"/>
  <c r="B206" i="7"/>
  <c r="C206" i="7" s="1" a="1"/>
  <c r="C206" i="7" s="1"/>
  <c r="A206" i="7"/>
  <c r="AU205" i="7"/>
  <c r="AR205" i="7"/>
  <c r="AP205" i="7"/>
  <c r="AO205" i="7"/>
  <c r="AN205" i="7"/>
  <c r="AM205" i="7"/>
  <c r="AL205" i="7"/>
  <c r="AK205" i="7"/>
  <c r="AJ205" i="7"/>
  <c r="AI205" i="7"/>
  <c r="AH205" i="7"/>
  <c r="AG205" i="7"/>
  <c r="AC205" i="7"/>
  <c r="BA200" i="12" s="1"/>
  <c r="BB200" i="12" s="1"/>
  <c r="X205" i="7"/>
  <c r="S205" i="7"/>
  <c r="N205" i="7"/>
  <c r="AT205" i="7" s="1"/>
  <c r="I205" i="7"/>
  <c r="B205" i="7"/>
  <c r="C205" i="7" s="1" a="1"/>
  <c r="C205" i="7" s="1"/>
  <c r="A205" i="7"/>
  <c r="AU204" i="7"/>
  <c r="AT204" i="7"/>
  <c r="AS204" i="7"/>
  <c r="AR204" i="7"/>
  <c r="AP204" i="7"/>
  <c r="AO204" i="7"/>
  <c r="AN204" i="7"/>
  <c r="AM204" i="7"/>
  <c r="AL204" i="7"/>
  <c r="AK204" i="7"/>
  <c r="AJ204" i="7"/>
  <c r="AI204" i="7"/>
  <c r="AH204" i="7"/>
  <c r="AG204" i="7"/>
  <c r="AC204" i="7"/>
  <c r="BA199" i="12" s="1"/>
  <c r="BB199" i="12" s="1"/>
  <c r="X204" i="7"/>
  <c r="S204" i="7"/>
  <c r="N204" i="7"/>
  <c r="AQ204" i="7" s="1"/>
  <c r="I204" i="7"/>
  <c r="B204" i="7"/>
  <c r="C204" i="7" s="1" a="1"/>
  <c r="C204" i="7" s="1"/>
  <c r="A204" i="7"/>
  <c r="AU203" i="7"/>
  <c r="AT203" i="7"/>
  <c r="AS203" i="7"/>
  <c r="AQ203" i="7"/>
  <c r="AP203" i="7"/>
  <c r="AO203" i="7"/>
  <c r="AM203" i="7"/>
  <c r="AL203" i="7"/>
  <c r="AK203" i="7"/>
  <c r="AJ203" i="7"/>
  <c r="AH203" i="7"/>
  <c r="AG203" i="7"/>
  <c r="AC203" i="7"/>
  <c r="BA198" i="12" s="1"/>
  <c r="BB198" i="12" s="1"/>
  <c r="X203" i="7"/>
  <c r="S203" i="7"/>
  <c r="AI203" i="7" s="1"/>
  <c r="N203" i="7"/>
  <c r="AN203" i="7" s="1"/>
  <c r="I203" i="7"/>
  <c r="B203" i="7"/>
  <c r="C203" i="7" s="1" a="1"/>
  <c r="C203" i="7" s="1"/>
  <c r="A203" i="7"/>
  <c r="AU202" i="7"/>
  <c r="AT202" i="7"/>
  <c r="AS202" i="7"/>
  <c r="AQ202" i="7"/>
  <c r="AP202" i="7"/>
  <c r="AO202" i="7"/>
  <c r="AM202" i="7"/>
  <c r="AL202" i="7"/>
  <c r="AK202" i="7"/>
  <c r="AJ202" i="7"/>
  <c r="AI202" i="7"/>
  <c r="AH202" i="7"/>
  <c r="AG202" i="7"/>
  <c r="AC202" i="7"/>
  <c r="BA197" i="12" s="1"/>
  <c r="BB197" i="12" s="1"/>
  <c r="X202" i="7"/>
  <c r="S202" i="7"/>
  <c r="N202" i="7"/>
  <c r="I202" i="7"/>
  <c r="B202" i="7"/>
  <c r="C202" i="7" s="1" a="1"/>
  <c r="C202" i="7" s="1"/>
  <c r="A202" i="7"/>
  <c r="AU201" i="7"/>
  <c r="AT201" i="7"/>
  <c r="AS201" i="7"/>
  <c r="AQ201" i="7"/>
  <c r="AP201" i="7"/>
  <c r="AO201" i="7"/>
  <c r="AN201" i="7"/>
  <c r="AM201" i="7"/>
  <c r="AL201" i="7"/>
  <c r="AK201" i="7"/>
  <c r="AJ201" i="7"/>
  <c r="AH201" i="7"/>
  <c r="AG201" i="7"/>
  <c r="AC201" i="7"/>
  <c r="BA196" i="12" s="1"/>
  <c r="BB196" i="12" s="1"/>
  <c r="X201" i="7"/>
  <c r="S201" i="7"/>
  <c r="N201" i="7"/>
  <c r="AR201" i="7" s="1"/>
  <c r="I201" i="7"/>
  <c r="C201" i="7" a="1"/>
  <c r="C201" i="7" s="1"/>
  <c r="B201" i="7"/>
  <c r="A201" i="7"/>
  <c r="AP200" i="7"/>
  <c r="AO200" i="7"/>
  <c r="AM200" i="7"/>
  <c r="AL200" i="7"/>
  <c r="AK200" i="7"/>
  <c r="AJ200" i="7"/>
  <c r="AH200" i="7"/>
  <c r="AG200" i="7"/>
  <c r="AC200" i="7"/>
  <c r="BA195" i="12" s="1"/>
  <c r="BB195" i="12" s="1"/>
  <c r="X200" i="7"/>
  <c r="S200" i="7"/>
  <c r="N200" i="7"/>
  <c r="AQ200" i="7" s="1"/>
  <c r="I200" i="7"/>
  <c r="AI200" i="7" s="1"/>
  <c r="C200" i="7" a="1"/>
  <c r="C200" i="7" s="1"/>
  <c r="B200" i="7"/>
  <c r="A200" i="7"/>
  <c r="AP199" i="7"/>
  <c r="AO199" i="7"/>
  <c r="AM199" i="7"/>
  <c r="AL199" i="7"/>
  <c r="AK199" i="7"/>
  <c r="AJ199" i="7"/>
  <c r="AH199" i="7"/>
  <c r="AG199" i="7"/>
  <c r="AC199" i="7"/>
  <c r="BA194" i="12" s="1"/>
  <c r="BB194" i="12" s="1"/>
  <c r="X199" i="7"/>
  <c r="S199" i="7"/>
  <c r="AI199" i="7" s="1"/>
  <c r="N199" i="7"/>
  <c r="AN199" i="7" s="1"/>
  <c r="I199" i="7"/>
  <c r="B199" i="7"/>
  <c r="C199" i="7" s="1" a="1"/>
  <c r="C199" i="7" s="1"/>
  <c r="A199" i="7"/>
  <c r="AU198" i="7"/>
  <c r="AR198" i="7"/>
  <c r="AP198" i="7"/>
  <c r="AO198" i="7"/>
  <c r="AN198" i="7"/>
  <c r="AM198" i="7"/>
  <c r="AL198" i="7"/>
  <c r="AK198" i="7"/>
  <c r="AJ198" i="7"/>
  <c r="AH198" i="7"/>
  <c r="AG198" i="7"/>
  <c r="AC198" i="7"/>
  <c r="BA193" i="12" s="1"/>
  <c r="BB193" i="12" s="1"/>
  <c r="X198" i="7"/>
  <c r="S198" i="7"/>
  <c r="N198" i="7"/>
  <c r="AT198" i="7" s="1"/>
  <c r="I198" i="7"/>
  <c r="AI198" i="7" s="1"/>
  <c r="C198" i="7" a="1"/>
  <c r="C198" i="7"/>
  <c r="B198" i="7"/>
  <c r="A198" i="7"/>
  <c r="AU197" i="7"/>
  <c r="AT197" i="7"/>
  <c r="AS197" i="7"/>
  <c r="AR197" i="7"/>
  <c r="AP197" i="7"/>
  <c r="AO197" i="7"/>
  <c r="AN197" i="7"/>
  <c r="AM197" i="7"/>
  <c r="AL197" i="7"/>
  <c r="AK197" i="7"/>
  <c r="AJ197" i="7"/>
  <c r="AI197" i="7"/>
  <c r="AH197" i="7"/>
  <c r="AG197" i="7"/>
  <c r="AC197" i="7"/>
  <c r="BA192" i="12" s="1"/>
  <c r="BB192" i="12" s="1"/>
  <c r="X197" i="7"/>
  <c r="S197" i="7"/>
  <c r="N197" i="7"/>
  <c r="AQ197" i="7" s="1"/>
  <c r="I197" i="7"/>
  <c r="C197" i="7" a="1"/>
  <c r="C197" i="7" s="1"/>
  <c r="B197" i="7"/>
  <c r="A197" i="7"/>
  <c r="AU196" i="7"/>
  <c r="AT196" i="7"/>
  <c r="AS196" i="7"/>
  <c r="AQ196" i="7"/>
  <c r="AP196" i="7"/>
  <c r="AO196" i="7"/>
  <c r="AM196" i="7"/>
  <c r="AL196" i="7"/>
  <c r="AK196" i="7"/>
  <c r="AJ196" i="7"/>
  <c r="AI196" i="7"/>
  <c r="AH196" i="7"/>
  <c r="AG196" i="7"/>
  <c r="AC196" i="7"/>
  <c r="BA191" i="12" s="1"/>
  <c r="BB191" i="12" s="1"/>
  <c r="X196" i="7"/>
  <c r="S196" i="7"/>
  <c r="N196" i="7"/>
  <c r="AN196" i="7" s="1"/>
  <c r="I196" i="7"/>
  <c r="B196" i="7"/>
  <c r="C196" i="7" s="1" a="1"/>
  <c r="C196" i="7" s="1"/>
  <c r="A196" i="7"/>
  <c r="AU195" i="7"/>
  <c r="AT195" i="7"/>
  <c r="AS195" i="7"/>
  <c r="AQ195" i="7"/>
  <c r="AP195" i="7"/>
  <c r="AO195" i="7"/>
  <c r="AM195" i="7"/>
  <c r="AL195" i="7"/>
  <c r="AK195" i="7"/>
  <c r="AJ195" i="7"/>
  <c r="AH195" i="7"/>
  <c r="AG195" i="7"/>
  <c r="AC195" i="7"/>
  <c r="BA190" i="12" s="1"/>
  <c r="BB190" i="12" s="1"/>
  <c r="X195" i="7"/>
  <c r="S195" i="7"/>
  <c r="N195" i="7"/>
  <c r="I195" i="7"/>
  <c r="AI195" i="7" s="1"/>
  <c r="B195" i="7"/>
  <c r="C195" i="7" s="1" a="1"/>
  <c r="C195" i="7" s="1"/>
  <c r="A195" i="7"/>
  <c r="AQ194" i="7"/>
  <c r="AP194" i="7"/>
  <c r="AO194" i="7"/>
  <c r="AM194" i="7"/>
  <c r="AL194" i="7"/>
  <c r="AK194" i="7"/>
  <c r="AJ194" i="7"/>
  <c r="AH194" i="7"/>
  <c r="AG194" i="7"/>
  <c r="AC194" i="7"/>
  <c r="BA189" i="12" s="1"/>
  <c r="BB189" i="12" s="1"/>
  <c r="X194" i="7"/>
  <c r="S194" i="7"/>
  <c r="N194" i="7"/>
  <c r="AU194" i="7" s="1"/>
  <c r="I194" i="7"/>
  <c r="C194" i="7" a="1"/>
  <c r="C194" i="7" s="1"/>
  <c r="B194" i="7"/>
  <c r="A194" i="7"/>
  <c r="AQ193" i="7"/>
  <c r="AP193" i="7"/>
  <c r="AO193" i="7"/>
  <c r="AM193" i="7"/>
  <c r="AL193" i="7"/>
  <c r="AK193" i="7"/>
  <c r="AJ193" i="7"/>
  <c r="AH193" i="7"/>
  <c r="AG193" i="7"/>
  <c r="AC193" i="7"/>
  <c r="BA188" i="12" s="1"/>
  <c r="BB188" i="12" s="1"/>
  <c r="X193" i="7"/>
  <c r="S193" i="7"/>
  <c r="N193" i="7"/>
  <c r="AU193" i="7" s="1"/>
  <c r="I193" i="7"/>
  <c r="AI193" i="7" s="1"/>
  <c r="B193" i="7"/>
  <c r="C193" i="7" s="1" a="1"/>
  <c r="C193" i="7" s="1"/>
  <c r="A193" i="7"/>
  <c r="AR192" i="7"/>
  <c r="AP192" i="7"/>
  <c r="AO192" i="7"/>
  <c r="AM192" i="7"/>
  <c r="AL192" i="7"/>
  <c r="AK192" i="7"/>
  <c r="AJ192" i="7"/>
  <c r="AH192" i="7"/>
  <c r="AG192" i="7"/>
  <c r="AC192" i="7"/>
  <c r="BA187" i="12" s="1"/>
  <c r="BB187" i="12" s="1"/>
  <c r="X192" i="7"/>
  <c r="S192" i="7"/>
  <c r="N192" i="7"/>
  <c r="I192" i="7"/>
  <c r="B192" i="7"/>
  <c r="C192" i="7" s="1" a="1"/>
  <c r="C192" i="7" s="1"/>
  <c r="A192" i="7"/>
  <c r="AU191" i="7"/>
  <c r="AR191" i="7"/>
  <c r="AP191" i="7"/>
  <c r="AO191" i="7"/>
  <c r="AN191" i="7"/>
  <c r="AM191" i="7"/>
  <c r="AL191" i="7"/>
  <c r="AK191" i="7"/>
  <c r="AJ191" i="7"/>
  <c r="AI191" i="7"/>
  <c r="AH191" i="7"/>
  <c r="AG191" i="7"/>
  <c r="AC191" i="7"/>
  <c r="BA186" i="12" s="1"/>
  <c r="BB186" i="12" s="1"/>
  <c r="X191" i="7"/>
  <c r="S191" i="7"/>
  <c r="N191" i="7"/>
  <c r="AT191" i="7" s="1"/>
  <c r="I191" i="7"/>
  <c r="B191" i="7"/>
  <c r="C191" i="7" s="1" a="1"/>
  <c r="C191" i="7" s="1"/>
  <c r="A191" i="7"/>
  <c r="AU190" i="7"/>
  <c r="AT190" i="7"/>
  <c r="AS190" i="7"/>
  <c r="AR190" i="7"/>
  <c r="AP190" i="7"/>
  <c r="AO190" i="7"/>
  <c r="AN190" i="7"/>
  <c r="AM190" i="7"/>
  <c r="AL190" i="7"/>
  <c r="AK190" i="7"/>
  <c r="AJ190" i="7"/>
  <c r="AI190" i="7"/>
  <c r="AH190" i="7"/>
  <c r="AG190" i="7"/>
  <c r="AC190" i="7"/>
  <c r="BA185" i="12" s="1"/>
  <c r="BB185" i="12" s="1"/>
  <c r="X190" i="7"/>
  <c r="S190" i="7"/>
  <c r="N190" i="7"/>
  <c r="AQ190" i="7" s="1"/>
  <c r="I190" i="7"/>
  <c r="B190" i="7"/>
  <c r="C190" i="7" s="1" a="1"/>
  <c r="C190" i="7" s="1"/>
  <c r="A190" i="7"/>
  <c r="AU189" i="7"/>
  <c r="AT189" i="7"/>
  <c r="AS189" i="7"/>
  <c r="AQ189" i="7"/>
  <c r="AP189" i="7"/>
  <c r="AO189" i="7"/>
  <c r="AM189" i="7"/>
  <c r="AL189" i="7"/>
  <c r="AK189" i="7"/>
  <c r="AJ189" i="7"/>
  <c r="AH189" i="7"/>
  <c r="AG189" i="7"/>
  <c r="AC189" i="7"/>
  <c r="BA184" i="12" s="1"/>
  <c r="BB184" i="12" s="1"/>
  <c r="X189" i="7"/>
  <c r="S189" i="7"/>
  <c r="AI189" i="7" s="1"/>
  <c r="N189" i="7"/>
  <c r="AN189" i="7" s="1"/>
  <c r="I189" i="7"/>
  <c r="B189" i="7"/>
  <c r="C189" i="7" s="1" a="1"/>
  <c r="C189" i="7" s="1"/>
  <c r="A189" i="7"/>
  <c r="AQ188" i="7"/>
  <c r="AP188" i="7"/>
  <c r="AO188" i="7"/>
  <c r="AM188" i="7"/>
  <c r="AL188" i="7"/>
  <c r="AK188" i="7"/>
  <c r="AJ188" i="7"/>
  <c r="AH188" i="7"/>
  <c r="AG188" i="7"/>
  <c r="AC188" i="7"/>
  <c r="BA183" i="12" s="1"/>
  <c r="BB183" i="12" s="1"/>
  <c r="X188" i="7"/>
  <c r="S188" i="7"/>
  <c r="N188" i="7"/>
  <c r="I188" i="7"/>
  <c r="AI188" i="7" s="1"/>
  <c r="B188" i="7"/>
  <c r="C188" i="7" s="1" a="1"/>
  <c r="C188" i="7" s="1"/>
  <c r="A188" i="7"/>
  <c r="AU187" i="7"/>
  <c r="AS187" i="7"/>
  <c r="AQ187" i="7"/>
  <c r="AP187" i="7"/>
  <c r="AO187" i="7"/>
  <c r="AM187" i="7"/>
  <c r="AL187" i="7"/>
  <c r="AK187" i="7"/>
  <c r="AJ187" i="7"/>
  <c r="AH187" i="7"/>
  <c r="AG187" i="7"/>
  <c r="AC187" i="7"/>
  <c r="BA182" i="12" s="1"/>
  <c r="BB182" i="12" s="1"/>
  <c r="X187" i="7"/>
  <c r="S187" i="7"/>
  <c r="N187" i="7"/>
  <c r="AT187" i="7" s="1"/>
  <c r="I187" i="7"/>
  <c r="AI187" i="7" s="1"/>
  <c r="C187" i="7" a="1"/>
  <c r="C187" i="7" s="1"/>
  <c r="B187" i="7"/>
  <c r="A187" i="7"/>
  <c r="AR186" i="7"/>
  <c r="AP186" i="7"/>
  <c r="AO186" i="7"/>
  <c r="AM186" i="7"/>
  <c r="AL186" i="7"/>
  <c r="AK186" i="7"/>
  <c r="AJ186" i="7"/>
  <c r="AH186" i="7"/>
  <c r="AG186" i="7"/>
  <c r="AC186" i="7"/>
  <c r="BA181" i="12" s="1"/>
  <c r="BB181" i="12" s="1"/>
  <c r="X186" i="7"/>
  <c r="S186" i="7"/>
  <c r="N186" i="7"/>
  <c r="AS186" i="7" s="1"/>
  <c r="I186" i="7"/>
  <c r="B186" i="7"/>
  <c r="C186" i="7" s="1" a="1"/>
  <c r="C186" i="7" s="1"/>
  <c r="A186" i="7"/>
  <c r="AR185" i="7"/>
  <c r="AP185" i="7"/>
  <c r="AO185" i="7"/>
  <c r="AN185" i="7"/>
  <c r="AM185" i="7"/>
  <c r="AL185" i="7"/>
  <c r="AK185" i="7"/>
  <c r="AJ185" i="7"/>
  <c r="AI185" i="7"/>
  <c r="AH185" i="7"/>
  <c r="AG185" i="7"/>
  <c r="AC185" i="7"/>
  <c r="BA180" i="12" s="1"/>
  <c r="BB180" i="12" s="1"/>
  <c r="X185" i="7"/>
  <c r="S185" i="7"/>
  <c r="N185" i="7"/>
  <c r="I185" i="7"/>
  <c r="C185" i="7" a="1"/>
  <c r="C185" i="7" s="1"/>
  <c r="B185" i="7"/>
  <c r="A185" i="7"/>
  <c r="AU184" i="7"/>
  <c r="AR184" i="7"/>
  <c r="AP184" i="7"/>
  <c r="AO184" i="7"/>
  <c r="AN184" i="7"/>
  <c r="AM184" i="7"/>
  <c r="AL184" i="7"/>
  <c r="AK184" i="7"/>
  <c r="AJ184" i="7"/>
  <c r="AI184" i="7"/>
  <c r="AH184" i="7"/>
  <c r="AG184" i="7"/>
  <c r="AC184" i="7"/>
  <c r="BA179" i="12" s="1"/>
  <c r="BB179" i="12" s="1"/>
  <c r="X184" i="7"/>
  <c r="S184" i="7"/>
  <c r="N184" i="7"/>
  <c r="AT184" i="7" s="1"/>
  <c r="I184" i="7"/>
  <c r="B184" i="7"/>
  <c r="C184" i="7" s="1" a="1"/>
  <c r="C184" i="7" s="1"/>
  <c r="A184" i="7"/>
  <c r="AU183" i="7"/>
  <c r="AT183" i="7"/>
  <c r="AS183" i="7"/>
  <c r="AR183" i="7"/>
  <c r="AP183" i="7"/>
  <c r="AO183" i="7"/>
  <c r="AN183" i="7"/>
  <c r="AM183" i="7"/>
  <c r="AL183" i="7"/>
  <c r="AK183" i="7"/>
  <c r="AJ183" i="7"/>
  <c r="AI183" i="7"/>
  <c r="AH183" i="7"/>
  <c r="AG183" i="7"/>
  <c r="AC183" i="7"/>
  <c r="BA178" i="12" s="1"/>
  <c r="BB178" i="12" s="1"/>
  <c r="X183" i="7"/>
  <c r="S183" i="7"/>
  <c r="N183" i="7"/>
  <c r="AQ183" i="7" s="1"/>
  <c r="I183" i="7"/>
  <c r="B183" i="7"/>
  <c r="C183" i="7" s="1" a="1"/>
  <c r="C183" i="7" s="1"/>
  <c r="A183" i="7"/>
  <c r="AQ182" i="7"/>
  <c r="AP182" i="7"/>
  <c r="AO182" i="7"/>
  <c r="AM182" i="7"/>
  <c r="AL182" i="7"/>
  <c r="AK182" i="7"/>
  <c r="AJ182" i="7"/>
  <c r="AI182" i="7"/>
  <c r="AH182" i="7"/>
  <c r="AG182" i="7"/>
  <c r="AC182" i="7"/>
  <c r="BA177" i="12" s="1"/>
  <c r="BB177" i="12" s="1"/>
  <c r="X182" i="7"/>
  <c r="S182" i="7"/>
  <c r="N182" i="7"/>
  <c r="AN182" i="7" s="1"/>
  <c r="I182" i="7"/>
  <c r="C182" i="7"/>
  <c r="B182" i="7"/>
  <c r="C182" i="7" s="1" a="1"/>
  <c r="A182" i="7"/>
  <c r="AU181" i="7"/>
  <c r="AS181" i="7"/>
  <c r="AQ181" i="7"/>
  <c r="AP181" i="7"/>
  <c r="AO181" i="7"/>
  <c r="AM181" i="7"/>
  <c r="AL181" i="7"/>
  <c r="AK181" i="7"/>
  <c r="AJ181" i="7"/>
  <c r="AI181" i="7"/>
  <c r="AH181" i="7"/>
  <c r="AG181" i="7"/>
  <c r="AC181" i="7"/>
  <c r="BA176" i="12" s="1"/>
  <c r="BB176" i="12" s="1"/>
  <c r="X181" i="7"/>
  <c r="S181" i="7"/>
  <c r="N181" i="7"/>
  <c r="I181" i="7"/>
  <c r="B181" i="7"/>
  <c r="C181" i="7" s="1" a="1"/>
  <c r="C181" i="7" s="1"/>
  <c r="A181" i="7"/>
  <c r="AR180" i="7"/>
  <c r="AQ180" i="7"/>
  <c r="AP180" i="7"/>
  <c r="AO180" i="7"/>
  <c r="AM180" i="7"/>
  <c r="AL180" i="7"/>
  <c r="AK180" i="7"/>
  <c r="AJ180" i="7"/>
  <c r="AH180" i="7"/>
  <c r="AG180" i="7"/>
  <c r="AC180" i="7"/>
  <c r="BA175" i="12" s="1"/>
  <c r="BB175" i="12" s="1"/>
  <c r="X180" i="7"/>
  <c r="S180" i="7"/>
  <c r="N180" i="7"/>
  <c r="I180" i="7"/>
  <c r="AI180" i="7" s="1"/>
  <c r="C180" i="7" a="1"/>
  <c r="C180" i="7" s="1"/>
  <c r="B180" i="7"/>
  <c r="A180" i="7"/>
  <c r="AT179" i="7"/>
  <c r="AS179" i="7"/>
  <c r="AP179" i="7"/>
  <c r="AO179" i="7"/>
  <c r="AN179" i="7"/>
  <c r="AM179" i="7"/>
  <c r="AL179" i="7"/>
  <c r="AK179" i="7"/>
  <c r="AJ179" i="7"/>
  <c r="AH179" i="7"/>
  <c r="AG179" i="7"/>
  <c r="AC179" i="7"/>
  <c r="BA174" i="12" s="1"/>
  <c r="BB174" i="12" s="1"/>
  <c r="X179" i="7"/>
  <c r="S179" i="7"/>
  <c r="N179" i="7"/>
  <c r="AU179" i="7" s="1"/>
  <c r="I179" i="7"/>
  <c r="B179" i="7"/>
  <c r="C179" i="7" s="1" a="1"/>
  <c r="C179" i="7" s="1"/>
  <c r="A179" i="7"/>
  <c r="AR178" i="7"/>
  <c r="AP178" i="7"/>
  <c r="AO178" i="7"/>
  <c r="AN178" i="7"/>
  <c r="AM178" i="7"/>
  <c r="AL178" i="7"/>
  <c r="AK178" i="7"/>
  <c r="AJ178" i="7"/>
  <c r="AH178" i="7"/>
  <c r="AG178" i="7"/>
  <c r="AC178" i="7"/>
  <c r="BA173" i="12" s="1"/>
  <c r="BB173" i="12" s="1"/>
  <c r="X178" i="7"/>
  <c r="S178" i="7"/>
  <c r="N178" i="7"/>
  <c r="I178" i="7"/>
  <c r="AI178" i="7" s="1"/>
  <c r="C178" i="7" a="1"/>
  <c r="C178" i="7" s="1"/>
  <c r="B178" i="7"/>
  <c r="A178" i="7"/>
  <c r="AU177" i="7"/>
  <c r="AR177" i="7"/>
  <c r="AP177" i="7"/>
  <c r="AO177" i="7"/>
  <c r="AM177" i="7"/>
  <c r="AL177" i="7"/>
  <c r="AK177" i="7"/>
  <c r="AJ177" i="7"/>
  <c r="AH177" i="7"/>
  <c r="AG177" i="7"/>
  <c r="AC177" i="7"/>
  <c r="BA172" i="12" s="1"/>
  <c r="BB172" i="12" s="1"/>
  <c r="X177" i="7"/>
  <c r="S177" i="7"/>
  <c r="N177" i="7"/>
  <c r="AT177" i="7" s="1"/>
  <c r="I177" i="7"/>
  <c r="C177" i="7" a="1"/>
  <c r="C177" i="7" s="1"/>
  <c r="B177" i="7"/>
  <c r="A177" i="7"/>
  <c r="AU176" i="7"/>
  <c r="AT176" i="7"/>
  <c r="AS176" i="7"/>
  <c r="AR176" i="7"/>
  <c r="AP176" i="7"/>
  <c r="AO176" i="7"/>
  <c r="AN176" i="7"/>
  <c r="AM176" i="7"/>
  <c r="AL176" i="7"/>
  <c r="AK176" i="7"/>
  <c r="AJ176" i="7"/>
  <c r="AI176" i="7"/>
  <c r="AH176" i="7"/>
  <c r="AG176" i="7"/>
  <c r="AC176" i="7"/>
  <c r="BA171" i="12" s="1"/>
  <c r="BB171" i="12" s="1"/>
  <c r="X176" i="7"/>
  <c r="S176" i="7"/>
  <c r="N176" i="7"/>
  <c r="AQ176" i="7" s="1"/>
  <c r="I176" i="7"/>
  <c r="C176" i="7" a="1"/>
  <c r="C176" i="7" s="1"/>
  <c r="B176" i="7"/>
  <c r="A176" i="7"/>
  <c r="AU175" i="7"/>
  <c r="AS175" i="7"/>
  <c r="AQ175" i="7"/>
  <c r="AP175" i="7"/>
  <c r="AO175" i="7"/>
  <c r="AM175" i="7"/>
  <c r="AL175" i="7"/>
  <c r="AK175" i="7"/>
  <c r="AJ175" i="7"/>
  <c r="AI175" i="7"/>
  <c r="AH175" i="7"/>
  <c r="AG175" i="7"/>
  <c r="AC175" i="7"/>
  <c r="BA170" i="12" s="1"/>
  <c r="BB170" i="12" s="1"/>
  <c r="X175" i="7"/>
  <c r="S175" i="7"/>
  <c r="N175" i="7"/>
  <c r="AN175" i="7" s="1"/>
  <c r="I175" i="7"/>
  <c r="C175" i="7"/>
  <c r="B175" i="7"/>
  <c r="C175" i="7" s="1" a="1"/>
  <c r="A175" i="7"/>
  <c r="AR174" i="7"/>
  <c r="AQ174" i="7"/>
  <c r="AP174" i="7"/>
  <c r="AO174" i="7"/>
  <c r="AM174" i="7"/>
  <c r="AL174" i="7"/>
  <c r="AK174" i="7"/>
  <c r="AJ174" i="7"/>
  <c r="AH174" i="7"/>
  <c r="AG174" i="7"/>
  <c r="AC174" i="7"/>
  <c r="BA169" i="12" s="1"/>
  <c r="BB169" i="12" s="1"/>
  <c r="X174" i="7"/>
  <c r="S174" i="7"/>
  <c r="N174" i="7"/>
  <c r="I174" i="7"/>
  <c r="AI174" i="7" s="1"/>
  <c r="B174" i="7"/>
  <c r="C174" i="7" s="1" a="1"/>
  <c r="C174" i="7" s="1"/>
  <c r="A174" i="7"/>
  <c r="AP173" i="7"/>
  <c r="AO173" i="7"/>
  <c r="AM173" i="7"/>
  <c r="AL173" i="7"/>
  <c r="AK173" i="7"/>
  <c r="AJ173" i="7"/>
  <c r="AH173" i="7"/>
  <c r="AG173" i="7"/>
  <c r="AC173" i="7"/>
  <c r="BA168" i="12" s="1"/>
  <c r="BB168" i="12" s="1"/>
  <c r="X173" i="7"/>
  <c r="S173" i="7"/>
  <c r="N173" i="7"/>
  <c r="AU173" i="7" s="1"/>
  <c r="I173" i="7"/>
  <c r="C173" i="7" a="1"/>
  <c r="C173" i="7" s="1"/>
  <c r="B173" i="7"/>
  <c r="A173" i="7"/>
  <c r="AR172" i="7"/>
  <c r="AP172" i="7"/>
  <c r="AO172" i="7"/>
  <c r="AM172" i="7"/>
  <c r="AL172" i="7"/>
  <c r="AK172" i="7"/>
  <c r="AJ172" i="7"/>
  <c r="AH172" i="7"/>
  <c r="AG172" i="7"/>
  <c r="AC172" i="7"/>
  <c r="BA167" i="12" s="1"/>
  <c r="BB167" i="12" s="1"/>
  <c r="X172" i="7"/>
  <c r="S172" i="7"/>
  <c r="N172" i="7"/>
  <c r="AT172" i="7" s="1"/>
  <c r="I172" i="7"/>
  <c r="C172" i="7" a="1"/>
  <c r="C172" i="7"/>
  <c r="B172" i="7"/>
  <c r="A172" i="7"/>
  <c r="AP171" i="7"/>
  <c r="AO171" i="7"/>
  <c r="AM171" i="7"/>
  <c r="AL171" i="7"/>
  <c r="AK171" i="7"/>
  <c r="AJ171" i="7"/>
  <c r="AH171" i="7"/>
  <c r="AG171" i="7"/>
  <c r="AC171" i="7"/>
  <c r="BA166" i="12" s="1"/>
  <c r="BB166" i="12" s="1"/>
  <c r="X171" i="7"/>
  <c r="S171" i="7"/>
  <c r="N171" i="7"/>
  <c r="I171" i="7"/>
  <c r="C171" i="7" a="1"/>
  <c r="C171" i="7"/>
  <c r="B171" i="7"/>
  <c r="A171" i="7"/>
  <c r="AU170" i="7"/>
  <c r="AT170" i="7"/>
  <c r="AR170" i="7"/>
  <c r="AP170" i="7"/>
  <c r="AO170" i="7"/>
  <c r="AN170" i="7"/>
  <c r="AM170" i="7"/>
  <c r="AL170" i="7"/>
  <c r="AK170" i="7"/>
  <c r="AJ170" i="7"/>
  <c r="AI170" i="7"/>
  <c r="AH170" i="7"/>
  <c r="AG170" i="7"/>
  <c r="AC170" i="7"/>
  <c r="BA165" i="12" s="1"/>
  <c r="BB165" i="12" s="1"/>
  <c r="X170" i="7"/>
  <c r="S170" i="7"/>
  <c r="N170" i="7"/>
  <c r="AS170" i="7" s="1"/>
  <c r="I170" i="7"/>
  <c r="C170" i="7"/>
  <c r="B170" i="7"/>
  <c r="C170" i="7" s="1" a="1"/>
  <c r="A170" i="7"/>
  <c r="AU169" i="7"/>
  <c r="AT169" i="7"/>
  <c r="AS169" i="7"/>
  <c r="AR169" i="7"/>
  <c r="AP169" i="7"/>
  <c r="AO169" i="7"/>
  <c r="AN169" i="7"/>
  <c r="AM169" i="7"/>
  <c r="AL169" i="7"/>
  <c r="AK169" i="7"/>
  <c r="AJ169" i="7"/>
  <c r="AI169" i="7"/>
  <c r="AH169" i="7"/>
  <c r="AG169" i="7"/>
  <c r="AC169" i="7"/>
  <c r="BA164" i="12" s="1"/>
  <c r="BB164" i="12" s="1"/>
  <c r="X169" i="7"/>
  <c r="S169" i="7"/>
  <c r="N169" i="7"/>
  <c r="AQ169" i="7" s="1"/>
  <c r="I169" i="7"/>
  <c r="C169" i="7" a="1"/>
  <c r="C169" i="7" s="1"/>
  <c r="B169" i="7"/>
  <c r="A169" i="7"/>
  <c r="AP168" i="7"/>
  <c r="AO168" i="7"/>
  <c r="AM168" i="7"/>
  <c r="AL168" i="7"/>
  <c r="AK168" i="7"/>
  <c r="AJ168" i="7"/>
  <c r="AH168" i="7"/>
  <c r="AG168" i="7"/>
  <c r="AC168" i="7"/>
  <c r="BA163" i="12" s="1"/>
  <c r="BB163" i="12" s="1"/>
  <c r="X168" i="7"/>
  <c r="S168" i="7"/>
  <c r="AI168" i="7" s="1"/>
  <c r="N168" i="7"/>
  <c r="AS168" i="7" s="1"/>
  <c r="I168" i="7"/>
  <c r="C168" i="7"/>
  <c r="B168" i="7"/>
  <c r="C168" i="7" s="1" a="1"/>
  <c r="A168" i="7"/>
  <c r="AU167" i="7"/>
  <c r="AT167" i="7"/>
  <c r="AS167" i="7"/>
  <c r="AP167" i="7"/>
  <c r="AO167" i="7"/>
  <c r="AM167" i="7"/>
  <c r="AL167" i="7"/>
  <c r="AK167" i="7"/>
  <c r="AJ167" i="7"/>
  <c r="AI167" i="7"/>
  <c r="AH167" i="7"/>
  <c r="AG167" i="7"/>
  <c r="AC167" i="7"/>
  <c r="BA162" i="12" s="1"/>
  <c r="BB162" i="12" s="1"/>
  <c r="X167" i="7"/>
  <c r="S167" i="7"/>
  <c r="N167" i="7"/>
  <c r="AN167" i="7" s="1"/>
  <c r="I167" i="7"/>
  <c r="B167" i="7"/>
  <c r="C167" i="7" s="1" a="1"/>
  <c r="C167" i="7" s="1"/>
  <c r="A167" i="7"/>
  <c r="AT166" i="7"/>
  <c r="AR166" i="7"/>
  <c r="AP166" i="7"/>
  <c r="AO166" i="7"/>
  <c r="AM166" i="7"/>
  <c r="AL166" i="7"/>
  <c r="AK166" i="7"/>
  <c r="AJ166" i="7"/>
  <c r="AH166" i="7"/>
  <c r="AG166" i="7"/>
  <c r="AC166" i="7"/>
  <c r="BA161" i="12" s="1"/>
  <c r="BB161" i="12" s="1"/>
  <c r="X166" i="7"/>
  <c r="S166" i="7"/>
  <c r="N166" i="7"/>
  <c r="I166" i="7"/>
  <c r="C166" i="7" a="1"/>
  <c r="C166" i="7" s="1"/>
  <c r="B166" i="7"/>
  <c r="A166" i="7"/>
  <c r="AQ165" i="7"/>
  <c r="AP165" i="7"/>
  <c r="AO165" i="7"/>
  <c r="AM165" i="7"/>
  <c r="AL165" i="7"/>
  <c r="AK165" i="7"/>
  <c r="AJ165" i="7"/>
  <c r="AH165" i="7"/>
  <c r="AG165" i="7"/>
  <c r="AC165" i="7"/>
  <c r="BA160" i="12" s="1"/>
  <c r="BB160" i="12" s="1"/>
  <c r="X165" i="7"/>
  <c r="S165" i="7"/>
  <c r="N165" i="7"/>
  <c r="AU165" i="7" s="1"/>
  <c r="I165" i="7"/>
  <c r="C165" i="7" a="1"/>
  <c r="C165" i="7"/>
  <c r="B165" i="7"/>
  <c r="A165" i="7"/>
  <c r="AP164" i="7"/>
  <c r="AO164" i="7"/>
  <c r="AM164" i="7"/>
  <c r="AL164" i="7"/>
  <c r="AK164" i="7"/>
  <c r="AJ164" i="7"/>
  <c r="AI164" i="7"/>
  <c r="AH164" i="7"/>
  <c r="AG164" i="7"/>
  <c r="AC164" i="7"/>
  <c r="BA159" i="12" s="1"/>
  <c r="BB159" i="12" s="1"/>
  <c r="X164" i="7"/>
  <c r="S164" i="7"/>
  <c r="N164" i="7"/>
  <c r="AN164" i="7" s="1"/>
  <c r="I164" i="7"/>
  <c r="B164" i="7"/>
  <c r="C164" i="7" s="1" a="1"/>
  <c r="C164" i="7" s="1"/>
  <c r="A164" i="7"/>
  <c r="AU163" i="7"/>
  <c r="AT163" i="7"/>
  <c r="AR163" i="7"/>
  <c r="AP163" i="7"/>
  <c r="AO163" i="7"/>
  <c r="AN163" i="7"/>
  <c r="AM163" i="7"/>
  <c r="AL163" i="7"/>
  <c r="AK163" i="7"/>
  <c r="AJ163" i="7"/>
  <c r="AH163" i="7"/>
  <c r="AG163" i="7"/>
  <c r="AC163" i="7"/>
  <c r="BA158" i="12" s="1"/>
  <c r="BB158" i="12" s="1"/>
  <c r="X163" i="7"/>
  <c r="S163" i="7"/>
  <c r="N163" i="7"/>
  <c r="AS163" i="7" s="1"/>
  <c r="I163" i="7"/>
  <c r="AI163" i="7" s="1"/>
  <c r="C163" i="7" a="1"/>
  <c r="C163" i="7"/>
  <c r="B163" i="7"/>
  <c r="A163" i="7"/>
  <c r="AU162" i="7"/>
  <c r="AT162" i="7"/>
  <c r="AS162" i="7"/>
  <c r="AR162" i="7"/>
  <c r="AP162" i="7"/>
  <c r="AO162" i="7"/>
  <c r="AN162" i="7"/>
  <c r="AM162" i="7"/>
  <c r="AL162" i="7"/>
  <c r="AK162" i="7"/>
  <c r="AJ162" i="7"/>
  <c r="AI162" i="7"/>
  <c r="AH162" i="7"/>
  <c r="AG162" i="7"/>
  <c r="AC162" i="7"/>
  <c r="BA157" i="12" s="1"/>
  <c r="BB157" i="12" s="1"/>
  <c r="X162" i="7"/>
  <c r="S162" i="7"/>
  <c r="N162" i="7"/>
  <c r="AQ162" i="7" s="1"/>
  <c r="I162" i="7"/>
  <c r="C162" i="7" a="1"/>
  <c r="C162" i="7" s="1"/>
  <c r="B162" i="7"/>
  <c r="A162" i="7"/>
  <c r="AU161" i="7"/>
  <c r="AT161" i="7"/>
  <c r="AQ161" i="7"/>
  <c r="AP161" i="7"/>
  <c r="AO161" i="7"/>
  <c r="AM161" i="7"/>
  <c r="AL161" i="7"/>
  <c r="AK161" i="7"/>
  <c r="AJ161" i="7"/>
  <c r="AI161" i="7"/>
  <c r="AH161" i="7"/>
  <c r="AG161" i="7"/>
  <c r="AC161" i="7"/>
  <c r="BA156" i="12" s="1"/>
  <c r="BB156" i="12" s="1"/>
  <c r="X161" i="7"/>
  <c r="N161" i="7"/>
  <c r="AN161" i="7" s="1"/>
  <c r="B161" i="7"/>
  <c r="C161" i="7" s="1" a="1"/>
  <c r="C161" i="7" s="1"/>
  <c r="A161" i="7"/>
  <c r="AU160" i="7"/>
  <c r="AT160" i="7"/>
  <c r="AS160" i="7"/>
  <c r="AQ160" i="7"/>
  <c r="AP160" i="7"/>
  <c r="AO160" i="7"/>
  <c r="AM160" i="7"/>
  <c r="AL160" i="7"/>
  <c r="AK160" i="7"/>
  <c r="AJ160" i="7"/>
  <c r="AH160" i="7"/>
  <c r="AG160" i="7"/>
  <c r="AC160" i="7"/>
  <c r="BA155" i="12" s="1"/>
  <c r="BB155" i="12" s="1"/>
  <c r="X160" i="7"/>
  <c r="S160" i="7"/>
  <c r="N160" i="7"/>
  <c r="AN160" i="7" s="1"/>
  <c r="I160" i="7"/>
  <c r="C160" i="7" a="1"/>
  <c r="C160" i="7" s="1"/>
  <c r="B160" i="7"/>
  <c r="A160" i="7"/>
  <c r="AQ159" i="7"/>
  <c r="AP159" i="7"/>
  <c r="AO159" i="7"/>
  <c r="AN159" i="7"/>
  <c r="AM159" i="7"/>
  <c r="AL159" i="7"/>
  <c r="AK159" i="7"/>
  <c r="AJ159" i="7"/>
  <c r="AH159" i="7"/>
  <c r="AG159" i="7"/>
  <c r="AC159" i="7"/>
  <c r="BA154" i="12" s="1"/>
  <c r="BB154" i="12" s="1"/>
  <c r="X159" i="7"/>
  <c r="S159" i="7"/>
  <c r="N159" i="7"/>
  <c r="AU159" i="7" s="1"/>
  <c r="I159" i="7"/>
  <c r="AI159" i="7" s="1"/>
  <c r="C159" i="7" a="1"/>
  <c r="C159" i="7" s="1"/>
  <c r="B159" i="7"/>
  <c r="A159" i="7"/>
  <c r="AR158" i="7"/>
  <c r="AP158" i="7"/>
  <c r="AO158" i="7"/>
  <c r="AM158" i="7"/>
  <c r="AL158" i="7"/>
  <c r="AK158" i="7"/>
  <c r="AJ158" i="7"/>
  <c r="AI158" i="7"/>
  <c r="AH158" i="7"/>
  <c r="AG158" i="7"/>
  <c r="AC158" i="7"/>
  <c r="BA153" i="12" s="1"/>
  <c r="BB153" i="12" s="1"/>
  <c r="X158" i="7"/>
  <c r="S158" i="7"/>
  <c r="N158" i="7"/>
  <c r="AN158" i="7" s="1"/>
  <c r="I158" i="7"/>
  <c r="B158" i="7"/>
  <c r="C158" i="7" s="1" a="1"/>
  <c r="C158" i="7" s="1"/>
  <c r="A158" i="7"/>
  <c r="AU157" i="7"/>
  <c r="AT157" i="7"/>
  <c r="AR157" i="7"/>
  <c r="AP157" i="7"/>
  <c r="AO157" i="7"/>
  <c r="AM157" i="7"/>
  <c r="AL157" i="7"/>
  <c r="AK157" i="7"/>
  <c r="AJ157" i="7"/>
  <c r="AH157" i="7"/>
  <c r="AG157" i="7"/>
  <c r="AC157" i="7"/>
  <c r="BA152" i="12" s="1"/>
  <c r="BB152" i="12" s="1"/>
  <c r="X157" i="7"/>
  <c r="S157" i="7"/>
  <c r="N157" i="7"/>
  <c r="AS157" i="7" s="1"/>
  <c r="I157" i="7"/>
  <c r="B157" i="7"/>
  <c r="C157" i="7" s="1" a="1"/>
  <c r="C157" i="7" s="1"/>
  <c r="A157" i="7"/>
  <c r="AU156" i="7"/>
  <c r="AT156" i="7"/>
  <c r="AS156" i="7"/>
  <c r="AR156" i="7"/>
  <c r="AP156" i="7"/>
  <c r="AO156" i="7"/>
  <c r="AN156" i="7"/>
  <c r="AM156" i="7"/>
  <c r="AL156" i="7"/>
  <c r="AK156" i="7"/>
  <c r="AJ156" i="7"/>
  <c r="AI156" i="7"/>
  <c r="AH156" i="7"/>
  <c r="AG156" i="7"/>
  <c r="AC156" i="7"/>
  <c r="BA151" i="12" s="1"/>
  <c r="BB151" i="12" s="1"/>
  <c r="X156" i="7"/>
  <c r="S156" i="7"/>
  <c r="N156" i="7"/>
  <c r="AQ156" i="7" s="1"/>
  <c r="I156" i="7"/>
  <c r="C156" i="7" a="1"/>
  <c r="C156" i="7"/>
  <c r="B156" i="7"/>
  <c r="A156" i="7"/>
  <c r="AU155" i="7"/>
  <c r="AT155" i="7"/>
  <c r="AS155" i="7"/>
  <c r="AP155" i="7"/>
  <c r="AO155" i="7"/>
  <c r="AM155" i="7"/>
  <c r="AL155" i="7"/>
  <c r="AK155" i="7"/>
  <c r="AJ155" i="7"/>
  <c r="AI155" i="7"/>
  <c r="AH155" i="7"/>
  <c r="AG155" i="7"/>
  <c r="AC155" i="7"/>
  <c r="BA150" i="12" s="1"/>
  <c r="BB150" i="12" s="1"/>
  <c r="X155" i="7"/>
  <c r="S155" i="7"/>
  <c r="N155" i="7"/>
  <c r="AN155" i="7" s="1"/>
  <c r="I155" i="7"/>
  <c r="B155" i="7"/>
  <c r="C155" i="7" s="1" a="1"/>
  <c r="C155" i="7" s="1"/>
  <c r="A155" i="7"/>
  <c r="AR154" i="7"/>
  <c r="AP154" i="7"/>
  <c r="AO154" i="7"/>
  <c r="AM154" i="7"/>
  <c r="AL154" i="7"/>
  <c r="AK154" i="7"/>
  <c r="AJ154" i="7"/>
  <c r="AH154" i="7"/>
  <c r="AG154" i="7"/>
  <c r="AC154" i="7"/>
  <c r="BA149" i="12" s="1"/>
  <c r="BB149" i="12" s="1"/>
  <c r="X154" i="7"/>
  <c r="S154" i="7"/>
  <c r="N154" i="7"/>
  <c r="AT154" i="7" s="1"/>
  <c r="I154" i="7"/>
  <c r="AI154" i="7" s="1"/>
  <c r="B154" i="7"/>
  <c r="C154" i="7" s="1" a="1"/>
  <c r="C154" i="7" s="1"/>
  <c r="A154" i="7"/>
  <c r="AU153" i="7"/>
  <c r="AQ153" i="7"/>
  <c r="AP153" i="7"/>
  <c r="AO153" i="7"/>
  <c r="AN153" i="7"/>
  <c r="AM153" i="7"/>
  <c r="AL153" i="7"/>
  <c r="AK153" i="7"/>
  <c r="AJ153" i="7"/>
  <c r="AH153" i="7"/>
  <c r="AG153" i="7"/>
  <c r="AC153" i="7"/>
  <c r="BA148" i="12" s="1"/>
  <c r="BB148" i="12" s="1"/>
  <c r="X153" i="7"/>
  <c r="S153" i="7"/>
  <c r="N153" i="7"/>
  <c r="AT153" i="7" s="1"/>
  <c r="I153" i="7"/>
  <c r="AI153" i="7" s="1"/>
  <c r="C153" i="7" a="1"/>
  <c r="C153" i="7" s="1"/>
  <c r="B153" i="7"/>
  <c r="A153" i="7"/>
  <c r="AS152" i="7"/>
  <c r="AQ152" i="7"/>
  <c r="AP152" i="7"/>
  <c r="AO152" i="7"/>
  <c r="AM152" i="7"/>
  <c r="AL152" i="7"/>
  <c r="AK152" i="7"/>
  <c r="AJ152" i="7"/>
  <c r="AH152" i="7"/>
  <c r="AG152" i="7"/>
  <c r="AC152" i="7"/>
  <c r="BA147" i="12" s="1"/>
  <c r="BB147" i="12" s="1"/>
  <c r="X152" i="7"/>
  <c r="S152" i="7"/>
  <c r="N152" i="7"/>
  <c r="AU152" i="7" s="1"/>
  <c r="I152" i="7"/>
  <c r="AI152" i="7" s="1"/>
  <c r="B152" i="7"/>
  <c r="C152" i="7" s="1" a="1"/>
  <c r="C152" i="7" s="1"/>
  <c r="A152" i="7"/>
  <c r="AR151" i="7"/>
  <c r="AQ151" i="7"/>
  <c r="AP151" i="7"/>
  <c r="AO151" i="7"/>
  <c r="AM151" i="7"/>
  <c r="AL151" i="7"/>
  <c r="AK151" i="7"/>
  <c r="AJ151" i="7"/>
  <c r="AH151" i="7"/>
  <c r="AG151" i="7"/>
  <c r="AC151" i="7"/>
  <c r="BA146" i="12" s="1"/>
  <c r="BB146" i="12" s="1"/>
  <c r="X151" i="7"/>
  <c r="S151" i="7"/>
  <c r="N151" i="7"/>
  <c r="I151" i="7"/>
  <c r="AI151" i="7" s="1"/>
  <c r="B151" i="7"/>
  <c r="C151" i="7" s="1" a="1"/>
  <c r="C151" i="7" s="1"/>
  <c r="A151" i="7"/>
  <c r="AU150" i="7"/>
  <c r="AT150" i="7"/>
  <c r="AR150" i="7"/>
  <c r="AP150" i="7"/>
  <c r="AO150" i="7"/>
  <c r="AN150" i="7"/>
  <c r="AM150" i="7"/>
  <c r="AL150" i="7"/>
  <c r="AK150" i="7"/>
  <c r="AJ150" i="7"/>
  <c r="AH150" i="7"/>
  <c r="AG150" i="7"/>
  <c r="AC150" i="7"/>
  <c r="BA145" i="12" s="1"/>
  <c r="BB145" i="12" s="1"/>
  <c r="X150" i="7"/>
  <c r="S150" i="7"/>
  <c r="N150" i="7"/>
  <c r="AS150" i="7" s="1"/>
  <c r="I150" i="7"/>
  <c r="AI150" i="7" s="1"/>
  <c r="C150" i="7" a="1"/>
  <c r="C150" i="7" s="1"/>
  <c r="B150" i="7"/>
  <c r="A150" i="7"/>
  <c r="AU149" i="7"/>
  <c r="AT149" i="7"/>
  <c r="AS149" i="7"/>
  <c r="AR149" i="7"/>
  <c r="AP149" i="7"/>
  <c r="AO149" i="7"/>
  <c r="AN149" i="7"/>
  <c r="AM149" i="7"/>
  <c r="AL149" i="7"/>
  <c r="AK149" i="7"/>
  <c r="AJ149" i="7"/>
  <c r="AI149" i="7"/>
  <c r="AH149" i="7"/>
  <c r="AG149" i="7"/>
  <c r="AC149" i="7"/>
  <c r="BA144" i="12" s="1"/>
  <c r="BB144" i="12" s="1"/>
  <c r="X149" i="7"/>
  <c r="S149" i="7"/>
  <c r="N149" i="7"/>
  <c r="AQ149" i="7" s="1"/>
  <c r="I149" i="7"/>
  <c r="B149" i="7"/>
  <c r="C149" i="7" s="1" a="1"/>
  <c r="C149" i="7" s="1"/>
  <c r="A149" i="7"/>
  <c r="AU148" i="7"/>
  <c r="AT148" i="7"/>
  <c r="AS148" i="7"/>
  <c r="AQ148" i="7"/>
  <c r="AP148" i="7"/>
  <c r="AO148" i="7"/>
  <c r="AM148" i="7"/>
  <c r="AL148" i="7"/>
  <c r="AK148" i="7"/>
  <c r="AJ148" i="7"/>
  <c r="AH148" i="7"/>
  <c r="AG148" i="7"/>
  <c r="AC148" i="7"/>
  <c r="BA143" i="12" s="1"/>
  <c r="BB143" i="12" s="1"/>
  <c r="X148" i="7"/>
  <c r="S148" i="7"/>
  <c r="AI148" i="7" s="1"/>
  <c r="N148" i="7"/>
  <c r="AN148" i="7" s="1"/>
  <c r="I148" i="7"/>
  <c r="B148" i="7"/>
  <c r="C148" i="7" s="1" a="1"/>
  <c r="C148" i="7" s="1"/>
  <c r="A148" i="7"/>
  <c r="AQ147" i="7"/>
  <c r="AP147" i="7"/>
  <c r="AO147" i="7"/>
  <c r="AM147" i="7"/>
  <c r="AL147" i="7"/>
  <c r="AK147" i="7"/>
  <c r="AJ147" i="7"/>
  <c r="AH147" i="7"/>
  <c r="AG147" i="7"/>
  <c r="AC147" i="7"/>
  <c r="BA142" i="12" s="1"/>
  <c r="BB142" i="12" s="1"/>
  <c r="X147" i="7"/>
  <c r="S147" i="7"/>
  <c r="N147" i="7"/>
  <c r="I147" i="7"/>
  <c r="AI147" i="7" s="1"/>
  <c r="B147" i="7"/>
  <c r="C147" i="7" s="1" a="1"/>
  <c r="C147" i="7" s="1"/>
  <c r="A147" i="7"/>
  <c r="AU146" i="7"/>
  <c r="AS146" i="7"/>
  <c r="AQ146" i="7"/>
  <c r="AP146" i="7"/>
  <c r="AO146" i="7"/>
  <c r="AM146" i="7"/>
  <c r="AL146" i="7"/>
  <c r="AK146" i="7"/>
  <c r="AJ146" i="7"/>
  <c r="AH146" i="7"/>
  <c r="AG146" i="7"/>
  <c r="AC146" i="7"/>
  <c r="BA141" i="12" s="1"/>
  <c r="BB141" i="12" s="1"/>
  <c r="X146" i="7"/>
  <c r="S146" i="7"/>
  <c r="N146" i="7"/>
  <c r="AT146" i="7" s="1"/>
  <c r="I146" i="7"/>
  <c r="AI146" i="7" s="1"/>
  <c r="C146" i="7" a="1"/>
  <c r="C146" i="7" s="1"/>
  <c r="B146" i="7"/>
  <c r="A146" i="7"/>
  <c r="AS145" i="7"/>
  <c r="AR145" i="7"/>
  <c r="AP145" i="7"/>
  <c r="AO145" i="7"/>
  <c r="AM145" i="7"/>
  <c r="AL145" i="7"/>
  <c r="AK145" i="7"/>
  <c r="AJ145" i="7"/>
  <c r="AH145" i="7"/>
  <c r="AG145" i="7"/>
  <c r="AC145" i="7"/>
  <c r="BA140" i="12" s="1"/>
  <c r="BB140" i="12" s="1"/>
  <c r="X145" i="7"/>
  <c r="S145" i="7"/>
  <c r="N145" i="7"/>
  <c r="I145" i="7"/>
  <c r="B145" i="7"/>
  <c r="C145" i="7" s="1" a="1"/>
  <c r="C145" i="7" s="1"/>
  <c r="A145" i="7"/>
  <c r="AR144" i="7"/>
  <c r="AP144" i="7"/>
  <c r="AO144" i="7"/>
  <c r="AN144" i="7"/>
  <c r="AM144" i="7"/>
  <c r="AL144" i="7"/>
  <c r="AK144" i="7"/>
  <c r="AJ144" i="7"/>
  <c r="AI144" i="7"/>
  <c r="AH144" i="7"/>
  <c r="AG144" i="7"/>
  <c r="AC144" i="7"/>
  <c r="BA139" i="12" s="1"/>
  <c r="BB139" i="12" s="1"/>
  <c r="X144" i="7"/>
  <c r="S144" i="7"/>
  <c r="N144" i="7"/>
  <c r="I144" i="7"/>
  <c r="C144" i="7" a="1"/>
  <c r="C144" i="7" s="1"/>
  <c r="B144" i="7"/>
  <c r="A144" i="7"/>
  <c r="AU143" i="7"/>
  <c r="AT143" i="7"/>
  <c r="AR143" i="7"/>
  <c r="AP143" i="7"/>
  <c r="AO143" i="7"/>
  <c r="AM143" i="7"/>
  <c r="AL143" i="7"/>
  <c r="AK143" i="7"/>
  <c r="AJ143" i="7"/>
  <c r="AI143" i="7"/>
  <c r="AH143" i="7"/>
  <c r="AG143" i="7"/>
  <c r="AC143" i="7"/>
  <c r="BA138" i="12" s="1"/>
  <c r="BB138" i="12" s="1"/>
  <c r="X143" i="7"/>
  <c r="S143" i="7"/>
  <c r="N143" i="7"/>
  <c r="AS143" i="7" s="1"/>
  <c r="I143" i="7"/>
  <c r="AN143" i="7" s="1"/>
  <c r="B143" i="7"/>
  <c r="C143" i="7" s="1" a="1"/>
  <c r="C143" i="7" s="1"/>
  <c r="A143" i="7"/>
  <c r="AU142" i="7"/>
  <c r="AT142" i="7"/>
  <c r="AS142" i="7"/>
  <c r="AR142" i="7"/>
  <c r="AP142" i="7"/>
  <c r="AO142" i="7"/>
  <c r="AN142" i="7"/>
  <c r="AM142" i="7"/>
  <c r="AL142" i="7"/>
  <c r="AK142" i="7"/>
  <c r="AJ142" i="7"/>
  <c r="AI142" i="7"/>
  <c r="AH142" i="7"/>
  <c r="AG142" i="7"/>
  <c r="AC142" i="7"/>
  <c r="BA137" i="12" s="1"/>
  <c r="BB137" i="12" s="1"/>
  <c r="X142" i="7"/>
  <c r="S142" i="7"/>
  <c r="N142" i="7"/>
  <c r="AQ142" i="7" s="1"/>
  <c r="I142" i="7"/>
  <c r="B142" i="7"/>
  <c r="C142" i="7" s="1" a="1"/>
  <c r="C142" i="7" s="1"/>
  <c r="A142" i="7"/>
  <c r="AR141" i="7"/>
  <c r="AP141" i="7"/>
  <c r="AO141" i="7"/>
  <c r="AM141" i="7"/>
  <c r="AL141" i="7"/>
  <c r="AK141" i="7"/>
  <c r="AJ141" i="7"/>
  <c r="AI141" i="7"/>
  <c r="AH141" i="7"/>
  <c r="AG141" i="7"/>
  <c r="AC141" i="7"/>
  <c r="BA136" i="12" s="1"/>
  <c r="BB136" i="12" s="1"/>
  <c r="X141" i="7"/>
  <c r="S141" i="7"/>
  <c r="N141" i="7"/>
  <c r="I141" i="7"/>
  <c r="C141" i="7"/>
  <c r="B141" i="7"/>
  <c r="C141" i="7" s="1" a="1"/>
  <c r="A141" i="7"/>
  <c r="AP140" i="7"/>
  <c r="AO140" i="7"/>
  <c r="AM140" i="7"/>
  <c r="AL140" i="7"/>
  <c r="AK140" i="7"/>
  <c r="AJ140" i="7"/>
  <c r="AI140" i="7"/>
  <c r="AH140" i="7"/>
  <c r="AG140" i="7"/>
  <c r="AC140" i="7"/>
  <c r="BA135" i="12" s="1"/>
  <c r="BB135" i="12" s="1"/>
  <c r="X140" i="7"/>
  <c r="S140" i="7"/>
  <c r="N140" i="7"/>
  <c r="AN140" i="7" s="1"/>
  <c r="I140" i="7"/>
  <c r="B140" i="7"/>
  <c r="C140" i="7" s="1" a="1"/>
  <c r="C140" i="7" s="1"/>
  <c r="A140" i="7"/>
  <c r="AS139" i="7"/>
  <c r="AR139" i="7"/>
  <c r="AP139" i="7"/>
  <c r="AO139" i="7"/>
  <c r="AM139" i="7"/>
  <c r="AL139" i="7"/>
  <c r="AK139" i="7"/>
  <c r="AJ139" i="7"/>
  <c r="AH139" i="7"/>
  <c r="AG139" i="7"/>
  <c r="AC139" i="7"/>
  <c r="BA134" i="12" s="1"/>
  <c r="BB134" i="12" s="1"/>
  <c r="X139" i="7"/>
  <c r="S139" i="7"/>
  <c r="N139" i="7"/>
  <c r="I139" i="7"/>
  <c r="C139" i="7" a="1"/>
  <c r="C139" i="7" s="1"/>
  <c r="B139" i="7"/>
  <c r="A139" i="7"/>
  <c r="AT138" i="7"/>
  <c r="AS138" i="7"/>
  <c r="AQ138" i="7"/>
  <c r="AP138" i="7"/>
  <c r="AO138" i="7"/>
  <c r="AN138" i="7"/>
  <c r="AM138" i="7"/>
  <c r="AL138" i="7"/>
  <c r="AK138" i="7"/>
  <c r="AJ138" i="7"/>
  <c r="AH138" i="7"/>
  <c r="AG138" i="7"/>
  <c r="AC138" i="7"/>
  <c r="BA133" i="12" s="1"/>
  <c r="BB133" i="12" s="1"/>
  <c r="X138" i="7"/>
  <c r="S138" i="7"/>
  <c r="N138" i="7"/>
  <c r="AU138" i="7" s="1"/>
  <c r="I138" i="7"/>
  <c r="AI138" i="7" s="1"/>
  <c r="C138" i="7" a="1"/>
  <c r="C138" i="7" s="1"/>
  <c r="B138" i="7"/>
  <c r="A138" i="7"/>
  <c r="AP137" i="7"/>
  <c r="AO137" i="7"/>
  <c r="AN137" i="7"/>
  <c r="AM137" i="7"/>
  <c r="AL137" i="7"/>
  <c r="AK137" i="7"/>
  <c r="AJ137" i="7"/>
  <c r="AI137" i="7"/>
  <c r="AH137" i="7"/>
  <c r="AG137" i="7"/>
  <c r="AC137" i="7"/>
  <c r="BA132" i="12" s="1"/>
  <c r="BB132" i="12" s="1"/>
  <c r="X137" i="7"/>
  <c r="S137" i="7"/>
  <c r="N137" i="7"/>
  <c r="I137" i="7"/>
  <c r="B137" i="7"/>
  <c r="C137" i="7" s="1" a="1"/>
  <c r="C137" i="7" s="1"/>
  <c r="A137" i="7"/>
  <c r="AU136" i="7"/>
  <c r="AT136" i="7"/>
  <c r="AR136" i="7"/>
  <c r="AP136" i="7"/>
  <c r="AO136" i="7"/>
  <c r="AM136" i="7"/>
  <c r="AL136" i="7"/>
  <c r="AK136" i="7"/>
  <c r="AJ136" i="7"/>
  <c r="AH136" i="7"/>
  <c r="AG136" i="7"/>
  <c r="AC136" i="7"/>
  <c r="BA131" i="12" s="1"/>
  <c r="BB131" i="12" s="1"/>
  <c r="X136" i="7"/>
  <c r="S136" i="7"/>
  <c r="N136" i="7"/>
  <c r="AS136" i="7" s="1"/>
  <c r="I136" i="7"/>
  <c r="AN136" i="7" s="1"/>
  <c r="B136" i="7"/>
  <c r="C136" i="7" s="1" a="1"/>
  <c r="C136" i="7" s="1"/>
  <c r="A136" i="7"/>
  <c r="AU135" i="7"/>
  <c r="AT135" i="7"/>
  <c r="AS135" i="7"/>
  <c r="AR135" i="7"/>
  <c r="AP135" i="7"/>
  <c r="AO135" i="7"/>
  <c r="AN135" i="7"/>
  <c r="AM135" i="7"/>
  <c r="AL135" i="7"/>
  <c r="AK135" i="7"/>
  <c r="AJ135" i="7"/>
  <c r="AI135" i="7"/>
  <c r="AH135" i="7"/>
  <c r="AG135" i="7"/>
  <c r="AC135" i="7"/>
  <c r="BA130" i="12" s="1"/>
  <c r="BB130" i="12" s="1"/>
  <c r="X135" i="7"/>
  <c r="S135" i="7"/>
  <c r="N135" i="7"/>
  <c r="AQ135" i="7" s="1"/>
  <c r="I135" i="7"/>
  <c r="B135" i="7"/>
  <c r="C135" i="7" s="1" a="1"/>
  <c r="C135" i="7" s="1"/>
  <c r="A135" i="7"/>
  <c r="AS134" i="7"/>
  <c r="AP134" i="7"/>
  <c r="AO134" i="7"/>
  <c r="AM134" i="7"/>
  <c r="AL134" i="7"/>
  <c r="AK134" i="7"/>
  <c r="AJ134" i="7"/>
  <c r="AH134" i="7"/>
  <c r="AG134" i="7"/>
  <c r="AC134" i="7"/>
  <c r="BA129" i="12" s="1"/>
  <c r="BB129" i="12" s="1"/>
  <c r="X134" i="7"/>
  <c r="S134" i="7"/>
  <c r="AI134" i="7" s="1"/>
  <c r="N134" i="7"/>
  <c r="AN134" i="7" s="1"/>
  <c r="I134" i="7"/>
  <c r="B134" i="7"/>
  <c r="C134" i="7" s="1" a="1"/>
  <c r="C134" i="7" s="1"/>
  <c r="A134" i="7"/>
  <c r="AU133" i="7"/>
  <c r="AT133" i="7"/>
  <c r="AS133" i="7"/>
  <c r="AQ133" i="7"/>
  <c r="AP133" i="7"/>
  <c r="AO133" i="7"/>
  <c r="AM133" i="7"/>
  <c r="AL133" i="7"/>
  <c r="AK133" i="7"/>
  <c r="AJ133" i="7"/>
  <c r="AH133" i="7"/>
  <c r="AG133" i="7"/>
  <c r="AC133" i="7"/>
  <c r="BA128" i="12" s="1"/>
  <c r="BB128" i="12" s="1"/>
  <c r="X133" i="7"/>
  <c r="S133" i="7"/>
  <c r="N133" i="7"/>
  <c r="I133" i="7"/>
  <c r="AI133" i="7" s="1"/>
  <c r="B133" i="7"/>
  <c r="C133" i="7" s="1" a="1"/>
  <c r="C133" i="7" s="1"/>
  <c r="A133" i="7"/>
  <c r="AU132" i="7"/>
  <c r="AT132" i="7"/>
  <c r="AS132" i="7"/>
  <c r="AQ132" i="7"/>
  <c r="AP132" i="7"/>
  <c r="AO132" i="7"/>
  <c r="AN132" i="7"/>
  <c r="AM132" i="7"/>
  <c r="AL132" i="7"/>
  <c r="AK132" i="7"/>
  <c r="AJ132" i="7"/>
  <c r="AH132" i="7"/>
  <c r="AG132" i="7"/>
  <c r="AC132" i="7"/>
  <c r="BA127" i="12" s="1"/>
  <c r="BB127" i="12" s="1"/>
  <c r="X132" i="7"/>
  <c r="S132" i="7"/>
  <c r="N132" i="7"/>
  <c r="AR132" i="7" s="1"/>
  <c r="I132" i="7"/>
  <c r="AI132" i="7" s="1"/>
  <c r="C132" i="7" a="1"/>
  <c r="C132" i="7" s="1"/>
  <c r="B132" i="7"/>
  <c r="A132" i="7"/>
  <c r="AT131" i="7"/>
  <c r="AP131" i="7"/>
  <c r="AO131" i="7"/>
  <c r="AM131" i="7"/>
  <c r="AL131" i="7"/>
  <c r="AK131" i="7"/>
  <c r="AJ131" i="7"/>
  <c r="AH131" i="7"/>
  <c r="AG131" i="7"/>
  <c r="AC131" i="7"/>
  <c r="BA126" i="12" s="1"/>
  <c r="BB126" i="12" s="1"/>
  <c r="X131" i="7"/>
  <c r="S131" i="7"/>
  <c r="N131" i="7"/>
  <c r="AU131" i="7" s="1"/>
  <c r="I131" i="7"/>
  <c r="AI131" i="7" s="1"/>
  <c r="B131" i="7"/>
  <c r="C131" i="7" s="1" a="1"/>
  <c r="C131" i="7" s="1"/>
  <c r="A131" i="7"/>
  <c r="AQ130" i="7"/>
  <c r="AP130" i="7"/>
  <c r="AO130" i="7"/>
  <c r="AM130" i="7"/>
  <c r="AL130" i="7"/>
  <c r="AK130" i="7"/>
  <c r="AJ130" i="7"/>
  <c r="AH130" i="7"/>
  <c r="AG130" i="7"/>
  <c r="AC130" i="7"/>
  <c r="BA125" i="12" s="1"/>
  <c r="BB125" i="12" s="1"/>
  <c r="X130" i="7"/>
  <c r="S130" i="7"/>
  <c r="N130" i="7"/>
  <c r="I130" i="7"/>
  <c r="B130" i="7"/>
  <c r="C130" i="7" s="1" a="1"/>
  <c r="C130" i="7" s="1"/>
  <c r="A130" i="7"/>
  <c r="AU129" i="7"/>
  <c r="AT129" i="7"/>
  <c r="AR129" i="7"/>
  <c r="AP129" i="7"/>
  <c r="AO129" i="7"/>
  <c r="AN129" i="7"/>
  <c r="AM129" i="7"/>
  <c r="AL129" i="7"/>
  <c r="AK129" i="7"/>
  <c r="AJ129" i="7"/>
  <c r="AI129" i="7"/>
  <c r="AH129" i="7"/>
  <c r="AG129" i="7"/>
  <c r="AC129" i="7"/>
  <c r="BA124" i="12" s="1"/>
  <c r="BB124" i="12" s="1"/>
  <c r="X129" i="7"/>
  <c r="S129" i="7"/>
  <c r="N129" i="7"/>
  <c r="AS129" i="7" s="1"/>
  <c r="I129" i="7"/>
  <c r="C129" i="7" a="1"/>
  <c r="C129" i="7" s="1"/>
  <c r="B129" i="7"/>
  <c r="A129" i="7"/>
  <c r="AU128" i="7"/>
  <c r="AT128" i="7"/>
  <c r="AS128" i="7"/>
  <c r="AP128" i="7"/>
  <c r="AO128" i="7"/>
  <c r="AN128" i="7"/>
  <c r="AM128" i="7"/>
  <c r="AL128" i="7"/>
  <c r="AK128" i="7"/>
  <c r="AJ128" i="7"/>
  <c r="AI128" i="7"/>
  <c r="AH128" i="7"/>
  <c r="AG128" i="7"/>
  <c r="AC128" i="7"/>
  <c r="BA123" i="12" s="1"/>
  <c r="BB123" i="12" s="1"/>
  <c r="X128" i="7"/>
  <c r="N128" i="7"/>
  <c r="AR128" i="7" s="1"/>
  <c r="I128" i="7"/>
  <c r="C128" i="7" a="1"/>
  <c r="C128" i="7" s="1"/>
  <c r="B128" i="7"/>
  <c r="A128" i="7"/>
  <c r="AR127" i="7"/>
  <c r="AQ127" i="7"/>
  <c r="AP127" i="7"/>
  <c r="AO127" i="7"/>
  <c r="AM127" i="7"/>
  <c r="AL127" i="7"/>
  <c r="AK127" i="7"/>
  <c r="AJ127" i="7"/>
  <c r="AH127" i="7"/>
  <c r="AG127" i="7"/>
  <c r="AC127" i="7"/>
  <c r="BA122" i="12" s="1"/>
  <c r="BB122" i="12" s="1"/>
  <c r="X127" i="7"/>
  <c r="S127" i="7"/>
  <c r="N127" i="7"/>
  <c r="I127" i="7"/>
  <c r="AI127" i="7" s="1"/>
  <c r="B127" i="7"/>
  <c r="C127" i="7" s="1" a="1"/>
  <c r="C127" i="7" s="1"/>
  <c r="A127" i="7"/>
  <c r="AR126" i="7"/>
  <c r="AP126" i="7"/>
  <c r="AO126" i="7"/>
  <c r="AM126" i="7"/>
  <c r="AL126" i="7"/>
  <c r="AK126" i="7"/>
  <c r="AJ126" i="7"/>
  <c r="AH126" i="7"/>
  <c r="AG126" i="7"/>
  <c r="AC126" i="7"/>
  <c r="BA121" i="12" s="1"/>
  <c r="BB121" i="12" s="1"/>
  <c r="X126" i="7"/>
  <c r="S126" i="7"/>
  <c r="AI126" i="7" s="1"/>
  <c r="N126" i="7"/>
  <c r="AU126" i="7" s="1"/>
  <c r="I126" i="7"/>
  <c r="B126" i="7"/>
  <c r="C126" i="7" s="1" a="1"/>
  <c r="C126" i="7" s="1"/>
  <c r="A126" i="7"/>
  <c r="AT125" i="7"/>
  <c r="AR125" i="7"/>
  <c r="AP125" i="7"/>
  <c r="AO125" i="7"/>
  <c r="AM125" i="7"/>
  <c r="AL125" i="7"/>
  <c r="AK125" i="7"/>
  <c r="AJ125" i="7"/>
  <c r="AH125" i="7"/>
  <c r="AG125" i="7"/>
  <c r="AC125" i="7"/>
  <c r="BA120" i="12" s="1"/>
  <c r="BB120" i="12" s="1"/>
  <c r="X125" i="7"/>
  <c r="S125" i="7"/>
  <c r="N125" i="7"/>
  <c r="I125" i="7"/>
  <c r="C125" i="7" a="1"/>
  <c r="C125" i="7" s="1"/>
  <c r="B125" i="7"/>
  <c r="A125" i="7"/>
  <c r="AQ124" i="7"/>
  <c r="AP124" i="7"/>
  <c r="AO124" i="7"/>
  <c r="AM124" i="7"/>
  <c r="AL124" i="7"/>
  <c r="AK124" i="7"/>
  <c r="AJ124" i="7"/>
  <c r="AH124" i="7"/>
  <c r="AG124" i="7"/>
  <c r="AC124" i="7"/>
  <c r="BA119" i="12" s="1"/>
  <c r="BB119" i="12" s="1"/>
  <c r="X124" i="7"/>
  <c r="S124" i="7"/>
  <c r="N124" i="7"/>
  <c r="I124" i="7"/>
  <c r="C124" i="7" a="1"/>
  <c r="C124" i="7"/>
  <c r="B124" i="7"/>
  <c r="A124" i="7"/>
  <c r="AP123" i="7"/>
  <c r="AO123" i="7"/>
  <c r="AM123" i="7"/>
  <c r="AL123" i="7"/>
  <c r="AK123" i="7"/>
  <c r="AJ123" i="7"/>
  <c r="AI123" i="7"/>
  <c r="AH123" i="7"/>
  <c r="AG123" i="7"/>
  <c r="AC123" i="7"/>
  <c r="BA118" i="12" s="1"/>
  <c r="BB118" i="12" s="1"/>
  <c r="X123" i="7"/>
  <c r="S123" i="7"/>
  <c r="N123" i="7"/>
  <c r="AN123" i="7" s="1"/>
  <c r="I123" i="7"/>
  <c r="B123" i="7"/>
  <c r="C123" i="7" s="1" a="1"/>
  <c r="C123" i="7" s="1"/>
  <c r="A123" i="7"/>
  <c r="AU122" i="7"/>
  <c r="AT122" i="7"/>
  <c r="AP122" i="7"/>
  <c r="AO122" i="7"/>
  <c r="AN122" i="7"/>
  <c r="AM122" i="7"/>
  <c r="AL122" i="7"/>
  <c r="AK122" i="7"/>
  <c r="AJ122" i="7"/>
  <c r="AI122" i="7"/>
  <c r="AH122" i="7"/>
  <c r="AG122" i="7"/>
  <c r="AC122" i="7"/>
  <c r="BA117" i="12" s="1"/>
  <c r="BB117" i="12" s="1"/>
  <c r="X122" i="7"/>
  <c r="S122" i="7"/>
  <c r="N122" i="7"/>
  <c r="AS122" i="7" s="1"/>
  <c r="I122" i="7"/>
  <c r="B122" i="7"/>
  <c r="C122" i="7" s="1" a="1"/>
  <c r="C122" i="7" s="1"/>
  <c r="A122" i="7"/>
  <c r="AU121" i="7"/>
  <c r="AT121" i="7"/>
  <c r="AS121" i="7"/>
  <c r="AR121" i="7"/>
  <c r="AP121" i="7"/>
  <c r="AO121" i="7"/>
  <c r="AM121" i="7"/>
  <c r="AL121" i="7"/>
  <c r="AK121" i="7"/>
  <c r="AJ121" i="7"/>
  <c r="AI121" i="7"/>
  <c r="AH121" i="7"/>
  <c r="AG121" i="7"/>
  <c r="AC121" i="7"/>
  <c r="BA116" i="12" s="1"/>
  <c r="BB116" i="12" s="1"/>
  <c r="X121" i="7"/>
  <c r="S121" i="7"/>
  <c r="N121" i="7"/>
  <c r="AQ121" i="7" s="1"/>
  <c r="I121" i="7"/>
  <c r="B121" i="7"/>
  <c r="C121" i="7" s="1" a="1"/>
  <c r="C121" i="7" s="1"/>
  <c r="A121" i="7"/>
  <c r="AU120" i="7"/>
  <c r="AS120" i="7"/>
  <c r="AQ120" i="7"/>
  <c r="AP120" i="7"/>
  <c r="AO120" i="7"/>
  <c r="AM120" i="7"/>
  <c r="AL120" i="7"/>
  <c r="AK120" i="7"/>
  <c r="AJ120" i="7"/>
  <c r="AI120" i="7"/>
  <c r="AH120" i="7"/>
  <c r="AG120" i="7"/>
  <c r="AC120" i="7"/>
  <c r="BA115" i="12" s="1"/>
  <c r="BB115" i="12" s="1"/>
  <c r="X120" i="7"/>
  <c r="S120" i="7"/>
  <c r="N120" i="7"/>
  <c r="I120" i="7"/>
  <c r="B120" i="7"/>
  <c r="C120" i="7" s="1" a="1"/>
  <c r="C120" i="7" s="1"/>
  <c r="A120" i="7"/>
  <c r="AP119" i="7"/>
  <c r="AO119" i="7"/>
  <c r="AM119" i="7"/>
  <c r="AL119" i="7"/>
  <c r="AK119" i="7"/>
  <c r="AJ119" i="7"/>
  <c r="AH119" i="7"/>
  <c r="AG119" i="7"/>
  <c r="AC119" i="7"/>
  <c r="BA114" i="12" s="1"/>
  <c r="BB114" i="12" s="1"/>
  <c r="X119" i="7"/>
  <c r="S119" i="7"/>
  <c r="N119" i="7"/>
  <c r="I119" i="7"/>
  <c r="AI119" i="7" s="1"/>
  <c r="B119" i="7"/>
  <c r="C119" i="7" s="1" a="1"/>
  <c r="C119" i="7" s="1"/>
  <c r="A119" i="7"/>
  <c r="AU118" i="7"/>
  <c r="AT118" i="7"/>
  <c r="AS118" i="7"/>
  <c r="AP118" i="7"/>
  <c r="AO118" i="7"/>
  <c r="AN118" i="7"/>
  <c r="AM118" i="7"/>
  <c r="AL118" i="7"/>
  <c r="AK118" i="7"/>
  <c r="AJ118" i="7"/>
  <c r="AH118" i="7"/>
  <c r="AG118" i="7"/>
  <c r="AC118" i="7"/>
  <c r="BA113" i="12" s="1"/>
  <c r="BB113" i="12" s="1"/>
  <c r="X118" i="7"/>
  <c r="S118" i="7"/>
  <c r="N118" i="7"/>
  <c r="AR118" i="7" s="1"/>
  <c r="I118" i="7"/>
  <c r="C118" i="7" a="1"/>
  <c r="C118" i="7" s="1"/>
  <c r="B118" i="7"/>
  <c r="A118" i="7"/>
  <c r="AS117" i="7"/>
  <c r="AQ117" i="7"/>
  <c r="AP117" i="7"/>
  <c r="AO117" i="7"/>
  <c r="AN117" i="7"/>
  <c r="AM117" i="7"/>
  <c r="AL117" i="7"/>
  <c r="AK117" i="7"/>
  <c r="AJ117" i="7"/>
  <c r="AH117" i="7"/>
  <c r="AG117" i="7"/>
  <c r="AC117" i="7"/>
  <c r="BA112" i="12" s="1"/>
  <c r="BB112" i="12" s="1"/>
  <c r="X117" i="7"/>
  <c r="S117" i="7"/>
  <c r="N117" i="7"/>
  <c r="I117" i="7"/>
  <c r="C117" i="7" a="1"/>
  <c r="C117" i="7" s="1"/>
  <c r="B117" i="7"/>
  <c r="A117" i="7"/>
  <c r="AP116" i="7"/>
  <c r="AO116" i="7"/>
  <c r="AM116" i="7"/>
  <c r="AL116" i="7"/>
  <c r="AK116" i="7"/>
  <c r="AJ116" i="7"/>
  <c r="AH116" i="7"/>
  <c r="AG116" i="7"/>
  <c r="AC116" i="7"/>
  <c r="BA111" i="12" s="1"/>
  <c r="BB111" i="12" s="1"/>
  <c r="X116" i="7"/>
  <c r="S116" i="7"/>
  <c r="N116" i="7"/>
  <c r="I116" i="7"/>
  <c r="AI116" i="7" s="1"/>
  <c r="C116" i="7" a="1"/>
  <c r="C116" i="7"/>
  <c r="B116" i="7"/>
  <c r="A116" i="7"/>
  <c r="AU115" i="7"/>
  <c r="AT115" i="7"/>
  <c r="AP115" i="7"/>
  <c r="AO115" i="7"/>
  <c r="AN115" i="7"/>
  <c r="AM115" i="7"/>
  <c r="AL115" i="7"/>
  <c r="AK115" i="7"/>
  <c r="AJ115" i="7"/>
  <c r="AI115" i="7"/>
  <c r="AH115" i="7"/>
  <c r="AG115" i="7"/>
  <c r="AC115" i="7"/>
  <c r="BA110" i="12" s="1"/>
  <c r="BB110" i="12" s="1"/>
  <c r="X115" i="7"/>
  <c r="S115" i="7"/>
  <c r="N115" i="7"/>
  <c r="AS115" i="7" s="1"/>
  <c r="I115" i="7"/>
  <c r="B115" i="7"/>
  <c r="C115" i="7" s="1" a="1"/>
  <c r="C115" i="7" s="1"/>
  <c r="A115" i="7"/>
  <c r="AU114" i="7"/>
  <c r="AT114" i="7"/>
  <c r="AS114" i="7"/>
  <c r="AR114" i="7"/>
  <c r="AP114" i="7"/>
  <c r="AO114" i="7"/>
  <c r="AM114" i="7"/>
  <c r="AL114" i="7"/>
  <c r="AK114" i="7"/>
  <c r="AJ114" i="7"/>
  <c r="AH114" i="7"/>
  <c r="AG114" i="7"/>
  <c r="AC114" i="7"/>
  <c r="BA109" i="12" s="1"/>
  <c r="BB109" i="12" s="1"/>
  <c r="X114" i="7"/>
  <c r="S114" i="7"/>
  <c r="AI114" i="7" s="1"/>
  <c r="N114" i="7"/>
  <c r="AQ114" i="7" s="1"/>
  <c r="I114" i="7"/>
  <c r="B114" i="7"/>
  <c r="C114" i="7" s="1" a="1"/>
  <c r="C114" i="7" s="1"/>
  <c r="A114" i="7"/>
  <c r="AQ113" i="7"/>
  <c r="AP113" i="7"/>
  <c r="AO113" i="7"/>
  <c r="AM113" i="7"/>
  <c r="AL113" i="7"/>
  <c r="AK113" i="7"/>
  <c r="AJ113" i="7"/>
  <c r="AH113" i="7"/>
  <c r="AG113" i="7"/>
  <c r="AC113" i="7"/>
  <c r="BA108" i="12" s="1"/>
  <c r="BB108" i="12" s="1"/>
  <c r="X113" i="7"/>
  <c r="S113" i="7"/>
  <c r="N113" i="7"/>
  <c r="I113" i="7"/>
  <c r="AI113" i="7" s="1"/>
  <c r="B113" i="7"/>
  <c r="C113" i="7" s="1" a="1"/>
  <c r="C113" i="7" s="1"/>
  <c r="A113" i="7"/>
  <c r="AU112" i="7"/>
  <c r="AT112" i="7"/>
  <c r="AR112" i="7"/>
  <c r="AP112" i="7"/>
  <c r="AO112" i="7"/>
  <c r="AM112" i="7"/>
  <c r="AL112" i="7"/>
  <c r="AK112" i="7"/>
  <c r="AJ112" i="7"/>
  <c r="AI112" i="7"/>
  <c r="AH112" i="7"/>
  <c r="AG112" i="7"/>
  <c r="AC112" i="7"/>
  <c r="BA107" i="12" s="1"/>
  <c r="BB107" i="12" s="1"/>
  <c r="X112" i="7"/>
  <c r="S112" i="7"/>
  <c r="N112" i="7"/>
  <c r="AS112" i="7" s="1"/>
  <c r="I112" i="7"/>
  <c r="B112" i="7"/>
  <c r="C112" i="7" s="1" a="1"/>
  <c r="C112" i="7" s="1"/>
  <c r="A112" i="7"/>
  <c r="AS111" i="7"/>
  <c r="AR111" i="7"/>
  <c r="AP111" i="7"/>
  <c r="AO111" i="7"/>
  <c r="AM111" i="7"/>
  <c r="AL111" i="7"/>
  <c r="AK111" i="7"/>
  <c r="AJ111" i="7"/>
  <c r="AH111" i="7"/>
  <c r="AG111" i="7"/>
  <c r="X111" i="7"/>
  <c r="S111" i="7"/>
  <c r="N111" i="7"/>
  <c r="AT111" i="7" s="1"/>
  <c r="I111" i="7"/>
  <c r="AI111" i="7" s="1"/>
  <c r="B111" i="7"/>
  <c r="C111" i="7" s="1" a="1"/>
  <c r="C111" i="7" s="1"/>
  <c r="A111" i="7"/>
  <c r="AU110" i="7"/>
  <c r="AT110" i="7"/>
  <c r="AS110" i="7"/>
  <c r="AR110" i="7"/>
  <c r="AQ110" i="7"/>
  <c r="AP110" i="7"/>
  <c r="AO110" i="7"/>
  <c r="AN110" i="7"/>
  <c r="AM110" i="7"/>
  <c r="AL110" i="7"/>
  <c r="AK110" i="7"/>
  <c r="AJ110" i="7"/>
  <c r="AI110" i="7"/>
  <c r="AH110" i="7"/>
  <c r="AG110" i="7"/>
  <c r="B110" i="7"/>
  <c r="C110" i="7" s="1" a="1"/>
  <c r="C110" i="7" s="1"/>
  <c r="A110" i="7"/>
  <c r="AU109" i="7"/>
  <c r="AT109" i="7"/>
  <c r="AS109" i="7"/>
  <c r="AR109" i="7"/>
  <c r="AQ109" i="7"/>
  <c r="AP109" i="7"/>
  <c r="AO109" i="7"/>
  <c r="AN109" i="7"/>
  <c r="AM109" i="7"/>
  <c r="AL109" i="7"/>
  <c r="AK109" i="7"/>
  <c r="AJ109" i="7"/>
  <c r="AI109" i="7"/>
  <c r="AH109" i="7"/>
  <c r="AG109" i="7"/>
  <c r="C109" i="7" a="1"/>
  <c r="C109" i="7"/>
  <c r="B109" i="7"/>
  <c r="A109" i="7"/>
  <c r="AU108" i="7"/>
  <c r="AT108" i="7"/>
  <c r="AS108" i="7"/>
  <c r="AR108" i="7"/>
  <c r="AQ108" i="7"/>
  <c r="AP108" i="7"/>
  <c r="AO108" i="7"/>
  <c r="AN108" i="7"/>
  <c r="AM108" i="7"/>
  <c r="AL108" i="7"/>
  <c r="AK108" i="7"/>
  <c r="AJ108" i="7"/>
  <c r="AI108" i="7"/>
  <c r="AH108" i="7"/>
  <c r="AG108" i="7"/>
  <c r="C108" i="7" a="1"/>
  <c r="C108" i="7" s="1"/>
  <c r="B108" i="7"/>
  <c r="A108" i="7"/>
  <c r="AU107" i="7"/>
  <c r="AT107" i="7"/>
  <c r="AS107" i="7"/>
  <c r="AR107" i="7"/>
  <c r="AQ107" i="7"/>
  <c r="AP107" i="7"/>
  <c r="AO107" i="7"/>
  <c r="AN107" i="7"/>
  <c r="AM107" i="7"/>
  <c r="AL107" i="7"/>
  <c r="AK107" i="7"/>
  <c r="AJ107" i="7"/>
  <c r="AI107" i="7"/>
  <c r="AH107" i="7"/>
  <c r="AG107" i="7"/>
  <c r="C107" i="7" a="1"/>
  <c r="C107" i="7"/>
  <c r="B107" i="7"/>
  <c r="A107" i="7"/>
  <c r="AU106" i="7"/>
  <c r="AT106" i="7"/>
  <c r="AS106" i="7"/>
  <c r="AR106" i="7"/>
  <c r="AQ106" i="7"/>
  <c r="AP106" i="7"/>
  <c r="AO106" i="7"/>
  <c r="AN106" i="7"/>
  <c r="AM106" i="7"/>
  <c r="AL106" i="7"/>
  <c r="AK106" i="7"/>
  <c r="AJ106" i="7"/>
  <c r="AI106" i="7"/>
  <c r="AH106" i="7"/>
  <c r="AG106" i="7"/>
  <c r="B106" i="7"/>
  <c r="C106" i="7" s="1" a="1"/>
  <c r="C106" i="7" s="1"/>
  <c r="A106" i="7"/>
  <c r="AU105" i="7"/>
  <c r="AT105" i="7"/>
  <c r="AS105" i="7"/>
  <c r="AR105" i="7"/>
  <c r="AQ105" i="7"/>
  <c r="AP105" i="7"/>
  <c r="AO105" i="7"/>
  <c r="AN105" i="7"/>
  <c r="AM105" i="7"/>
  <c r="AL105" i="7"/>
  <c r="AK105" i="7"/>
  <c r="AJ105" i="7"/>
  <c r="AI105" i="7"/>
  <c r="AH105" i="7"/>
  <c r="AG105" i="7"/>
  <c r="B105" i="7"/>
  <c r="C105" i="7" s="1" a="1"/>
  <c r="C105" i="7" s="1"/>
  <c r="A105" i="7"/>
  <c r="AU104" i="7"/>
  <c r="AT104" i="7"/>
  <c r="AS104" i="7"/>
  <c r="AR104" i="7"/>
  <c r="AQ104" i="7"/>
  <c r="AP104" i="7"/>
  <c r="AO104" i="7"/>
  <c r="AN104" i="7"/>
  <c r="AM104" i="7"/>
  <c r="AL104" i="7"/>
  <c r="AK104" i="7"/>
  <c r="AJ104" i="7"/>
  <c r="AI104" i="7"/>
  <c r="AH104" i="7"/>
  <c r="AG104" i="7"/>
  <c r="C104" i="7" a="1"/>
  <c r="C104" i="7" s="1"/>
  <c r="B104" i="7"/>
  <c r="A104" i="7"/>
  <c r="AU103" i="7"/>
  <c r="AT103" i="7"/>
  <c r="AS103" i="7"/>
  <c r="AR103" i="7"/>
  <c r="AQ103" i="7"/>
  <c r="AP103" i="7"/>
  <c r="AO103" i="7"/>
  <c r="AN103" i="7"/>
  <c r="AM103" i="7"/>
  <c r="AL103" i="7"/>
  <c r="AK103" i="7"/>
  <c r="AJ103" i="7"/>
  <c r="AI103" i="7"/>
  <c r="AH103" i="7"/>
  <c r="AG103" i="7"/>
  <c r="B103" i="7"/>
  <c r="C103" i="7" s="1" a="1"/>
  <c r="C103" i="7" s="1"/>
  <c r="A103" i="7"/>
  <c r="AU102" i="7"/>
  <c r="AT102" i="7"/>
  <c r="AS102" i="7"/>
  <c r="AR102" i="7"/>
  <c r="AQ102" i="7"/>
  <c r="AP102" i="7"/>
  <c r="AO102" i="7"/>
  <c r="AN102" i="7"/>
  <c r="AM102" i="7"/>
  <c r="AL102" i="7"/>
  <c r="AK102" i="7"/>
  <c r="AJ102" i="7"/>
  <c r="AI102" i="7"/>
  <c r="AH102" i="7"/>
  <c r="AG102" i="7"/>
  <c r="C102" i="7" a="1"/>
  <c r="C102" i="7" s="1"/>
  <c r="B102" i="7"/>
  <c r="A102" i="7"/>
  <c r="AU101" i="7"/>
  <c r="AT101" i="7"/>
  <c r="AS101" i="7"/>
  <c r="AR101" i="7"/>
  <c r="AQ101" i="7"/>
  <c r="AP101" i="7"/>
  <c r="AO101" i="7"/>
  <c r="AN101" i="7"/>
  <c r="AM101" i="7"/>
  <c r="AL101" i="7"/>
  <c r="AK101" i="7"/>
  <c r="AJ101" i="7"/>
  <c r="AI101" i="7"/>
  <c r="AH101" i="7"/>
  <c r="AG101" i="7"/>
  <c r="C101" i="7" a="1"/>
  <c r="C101" i="7" s="1"/>
  <c r="B101" i="7"/>
  <c r="A101" i="7"/>
  <c r="AU100" i="7"/>
  <c r="AT100" i="7"/>
  <c r="AS100" i="7"/>
  <c r="AR100" i="7"/>
  <c r="AQ100" i="7"/>
  <c r="AP100" i="7"/>
  <c r="AO100" i="7"/>
  <c r="AN100" i="7"/>
  <c r="AM100" i="7"/>
  <c r="AL100" i="7"/>
  <c r="AK100" i="7"/>
  <c r="AJ100" i="7"/>
  <c r="AI100" i="7"/>
  <c r="AH100" i="7"/>
  <c r="AG100" i="7"/>
  <c r="B100" i="7"/>
  <c r="C100" i="7" s="1" a="1"/>
  <c r="C100" i="7" s="1"/>
  <c r="A100" i="7"/>
  <c r="AU99" i="7"/>
  <c r="AT99" i="7"/>
  <c r="AS99" i="7"/>
  <c r="AR99" i="7"/>
  <c r="AQ99" i="7"/>
  <c r="AP99" i="7"/>
  <c r="AO99" i="7"/>
  <c r="AN99" i="7"/>
  <c r="AM99" i="7"/>
  <c r="AL99" i="7"/>
  <c r="AK99" i="7"/>
  <c r="AJ99" i="7"/>
  <c r="AI99" i="7"/>
  <c r="AH99" i="7"/>
  <c r="AG99" i="7"/>
  <c r="B99" i="7"/>
  <c r="C99" i="7" s="1" a="1"/>
  <c r="C99" i="7" s="1"/>
  <c r="A99" i="7"/>
  <c r="AU98" i="7"/>
  <c r="AT98" i="7"/>
  <c r="AS98" i="7"/>
  <c r="AR98" i="7"/>
  <c r="AQ98" i="7"/>
  <c r="AP98" i="7"/>
  <c r="AO98" i="7"/>
  <c r="AN98" i="7"/>
  <c r="AM98" i="7"/>
  <c r="AL98" i="7"/>
  <c r="AK98" i="7"/>
  <c r="AJ98" i="7"/>
  <c r="AI98" i="7"/>
  <c r="AH98" i="7"/>
  <c r="AG98" i="7"/>
  <c r="B98" i="7"/>
  <c r="C98" i="7" s="1" a="1"/>
  <c r="C98" i="7" s="1"/>
  <c r="A98" i="7"/>
  <c r="AU97" i="7"/>
  <c r="AT97" i="7"/>
  <c r="AS97" i="7"/>
  <c r="AR97" i="7"/>
  <c r="AQ97" i="7"/>
  <c r="AP97" i="7"/>
  <c r="AO97" i="7"/>
  <c r="AN97" i="7"/>
  <c r="AM97" i="7"/>
  <c r="AL97" i="7"/>
  <c r="AK97" i="7"/>
  <c r="AJ97" i="7"/>
  <c r="AI97" i="7"/>
  <c r="AH97" i="7"/>
  <c r="AG97" i="7"/>
  <c r="B97" i="7"/>
  <c r="C97" i="7" s="1" a="1"/>
  <c r="C97" i="7" s="1"/>
  <c r="A97" i="7"/>
  <c r="AU96" i="7"/>
  <c r="AT96" i="7"/>
  <c r="AS96" i="7"/>
  <c r="AR96" i="7"/>
  <c r="AQ96" i="7"/>
  <c r="AP96" i="7"/>
  <c r="AO96" i="7"/>
  <c r="AN96" i="7"/>
  <c r="AM96" i="7"/>
  <c r="AL96" i="7"/>
  <c r="AK96" i="7"/>
  <c r="AJ96" i="7"/>
  <c r="AI96" i="7"/>
  <c r="AH96" i="7"/>
  <c r="AG96" i="7"/>
  <c r="B96" i="7"/>
  <c r="C96" i="7" s="1" a="1"/>
  <c r="C96" i="7" s="1"/>
  <c r="A96" i="7"/>
  <c r="AU95" i="7"/>
  <c r="AT95" i="7"/>
  <c r="AS95" i="7"/>
  <c r="AR95" i="7"/>
  <c r="AQ95" i="7"/>
  <c r="AP95" i="7"/>
  <c r="AO95" i="7"/>
  <c r="AN95" i="7"/>
  <c r="AM95" i="7"/>
  <c r="AL95" i="7"/>
  <c r="AK95" i="7"/>
  <c r="AJ95" i="7"/>
  <c r="AI95" i="7"/>
  <c r="AH95" i="7"/>
  <c r="AG95" i="7"/>
  <c r="C95" i="7" a="1"/>
  <c r="C95" i="7"/>
  <c r="B95" i="7"/>
  <c r="A95" i="7"/>
  <c r="AU94" i="7"/>
  <c r="AT94" i="7"/>
  <c r="AS94" i="7"/>
  <c r="AR94" i="7"/>
  <c r="AQ94" i="7"/>
  <c r="AP94" i="7"/>
  <c r="AO94" i="7"/>
  <c r="AN94" i="7"/>
  <c r="AM94" i="7"/>
  <c r="AL94" i="7"/>
  <c r="AK94" i="7"/>
  <c r="AJ94" i="7"/>
  <c r="AI94" i="7"/>
  <c r="AH94" i="7"/>
  <c r="AG94" i="7"/>
  <c r="C94" i="7" a="1"/>
  <c r="C94" i="7" s="1"/>
  <c r="B94" i="7"/>
  <c r="A94" i="7"/>
  <c r="AU93" i="7"/>
  <c r="AT93" i="7"/>
  <c r="AS93" i="7"/>
  <c r="AR93" i="7"/>
  <c r="AQ93" i="7"/>
  <c r="AP93" i="7"/>
  <c r="AO93" i="7"/>
  <c r="AN93" i="7"/>
  <c r="AM93" i="7"/>
  <c r="AL93" i="7"/>
  <c r="AK93" i="7"/>
  <c r="AJ93" i="7"/>
  <c r="AI93" i="7"/>
  <c r="AH93" i="7"/>
  <c r="AG93" i="7"/>
  <c r="C93" i="7" a="1"/>
  <c r="C93" i="7" s="1"/>
  <c r="B93" i="7"/>
  <c r="A93" i="7"/>
  <c r="AU92" i="7"/>
  <c r="AT92" i="7"/>
  <c r="AS92" i="7"/>
  <c r="AR92" i="7"/>
  <c r="AQ92" i="7"/>
  <c r="AP92" i="7"/>
  <c r="AO92" i="7"/>
  <c r="AN92" i="7"/>
  <c r="AM92" i="7"/>
  <c r="AL92" i="7"/>
  <c r="AK92" i="7"/>
  <c r="AJ92" i="7"/>
  <c r="AI92" i="7"/>
  <c r="AH92" i="7"/>
  <c r="AG92" i="7"/>
  <c r="B92" i="7"/>
  <c r="C92" i="7" s="1" a="1"/>
  <c r="C92" i="7" s="1"/>
  <c r="A92" i="7"/>
  <c r="AU91" i="7"/>
  <c r="AT91" i="7"/>
  <c r="AS91" i="7"/>
  <c r="AR91" i="7"/>
  <c r="AQ91" i="7"/>
  <c r="AP91" i="7"/>
  <c r="AO91" i="7"/>
  <c r="AN91" i="7"/>
  <c r="AM91" i="7"/>
  <c r="AL91" i="7"/>
  <c r="AK91" i="7"/>
  <c r="AJ91" i="7"/>
  <c r="AI91" i="7"/>
  <c r="AH91" i="7"/>
  <c r="AG91" i="7"/>
  <c r="B91" i="7"/>
  <c r="C91" i="7" s="1" a="1"/>
  <c r="C91" i="7" s="1"/>
  <c r="A91" i="7"/>
  <c r="AU90" i="7"/>
  <c r="AT90" i="7"/>
  <c r="AS90" i="7"/>
  <c r="AR90" i="7"/>
  <c r="AQ90" i="7"/>
  <c r="AP90" i="7"/>
  <c r="AO90" i="7"/>
  <c r="AN90" i="7"/>
  <c r="AM90" i="7"/>
  <c r="AL90" i="7"/>
  <c r="AK90" i="7"/>
  <c r="AJ90" i="7"/>
  <c r="AI90" i="7"/>
  <c r="AH90" i="7"/>
  <c r="AG90" i="7"/>
  <c r="C90" i="7" a="1"/>
  <c r="C90" i="7" s="1"/>
  <c r="B90" i="7"/>
  <c r="A90" i="7"/>
  <c r="AU89" i="7"/>
  <c r="AT89" i="7"/>
  <c r="AS89" i="7"/>
  <c r="AR89" i="7"/>
  <c r="AQ89" i="7"/>
  <c r="AP89" i="7"/>
  <c r="AO89" i="7"/>
  <c r="AN89" i="7"/>
  <c r="AM89" i="7"/>
  <c r="AL89" i="7"/>
  <c r="AK89" i="7"/>
  <c r="AJ89" i="7"/>
  <c r="AI89" i="7"/>
  <c r="AH89" i="7"/>
  <c r="AG89" i="7"/>
  <c r="B89" i="7"/>
  <c r="C89" i="7" s="1" a="1"/>
  <c r="C89" i="7" s="1"/>
  <c r="A89" i="7"/>
  <c r="AU88" i="7"/>
  <c r="AT88" i="7"/>
  <c r="AS88" i="7"/>
  <c r="AR88" i="7"/>
  <c r="AQ88" i="7"/>
  <c r="AP88" i="7"/>
  <c r="AO88" i="7"/>
  <c r="AN88" i="7"/>
  <c r="AM88" i="7"/>
  <c r="AL88" i="7"/>
  <c r="AK88" i="7"/>
  <c r="AJ88" i="7"/>
  <c r="AI88" i="7"/>
  <c r="AH88" i="7"/>
  <c r="AG88" i="7"/>
  <c r="B88" i="7"/>
  <c r="C88" i="7" s="1" a="1"/>
  <c r="C88" i="7" s="1"/>
  <c r="A88" i="7"/>
  <c r="AU87" i="7"/>
  <c r="AT87" i="7"/>
  <c r="AS87" i="7"/>
  <c r="AR87" i="7"/>
  <c r="AQ87" i="7"/>
  <c r="AP87" i="7"/>
  <c r="AO87" i="7"/>
  <c r="AN87" i="7"/>
  <c r="AM87" i="7"/>
  <c r="AL87" i="7"/>
  <c r="AK87" i="7"/>
  <c r="AJ87" i="7"/>
  <c r="AI87" i="7"/>
  <c r="AH87" i="7"/>
  <c r="AG87" i="7"/>
  <c r="C87" i="7" a="1"/>
  <c r="C87" i="7" s="1"/>
  <c r="B87" i="7"/>
  <c r="A87" i="7"/>
  <c r="AU86" i="7"/>
  <c r="AT86" i="7"/>
  <c r="AS86" i="7"/>
  <c r="AR86" i="7"/>
  <c r="AQ86" i="7"/>
  <c r="AP86" i="7"/>
  <c r="AO86" i="7"/>
  <c r="AN86" i="7"/>
  <c r="AM86" i="7"/>
  <c r="AL86" i="7"/>
  <c r="AK86" i="7"/>
  <c r="AJ86" i="7"/>
  <c r="AI86" i="7"/>
  <c r="AH86" i="7"/>
  <c r="AG86" i="7"/>
  <c r="B86" i="7"/>
  <c r="C86" i="7" s="1" a="1"/>
  <c r="C86" i="7" s="1"/>
  <c r="A86" i="7"/>
  <c r="AU85" i="7"/>
  <c r="AT85" i="7"/>
  <c r="AS85" i="7"/>
  <c r="AR85" i="7"/>
  <c r="AQ85" i="7"/>
  <c r="AP85" i="7"/>
  <c r="AO85" i="7"/>
  <c r="AN85" i="7"/>
  <c r="AM85" i="7"/>
  <c r="AL85" i="7"/>
  <c r="AK85" i="7"/>
  <c r="AJ85" i="7"/>
  <c r="AI85" i="7"/>
  <c r="AH85" i="7"/>
  <c r="AG85" i="7"/>
  <c r="B85" i="7"/>
  <c r="C85" i="7" s="1" a="1"/>
  <c r="C85" i="7" s="1"/>
  <c r="A85" i="7"/>
  <c r="AU84" i="7"/>
  <c r="AT84" i="7"/>
  <c r="AS84" i="7"/>
  <c r="AR84" i="7"/>
  <c r="AQ84" i="7"/>
  <c r="AP84" i="7"/>
  <c r="AO84" i="7"/>
  <c r="AN84" i="7"/>
  <c r="AM84" i="7"/>
  <c r="AL84" i="7"/>
  <c r="AK84" i="7"/>
  <c r="AJ84" i="7"/>
  <c r="AI84" i="7"/>
  <c r="AH84" i="7"/>
  <c r="AG84" i="7"/>
  <c r="B84" i="7"/>
  <c r="C84" i="7" s="1" a="1"/>
  <c r="C84" i="7" s="1"/>
  <c r="A84" i="7"/>
  <c r="AU83" i="7"/>
  <c r="AT83" i="7"/>
  <c r="AS83" i="7"/>
  <c r="AR83" i="7"/>
  <c r="AQ83" i="7"/>
  <c r="AP83" i="7"/>
  <c r="AO83" i="7"/>
  <c r="AN83" i="7"/>
  <c r="AM83" i="7"/>
  <c r="AL83" i="7"/>
  <c r="AK83" i="7"/>
  <c r="AJ83" i="7"/>
  <c r="AI83" i="7"/>
  <c r="AH83" i="7"/>
  <c r="AG83" i="7"/>
  <c r="B83" i="7"/>
  <c r="C83" i="7" s="1" a="1"/>
  <c r="C83" i="7" s="1"/>
  <c r="A83" i="7"/>
  <c r="AU82" i="7"/>
  <c r="AT82" i="7"/>
  <c r="AS82" i="7"/>
  <c r="AR82" i="7"/>
  <c r="AQ82" i="7"/>
  <c r="AP82" i="7"/>
  <c r="AO82" i="7"/>
  <c r="AN82" i="7"/>
  <c r="AM82" i="7"/>
  <c r="AL82" i="7"/>
  <c r="AK82" i="7"/>
  <c r="AJ82" i="7"/>
  <c r="AI82" i="7"/>
  <c r="AH82" i="7"/>
  <c r="AG82" i="7"/>
  <c r="B82" i="7"/>
  <c r="C82" i="7" s="1" a="1"/>
  <c r="C82" i="7" s="1"/>
  <c r="A82" i="7"/>
  <c r="AU81" i="7"/>
  <c r="AT81" i="7"/>
  <c r="AS81" i="7"/>
  <c r="AR81" i="7"/>
  <c r="AQ81" i="7"/>
  <c r="AP81" i="7"/>
  <c r="AO81" i="7"/>
  <c r="AN81" i="7"/>
  <c r="AM81" i="7"/>
  <c r="AL81" i="7"/>
  <c r="AK81" i="7"/>
  <c r="AJ81" i="7"/>
  <c r="AI81" i="7"/>
  <c r="AH81" i="7"/>
  <c r="AG81" i="7"/>
  <c r="C81" i="7" a="1"/>
  <c r="C81" i="7"/>
  <c r="B81" i="7"/>
  <c r="A81" i="7"/>
  <c r="AU80" i="7"/>
  <c r="AT80" i="7"/>
  <c r="AS80" i="7"/>
  <c r="AR80" i="7"/>
  <c r="AQ80" i="7"/>
  <c r="AP80" i="7"/>
  <c r="AO80" i="7"/>
  <c r="AN80" i="7"/>
  <c r="AM80" i="7"/>
  <c r="AL80" i="7"/>
  <c r="AK80" i="7"/>
  <c r="AJ80" i="7"/>
  <c r="AI80" i="7"/>
  <c r="AH80" i="7"/>
  <c r="AG80" i="7"/>
  <c r="C80" i="7" a="1"/>
  <c r="C80" i="7" s="1"/>
  <c r="B80" i="7"/>
  <c r="A80" i="7"/>
  <c r="AU79" i="7"/>
  <c r="AT79" i="7"/>
  <c r="AS79" i="7"/>
  <c r="AR79" i="7"/>
  <c r="AQ79" i="7"/>
  <c r="AP79" i="7"/>
  <c r="AO79" i="7"/>
  <c r="AN79" i="7"/>
  <c r="AM79" i="7"/>
  <c r="AL79" i="7"/>
  <c r="AK79" i="7"/>
  <c r="AJ79" i="7"/>
  <c r="AI79" i="7"/>
  <c r="AH79" i="7"/>
  <c r="AG79" i="7"/>
  <c r="C79" i="7" a="1"/>
  <c r="C79" i="7" s="1"/>
  <c r="B79" i="7"/>
  <c r="A79" i="7"/>
  <c r="AU78" i="7"/>
  <c r="AT78" i="7"/>
  <c r="AS78" i="7"/>
  <c r="AR78" i="7"/>
  <c r="AQ78" i="7"/>
  <c r="AP78" i="7"/>
  <c r="AO78" i="7"/>
  <c r="AN78" i="7"/>
  <c r="AM78" i="7"/>
  <c r="AL78" i="7"/>
  <c r="AK78" i="7"/>
  <c r="AJ78" i="7"/>
  <c r="AI78" i="7"/>
  <c r="AH78" i="7"/>
  <c r="AG78" i="7"/>
  <c r="B78" i="7"/>
  <c r="C78" i="7" s="1" a="1"/>
  <c r="C78" i="7" s="1"/>
  <c r="A78" i="7"/>
  <c r="AU77" i="7"/>
  <c r="AT77" i="7"/>
  <c r="AS77" i="7"/>
  <c r="AR77" i="7"/>
  <c r="AQ77" i="7"/>
  <c r="AP77" i="7"/>
  <c r="AO77" i="7"/>
  <c r="AN77" i="7"/>
  <c r="AM77" i="7"/>
  <c r="AL77" i="7"/>
  <c r="AK77" i="7"/>
  <c r="AJ77" i="7"/>
  <c r="AI77" i="7"/>
  <c r="AH77" i="7"/>
  <c r="AG77" i="7"/>
  <c r="C77" i="7"/>
  <c r="B77" i="7"/>
  <c r="C77" i="7" s="1" a="1"/>
  <c r="A77" i="7"/>
  <c r="AU76" i="7"/>
  <c r="AT76" i="7"/>
  <c r="AS76" i="7"/>
  <c r="AR76" i="7"/>
  <c r="AQ76" i="7"/>
  <c r="AP76" i="7"/>
  <c r="AO76" i="7"/>
  <c r="AN76" i="7"/>
  <c r="AM76" i="7"/>
  <c r="AL76" i="7"/>
  <c r="AK76" i="7"/>
  <c r="AJ76" i="7"/>
  <c r="AI76" i="7"/>
  <c r="AH76" i="7"/>
  <c r="AG76" i="7"/>
  <c r="C76" i="7" a="1"/>
  <c r="C76" i="7" s="1"/>
  <c r="B76" i="7"/>
  <c r="A76" i="7"/>
  <c r="AU75" i="7"/>
  <c r="AT75" i="7"/>
  <c r="AS75" i="7"/>
  <c r="AR75" i="7"/>
  <c r="AQ75" i="7"/>
  <c r="AP75" i="7"/>
  <c r="AO75" i="7"/>
  <c r="AN75" i="7"/>
  <c r="AM75" i="7"/>
  <c r="AL75" i="7"/>
  <c r="AK75" i="7"/>
  <c r="AJ75" i="7"/>
  <c r="AI75" i="7"/>
  <c r="AH75" i="7"/>
  <c r="AG75" i="7"/>
  <c r="B75" i="7"/>
  <c r="C75" i="7" s="1" a="1"/>
  <c r="C75" i="7" s="1"/>
  <c r="A75" i="7"/>
  <c r="AU74" i="7"/>
  <c r="AT74" i="7"/>
  <c r="AS74" i="7"/>
  <c r="AR74" i="7"/>
  <c r="AQ74" i="7"/>
  <c r="AP74" i="7"/>
  <c r="AO74" i="7"/>
  <c r="AN74" i="7"/>
  <c r="AM74" i="7"/>
  <c r="AL74" i="7"/>
  <c r="AK74" i="7"/>
  <c r="AJ74" i="7"/>
  <c r="AI74" i="7"/>
  <c r="AH74" i="7"/>
  <c r="AG74" i="7"/>
  <c r="B74" i="7"/>
  <c r="C74" i="7" s="1" a="1"/>
  <c r="C74" i="7" s="1"/>
  <c r="A74" i="7"/>
  <c r="AU73" i="7"/>
  <c r="AT73" i="7"/>
  <c r="AS73" i="7"/>
  <c r="AR73" i="7"/>
  <c r="AQ73" i="7"/>
  <c r="AP73" i="7"/>
  <c r="AO73" i="7"/>
  <c r="AN73" i="7"/>
  <c r="AM73" i="7"/>
  <c r="AL73" i="7"/>
  <c r="AK73" i="7"/>
  <c r="AJ73" i="7"/>
  <c r="AI73" i="7"/>
  <c r="AH73" i="7"/>
  <c r="AG73" i="7"/>
  <c r="C73" i="7" a="1"/>
  <c r="C73" i="7" s="1"/>
  <c r="B73" i="7"/>
  <c r="A73" i="7"/>
  <c r="AU72" i="7"/>
  <c r="AT72" i="7"/>
  <c r="AS72" i="7"/>
  <c r="AR72" i="7"/>
  <c r="AQ72" i="7"/>
  <c r="AP72" i="7"/>
  <c r="AO72" i="7"/>
  <c r="AN72" i="7"/>
  <c r="AM72" i="7"/>
  <c r="AL72" i="7"/>
  <c r="AK72" i="7"/>
  <c r="AJ72" i="7"/>
  <c r="AI72" i="7"/>
  <c r="AH72" i="7"/>
  <c r="AG72" i="7"/>
  <c r="B72" i="7"/>
  <c r="C72" i="7" s="1" a="1"/>
  <c r="C72" i="7" s="1"/>
  <c r="A72" i="7"/>
  <c r="AU71" i="7"/>
  <c r="AT71" i="7"/>
  <c r="AS71" i="7"/>
  <c r="AR71" i="7"/>
  <c r="AQ71" i="7"/>
  <c r="AP71" i="7"/>
  <c r="AO71" i="7"/>
  <c r="AN71" i="7"/>
  <c r="AM71" i="7"/>
  <c r="AL71" i="7"/>
  <c r="AK71" i="7"/>
  <c r="AJ71" i="7"/>
  <c r="AI71" i="7"/>
  <c r="AH71" i="7"/>
  <c r="AG71" i="7"/>
  <c r="B71" i="7"/>
  <c r="C71" i="7" s="1" a="1"/>
  <c r="C71" i="7" s="1"/>
  <c r="A71" i="7"/>
  <c r="AU70" i="7"/>
  <c r="AT70" i="7"/>
  <c r="AS70" i="7"/>
  <c r="AR70" i="7"/>
  <c r="AQ70" i="7"/>
  <c r="AP70" i="7"/>
  <c r="AO70" i="7"/>
  <c r="AN70" i="7"/>
  <c r="AM70" i="7"/>
  <c r="AL70" i="7"/>
  <c r="AK70" i="7"/>
  <c r="AJ70" i="7"/>
  <c r="AI70" i="7"/>
  <c r="AH70" i="7"/>
  <c r="AG70" i="7"/>
  <c r="B70" i="7"/>
  <c r="C70" i="7" s="1" a="1"/>
  <c r="C70" i="7" s="1"/>
  <c r="A70" i="7"/>
  <c r="AU69" i="7"/>
  <c r="AT69" i="7"/>
  <c r="AS69" i="7"/>
  <c r="AR69" i="7"/>
  <c r="AQ69" i="7"/>
  <c r="AP69" i="7"/>
  <c r="AO69" i="7"/>
  <c r="AN69" i="7"/>
  <c r="AM69" i="7"/>
  <c r="AL69" i="7"/>
  <c r="AK69" i="7"/>
  <c r="AJ69" i="7"/>
  <c r="AI69" i="7"/>
  <c r="AH69" i="7"/>
  <c r="AG69" i="7"/>
  <c r="B69" i="7"/>
  <c r="C69" i="7" s="1" a="1"/>
  <c r="C69" i="7" s="1"/>
  <c r="A69" i="7"/>
  <c r="AU68" i="7"/>
  <c r="AT68" i="7"/>
  <c r="AS68" i="7"/>
  <c r="AR68" i="7"/>
  <c r="AQ68" i="7"/>
  <c r="AP68" i="7"/>
  <c r="AO68" i="7"/>
  <c r="AN68" i="7"/>
  <c r="AM68" i="7"/>
  <c r="AL68" i="7"/>
  <c r="AK68" i="7"/>
  <c r="AJ68" i="7"/>
  <c r="AI68" i="7"/>
  <c r="AH68" i="7"/>
  <c r="AG68" i="7"/>
  <c r="B68" i="7"/>
  <c r="C68" i="7" s="1" a="1"/>
  <c r="C68" i="7" s="1"/>
  <c r="A68" i="7"/>
  <c r="AU67" i="7"/>
  <c r="AT67" i="7"/>
  <c r="AS67" i="7"/>
  <c r="AR67" i="7"/>
  <c r="AQ67" i="7"/>
  <c r="AP67" i="7"/>
  <c r="AO67" i="7"/>
  <c r="AN67" i="7"/>
  <c r="AM67" i="7"/>
  <c r="AL67" i="7"/>
  <c r="AK67" i="7"/>
  <c r="AJ67" i="7"/>
  <c r="AI67" i="7"/>
  <c r="AH67" i="7"/>
  <c r="AG67" i="7"/>
  <c r="C67" i="7" a="1"/>
  <c r="C67" i="7"/>
  <c r="B67" i="7"/>
  <c r="A67" i="7"/>
  <c r="AU66" i="7"/>
  <c r="AT66" i="7"/>
  <c r="AS66" i="7"/>
  <c r="AR66" i="7"/>
  <c r="AQ66" i="7"/>
  <c r="AP66" i="7"/>
  <c r="AO66" i="7"/>
  <c r="AN66" i="7"/>
  <c r="AM66" i="7"/>
  <c r="AL66" i="7"/>
  <c r="AK66" i="7"/>
  <c r="AJ66" i="7"/>
  <c r="AI66" i="7"/>
  <c r="AH66" i="7"/>
  <c r="AG66" i="7"/>
  <c r="C66" i="7" a="1"/>
  <c r="C66" i="7" s="1"/>
  <c r="B66" i="7"/>
  <c r="A66" i="7"/>
  <c r="AU65" i="7"/>
  <c r="AT65" i="7"/>
  <c r="AS65" i="7"/>
  <c r="AR65" i="7"/>
  <c r="AQ65" i="7"/>
  <c r="AP65" i="7"/>
  <c r="AO65" i="7"/>
  <c r="AN65" i="7"/>
  <c r="AM65" i="7"/>
  <c r="AL65" i="7"/>
  <c r="AK65" i="7"/>
  <c r="AJ65" i="7"/>
  <c r="AI65" i="7"/>
  <c r="AH65" i="7"/>
  <c r="AG65" i="7"/>
  <c r="C65" i="7" a="1"/>
  <c r="C65" i="7" s="1"/>
  <c r="B65" i="7"/>
  <c r="A65" i="7"/>
  <c r="AU64" i="7"/>
  <c r="AT64" i="7"/>
  <c r="AS64" i="7"/>
  <c r="AR64" i="7"/>
  <c r="AQ64" i="7"/>
  <c r="AP64" i="7"/>
  <c r="AO64" i="7"/>
  <c r="AN64" i="7"/>
  <c r="AM64" i="7"/>
  <c r="AL64" i="7"/>
  <c r="AK64" i="7"/>
  <c r="AJ64" i="7"/>
  <c r="AI64" i="7"/>
  <c r="AH64" i="7"/>
  <c r="AG64" i="7"/>
  <c r="B64" i="7"/>
  <c r="C64" i="7" s="1" a="1"/>
  <c r="C64" i="7" s="1"/>
  <c r="A64" i="7"/>
  <c r="AU63" i="7"/>
  <c r="AT63" i="7"/>
  <c r="AS63" i="7"/>
  <c r="AR63" i="7"/>
  <c r="AQ63" i="7"/>
  <c r="AP63" i="7"/>
  <c r="AO63" i="7"/>
  <c r="AN63" i="7"/>
  <c r="AM63" i="7"/>
  <c r="AL63" i="7"/>
  <c r="AK63" i="7"/>
  <c r="AJ63" i="7"/>
  <c r="AI63" i="7"/>
  <c r="AH63" i="7"/>
  <c r="AG63" i="7"/>
  <c r="C63" i="7"/>
  <c r="B63" i="7"/>
  <c r="C63" i="7" s="1" a="1"/>
  <c r="A63" i="7"/>
  <c r="AU62" i="7"/>
  <c r="AT62" i="7"/>
  <c r="AS62" i="7"/>
  <c r="AR62" i="7"/>
  <c r="AQ62" i="7"/>
  <c r="AP62" i="7"/>
  <c r="AO62" i="7"/>
  <c r="AN62" i="7"/>
  <c r="AM62" i="7"/>
  <c r="AL62" i="7"/>
  <c r="AK62" i="7"/>
  <c r="AJ62" i="7"/>
  <c r="AI62" i="7"/>
  <c r="AH62" i="7"/>
  <c r="AG62" i="7"/>
  <c r="C62" i="7" a="1"/>
  <c r="C62" i="7" s="1"/>
  <c r="B62" i="7"/>
  <c r="A62" i="7"/>
  <c r="AU61" i="7"/>
  <c r="AT61" i="7"/>
  <c r="AS61" i="7"/>
  <c r="AR61" i="7"/>
  <c r="AQ61" i="7"/>
  <c r="AP61" i="7"/>
  <c r="AO61" i="7"/>
  <c r="AN61" i="7"/>
  <c r="AM61" i="7"/>
  <c r="AL61" i="7"/>
  <c r="AK61" i="7"/>
  <c r="AJ61" i="7"/>
  <c r="AI61" i="7"/>
  <c r="AH61" i="7"/>
  <c r="AG61" i="7"/>
  <c r="B61" i="7"/>
  <c r="C61" i="7" s="1" a="1"/>
  <c r="C61" i="7" s="1"/>
  <c r="A61" i="7"/>
  <c r="AU60" i="7"/>
  <c r="AT60" i="7"/>
  <c r="AS60" i="7"/>
  <c r="AR60" i="7"/>
  <c r="AQ60" i="7"/>
  <c r="AP60" i="7"/>
  <c r="AO60" i="7"/>
  <c r="AN60" i="7"/>
  <c r="AM60" i="7"/>
  <c r="AL60" i="7"/>
  <c r="AK60" i="7"/>
  <c r="AJ60" i="7"/>
  <c r="AI60" i="7"/>
  <c r="AH60" i="7"/>
  <c r="AG60" i="7"/>
  <c r="C60" i="7" a="1"/>
  <c r="C60" i="7" s="1"/>
  <c r="B60" i="7"/>
  <c r="A60" i="7"/>
  <c r="AU59" i="7"/>
  <c r="AT59" i="7"/>
  <c r="AS59" i="7"/>
  <c r="AR59" i="7"/>
  <c r="AQ59" i="7"/>
  <c r="AP59" i="7"/>
  <c r="AO59" i="7"/>
  <c r="AN59" i="7"/>
  <c r="AM59" i="7"/>
  <c r="AL59" i="7"/>
  <c r="AK59" i="7"/>
  <c r="AJ59" i="7"/>
  <c r="AI59" i="7"/>
  <c r="AH59" i="7"/>
  <c r="AG59" i="7"/>
  <c r="C59" i="7" a="1"/>
  <c r="C59" i="7" s="1"/>
  <c r="B59" i="7"/>
  <c r="A59" i="7"/>
  <c r="AU58" i="7"/>
  <c r="AT58" i="7"/>
  <c r="AS58" i="7"/>
  <c r="AR58" i="7"/>
  <c r="AQ58" i="7"/>
  <c r="AP58" i="7"/>
  <c r="AO58" i="7"/>
  <c r="AN58" i="7"/>
  <c r="AM58" i="7"/>
  <c r="AL58" i="7"/>
  <c r="AK58" i="7"/>
  <c r="AJ58" i="7"/>
  <c r="AI58" i="7"/>
  <c r="AH58" i="7"/>
  <c r="AG58" i="7"/>
  <c r="C58" i="7" a="1"/>
  <c r="C58" i="7" s="1"/>
  <c r="B58" i="7"/>
  <c r="A58" i="7"/>
  <c r="AU57" i="7"/>
  <c r="AT57" i="7"/>
  <c r="AS57" i="7"/>
  <c r="AR57" i="7"/>
  <c r="AQ57" i="7"/>
  <c r="AP57" i="7"/>
  <c r="AO57" i="7"/>
  <c r="AN57" i="7"/>
  <c r="AM57" i="7"/>
  <c r="AL57" i="7"/>
  <c r="AK57" i="7"/>
  <c r="AJ57" i="7"/>
  <c r="AI57" i="7"/>
  <c r="AH57" i="7"/>
  <c r="AG57" i="7"/>
  <c r="C57" i="7"/>
  <c r="B57" i="7"/>
  <c r="C57" i="7" s="1" a="1"/>
  <c r="A57" i="7"/>
  <c r="AU56" i="7"/>
  <c r="AT56" i="7"/>
  <c r="AS56" i="7"/>
  <c r="AR56" i="7"/>
  <c r="AQ56" i="7"/>
  <c r="AP56" i="7"/>
  <c r="AO56" i="7"/>
  <c r="AN56" i="7"/>
  <c r="AM56" i="7"/>
  <c r="AL56" i="7"/>
  <c r="AK56" i="7"/>
  <c r="AJ56" i="7"/>
  <c r="AI56" i="7"/>
  <c r="AH56" i="7"/>
  <c r="AG56" i="7"/>
  <c r="B56" i="7"/>
  <c r="C56" i="7" s="1" a="1"/>
  <c r="C56" i="7" s="1"/>
  <c r="A56" i="7"/>
  <c r="AU55" i="7"/>
  <c r="AT55" i="7"/>
  <c r="AS55" i="7"/>
  <c r="AR55" i="7"/>
  <c r="AQ55" i="7"/>
  <c r="AP55" i="7"/>
  <c r="AO55" i="7"/>
  <c r="AN55" i="7"/>
  <c r="AM55" i="7"/>
  <c r="AL55" i="7"/>
  <c r="AK55" i="7"/>
  <c r="AJ55" i="7"/>
  <c r="AI55" i="7"/>
  <c r="AH55" i="7"/>
  <c r="AG55" i="7"/>
  <c r="B55" i="7"/>
  <c r="C55" i="7" s="1" a="1"/>
  <c r="C55" i="7" s="1"/>
  <c r="A55" i="7"/>
  <c r="AU54" i="7"/>
  <c r="AT54" i="7"/>
  <c r="AS54" i="7"/>
  <c r="AR54" i="7"/>
  <c r="AQ54" i="7"/>
  <c r="AP54" i="7"/>
  <c r="AO54" i="7"/>
  <c r="AN54" i="7"/>
  <c r="AM54" i="7"/>
  <c r="AL54" i="7"/>
  <c r="AK54" i="7"/>
  <c r="AJ54" i="7"/>
  <c r="AI54" i="7"/>
  <c r="AH54" i="7"/>
  <c r="AG54" i="7"/>
  <c r="B54" i="7"/>
  <c r="C54" i="7" s="1" a="1"/>
  <c r="C54" i="7" s="1"/>
  <c r="A54" i="7"/>
  <c r="AU53" i="7"/>
  <c r="AT53" i="7"/>
  <c r="AS53" i="7"/>
  <c r="AR53" i="7"/>
  <c r="AQ53" i="7"/>
  <c r="AP53" i="7"/>
  <c r="AO53" i="7"/>
  <c r="AN53" i="7"/>
  <c r="AM53" i="7"/>
  <c r="AL53" i="7"/>
  <c r="AK53" i="7"/>
  <c r="AJ53" i="7"/>
  <c r="AI53" i="7"/>
  <c r="AH53" i="7"/>
  <c r="AG53" i="7"/>
  <c r="C53" i="7" a="1"/>
  <c r="C53" i="7" s="1"/>
  <c r="B53" i="7"/>
  <c r="A53" i="7"/>
  <c r="AU52" i="7"/>
  <c r="AT52" i="7"/>
  <c r="AS52" i="7"/>
  <c r="AR52" i="7"/>
  <c r="AQ52" i="7"/>
  <c r="AP52" i="7"/>
  <c r="AO52" i="7"/>
  <c r="AN52" i="7"/>
  <c r="AM52" i="7"/>
  <c r="AL52" i="7"/>
  <c r="AK52" i="7"/>
  <c r="AJ52" i="7"/>
  <c r="AI52" i="7"/>
  <c r="AH52" i="7"/>
  <c r="AG52" i="7"/>
  <c r="C52" i="7" a="1"/>
  <c r="C52" i="7"/>
  <c r="B52" i="7"/>
  <c r="A52" i="7"/>
  <c r="AU51" i="7"/>
  <c r="AT51" i="7"/>
  <c r="AS51" i="7"/>
  <c r="AR51" i="7"/>
  <c r="AQ51" i="7"/>
  <c r="AP51" i="7"/>
  <c r="AO51" i="7"/>
  <c r="AN51" i="7"/>
  <c r="AM51" i="7"/>
  <c r="AL51" i="7"/>
  <c r="AK51" i="7"/>
  <c r="AJ51" i="7"/>
  <c r="AI51" i="7"/>
  <c r="AH51" i="7"/>
  <c r="AG51" i="7"/>
  <c r="B51" i="7"/>
  <c r="C51" i="7" s="1" a="1"/>
  <c r="C51" i="7" s="1"/>
  <c r="A51" i="7"/>
  <c r="AU50" i="7"/>
  <c r="AT50" i="7"/>
  <c r="AS50" i="7"/>
  <c r="AR50" i="7"/>
  <c r="AQ50" i="7"/>
  <c r="AP50" i="7"/>
  <c r="AO50" i="7"/>
  <c r="AN50" i="7"/>
  <c r="AM50" i="7"/>
  <c r="AL50" i="7"/>
  <c r="AK50" i="7"/>
  <c r="AJ50" i="7"/>
  <c r="AI50" i="7"/>
  <c r="AH50" i="7"/>
  <c r="AG50" i="7"/>
  <c r="B50" i="7"/>
  <c r="C50" i="7" s="1" a="1"/>
  <c r="C50" i="7" s="1"/>
  <c r="A50" i="7"/>
  <c r="AU49" i="7"/>
  <c r="AT49" i="7"/>
  <c r="AS49" i="7"/>
  <c r="AR49" i="7"/>
  <c r="AQ49" i="7"/>
  <c r="AP49" i="7"/>
  <c r="AO49" i="7"/>
  <c r="AN49" i="7"/>
  <c r="AM49" i="7"/>
  <c r="AL49" i="7"/>
  <c r="AK49" i="7"/>
  <c r="AJ49" i="7"/>
  <c r="AI49" i="7"/>
  <c r="AH49" i="7"/>
  <c r="AG49" i="7"/>
  <c r="B49" i="7"/>
  <c r="C49" i="7" s="1" a="1"/>
  <c r="C49" i="7" s="1"/>
  <c r="A49" i="7"/>
  <c r="AU48" i="7"/>
  <c r="AT48" i="7"/>
  <c r="AS48" i="7"/>
  <c r="AR48" i="7"/>
  <c r="AQ48" i="7"/>
  <c r="AP48" i="7"/>
  <c r="AO48" i="7"/>
  <c r="AN48" i="7"/>
  <c r="AM48" i="7"/>
  <c r="AL48" i="7"/>
  <c r="AK48" i="7"/>
  <c r="AJ48" i="7"/>
  <c r="AI48" i="7"/>
  <c r="AH48" i="7"/>
  <c r="AG48" i="7"/>
  <c r="C48" i="7" a="1"/>
  <c r="C48" i="7" s="1"/>
  <c r="B48" i="7"/>
  <c r="A48" i="7"/>
  <c r="AU47" i="7"/>
  <c r="AT47" i="7"/>
  <c r="AS47" i="7"/>
  <c r="AR47" i="7"/>
  <c r="AQ47" i="7"/>
  <c r="AP47" i="7"/>
  <c r="AO47" i="7"/>
  <c r="AN47" i="7"/>
  <c r="AM47" i="7"/>
  <c r="AL47" i="7"/>
  <c r="AK47" i="7"/>
  <c r="AJ47" i="7"/>
  <c r="AI47" i="7"/>
  <c r="AH47" i="7"/>
  <c r="AG47" i="7"/>
  <c r="B47" i="7"/>
  <c r="C47" i="7" s="1" a="1"/>
  <c r="C47" i="7" s="1"/>
  <c r="A47" i="7"/>
  <c r="AU46" i="7"/>
  <c r="AT46" i="7"/>
  <c r="AS46" i="7"/>
  <c r="AR46" i="7"/>
  <c r="AQ46" i="7"/>
  <c r="AP46" i="7"/>
  <c r="AO46" i="7"/>
  <c r="AN46" i="7"/>
  <c r="AM46" i="7"/>
  <c r="AL46" i="7"/>
  <c r="AK46" i="7"/>
  <c r="AJ46" i="7"/>
  <c r="AI46" i="7"/>
  <c r="AH46" i="7"/>
  <c r="AG46" i="7"/>
  <c r="B46" i="7"/>
  <c r="C46" i="7" s="1" a="1"/>
  <c r="C46" i="7" s="1"/>
  <c r="A46" i="7"/>
  <c r="AU45" i="7"/>
  <c r="AT45" i="7"/>
  <c r="AS45" i="7"/>
  <c r="AR45" i="7"/>
  <c r="AQ45" i="7"/>
  <c r="AP45" i="7"/>
  <c r="AO45" i="7"/>
  <c r="AN45" i="7"/>
  <c r="AM45" i="7"/>
  <c r="AL45" i="7"/>
  <c r="AK45" i="7"/>
  <c r="AJ45" i="7"/>
  <c r="AI45" i="7"/>
  <c r="AH45" i="7"/>
  <c r="AG45" i="7"/>
  <c r="C45" i="7" a="1"/>
  <c r="C45" i="7" s="1"/>
  <c r="B45" i="7"/>
  <c r="A45" i="7"/>
  <c r="AU44" i="7"/>
  <c r="AT44" i="7"/>
  <c r="AS44" i="7"/>
  <c r="AR44" i="7"/>
  <c r="AQ44" i="7"/>
  <c r="AP44" i="7"/>
  <c r="AO44" i="7"/>
  <c r="AN44" i="7"/>
  <c r="AM44" i="7"/>
  <c r="AL44" i="7"/>
  <c r="AK44" i="7"/>
  <c r="AJ44" i="7"/>
  <c r="AI44" i="7"/>
  <c r="AH44" i="7"/>
  <c r="AG44" i="7"/>
  <c r="B44" i="7"/>
  <c r="C44" i="7" s="1" a="1"/>
  <c r="C44" i="7" s="1"/>
  <c r="A44" i="7"/>
  <c r="AU43" i="7"/>
  <c r="AT43" i="7"/>
  <c r="AS43" i="7"/>
  <c r="AR43" i="7"/>
  <c r="AQ43" i="7"/>
  <c r="AP43" i="7"/>
  <c r="AO43" i="7"/>
  <c r="AN43" i="7"/>
  <c r="AM43" i="7"/>
  <c r="AL43" i="7"/>
  <c r="AK43" i="7"/>
  <c r="AJ43" i="7"/>
  <c r="AI43" i="7"/>
  <c r="AH43" i="7"/>
  <c r="AG43" i="7"/>
  <c r="C43" i="7"/>
  <c r="B43" i="7"/>
  <c r="C43" i="7" s="1" a="1"/>
  <c r="A43" i="7"/>
  <c r="AU42" i="7"/>
  <c r="AT42" i="7"/>
  <c r="AS42" i="7"/>
  <c r="AR42" i="7"/>
  <c r="AQ42" i="7"/>
  <c r="AP42" i="7"/>
  <c r="AO42" i="7"/>
  <c r="AN42" i="7"/>
  <c r="AM42" i="7"/>
  <c r="AL42" i="7"/>
  <c r="AK42" i="7"/>
  <c r="AJ42" i="7"/>
  <c r="AI42" i="7"/>
  <c r="AH42" i="7"/>
  <c r="AG42" i="7"/>
  <c r="B42" i="7"/>
  <c r="C42" i="7" s="1" a="1"/>
  <c r="C42" i="7" s="1"/>
  <c r="A42" i="7"/>
  <c r="AU41" i="7"/>
  <c r="AT41" i="7"/>
  <c r="AS41" i="7"/>
  <c r="AR41" i="7"/>
  <c r="AQ41" i="7"/>
  <c r="AP41" i="7"/>
  <c r="AO41" i="7"/>
  <c r="AN41" i="7"/>
  <c r="AM41" i="7"/>
  <c r="AL41" i="7"/>
  <c r="AK41" i="7"/>
  <c r="AJ41" i="7"/>
  <c r="AI41" i="7"/>
  <c r="AH41" i="7"/>
  <c r="AG41" i="7"/>
  <c r="B41" i="7"/>
  <c r="C41" i="7" s="1" a="1"/>
  <c r="C41" i="7" s="1"/>
  <c r="A41" i="7"/>
  <c r="AU40" i="7"/>
  <c r="AT40" i="7"/>
  <c r="AS40" i="7"/>
  <c r="AR40" i="7"/>
  <c r="AQ40" i="7"/>
  <c r="AP40" i="7"/>
  <c r="AO40" i="7"/>
  <c r="AN40" i="7"/>
  <c r="AM40" i="7"/>
  <c r="AL40" i="7"/>
  <c r="AK40" i="7"/>
  <c r="AJ40" i="7"/>
  <c r="AI40" i="7"/>
  <c r="AH40" i="7"/>
  <c r="AG40" i="7"/>
  <c r="B40" i="7"/>
  <c r="C40" i="7" s="1" a="1"/>
  <c r="C40" i="7" s="1"/>
  <c r="A40" i="7"/>
  <c r="AU39" i="7"/>
  <c r="AT39" i="7"/>
  <c r="AS39" i="7"/>
  <c r="AR39" i="7"/>
  <c r="AQ39" i="7"/>
  <c r="AP39" i="7"/>
  <c r="AO39" i="7"/>
  <c r="AN39" i="7"/>
  <c r="AM39" i="7"/>
  <c r="AL39" i="7"/>
  <c r="AK39" i="7"/>
  <c r="AJ39" i="7"/>
  <c r="AI39" i="7"/>
  <c r="AH39" i="7"/>
  <c r="AG39" i="7"/>
  <c r="C39" i="7" a="1"/>
  <c r="C39" i="7"/>
  <c r="B39" i="7"/>
  <c r="A39" i="7"/>
  <c r="AU38" i="7"/>
  <c r="AT38" i="7"/>
  <c r="AS38" i="7"/>
  <c r="AR38" i="7"/>
  <c r="AQ38" i="7"/>
  <c r="AP38" i="7"/>
  <c r="AO38" i="7"/>
  <c r="AN38" i="7"/>
  <c r="AM38" i="7"/>
  <c r="AL38" i="7"/>
  <c r="AK38" i="7"/>
  <c r="AJ38" i="7"/>
  <c r="AI38" i="7"/>
  <c r="AH38" i="7"/>
  <c r="AG38" i="7"/>
  <c r="C38" i="7" a="1"/>
  <c r="C38" i="7" s="1"/>
  <c r="B38" i="7"/>
  <c r="A38" i="7"/>
  <c r="AU37" i="7"/>
  <c r="AT37" i="7"/>
  <c r="AS37" i="7"/>
  <c r="AR37" i="7"/>
  <c r="AQ37" i="7"/>
  <c r="AP37" i="7"/>
  <c r="AO37" i="7"/>
  <c r="AN37" i="7"/>
  <c r="AM37" i="7"/>
  <c r="AL37" i="7"/>
  <c r="AK37" i="7"/>
  <c r="AJ37" i="7"/>
  <c r="AI37" i="7"/>
  <c r="AH37" i="7"/>
  <c r="AG37" i="7"/>
  <c r="B37" i="7"/>
  <c r="C37" i="7" s="1" a="1"/>
  <c r="C37" i="7" s="1"/>
  <c r="A37" i="7"/>
  <c r="AU36" i="7"/>
  <c r="AT36" i="7"/>
  <c r="AS36" i="7"/>
  <c r="AR36" i="7"/>
  <c r="AQ36" i="7"/>
  <c r="AP36" i="7"/>
  <c r="AO36" i="7"/>
  <c r="AN36" i="7"/>
  <c r="AM36" i="7"/>
  <c r="AL36" i="7"/>
  <c r="AK36" i="7"/>
  <c r="AJ36" i="7"/>
  <c r="AI36" i="7"/>
  <c r="AH36" i="7"/>
  <c r="AG36" i="7"/>
  <c r="C36" i="7" a="1"/>
  <c r="C36" i="7" s="1"/>
  <c r="B36" i="7"/>
  <c r="A36" i="7"/>
  <c r="AU35" i="7"/>
  <c r="AT35" i="7"/>
  <c r="AS35" i="7"/>
  <c r="AR35" i="7"/>
  <c r="AQ35" i="7"/>
  <c r="AP35" i="7"/>
  <c r="AO35" i="7"/>
  <c r="AN35" i="7"/>
  <c r="AM35" i="7"/>
  <c r="AL35" i="7"/>
  <c r="AK35" i="7"/>
  <c r="AJ35" i="7"/>
  <c r="AI35" i="7"/>
  <c r="AH35" i="7"/>
  <c r="AG35" i="7"/>
  <c r="B35" i="7"/>
  <c r="C35" i="7" s="1" a="1"/>
  <c r="C35" i="7" s="1"/>
  <c r="A35" i="7"/>
  <c r="AU34" i="7"/>
  <c r="AT34" i="7"/>
  <c r="AS34" i="7"/>
  <c r="AR34" i="7"/>
  <c r="AQ34" i="7"/>
  <c r="AP34" i="7"/>
  <c r="AO34" i="7"/>
  <c r="AN34" i="7"/>
  <c r="AM34" i="7"/>
  <c r="AL34" i="7"/>
  <c r="AK34" i="7"/>
  <c r="AJ34" i="7"/>
  <c r="AI34" i="7"/>
  <c r="AH34" i="7"/>
  <c r="AG34" i="7"/>
  <c r="B34" i="7"/>
  <c r="C34" i="7" s="1" a="1"/>
  <c r="C34" i="7" s="1"/>
  <c r="A34" i="7"/>
  <c r="AU33" i="7"/>
  <c r="AT33" i="7"/>
  <c r="AS33" i="7"/>
  <c r="AR33" i="7"/>
  <c r="AQ33" i="7"/>
  <c r="AP33" i="7"/>
  <c r="AO33" i="7"/>
  <c r="AN33" i="7"/>
  <c r="AM33" i="7"/>
  <c r="AL33" i="7"/>
  <c r="AK33" i="7"/>
  <c r="AJ33" i="7"/>
  <c r="AI33" i="7"/>
  <c r="AH33" i="7"/>
  <c r="AG33" i="7"/>
  <c r="B33" i="7"/>
  <c r="C33" i="7" s="1" a="1"/>
  <c r="C33" i="7" s="1"/>
  <c r="A33" i="7"/>
  <c r="AU32" i="7"/>
  <c r="AT32" i="7"/>
  <c r="AS32" i="7"/>
  <c r="AR32" i="7"/>
  <c r="AQ32" i="7"/>
  <c r="AP32" i="7"/>
  <c r="AO32" i="7"/>
  <c r="AN32" i="7"/>
  <c r="AM32" i="7"/>
  <c r="AL32" i="7"/>
  <c r="AK32" i="7"/>
  <c r="AJ32" i="7"/>
  <c r="AI32" i="7"/>
  <c r="AH32" i="7"/>
  <c r="AG32" i="7"/>
  <c r="B32" i="7"/>
  <c r="C32" i="7" s="1" a="1"/>
  <c r="C32" i="7" s="1"/>
  <c r="A32" i="7"/>
  <c r="AU31" i="7"/>
  <c r="AT31" i="7"/>
  <c r="AS31" i="7"/>
  <c r="AR31" i="7"/>
  <c r="AQ31" i="7"/>
  <c r="AP31" i="7"/>
  <c r="AO31" i="7"/>
  <c r="AN31" i="7"/>
  <c r="AM31" i="7"/>
  <c r="AL31" i="7"/>
  <c r="AK31" i="7"/>
  <c r="AJ31" i="7"/>
  <c r="AI31" i="7"/>
  <c r="AH31" i="7"/>
  <c r="AG31" i="7"/>
  <c r="C31" i="7" a="1"/>
  <c r="C31" i="7" s="1"/>
  <c r="B31" i="7"/>
  <c r="A31" i="7"/>
  <c r="AU30" i="7"/>
  <c r="AT30" i="7"/>
  <c r="AS30" i="7"/>
  <c r="AR30" i="7"/>
  <c r="AQ30" i="7"/>
  <c r="AP30" i="7"/>
  <c r="AO30" i="7"/>
  <c r="AN30" i="7"/>
  <c r="AM30" i="7"/>
  <c r="AL30" i="7"/>
  <c r="AK30" i="7"/>
  <c r="AJ30" i="7"/>
  <c r="AI30" i="7"/>
  <c r="AH30" i="7"/>
  <c r="AG30" i="7"/>
  <c r="C30" i="7" a="1"/>
  <c r="C30" i="7" s="1"/>
  <c r="B30" i="7"/>
  <c r="A30" i="7"/>
  <c r="AU29" i="7"/>
  <c r="AT29" i="7"/>
  <c r="AS29" i="7"/>
  <c r="AR29" i="7"/>
  <c r="AQ29" i="7"/>
  <c r="AP29" i="7"/>
  <c r="AO29" i="7"/>
  <c r="AN29" i="7"/>
  <c r="AM29" i="7"/>
  <c r="AL29" i="7"/>
  <c r="AK29" i="7"/>
  <c r="AJ29" i="7"/>
  <c r="AI29" i="7"/>
  <c r="AH29" i="7"/>
  <c r="AG29" i="7"/>
  <c r="B29" i="7"/>
  <c r="C29" i="7" s="1" a="1"/>
  <c r="C29" i="7" s="1"/>
  <c r="A29" i="7"/>
  <c r="AU28" i="7"/>
  <c r="AT28" i="7"/>
  <c r="AS28" i="7"/>
  <c r="AR28" i="7"/>
  <c r="AQ28" i="7"/>
  <c r="AP28" i="7"/>
  <c r="AO28" i="7"/>
  <c r="AN28" i="7"/>
  <c r="AM28" i="7"/>
  <c r="AL28" i="7"/>
  <c r="AK28" i="7"/>
  <c r="AJ28" i="7"/>
  <c r="AI28" i="7"/>
  <c r="AH28" i="7"/>
  <c r="AG28" i="7"/>
  <c r="B28" i="7"/>
  <c r="C28" i="7" s="1" a="1"/>
  <c r="C28" i="7" s="1"/>
  <c r="A28" i="7"/>
  <c r="AU27" i="7"/>
  <c r="AT27" i="7"/>
  <c r="AS27" i="7"/>
  <c r="AR27" i="7"/>
  <c r="AQ27" i="7"/>
  <c r="AP27" i="7"/>
  <c r="AO27" i="7"/>
  <c r="AN27" i="7"/>
  <c r="AM27" i="7"/>
  <c r="AL27" i="7"/>
  <c r="AK27" i="7"/>
  <c r="AJ27" i="7"/>
  <c r="AI27" i="7"/>
  <c r="AH27" i="7"/>
  <c r="AG27" i="7"/>
  <c r="C27" i="7"/>
  <c r="B27" i="7"/>
  <c r="C27" i="7" s="1" a="1"/>
  <c r="A27" i="7"/>
  <c r="AU26" i="7"/>
  <c r="AT26" i="7"/>
  <c r="AS26" i="7"/>
  <c r="AR26" i="7"/>
  <c r="AQ26" i="7"/>
  <c r="AP26" i="7"/>
  <c r="AO26" i="7"/>
  <c r="AN26" i="7"/>
  <c r="AM26" i="7"/>
  <c r="AL26" i="7"/>
  <c r="AK26" i="7"/>
  <c r="AJ26" i="7"/>
  <c r="AI26" i="7"/>
  <c r="AH26" i="7"/>
  <c r="AG26" i="7"/>
  <c r="B26" i="7"/>
  <c r="C26" i="7" s="1" a="1"/>
  <c r="C26" i="7" s="1"/>
  <c r="A26" i="7"/>
  <c r="AU25" i="7"/>
  <c r="AT25" i="7"/>
  <c r="AS25" i="7"/>
  <c r="AR25" i="7"/>
  <c r="AQ25" i="7"/>
  <c r="AP25" i="7"/>
  <c r="AO25" i="7"/>
  <c r="AN25" i="7"/>
  <c r="AM25" i="7"/>
  <c r="AL25" i="7"/>
  <c r="AK25" i="7"/>
  <c r="AJ25" i="7"/>
  <c r="AI25" i="7"/>
  <c r="AH25" i="7"/>
  <c r="AG25" i="7"/>
  <c r="C25" i="7" a="1"/>
  <c r="C25" i="7"/>
  <c r="B25" i="7"/>
  <c r="A25" i="7"/>
  <c r="AU24" i="7"/>
  <c r="AT24" i="7"/>
  <c r="AS24" i="7"/>
  <c r="AR24" i="7"/>
  <c r="AQ24" i="7"/>
  <c r="AP24" i="7"/>
  <c r="AO24" i="7"/>
  <c r="AN24" i="7"/>
  <c r="AM24" i="7"/>
  <c r="AL24" i="7"/>
  <c r="AK24" i="7"/>
  <c r="AJ24" i="7"/>
  <c r="AI24" i="7"/>
  <c r="AH24" i="7"/>
  <c r="AG24" i="7"/>
  <c r="C24" i="7" a="1"/>
  <c r="C24" i="7" s="1"/>
  <c r="B24" i="7"/>
  <c r="A24" i="7"/>
  <c r="AU23" i="7"/>
  <c r="AT23" i="7"/>
  <c r="AS23" i="7"/>
  <c r="AR23" i="7"/>
  <c r="AQ23" i="7"/>
  <c r="AP23" i="7"/>
  <c r="AO23" i="7"/>
  <c r="AN23" i="7"/>
  <c r="AM23" i="7"/>
  <c r="AL23" i="7"/>
  <c r="AK23" i="7"/>
  <c r="AJ23" i="7"/>
  <c r="AI23" i="7"/>
  <c r="AH23" i="7"/>
  <c r="AG23" i="7"/>
  <c r="C23" i="7" a="1"/>
  <c r="C23" i="7" s="1"/>
  <c r="B23" i="7"/>
  <c r="A23" i="7"/>
  <c r="AU22" i="7"/>
  <c r="AT22" i="7"/>
  <c r="AS22" i="7"/>
  <c r="AR22" i="7"/>
  <c r="AQ22" i="7"/>
  <c r="AP22" i="7"/>
  <c r="AO22" i="7"/>
  <c r="AN22" i="7"/>
  <c r="AM22" i="7"/>
  <c r="AL22" i="7"/>
  <c r="AK22" i="7"/>
  <c r="AJ22" i="7"/>
  <c r="AI22" i="7"/>
  <c r="AH22" i="7"/>
  <c r="AG22" i="7"/>
  <c r="B22" i="7"/>
  <c r="C22" i="7" s="1" a="1"/>
  <c r="C22" i="7" s="1"/>
  <c r="A22" i="7"/>
  <c r="AU21" i="7"/>
  <c r="AT21" i="7"/>
  <c r="AS21" i="7"/>
  <c r="AR21" i="7"/>
  <c r="AQ21" i="7"/>
  <c r="AP21" i="7"/>
  <c r="AO21" i="7"/>
  <c r="AN21" i="7"/>
  <c r="AM21" i="7"/>
  <c r="AL21" i="7"/>
  <c r="AK21" i="7"/>
  <c r="AJ21" i="7"/>
  <c r="AI21" i="7"/>
  <c r="AH21" i="7"/>
  <c r="AG21" i="7"/>
  <c r="C21" i="7"/>
  <c r="B21" i="7"/>
  <c r="C21" i="7" s="1" a="1"/>
  <c r="A21" i="7"/>
  <c r="AU20" i="7"/>
  <c r="AT20" i="7"/>
  <c r="AS20" i="7"/>
  <c r="AR20" i="7"/>
  <c r="AQ20" i="7"/>
  <c r="AP20" i="7"/>
  <c r="AO20" i="7"/>
  <c r="AN20" i="7"/>
  <c r="AM20" i="7"/>
  <c r="AL20" i="7"/>
  <c r="AK20" i="7"/>
  <c r="AJ20" i="7"/>
  <c r="AI20" i="7"/>
  <c r="AH20" i="7"/>
  <c r="AG20" i="7"/>
  <c r="B20" i="7"/>
  <c r="C20" i="7" s="1" a="1"/>
  <c r="C20" i="7" s="1"/>
  <c r="A20" i="7"/>
  <c r="AU19" i="7"/>
  <c r="AT19" i="7"/>
  <c r="AS19" i="7"/>
  <c r="AR19" i="7"/>
  <c r="AQ19" i="7"/>
  <c r="AP19" i="7"/>
  <c r="AO19" i="7"/>
  <c r="AN19" i="7"/>
  <c r="AM19" i="7"/>
  <c r="AL19" i="7"/>
  <c r="AK19" i="7"/>
  <c r="AJ19" i="7"/>
  <c r="AI19" i="7"/>
  <c r="AH19" i="7"/>
  <c r="AG19" i="7"/>
  <c r="B19" i="7"/>
  <c r="C19" i="7" s="1" a="1"/>
  <c r="C19" i="7" s="1"/>
  <c r="A19" i="7"/>
  <c r="AU18" i="7"/>
  <c r="AT18" i="7"/>
  <c r="AS18" i="7"/>
  <c r="AR18" i="7"/>
  <c r="AQ18" i="7"/>
  <c r="AP18" i="7"/>
  <c r="AO18" i="7"/>
  <c r="AN18" i="7"/>
  <c r="AM18" i="7"/>
  <c r="AL18" i="7"/>
  <c r="AK18" i="7"/>
  <c r="AJ18" i="7"/>
  <c r="AI18" i="7"/>
  <c r="AH18" i="7"/>
  <c r="AG18" i="7"/>
  <c r="C18" i="7" a="1"/>
  <c r="C18" i="7"/>
  <c r="B18" i="7"/>
  <c r="A18" i="7"/>
  <c r="AU17" i="7"/>
  <c r="AT17" i="7"/>
  <c r="AS17" i="7"/>
  <c r="AR17" i="7"/>
  <c r="AQ17" i="7"/>
  <c r="AP17" i="7"/>
  <c r="AO17" i="7"/>
  <c r="AN17" i="7"/>
  <c r="AM17" i="7"/>
  <c r="AL17" i="7"/>
  <c r="AK17" i="7"/>
  <c r="AJ17" i="7"/>
  <c r="AI17" i="7"/>
  <c r="AH17" i="7"/>
  <c r="AG17" i="7"/>
  <c r="C17" i="7" a="1"/>
  <c r="C17" i="7" s="1"/>
  <c r="B17" i="7"/>
  <c r="A17" i="7"/>
  <c r="AU16" i="7"/>
  <c r="AT16" i="7"/>
  <c r="AS16" i="7"/>
  <c r="AR16" i="7"/>
  <c r="AQ16" i="7"/>
  <c r="AP16" i="7"/>
  <c r="AO16" i="7"/>
  <c r="AN16" i="7"/>
  <c r="AM16" i="7"/>
  <c r="AL16" i="7"/>
  <c r="AK16" i="7"/>
  <c r="AJ16" i="7"/>
  <c r="AI16" i="7"/>
  <c r="AH16" i="7"/>
  <c r="AG16" i="7"/>
  <c r="B16" i="7"/>
  <c r="C16" i="7" s="1" a="1"/>
  <c r="C16" i="7" s="1"/>
  <c r="A16" i="7"/>
  <c r="AU15" i="7"/>
  <c r="AT15" i="7"/>
  <c r="AS15" i="7"/>
  <c r="AR15" i="7"/>
  <c r="AQ15" i="7"/>
  <c r="AP15" i="7"/>
  <c r="AO15" i="7"/>
  <c r="AN15" i="7"/>
  <c r="AM15" i="7"/>
  <c r="AL15" i="7"/>
  <c r="AK15" i="7"/>
  <c r="AJ15" i="7"/>
  <c r="AI15" i="7"/>
  <c r="AH15" i="7"/>
  <c r="AG15" i="7"/>
  <c r="D15" i="7"/>
  <c r="E15" i="7" s="1"/>
  <c r="D16" i="7" s="1"/>
  <c r="E16" i="7" s="1"/>
  <c r="D17" i="7" s="1"/>
  <c r="E17" i="7" s="1"/>
  <c r="D18" i="7" s="1"/>
  <c r="E18" i="7" s="1"/>
  <c r="D19" i="7" s="1"/>
  <c r="E19" i="7" s="1"/>
  <c r="D20" i="7" s="1"/>
  <c r="E20" i="7" s="1"/>
  <c r="D21" i="7" s="1"/>
  <c r="E21" i="7" s="1"/>
  <c r="D22" i="7" s="1"/>
  <c r="E22" i="7" s="1"/>
  <c r="D23" i="7" s="1"/>
  <c r="E23" i="7" s="1"/>
  <c r="D24" i="7" s="1"/>
  <c r="E24" i="7" s="1"/>
  <c r="D25" i="7" s="1"/>
  <c r="E25" i="7" s="1"/>
  <c r="D26" i="7" s="1"/>
  <c r="E26" i="7" s="1"/>
  <c r="D27" i="7" s="1"/>
  <c r="E27" i="7" s="1"/>
  <c r="D28" i="7" s="1"/>
  <c r="E28" i="7" s="1"/>
  <c r="D29" i="7" s="1"/>
  <c r="E29" i="7" s="1"/>
  <c r="D30" i="7" s="1"/>
  <c r="E30" i="7" s="1"/>
  <c r="D31" i="7" s="1"/>
  <c r="E31" i="7" s="1"/>
  <c r="D32" i="7" s="1"/>
  <c r="E32" i="7" s="1"/>
  <c r="D33" i="7" s="1"/>
  <c r="E33" i="7" s="1"/>
  <c r="D34" i="7" s="1"/>
  <c r="E34" i="7" s="1"/>
  <c r="D35" i="7" s="1"/>
  <c r="E35" i="7" s="1"/>
  <c r="D36" i="7" s="1"/>
  <c r="E36" i="7" s="1"/>
  <c r="D37" i="7" s="1"/>
  <c r="E37" i="7" s="1"/>
  <c r="D38" i="7" s="1"/>
  <c r="E38" i="7" s="1"/>
  <c r="D39" i="7" s="1"/>
  <c r="E39" i="7" s="1"/>
  <c r="D40" i="7" s="1"/>
  <c r="E40" i="7" s="1"/>
  <c r="D41" i="7" s="1"/>
  <c r="E41" i="7" s="1"/>
  <c r="D42" i="7" s="1"/>
  <c r="E42" i="7" s="1"/>
  <c r="D43" i="7" s="1"/>
  <c r="E43" i="7" s="1"/>
  <c r="D44" i="7" s="1"/>
  <c r="E44" i="7" s="1"/>
  <c r="D45" i="7" s="1"/>
  <c r="E45" i="7" s="1"/>
  <c r="D46" i="7" s="1"/>
  <c r="E46" i="7" s="1"/>
  <c r="D47" i="7" s="1"/>
  <c r="E47" i="7" s="1"/>
  <c r="D48" i="7" s="1"/>
  <c r="E48" i="7" s="1"/>
  <c r="D49" i="7" s="1"/>
  <c r="E49" i="7" s="1"/>
  <c r="D50" i="7" s="1"/>
  <c r="E50" i="7" s="1"/>
  <c r="D51" i="7" s="1"/>
  <c r="E51" i="7" s="1"/>
  <c r="D52" i="7" s="1"/>
  <c r="E52" i="7" s="1"/>
  <c r="D53" i="7" s="1"/>
  <c r="E53" i="7" s="1"/>
  <c r="D54" i="7" s="1"/>
  <c r="E54" i="7" s="1"/>
  <c r="D55" i="7" s="1"/>
  <c r="E55" i="7" s="1"/>
  <c r="D56" i="7" s="1"/>
  <c r="E56" i="7" s="1"/>
  <c r="D57" i="7" s="1"/>
  <c r="E57" i="7" s="1"/>
  <c r="D58" i="7" s="1"/>
  <c r="E58" i="7" s="1"/>
  <c r="D59" i="7" s="1"/>
  <c r="E59" i="7" s="1"/>
  <c r="D60" i="7" s="1"/>
  <c r="E60" i="7" s="1"/>
  <c r="D61" i="7" s="1"/>
  <c r="E61" i="7" s="1"/>
  <c r="D62" i="7" s="1"/>
  <c r="E62" i="7" s="1"/>
  <c r="D63" i="7" s="1"/>
  <c r="E63" i="7" s="1"/>
  <c r="D64" i="7" s="1"/>
  <c r="E64" i="7" s="1"/>
  <c r="D65" i="7" s="1"/>
  <c r="E65" i="7" s="1"/>
  <c r="D66" i="7" s="1"/>
  <c r="E66" i="7" s="1"/>
  <c r="D67" i="7" s="1"/>
  <c r="E67" i="7" s="1"/>
  <c r="D68" i="7" s="1"/>
  <c r="E68" i="7" s="1"/>
  <c r="D69" i="7" s="1"/>
  <c r="E69" i="7" s="1"/>
  <c r="D70" i="7" s="1"/>
  <c r="E70" i="7" s="1"/>
  <c r="D71" i="7" s="1"/>
  <c r="E71" i="7" s="1"/>
  <c r="D72" i="7" s="1"/>
  <c r="E72" i="7" s="1"/>
  <c r="D73" i="7" s="1"/>
  <c r="E73" i="7" s="1"/>
  <c r="D74" i="7" s="1"/>
  <c r="E74" i="7" s="1"/>
  <c r="D75" i="7" s="1"/>
  <c r="E75" i="7" s="1"/>
  <c r="D76" i="7" s="1"/>
  <c r="E76" i="7" s="1"/>
  <c r="D77" i="7" s="1"/>
  <c r="E77" i="7" s="1"/>
  <c r="D78" i="7" s="1"/>
  <c r="E78" i="7" s="1"/>
  <c r="D79" i="7" s="1"/>
  <c r="E79" i="7" s="1"/>
  <c r="D80" i="7" s="1"/>
  <c r="E80" i="7" s="1"/>
  <c r="D81" i="7" s="1"/>
  <c r="E81" i="7" s="1"/>
  <c r="D82" i="7" s="1"/>
  <c r="E82" i="7" s="1"/>
  <c r="D83" i="7" s="1"/>
  <c r="E83" i="7" s="1"/>
  <c r="D84" i="7" s="1"/>
  <c r="E84" i="7" s="1"/>
  <c r="D85" i="7" s="1"/>
  <c r="E85" i="7" s="1"/>
  <c r="D86" i="7" s="1"/>
  <c r="E86" i="7" s="1"/>
  <c r="D87" i="7" s="1"/>
  <c r="E87" i="7" s="1"/>
  <c r="D88" i="7" s="1"/>
  <c r="E88" i="7" s="1"/>
  <c r="D89" i="7" s="1"/>
  <c r="E89" i="7" s="1"/>
  <c r="D90" i="7" s="1"/>
  <c r="E90" i="7" s="1"/>
  <c r="D91" i="7" s="1"/>
  <c r="E91" i="7" s="1"/>
  <c r="D92" i="7" s="1"/>
  <c r="E92" i="7" s="1"/>
  <c r="D93" i="7" s="1"/>
  <c r="E93" i="7" s="1"/>
  <c r="D94" i="7" s="1"/>
  <c r="E94" i="7" s="1"/>
  <c r="D95" i="7" s="1"/>
  <c r="E95" i="7" s="1"/>
  <c r="D96" i="7" s="1"/>
  <c r="E96" i="7" s="1"/>
  <c r="D97" i="7" s="1"/>
  <c r="E97" i="7" s="1"/>
  <c r="D98" i="7" s="1"/>
  <c r="E98" i="7" s="1"/>
  <c r="D99" i="7" s="1"/>
  <c r="E99" i="7" s="1"/>
  <c r="D100" i="7" s="1"/>
  <c r="E100" i="7" s="1"/>
  <c r="D101" i="7" s="1"/>
  <c r="E101" i="7" s="1"/>
  <c r="D102" i="7" s="1"/>
  <c r="E102" i="7" s="1"/>
  <c r="D103" i="7" s="1"/>
  <c r="E103" i="7" s="1"/>
  <c r="D104" i="7" s="1"/>
  <c r="E104" i="7" s="1"/>
  <c r="D105" i="7" s="1"/>
  <c r="E105" i="7" s="1"/>
  <c r="D106" i="7" s="1"/>
  <c r="E106" i="7" s="1"/>
  <c r="D107" i="7" s="1"/>
  <c r="E107" i="7" s="1"/>
  <c r="D108" i="7" s="1"/>
  <c r="E108" i="7" s="1"/>
  <c r="D109" i="7" s="1"/>
  <c r="E109" i="7" s="1"/>
  <c r="D110" i="7" s="1"/>
  <c r="E110" i="7" s="1"/>
  <c r="D111" i="7" s="1"/>
  <c r="E111" i="7" s="1"/>
  <c r="D112" i="7" s="1"/>
  <c r="E112" i="7" s="1"/>
  <c r="D113" i="7" s="1"/>
  <c r="E113" i="7" s="1"/>
  <c r="D114" i="7" s="1"/>
  <c r="E114" i="7" s="1"/>
  <c r="D115" i="7" s="1"/>
  <c r="E115" i="7" s="1"/>
  <c r="D116" i="7" s="1"/>
  <c r="E116" i="7" s="1"/>
  <c r="D117" i="7" s="1"/>
  <c r="E117" i="7" s="1"/>
  <c r="D118" i="7" s="1"/>
  <c r="E118" i="7" s="1"/>
  <c r="D119" i="7" s="1"/>
  <c r="E119" i="7" s="1"/>
  <c r="D120" i="7" s="1"/>
  <c r="E120" i="7" s="1"/>
  <c r="D121" i="7" s="1"/>
  <c r="E121" i="7" s="1"/>
  <c r="D122" i="7" s="1"/>
  <c r="E122" i="7" s="1"/>
  <c r="D123" i="7" s="1"/>
  <c r="E123" i="7" s="1"/>
  <c r="D124" i="7" s="1"/>
  <c r="E124" i="7" s="1"/>
  <c r="D125" i="7" s="1"/>
  <c r="E125" i="7" s="1"/>
  <c r="D126" i="7" s="1"/>
  <c r="E126" i="7" s="1"/>
  <c r="D127" i="7" s="1"/>
  <c r="E127" i="7" s="1"/>
  <c r="D128" i="7" s="1"/>
  <c r="E128" i="7" s="1"/>
  <c r="D129" i="7" s="1"/>
  <c r="E129" i="7" s="1"/>
  <c r="D130" i="7" s="1"/>
  <c r="E130" i="7" s="1"/>
  <c r="D131" i="7" s="1"/>
  <c r="E131" i="7" s="1"/>
  <c r="D132" i="7" s="1"/>
  <c r="E132" i="7" s="1"/>
  <c r="D133" i="7" s="1"/>
  <c r="E133" i="7" s="1"/>
  <c r="D134" i="7" s="1"/>
  <c r="E134" i="7" s="1"/>
  <c r="D135" i="7" s="1"/>
  <c r="E135" i="7" s="1"/>
  <c r="D136" i="7" s="1"/>
  <c r="E136" i="7" s="1"/>
  <c r="D137" i="7" s="1"/>
  <c r="E137" i="7" s="1"/>
  <c r="D138" i="7" s="1"/>
  <c r="E138" i="7" s="1"/>
  <c r="D139" i="7" s="1"/>
  <c r="E139" i="7" s="1"/>
  <c r="D140" i="7" s="1"/>
  <c r="E140" i="7" s="1"/>
  <c r="D141" i="7" s="1"/>
  <c r="E141" i="7" s="1"/>
  <c r="D142" i="7" s="1"/>
  <c r="E142" i="7" s="1"/>
  <c r="D143" i="7" s="1"/>
  <c r="E143" i="7" s="1"/>
  <c r="D144" i="7" s="1"/>
  <c r="E144" i="7" s="1"/>
  <c r="D145" i="7" s="1"/>
  <c r="E145" i="7" s="1"/>
  <c r="D146" i="7" s="1"/>
  <c r="E146" i="7" s="1"/>
  <c r="D147" i="7" s="1"/>
  <c r="E147" i="7" s="1"/>
  <c r="D148" i="7" s="1"/>
  <c r="E148" i="7" s="1"/>
  <c r="D149" i="7" s="1"/>
  <c r="E149" i="7" s="1"/>
  <c r="D150" i="7" s="1"/>
  <c r="E150" i="7" s="1"/>
  <c r="D151" i="7" s="1"/>
  <c r="E151" i="7" s="1"/>
  <c r="D152" i="7" s="1"/>
  <c r="E152" i="7" s="1"/>
  <c r="D153" i="7" s="1"/>
  <c r="E153" i="7" s="1"/>
  <c r="D154" i="7" s="1"/>
  <c r="E154" i="7" s="1"/>
  <c r="D155" i="7" s="1"/>
  <c r="E155" i="7" s="1"/>
  <c r="D156" i="7" s="1"/>
  <c r="E156" i="7" s="1"/>
  <c r="D157" i="7" s="1"/>
  <c r="E157" i="7" s="1"/>
  <c r="D158" i="7" s="1"/>
  <c r="E158" i="7" s="1"/>
  <c r="D159" i="7" s="1"/>
  <c r="E159" i="7" s="1"/>
  <c r="D160" i="7" s="1"/>
  <c r="E160" i="7" s="1"/>
  <c r="D161" i="7" s="1"/>
  <c r="E161" i="7" s="1"/>
  <c r="D162" i="7" s="1"/>
  <c r="E162" i="7" s="1"/>
  <c r="D163" i="7" s="1"/>
  <c r="E163" i="7" s="1"/>
  <c r="D164" i="7" s="1"/>
  <c r="E164" i="7" s="1"/>
  <c r="D165" i="7" s="1"/>
  <c r="E165" i="7" s="1"/>
  <c r="D166" i="7" s="1"/>
  <c r="E166" i="7" s="1"/>
  <c r="D167" i="7" s="1"/>
  <c r="E167" i="7" s="1"/>
  <c r="D168" i="7" s="1"/>
  <c r="E168" i="7" s="1"/>
  <c r="D169" i="7" s="1"/>
  <c r="E169" i="7" s="1"/>
  <c r="D170" i="7" s="1"/>
  <c r="E170" i="7" s="1"/>
  <c r="D171" i="7" s="1"/>
  <c r="E171" i="7" s="1"/>
  <c r="D172" i="7" s="1"/>
  <c r="E172" i="7" s="1"/>
  <c r="D173" i="7" s="1"/>
  <c r="E173" i="7" s="1"/>
  <c r="D174" i="7" s="1"/>
  <c r="E174" i="7" s="1"/>
  <c r="D175" i="7" s="1"/>
  <c r="E175" i="7" s="1"/>
  <c r="D176" i="7" s="1"/>
  <c r="E176" i="7" s="1"/>
  <c r="D177" i="7" s="1"/>
  <c r="E177" i="7" s="1"/>
  <c r="D178" i="7" s="1"/>
  <c r="E178" i="7" s="1"/>
  <c r="D179" i="7" s="1"/>
  <c r="E179" i="7" s="1"/>
  <c r="D180" i="7" s="1"/>
  <c r="E180" i="7" s="1"/>
  <c r="D181" i="7" s="1"/>
  <c r="E181" i="7" s="1"/>
  <c r="D182" i="7" s="1"/>
  <c r="E182" i="7" s="1"/>
  <c r="D183" i="7" s="1"/>
  <c r="E183" i="7" s="1"/>
  <c r="D184" i="7" s="1"/>
  <c r="E184" i="7" s="1"/>
  <c r="D185" i="7" s="1"/>
  <c r="E185" i="7" s="1"/>
  <c r="D186" i="7" s="1"/>
  <c r="E186" i="7" s="1"/>
  <c r="D187" i="7" s="1"/>
  <c r="E187" i="7" s="1"/>
  <c r="D188" i="7" s="1"/>
  <c r="E188" i="7" s="1"/>
  <c r="D189" i="7" s="1"/>
  <c r="E189" i="7" s="1"/>
  <c r="D190" i="7" s="1"/>
  <c r="E190" i="7" s="1"/>
  <c r="D191" i="7" s="1"/>
  <c r="E191" i="7" s="1"/>
  <c r="D192" i="7" s="1"/>
  <c r="E192" i="7" s="1"/>
  <c r="D193" i="7" s="1"/>
  <c r="E193" i="7" s="1"/>
  <c r="D194" i="7" s="1"/>
  <c r="E194" i="7" s="1"/>
  <c r="D195" i="7" s="1"/>
  <c r="E195" i="7" s="1"/>
  <c r="D196" i="7" s="1"/>
  <c r="E196" i="7" s="1"/>
  <c r="D197" i="7" s="1"/>
  <c r="E197" i="7" s="1"/>
  <c r="D198" i="7" s="1"/>
  <c r="E198" i="7" s="1"/>
  <c r="D199" i="7" s="1"/>
  <c r="E199" i="7" s="1"/>
  <c r="D200" i="7" s="1"/>
  <c r="E200" i="7" s="1"/>
  <c r="D201" i="7" s="1"/>
  <c r="E201" i="7" s="1"/>
  <c r="D202" i="7" s="1"/>
  <c r="E202" i="7" s="1"/>
  <c r="D203" i="7" s="1"/>
  <c r="E203" i="7" s="1"/>
  <c r="D204" i="7" s="1"/>
  <c r="E204" i="7" s="1"/>
  <c r="D205" i="7" s="1"/>
  <c r="E205" i="7" s="1"/>
  <c r="D206" i="7" s="1"/>
  <c r="E206" i="7" s="1"/>
  <c r="D207" i="7" s="1"/>
  <c r="E207" i="7" s="1"/>
  <c r="D208" i="7" s="1"/>
  <c r="E208" i="7" s="1"/>
  <c r="D209" i="7" s="1"/>
  <c r="E209" i="7" s="1"/>
  <c r="D210" i="7" s="1"/>
  <c r="E210" i="7" s="1"/>
  <c r="D211" i="7" s="1"/>
  <c r="E211" i="7" s="1"/>
  <c r="D212" i="7" s="1"/>
  <c r="E212" i="7" s="1"/>
  <c r="D213" i="7" s="1"/>
  <c r="E213" i="7" s="1"/>
  <c r="D214" i="7" s="1"/>
  <c r="E214" i="7" s="1"/>
  <c r="D215" i="7" s="1"/>
  <c r="E215" i="7" s="1"/>
  <c r="D216" i="7" s="1"/>
  <c r="E216" i="7" s="1"/>
  <c r="D217" i="7" s="1"/>
  <c r="E217" i="7" s="1"/>
  <c r="D218" i="7" s="1"/>
  <c r="E218" i="7" s="1"/>
  <c r="D219" i="7" s="1"/>
  <c r="E219" i="7" s="1"/>
  <c r="D220" i="7" s="1"/>
  <c r="E220" i="7" s="1"/>
  <c r="D221" i="7" s="1"/>
  <c r="E221" i="7" s="1"/>
  <c r="D222" i="7" s="1"/>
  <c r="E222" i="7" s="1"/>
  <c r="D223" i="7" s="1"/>
  <c r="E223" i="7" s="1"/>
  <c r="D224" i="7" s="1"/>
  <c r="E224" i="7" s="1"/>
  <c r="D225" i="7" s="1"/>
  <c r="E225" i="7" s="1"/>
  <c r="D226" i="7" s="1"/>
  <c r="E226" i="7" s="1"/>
  <c r="D227" i="7" s="1"/>
  <c r="E227" i="7" s="1"/>
  <c r="D228" i="7" s="1"/>
  <c r="E228" i="7" s="1"/>
  <c r="D229" i="7" s="1"/>
  <c r="E229" i="7" s="1"/>
  <c r="D230" i="7" s="1"/>
  <c r="E230" i="7" s="1"/>
  <c r="D231" i="7" s="1"/>
  <c r="E231" i="7" s="1"/>
  <c r="D232" i="7" s="1"/>
  <c r="E232" i="7" s="1"/>
  <c r="D233" i="7" s="1"/>
  <c r="E233" i="7" s="1"/>
  <c r="D234" i="7" s="1"/>
  <c r="E234" i="7" s="1"/>
  <c r="D235" i="7" s="1"/>
  <c r="E235" i="7" s="1"/>
  <c r="D236" i="7" s="1"/>
  <c r="E236" i="7" s="1"/>
  <c r="D237" i="7" s="1"/>
  <c r="E237" i="7" s="1"/>
  <c r="D238" i="7" s="1"/>
  <c r="E238" i="7" s="1"/>
  <c r="D239" i="7" s="1"/>
  <c r="E239" i="7" s="1"/>
  <c r="D240" i="7" s="1"/>
  <c r="E240" i="7" s="1"/>
  <c r="D241" i="7" s="1"/>
  <c r="E241" i="7" s="1"/>
  <c r="D242" i="7" s="1"/>
  <c r="E242" i="7" s="1"/>
  <c r="C15" i="7"/>
  <c r="B15" i="7"/>
  <c r="C15" i="7" s="1" a="1"/>
  <c r="A15" i="7"/>
  <c r="AU14" i="7"/>
  <c r="AT14" i="7"/>
  <c r="AS14" i="7"/>
  <c r="AR14" i="7"/>
  <c r="AQ14" i="7"/>
  <c r="AP14" i="7"/>
  <c r="AO14" i="7"/>
  <c r="AN14" i="7"/>
  <c r="AM14" i="7"/>
  <c r="AL14" i="7"/>
  <c r="AK14" i="7"/>
  <c r="AJ14" i="7"/>
  <c r="AI14" i="7"/>
  <c r="AH14" i="7"/>
  <c r="AG14" i="7"/>
  <c r="B14" i="7"/>
  <c r="C14" i="7" s="1" a="1"/>
  <c r="C14" i="7" s="1"/>
  <c r="A14" i="7"/>
  <c r="AU13" i="7"/>
  <c r="AT13" i="7"/>
  <c r="AS13" i="7"/>
  <c r="AR13" i="7"/>
  <c r="AQ13" i="7"/>
  <c r="AP13" i="7"/>
  <c r="AO13" i="7"/>
  <c r="AN13" i="7"/>
  <c r="AM13" i="7"/>
  <c r="AL13" i="7"/>
  <c r="AK13" i="7"/>
  <c r="AJ13" i="7"/>
  <c r="AI13" i="7"/>
  <c r="AH13" i="7"/>
  <c r="AG13" i="7"/>
  <c r="B13" i="7"/>
  <c r="C13" i="7" s="1" a="1"/>
  <c r="C13" i="7" s="1"/>
  <c r="A13" i="7"/>
  <c r="AU12" i="7"/>
  <c r="AT12" i="7"/>
  <c r="AS12" i="7"/>
  <c r="AR12" i="7"/>
  <c r="AQ12" i="7"/>
  <c r="AP12" i="7"/>
  <c r="AO12" i="7"/>
  <c r="AN12" i="7"/>
  <c r="AM12" i="7"/>
  <c r="AL12" i="7"/>
  <c r="AK12" i="7"/>
  <c r="AJ12" i="7"/>
  <c r="AI12" i="7"/>
  <c r="AH12" i="7"/>
  <c r="AG12" i="7"/>
  <c r="B12" i="7"/>
  <c r="C12" i="7" s="1" a="1"/>
  <c r="C12" i="7" s="1"/>
  <c r="A12" i="7"/>
  <c r="AU11" i="7"/>
  <c r="AT11" i="7"/>
  <c r="AS11" i="7"/>
  <c r="AR11" i="7"/>
  <c r="AQ11" i="7"/>
  <c r="AP11" i="7"/>
  <c r="AO11" i="7"/>
  <c r="AN11" i="7"/>
  <c r="AM11" i="7"/>
  <c r="AL11" i="7"/>
  <c r="AK11" i="7"/>
  <c r="AJ11" i="7"/>
  <c r="AI11" i="7"/>
  <c r="AH11" i="7"/>
  <c r="AG11" i="7"/>
  <c r="C11" i="7" a="1"/>
  <c r="C11" i="7" s="1"/>
  <c r="B11" i="7"/>
  <c r="A11" i="7"/>
  <c r="AU10" i="7"/>
  <c r="AT10" i="7"/>
  <c r="AS10" i="7"/>
  <c r="AR10" i="7"/>
  <c r="AQ10" i="7"/>
  <c r="AP10" i="7"/>
  <c r="AO10" i="7"/>
  <c r="AN10" i="7"/>
  <c r="AM10" i="7"/>
  <c r="AL10" i="7"/>
  <c r="AK10" i="7"/>
  <c r="AJ10" i="7"/>
  <c r="AI10" i="7"/>
  <c r="AH10" i="7"/>
  <c r="AG10" i="7"/>
  <c r="C10" i="7" a="1"/>
  <c r="C10" i="7"/>
  <c r="B10" i="7"/>
  <c r="A10" i="7"/>
  <c r="AU9" i="7"/>
  <c r="AT9" i="7"/>
  <c r="AS9" i="7"/>
  <c r="AR9" i="7"/>
  <c r="AQ9" i="7"/>
  <c r="AP9" i="7"/>
  <c r="AO9" i="7"/>
  <c r="AN9" i="7"/>
  <c r="AM9" i="7"/>
  <c r="AL9" i="7"/>
  <c r="AK9" i="7"/>
  <c r="AJ9" i="7"/>
  <c r="AI9" i="7"/>
  <c r="AH9" i="7"/>
  <c r="AG9" i="7"/>
  <c r="D9" i="7"/>
  <c r="E9" i="7" s="1"/>
  <c r="D10" i="7" s="1"/>
  <c r="E10" i="7" s="1"/>
  <c r="D11" i="7" s="1"/>
  <c r="E11" i="7" s="1"/>
  <c r="D12" i="7" s="1"/>
  <c r="E12" i="7" s="1"/>
  <c r="D13" i="7" s="1"/>
  <c r="E13" i="7" s="1"/>
  <c r="D14" i="7" s="1"/>
  <c r="E14" i="7" s="1"/>
  <c r="B9" i="7"/>
  <c r="C9" i="7" s="1" a="1"/>
  <c r="C9" i="7" s="1"/>
  <c r="A9" i="7"/>
  <c r="AU8" i="7"/>
  <c r="AT8" i="7"/>
  <c r="AS8" i="7"/>
  <c r="AR8" i="7"/>
  <c r="AQ8" i="7"/>
  <c r="AP8" i="7"/>
  <c r="AO8" i="7"/>
  <c r="AN8" i="7"/>
  <c r="AM8" i="7"/>
  <c r="AL8" i="7"/>
  <c r="AK8" i="7"/>
  <c r="AJ8" i="7"/>
  <c r="AI8" i="7"/>
  <c r="AH8" i="7"/>
  <c r="AG8" i="7"/>
  <c r="B8" i="7"/>
  <c r="C8" i="7" s="1" a="1"/>
  <c r="C8" i="7" s="1"/>
  <c r="A8" i="7"/>
  <c r="AU7" i="7"/>
  <c r="AT7" i="7"/>
  <c r="AS7" i="7"/>
  <c r="AR7" i="7"/>
  <c r="AQ7" i="7"/>
  <c r="AP7" i="7"/>
  <c r="AO7" i="7"/>
  <c r="AN7" i="7"/>
  <c r="AM7" i="7"/>
  <c r="AL7" i="7"/>
  <c r="AK7" i="7"/>
  <c r="AJ7" i="7"/>
  <c r="AI7" i="7"/>
  <c r="AH7" i="7"/>
  <c r="AG7" i="7"/>
  <c r="E7" i="7"/>
  <c r="D8" i="7" s="1"/>
  <c r="E8" i="7" s="1"/>
  <c r="C7" i="7"/>
  <c r="B7" i="7"/>
  <c r="C7" i="7" s="1" a="1"/>
  <c r="A7" i="7"/>
  <c r="E1" i="7"/>
  <c r="AV80" i="6"/>
  <c r="AU80" i="6"/>
  <c r="AT80" i="6"/>
  <c r="AS80" i="6"/>
  <c r="AR80" i="6"/>
  <c r="AQ80" i="6"/>
  <c r="AP80" i="6"/>
  <c r="AO80" i="6"/>
  <c r="AN80" i="6"/>
  <c r="AM80" i="6"/>
  <c r="AL80" i="6"/>
  <c r="AK80" i="6"/>
  <c r="AJ80" i="6"/>
  <c r="AI80" i="6"/>
  <c r="AH80" i="6"/>
  <c r="AG80" i="6"/>
  <c r="AF80" i="6"/>
  <c r="AE80" i="6"/>
  <c r="C80" i="6"/>
  <c r="B80" i="6"/>
  <c r="C80" i="6" s="1" a="1"/>
  <c r="A80" i="6"/>
  <c r="AV79" i="6"/>
  <c r="AU79" i="6"/>
  <c r="AT79" i="6"/>
  <c r="AS79" i="6"/>
  <c r="AR79" i="6"/>
  <c r="AQ79" i="6"/>
  <c r="AP79" i="6"/>
  <c r="AO79" i="6"/>
  <c r="AN79" i="6"/>
  <c r="AM79" i="6"/>
  <c r="AL79" i="6"/>
  <c r="AK79" i="6"/>
  <c r="AJ79" i="6"/>
  <c r="AI79" i="6"/>
  <c r="AH79" i="6"/>
  <c r="AG79" i="6"/>
  <c r="AF79" i="6"/>
  <c r="AE79" i="6"/>
  <c r="C79" i="6"/>
  <c r="B79" i="6"/>
  <c r="C79" i="6" s="1" a="1"/>
  <c r="A79" i="6"/>
  <c r="AV78" i="6"/>
  <c r="AU78" i="6"/>
  <c r="AT78" i="6"/>
  <c r="AS78" i="6"/>
  <c r="AR78" i="6"/>
  <c r="AQ78" i="6"/>
  <c r="AP78" i="6"/>
  <c r="AO78" i="6"/>
  <c r="AN78" i="6"/>
  <c r="AM78" i="6"/>
  <c r="AL78" i="6"/>
  <c r="AK78" i="6"/>
  <c r="AJ78" i="6"/>
  <c r="AI78" i="6"/>
  <c r="AH78" i="6"/>
  <c r="AG78" i="6"/>
  <c r="AF78" i="6"/>
  <c r="AE78" i="6"/>
  <c r="C78" i="6" a="1"/>
  <c r="C78" i="6" s="1"/>
  <c r="B78" i="6"/>
  <c r="A78" i="6"/>
  <c r="AV77" i="6"/>
  <c r="AU77" i="6"/>
  <c r="AT77" i="6"/>
  <c r="AS77" i="6"/>
  <c r="AR77" i="6"/>
  <c r="AQ77" i="6"/>
  <c r="AP77" i="6"/>
  <c r="AO77" i="6"/>
  <c r="AN77" i="6"/>
  <c r="AM77" i="6"/>
  <c r="AL77" i="6"/>
  <c r="AK77" i="6"/>
  <c r="AJ77" i="6"/>
  <c r="AI77" i="6"/>
  <c r="AH77" i="6"/>
  <c r="AG77" i="6"/>
  <c r="AF77" i="6"/>
  <c r="AE77" i="6"/>
  <c r="B77" i="6"/>
  <c r="C77" i="6" s="1" a="1"/>
  <c r="C77" i="6" s="1"/>
  <c r="A77" i="6"/>
  <c r="AV76" i="6"/>
  <c r="AU76" i="6"/>
  <c r="AT76" i="6"/>
  <c r="AS76" i="6"/>
  <c r="AR76" i="6"/>
  <c r="AQ76" i="6"/>
  <c r="AP76" i="6"/>
  <c r="AO76" i="6"/>
  <c r="AN76" i="6"/>
  <c r="AM76" i="6"/>
  <c r="AL76" i="6"/>
  <c r="AK76" i="6"/>
  <c r="AJ76" i="6"/>
  <c r="AI76" i="6"/>
  <c r="AH76" i="6"/>
  <c r="AG76" i="6"/>
  <c r="AF76" i="6"/>
  <c r="AE76" i="6"/>
  <c r="C76" i="6"/>
  <c r="B76" i="6"/>
  <c r="C76" i="6" s="1" a="1"/>
  <c r="A76" i="6"/>
  <c r="AV75" i="6"/>
  <c r="AU75" i="6"/>
  <c r="AT75" i="6"/>
  <c r="AS75" i="6"/>
  <c r="AR75" i="6"/>
  <c r="AQ75" i="6"/>
  <c r="AP75" i="6"/>
  <c r="AO75" i="6"/>
  <c r="AN75" i="6"/>
  <c r="AM75" i="6"/>
  <c r="AL75" i="6"/>
  <c r="AK75" i="6"/>
  <c r="AJ75" i="6"/>
  <c r="AI75" i="6"/>
  <c r="AH75" i="6"/>
  <c r="AG75" i="6"/>
  <c r="AF75" i="6"/>
  <c r="AE75" i="6"/>
  <c r="B75" i="6"/>
  <c r="C75" i="6" s="1" a="1"/>
  <c r="C75" i="6" s="1"/>
  <c r="A75" i="6"/>
  <c r="AV74" i="6"/>
  <c r="AU74" i="6"/>
  <c r="AT74" i="6"/>
  <c r="AS74" i="6"/>
  <c r="AR74" i="6"/>
  <c r="AQ74" i="6"/>
  <c r="AP74" i="6"/>
  <c r="AO74" i="6"/>
  <c r="AN74" i="6"/>
  <c r="AM74" i="6"/>
  <c r="AL74" i="6"/>
  <c r="AK74" i="6"/>
  <c r="AJ74" i="6"/>
  <c r="AI74" i="6"/>
  <c r="AH74" i="6"/>
  <c r="AG74" i="6"/>
  <c r="AF74" i="6"/>
  <c r="AE74" i="6"/>
  <c r="C74" i="6" a="1"/>
  <c r="C74" i="6"/>
  <c r="B74" i="6"/>
  <c r="A74" i="6"/>
  <c r="AV73" i="6"/>
  <c r="AU73" i="6"/>
  <c r="AT73" i="6"/>
  <c r="AS73" i="6"/>
  <c r="AR73" i="6"/>
  <c r="AQ73" i="6"/>
  <c r="AP73" i="6"/>
  <c r="AO73" i="6"/>
  <c r="AN73" i="6"/>
  <c r="AM73" i="6"/>
  <c r="AL73" i="6"/>
  <c r="AK73" i="6"/>
  <c r="AJ73" i="6"/>
  <c r="AI73" i="6"/>
  <c r="AH73" i="6"/>
  <c r="AG73" i="6"/>
  <c r="AF73" i="6"/>
  <c r="AE73" i="6"/>
  <c r="B73" i="6"/>
  <c r="C73" i="6" s="1" a="1"/>
  <c r="C73" i="6" s="1"/>
  <c r="A73" i="6"/>
  <c r="AV72" i="6"/>
  <c r="AU72" i="6"/>
  <c r="AT72" i="6"/>
  <c r="AS72" i="6"/>
  <c r="AR72" i="6"/>
  <c r="AQ72" i="6"/>
  <c r="AP72" i="6"/>
  <c r="AO72" i="6"/>
  <c r="AN72" i="6"/>
  <c r="AM72" i="6"/>
  <c r="AL72" i="6"/>
  <c r="AK72" i="6"/>
  <c r="AJ72" i="6"/>
  <c r="AI72" i="6"/>
  <c r="AH72" i="6"/>
  <c r="AG72" i="6"/>
  <c r="AF72" i="6"/>
  <c r="AE72" i="6"/>
  <c r="B72" i="6"/>
  <c r="C72" i="6" s="1" a="1"/>
  <c r="C72" i="6" s="1"/>
  <c r="A72" i="6"/>
  <c r="AV71" i="6"/>
  <c r="AU71" i="6"/>
  <c r="AT71" i="6"/>
  <c r="AS71" i="6"/>
  <c r="AR71" i="6"/>
  <c r="AQ71" i="6"/>
  <c r="AP71" i="6"/>
  <c r="AO71" i="6"/>
  <c r="AN71" i="6"/>
  <c r="AM71" i="6"/>
  <c r="AL71" i="6"/>
  <c r="AK71" i="6"/>
  <c r="AJ71" i="6"/>
  <c r="AI71" i="6"/>
  <c r="AH71" i="6"/>
  <c r="AG71" i="6"/>
  <c r="AF71" i="6"/>
  <c r="AE71" i="6"/>
  <c r="C71" i="6" a="1"/>
  <c r="C71" i="6" s="1"/>
  <c r="B71" i="6"/>
  <c r="A71" i="6"/>
  <c r="AV70" i="6"/>
  <c r="AU70" i="6"/>
  <c r="AT70" i="6"/>
  <c r="AS70" i="6"/>
  <c r="AR70" i="6"/>
  <c r="AQ70" i="6"/>
  <c r="AP70" i="6"/>
  <c r="AO70" i="6"/>
  <c r="AN70" i="6"/>
  <c r="AM70" i="6"/>
  <c r="AL70" i="6"/>
  <c r="AK70" i="6"/>
  <c r="AJ70" i="6"/>
  <c r="AI70" i="6"/>
  <c r="AH70" i="6"/>
  <c r="AG70" i="6"/>
  <c r="AF70" i="6"/>
  <c r="AE70" i="6"/>
  <c r="C70" i="6" a="1"/>
  <c r="C70" i="6" s="1"/>
  <c r="B70" i="6"/>
  <c r="A70" i="6"/>
  <c r="AV69" i="6"/>
  <c r="AU69" i="6"/>
  <c r="AT69" i="6"/>
  <c r="AS69" i="6"/>
  <c r="AR69" i="6"/>
  <c r="AQ69" i="6"/>
  <c r="AP69" i="6"/>
  <c r="AO69" i="6"/>
  <c r="AN69" i="6"/>
  <c r="AM69" i="6"/>
  <c r="AL69" i="6"/>
  <c r="AK69" i="6"/>
  <c r="AJ69" i="6"/>
  <c r="AI69" i="6"/>
  <c r="AH69" i="6"/>
  <c r="AG69" i="6"/>
  <c r="AF69" i="6"/>
  <c r="AE69" i="6"/>
  <c r="B69" i="6"/>
  <c r="C69" i="6" s="1" a="1"/>
  <c r="C69" i="6" s="1"/>
  <c r="A69" i="6"/>
  <c r="AV68" i="6"/>
  <c r="AU68" i="6"/>
  <c r="AT68" i="6"/>
  <c r="AS68" i="6"/>
  <c r="AR68" i="6"/>
  <c r="AQ68" i="6"/>
  <c r="AP68" i="6"/>
  <c r="AO68" i="6"/>
  <c r="AN68" i="6"/>
  <c r="AM68" i="6"/>
  <c r="AL68" i="6"/>
  <c r="AK68" i="6"/>
  <c r="AJ68" i="6"/>
  <c r="AI68" i="6"/>
  <c r="AH68" i="6"/>
  <c r="AG68" i="6"/>
  <c r="AF68" i="6"/>
  <c r="AE68" i="6"/>
  <c r="B68" i="6"/>
  <c r="C68" i="6" s="1" a="1"/>
  <c r="C68" i="6" s="1"/>
  <c r="A68" i="6"/>
  <c r="AV67" i="6"/>
  <c r="AU67" i="6"/>
  <c r="AT67" i="6"/>
  <c r="AS67" i="6"/>
  <c r="AR67" i="6"/>
  <c r="AQ67" i="6"/>
  <c r="AP67" i="6"/>
  <c r="AO67" i="6"/>
  <c r="AN67" i="6"/>
  <c r="AM67" i="6"/>
  <c r="AL67" i="6"/>
  <c r="AK67" i="6"/>
  <c r="AJ67" i="6"/>
  <c r="AI67" i="6"/>
  <c r="AH67" i="6"/>
  <c r="AG67" i="6"/>
  <c r="AF67" i="6"/>
  <c r="AE67" i="6"/>
  <c r="C67" i="6" a="1"/>
  <c r="C67" i="6" s="1"/>
  <c r="B67" i="6"/>
  <c r="A67" i="6"/>
  <c r="AV66" i="6"/>
  <c r="AU66" i="6"/>
  <c r="AT66" i="6"/>
  <c r="AS66" i="6"/>
  <c r="AR66" i="6"/>
  <c r="AQ66" i="6"/>
  <c r="AP66" i="6"/>
  <c r="AO66" i="6"/>
  <c r="AN66" i="6"/>
  <c r="AM66" i="6"/>
  <c r="AL66" i="6"/>
  <c r="AK66" i="6"/>
  <c r="AJ66" i="6"/>
  <c r="AI66" i="6"/>
  <c r="AH66" i="6"/>
  <c r="AG66" i="6"/>
  <c r="AF66" i="6"/>
  <c r="AE66" i="6"/>
  <c r="B66" i="6"/>
  <c r="C66" i="6" s="1" a="1"/>
  <c r="C66" i="6" s="1"/>
  <c r="A66" i="6"/>
  <c r="AV65" i="6"/>
  <c r="AU65" i="6"/>
  <c r="AT65" i="6"/>
  <c r="AS65" i="6"/>
  <c r="AR65" i="6"/>
  <c r="AQ65" i="6"/>
  <c r="AP65" i="6"/>
  <c r="AO65" i="6"/>
  <c r="AN65" i="6"/>
  <c r="AM65" i="6"/>
  <c r="AL65" i="6"/>
  <c r="AK65" i="6"/>
  <c r="AJ65" i="6"/>
  <c r="AI65" i="6"/>
  <c r="AH65" i="6"/>
  <c r="AG65" i="6"/>
  <c r="AF65" i="6"/>
  <c r="AE65" i="6"/>
  <c r="C65" i="6"/>
  <c r="B65" i="6"/>
  <c r="C65" i="6" s="1" a="1"/>
  <c r="A65" i="6"/>
  <c r="AV64" i="6"/>
  <c r="AU64" i="6"/>
  <c r="AT64" i="6"/>
  <c r="AS64" i="6"/>
  <c r="AR64" i="6"/>
  <c r="AQ64" i="6"/>
  <c r="AP64" i="6"/>
  <c r="AO64" i="6"/>
  <c r="AN64" i="6"/>
  <c r="AM64" i="6"/>
  <c r="AL64" i="6"/>
  <c r="AK64" i="6"/>
  <c r="AJ64" i="6"/>
  <c r="AI64" i="6"/>
  <c r="AH64" i="6"/>
  <c r="AG64" i="6"/>
  <c r="AF64" i="6"/>
  <c r="AE64" i="6"/>
  <c r="C64" i="6" a="1"/>
  <c r="C64" i="6" s="1"/>
  <c r="B64" i="6"/>
  <c r="A64" i="6"/>
  <c r="AV63" i="6"/>
  <c r="AU63" i="6"/>
  <c r="AT63" i="6"/>
  <c r="AS63" i="6"/>
  <c r="AR63" i="6"/>
  <c r="AQ63" i="6"/>
  <c r="AP63" i="6"/>
  <c r="AO63" i="6"/>
  <c r="AN63" i="6"/>
  <c r="AM63" i="6"/>
  <c r="AL63" i="6"/>
  <c r="AK63" i="6"/>
  <c r="AJ63" i="6"/>
  <c r="AI63" i="6"/>
  <c r="AH63" i="6"/>
  <c r="AG63" i="6"/>
  <c r="AF63" i="6"/>
  <c r="AE63" i="6"/>
  <c r="C63" i="6" a="1"/>
  <c r="C63" i="6"/>
  <c r="B63" i="6"/>
  <c r="A63" i="6"/>
  <c r="AV62" i="6"/>
  <c r="AU62" i="6"/>
  <c r="AT62" i="6"/>
  <c r="AS62" i="6"/>
  <c r="AR62" i="6"/>
  <c r="AQ62" i="6"/>
  <c r="AP62" i="6"/>
  <c r="AO62" i="6"/>
  <c r="AN62" i="6"/>
  <c r="AM62" i="6"/>
  <c r="AL62" i="6"/>
  <c r="AK62" i="6"/>
  <c r="AJ62" i="6"/>
  <c r="AI62" i="6"/>
  <c r="AH62" i="6"/>
  <c r="AG62" i="6"/>
  <c r="AF62" i="6"/>
  <c r="AE62" i="6"/>
  <c r="C62" i="6" a="1"/>
  <c r="C62" i="6" s="1"/>
  <c r="B62" i="6"/>
  <c r="A62" i="6"/>
  <c r="AV61" i="6"/>
  <c r="AU61" i="6"/>
  <c r="AT61" i="6"/>
  <c r="AS61" i="6"/>
  <c r="AR61" i="6"/>
  <c r="AQ61" i="6"/>
  <c r="AP61" i="6"/>
  <c r="AO61" i="6"/>
  <c r="AN61" i="6"/>
  <c r="AM61" i="6"/>
  <c r="AL61" i="6"/>
  <c r="AK61" i="6"/>
  <c r="AJ61" i="6"/>
  <c r="AI61" i="6"/>
  <c r="AH61" i="6"/>
  <c r="AG61" i="6"/>
  <c r="AF61" i="6"/>
  <c r="AE61" i="6"/>
  <c r="B61" i="6"/>
  <c r="C61" i="6" s="1" a="1"/>
  <c r="C61" i="6" s="1"/>
  <c r="A61" i="6"/>
  <c r="AV60" i="6"/>
  <c r="AU60" i="6"/>
  <c r="AT60" i="6"/>
  <c r="AS60" i="6"/>
  <c r="AR60" i="6"/>
  <c r="AQ60" i="6"/>
  <c r="AP60" i="6"/>
  <c r="AO60" i="6"/>
  <c r="AN60" i="6"/>
  <c r="AM60" i="6"/>
  <c r="AL60" i="6"/>
  <c r="AK60" i="6"/>
  <c r="AJ60" i="6"/>
  <c r="AI60" i="6"/>
  <c r="AH60" i="6"/>
  <c r="AG60" i="6"/>
  <c r="AF60" i="6"/>
  <c r="AE60" i="6"/>
  <c r="C60" i="6" a="1"/>
  <c r="C60" i="6" s="1"/>
  <c r="B60" i="6"/>
  <c r="A60" i="6"/>
  <c r="AV59" i="6"/>
  <c r="AU59" i="6"/>
  <c r="AT59" i="6"/>
  <c r="AS59" i="6"/>
  <c r="AR59" i="6"/>
  <c r="AQ59" i="6"/>
  <c r="AP59" i="6"/>
  <c r="AO59" i="6"/>
  <c r="AN59" i="6"/>
  <c r="AM59" i="6"/>
  <c r="AL59" i="6"/>
  <c r="AK59" i="6"/>
  <c r="AJ59" i="6"/>
  <c r="AI59" i="6"/>
  <c r="AH59" i="6"/>
  <c r="AG59" i="6"/>
  <c r="AF59" i="6"/>
  <c r="AE59" i="6"/>
  <c r="B59" i="6"/>
  <c r="C59" i="6" s="1" a="1"/>
  <c r="C59" i="6" s="1"/>
  <c r="A59" i="6"/>
  <c r="AV58" i="6"/>
  <c r="AU58" i="6"/>
  <c r="AT58" i="6"/>
  <c r="AS58" i="6"/>
  <c r="AR58" i="6"/>
  <c r="AQ58" i="6"/>
  <c r="AP58" i="6"/>
  <c r="AO58" i="6"/>
  <c r="AN58" i="6"/>
  <c r="AM58" i="6"/>
  <c r="AL58" i="6"/>
  <c r="AK58" i="6"/>
  <c r="AJ58" i="6"/>
  <c r="AI58" i="6"/>
  <c r="AH58" i="6"/>
  <c r="AG58" i="6"/>
  <c r="AF58" i="6"/>
  <c r="AE58" i="6"/>
  <c r="C58" i="6"/>
  <c r="B58" i="6"/>
  <c r="C58" i="6" s="1" a="1"/>
  <c r="A58" i="6"/>
  <c r="AV57" i="6"/>
  <c r="AU57" i="6"/>
  <c r="AT57" i="6"/>
  <c r="AS57" i="6"/>
  <c r="AR57" i="6"/>
  <c r="AQ57" i="6"/>
  <c r="AP57" i="6"/>
  <c r="AO57" i="6"/>
  <c r="AN57" i="6"/>
  <c r="AM57" i="6"/>
  <c r="AL57" i="6"/>
  <c r="AK57" i="6"/>
  <c r="AJ57" i="6"/>
  <c r="AI57" i="6"/>
  <c r="AH57" i="6"/>
  <c r="AG57" i="6"/>
  <c r="AF57" i="6"/>
  <c r="AE57" i="6"/>
  <c r="C57" i="6" a="1"/>
  <c r="C57" i="6" s="1"/>
  <c r="B57" i="6"/>
  <c r="A57" i="6"/>
  <c r="AV56" i="6"/>
  <c r="AU56" i="6"/>
  <c r="AT56" i="6"/>
  <c r="AS56" i="6"/>
  <c r="AR56" i="6"/>
  <c r="AQ56" i="6"/>
  <c r="AP56" i="6"/>
  <c r="AO56" i="6"/>
  <c r="AN56" i="6"/>
  <c r="AM56" i="6"/>
  <c r="AL56" i="6"/>
  <c r="AK56" i="6"/>
  <c r="AJ56" i="6"/>
  <c r="AI56" i="6"/>
  <c r="AH56" i="6"/>
  <c r="AG56" i="6"/>
  <c r="AF56" i="6"/>
  <c r="AE56" i="6"/>
  <c r="C56" i="6" a="1"/>
  <c r="C56" i="6" s="1"/>
  <c r="B56" i="6"/>
  <c r="A56" i="6"/>
  <c r="AV55" i="6"/>
  <c r="AU55" i="6"/>
  <c r="AT55" i="6"/>
  <c r="AS55" i="6"/>
  <c r="AR55" i="6"/>
  <c r="AQ55" i="6"/>
  <c r="AP55" i="6"/>
  <c r="AO55" i="6"/>
  <c r="AN55" i="6"/>
  <c r="AM55" i="6"/>
  <c r="AL55" i="6"/>
  <c r="AK55" i="6"/>
  <c r="AJ55" i="6"/>
  <c r="AI55" i="6"/>
  <c r="AH55" i="6"/>
  <c r="AG55" i="6"/>
  <c r="AF55" i="6"/>
  <c r="AE55" i="6"/>
  <c r="C55" i="6" a="1"/>
  <c r="C55" i="6" s="1"/>
  <c r="B55" i="6"/>
  <c r="A55" i="6"/>
  <c r="AV54" i="6"/>
  <c r="AU54" i="6"/>
  <c r="AT54" i="6"/>
  <c r="AS54" i="6"/>
  <c r="AR54" i="6"/>
  <c r="AQ54" i="6"/>
  <c r="AP54" i="6"/>
  <c r="AO54" i="6"/>
  <c r="AN54" i="6"/>
  <c r="AM54" i="6"/>
  <c r="AL54" i="6"/>
  <c r="AK54" i="6"/>
  <c r="AJ54" i="6"/>
  <c r="AI54" i="6"/>
  <c r="AH54" i="6"/>
  <c r="AG54" i="6"/>
  <c r="AF54" i="6"/>
  <c r="AE54" i="6"/>
  <c r="B54" i="6"/>
  <c r="C54" i="6" s="1" a="1"/>
  <c r="C54" i="6" s="1"/>
  <c r="A54" i="6"/>
  <c r="AV53" i="6"/>
  <c r="AU53" i="6"/>
  <c r="AT53" i="6"/>
  <c r="AS53" i="6"/>
  <c r="AR53" i="6"/>
  <c r="AQ53" i="6"/>
  <c r="AP53" i="6"/>
  <c r="AO53" i="6"/>
  <c r="AN53" i="6"/>
  <c r="AM53" i="6"/>
  <c r="AL53" i="6"/>
  <c r="AK53" i="6"/>
  <c r="AJ53" i="6"/>
  <c r="AI53" i="6"/>
  <c r="AH53" i="6"/>
  <c r="AG53" i="6"/>
  <c r="AF53" i="6"/>
  <c r="AE53" i="6"/>
  <c r="B53" i="6"/>
  <c r="C53" i="6" s="1" a="1"/>
  <c r="C53" i="6" s="1"/>
  <c r="A53" i="6"/>
  <c r="AV52" i="6"/>
  <c r="AU52" i="6"/>
  <c r="AT52" i="6"/>
  <c r="AS52" i="6"/>
  <c r="AR52" i="6"/>
  <c r="AQ52" i="6"/>
  <c r="AP52" i="6"/>
  <c r="AO52" i="6"/>
  <c r="AN52" i="6"/>
  <c r="AM52" i="6"/>
  <c r="AL52" i="6"/>
  <c r="AK52" i="6"/>
  <c r="AJ52" i="6"/>
  <c r="AI52" i="6"/>
  <c r="AH52" i="6"/>
  <c r="AG52" i="6"/>
  <c r="AF52" i="6"/>
  <c r="AE52" i="6"/>
  <c r="C52" i="6" a="1"/>
  <c r="C52" i="6" s="1"/>
  <c r="B52" i="6"/>
  <c r="A52" i="6"/>
  <c r="AV51" i="6"/>
  <c r="AU51" i="6"/>
  <c r="AT51" i="6"/>
  <c r="AS51" i="6"/>
  <c r="AR51" i="6"/>
  <c r="AQ51" i="6"/>
  <c r="AP51" i="6"/>
  <c r="AO51" i="6"/>
  <c r="AN51" i="6"/>
  <c r="AM51" i="6"/>
  <c r="AL51" i="6"/>
  <c r="AK51" i="6"/>
  <c r="AJ51" i="6"/>
  <c r="AI51" i="6"/>
  <c r="AH51" i="6"/>
  <c r="AG51" i="6"/>
  <c r="AF51" i="6"/>
  <c r="AE51" i="6"/>
  <c r="C51" i="6"/>
  <c r="B51" i="6"/>
  <c r="C51" i="6" s="1" a="1"/>
  <c r="A51" i="6"/>
  <c r="AV50" i="6"/>
  <c r="AU50" i="6"/>
  <c r="AT50" i="6"/>
  <c r="AS50" i="6"/>
  <c r="AR50" i="6"/>
  <c r="AQ50" i="6"/>
  <c r="AP50" i="6"/>
  <c r="AO50" i="6"/>
  <c r="AN50" i="6"/>
  <c r="AM50" i="6"/>
  <c r="AL50" i="6"/>
  <c r="AK50" i="6"/>
  <c r="AJ50" i="6"/>
  <c r="AI50" i="6"/>
  <c r="AH50" i="6"/>
  <c r="AG50" i="6"/>
  <c r="AF50" i="6"/>
  <c r="AE50" i="6"/>
  <c r="C50" i="6" a="1"/>
  <c r="C50" i="6" s="1"/>
  <c r="B50" i="6"/>
  <c r="A50" i="6"/>
  <c r="AV49" i="6"/>
  <c r="AU49" i="6"/>
  <c r="AT49" i="6"/>
  <c r="AS49" i="6"/>
  <c r="AR49" i="6"/>
  <c r="AQ49" i="6"/>
  <c r="AP49" i="6"/>
  <c r="AO49" i="6"/>
  <c r="AN49" i="6"/>
  <c r="AM49" i="6"/>
  <c r="AL49" i="6"/>
  <c r="AK49" i="6"/>
  <c r="AJ49" i="6"/>
  <c r="AI49" i="6"/>
  <c r="AH49" i="6"/>
  <c r="AG49" i="6"/>
  <c r="AF49" i="6"/>
  <c r="AE49" i="6"/>
  <c r="C49" i="6" a="1"/>
  <c r="C49" i="6" s="1"/>
  <c r="B49" i="6"/>
  <c r="A49" i="6"/>
  <c r="AV48" i="6"/>
  <c r="AU48" i="6"/>
  <c r="AT48" i="6"/>
  <c r="AS48" i="6"/>
  <c r="AR48" i="6"/>
  <c r="AQ48" i="6"/>
  <c r="AP48" i="6"/>
  <c r="AO48" i="6"/>
  <c r="AN48" i="6"/>
  <c r="AM48" i="6"/>
  <c r="AL48" i="6"/>
  <c r="AK48" i="6"/>
  <c r="AJ48" i="6"/>
  <c r="AI48" i="6"/>
  <c r="AH48" i="6"/>
  <c r="AG48" i="6"/>
  <c r="AF48" i="6"/>
  <c r="AE48" i="6"/>
  <c r="B48" i="6"/>
  <c r="C48" i="6" s="1" a="1"/>
  <c r="C48" i="6" s="1"/>
  <c r="A48" i="6"/>
  <c r="AV47" i="6"/>
  <c r="AU47" i="6"/>
  <c r="AT47" i="6"/>
  <c r="AS47" i="6"/>
  <c r="AR47" i="6"/>
  <c r="AQ47" i="6"/>
  <c r="AP47" i="6"/>
  <c r="AO47" i="6"/>
  <c r="AN47" i="6"/>
  <c r="AM47" i="6"/>
  <c r="AL47" i="6"/>
  <c r="AK47" i="6"/>
  <c r="AJ47" i="6"/>
  <c r="AI47" i="6"/>
  <c r="AH47" i="6"/>
  <c r="AG47" i="6"/>
  <c r="AF47" i="6"/>
  <c r="AE47" i="6"/>
  <c r="B47" i="6"/>
  <c r="C47" i="6" s="1" a="1"/>
  <c r="C47" i="6" s="1"/>
  <c r="A47" i="6"/>
  <c r="AV46" i="6"/>
  <c r="AU46" i="6"/>
  <c r="AT46" i="6"/>
  <c r="AS46" i="6"/>
  <c r="AR46" i="6"/>
  <c r="AQ46" i="6"/>
  <c r="AP46" i="6"/>
  <c r="AO46" i="6"/>
  <c r="AN46" i="6"/>
  <c r="AM46" i="6"/>
  <c r="AL46" i="6"/>
  <c r="AK46" i="6"/>
  <c r="AJ46" i="6"/>
  <c r="AI46" i="6"/>
  <c r="AH46" i="6"/>
  <c r="AG46" i="6"/>
  <c r="AF46" i="6"/>
  <c r="AE46" i="6"/>
  <c r="C46" i="6" a="1"/>
  <c r="C46" i="6" s="1"/>
  <c r="B46" i="6"/>
  <c r="A46" i="6"/>
  <c r="AV45" i="6"/>
  <c r="AU45" i="6"/>
  <c r="AT45" i="6"/>
  <c r="AS45" i="6"/>
  <c r="AR45" i="6"/>
  <c r="AQ45" i="6"/>
  <c r="AP45" i="6"/>
  <c r="AO45" i="6"/>
  <c r="AN45" i="6"/>
  <c r="AM45" i="6"/>
  <c r="AL45" i="6"/>
  <c r="AK45" i="6"/>
  <c r="AJ45" i="6"/>
  <c r="AI45" i="6"/>
  <c r="AH45" i="6"/>
  <c r="AG45" i="6"/>
  <c r="AF45" i="6"/>
  <c r="AE45" i="6"/>
  <c r="B45" i="6"/>
  <c r="C45" i="6" s="1" a="1"/>
  <c r="C45" i="6" s="1"/>
  <c r="A45" i="6"/>
  <c r="AV44" i="6"/>
  <c r="AU44" i="6"/>
  <c r="AT44" i="6"/>
  <c r="AS44" i="6"/>
  <c r="AR44" i="6"/>
  <c r="AQ44" i="6"/>
  <c r="AP44" i="6"/>
  <c r="AO44" i="6"/>
  <c r="AN44" i="6"/>
  <c r="AM44" i="6"/>
  <c r="AL44" i="6"/>
  <c r="AK44" i="6"/>
  <c r="AJ44" i="6"/>
  <c r="AI44" i="6"/>
  <c r="AH44" i="6"/>
  <c r="AG44" i="6"/>
  <c r="AF44" i="6"/>
  <c r="AE44" i="6"/>
  <c r="B44" i="6"/>
  <c r="C44" i="6" s="1" a="1"/>
  <c r="C44" i="6" s="1"/>
  <c r="A44" i="6"/>
  <c r="AV43" i="6"/>
  <c r="AU43" i="6"/>
  <c r="AT43" i="6"/>
  <c r="AS43" i="6"/>
  <c r="AR43" i="6"/>
  <c r="AQ43" i="6"/>
  <c r="AP43" i="6"/>
  <c r="AO43" i="6"/>
  <c r="AN43" i="6"/>
  <c r="AM43" i="6"/>
  <c r="AL43" i="6"/>
  <c r="AK43" i="6"/>
  <c r="AJ43" i="6"/>
  <c r="AI43" i="6"/>
  <c r="AH43" i="6"/>
  <c r="AG43" i="6"/>
  <c r="AF43" i="6"/>
  <c r="AE43" i="6"/>
  <c r="C43" i="6" a="1"/>
  <c r="C43" i="6" s="1"/>
  <c r="B43" i="6"/>
  <c r="A43" i="6"/>
  <c r="AV42" i="6"/>
  <c r="AU42" i="6"/>
  <c r="AT42" i="6"/>
  <c r="AS42" i="6"/>
  <c r="AR42" i="6"/>
  <c r="AQ42" i="6"/>
  <c r="AP42" i="6"/>
  <c r="AO42" i="6"/>
  <c r="AN42" i="6"/>
  <c r="AM42" i="6"/>
  <c r="AL42" i="6"/>
  <c r="AK42" i="6"/>
  <c r="AJ42" i="6"/>
  <c r="AI42" i="6"/>
  <c r="AH42" i="6"/>
  <c r="AG42" i="6"/>
  <c r="AF42" i="6"/>
  <c r="AE42" i="6"/>
  <c r="C42" i="6"/>
  <c r="B42" i="6"/>
  <c r="C42" i="6" s="1" a="1"/>
  <c r="A42" i="6"/>
  <c r="AV41" i="6"/>
  <c r="AU41" i="6"/>
  <c r="AT41" i="6"/>
  <c r="AS41" i="6"/>
  <c r="AR41" i="6"/>
  <c r="AQ41" i="6"/>
  <c r="AP41" i="6"/>
  <c r="AO41" i="6"/>
  <c r="AN41" i="6"/>
  <c r="AM41" i="6"/>
  <c r="AL41" i="6"/>
  <c r="AK41" i="6"/>
  <c r="AJ41" i="6"/>
  <c r="AI41" i="6"/>
  <c r="AH41" i="6"/>
  <c r="AG41" i="6"/>
  <c r="AF41" i="6"/>
  <c r="AE41" i="6"/>
  <c r="C41" i="6" a="1"/>
  <c r="C41" i="6" s="1"/>
  <c r="B41" i="6"/>
  <c r="A41" i="6"/>
  <c r="AV40" i="6"/>
  <c r="AU40" i="6"/>
  <c r="AT40" i="6"/>
  <c r="AS40" i="6"/>
  <c r="AR40" i="6"/>
  <c r="AQ40" i="6"/>
  <c r="AP40" i="6"/>
  <c r="AO40" i="6"/>
  <c r="AN40" i="6"/>
  <c r="AM40" i="6"/>
  <c r="AL40" i="6"/>
  <c r="AK40" i="6"/>
  <c r="AJ40" i="6"/>
  <c r="AI40" i="6"/>
  <c r="AH40" i="6"/>
  <c r="AG40" i="6"/>
  <c r="AF40" i="6"/>
  <c r="AE40" i="6"/>
  <c r="B40" i="6"/>
  <c r="C40" i="6" s="1" a="1"/>
  <c r="C40" i="6" s="1"/>
  <c r="A40" i="6"/>
  <c r="AV39" i="6"/>
  <c r="AU39" i="6"/>
  <c r="AT39" i="6"/>
  <c r="AS39" i="6"/>
  <c r="AR39" i="6"/>
  <c r="AQ39" i="6"/>
  <c r="AP39" i="6"/>
  <c r="AO39" i="6"/>
  <c r="AN39" i="6"/>
  <c r="AM39" i="6"/>
  <c r="AL39" i="6"/>
  <c r="AK39" i="6"/>
  <c r="AJ39" i="6"/>
  <c r="AI39" i="6"/>
  <c r="AH39" i="6"/>
  <c r="AG39" i="6"/>
  <c r="AF39" i="6"/>
  <c r="AE39" i="6"/>
  <c r="B39" i="6"/>
  <c r="C39" i="6" s="1" a="1"/>
  <c r="C39" i="6" s="1"/>
  <c r="A39" i="6"/>
  <c r="AV38" i="6"/>
  <c r="AU38" i="6"/>
  <c r="AT38" i="6"/>
  <c r="AS38" i="6"/>
  <c r="AR38" i="6"/>
  <c r="AQ38" i="6"/>
  <c r="AP38" i="6"/>
  <c r="AO38" i="6"/>
  <c r="AN38" i="6"/>
  <c r="AM38" i="6"/>
  <c r="AL38" i="6"/>
  <c r="AK38" i="6"/>
  <c r="AJ38" i="6"/>
  <c r="AI38" i="6"/>
  <c r="AH38" i="6"/>
  <c r="AG38" i="6"/>
  <c r="AF38" i="6"/>
  <c r="AE38" i="6"/>
  <c r="B38" i="6"/>
  <c r="C38" i="6" s="1" a="1"/>
  <c r="C38" i="6" s="1"/>
  <c r="A38" i="6"/>
  <c r="AV37" i="6"/>
  <c r="AU37" i="6"/>
  <c r="AT37" i="6"/>
  <c r="AS37" i="6"/>
  <c r="AR37" i="6"/>
  <c r="AQ37" i="6"/>
  <c r="AP37" i="6"/>
  <c r="AO37" i="6"/>
  <c r="AN37" i="6"/>
  <c r="AM37" i="6"/>
  <c r="AL37" i="6"/>
  <c r="AK37" i="6"/>
  <c r="AJ37" i="6"/>
  <c r="AI37" i="6"/>
  <c r="AH37" i="6"/>
  <c r="AG37" i="6"/>
  <c r="AF37" i="6"/>
  <c r="AE37" i="6"/>
  <c r="B37" i="6"/>
  <c r="C37" i="6" s="1" a="1"/>
  <c r="C37" i="6" s="1"/>
  <c r="A37" i="6"/>
  <c r="AV36" i="6"/>
  <c r="AU36" i="6"/>
  <c r="AT36" i="6"/>
  <c r="AS36" i="6"/>
  <c r="AR36" i="6"/>
  <c r="AQ36" i="6"/>
  <c r="AP36" i="6"/>
  <c r="AO36" i="6"/>
  <c r="AN36" i="6"/>
  <c r="AM36" i="6"/>
  <c r="AL36" i="6"/>
  <c r="AK36" i="6"/>
  <c r="AJ36" i="6"/>
  <c r="AI36" i="6"/>
  <c r="AH36" i="6"/>
  <c r="AG36" i="6"/>
  <c r="AF36" i="6"/>
  <c r="AE36" i="6"/>
  <c r="C36" i="6" a="1"/>
  <c r="C36" i="6" s="1"/>
  <c r="B36" i="6"/>
  <c r="A36" i="6"/>
  <c r="AV35" i="6"/>
  <c r="AU35" i="6"/>
  <c r="AT35" i="6"/>
  <c r="AS35" i="6"/>
  <c r="AR35" i="6"/>
  <c r="AQ35" i="6"/>
  <c r="AP35" i="6"/>
  <c r="AO35" i="6"/>
  <c r="AN35" i="6"/>
  <c r="AM35" i="6"/>
  <c r="AL35" i="6"/>
  <c r="AK35" i="6"/>
  <c r="AJ35" i="6"/>
  <c r="AI35" i="6"/>
  <c r="AH35" i="6"/>
  <c r="AG35" i="6"/>
  <c r="AF35" i="6"/>
  <c r="AE35" i="6"/>
  <c r="C35" i="6" a="1"/>
  <c r="C35" i="6" s="1"/>
  <c r="B35" i="6"/>
  <c r="A35" i="6"/>
  <c r="AV34" i="6"/>
  <c r="AU34" i="6"/>
  <c r="AT34" i="6"/>
  <c r="AS34" i="6"/>
  <c r="AR34" i="6"/>
  <c r="AQ34" i="6"/>
  <c r="AP34" i="6"/>
  <c r="AO34" i="6"/>
  <c r="AN34" i="6"/>
  <c r="AM34" i="6"/>
  <c r="AL34" i="6"/>
  <c r="AK34" i="6"/>
  <c r="AJ34" i="6"/>
  <c r="AI34" i="6"/>
  <c r="AH34" i="6"/>
  <c r="AG34" i="6"/>
  <c r="AF34" i="6"/>
  <c r="AE34" i="6"/>
  <c r="B34" i="6"/>
  <c r="C34" i="6" s="1" a="1"/>
  <c r="C34" i="6" s="1"/>
  <c r="A34" i="6"/>
  <c r="AV33" i="6"/>
  <c r="AU33" i="6"/>
  <c r="AT33" i="6"/>
  <c r="AS33" i="6"/>
  <c r="AR33" i="6"/>
  <c r="AQ33" i="6"/>
  <c r="AP33" i="6"/>
  <c r="AO33" i="6"/>
  <c r="AN33" i="6"/>
  <c r="AM33" i="6"/>
  <c r="AL33" i="6"/>
  <c r="AK33" i="6"/>
  <c r="AJ33" i="6"/>
  <c r="AI33" i="6"/>
  <c r="AH33" i="6"/>
  <c r="AG33" i="6"/>
  <c r="AF33" i="6"/>
  <c r="AE33" i="6"/>
  <c r="B33" i="6"/>
  <c r="C33" i="6" s="1" a="1"/>
  <c r="C33" i="6" s="1"/>
  <c r="A33" i="6"/>
  <c r="AV32" i="6"/>
  <c r="AU32" i="6"/>
  <c r="AT32" i="6"/>
  <c r="AS32" i="6"/>
  <c r="AR32" i="6"/>
  <c r="AQ32" i="6"/>
  <c r="AP32" i="6"/>
  <c r="AO32" i="6"/>
  <c r="AN32" i="6"/>
  <c r="AM32" i="6"/>
  <c r="AL32" i="6"/>
  <c r="AK32" i="6"/>
  <c r="AJ32" i="6"/>
  <c r="AI32" i="6"/>
  <c r="AH32" i="6"/>
  <c r="AG32" i="6"/>
  <c r="AF32" i="6"/>
  <c r="AE32" i="6"/>
  <c r="B32" i="6"/>
  <c r="C32" i="6" s="1" a="1"/>
  <c r="C32" i="6" s="1"/>
  <c r="A32" i="6"/>
  <c r="AV31" i="6"/>
  <c r="AU31" i="6"/>
  <c r="AT31" i="6"/>
  <c r="AS31" i="6"/>
  <c r="AR31" i="6"/>
  <c r="AQ31" i="6"/>
  <c r="AP31" i="6"/>
  <c r="AO31" i="6"/>
  <c r="AN31" i="6"/>
  <c r="AM31" i="6"/>
  <c r="AL31" i="6"/>
  <c r="AK31" i="6"/>
  <c r="AJ31" i="6"/>
  <c r="AI31" i="6"/>
  <c r="AH31" i="6"/>
  <c r="AG31" i="6"/>
  <c r="AF31" i="6"/>
  <c r="AE31" i="6"/>
  <c r="C31" i="6" a="1"/>
  <c r="C31" i="6" s="1"/>
  <c r="B31" i="6"/>
  <c r="A31" i="6"/>
  <c r="AV30" i="6"/>
  <c r="AU30" i="6"/>
  <c r="AT30" i="6"/>
  <c r="AS30" i="6"/>
  <c r="AR30" i="6"/>
  <c r="AQ30" i="6"/>
  <c r="AP30" i="6"/>
  <c r="AO30" i="6"/>
  <c r="AN30" i="6"/>
  <c r="AM30" i="6"/>
  <c r="AL30" i="6"/>
  <c r="AK30" i="6"/>
  <c r="AJ30" i="6"/>
  <c r="AI30" i="6"/>
  <c r="AH30" i="6"/>
  <c r="AG30" i="6"/>
  <c r="AF30" i="6"/>
  <c r="AE30" i="6"/>
  <c r="C30" i="6"/>
  <c r="B30" i="6"/>
  <c r="C30" i="6" s="1" a="1"/>
  <c r="A30" i="6"/>
  <c r="AV29" i="6"/>
  <c r="AU29" i="6"/>
  <c r="AT29" i="6"/>
  <c r="AS29" i="6"/>
  <c r="AR29" i="6"/>
  <c r="AQ29" i="6"/>
  <c r="AP29" i="6"/>
  <c r="AO29" i="6"/>
  <c r="AN29" i="6"/>
  <c r="AM29" i="6"/>
  <c r="AL29" i="6"/>
  <c r="AK29" i="6"/>
  <c r="AJ29" i="6"/>
  <c r="AI29" i="6"/>
  <c r="AH29" i="6"/>
  <c r="AG29" i="6"/>
  <c r="AF29" i="6"/>
  <c r="AE29" i="6"/>
  <c r="C29" i="6" a="1"/>
  <c r="C29" i="6" s="1"/>
  <c r="B29" i="6"/>
  <c r="A29" i="6"/>
  <c r="AV28" i="6"/>
  <c r="AU28" i="6"/>
  <c r="AT28" i="6"/>
  <c r="AS28" i="6"/>
  <c r="AR28" i="6"/>
  <c r="AQ28" i="6"/>
  <c r="AP28" i="6"/>
  <c r="AO28" i="6"/>
  <c r="AN28" i="6"/>
  <c r="AM28" i="6"/>
  <c r="AL28" i="6"/>
  <c r="AK28" i="6"/>
  <c r="AJ28" i="6"/>
  <c r="AI28" i="6"/>
  <c r="AH28" i="6"/>
  <c r="AG28" i="6"/>
  <c r="AF28" i="6"/>
  <c r="AE28" i="6"/>
  <c r="B28" i="6"/>
  <c r="C28" i="6" s="1" a="1"/>
  <c r="C28" i="6" s="1"/>
  <c r="A28" i="6"/>
  <c r="AV27" i="6"/>
  <c r="AU27" i="6"/>
  <c r="AT27" i="6"/>
  <c r="AS27" i="6"/>
  <c r="AR27" i="6"/>
  <c r="AQ27" i="6"/>
  <c r="AP27" i="6"/>
  <c r="AO27" i="6"/>
  <c r="AN27" i="6"/>
  <c r="AM27" i="6"/>
  <c r="AL27" i="6"/>
  <c r="AK27" i="6"/>
  <c r="AJ27" i="6"/>
  <c r="AI27" i="6"/>
  <c r="AH27" i="6"/>
  <c r="AG27" i="6"/>
  <c r="AF27" i="6"/>
  <c r="AE27" i="6"/>
  <c r="C27" i="6" a="1"/>
  <c r="C27" i="6" s="1"/>
  <c r="B27" i="6"/>
  <c r="A27" i="6"/>
  <c r="AV26" i="6"/>
  <c r="AU26" i="6"/>
  <c r="AT26" i="6"/>
  <c r="AS26" i="6"/>
  <c r="AR26" i="6"/>
  <c r="AQ26" i="6"/>
  <c r="AP26" i="6"/>
  <c r="AO26" i="6"/>
  <c r="AN26" i="6"/>
  <c r="AM26" i="6"/>
  <c r="AL26" i="6"/>
  <c r="AK26" i="6"/>
  <c r="AJ26" i="6"/>
  <c r="AI26" i="6"/>
  <c r="AH26" i="6"/>
  <c r="AG26" i="6"/>
  <c r="AF26" i="6"/>
  <c r="AE26" i="6"/>
  <c r="B26" i="6"/>
  <c r="C26" i="6" s="1" a="1"/>
  <c r="C26" i="6" s="1"/>
  <c r="A26" i="6"/>
  <c r="AV25" i="6"/>
  <c r="AU25" i="6"/>
  <c r="AT25" i="6"/>
  <c r="AS25" i="6"/>
  <c r="AR25" i="6"/>
  <c r="AQ25" i="6"/>
  <c r="AP25" i="6"/>
  <c r="AO25" i="6"/>
  <c r="AN25" i="6"/>
  <c r="AM25" i="6"/>
  <c r="AL25" i="6"/>
  <c r="AK25" i="6"/>
  <c r="AJ25" i="6"/>
  <c r="AI25" i="6"/>
  <c r="AH25" i="6"/>
  <c r="AG25" i="6"/>
  <c r="AF25" i="6"/>
  <c r="AE25" i="6"/>
  <c r="B25" i="6"/>
  <c r="C25" i="6" s="1" a="1"/>
  <c r="C25" i="6" s="1"/>
  <c r="A25" i="6"/>
  <c r="AV24" i="6"/>
  <c r="AU24" i="6"/>
  <c r="AT24" i="6"/>
  <c r="AS24" i="6"/>
  <c r="AR24" i="6"/>
  <c r="AQ24" i="6"/>
  <c r="AP24" i="6"/>
  <c r="AO24" i="6"/>
  <c r="AN24" i="6"/>
  <c r="AM24" i="6"/>
  <c r="AL24" i="6"/>
  <c r="AK24" i="6"/>
  <c r="AJ24" i="6"/>
  <c r="AI24" i="6"/>
  <c r="AH24" i="6"/>
  <c r="AG24" i="6"/>
  <c r="AF24" i="6"/>
  <c r="AE24" i="6"/>
  <c r="C24" i="6" a="1"/>
  <c r="C24" i="6" s="1"/>
  <c r="B24" i="6"/>
  <c r="A24" i="6"/>
  <c r="AV23" i="6"/>
  <c r="AU23" i="6"/>
  <c r="AT23" i="6"/>
  <c r="AS23" i="6"/>
  <c r="AR23" i="6"/>
  <c r="AQ23" i="6"/>
  <c r="AP23" i="6"/>
  <c r="AO23" i="6"/>
  <c r="AN23" i="6"/>
  <c r="AM23" i="6"/>
  <c r="AL23" i="6"/>
  <c r="AK23" i="6"/>
  <c r="AJ23" i="6"/>
  <c r="AI23" i="6"/>
  <c r="AH23" i="6"/>
  <c r="AG23" i="6"/>
  <c r="AF23" i="6"/>
  <c r="AE23" i="6"/>
  <c r="B23" i="6"/>
  <c r="C23" i="6" s="1" a="1"/>
  <c r="C23" i="6" s="1"/>
  <c r="A23" i="6"/>
  <c r="AV22" i="6"/>
  <c r="AU22" i="6"/>
  <c r="AT22" i="6"/>
  <c r="AS22" i="6"/>
  <c r="AR22" i="6"/>
  <c r="AQ22" i="6"/>
  <c r="AP22" i="6"/>
  <c r="AO22" i="6"/>
  <c r="AN22" i="6"/>
  <c r="AM22" i="6"/>
  <c r="AL22" i="6"/>
  <c r="AK22" i="6"/>
  <c r="AJ22" i="6"/>
  <c r="AI22" i="6"/>
  <c r="AH22" i="6"/>
  <c r="AG22" i="6"/>
  <c r="AF22" i="6"/>
  <c r="AE22" i="6"/>
  <c r="C22" i="6" a="1"/>
  <c r="C22" i="6"/>
  <c r="B22" i="6"/>
  <c r="A22" i="6"/>
  <c r="AV21" i="6"/>
  <c r="AU21" i="6"/>
  <c r="AT21" i="6"/>
  <c r="AS21" i="6"/>
  <c r="AR21" i="6"/>
  <c r="AQ21" i="6"/>
  <c r="AP21" i="6"/>
  <c r="AO21" i="6"/>
  <c r="AN21" i="6"/>
  <c r="AM21" i="6"/>
  <c r="AL21" i="6"/>
  <c r="AK21" i="6"/>
  <c r="AJ21" i="6"/>
  <c r="AI21" i="6"/>
  <c r="AH21" i="6"/>
  <c r="AG21" i="6"/>
  <c r="AF21" i="6"/>
  <c r="AE21" i="6"/>
  <c r="C21" i="6" a="1"/>
  <c r="C21" i="6" s="1"/>
  <c r="B21" i="6"/>
  <c r="A21" i="6"/>
  <c r="AV20" i="6"/>
  <c r="AU20" i="6"/>
  <c r="AT20" i="6"/>
  <c r="AS20" i="6"/>
  <c r="AR20" i="6"/>
  <c r="AQ20" i="6"/>
  <c r="AP20" i="6"/>
  <c r="AO20" i="6"/>
  <c r="AN20" i="6"/>
  <c r="AM20" i="6"/>
  <c r="AL20" i="6"/>
  <c r="AK20" i="6"/>
  <c r="AJ20" i="6"/>
  <c r="AI20" i="6"/>
  <c r="AH20" i="6"/>
  <c r="AG20" i="6"/>
  <c r="AF20" i="6"/>
  <c r="AE20" i="6"/>
  <c r="C20" i="6"/>
  <c r="B20" i="6"/>
  <c r="C20" i="6" s="1" a="1"/>
  <c r="A20" i="6"/>
  <c r="AV19" i="6"/>
  <c r="AU19" i="6"/>
  <c r="AT19" i="6"/>
  <c r="AS19" i="6"/>
  <c r="AR19" i="6"/>
  <c r="AQ19" i="6"/>
  <c r="AP19" i="6"/>
  <c r="AO19" i="6"/>
  <c r="AN19" i="6"/>
  <c r="AM19" i="6"/>
  <c r="AL19" i="6"/>
  <c r="AK19" i="6"/>
  <c r="AJ19" i="6"/>
  <c r="AI19" i="6"/>
  <c r="AH19" i="6"/>
  <c r="AG19" i="6"/>
  <c r="AF19" i="6"/>
  <c r="AE19" i="6"/>
  <c r="C19" i="6"/>
  <c r="B19" i="6"/>
  <c r="C19" i="6" s="1" a="1"/>
  <c r="A19" i="6"/>
  <c r="AV18" i="6"/>
  <c r="AU18" i="6"/>
  <c r="AT18" i="6"/>
  <c r="AS18" i="6"/>
  <c r="AR18" i="6"/>
  <c r="AQ18" i="6"/>
  <c r="AP18" i="6"/>
  <c r="AO18" i="6"/>
  <c r="AN18" i="6"/>
  <c r="AM18" i="6"/>
  <c r="AL18" i="6"/>
  <c r="AK18" i="6"/>
  <c r="AJ18" i="6"/>
  <c r="AI18" i="6"/>
  <c r="AH18" i="6"/>
  <c r="AG18" i="6"/>
  <c r="AF18" i="6"/>
  <c r="AE18" i="6"/>
  <c r="C18" i="6" a="1"/>
  <c r="C18" i="6" s="1"/>
  <c r="B18" i="6"/>
  <c r="A18" i="6"/>
  <c r="AV17" i="6"/>
  <c r="AU17" i="6"/>
  <c r="AT17" i="6"/>
  <c r="AS17" i="6"/>
  <c r="AR17" i="6"/>
  <c r="AQ17" i="6"/>
  <c r="AP17" i="6"/>
  <c r="AO17" i="6"/>
  <c r="AN17" i="6"/>
  <c r="AM17" i="6"/>
  <c r="AL17" i="6"/>
  <c r="AK17" i="6"/>
  <c r="AJ17" i="6"/>
  <c r="AI17" i="6"/>
  <c r="AH17" i="6"/>
  <c r="AG17" i="6"/>
  <c r="AF17" i="6"/>
  <c r="AE17" i="6"/>
  <c r="B17" i="6"/>
  <c r="C17" i="6" s="1" a="1"/>
  <c r="C17" i="6" s="1"/>
  <c r="A17" i="6"/>
  <c r="AV16" i="6"/>
  <c r="AU16" i="6"/>
  <c r="AT16" i="6"/>
  <c r="AS16" i="6"/>
  <c r="AR16" i="6"/>
  <c r="AQ16" i="6"/>
  <c r="AP16" i="6"/>
  <c r="AO16" i="6"/>
  <c r="AN16" i="6"/>
  <c r="AM16" i="6"/>
  <c r="AL16" i="6"/>
  <c r="AK16" i="6"/>
  <c r="AJ16" i="6"/>
  <c r="AI16" i="6"/>
  <c r="AH16" i="6"/>
  <c r="AG16" i="6"/>
  <c r="AF16" i="6"/>
  <c r="AE16" i="6"/>
  <c r="B16" i="6"/>
  <c r="C16" i="6" s="1" a="1"/>
  <c r="C16" i="6" s="1"/>
  <c r="A16" i="6"/>
  <c r="AV15" i="6"/>
  <c r="AU15" i="6"/>
  <c r="AT15" i="6"/>
  <c r="AS15" i="6"/>
  <c r="AR15" i="6"/>
  <c r="AQ15" i="6"/>
  <c r="AP15" i="6"/>
  <c r="AO15" i="6"/>
  <c r="AN15" i="6"/>
  <c r="AM15" i="6"/>
  <c r="AL15" i="6"/>
  <c r="AK15" i="6"/>
  <c r="AJ15" i="6"/>
  <c r="AI15" i="6"/>
  <c r="AH15" i="6"/>
  <c r="AG15" i="6"/>
  <c r="AF15" i="6"/>
  <c r="AE15" i="6"/>
  <c r="D15" i="6"/>
  <c r="E15" i="6" s="1"/>
  <c r="D16" i="6" s="1"/>
  <c r="E16" i="6" s="1"/>
  <c r="D17" i="6" s="1"/>
  <c r="E17" i="6" s="1"/>
  <c r="D18" i="6" s="1"/>
  <c r="E18" i="6" s="1"/>
  <c r="D19" i="6" s="1"/>
  <c r="E19" i="6" s="1"/>
  <c r="D20" i="6" s="1"/>
  <c r="E20" i="6" s="1"/>
  <c r="D21" i="6" s="1"/>
  <c r="E21" i="6" s="1"/>
  <c r="D22" i="6" s="1"/>
  <c r="E22" i="6" s="1"/>
  <c r="D23" i="6" s="1"/>
  <c r="E23" i="6" s="1"/>
  <c r="D24" i="6" s="1"/>
  <c r="E24" i="6" s="1"/>
  <c r="D25" i="6" s="1"/>
  <c r="E25" i="6" s="1"/>
  <c r="D26" i="6" s="1"/>
  <c r="E26" i="6" s="1"/>
  <c r="D27" i="6" s="1"/>
  <c r="E27" i="6" s="1"/>
  <c r="D28" i="6" s="1"/>
  <c r="E28" i="6" s="1"/>
  <c r="D29" i="6" s="1"/>
  <c r="E29" i="6" s="1"/>
  <c r="D30" i="6" s="1"/>
  <c r="E30" i="6" s="1"/>
  <c r="D31" i="6" s="1"/>
  <c r="E31" i="6" s="1"/>
  <c r="D32" i="6" s="1"/>
  <c r="E32" i="6" s="1"/>
  <c r="D33" i="6" s="1"/>
  <c r="E33" i="6" s="1"/>
  <c r="D34" i="6" s="1"/>
  <c r="E34" i="6" s="1"/>
  <c r="D35" i="6" s="1"/>
  <c r="E35" i="6" s="1"/>
  <c r="D36" i="6" s="1"/>
  <c r="E36" i="6" s="1"/>
  <c r="D37" i="6" s="1"/>
  <c r="E37" i="6" s="1"/>
  <c r="D38" i="6" s="1"/>
  <c r="E38" i="6" s="1"/>
  <c r="D39" i="6" s="1"/>
  <c r="E39" i="6" s="1"/>
  <c r="D40" i="6" s="1"/>
  <c r="E40" i="6" s="1"/>
  <c r="D41" i="6" s="1"/>
  <c r="E41" i="6" s="1"/>
  <c r="D42" i="6" s="1"/>
  <c r="E42" i="6" s="1"/>
  <c r="D43" i="6" s="1"/>
  <c r="E43" i="6" s="1"/>
  <c r="D44" i="6" s="1"/>
  <c r="E44" i="6" s="1"/>
  <c r="D45" i="6" s="1"/>
  <c r="E45" i="6" s="1"/>
  <c r="D46" i="6" s="1"/>
  <c r="E46" i="6" s="1"/>
  <c r="D47" i="6" s="1"/>
  <c r="E47" i="6" s="1"/>
  <c r="D48" i="6" s="1"/>
  <c r="E48" i="6" s="1"/>
  <c r="D49" i="6" s="1"/>
  <c r="E49" i="6" s="1"/>
  <c r="D50" i="6" s="1"/>
  <c r="E50" i="6" s="1"/>
  <c r="D51" i="6" s="1"/>
  <c r="E51" i="6" s="1"/>
  <c r="D52" i="6" s="1"/>
  <c r="E52" i="6" s="1"/>
  <c r="D53" i="6" s="1"/>
  <c r="E53" i="6" s="1"/>
  <c r="D54" i="6" s="1"/>
  <c r="E54" i="6" s="1"/>
  <c r="D55" i="6" s="1"/>
  <c r="E55" i="6" s="1"/>
  <c r="D56" i="6" s="1"/>
  <c r="E56" i="6" s="1"/>
  <c r="D57" i="6" s="1"/>
  <c r="E57" i="6" s="1"/>
  <c r="D58" i="6" s="1"/>
  <c r="E58" i="6" s="1"/>
  <c r="D59" i="6" s="1"/>
  <c r="E59" i="6" s="1"/>
  <c r="D60" i="6" s="1"/>
  <c r="E60" i="6" s="1"/>
  <c r="D61" i="6" s="1"/>
  <c r="E61" i="6" s="1"/>
  <c r="D62" i="6" s="1"/>
  <c r="E62" i="6" s="1"/>
  <c r="D63" i="6" s="1"/>
  <c r="E63" i="6" s="1"/>
  <c r="D64" i="6" s="1"/>
  <c r="E64" i="6" s="1"/>
  <c r="D65" i="6" s="1"/>
  <c r="E65" i="6" s="1"/>
  <c r="D66" i="6" s="1"/>
  <c r="E66" i="6" s="1"/>
  <c r="D67" i="6" s="1"/>
  <c r="E67" i="6" s="1"/>
  <c r="D68" i="6" s="1"/>
  <c r="E68" i="6" s="1"/>
  <c r="D69" i="6" s="1"/>
  <c r="E69" i="6" s="1"/>
  <c r="D70" i="6" s="1"/>
  <c r="E70" i="6" s="1"/>
  <c r="D71" i="6" s="1"/>
  <c r="E71" i="6" s="1"/>
  <c r="D72" i="6" s="1"/>
  <c r="E72" i="6" s="1"/>
  <c r="D73" i="6" s="1"/>
  <c r="E73" i="6" s="1"/>
  <c r="D74" i="6" s="1"/>
  <c r="E74" i="6" s="1"/>
  <c r="D75" i="6" s="1"/>
  <c r="E75" i="6" s="1"/>
  <c r="D76" i="6" s="1"/>
  <c r="E76" i="6" s="1"/>
  <c r="D77" i="6" s="1"/>
  <c r="E77" i="6" s="1"/>
  <c r="D78" i="6" s="1"/>
  <c r="E78" i="6" s="1"/>
  <c r="D79" i="6" s="1"/>
  <c r="E79" i="6" s="1"/>
  <c r="D80" i="6" s="1"/>
  <c r="E80" i="6" s="1"/>
  <c r="C15" i="6" a="1"/>
  <c r="C15" i="6" s="1"/>
  <c r="B15" i="6"/>
  <c r="A15" i="6"/>
  <c r="AV14" i="6"/>
  <c r="AU14" i="6"/>
  <c r="AT14" i="6"/>
  <c r="AS14" i="6"/>
  <c r="AR14" i="6"/>
  <c r="AQ14" i="6"/>
  <c r="AP14" i="6"/>
  <c r="AO14" i="6"/>
  <c r="AN14" i="6"/>
  <c r="AM14" i="6"/>
  <c r="AL14" i="6"/>
  <c r="AK14" i="6"/>
  <c r="AJ14" i="6"/>
  <c r="AI14" i="6"/>
  <c r="AH14" i="6"/>
  <c r="AG14" i="6"/>
  <c r="AF14" i="6"/>
  <c r="AE14" i="6"/>
  <c r="B14" i="6"/>
  <c r="C14" i="6" s="1" a="1"/>
  <c r="C14" i="6" s="1"/>
  <c r="A14" i="6"/>
  <c r="AV13" i="6"/>
  <c r="AU13" i="6"/>
  <c r="AT13" i="6"/>
  <c r="AS13" i="6"/>
  <c r="AR13" i="6"/>
  <c r="AQ13" i="6"/>
  <c r="AP13" i="6"/>
  <c r="AO13" i="6"/>
  <c r="AN13" i="6"/>
  <c r="AM13" i="6"/>
  <c r="AL13" i="6"/>
  <c r="AK13" i="6"/>
  <c r="AJ13" i="6"/>
  <c r="AI13" i="6"/>
  <c r="AH13" i="6"/>
  <c r="AG13" i="6"/>
  <c r="AF13" i="6"/>
  <c r="AE13" i="6"/>
  <c r="C13" i="6" a="1"/>
  <c r="C13" i="6" s="1"/>
  <c r="B13" i="6"/>
  <c r="A13" i="6"/>
  <c r="AP12" i="6"/>
  <c r="AO12" i="6"/>
  <c r="AN12" i="6"/>
  <c r="AM12" i="6"/>
  <c r="AL12" i="6"/>
  <c r="AK12" i="6"/>
  <c r="AJ12" i="6"/>
  <c r="AI12" i="6"/>
  <c r="AH12" i="6"/>
  <c r="AG12" i="6"/>
  <c r="AF12" i="6"/>
  <c r="AE12" i="6"/>
  <c r="B12" i="6"/>
  <c r="C12" i="6" s="1" a="1"/>
  <c r="C12" i="6" s="1"/>
  <c r="A12" i="6"/>
  <c r="AP11" i="6"/>
  <c r="AO11" i="6"/>
  <c r="AN11" i="6"/>
  <c r="AM11" i="6"/>
  <c r="AL11" i="6"/>
  <c r="AK11" i="6"/>
  <c r="AJ11" i="6"/>
  <c r="AI11" i="6"/>
  <c r="AH11" i="6"/>
  <c r="AG11" i="6"/>
  <c r="AF11" i="6"/>
  <c r="AE11" i="6"/>
  <c r="C11" i="6" a="1"/>
  <c r="C11" i="6" s="1"/>
  <c r="B11" i="6"/>
  <c r="A11" i="6"/>
  <c r="AP10" i="6"/>
  <c r="AO10" i="6"/>
  <c r="AN10" i="6"/>
  <c r="AM10" i="6"/>
  <c r="AL10" i="6"/>
  <c r="AK10" i="6"/>
  <c r="AJ10" i="6"/>
  <c r="AI10" i="6"/>
  <c r="AH10" i="6"/>
  <c r="AG10" i="6"/>
  <c r="AF10" i="6"/>
  <c r="AE10" i="6"/>
  <c r="C10" i="6" a="1"/>
  <c r="C10" i="6" s="1"/>
  <c r="B10" i="6"/>
  <c r="A10" i="6"/>
  <c r="AP9" i="6"/>
  <c r="AO9" i="6"/>
  <c r="AN9" i="6"/>
  <c r="AM9" i="6"/>
  <c r="AL9" i="6"/>
  <c r="AK9" i="6"/>
  <c r="AJ9" i="6"/>
  <c r="AI9" i="6"/>
  <c r="AH9" i="6"/>
  <c r="AG9" i="6"/>
  <c r="AF9" i="6"/>
  <c r="AE9" i="6"/>
  <c r="D9" i="6"/>
  <c r="E9" i="6" s="1"/>
  <c r="D10" i="6" s="1"/>
  <c r="E10" i="6" s="1"/>
  <c r="D11" i="6" s="1"/>
  <c r="E11" i="6" s="1"/>
  <c r="D12" i="6" s="1"/>
  <c r="E12" i="6" s="1"/>
  <c r="D13" i="6" s="1"/>
  <c r="E13" i="6" s="1"/>
  <c r="D14" i="6" s="1"/>
  <c r="E14" i="6" s="1"/>
  <c r="B9" i="6"/>
  <c r="C9" i="6" s="1" a="1"/>
  <c r="C9" i="6" s="1"/>
  <c r="A9" i="6"/>
  <c r="AP8" i="6"/>
  <c r="AO8" i="6"/>
  <c r="AN8" i="6"/>
  <c r="AM8" i="6"/>
  <c r="AL8" i="6"/>
  <c r="AK8" i="6"/>
  <c r="AJ8" i="6"/>
  <c r="AI8" i="6"/>
  <c r="AH8" i="6"/>
  <c r="AG8" i="6"/>
  <c r="AF8" i="6"/>
  <c r="AE8" i="6"/>
  <c r="C8" i="6" a="1"/>
  <c r="C8" i="6" s="1"/>
  <c r="B8" i="6"/>
  <c r="A8" i="6"/>
  <c r="E1" i="6"/>
  <c r="CA318" i="5"/>
  <c r="BZ318" i="5"/>
  <c r="BY318" i="5"/>
  <c r="BW318" i="5"/>
  <c r="BV318" i="5"/>
  <c r="BT318" i="5"/>
  <c r="BP318" i="5"/>
  <c r="BO318" i="5"/>
  <c r="CB318" i="5" s="1"/>
  <c r="BK318" i="5"/>
  <c r="BJ318" i="5"/>
  <c r="BN318" i="5" s="1"/>
  <c r="BI318" i="5"/>
  <c r="BH318" i="5"/>
  <c r="BG318" i="5"/>
  <c r="BF318" i="5"/>
  <c r="BE318" i="5"/>
  <c r="BD318" i="5"/>
  <c r="BC318" i="5"/>
  <c r="BB318" i="5"/>
  <c r="BA318" i="5"/>
  <c r="AZ318" i="5"/>
  <c r="AY318" i="5"/>
  <c r="AX318" i="5"/>
  <c r="AW318" i="5"/>
  <c r="AV318" i="5"/>
  <c r="AU318" i="5"/>
  <c r="AT318" i="5"/>
  <c r="AS318" i="5"/>
  <c r="AR318" i="5"/>
  <c r="Z318" i="5"/>
  <c r="AA318" i="5" s="1"/>
  <c r="B318" i="5"/>
  <c r="C318" i="5" s="1" a="1"/>
  <c r="C318" i="5" s="1"/>
  <c r="A318" i="5"/>
  <c r="CA317" i="5"/>
  <c r="BZ317" i="5"/>
  <c r="BY317" i="5"/>
  <c r="BW317" i="5"/>
  <c r="BV317" i="5"/>
  <c r="BP317" i="5"/>
  <c r="BO317" i="5"/>
  <c r="BN317" i="5"/>
  <c r="BK317" i="5"/>
  <c r="BJ317" i="5"/>
  <c r="BI317" i="5"/>
  <c r="BH317" i="5"/>
  <c r="BG317" i="5"/>
  <c r="BF317" i="5"/>
  <c r="BE317" i="5"/>
  <c r="BD317" i="5"/>
  <c r="BC317" i="5"/>
  <c r="BB317" i="5"/>
  <c r="BA317" i="5"/>
  <c r="AZ317" i="5"/>
  <c r="AY317" i="5"/>
  <c r="AX317" i="5"/>
  <c r="AW317" i="5"/>
  <c r="AV317" i="5"/>
  <c r="AU317" i="5"/>
  <c r="AT317" i="5"/>
  <c r="AS317" i="5"/>
  <c r="AR317" i="5"/>
  <c r="AA317" i="5"/>
  <c r="Z317" i="5"/>
  <c r="B317" i="5"/>
  <c r="C317" i="5" s="1" a="1"/>
  <c r="C317" i="5" s="1"/>
  <c r="A317" i="5"/>
  <c r="BZ316" i="5"/>
  <c r="BY316" i="5"/>
  <c r="BW316" i="5"/>
  <c r="BV316" i="5"/>
  <c r="BP316" i="5"/>
  <c r="BO316" i="5"/>
  <c r="BN316" i="5"/>
  <c r="BK316" i="5"/>
  <c r="BJ316" i="5"/>
  <c r="BH316" i="5"/>
  <c r="BG316" i="5"/>
  <c r="BF316" i="5"/>
  <c r="BE316" i="5"/>
  <c r="BD316" i="5"/>
  <c r="BC316" i="5"/>
  <c r="BB316" i="5"/>
  <c r="BA316" i="5"/>
  <c r="AZ316" i="5"/>
  <c r="AY316" i="5"/>
  <c r="AX316" i="5"/>
  <c r="AW316" i="5"/>
  <c r="AV316" i="5"/>
  <c r="AU316" i="5"/>
  <c r="AT316" i="5"/>
  <c r="AS316" i="5"/>
  <c r="AR316" i="5"/>
  <c r="BI316" i="5" s="1"/>
  <c r="AA316" i="5"/>
  <c r="Z316" i="5"/>
  <c r="C316" i="5"/>
  <c r="B316" i="5"/>
  <c r="C316" i="5" s="1" a="1"/>
  <c r="A316" i="5"/>
  <c r="BZ315" i="5"/>
  <c r="BY315" i="5"/>
  <c r="CA315" i="5" s="1"/>
  <c r="BW315" i="5"/>
  <c r="BV315" i="5"/>
  <c r="BP315" i="5"/>
  <c r="CC315" i="5" s="1"/>
  <c r="BO315" i="5"/>
  <c r="BN315" i="5"/>
  <c r="BK315" i="5"/>
  <c r="BJ315" i="5"/>
  <c r="BH315" i="5"/>
  <c r="BG315" i="5"/>
  <c r="BF315" i="5"/>
  <c r="BE315" i="5"/>
  <c r="BD315" i="5"/>
  <c r="BC315" i="5"/>
  <c r="BB315" i="5"/>
  <c r="BA315" i="5"/>
  <c r="AZ315" i="5"/>
  <c r="AY315" i="5"/>
  <c r="AX315" i="5"/>
  <c r="AW315" i="5"/>
  <c r="AV315" i="5"/>
  <c r="AU315" i="5"/>
  <c r="AT315" i="5"/>
  <c r="AS315" i="5"/>
  <c r="AR315" i="5"/>
  <c r="Z315" i="5"/>
  <c r="AA315" i="5" s="1"/>
  <c r="B315" i="5"/>
  <c r="C315" i="5" s="1" a="1"/>
  <c r="C315" i="5" s="1"/>
  <c r="A315" i="5"/>
  <c r="BZ314" i="5"/>
  <c r="BY314" i="5"/>
  <c r="BW314" i="5"/>
  <c r="BV314" i="5"/>
  <c r="BU314" i="5"/>
  <c r="BT314" i="5"/>
  <c r="BS314" i="5"/>
  <c r="BX314" i="5" s="1"/>
  <c r="BP314" i="5"/>
  <c r="BO314" i="5"/>
  <c r="BN314" i="5"/>
  <c r="BK314" i="5"/>
  <c r="BJ314" i="5"/>
  <c r="BH314" i="5"/>
  <c r="BG314" i="5"/>
  <c r="BF314" i="5"/>
  <c r="BE314" i="5"/>
  <c r="BD314" i="5"/>
  <c r="BC314" i="5"/>
  <c r="BB314" i="5"/>
  <c r="BA314" i="5"/>
  <c r="AZ314" i="5"/>
  <c r="AY314" i="5"/>
  <c r="AX314" i="5"/>
  <c r="AW314" i="5"/>
  <c r="AV314" i="5"/>
  <c r="AU314" i="5"/>
  <c r="AT314" i="5"/>
  <c r="AS314" i="5"/>
  <c r="AR314" i="5"/>
  <c r="BI314" i="5" s="1"/>
  <c r="Z314" i="5"/>
  <c r="AA314" i="5" s="1"/>
  <c r="C314" i="5" a="1"/>
  <c r="C314" i="5" s="1"/>
  <c r="B314" i="5"/>
  <c r="A314" i="5"/>
  <c r="BZ313" i="5"/>
  <c r="BY313" i="5"/>
  <c r="CA313" i="5" s="1"/>
  <c r="BW313" i="5"/>
  <c r="BV313" i="5"/>
  <c r="BP313" i="5"/>
  <c r="BO313" i="5"/>
  <c r="BK313" i="5"/>
  <c r="BJ313" i="5"/>
  <c r="BN313" i="5" s="1"/>
  <c r="BH313" i="5"/>
  <c r="BG313" i="5"/>
  <c r="BF313" i="5"/>
  <c r="BE313" i="5"/>
  <c r="BD313" i="5"/>
  <c r="BC313" i="5"/>
  <c r="BB313" i="5"/>
  <c r="BA313" i="5"/>
  <c r="AZ313" i="5"/>
  <c r="AY313" i="5"/>
  <c r="AX313" i="5"/>
  <c r="AW313" i="5"/>
  <c r="AV313" i="5"/>
  <c r="AU313" i="5"/>
  <c r="AT313" i="5"/>
  <c r="AS313" i="5"/>
  <c r="AR313" i="5"/>
  <c r="Z313" i="5"/>
  <c r="AA313" i="5" s="1"/>
  <c r="B313" i="5"/>
  <c r="C313" i="5" s="1" a="1"/>
  <c r="C313" i="5" s="1"/>
  <c r="A313" i="5"/>
  <c r="BZ312" i="5"/>
  <c r="BY312" i="5"/>
  <c r="CB312" i="5" s="1"/>
  <c r="BW312" i="5"/>
  <c r="BV312" i="5"/>
  <c r="BU312" i="5"/>
  <c r="BT312" i="5"/>
  <c r="BP312" i="5"/>
  <c r="BO312" i="5"/>
  <c r="BK312" i="5"/>
  <c r="BJ312" i="5"/>
  <c r="BN312" i="5" s="1"/>
  <c r="BH312" i="5"/>
  <c r="BG312" i="5"/>
  <c r="BF312" i="5"/>
  <c r="BE312" i="5"/>
  <c r="BD312" i="5"/>
  <c r="BC312" i="5"/>
  <c r="BB312" i="5"/>
  <c r="BA312" i="5"/>
  <c r="AZ312" i="5"/>
  <c r="AY312" i="5"/>
  <c r="AX312" i="5"/>
  <c r="AW312" i="5"/>
  <c r="AV312" i="5"/>
  <c r="AU312" i="5"/>
  <c r="AT312" i="5"/>
  <c r="AS312" i="5"/>
  <c r="AR312" i="5"/>
  <c r="Z312" i="5"/>
  <c r="AA312" i="5" s="1"/>
  <c r="C312" i="5" a="1"/>
  <c r="C312" i="5" s="1"/>
  <c r="B312" i="5"/>
  <c r="A312" i="5"/>
  <c r="CB311" i="5"/>
  <c r="CA311" i="5"/>
  <c r="BZ311" i="5"/>
  <c r="CC311" i="5" s="1"/>
  <c r="BY311" i="5"/>
  <c r="BW311" i="5"/>
  <c r="BV311" i="5"/>
  <c r="BU311" i="5"/>
  <c r="BT311" i="5"/>
  <c r="BS311" i="5"/>
  <c r="BP311" i="5"/>
  <c r="BO311" i="5"/>
  <c r="BK311" i="5"/>
  <c r="BJ311" i="5"/>
  <c r="BI311" i="5"/>
  <c r="BH311" i="5"/>
  <c r="BG311" i="5"/>
  <c r="BF311" i="5"/>
  <c r="BE311" i="5"/>
  <c r="BD311" i="5"/>
  <c r="BC311" i="5"/>
  <c r="BB311" i="5"/>
  <c r="BA311" i="5"/>
  <c r="AZ311" i="5"/>
  <c r="AY311" i="5"/>
  <c r="AX311" i="5"/>
  <c r="AW311" i="5"/>
  <c r="AV311" i="5"/>
  <c r="AU311" i="5"/>
  <c r="AT311" i="5"/>
  <c r="AS311" i="5"/>
  <c r="AR311" i="5"/>
  <c r="AA311" i="5"/>
  <c r="Z311" i="5"/>
  <c r="C311" i="5" a="1"/>
  <c r="C311" i="5" s="1"/>
  <c r="B311" i="5"/>
  <c r="A311" i="5"/>
  <c r="CB310" i="5"/>
  <c r="BZ310" i="5"/>
  <c r="CC310" i="5" s="1"/>
  <c r="BY310" i="5"/>
  <c r="BW310" i="5"/>
  <c r="BV310" i="5"/>
  <c r="BU310" i="5"/>
  <c r="BT310" i="5"/>
  <c r="BP310" i="5"/>
  <c r="BO310" i="5"/>
  <c r="BS310" i="5" s="1"/>
  <c r="BK310" i="5"/>
  <c r="BJ310" i="5"/>
  <c r="BN310" i="5" s="1"/>
  <c r="BH310" i="5"/>
  <c r="BG310" i="5"/>
  <c r="BF310" i="5"/>
  <c r="BE310" i="5"/>
  <c r="BD310" i="5"/>
  <c r="BC310" i="5"/>
  <c r="BB310" i="5"/>
  <c r="BA310" i="5"/>
  <c r="AZ310" i="5"/>
  <c r="AY310" i="5"/>
  <c r="AX310" i="5"/>
  <c r="AW310" i="5"/>
  <c r="AV310" i="5"/>
  <c r="AU310" i="5"/>
  <c r="AT310" i="5"/>
  <c r="AS310" i="5"/>
  <c r="AR310" i="5"/>
  <c r="Z310" i="5"/>
  <c r="BI310" i="5" s="1"/>
  <c r="B310" i="5"/>
  <c r="C310" i="5" s="1" a="1"/>
  <c r="C310" i="5" s="1"/>
  <c r="A310" i="5"/>
  <c r="BZ309" i="5"/>
  <c r="CC309" i="5" s="1"/>
  <c r="BY309" i="5"/>
  <c r="BW309" i="5"/>
  <c r="BV309" i="5"/>
  <c r="BP309" i="5"/>
  <c r="BO309" i="5"/>
  <c r="BN309" i="5"/>
  <c r="BK309" i="5"/>
  <c r="BU309" i="5" s="1"/>
  <c r="BJ309" i="5"/>
  <c r="BH309" i="5"/>
  <c r="BG309" i="5"/>
  <c r="BF309" i="5"/>
  <c r="BE309" i="5"/>
  <c r="BD309" i="5"/>
  <c r="BC309" i="5"/>
  <c r="BB309" i="5"/>
  <c r="BA309" i="5"/>
  <c r="AZ309" i="5"/>
  <c r="AY309" i="5"/>
  <c r="AX309" i="5"/>
  <c r="AW309" i="5"/>
  <c r="AV309" i="5"/>
  <c r="AU309" i="5"/>
  <c r="AT309" i="5"/>
  <c r="AS309" i="5"/>
  <c r="AR309" i="5"/>
  <c r="BI309" i="5" s="1"/>
  <c r="AA309" i="5"/>
  <c r="Z309" i="5"/>
  <c r="B309" i="5"/>
  <c r="C309" i="5" s="1" a="1"/>
  <c r="C309" i="5" s="1"/>
  <c r="A309" i="5"/>
  <c r="CC308" i="5"/>
  <c r="CB308" i="5"/>
  <c r="BZ308" i="5"/>
  <c r="CA308" i="5" s="1"/>
  <c r="BY308" i="5"/>
  <c r="BW308" i="5"/>
  <c r="BV308" i="5"/>
  <c r="BP308" i="5"/>
  <c r="BU308" i="5" s="1"/>
  <c r="BO308" i="5"/>
  <c r="BK308" i="5"/>
  <c r="BJ308" i="5"/>
  <c r="BN308" i="5" s="1"/>
  <c r="BH308" i="5"/>
  <c r="BG308" i="5"/>
  <c r="BF308" i="5"/>
  <c r="BE308" i="5"/>
  <c r="BD308" i="5"/>
  <c r="BC308" i="5"/>
  <c r="BB308" i="5"/>
  <c r="BA308" i="5"/>
  <c r="AZ308" i="5"/>
  <c r="AY308" i="5"/>
  <c r="AX308" i="5"/>
  <c r="AW308" i="5"/>
  <c r="AV308" i="5"/>
  <c r="AU308" i="5"/>
  <c r="AT308" i="5"/>
  <c r="AS308" i="5"/>
  <c r="AR308" i="5"/>
  <c r="BI308" i="5" s="1"/>
  <c r="AA308" i="5"/>
  <c r="Z308" i="5"/>
  <c r="B308" i="5"/>
  <c r="C308" i="5" s="1" a="1"/>
  <c r="C308" i="5" s="1"/>
  <c r="A308" i="5"/>
  <c r="BZ307" i="5"/>
  <c r="CC307" i="5" s="1"/>
  <c r="BY307" i="5"/>
  <c r="CA307" i="5" s="1"/>
  <c r="BW307" i="5"/>
  <c r="BV307" i="5"/>
  <c r="BS307" i="5"/>
  <c r="CD307" i="5" s="1"/>
  <c r="BP307" i="5"/>
  <c r="BO307" i="5"/>
  <c r="CB307" i="5" s="1"/>
  <c r="BK307" i="5"/>
  <c r="BJ307" i="5"/>
  <c r="BN307" i="5" s="1"/>
  <c r="BH307" i="5"/>
  <c r="BG307" i="5"/>
  <c r="BF307" i="5"/>
  <c r="BE307" i="5"/>
  <c r="BD307" i="5"/>
  <c r="BC307" i="5"/>
  <c r="BB307" i="5"/>
  <c r="BA307" i="5"/>
  <c r="AZ307" i="5"/>
  <c r="AY307" i="5"/>
  <c r="AX307" i="5"/>
  <c r="AW307" i="5"/>
  <c r="AV307" i="5"/>
  <c r="AU307" i="5"/>
  <c r="AT307" i="5"/>
  <c r="AS307" i="5"/>
  <c r="AR307" i="5"/>
  <c r="BI307" i="5" s="1"/>
  <c r="AA307" i="5"/>
  <c r="Z307" i="5"/>
  <c r="B307" i="5"/>
  <c r="C307" i="5" s="1" a="1"/>
  <c r="C307" i="5" s="1"/>
  <c r="A307" i="5"/>
  <c r="CA306" i="5"/>
  <c r="BZ306" i="5"/>
  <c r="BY306" i="5"/>
  <c r="BW306" i="5"/>
  <c r="BV306" i="5"/>
  <c r="BP306" i="5"/>
  <c r="BO306" i="5"/>
  <c r="CB306" i="5" s="1"/>
  <c r="BK306" i="5"/>
  <c r="BJ306" i="5"/>
  <c r="BN306" i="5" s="1"/>
  <c r="BI306" i="5"/>
  <c r="BH306" i="5"/>
  <c r="BG306" i="5"/>
  <c r="BF306" i="5"/>
  <c r="BE306" i="5"/>
  <c r="BD306" i="5"/>
  <c r="BC306" i="5"/>
  <c r="BB306" i="5"/>
  <c r="BA306" i="5"/>
  <c r="AZ306" i="5"/>
  <c r="AY306" i="5"/>
  <c r="AX306" i="5"/>
  <c r="AW306" i="5"/>
  <c r="AV306" i="5"/>
  <c r="AU306" i="5"/>
  <c r="AT306" i="5"/>
  <c r="AS306" i="5"/>
  <c r="AR306" i="5"/>
  <c r="AA306" i="5"/>
  <c r="Z306" i="5"/>
  <c r="B306" i="5"/>
  <c r="C306" i="5" s="1" a="1"/>
  <c r="C306" i="5" s="1"/>
  <c r="A306" i="5"/>
  <c r="BZ305" i="5"/>
  <c r="BY305" i="5"/>
  <c r="BW305" i="5"/>
  <c r="BV305" i="5"/>
  <c r="BP305" i="5"/>
  <c r="BO305" i="5"/>
  <c r="BN305" i="5"/>
  <c r="BK305" i="5"/>
  <c r="BJ305" i="5"/>
  <c r="BI305" i="5"/>
  <c r="BH305" i="5"/>
  <c r="BG305" i="5"/>
  <c r="BF305" i="5"/>
  <c r="BE305" i="5"/>
  <c r="BD305" i="5"/>
  <c r="BC305" i="5"/>
  <c r="BB305" i="5"/>
  <c r="BA305" i="5"/>
  <c r="AZ305" i="5"/>
  <c r="AY305" i="5"/>
  <c r="AX305" i="5"/>
  <c r="AW305" i="5"/>
  <c r="AV305" i="5"/>
  <c r="AU305" i="5"/>
  <c r="AT305" i="5"/>
  <c r="AS305" i="5"/>
  <c r="AR305" i="5"/>
  <c r="Z305" i="5"/>
  <c r="AA305" i="5" s="1"/>
  <c r="C305" i="5"/>
  <c r="B305" i="5"/>
  <c r="C305" i="5" s="1" a="1"/>
  <c r="A305" i="5"/>
  <c r="CA304" i="5"/>
  <c r="BZ304" i="5"/>
  <c r="BY304" i="5"/>
  <c r="BW304" i="5"/>
  <c r="BV304" i="5"/>
  <c r="BP304" i="5"/>
  <c r="BO304" i="5"/>
  <c r="BK304" i="5"/>
  <c r="BN304" i="5" s="1"/>
  <c r="BJ304" i="5"/>
  <c r="BH304" i="5"/>
  <c r="BG304" i="5"/>
  <c r="BF304" i="5"/>
  <c r="BE304" i="5"/>
  <c r="BD304" i="5"/>
  <c r="BC304" i="5"/>
  <c r="BB304" i="5"/>
  <c r="BA304" i="5"/>
  <c r="AZ304" i="5"/>
  <c r="AY304" i="5"/>
  <c r="AX304" i="5"/>
  <c r="AW304" i="5"/>
  <c r="AV304" i="5"/>
  <c r="AU304" i="5"/>
  <c r="AT304" i="5"/>
  <c r="AS304" i="5"/>
  <c r="AR304" i="5"/>
  <c r="Z304" i="5"/>
  <c r="AA304" i="5" s="1"/>
  <c r="B304" i="5"/>
  <c r="C304" i="5" s="1" a="1"/>
  <c r="C304" i="5" s="1"/>
  <c r="A304" i="5"/>
  <c r="BZ303" i="5"/>
  <c r="CC303" i="5" s="1"/>
  <c r="BY303" i="5"/>
  <c r="BW303" i="5"/>
  <c r="BV303" i="5"/>
  <c r="BP303" i="5"/>
  <c r="BU303" i="5" s="1"/>
  <c r="BO303" i="5"/>
  <c r="BN303" i="5"/>
  <c r="BK303" i="5"/>
  <c r="BJ303" i="5"/>
  <c r="BH303" i="5"/>
  <c r="BG303" i="5"/>
  <c r="BF303" i="5"/>
  <c r="BE303" i="5"/>
  <c r="BD303" i="5"/>
  <c r="BC303" i="5"/>
  <c r="BB303" i="5"/>
  <c r="BA303" i="5"/>
  <c r="AZ303" i="5"/>
  <c r="AY303" i="5"/>
  <c r="AX303" i="5"/>
  <c r="AW303" i="5"/>
  <c r="AV303" i="5"/>
  <c r="AU303" i="5"/>
  <c r="AT303" i="5"/>
  <c r="AS303" i="5"/>
  <c r="AR303" i="5"/>
  <c r="AA303" i="5"/>
  <c r="Z303" i="5"/>
  <c r="BI303" i="5" s="1"/>
  <c r="B303" i="5"/>
  <c r="C303" i="5" s="1" a="1"/>
  <c r="C303" i="5" s="1"/>
  <c r="A303" i="5"/>
  <c r="CC302" i="5"/>
  <c r="BZ302" i="5"/>
  <c r="BY302" i="5"/>
  <c r="BW302" i="5"/>
  <c r="BV302" i="5"/>
  <c r="BP302" i="5"/>
  <c r="BO302" i="5"/>
  <c r="BN302" i="5"/>
  <c r="BK302" i="5"/>
  <c r="BJ302" i="5"/>
  <c r="BH302" i="5"/>
  <c r="BG302" i="5"/>
  <c r="BF302" i="5"/>
  <c r="BE302" i="5"/>
  <c r="BD302" i="5"/>
  <c r="BC302" i="5"/>
  <c r="BB302" i="5"/>
  <c r="BA302" i="5"/>
  <c r="AZ302" i="5"/>
  <c r="AY302" i="5"/>
  <c r="AX302" i="5"/>
  <c r="AW302" i="5"/>
  <c r="AV302" i="5"/>
  <c r="AU302" i="5"/>
  <c r="AT302" i="5"/>
  <c r="AS302" i="5"/>
  <c r="AR302" i="5"/>
  <c r="Z302" i="5"/>
  <c r="AA302" i="5" s="1"/>
  <c r="B302" i="5"/>
  <c r="C302" i="5" s="1" a="1"/>
  <c r="C302" i="5" s="1"/>
  <c r="A302" i="5"/>
  <c r="BZ301" i="5"/>
  <c r="CC301" i="5" s="1"/>
  <c r="BY301" i="5"/>
  <c r="BW301" i="5"/>
  <c r="BV301" i="5"/>
  <c r="BP301" i="5"/>
  <c r="BO301" i="5"/>
  <c r="CB301" i="5" s="1"/>
  <c r="BK301" i="5"/>
  <c r="BJ301" i="5"/>
  <c r="BH301" i="5"/>
  <c r="BG301" i="5"/>
  <c r="BF301" i="5"/>
  <c r="BE301" i="5"/>
  <c r="BD301" i="5"/>
  <c r="BC301" i="5"/>
  <c r="BB301" i="5"/>
  <c r="BA301" i="5"/>
  <c r="AZ301" i="5"/>
  <c r="AY301" i="5"/>
  <c r="AX301" i="5"/>
  <c r="AW301" i="5"/>
  <c r="AV301" i="5"/>
  <c r="AU301" i="5"/>
  <c r="AT301" i="5"/>
  <c r="AS301" i="5"/>
  <c r="AR301" i="5"/>
  <c r="Z301" i="5"/>
  <c r="AA301" i="5" s="1"/>
  <c r="C301" i="5" a="1"/>
  <c r="C301" i="5" s="1"/>
  <c r="B301" i="5"/>
  <c r="A301" i="5"/>
  <c r="BZ300" i="5"/>
  <c r="BY300" i="5"/>
  <c r="CA300" i="5" s="1"/>
  <c r="BW300" i="5"/>
  <c r="BV300" i="5"/>
  <c r="BP300" i="5"/>
  <c r="BO300" i="5"/>
  <c r="BN300" i="5"/>
  <c r="BK300" i="5"/>
  <c r="BJ300" i="5"/>
  <c r="BH300" i="5"/>
  <c r="BG300" i="5"/>
  <c r="BF300" i="5"/>
  <c r="BE300" i="5"/>
  <c r="BD300" i="5"/>
  <c r="BC300" i="5"/>
  <c r="BB300" i="5"/>
  <c r="BA300" i="5"/>
  <c r="AZ300" i="5"/>
  <c r="AY300" i="5"/>
  <c r="AX300" i="5"/>
  <c r="AW300" i="5"/>
  <c r="AV300" i="5"/>
  <c r="AU300" i="5"/>
  <c r="AT300" i="5"/>
  <c r="AS300" i="5"/>
  <c r="AR300" i="5"/>
  <c r="BI300" i="5" s="1"/>
  <c r="Z300" i="5"/>
  <c r="AA300" i="5" s="1"/>
  <c r="B300" i="5"/>
  <c r="C300" i="5" s="1" a="1"/>
  <c r="C300" i="5" s="1"/>
  <c r="A300" i="5"/>
  <c r="BZ299" i="5"/>
  <c r="BY299" i="5"/>
  <c r="CA299" i="5" s="1"/>
  <c r="BW299" i="5"/>
  <c r="BV299" i="5"/>
  <c r="BU299" i="5"/>
  <c r="BT299" i="5"/>
  <c r="BP299" i="5"/>
  <c r="BO299" i="5"/>
  <c r="BK299" i="5"/>
  <c r="BJ299" i="5"/>
  <c r="BN299" i="5" s="1"/>
  <c r="BH299" i="5"/>
  <c r="BG299" i="5"/>
  <c r="BF299" i="5"/>
  <c r="BE299" i="5"/>
  <c r="BD299" i="5"/>
  <c r="BC299" i="5"/>
  <c r="BB299" i="5"/>
  <c r="BA299" i="5"/>
  <c r="AZ299" i="5"/>
  <c r="AY299" i="5"/>
  <c r="AX299" i="5"/>
  <c r="AW299" i="5"/>
  <c r="AV299" i="5"/>
  <c r="AU299" i="5"/>
  <c r="AT299" i="5"/>
  <c r="AS299" i="5"/>
  <c r="AR299" i="5"/>
  <c r="Z299" i="5"/>
  <c r="C299" i="5" a="1"/>
  <c r="C299" i="5" s="1"/>
  <c r="B299" i="5"/>
  <c r="A299" i="5"/>
  <c r="CB298" i="5"/>
  <c r="CA298" i="5"/>
  <c r="BZ298" i="5"/>
  <c r="BY298" i="5"/>
  <c r="BW298" i="5"/>
  <c r="BV298" i="5"/>
  <c r="BT298" i="5"/>
  <c r="BS298" i="5"/>
  <c r="BP298" i="5"/>
  <c r="BO298" i="5"/>
  <c r="BK298" i="5"/>
  <c r="BJ298" i="5"/>
  <c r="BN298" i="5" s="1"/>
  <c r="BH298" i="5"/>
  <c r="BG298" i="5"/>
  <c r="BF298" i="5"/>
  <c r="BE298" i="5"/>
  <c r="BD298" i="5"/>
  <c r="BC298" i="5"/>
  <c r="BB298" i="5"/>
  <c r="BA298" i="5"/>
  <c r="AZ298" i="5"/>
  <c r="AY298" i="5"/>
  <c r="AX298" i="5"/>
  <c r="AW298" i="5"/>
  <c r="AV298" i="5"/>
  <c r="AU298" i="5"/>
  <c r="AT298" i="5"/>
  <c r="AS298" i="5"/>
  <c r="AR298" i="5"/>
  <c r="Z298" i="5"/>
  <c r="BI298" i="5" s="1"/>
  <c r="C298" i="5" a="1"/>
  <c r="C298" i="5" s="1"/>
  <c r="B298" i="5"/>
  <c r="A298" i="5"/>
  <c r="BZ297" i="5"/>
  <c r="CC297" i="5" s="1"/>
  <c r="BY297" i="5"/>
  <c r="CB297" i="5" s="1"/>
  <c r="BW297" i="5"/>
  <c r="BV297" i="5"/>
  <c r="BU297" i="5"/>
  <c r="BT297" i="5"/>
  <c r="BS297" i="5"/>
  <c r="BP297" i="5"/>
  <c r="BO297" i="5"/>
  <c r="BK297" i="5"/>
  <c r="BJ297" i="5"/>
  <c r="BN297" i="5" s="1"/>
  <c r="BH297" i="5"/>
  <c r="BG297" i="5"/>
  <c r="BF297" i="5"/>
  <c r="BE297" i="5"/>
  <c r="BD297" i="5"/>
  <c r="BC297" i="5"/>
  <c r="BB297" i="5"/>
  <c r="BA297" i="5"/>
  <c r="AZ297" i="5"/>
  <c r="AY297" i="5"/>
  <c r="AX297" i="5"/>
  <c r="AW297" i="5"/>
  <c r="AV297" i="5"/>
  <c r="AU297" i="5"/>
  <c r="AT297" i="5"/>
  <c r="AS297" i="5"/>
  <c r="AR297" i="5"/>
  <c r="BI297" i="5" s="1"/>
  <c r="AA297" i="5"/>
  <c r="Z297" i="5"/>
  <c r="C297" i="5" a="1"/>
  <c r="C297" i="5" s="1"/>
  <c r="B297" i="5"/>
  <c r="A297" i="5"/>
  <c r="BZ296" i="5"/>
  <c r="CC296" i="5" s="1"/>
  <c r="BY296" i="5"/>
  <c r="CB296" i="5" s="1"/>
  <c r="BW296" i="5"/>
  <c r="BV296" i="5"/>
  <c r="BT296" i="5"/>
  <c r="BP296" i="5"/>
  <c r="BO296" i="5"/>
  <c r="BS296" i="5" s="1"/>
  <c r="BK296" i="5"/>
  <c r="BU296" i="5" s="1"/>
  <c r="BJ296" i="5"/>
  <c r="BH296" i="5"/>
  <c r="BG296" i="5"/>
  <c r="BF296" i="5"/>
  <c r="BE296" i="5"/>
  <c r="BD296" i="5"/>
  <c r="BC296" i="5"/>
  <c r="BB296" i="5"/>
  <c r="BA296" i="5"/>
  <c r="AZ296" i="5"/>
  <c r="AY296" i="5"/>
  <c r="AX296" i="5"/>
  <c r="AW296" i="5"/>
  <c r="AV296" i="5"/>
  <c r="AU296" i="5"/>
  <c r="AT296" i="5"/>
  <c r="AS296" i="5"/>
  <c r="AR296" i="5"/>
  <c r="BI296" i="5" s="1"/>
  <c r="AA296" i="5"/>
  <c r="Z296" i="5"/>
  <c r="B296" i="5"/>
  <c r="C296" i="5" s="1" a="1"/>
  <c r="C296" i="5" s="1"/>
  <c r="A296" i="5"/>
  <c r="CC295" i="5"/>
  <c r="CB295" i="5"/>
  <c r="BZ295" i="5"/>
  <c r="BY295" i="5"/>
  <c r="CA295" i="5" s="1"/>
  <c r="BW295" i="5"/>
  <c r="BV295" i="5"/>
  <c r="BP295" i="5"/>
  <c r="BO295" i="5"/>
  <c r="BK295" i="5"/>
  <c r="BU295" i="5" s="1"/>
  <c r="BJ295" i="5"/>
  <c r="BI295" i="5"/>
  <c r="BH295" i="5"/>
  <c r="BG295" i="5"/>
  <c r="BF295" i="5"/>
  <c r="BE295" i="5"/>
  <c r="BD295" i="5"/>
  <c r="BC295" i="5"/>
  <c r="BB295" i="5"/>
  <c r="BA295" i="5"/>
  <c r="AZ295" i="5"/>
  <c r="AY295" i="5"/>
  <c r="AX295" i="5"/>
  <c r="AW295" i="5"/>
  <c r="AV295" i="5"/>
  <c r="AU295" i="5"/>
  <c r="AT295" i="5"/>
  <c r="AS295" i="5"/>
  <c r="AR295" i="5"/>
  <c r="AA295" i="5"/>
  <c r="Z295" i="5"/>
  <c r="B295" i="5"/>
  <c r="C295" i="5" s="1" a="1"/>
  <c r="C295" i="5" s="1"/>
  <c r="A295" i="5"/>
  <c r="CA294" i="5"/>
  <c r="BZ294" i="5"/>
  <c r="CC294" i="5" s="1"/>
  <c r="BY294" i="5"/>
  <c r="CB294" i="5" s="1"/>
  <c r="BW294" i="5"/>
  <c r="BV294" i="5"/>
  <c r="BP294" i="5"/>
  <c r="BO294" i="5"/>
  <c r="BN294" i="5"/>
  <c r="BK294" i="5"/>
  <c r="BJ294" i="5"/>
  <c r="BH294" i="5"/>
  <c r="BG294" i="5"/>
  <c r="BF294" i="5"/>
  <c r="BE294" i="5"/>
  <c r="BD294" i="5"/>
  <c r="BC294" i="5"/>
  <c r="BB294" i="5"/>
  <c r="BA294" i="5"/>
  <c r="AZ294" i="5"/>
  <c r="AY294" i="5"/>
  <c r="AX294" i="5"/>
  <c r="AW294" i="5"/>
  <c r="AV294" i="5"/>
  <c r="AU294" i="5"/>
  <c r="AT294" i="5"/>
  <c r="AS294" i="5"/>
  <c r="AR294" i="5"/>
  <c r="BI294" i="5" s="1"/>
  <c r="AA294" i="5"/>
  <c r="Z294" i="5"/>
  <c r="C294" i="5"/>
  <c r="B294" i="5"/>
  <c r="C294" i="5" s="1" a="1"/>
  <c r="A294" i="5"/>
  <c r="CA293" i="5"/>
  <c r="BZ293" i="5"/>
  <c r="BY293" i="5"/>
  <c r="BW293" i="5"/>
  <c r="BV293" i="5"/>
  <c r="BS293" i="5"/>
  <c r="BP293" i="5"/>
  <c r="BO293" i="5"/>
  <c r="BK293" i="5"/>
  <c r="BJ293" i="5"/>
  <c r="BN293" i="5" s="1"/>
  <c r="BI293" i="5"/>
  <c r="BH293" i="5"/>
  <c r="BG293" i="5"/>
  <c r="BF293" i="5"/>
  <c r="BE293" i="5"/>
  <c r="BD293" i="5"/>
  <c r="BC293" i="5"/>
  <c r="BB293" i="5"/>
  <c r="BA293" i="5"/>
  <c r="AZ293" i="5"/>
  <c r="AY293" i="5"/>
  <c r="AX293" i="5"/>
  <c r="AW293" i="5"/>
  <c r="AV293" i="5"/>
  <c r="AU293" i="5"/>
  <c r="AT293" i="5"/>
  <c r="AS293" i="5"/>
  <c r="AR293" i="5"/>
  <c r="AA293" i="5"/>
  <c r="Z293" i="5"/>
  <c r="C293" i="5"/>
  <c r="B293" i="5"/>
  <c r="C293" i="5" s="1" a="1"/>
  <c r="A293" i="5"/>
  <c r="BZ292" i="5"/>
  <c r="BY292" i="5"/>
  <c r="CA292" i="5" s="1"/>
  <c r="BW292" i="5"/>
  <c r="BV292" i="5"/>
  <c r="BP292" i="5"/>
  <c r="BO292" i="5"/>
  <c r="BK292" i="5"/>
  <c r="BN292" i="5" s="1"/>
  <c r="BJ292" i="5"/>
  <c r="BH292" i="5"/>
  <c r="BG292" i="5"/>
  <c r="BF292" i="5"/>
  <c r="BE292" i="5"/>
  <c r="BD292" i="5"/>
  <c r="BC292" i="5"/>
  <c r="BB292" i="5"/>
  <c r="BA292" i="5"/>
  <c r="AZ292" i="5"/>
  <c r="AY292" i="5"/>
  <c r="AX292" i="5"/>
  <c r="AW292" i="5"/>
  <c r="AV292" i="5"/>
  <c r="AU292" i="5"/>
  <c r="AT292" i="5"/>
  <c r="AS292" i="5"/>
  <c r="AR292" i="5"/>
  <c r="BI292" i="5" s="1"/>
  <c r="Z292" i="5"/>
  <c r="AA292" i="5" s="1"/>
  <c r="B292" i="5"/>
  <c r="C292" i="5" s="1" a="1"/>
  <c r="C292" i="5" s="1"/>
  <c r="A292" i="5"/>
  <c r="CC291" i="5"/>
  <c r="CB291" i="5"/>
  <c r="BZ291" i="5"/>
  <c r="BY291" i="5"/>
  <c r="CA291" i="5" s="1"/>
  <c r="BW291" i="5"/>
  <c r="BV291" i="5"/>
  <c r="BP291" i="5"/>
  <c r="BO291" i="5"/>
  <c r="BT291" i="5" s="1"/>
  <c r="BN291" i="5"/>
  <c r="BK291" i="5"/>
  <c r="BU291" i="5" s="1"/>
  <c r="BJ291" i="5"/>
  <c r="BI291" i="5"/>
  <c r="BH291" i="5"/>
  <c r="BG291" i="5"/>
  <c r="BF291" i="5"/>
  <c r="BE291" i="5"/>
  <c r="BD291" i="5"/>
  <c r="BC291" i="5"/>
  <c r="BB291" i="5"/>
  <c r="BA291" i="5"/>
  <c r="AZ291" i="5"/>
  <c r="AY291" i="5"/>
  <c r="AX291" i="5"/>
  <c r="AW291" i="5"/>
  <c r="AV291" i="5"/>
  <c r="AU291" i="5"/>
  <c r="AT291" i="5"/>
  <c r="AS291" i="5"/>
  <c r="AR291" i="5"/>
  <c r="Z291" i="5"/>
  <c r="AA291" i="5" s="1"/>
  <c r="B291" i="5"/>
  <c r="C291" i="5" s="1" a="1"/>
  <c r="C291" i="5" s="1"/>
  <c r="A291" i="5"/>
  <c r="CC290" i="5"/>
  <c r="CB290" i="5"/>
  <c r="BZ290" i="5"/>
  <c r="CA290" i="5" s="1"/>
  <c r="BY290" i="5"/>
  <c r="BW290" i="5"/>
  <c r="BV290" i="5"/>
  <c r="BP290" i="5"/>
  <c r="BO290" i="5"/>
  <c r="BS290" i="5" s="1"/>
  <c r="BK290" i="5"/>
  <c r="BU290" i="5" s="1"/>
  <c r="BJ290" i="5"/>
  <c r="BI290" i="5"/>
  <c r="BH290" i="5"/>
  <c r="BG290" i="5"/>
  <c r="BF290" i="5"/>
  <c r="BE290" i="5"/>
  <c r="BD290" i="5"/>
  <c r="BC290" i="5"/>
  <c r="BB290" i="5"/>
  <c r="BA290" i="5"/>
  <c r="AZ290" i="5"/>
  <c r="AY290" i="5"/>
  <c r="AX290" i="5"/>
  <c r="AW290" i="5"/>
  <c r="AV290" i="5"/>
  <c r="AU290" i="5"/>
  <c r="AT290" i="5"/>
  <c r="AS290" i="5"/>
  <c r="AR290" i="5"/>
  <c r="Z290" i="5"/>
  <c r="AA290" i="5" s="1"/>
  <c r="C290" i="5" a="1"/>
  <c r="C290" i="5" s="1"/>
  <c r="B290" i="5"/>
  <c r="A290" i="5"/>
  <c r="CB289" i="5"/>
  <c r="BZ289" i="5"/>
  <c r="CC289" i="5" s="1"/>
  <c r="BY289" i="5"/>
  <c r="BW289" i="5"/>
  <c r="BV289" i="5"/>
  <c r="BS289" i="5"/>
  <c r="BP289" i="5"/>
  <c r="BO289" i="5"/>
  <c r="BK289" i="5"/>
  <c r="BU289" i="5" s="1"/>
  <c r="BJ289" i="5"/>
  <c r="BI289" i="5"/>
  <c r="BH289" i="5"/>
  <c r="BG289" i="5"/>
  <c r="BF289" i="5"/>
  <c r="BE289" i="5"/>
  <c r="BD289" i="5"/>
  <c r="BC289" i="5"/>
  <c r="BB289" i="5"/>
  <c r="BA289" i="5"/>
  <c r="AZ289" i="5"/>
  <c r="AY289" i="5"/>
  <c r="AX289" i="5"/>
  <c r="AW289" i="5"/>
  <c r="AV289" i="5"/>
  <c r="AU289" i="5"/>
  <c r="AT289" i="5"/>
  <c r="AS289" i="5"/>
  <c r="AR289" i="5"/>
  <c r="Z289" i="5"/>
  <c r="AA289" i="5" s="1"/>
  <c r="C289" i="5" a="1"/>
  <c r="C289" i="5" s="1"/>
  <c r="B289" i="5"/>
  <c r="A289" i="5"/>
  <c r="CC288" i="5"/>
  <c r="CB288" i="5"/>
  <c r="BZ288" i="5"/>
  <c r="BY288" i="5"/>
  <c r="CA288" i="5" s="1"/>
  <c r="BW288" i="5"/>
  <c r="BV288" i="5"/>
  <c r="BS288" i="5"/>
  <c r="BP288" i="5"/>
  <c r="BO288" i="5"/>
  <c r="BK288" i="5"/>
  <c r="BU288" i="5" s="1"/>
  <c r="BJ288" i="5"/>
  <c r="BH288" i="5"/>
  <c r="BG288" i="5"/>
  <c r="BF288" i="5"/>
  <c r="BE288" i="5"/>
  <c r="BD288" i="5"/>
  <c r="BC288" i="5"/>
  <c r="BB288" i="5"/>
  <c r="BA288" i="5"/>
  <c r="AZ288" i="5"/>
  <c r="AY288" i="5"/>
  <c r="AX288" i="5"/>
  <c r="AW288" i="5"/>
  <c r="AV288" i="5"/>
  <c r="AU288" i="5"/>
  <c r="AT288" i="5"/>
  <c r="AS288" i="5"/>
  <c r="AR288" i="5"/>
  <c r="BI288" i="5" s="1"/>
  <c r="Z288" i="5"/>
  <c r="AA288" i="5" s="1"/>
  <c r="C288" i="5" a="1"/>
  <c r="C288" i="5" s="1"/>
  <c r="B288" i="5"/>
  <c r="A288" i="5"/>
  <c r="BZ287" i="5"/>
  <c r="BY287" i="5"/>
  <c r="BW287" i="5"/>
  <c r="BV287" i="5"/>
  <c r="BP287" i="5"/>
  <c r="BU287" i="5" s="1"/>
  <c r="BO287" i="5"/>
  <c r="BN287" i="5"/>
  <c r="BK287" i="5"/>
  <c r="BJ287" i="5"/>
  <c r="BH287" i="5"/>
  <c r="BG287" i="5"/>
  <c r="BF287" i="5"/>
  <c r="BE287" i="5"/>
  <c r="BD287" i="5"/>
  <c r="BC287" i="5"/>
  <c r="BB287" i="5"/>
  <c r="BA287" i="5"/>
  <c r="AZ287" i="5"/>
  <c r="AY287" i="5"/>
  <c r="AX287" i="5"/>
  <c r="AW287" i="5"/>
  <c r="AV287" i="5"/>
  <c r="AU287" i="5"/>
  <c r="AT287" i="5"/>
  <c r="AS287" i="5"/>
  <c r="AR287" i="5"/>
  <c r="AA287" i="5"/>
  <c r="Z287" i="5"/>
  <c r="B287" i="5"/>
  <c r="C287" i="5" s="1" a="1"/>
  <c r="C287" i="5" s="1"/>
  <c r="A287" i="5"/>
  <c r="BZ286" i="5"/>
  <c r="BY286" i="5"/>
  <c r="BW286" i="5"/>
  <c r="BV286" i="5"/>
  <c r="BU286" i="5"/>
  <c r="BT286" i="5"/>
  <c r="BP286" i="5"/>
  <c r="BO286" i="5"/>
  <c r="BN286" i="5"/>
  <c r="BK286" i="5"/>
  <c r="BJ286" i="5"/>
  <c r="BH286" i="5"/>
  <c r="BG286" i="5"/>
  <c r="BF286" i="5"/>
  <c r="BE286" i="5"/>
  <c r="BD286" i="5"/>
  <c r="BC286" i="5"/>
  <c r="BB286" i="5"/>
  <c r="BA286" i="5"/>
  <c r="AZ286" i="5"/>
  <c r="AY286" i="5"/>
  <c r="AX286" i="5"/>
  <c r="AW286" i="5"/>
  <c r="AV286" i="5"/>
  <c r="AU286" i="5"/>
  <c r="AT286" i="5"/>
  <c r="AS286" i="5"/>
  <c r="AR286" i="5"/>
  <c r="Z286" i="5"/>
  <c r="AA286" i="5" s="1"/>
  <c r="C286" i="5" a="1"/>
  <c r="C286" i="5" s="1"/>
  <c r="B286" i="5"/>
  <c r="A286" i="5"/>
  <c r="BZ285" i="5"/>
  <c r="BY285" i="5"/>
  <c r="CA285" i="5" s="1"/>
  <c r="BW285" i="5"/>
  <c r="BV285" i="5"/>
  <c r="BP285" i="5"/>
  <c r="BO285" i="5"/>
  <c r="BK285" i="5"/>
  <c r="BJ285" i="5"/>
  <c r="BN285" i="5" s="1"/>
  <c r="BH285" i="5"/>
  <c r="BG285" i="5"/>
  <c r="BF285" i="5"/>
  <c r="BE285" i="5"/>
  <c r="BD285" i="5"/>
  <c r="BC285" i="5"/>
  <c r="BB285" i="5"/>
  <c r="BA285" i="5"/>
  <c r="AZ285" i="5"/>
  <c r="AY285" i="5"/>
  <c r="AX285" i="5"/>
  <c r="AW285" i="5"/>
  <c r="AV285" i="5"/>
  <c r="AU285" i="5"/>
  <c r="AT285" i="5"/>
  <c r="AS285" i="5"/>
  <c r="AR285" i="5"/>
  <c r="BI285" i="5" s="1"/>
  <c r="AA285" i="5"/>
  <c r="Z285" i="5"/>
  <c r="C285" i="5" a="1"/>
  <c r="C285" i="5" s="1"/>
  <c r="B285" i="5"/>
  <c r="A285" i="5"/>
  <c r="BZ284" i="5"/>
  <c r="BY284" i="5"/>
  <c r="CB284" i="5" s="1"/>
  <c r="BW284" i="5"/>
  <c r="BV284" i="5"/>
  <c r="BP284" i="5"/>
  <c r="BO284" i="5"/>
  <c r="BK284" i="5"/>
  <c r="BJ284" i="5"/>
  <c r="BH284" i="5"/>
  <c r="BG284" i="5"/>
  <c r="BF284" i="5"/>
  <c r="BE284" i="5"/>
  <c r="BD284" i="5"/>
  <c r="BC284" i="5"/>
  <c r="BB284" i="5"/>
  <c r="BA284" i="5"/>
  <c r="AZ284" i="5"/>
  <c r="AY284" i="5"/>
  <c r="AX284" i="5"/>
  <c r="AW284" i="5"/>
  <c r="AV284" i="5"/>
  <c r="AU284" i="5"/>
  <c r="AT284" i="5"/>
  <c r="AS284" i="5"/>
  <c r="AR284" i="5"/>
  <c r="BI284" i="5" s="1"/>
  <c r="AA284" i="5"/>
  <c r="Z284" i="5"/>
  <c r="C284" i="5" a="1"/>
  <c r="C284" i="5" s="1"/>
  <c r="B284" i="5"/>
  <c r="A284" i="5"/>
  <c r="CC283" i="5"/>
  <c r="CB283" i="5"/>
  <c r="BZ283" i="5"/>
  <c r="BY283" i="5"/>
  <c r="CA283" i="5" s="1"/>
  <c r="BW283" i="5"/>
  <c r="BV283" i="5"/>
  <c r="BS283" i="5"/>
  <c r="BP283" i="5"/>
  <c r="BO283" i="5"/>
  <c r="BK283" i="5"/>
  <c r="BU283" i="5" s="1"/>
  <c r="BJ283" i="5"/>
  <c r="BI283" i="5"/>
  <c r="BH283" i="5"/>
  <c r="BG283" i="5"/>
  <c r="BF283" i="5"/>
  <c r="BE283" i="5"/>
  <c r="BD283" i="5"/>
  <c r="BC283" i="5"/>
  <c r="BB283" i="5"/>
  <c r="BA283" i="5"/>
  <c r="AZ283" i="5"/>
  <c r="AY283" i="5"/>
  <c r="AX283" i="5"/>
  <c r="AW283" i="5"/>
  <c r="AV283" i="5"/>
  <c r="AU283" i="5"/>
  <c r="AT283" i="5"/>
  <c r="AS283" i="5"/>
  <c r="AR283" i="5"/>
  <c r="Z283" i="5"/>
  <c r="AA283" i="5" s="1"/>
  <c r="C283" i="5" a="1"/>
  <c r="C283" i="5" s="1"/>
  <c r="B283" i="5"/>
  <c r="A283" i="5"/>
  <c r="CC282" i="5"/>
  <c r="CB282" i="5"/>
  <c r="CA282" i="5"/>
  <c r="CD282" i="5" s="1"/>
  <c r="BZ282" i="5"/>
  <c r="BY282" i="5"/>
  <c r="BW282" i="5"/>
  <c r="BV282" i="5"/>
  <c r="BP282" i="5"/>
  <c r="BO282" i="5"/>
  <c r="BS282" i="5" s="1"/>
  <c r="BK282" i="5"/>
  <c r="BU282" i="5" s="1"/>
  <c r="BJ282" i="5"/>
  <c r="BI282" i="5"/>
  <c r="BH282" i="5"/>
  <c r="BG282" i="5"/>
  <c r="BF282" i="5"/>
  <c r="BE282" i="5"/>
  <c r="BD282" i="5"/>
  <c r="BC282" i="5"/>
  <c r="BB282" i="5"/>
  <c r="BA282" i="5"/>
  <c r="AZ282" i="5"/>
  <c r="AY282" i="5"/>
  <c r="AX282" i="5"/>
  <c r="AW282" i="5"/>
  <c r="AV282" i="5"/>
  <c r="AU282" i="5"/>
  <c r="AT282" i="5"/>
  <c r="AS282" i="5"/>
  <c r="AR282" i="5"/>
  <c r="AA282" i="5"/>
  <c r="Z282" i="5"/>
  <c r="B282" i="5"/>
  <c r="C282" i="5" s="1" a="1"/>
  <c r="C282" i="5" s="1"/>
  <c r="A282" i="5"/>
  <c r="BZ281" i="5"/>
  <c r="CC281" i="5" s="1"/>
  <c r="BY281" i="5"/>
  <c r="BW281" i="5"/>
  <c r="BV281" i="5"/>
  <c r="BU281" i="5"/>
  <c r="BP281" i="5"/>
  <c r="BO281" i="5"/>
  <c r="BK281" i="5"/>
  <c r="BJ281" i="5"/>
  <c r="BN281" i="5" s="1"/>
  <c r="BH281" i="5"/>
  <c r="BG281" i="5"/>
  <c r="BF281" i="5"/>
  <c r="BE281" i="5"/>
  <c r="BD281" i="5"/>
  <c r="BC281" i="5"/>
  <c r="BB281" i="5"/>
  <c r="BA281" i="5"/>
  <c r="AZ281" i="5"/>
  <c r="AY281" i="5"/>
  <c r="AX281" i="5"/>
  <c r="AW281" i="5"/>
  <c r="AV281" i="5"/>
  <c r="AU281" i="5"/>
  <c r="AT281" i="5"/>
  <c r="AS281" i="5"/>
  <c r="AR281" i="5"/>
  <c r="BI281" i="5" s="1"/>
  <c r="AA281" i="5"/>
  <c r="Z281" i="5"/>
  <c r="B281" i="5"/>
  <c r="C281" i="5" s="1" a="1"/>
  <c r="C281" i="5" s="1"/>
  <c r="A281" i="5"/>
  <c r="BZ280" i="5"/>
  <c r="BY280" i="5"/>
  <c r="CB280" i="5" s="1"/>
  <c r="BW280" i="5"/>
  <c r="BV280" i="5"/>
  <c r="BP280" i="5"/>
  <c r="BO280" i="5"/>
  <c r="BK280" i="5"/>
  <c r="BJ280" i="5"/>
  <c r="BN280" i="5" s="1"/>
  <c r="BI280" i="5"/>
  <c r="BH280" i="5"/>
  <c r="BG280" i="5"/>
  <c r="BF280" i="5"/>
  <c r="BE280" i="5"/>
  <c r="BD280" i="5"/>
  <c r="BC280" i="5"/>
  <c r="BB280" i="5"/>
  <c r="BA280" i="5"/>
  <c r="AZ280" i="5"/>
  <c r="AY280" i="5"/>
  <c r="AX280" i="5"/>
  <c r="AW280" i="5"/>
  <c r="AV280" i="5"/>
  <c r="AU280" i="5"/>
  <c r="AT280" i="5"/>
  <c r="AS280" i="5"/>
  <c r="AR280" i="5"/>
  <c r="AA280" i="5"/>
  <c r="Z280" i="5"/>
  <c r="C280" i="5"/>
  <c r="B280" i="5"/>
  <c r="C280" i="5" s="1" a="1"/>
  <c r="A280" i="5"/>
  <c r="BZ279" i="5"/>
  <c r="BY279" i="5"/>
  <c r="CA279" i="5" s="1"/>
  <c r="BW279" i="5"/>
  <c r="BV279" i="5"/>
  <c r="BP279" i="5"/>
  <c r="BO279" i="5"/>
  <c r="BK279" i="5"/>
  <c r="BJ279" i="5"/>
  <c r="BN279" i="5" s="1"/>
  <c r="BH279" i="5"/>
  <c r="BG279" i="5"/>
  <c r="BF279" i="5"/>
  <c r="BE279" i="5"/>
  <c r="BD279" i="5"/>
  <c r="BC279" i="5"/>
  <c r="BB279" i="5"/>
  <c r="BA279" i="5"/>
  <c r="AZ279" i="5"/>
  <c r="AY279" i="5"/>
  <c r="AX279" i="5"/>
  <c r="AW279" i="5"/>
  <c r="AV279" i="5"/>
  <c r="AU279" i="5"/>
  <c r="AT279" i="5"/>
  <c r="AS279" i="5"/>
  <c r="AR279" i="5"/>
  <c r="BI279" i="5" s="1"/>
  <c r="AA279" i="5"/>
  <c r="Z279" i="5"/>
  <c r="B279" i="5"/>
  <c r="C279" i="5" s="1" a="1"/>
  <c r="C279" i="5" s="1"/>
  <c r="A279" i="5"/>
  <c r="CC278" i="5"/>
  <c r="CB278" i="5"/>
  <c r="CA278" i="5"/>
  <c r="BZ278" i="5"/>
  <c r="BY278" i="5"/>
  <c r="BW278" i="5"/>
  <c r="BV278" i="5"/>
  <c r="BP278" i="5"/>
  <c r="BO278" i="5"/>
  <c r="BS278" i="5" s="1"/>
  <c r="BK278" i="5"/>
  <c r="BJ278" i="5"/>
  <c r="BI278" i="5"/>
  <c r="BH278" i="5"/>
  <c r="BG278" i="5"/>
  <c r="BF278" i="5"/>
  <c r="BE278" i="5"/>
  <c r="BD278" i="5"/>
  <c r="BC278" i="5"/>
  <c r="BB278" i="5"/>
  <c r="BA278" i="5"/>
  <c r="AZ278" i="5"/>
  <c r="AY278" i="5"/>
  <c r="AX278" i="5"/>
  <c r="AW278" i="5"/>
  <c r="AV278" i="5"/>
  <c r="AU278" i="5"/>
  <c r="AT278" i="5"/>
  <c r="AS278" i="5"/>
  <c r="AR278" i="5"/>
  <c r="Z278" i="5"/>
  <c r="AA278" i="5" s="1"/>
  <c r="C278" i="5" a="1"/>
  <c r="C278" i="5" s="1"/>
  <c r="B278" i="5"/>
  <c r="A278" i="5"/>
  <c r="CB277" i="5"/>
  <c r="BZ277" i="5"/>
  <c r="CA277" i="5" s="1"/>
  <c r="BY277" i="5"/>
  <c r="BW277" i="5"/>
  <c r="BV277" i="5"/>
  <c r="BS277" i="5"/>
  <c r="BP277" i="5"/>
  <c r="BU277" i="5" s="1"/>
  <c r="BO277" i="5"/>
  <c r="BK277" i="5"/>
  <c r="BJ277" i="5"/>
  <c r="BT277" i="5" s="1"/>
  <c r="BI277" i="5"/>
  <c r="BH277" i="5"/>
  <c r="BG277" i="5"/>
  <c r="BF277" i="5"/>
  <c r="BE277" i="5"/>
  <c r="BD277" i="5"/>
  <c r="BC277" i="5"/>
  <c r="BB277" i="5"/>
  <c r="BA277" i="5"/>
  <c r="AZ277" i="5"/>
  <c r="AY277" i="5"/>
  <c r="AX277" i="5"/>
  <c r="AW277" i="5"/>
  <c r="AV277" i="5"/>
  <c r="AU277" i="5"/>
  <c r="AT277" i="5"/>
  <c r="AS277" i="5"/>
  <c r="AR277" i="5"/>
  <c r="Z277" i="5"/>
  <c r="AA277" i="5" s="1"/>
  <c r="B277" i="5"/>
  <c r="C277" i="5" s="1" a="1"/>
  <c r="C277" i="5" s="1"/>
  <c r="A277" i="5"/>
  <c r="BZ276" i="5"/>
  <c r="CA276" i="5" s="1"/>
  <c r="BY276" i="5"/>
  <c r="BW276" i="5"/>
  <c r="BV276" i="5"/>
  <c r="BP276" i="5"/>
  <c r="BU276" i="5" s="1"/>
  <c r="BO276" i="5"/>
  <c r="BT276" i="5" s="1"/>
  <c r="BK276" i="5"/>
  <c r="BJ276" i="5"/>
  <c r="BN276" i="5" s="1"/>
  <c r="BH276" i="5"/>
  <c r="BG276" i="5"/>
  <c r="BF276" i="5"/>
  <c r="BE276" i="5"/>
  <c r="BD276" i="5"/>
  <c r="BC276" i="5"/>
  <c r="BB276" i="5"/>
  <c r="BA276" i="5"/>
  <c r="AZ276" i="5"/>
  <c r="AY276" i="5"/>
  <c r="AX276" i="5"/>
  <c r="AW276" i="5"/>
  <c r="AV276" i="5"/>
  <c r="AU276" i="5"/>
  <c r="AT276" i="5"/>
  <c r="AS276" i="5"/>
  <c r="AR276" i="5"/>
  <c r="Z276" i="5"/>
  <c r="B276" i="5"/>
  <c r="C276" i="5" s="1" a="1"/>
  <c r="C276" i="5" s="1"/>
  <c r="A276" i="5"/>
  <c r="BZ275" i="5"/>
  <c r="CA275" i="5" s="1"/>
  <c r="BY275" i="5"/>
  <c r="BW275" i="5"/>
  <c r="BV275" i="5"/>
  <c r="BP275" i="5"/>
  <c r="BU275" i="5" s="1"/>
  <c r="BO275" i="5"/>
  <c r="BT275" i="5" s="1"/>
  <c r="BN275" i="5"/>
  <c r="BK275" i="5"/>
  <c r="BJ275" i="5"/>
  <c r="BH275" i="5"/>
  <c r="BG275" i="5"/>
  <c r="BF275" i="5"/>
  <c r="BE275" i="5"/>
  <c r="BD275" i="5"/>
  <c r="BC275" i="5"/>
  <c r="BB275" i="5"/>
  <c r="BA275" i="5"/>
  <c r="AZ275" i="5"/>
  <c r="AY275" i="5"/>
  <c r="AX275" i="5"/>
  <c r="AW275" i="5"/>
  <c r="AV275" i="5"/>
  <c r="AU275" i="5"/>
  <c r="AT275" i="5"/>
  <c r="AS275" i="5"/>
  <c r="AR275" i="5"/>
  <c r="Z275" i="5"/>
  <c r="BI275" i="5" s="1"/>
  <c r="B275" i="5"/>
  <c r="C275" i="5" s="1" a="1"/>
  <c r="C275" i="5" s="1"/>
  <c r="A275" i="5"/>
  <c r="BZ274" i="5"/>
  <c r="BY274" i="5"/>
  <c r="CA274" i="5" s="1"/>
  <c r="BW274" i="5"/>
  <c r="BV274" i="5"/>
  <c r="BP274" i="5"/>
  <c r="BU274" i="5" s="1"/>
  <c r="BO274" i="5"/>
  <c r="BT274" i="5" s="1"/>
  <c r="BN274" i="5"/>
  <c r="BK274" i="5"/>
  <c r="BJ274" i="5"/>
  <c r="BH274" i="5"/>
  <c r="BG274" i="5"/>
  <c r="BF274" i="5"/>
  <c r="BE274" i="5"/>
  <c r="BD274" i="5"/>
  <c r="BC274" i="5"/>
  <c r="BB274" i="5"/>
  <c r="BA274" i="5"/>
  <c r="AZ274" i="5"/>
  <c r="AY274" i="5"/>
  <c r="AX274" i="5"/>
  <c r="AW274" i="5"/>
  <c r="AV274" i="5"/>
  <c r="AU274" i="5"/>
  <c r="AT274" i="5"/>
  <c r="AS274" i="5"/>
  <c r="AR274" i="5"/>
  <c r="BI274" i="5" s="1"/>
  <c r="AA274" i="5"/>
  <c r="Z274" i="5"/>
  <c r="B274" i="5"/>
  <c r="C274" i="5" s="1" a="1"/>
  <c r="C274" i="5" s="1"/>
  <c r="A274" i="5"/>
  <c r="BZ273" i="5"/>
  <c r="BY273" i="5"/>
  <c r="BW273" i="5"/>
  <c r="BV273" i="5"/>
  <c r="BU273" i="5"/>
  <c r="BT273" i="5"/>
  <c r="BP273" i="5"/>
  <c r="BO273" i="5"/>
  <c r="BK273" i="5"/>
  <c r="BN273" i="5" s="1"/>
  <c r="BJ273" i="5"/>
  <c r="BH273" i="5"/>
  <c r="BG273" i="5"/>
  <c r="BF273" i="5"/>
  <c r="BE273" i="5"/>
  <c r="BD273" i="5"/>
  <c r="BC273" i="5"/>
  <c r="BB273" i="5"/>
  <c r="BA273" i="5"/>
  <c r="AZ273" i="5"/>
  <c r="AY273" i="5"/>
  <c r="AX273" i="5"/>
  <c r="AW273" i="5"/>
  <c r="AV273" i="5"/>
  <c r="AU273" i="5"/>
  <c r="AT273" i="5"/>
  <c r="AS273" i="5"/>
  <c r="AR273" i="5"/>
  <c r="Z273" i="5"/>
  <c r="AA273" i="5" s="1"/>
  <c r="C273" i="5" a="1"/>
  <c r="C273" i="5" s="1"/>
  <c r="B273" i="5"/>
  <c r="A273" i="5"/>
  <c r="BZ272" i="5"/>
  <c r="BY272" i="5"/>
  <c r="BW272" i="5"/>
  <c r="BV272" i="5"/>
  <c r="BT272" i="5"/>
  <c r="BP272" i="5"/>
  <c r="BS272" i="5" s="1"/>
  <c r="BO272" i="5"/>
  <c r="BK272" i="5"/>
  <c r="BJ272" i="5"/>
  <c r="BN272" i="5" s="1"/>
  <c r="BH272" i="5"/>
  <c r="BG272" i="5"/>
  <c r="BF272" i="5"/>
  <c r="BE272" i="5"/>
  <c r="BD272" i="5"/>
  <c r="BC272" i="5"/>
  <c r="BB272" i="5"/>
  <c r="BA272" i="5"/>
  <c r="AZ272" i="5"/>
  <c r="AY272" i="5"/>
  <c r="AX272" i="5"/>
  <c r="AW272" i="5"/>
  <c r="AV272" i="5"/>
  <c r="AU272" i="5"/>
  <c r="AT272" i="5"/>
  <c r="AS272" i="5"/>
  <c r="AR272" i="5"/>
  <c r="BI272" i="5" s="1"/>
  <c r="Z272" i="5"/>
  <c r="B272" i="5"/>
  <c r="C272" i="5" s="1" a="1"/>
  <c r="C272" i="5" s="1"/>
  <c r="A272" i="5"/>
  <c r="BZ271" i="5"/>
  <c r="BY271" i="5"/>
  <c r="BW271" i="5"/>
  <c r="BV271" i="5"/>
  <c r="BP271" i="5"/>
  <c r="BO271" i="5"/>
  <c r="BK271" i="5"/>
  <c r="BJ271" i="5"/>
  <c r="BN271" i="5" s="1"/>
  <c r="BH271" i="5"/>
  <c r="BG271" i="5"/>
  <c r="BF271" i="5"/>
  <c r="BE271" i="5"/>
  <c r="BD271" i="5"/>
  <c r="BC271" i="5"/>
  <c r="BB271" i="5"/>
  <c r="BA271" i="5"/>
  <c r="AZ271" i="5"/>
  <c r="AY271" i="5"/>
  <c r="AX271" i="5"/>
  <c r="AW271" i="5"/>
  <c r="AV271" i="5"/>
  <c r="AU271" i="5"/>
  <c r="AT271" i="5"/>
  <c r="AS271" i="5"/>
  <c r="AR271" i="5"/>
  <c r="Z271" i="5"/>
  <c r="BI271" i="5" s="1"/>
  <c r="C271" i="5" a="1"/>
  <c r="C271" i="5" s="1"/>
  <c r="B271" i="5"/>
  <c r="A271" i="5"/>
  <c r="CB270" i="5"/>
  <c r="BZ270" i="5"/>
  <c r="CC270" i="5" s="1"/>
  <c r="BY270" i="5"/>
  <c r="BW270" i="5"/>
  <c r="BV270" i="5"/>
  <c r="BS270" i="5"/>
  <c r="BP270" i="5"/>
  <c r="BO270" i="5"/>
  <c r="BK270" i="5"/>
  <c r="BU270" i="5" s="1"/>
  <c r="BJ270" i="5"/>
  <c r="BI270" i="5"/>
  <c r="BH270" i="5"/>
  <c r="BG270" i="5"/>
  <c r="BF270" i="5"/>
  <c r="BE270" i="5"/>
  <c r="BD270" i="5"/>
  <c r="BC270" i="5"/>
  <c r="BB270" i="5"/>
  <c r="BA270" i="5"/>
  <c r="AZ270" i="5"/>
  <c r="AY270" i="5"/>
  <c r="AX270" i="5"/>
  <c r="AW270" i="5"/>
  <c r="AV270" i="5"/>
  <c r="AU270" i="5"/>
  <c r="AT270" i="5"/>
  <c r="AS270" i="5"/>
  <c r="AR270" i="5"/>
  <c r="Z270" i="5"/>
  <c r="B270" i="5"/>
  <c r="C270" i="5" s="1" a="1"/>
  <c r="C270" i="5" s="1"/>
  <c r="A270" i="5"/>
  <c r="CB269" i="5"/>
  <c r="BZ269" i="5"/>
  <c r="CC269" i="5" s="1"/>
  <c r="BY269" i="5"/>
  <c r="BW269" i="5"/>
  <c r="BV269" i="5"/>
  <c r="BU269" i="5"/>
  <c r="BP269" i="5"/>
  <c r="BO269" i="5"/>
  <c r="BK269" i="5"/>
  <c r="BJ269" i="5"/>
  <c r="BN269" i="5" s="1"/>
  <c r="BI269" i="5"/>
  <c r="BH269" i="5"/>
  <c r="BG269" i="5"/>
  <c r="BF269" i="5"/>
  <c r="BE269" i="5"/>
  <c r="BD269" i="5"/>
  <c r="BC269" i="5"/>
  <c r="BB269" i="5"/>
  <c r="BA269" i="5"/>
  <c r="AZ269" i="5"/>
  <c r="AY269" i="5"/>
  <c r="AX269" i="5"/>
  <c r="AW269" i="5"/>
  <c r="AV269" i="5"/>
  <c r="AU269" i="5"/>
  <c r="AT269" i="5"/>
  <c r="AS269" i="5"/>
  <c r="AR269" i="5"/>
  <c r="Z269" i="5"/>
  <c r="C269" i="5"/>
  <c r="B269" i="5"/>
  <c r="C269" i="5" s="1" a="1"/>
  <c r="A269" i="5"/>
  <c r="BZ268" i="5"/>
  <c r="CC268" i="5" s="1"/>
  <c r="BY268" i="5"/>
  <c r="BW268" i="5"/>
  <c r="BV268" i="5"/>
  <c r="BP268" i="5"/>
  <c r="BU268" i="5" s="1"/>
  <c r="BO268" i="5"/>
  <c r="BT268" i="5" s="1"/>
  <c r="BN268" i="5"/>
  <c r="BK268" i="5"/>
  <c r="BJ268" i="5"/>
  <c r="BH268" i="5"/>
  <c r="BG268" i="5"/>
  <c r="BF268" i="5"/>
  <c r="BE268" i="5"/>
  <c r="BD268" i="5"/>
  <c r="BC268" i="5"/>
  <c r="BB268" i="5"/>
  <c r="BA268" i="5"/>
  <c r="AZ268" i="5"/>
  <c r="AY268" i="5"/>
  <c r="AX268" i="5"/>
  <c r="AW268" i="5"/>
  <c r="AV268" i="5"/>
  <c r="AU268" i="5"/>
  <c r="AT268" i="5"/>
  <c r="AS268" i="5"/>
  <c r="AR268" i="5"/>
  <c r="BI268" i="5" s="1"/>
  <c r="Z268" i="5"/>
  <c r="B268" i="5"/>
  <c r="C268" i="5" s="1" a="1"/>
  <c r="C268" i="5" s="1"/>
  <c r="A268" i="5"/>
  <c r="BZ267" i="5"/>
  <c r="BY267" i="5"/>
  <c r="BW267" i="5"/>
  <c r="BV267" i="5"/>
  <c r="BU267" i="5"/>
  <c r="BP267" i="5"/>
  <c r="BO267" i="5"/>
  <c r="BT267" i="5" s="1"/>
  <c r="BN267" i="5"/>
  <c r="BK267" i="5"/>
  <c r="BJ267" i="5"/>
  <c r="BI267" i="5"/>
  <c r="BH267" i="5"/>
  <c r="BG267" i="5"/>
  <c r="BF267" i="5"/>
  <c r="BE267" i="5"/>
  <c r="BD267" i="5"/>
  <c r="BC267" i="5"/>
  <c r="BB267" i="5"/>
  <c r="BA267" i="5"/>
  <c r="AZ267" i="5"/>
  <c r="AY267" i="5"/>
  <c r="AX267" i="5"/>
  <c r="AW267" i="5"/>
  <c r="AV267" i="5"/>
  <c r="AU267" i="5"/>
  <c r="AT267" i="5"/>
  <c r="AS267" i="5"/>
  <c r="AR267" i="5"/>
  <c r="Z267" i="5"/>
  <c r="B267" i="5"/>
  <c r="C267" i="5" s="1" a="1"/>
  <c r="C267" i="5" s="1"/>
  <c r="A267" i="5"/>
  <c r="BZ266" i="5"/>
  <c r="CA266" i="5" s="1"/>
  <c r="BY266" i="5"/>
  <c r="BW266" i="5"/>
  <c r="BV266" i="5"/>
  <c r="BU266" i="5"/>
  <c r="BP266" i="5"/>
  <c r="BO266" i="5"/>
  <c r="BT266" i="5" s="1"/>
  <c r="BN266" i="5"/>
  <c r="BK266" i="5"/>
  <c r="BJ266" i="5"/>
  <c r="BH266" i="5"/>
  <c r="BG266" i="5"/>
  <c r="BF266" i="5"/>
  <c r="BE266" i="5"/>
  <c r="BD266" i="5"/>
  <c r="BC266" i="5"/>
  <c r="BB266" i="5"/>
  <c r="BA266" i="5"/>
  <c r="AZ266" i="5"/>
  <c r="AY266" i="5"/>
  <c r="AX266" i="5"/>
  <c r="AW266" i="5"/>
  <c r="AV266" i="5"/>
  <c r="AU266" i="5"/>
  <c r="AT266" i="5"/>
  <c r="AS266" i="5"/>
  <c r="AR266" i="5"/>
  <c r="Z266" i="5"/>
  <c r="BI266" i="5" s="1"/>
  <c r="B266" i="5"/>
  <c r="C266" i="5" s="1" a="1"/>
  <c r="C266" i="5" s="1"/>
  <c r="A266" i="5"/>
  <c r="BZ265" i="5"/>
  <c r="BY265" i="5"/>
  <c r="BW265" i="5"/>
  <c r="BV265" i="5"/>
  <c r="BU265" i="5"/>
  <c r="BP265" i="5"/>
  <c r="BO265" i="5"/>
  <c r="BN265" i="5"/>
  <c r="BK265" i="5"/>
  <c r="BJ265" i="5"/>
  <c r="BH265" i="5"/>
  <c r="BG265" i="5"/>
  <c r="BF265" i="5"/>
  <c r="BE265" i="5"/>
  <c r="BD265" i="5"/>
  <c r="BC265" i="5"/>
  <c r="BB265" i="5"/>
  <c r="BA265" i="5"/>
  <c r="AZ265" i="5"/>
  <c r="AY265" i="5"/>
  <c r="AX265" i="5"/>
  <c r="AW265" i="5"/>
  <c r="AV265" i="5"/>
  <c r="AU265" i="5"/>
  <c r="AT265" i="5"/>
  <c r="AS265" i="5"/>
  <c r="AR265" i="5"/>
  <c r="Z265" i="5"/>
  <c r="B265" i="5"/>
  <c r="C265" i="5" s="1" a="1"/>
  <c r="C265" i="5" s="1"/>
  <c r="A265" i="5"/>
  <c r="BZ264" i="5"/>
  <c r="CA264" i="5" s="1"/>
  <c r="BY264" i="5"/>
  <c r="BW264" i="5"/>
  <c r="BV264" i="5"/>
  <c r="BU264" i="5"/>
  <c r="BT264" i="5"/>
  <c r="BS264" i="5"/>
  <c r="BP264" i="5"/>
  <c r="BO264" i="5"/>
  <c r="CB264" i="5" s="1"/>
  <c r="BK264" i="5"/>
  <c r="BJ264" i="5"/>
  <c r="BN264" i="5" s="1"/>
  <c r="BI264" i="5"/>
  <c r="BH264" i="5"/>
  <c r="BG264" i="5"/>
  <c r="BF264" i="5"/>
  <c r="BE264" i="5"/>
  <c r="BD264" i="5"/>
  <c r="BC264" i="5"/>
  <c r="BB264" i="5"/>
  <c r="BA264" i="5"/>
  <c r="AZ264" i="5"/>
  <c r="AY264" i="5"/>
  <c r="AX264" i="5"/>
  <c r="AW264" i="5"/>
  <c r="AV264" i="5"/>
  <c r="AU264" i="5"/>
  <c r="AT264" i="5"/>
  <c r="AS264" i="5"/>
  <c r="AR264" i="5"/>
  <c r="Z264" i="5"/>
  <c r="C264" i="5" a="1"/>
  <c r="C264" i="5" s="1"/>
  <c r="B264" i="5"/>
  <c r="A264" i="5"/>
  <c r="CB263" i="5"/>
  <c r="BZ263" i="5"/>
  <c r="CC263" i="5" s="1"/>
  <c r="BY263" i="5"/>
  <c r="BW263" i="5"/>
  <c r="BV263" i="5"/>
  <c r="BU263" i="5"/>
  <c r="BT263" i="5"/>
  <c r="BS263" i="5"/>
  <c r="BP263" i="5"/>
  <c r="BO263" i="5"/>
  <c r="BK263" i="5"/>
  <c r="BJ263" i="5"/>
  <c r="BI263" i="5"/>
  <c r="BH263" i="5"/>
  <c r="BG263" i="5"/>
  <c r="BF263" i="5"/>
  <c r="BE263" i="5"/>
  <c r="BD263" i="5"/>
  <c r="BC263" i="5"/>
  <c r="BB263" i="5"/>
  <c r="BA263" i="5"/>
  <c r="AZ263" i="5"/>
  <c r="AY263" i="5"/>
  <c r="AX263" i="5"/>
  <c r="AW263" i="5"/>
  <c r="AV263" i="5"/>
  <c r="AU263" i="5"/>
  <c r="AT263" i="5"/>
  <c r="AS263" i="5"/>
  <c r="AR263" i="5"/>
  <c r="Z263" i="5"/>
  <c r="B263" i="5"/>
  <c r="C263" i="5" s="1" a="1"/>
  <c r="C263" i="5" s="1"/>
  <c r="A263" i="5"/>
  <c r="BZ262" i="5"/>
  <c r="CC262" i="5" s="1"/>
  <c r="BY262" i="5"/>
  <c r="BW262" i="5"/>
  <c r="BV262" i="5"/>
  <c r="BU262" i="5"/>
  <c r="BP262" i="5"/>
  <c r="BO262" i="5"/>
  <c r="BN262" i="5"/>
  <c r="BK262" i="5"/>
  <c r="BJ262" i="5"/>
  <c r="BH262" i="5"/>
  <c r="BG262" i="5"/>
  <c r="BF262" i="5"/>
  <c r="BE262" i="5"/>
  <c r="BD262" i="5"/>
  <c r="BC262" i="5"/>
  <c r="BB262" i="5"/>
  <c r="BA262" i="5"/>
  <c r="AZ262" i="5"/>
  <c r="AY262" i="5"/>
  <c r="AX262" i="5"/>
  <c r="AW262" i="5"/>
  <c r="AV262" i="5"/>
  <c r="AU262" i="5"/>
  <c r="AT262" i="5"/>
  <c r="AS262" i="5"/>
  <c r="AR262" i="5"/>
  <c r="BI262" i="5" s="1"/>
  <c r="Z262" i="5"/>
  <c r="B262" i="5"/>
  <c r="C262" i="5" s="1" a="1"/>
  <c r="C262" i="5" s="1"/>
  <c r="A262" i="5"/>
  <c r="BZ261" i="5"/>
  <c r="CC261" i="5" s="1"/>
  <c r="BY261" i="5"/>
  <c r="BW261" i="5"/>
  <c r="BV261" i="5"/>
  <c r="BP261" i="5"/>
  <c r="BO261" i="5"/>
  <c r="BN261" i="5"/>
  <c r="BK261" i="5"/>
  <c r="BJ261" i="5"/>
  <c r="BI261" i="5"/>
  <c r="BH261" i="5"/>
  <c r="BG261" i="5"/>
  <c r="BF261" i="5"/>
  <c r="BE261" i="5"/>
  <c r="BD261" i="5"/>
  <c r="BC261" i="5"/>
  <c r="BB261" i="5"/>
  <c r="BA261" i="5"/>
  <c r="AZ261" i="5"/>
  <c r="AY261" i="5"/>
  <c r="AX261" i="5"/>
  <c r="AW261" i="5"/>
  <c r="AV261" i="5"/>
  <c r="AU261" i="5"/>
  <c r="AT261" i="5"/>
  <c r="AS261" i="5"/>
  <c r="AR261" i="5"/>
  <c r="Z261" i="5"/>
  <c r="B261" i="5"/>
  <c r="C261" i="5" s="1" a="1"/>
  <c r="C261" i="5" s="1"/>
  <c r="A261" i="5"/>
  <c r="CB260" i="5"/>
  <c r="BZ260" i="5"/>
  <c r="CC260" i="5" s="1"/>
  <c r="BY260" i="5"/>
  <c r="BW260" i="5"/>
  <c r="BV260" i="5"/>
  <c r="BP260" i="5"/>
  <c r="BO260" i="5"/>
  <c r="BS260" i="5" s="1"/>
  <c r="BK260" i="5"/>
  <c r="BU260" i="5" s="1"/>
  <c r="BJ260" i="5"/>
  <c r="BI260" i="5"/>
  <c r="BH260" i="5"/>
  <c r="BG260" i="5"/>
  <c r="BF260" i="5"/>
  <c r="BE260" i="5"/>
  <c r="BD260" i="5"/>
  <c r="BC260" i="5"/>
  <c r="BB260" i="5"/>
  <c r="BA260" i="5"/>
  <c r="AZ260" i="5"/>
  <c r="AY260" i="5"/>
  <c r="AX260" i="5"/>
  <c r="AW260" i="5"/>
  <c r="AV260" i="5"/>
  <c r="AU260" i="5"/>
  <c r="AT260" i="5"/>
  <c r="AS260" i="5"/>
  <c r="AR260" i="5"/>
  <c r="Z260" i="5"/>
  <c r="B260" i="5"/>
  <c r="C260" i="5" s="1" a="1"/>
  <c r="C260" i="5" s="1"/>
  <c r="A260" i="5"/>
  <c r="CB259" i="5"/>
  <c r="BZ259" i="5"/>
  <c r="CC259" i="5" s="1"/>
  <c r="BY259" i="5"/>
  <c r="BW259" i="5"/>
  <c r="BV259" i="5"/>
  <c r="BP259" i="5"/>
  <c r="BO259" i="5"/>
  <c r="BS259" i="5" s="1"/>
  <c r="BK259" i="5"/>
  <c r="BU259" i="5" s="1"/>
  <c r="BJ259" i="5"/>
  <c r="BI259" i="5"/>
  <c r="BH259" i="5"/>
  <c r="BG259" i="5"/>
  <c r="BF259" i="5"/>
  <c r="BE259" i="5"/>
  <c r="BD259" i="5"/>
  <c r="BC259" i="5"/>
  <c r="BB259" i="5"/>
  <c r="BA259" i="5"/>
  <c r="AZ259" i="5"/>
  <c r="AY259" i="5"/>
  <c r="AX259" i="5"/>
  <c r="AW259" i="5"/>
  <c r="AV259" i="5"/>
  <c r="AU259" i="5"/>
  <c r="AT259" i="5"/>
  <c r="AS259" i="5"/>
  <c r="AR259" i="5"/>
  <c r="Z259" i="5"/>
  <c r="B259" i="5"/>
  <c r="C259" i="5" s="1" a="1"/>
  <c r="C259" i="5" s="1"/>
  <c r="A259" i="5"/>
  <c r="BZ258" i="5"/>
  <c r="CC258" i="5" s="1"/>
  <c r="BY258" i="5"/>
  <c r="BW258" i="5"/>
  <c r="BV258" i="5"/>
  <c r="BT258" i="5"/>
  <c r="BP258" i="5"/>
  <c r="BO258" i="5"/>
  <c r="CB258" i="5" s="1"/>
  <c r="BK258" i="5"/>
  <c r="BJ258" i="5"/>
  <c r="BH258" i="5"/>
  <c r="BG258" i="5"/>
  <c r="BF258" i="5"/>
  <c r="BE258" i="5"/>
  <c r="BD258" i="5"/>
  <c r="BC258" i="5"/>
  <c r="BB258" i="5"/>
  <c r="BA258" i="5"/>
  <c r="AZ258" i="5"/>
  <c r="AY258" i="5"/>
  <c r="AX258" i="5"/>
  <c r="AW258" i="5"/>
  <c r="AV258" i="5"/>
  <c r="AU258" i="5"/>
  <c r="AT258" i="5"/>
  <c r="AS258" i="5"/>
  <c r="AR258" i="5"/>
  <c r="Z258" i="5"/>
  <c r="B258" i="5"/>
  <c r="C258" i="5" s="1" a="1"/>
  <c r="C258" i="5" s="1"/>
  <c r="A258" i="5"/>
  <c r="BZ257" i="5"/>
  <c r="BY257" i="5"/>
  <c r="BX257" i="5"/>
  <c r="BW257" i="5"/>
  <c r="BV257" i="5"/>
  <c r="BT257" i="5"/>
  <c r="BS257" i="5"/>
  <c r="BP257" i="5"/>
  <c r="BO257" i="5"/>
  <c r="BK257" i="5"/>
  <c r="BJ257" i="5"/>
  <c r="BN257" i="5" s="1"/>
  <c r="BH257" i="5"/>
  <c r="BG257" i="5"/>
  <c r="BF257" i="5"/>
  <c r="BE257" i="5"/>
  <c r="BD257" i="5"/>
  <c r="BC257" i="5"/>
  <c r="BB257" i="5"/>
  <c r="BA257" i="5"/>
  <c r="AZ257" i="5"/>
  <c r="AY257" i="5"/>
  <c r="AX257" i="5"/>
  <c r="AW257" i="5"/>
  <c r="AV257" i="5"/>
  <c r="AU257" i="5"/>
  <c r="AT257" i="5"/>
  <c r="AS257" i="5"/>
  <c r="AR257" i="5"/>
  <c r="BI257" i="5" s="1"/>
  <c r="Z257" i="5"/>
  <c r="C257" i="5" a="1"/>
  <c r="C257" i="5" s="1"/>
  <c r="B257" i="5"/>
  <c r="A257" i="5"/>
  <c r="BZ256" i="5"/>
  <c r="CC256" i="5" s="1"/>
  <c r="BY256" i="5"/>
  <c r="CB256" i="5" s="1"/>
  <c r="BX256" i="5"/>
  <c r="BW256" i="5"/>
  <c r="BV256" i="5"/>
  <c r="BU256" i="5"/>
  <c r="BS256" i="5"/>
  <c r="BP256" i="5"/>
  <c r="BO256" i="5"/>
  <c r="BK256" i="5"/>
  <c r="BJ256" i="5"/>
  <c r="BN256" i="5" s="1"/>
  <c r="BH256" i="5"/>
  <c r="BG256" i="5"/>
  <c r="BF256" i="5"/>
  <c r="BE256" i="5"/>
  <c r="BD256" i="5"/>
  <c r="BC256" i="5"/>
  <c r="BB256" i="5"/>
  <c r="BA256" i="5"/>
  <c r="AZ256" i="5"/>
  <c r="AY256" i="5"/>
  <c r="AX256" i="5"/>
  <c r="AW256" i="5"/>
  <c r="AV256" i="5"/>
  <c r="AU256" i="5"/>
  <c r="AT256" i="5"/>
  <c r="AS256" i="5"/>
  <c r="AR256" i="5"/>
  <c r="Z256" i="5"/>
  <c r="B256" i="5"/>
  <c r="C256" i="5" s="1" a="1"/>
  <c r="C256" i="5" s="1"/>
  <c r="A256" i="5"/>
  <c r="BZ255" i="5"/>
  <c r="CC255" i="5" s="1"/>
  <c r="BY255" i="5"/>
  <c r="BW255" i="5"/>
  <c r="BV255" i="5"/>
  <c r="BP255" i="5"/>
  <c r="BO255" i="5"/>
  <c r="BN255" i="5"/>
  <c r="BK255" i="5"/>
  <c r="BU255" i="5" s="1"/>
  <c r="BJ255" i="5"/>
  <c r="BH255" i="5"/>
  <c r="BG255" i="5"/>
  <c r="BF255" i="5"/>
  <c r="BE255" i="5"/>
  <c r="BD255" i="5"/>
  <c r="BC255" i="5"/>
  <c r="BB255" i="5"/>
  <c r="BA255" i="5"/>
  <c r="AZ255" i="5"/>
  <c r="AY255" i="5"/>
  <c r="AX255" i="5"/>
  <c r="AW255" i="5"/>
  <c r="AV255" i="5"/>
  <c r="AU255" i="5"/>
  <c r="AT255" i="5"/>
  <c r="AS255" i="5"/>
  <c r="AR255" i="5"/>
  <c r="BI255" i="5" s="1"/>
  <c r="Z255" i="5"/>
  <c r="B255" i="5"/>
  <c r="C255" i="5" s="1" a="1"/>
  <c r="C255" i="5" s="1"/>
  <c r="A255" i="5"/>
  <c r="CB254" i="5"/>
  <c r="BZ254" i="5"/>
  <c r="BY254" i="5"/>
  <c r="CA254" i="5" s="1"/>
  <c r="BW254" i="5"/>
  <c r="BV254" i="5"/>
  <c r="BS254" i="5"/>
  <c r="BP254" i="5"/>
  <c r="BO254" i="5"/>
  <c r="BK254" i="5"/>
  <c r="BJ254" i="5"/>
  <c r="BN254" i="5" s="1"/>
  <c r="BI254" i="5"/>
  <c r="BH254" i="5"/>
  <c r="BG254" i="5"/>
  <c r="BF254" i="5"/>
  <c r="BE254" i="5"/>
  <c r="BD254" i="5"/>
  <c r="BC254" i="5"/>
  <c r="BB254" i="5"/>
  <c r="BA254" i="5"/>
  <c r="AZ254" i="5"/>
  <c r="AY254" i="5"/>
  <c r="AX254" i="5"/>
  <c r="AW254" i="5"/>
  <c r="AV254" i="5"/>
  <c r="AU254" i="5"/>
  <c r="AT254" i="5"/>
  <c r="AS254" i="5"/>
  <c r="AR254" i="5"/>
  <c r="Z254" i="5"/>
  <c r="C254" i="5" a="1"/>
  <c r="C254" i="5" s="1"/>
  <c r="B254" i="5"/>
  <c r="A254" i="5"/>
  <c r="BZ253" i="5"/>
  <c r="CA253" i="5" s="1"/>
  <c r="BY253" i="5"/>
  <c r="BW253" i="5"/>
  <c r="BV253" i="5"/>
  <c r="BP253" i="5"/>
  <c r="BO253" i="5"/>
  <c r="CB253" i="5" s="1"/>
  <c r="BK253" i="5"/>
  <c r="BJ253" i="5"/>
  <c r="BN253" i="5" s="1"/>
  <c r="BI253" i="5"/>
  <c r="BH253" i="5"/>
  <c r="BG253" i="5"/>
  <c r="BF253" i="5"/>
  <c r="BE253" i="5"/>
  <c r="BD253" i="5"/>
  <c r="BC253" i="5"/>
  <c r="BB253" i="5"/>
  <c r="BA253" i="5"/>
  <c r="AZ253" i="5"/>
  <c r="AY253" i="5"/>
  <c r="AX253" i="5"/>
  <c r="AW253" i="5"/>
  <c r="AV253" i="5"/>
  <c r="AU253" i="5"/>
  <c r="AT253" i="5"/>
  <c r="AS253" i="5"/>
  <c r="AR253" i="5"/>
  <c r="Z253" i="5"/>
  <c r="C253" i="5" a="1"/>
  <c r="C253" i="5" s="1"/>
  <c r="B253" i="5"/>
  <c r="A253" i="5"/>
  <c r="CA252" i="5"/>
  <c r="BZ252" i="5"/>
  <c r="BY252" i="5"/>
  <c r="BW252" i="5"/>
  <c r="BV252" i="5"/>
  <c r="BT252" i="5"/>
  <c r="BS252" i="5"/>
  <c r="BP252" i="5"/>
  <c r="BO252" i="5"/>
  <c r="CB252" i="5" s="1"/>
  <c r="BK252" i="5"/>
  <c r="BJ252" i="5"/>
  <c r="BN252" i="5" s="1"/>
  <c r="BH252" i="5"/>
  <c r="BG252" i="5"/>
  <c r="BF252" i="5"/>
  <c r="BE252" i="5"/>
  <c r="BD252" i="5"/>
  <c r="BC252" i="5"/>
  <c r="BB252" i="5"/>
  <c r="BA252" i="5"/>
  <c r="AZ252" i="5"/>
  <c r="AY252" i="5"/>
  <c r="AX252" i="5"/>
  <c r="AW252" i="5"/>
  <c r="AV252" i="5"/>
  <c r="AU252" i="5"/>
  <c r="AT252" i="5"/>
  <c r="AS252" i="5"/>
  <c r="AR252" i="5"/>
  <c r="Z252" i="5"/>
  <c r="BI252" i="5" s="1"/>
  <c r="C252" i="5" a="1"/>
  <c r="C252" i="5" s="1"/>
  <c r="B252" i="5"/>
  <c r="A252" i="5"/>
  <c r="BZ251" i="5"/>
  <c r="BY251" i="5"/>
  <c r="BW251" i="5"/>
  <c r="BV251" i="5"/>
  <c r="BT251" i="5"/>
  <c r="BP251" i="5"/>
  <c r="BO251" i="5"/>
  <c r="CB251" i="5" s="1"/>
  <c r="BK251" i="5"/>
  <c r="BN251" i="5" s="1"/>
  <c r="BJ251" i="5"/>
  <c r="BH251" i="5"/>
  <c r="BG251" i="5"/>
  <c r="BF251" i="5"/>
  <c r="BE251" i="5"/>
  <c r="BD251" i="5"/>
  <c r="BC251" i="5"/>
  <c r="BB251" i="5"/>
  <c r="BA251" i="5"/>
  <c r="AZ251" i="5"/>
  <c r="AY251" i="5"/>
  <c r="AX251" i="5"/>
  <c r="AW251" i="5"/>
  <c r="AV251" i="5"/>
  <c r="AU251" i="5"/>
  <c r="AT251" i="5"/>
  <c r="AS251" i="5"/>
  <c r="AR251" i="5"/>
  <c r="BI251" i="5" s="1"/>
  <c r="Z251" i="5"/>
  <c r="B251" i="5"/>
  <c r="C251" i="5" s="1" a="1"/>
  <c r="C251" i="5" s="1"/>
  <c r="A251" i="5"/>
  <c r="BZ250" i="5"/>
  <c r="BY250" i="5"/>
  <c r="BW250" i="5"/>
  <c r="BV250" i="5"/>
  <c r="BP250" i="5"/>
  <c r="BO250" i="5"/>
  <c r="BK250" i="5"/>
  <c r="BJ250" i="5"/>
  <c r="BN250" i="5" s="1"/>
  <c r="BH250" i="5"/>
  <c r="BG250" i="5"/>
  <c r="BF250" i="5"/>
  <c r="BE250" i="5"/>
  <c r="BD250" i="5"/>
  <c r="BC250" i="5"/>
  <c r="BB250" i="5"/>
  <c r="BA250" i="5"/>
  <c r="AZ250" i="5"/>
  <c r="AY250" i="5"/>
  <c r="AX250" i="5"/>
  <c r="AW250" i="5"/>
  <c r="AV250" i="5"/>
  <c r="AU250" i="5"/>
  <c r="AT250" i="5"/>
  <c r="AS250" i="5"/>
  <c r="AR250" i="5"/>
  <c r="BI250" i="5" s="1"/>
  <c r="Z250" i="5"/>
  <c r="C250" i="5" a="1"/>
  <c r="C250" i="5"/>
  <c r="B250" i="5"/>
  <c r="A250" i="5"/>
  <c r="BZ249" i="5"/>
  <c r="CC249" i="5" s="1"/>
  <c r="BY249" i="5"/>
  <c r="CB249" i="5" s="1"/>
  <c r="BW249" i="5"/>
  <c r="BV249" i="5"/>
  <c r="BS249" i="5"/>
  <c r="BP249" i="5"/>
  <c r="BO249" i="5"/>
  <c r="BK249" i="5"/>
  <c r="BU249" i="5" s="1"/>
  <c r="BJ249" i="5"/>
  <c r="BH249" i="5"/>
  <c r="BG249" i="5"/>
  <c r="BF249" i="5"/>
  <c r="BE249" i="5"/>
  <c r="BD249" i="5"/>
  <c r="BC249" i="5"/>
  <c r="BB249" i="5"/>
  <c r="BA249" i="5"/>
  <c r="AZ249" i="5"/>
  <c r="AY249" i="5"/>
  <c r="AX249" i="5"/>
  <c r="AW249" i="5"/>
  <c r="AV249" i="5"/>
  <c r="AU249" i="5"/>
  <c r="AT249" i="5"/>
  <c r="AS249" i="5"/>
  <c r="AR249" i="5"/>
  <c r="BI249" i="5" s="1"/>
  <c r="Z249" i="5"/>
  <c r="B249" i="5"/>
  <c r="C249" i="5" s="1" a="1"/>
  <c r="C249" i="5" s="1"/>
  <c r="A249" i="5"/>
  <c r="CB248" i="5"/>
  <c r="BZ248" i="5"/>
  <c r="CC248" i="5" s="1"/>
  <c r="BY248" i="5"/>
  <c r="BW248" i="5"/>
  <c r="BV248" i="5"/>
  <c r="BP248" i="5"/>
  <c r="BO248" i="5"/>
  <c r="BK248" i="5"/>
  <c r="BU248" i="5" s="1"/>
  <c r="BJ248" i="5"/>
  <c r="BI248" i="5"/>
  <c r="BH248" i="5"/>
  <c r="BG248" i="5"/>
  <c r="BF248" i="5"/>
  <c r="BE248" i="5"/>
  <c r="BD248" i="5"/>
  <c r="BC248" i="5"/>
  <c r="BB248" i="5"/>
  <c r="BA248" i="5"/>
  <c r="AZ248" i="5"/>
  <c r="AY248" i="5"/>
  <c r="AX248" i="5"/>
  <c r="AW248" i="5"/>
  <c r="AV248" i="5"/>
  <c r="AU248" i="5"/>
  <c r="AT248" i="5"/>
  <c r="AS248" i="5"/>
  <c r="AR248" i="5"/>
  <c r="Z248" i="5"/>
  <c r="C248" i="5"/>
  <c r="B248" i="5"/>
  <c r="C248" i="5" s="1" a="1"/>
  <c r="A248" i="5"/>
  <c r="BZ247" i="5"/>
  <c r="BY247" i="5"/>
  <c r="CB247" i="5" s="1"/>
  <c r="BW247" i="5"/>
  <c r="BV247" i="5"/>
  <c r="BP247" i="5"/>
  <c r="BU247" i="5" s="1"/>
  <c r="BO247" i="5"/>
  <c r="BT247" i="5" s="1"/>
  <c r="BK247" i="5"/>
  <c r="BJ247" i="5"/>
  <c r="BN247" i="5" s="1"/>
  <c r="BH247" i="5"/>
  <c r="BG247" i="5"/>
  <c r="BF247" i="5"/>
  <c r="BE247" i="5"/>
  <c r="BD247" i="5"/>
  <c r="BC247" i="5"/>
  <c r="BB247" i="5"/>
  <c r="BA247" i="5"/>
  <c r="AZ247" i="5"/>
  <c r="AY247" i="5"/>
  <c r="AX247" i="5"/>
  <c r="AW247" i="5"/>
  <c r="AV247" i="5"/>
  <c r="AU247" i="5"/>
  <c r="AT247" i="5"/>
  <c r="AS247" i="5"/>
  <c r="AR247" i="5"/>
  <c r="BI247" i="5" s="1"/>
  <c r="Z247" i="5"/>
  <c r="B247" i="5"/>
  <c r="C247" i="5" s="1" a="1"/>
  <c r="C247" i="5" s="1"/>
  <c r="A247" i="5"/>
  <c r="BZ246" i="5"/>
  <c r="BY246" i="5"/>
  <c r="BW246" i="5"/>
  <c r="BV246" i="5"/>
  <c r="BP246" i="5"/>
  <c r="BU246" i="5" s="1"/>
  <c r="BO246" i="5"/>
  <c r="BT246" i="5" s="1"/>
  <c r="BN246" i="5"/>
  <c r="BK246" i="5"/>
  <c r="BJ246" i="5"/>
  <c r="BI246" i="5"/>
  <c r="BH246" i="5"/>
  <c r="BG246" i="5"/>
  <c r="BF246" i="5"/>
  <c r="BE246" i="5"/>
  <c r="BD246" i="5"/>
  <c r="BC246" i="5"/>
  <c r="BB246" i="5"/>
  <c r="BA246" i="5"/>
  <c r="AZ246" i="5"/>
  <c r="AY246" i="5"/>
  <c r="AX246" i="5"/>
  <c r="AW246" i="5"/>
  <c r="AV246" i="5"/>
  <c r="AU246" i="5"/>
  <c r="AT246" i="5"/>
  <c r="AS246" i="5"/>
  <c r="AR246" i="5"/>
  <c r="Z246" i="5"/>
  <c r="B246" i="5"/>
  <c r="C246" i="5" s="1" a="1"/>
  <c r="C246" i="5" s="1"/>
  <c r="A246" i="5"/>
  <c r="CC245" i="5"/>
  <c r="CB245" i="5"/>
  <c r="CA245" i="5"/>
  <c r="CD245" i="5" s="1"/>
  <c r="BW245" i="5"/>
  <c r="BV245" i="5"/>
  <c r="BU245" i="5"/>
  <c r="BT245" i="5"/>
  <c r="BS245" i="5"/>
  <c r="BN245" i="5"/>
  <c r="BH245" i="5"/>
  <c r="BG245" i="5"/>
  <c r="BF245" i="5"/>
  <c r="BE245" i="5"/>
  <c r="BD245" i="5"/>
  <c r="BC245" i="5"/>
  <c r="BB245" i="5"/>
  <c r="BA245" i="5"/>
  <c r="AZ245" i="5"/>
  <c r="AY245" i="5"/>
  <c r="AX245" i="5"/>
  <c r="AW245" i="5"/>
  <c r="AV245" i="5"/>
  <c r="AU245" i="5"/>
  <c r="AT245" i="5"/>
  <c r="AS245" i="5"/>
  <c r="AR245" i="5"/>
  <c r="BI245" i="5" s="1"/>
  <c r="Z245" i="5"/>
  <c r="B245" i="5"/>
  <c r="C245" i="5" s="1" a="1"/>
  <c r="C245" i="5" s="1"/>
  <c r="A245" i="5"/>
  <c r="CD244" i="5"/>
  <c r="CC244" i="5"/>
  <c r="CB244" i="5"/>
  <c r="CA244" i="5"/>
  <c r="BX244" i="5"/>
  <c r="BW244" i="5"/>
  <c r="BV244" i="5"/>
  <c r="BU244" i="5"/>
  <c r="BT244" i="5"/>
  <c r="BS244" i="5"/>
  <c r="BN244" i="5"/>
  <c r="BH244" i="5"/>
  <c r="BG244" i="5"/>
  <c r="BF244" i="5"/>
  <c r="BE244" i="5"/>
  <c r="BD244" i="5"/>
  <c r="BC244" i="5"/>
  <c r="BB244" i="5"/>
  <c r="BA244" i="5"/>
  <c r="AZ244" i="5"/>
  <c r="AY244" i="5"/>
  <c r="AX244" i="5"/>
  <c r="AW244" i="5"/>
  <c r="AV244" i="5"/>
  <c r="AU244" i="5"/>
  <c r="AT244" i="5"/>
  <c r="AS244" i="5"/>
  <c r="AR244" i="5"/>
  <c r="BI244" i="5" s="1"/>
  <c r="Z244" i="5"/>
  <c r="C244" i="5" a="1"/>
  <c r="C244" i="5" s="1"/>
  <c r="B244" i="5"/>
  <c r="A244" i="5"/>
  <c r="CC243" i="5"/>
  <c r="CB243" i="5"/>
  <c r="CA243" i="5"/>
  <c r="BX243" i="5"/>
  <c r="BW243" i="5"/>
  <c r="BV243" i="5"/>
  <c r="BU243" i="5"/>
  <c r="BT243" i="5"/>
  <c r="BS243" i="5"/>
  <c r="BN243" i="5"/>
  <c r="BI243" i="5"/>
  <c r="BH243" i="5"/>
  <c r="BG243" i="5"/>
  <c r="BF243" i="5"/>
  <c r="BE243" i="5"/>
  <c r="BD243" i="5"/>
  <c r="BC243" i="5"/>
  <c r="BB243" i="5"/>
  <c r="BA243" i="5"/>
  <c r="AZ243" i="5"/>
  <c r="AY243" i="5"/>
  <c r="AX243" i="5"/>
  <c r="AW243" i="5"/>
  <c r="AV243" i="5"/>
  <c r="AU243" i="5"/>
  <c r="AT243" i="5"/>
  <c r="AS243" i="5"/>
  <c r="AR243" i="5"/>
  <c r="Z243" i="5"/>
  <c r="C243" i="5" a="1"/>
  <c r="C243" i="5" s="1"/>
  <c r="B243" i="5"/>
  <c r="A243" i="5"/>
  <c r="CC242" i="5"/>
  <c r="CB242" i="5"/>
  <c r="CA242" i="5"/>
  <c r="BW242" i="5"/>
  <c r="BV242" i="5"/>
  <c r="BU242" i="5"/>
  <c r="BT242" i="5"/>
  <c r="BS242" i="5"/>
  <c r="BN242" i="5"/>
  <c r="BI242" i="5"/>
  <c r="BH242" i="5"/>
  <c r="BG242" i="5"/>
  <c r="BF242" i="5"/>
  <c r="BE242" i="5"/>
  <c r="BD242" i="5"/>
  <c r="BC242" i="5"/>
  <c r="BB242" i="5"/>
  <c r="BA242" i="5"/>
  <c r="AZ242" i="5"/>
  <c r="AY242" i="5"/>
  <c r="AX242" i="5"/>
  <c r="AW242" i="5"/>
  <c r="AV242" i="5"/>
  <c r="AU242" i="5"/>
  <c r="AT242" i="5"/>
  <c r="AS242" i="5"/>
  <c r="AR242" i="5"/>
  <c r="Z242" i="5"/>
  <c r="B242" i="5"/>
  <c r="C242" i="5" s="1" a="1"/>
  <c r="C242" i="5" s="1"/>
  <c r="A242" i="5"/>
  <c r="CC241" i="5"/>
  <c r="CB241" i="5"/>
  <c r="CA241" i="5"/>
  <c r="CD241" i="5" s="1"/>
  <c r="BW241" i="5"/>
  <c r="BV241" i="5"/>
  <c r="BU241" i="5"/>
  <c r="BT241" i="5"/>
  <c r="BS241" i="5"/>
  <c r="BX241" i="5" s="1"/>
  <c r="BN241" i="5"/>
  <c r="BH241" i="5"/>
  <c r="BG241" i="5"/>
  <c r="BF241" i="5"/>
  <c r="BE241" i="5"/>
  <c r="BD241" i="5"/>
  <c r="BC241" i="5"/>
  <c r="BB241" i="5"/>
  <c r="BA241" i="5"/>
  <c r="AZ241" i="5"/>
  <c r="AY241" i="5"/>
  <c r="AX241" i="5"/>
  <c r="AW241" i="5"/>
  <c r="AV241" i="5"/>
  <c r="AU241" i="5"/>
  <c r="AT241" i="5"/>
  <c r="AS241" i="5"/>
  <c r="AR241" i="5"/>
  <c r="Z241" i="5"/>
  <c r="B241" i="5"/>
  <c r="C241" i="5" s="1" a="1"/>
  <c r="C241" i="5" s="1"/>
  <c r="A241" i="5"/>
  <c r="CC240" i="5"/>
  <c r="CB240" i="5"/>
  <c r="CA240" i="5"/>
  <c r="BW240" i="5"/>
  <c r="BV240" i="5"/>
  <c r="BU240" i="5"/>
  <c r="BT240" i="5"/>
  <c r="BS240" i="5"/>
  <c r="BN240" i="5"/>
  <c r="BH240" i="5"/>
  <c r="BG240" i="5"/>
  <c r="BF240" i="5"/>
  <c r="BE240" i="5"/>
  <c r="BD240" i="5"/>
  <c r="BC240" i="5"/>
  <c r="BB240" i="5"/>
  <c r="BA240" i="5"/>
  <c r="AZ240" i="5"/>
  <c r="AY240" i="5"/>
  <c r="AX240" i="5"/>
  <c r="AW240" i="5"/>
  <c r="AV240" i="5"/>
  <c r="AU240" i="5"/>
  <c r="AT240" i="5"/>
  <c r="AS240" i="5"/>
  <c r="AR240" i="5"/>
  <c r="Z240" i="5"/>
  <c r="C240" i="5"/>
  <c r="B240" i="5"/>
  <c r="C240" i="5" s="1" a="1"/>
  <c r="A240" i="5"/>
  <c r="CC239" i="5"/>
  <c r="CB239" i="5"/>
  <c r="CA239" i="5"/>
  <c r="BW239" i="5"/>
  <c r="BV239" i="5"/>
  <c r="BU239" i="5"/>
  <c r="BT239" i="5"/>
  <c r="BS239" i="5"/>
  <c r="BN239" i="5"/>
  <c r="BX239" i="5" s="1"/>
  <c r="BI239" i="5"/>
  <c r="BH239" i="5"/>
  <c r="BG239" i="5"/>
  <c r="BF239" i="5"/>
  <c r="BE239" i="5"/>
  <c r="BD239" i="5"/>
  <c r="BC239" i="5"/>
  <c r="BB239" i="5"/>
  <c r="BA239" i="5"/>
  <c r="AZ239" i="5"/>
  <c r="AY239" i="5"/>
  <c r="AX239" i="5"/>
  <c r="AW239" i="5"/>
  <c r="AV239" i="5"/>
  <c r="AU239" i="5"/>
  <c r="AT239" i="5"/>
  <c r="AS239" i="5"/>
  <c r="AR239" i="5"/>
  <c r="Z239" i="5"/>
  <c r="B239" i="5"/>
  <c r="C239" i="5" s="1" a="1"/>
  <c r="C239" i="5" s="1"/>
  <c r="A239" i="5"/>
  <c r="CC238" i="5"/>
  <c r="CB238" i="5"/>
  <c r="CA238" i="5"/>
  <c r="BW238" i="5"/>
  <c r="BV238" i="5"/>
  <c r="BU238" i="5"/>
  <c r="BT238" i="5"/>
  <c r="BS238" i="5"/>
  <c r="BN238" i="5"/>
  <c r="BH238" i="5"/>
  <c r="BG238" i="5"/>
  <c r="BF238" i="5"/>
  <c r="BE238" i="5"/>
  <c r="BD238" i="5"/>
  <c r="BC238" i="5"/>
  <c r="BB238" i="5"/>
  <c r="BA238" i="5"/>
  <c r="AZ238" i="5"/>
  <c r="AY238" i="5"/>
  <c r="AX238" i="5"/>
  <c r="AW238" i="5"/>
  <c r="AV238" i="5"/>
  <c r="AU238" i="5"/>
  <c r="AT238" i="5"/>
  <c r="AS238" i="5"/>
  <c r="AR238" i="5"/>
  <c r="Z238" i="5"/>
  <c r="BI238" i="5" s="1"/>
  <c r="B238" i="5"/>
  <c r="C238" i="5" s="1" a="1"/>
  <c r="C238" i="5" s="1"/>
  <c r="A238" i="5"/>
  <c r="CD237" i="5"/>
  <c r="CC237" i="5"/>
  <c r="CB237" i="5"/>
  <c r="CA237" i="5"/>
  <c r="BX237" i="5"/>
  <c r="BW237" i="5"/>
  <c r="BV237" i="5"/>
  <c r="BU237" i="5"/>
  <c r="BT237" i="5"/>
  <c r="BS237" i="5"/>
  <c r="BN237" i="5"/>
  <c r="BH237" i="5"/>
  <c r="BG237" i="5"/>
  <c r="BF237" i="5"/>
  <c r="BE237" i="5"/>
  <c r="BD237" i="5"/>
  <c r="BC237" i="5"/>
  <c r="BB237" i="5"/>
  <c r="BA237" i="5"/>
  <c r="AZ237" i="5"/>
  <c r="AY237" i="5"/>
  <c r="AX237" i="5"/>
  <c r="AW237" i="5"/>
  <c r="AV237" i="5"/>
  <c r="AU237" i="5"/>
  <c r="AT237" i="5"/>
  <c r="AS237" i="5"/>
  <c r="AR237" i="5"/>
  <c r="BI237" i="5" s="1"/>
  <c r="Z237" i="5"/>
  <c r="C237" i="5" a="1"/>
  <c r="C237" i="5" s="1"/>
  <c r="B237" i="5"/>
  <c r="A237" i="5"/>
  <c r="CB236" i="5"/>
  <c r="BZ236" i="5"/>
  <c r="CC236" i="5" s="1"/>
  <c r="BX236" i="5"/>
  <c r="BW236" i="5"/>
  <c r="BV236" i="5"/>
  <c r="BU236" i="5"/>
  <c r="BT236" i="5"/>
  <c r="BS236" i="5"/>
  <c r="BN236" i="5"/>
  <c r="BH236" i="5"/>
  <c r="BG236" i="5"/>
  <c r="BF236" i="5"/>
  <c r="BE236" i="5"/>
  <c r="BD236" i="5"/>
  <c r="BC236" i="5"/>
  <c r="BB236" i="5"/>
  <c r="BA236" i="5"/>
  <c r="AZ236" i="5"/>
  <c r="AY236" i="5"/>
  <c r="AX236" i="5"/>
  <c r="AW236" i="5"/>
  <c r="AV236" i="5"/>
  <c r="AU236" i="5"/>
  <c r="AT236" i="5"/>
  <c r="AS236" i="5"/>
  <c r="AR236" i="5"/>
  <c r="Z236" i="5"/>
  <c r="B236" i="5"/>
  <c r="C236" i="5" s="1" a="1"/>
  <c r="C236" i="5" s="1"/>
  <c r="A236" i="5"/>
  <c r="CC235" i="5"/>
  <c r="CB235" i="5"/>
  <c r="CA235" i="5"/>
  <c r="BW235" i="5"/>
  <c r="BV235" i="5"/>
  <c r="BU235" i="5"/>
  <c r="BT235" i="5"/>
  <c r="BS235" i="5"/>
  <c r="BN235" i="5"/>
  <c r="BH235" i="5"/>
  <c r="BG235" i="5"/>
  <c r="BF235" i="5"/>
  <c r="BE235" i="5"/>
  <c r="BD235" i="5"/>
  <c r="BC235" i="5"/>
  <c r="BB235" i="5"/>
  <c r="BA235" i="5"/>
  <c r="AZ235" i="5"/>
  <c r="AY235" i="5"/>
  <c r="AX235" i="5"/>
  <c r="AW235" i="5"/>
  <c r="AV235" i="5"/>
  <c r="AU235" i="5"/>
  <c r="AT235" i="5"/>
  <c r="AS235" i="5"/>
  <c r="AR235" i="5"/>
  <c r="BI235" i="5" s="1"/>
  <c r="Z235" i="5"/>
  <c r="B235" i="5"/>
  <c r="C235" i="5" s="1" a="1"/>
  <c r="C235" i="5" s="1"/>
  <c r="A235" i="5"/>
  <c r="CD234" i="5"/>
  <c r="CC234" i="5"/>
  <c r="CB234" i="5"/>
  <c r="CA234" i="5"/>
  <c r="BW234" i="5"/>
  <c r="BV234" i="5"/>
  <c r="BU234" i="5"/>
  <c r="BT234" i="5"/>
  <c r="BS234" i="5"/>
  <c r="BN234" i="5"/>
  <c r="BX234" i="5" s="1"/>
  <c r="BH234" i="5"/>
  <c r="BG234" i="5"/>
  <c r="BF234" i="5"/>
  <c r="BE234" i="5"/>
  <c r="BD234" i="5"/>
  <c r="BC234" i="5"/>
  <c r="BB234" i="5"/>
  <c r="BA234" i="5"/>
  <c r="AZ234" i="5"/>
  <c r="AY234" i="5"/>
  <c r="AX234" i="5"/>
  <c r="AW234" i="5"/>
  <c r="AV234" i="5"/>
  <c r="AU234" i="5"/>
  <c r="AT234" i="5"/>
  <c r="AS234" i="5"/>
  <c r="AR234" i="5"/>
  <c r="BI234" i="5" s="1"/>
  <c r="Z234" i="5"/>
  <c r="B234" i="5"/>
  <c r="C234" i="5" s="1" a="1"/>
  <c r="C234" i="5" s="1"/>
  <c r="A234" i="5"/>
  <c r="CC233" i="5"/>
  <c r="CB233" i="5"/>
  <c r="CA233" i="5"/>
  <c r="BW233" i="5"/>
  <c r="BV233" i="5"/>
  <c r="BT233" i="5"/>
  <c r="BS233" i="5"/>
  <c r="BN233" i="5"/>
  <c r="BH233" i="5"/>
  <c r="BG233" i="5"/>
  <c r="BF233" i="5"/>
  <c r="BE233" i="5"/>
  <c r="BD233" i="5"/>
  <c r="BC233" i="5"/>
  <c r="BB233" i="5"/>
  <c r="BA233" i="5"/>
  <c r="AZ233" i="5"/>
  <c r="AY233" i="5"/>
  <c r="AX233" i="5"/>
  <c r="AW233" i="5"/>
  <c r="AV233" i="5"/>
  <c r="AU233" i="5"/>
  <c r="AT233" i="5"/>
  <c r="AS233" i="5"/>
  <c r="AR233" i="5"/>
  <c r="Z233" i="5"/>
  <c r="B233" i="5"/>
  <c r="C233" i="5" s="1" a="1"/>
  <c r="C233" i="5" s="1"/>
  <c r="A233" i="5"/>
  <c r="CC232" i="5"/>
  <c r="CB232" i="5"/>
  <c r="CA232" i="5"/>
  <c r="BW232" i="5"/>
  <c r="BV232" i="5"/>
  <c r="BU232" i="5"/>
  <c r="BT232" i="5"/>
  <c r="BS232" i="5"/>
  <c r="BN232" i="5"/>
  <c r="BX232" i="5" s="1"/>
  <c r="BI232" i="5"/>
  <c r="BH232" i="5"/>
  <c r="BG232" i="5"/>
  <c r="BF232" i="5"/>
  <c r="BE232" i="5"/>
  <c r="BD232" i="5"/>
  <c r="BC232" i="5"/>
  <c r="BB232" i="5"/>
  <c r="BA232" i="5"/>
  <c r="AZ232" i="5"/>
  <c r="AY232" i="5"/>
  <c r="AX232" i="5"/>
  <c r="AW232" i="5"/>
  <c r="AV232" i="5"/>
  <c r="AU232" i="5"/>
  <c r="AT232" i="5"/>
  <c r="AS232" i="5"/>
  <c r="AR232" i="5"/>
  <c r="Z232" i="5"/>
  <c r="B232" i="5"/>
  <c r="C232" i="5" s="1" a="1"/>
  <c r="C232" i="5" s="1"/>
  <c r="A232" i="5"/>
  <c r="CC231" i="5"/>
  <c r="CB231" i="5"/>
  <c r="CA231" i="5"/>
  <c r="BW231" i="5"/>
  <c r="BV231" i="5"/>
  <c r="BU231" i="5"/>
  <c r="BT231" i="5"/>
  <c r="BS231" i="5"/>
  <c r="CD231" i="5" s="1"/>
  <c r="BN231" i="5"/>
  <c r="BH231" i="5"/>
  <c r="BG231" i="5"/>
  <c r="BF231" i="5"/>
  <c r="BE231" i="5"/>
  <c r="BD231" i="5"/>
  <c r="BC231" i="5"/>
  <c r="BB231" i="5"/>
  <c r="BA231" i="5"/>
  <c r="AZ231" i="5"/>
  <c r="AY231" i="5"/>
  <c r="AX231" i="5"/>
  <c r="AW231" i="5"/>
  <c r="AV231" i="5"/>
  <c r="AU231" i="5"/>
  <c r="AT231" i="5"/>
  <c r="AS231" i="5"/>
  <c r="AR231" i="5"/>
  <c r="Z231" i="5"/>
  <c r="BI231" i="5" s="1"/>
  <c r="C231" i="5"/>
  <c r="B231" i="5"/>
  <c r="C231" i="5" s="1" a="1"/>
  <c r="A231" i="5"/>
  <c r="CD230" i="5"/>
  <c r="CC230" i="5"/>
  <c r="CB230" i="5"/>
  <c r="CA230" i="5"/>
  <c r="BX230" i="5"/>
  <c r="BW230" i="5"/>
  <c r="BV230" i="5"/>
  <c r="BU230" i="5"/>
  <c r="BT230" i="5"/>
  <c r="BS230" i="5"/>
  <c r="BN230" i="5"/>
  <c r="BH230" i="5"/>
  <c r="BG230" i="5"/>
  <c r="BF230" i="5"/>
  <c r="BE230" i="5"/>
  <c r="BD230" i="5"/>
  <c r="BC230" i="5"/>
  <c r="BB230" i="5"/>
  <c r="BA230" i="5"/>
  <c r="AZ230" i="5"/>
  <c r="AY230" i="5"/>
  <c r="AX230" i="5"/>
  <c r="AW230" i="5"/>
  <c r="AV230" i="5"/>
  <c r="AU230" i="5"/>
  <c r="AT230" i="5"/>
  <c r="AS230" i="5"/>
  <c r="AR230" i="5"/>
  <c r="BI230" i="5" s="1"/>
  <c r="Z230" i="5"/>
  <c r="C230" i="5" a="1"/>
  <c r="C230" i="5" s="1"/>
  <c r="B230" i="5"/>
  <c r="A230" i="5"/>
  <c r="CC229" i="5"/>
  <c r="CB229" i="5"/>
  <c r="CA229" i="5"/>
  <c r="BX229" i="5"/>
  <c r="BW229" i="5"/>
  <c r="BV229" i="5"/>
  <c r="BU229" i="5"/>
  <c r="BT229" i="5"/>
  <c r="BS229" i="5"/>
  <c r="BN229" i="5"/>
  <c r="BH229" i="5"/>
  <c r="BG229" i="5"/>
  <c r="BF229" i="5"/>
  <c r="BE229" i="5"/>
  <c r="BD229" i="5"/>
  <c r="BC229" i="5"/>
  <c r="BB229" i="5"/>
  <c r="BA229" i="5"/>
  <c r="AZ229" i="5"/>
  <c r="AY229" i="5"/>
  <c r="AX229" i="5"/>
  <c r="AW229" i="5"/>
  <c r="AV229" i="5"/>
  <c r="AU229" i="5"/>
  <c r="AT229" i="5"/>
  <c r="AS229" i="5"/>
  <c r="AR229" i="5"/>
  <c r="Z229" i="5"/>
  <c r="BI229" i="5" s="1"/>
  <c r="B229" i="5"/>
  <c r="C229" i="5" s="1" a="1"/>
  <c r="C229" i="5" s="1"/>
  <c r="A229" i="5"/>
  <c r="CC228" i="5"/>
  <c r="CB228" i="5"/>
  <c r="CA228" i="5"/>
  <c r="BW228" i="5"/>
  <c r="BV228" i="5"/>
  <c r="BU228" i="5"/>
  <c r="BT228" i="5"/>
  <c r="BS228" i="5"/>
  <c r="BN228" i="5"/>
  <c r="BH228" i="5"/>
  <c r="BG228" i="5"/>
  <c r="BF228" i="5"/>
  <c r="BE228" i="5"/>
  <c r="BD228" i="5"/>
  <c r="BC228" i="5"/>
  <c r="BB228" i="5"/>
  <c r="BA228" i="5"/>
  <c r="AZ228" i="5"/>
  <c r="AY228" i="5"/>
  <c r="AX228" i="5"/>
  <c r="AW228" i="5"/>
  <c r="AV228" i="5"/>
  <c r="AU228" i="5"/>
  <c r="AT228" i="5"/>
  <c r="AS228" i="5"/>
  <c r="AR228" i="5"/>
  <c r="BI228" i="5" s="1"/>
  <c r="Z228" i="5"/>
  <c r="B228" i="5"/>
  <c r="C228" i="5" s="1" a="1"/>
  <c r="C228" i="5" s="1"/>
  <c r="A228" i="5"/>
  <c r="CD227" i="5"/>
  <c r="CC227" i="5"/>
  <c r="CB227" i="5"/>
  <c r="CA227" i="5"/>
  <c r="BX227" i="5"/>
  <c r="BW227" i="5"/>
  <c r="BV227" i="5"/>
  <c r="BU227" i="5"/>
  <c r="BT227" i="5"/>
  <c r="BS227" i="5"/>
  <c r="BN227" i="5"/>
  <c r="BH227" i="5"/>
  <c r="BG227" i="5"/>
  <c r="BF227" i="5"/>
  <c r="BE227" i="5"/>
  <c r="BD227" i="5"/>
  <c r="BC227" i="5"/>
  <c r="BB227" i="5"/>
  <c r="BA227" i="5"/>
  <c r="AZ227" i="5"/>
  <c r="AY227" i="5"/>
  <c r="AX227" i="5"/>
  <c r="AW227" i="5"/>
  <c r="AV227" i="5"/>
  <c r="AU227" i="5"/>
  <c r="AT227" i="5"/>
  <c r="AS227" i="5"/>
  <c r="AR227" i="5"/>
  <c r="BI227" i="5" s="1"/>
  <c r="Z227" i="5"/>
  <c r="B227" i="5"/>
  <c r="C227" i="5" s="1" a="1"/>
  <c r="C227" i="5" s="1"/>
  <c r="A227" i="5"/>
  <c r="CD226" i="5"/>
  <c r="CC226" i="5"/>
  <c r="CB226" i="5"/>
  <c r="CA226" i="5"/>
  <c r="BX226" i="5"/>
  <c r="BW226" i="5"/>
  <c r="BV226" i="5"/>
  <c r="BU226" i="5"/>
  <c r="BT226" i="5"/>
  <c r="BS226" i="5"/>
  <c r="BN226" i="5"/>
  <c r="BH226" i="5"/>
  <c r="BG226" i="5"/>
  <c r="BF226" i="5"/>
  <c r="BE226" i="5"/>
  <c r="BD226" i="5"/>
  <c r="BC226" i="5"/>
  <c r="BB226" i="5"/>
  <c r="BA226" i="5"/>
  <c r="AZ226" i="5"/>
  <c r="AY226" i="5"/>
  <c r="AX226" i="5"/>
  <c r="AW226" i="5"/>
  <c r="AV226" i="5"/>
  <c r="AU226" i="5"/>
  <c r="AT226" i="5"/>
  <c r="AS226" i="5"/>
  <c r="AR226" i="5"/>
  <c r="BI226" i="5" s="1"/>
  <c r="Z226" i="5"/>
  <c r="C226" i="5" a="1"/>
  <c r="C226" i="5" s="1"/>
  <c r="B226" i="5"/>
  <c r="A226" i="5"/>
  <c r="CC225" i="5"/>
  <c r="CB225" i="5"/>
  <c r="CA225" i="5"/>
  <c r="BW225" i="5"/>
  <c r="BV225" i="5"/>
  <c r="BU225" i="5"/>
  <c r="BT225" i="5"/>
  <c r="BS225" i="5"/>
  <c r="CD225" i="5" s="1"/>
  <c r="BN225" i="5"/>
  <c r="BI225" i="5"/>
  <c r="BH225" i="5"/>
  <c r="BG225" i="5"/>
  <c r="BF225" i="5"/>
  <c r="BE225" i="5"/>
  <c r="BD225" i="5"/>
  <c r="BC225" i="5"/>
  <c r="BB225" i="5"/>
  <c r="BA225" i="5"/>
  <c r="AZ225" i="5"/>
  <c r="AY225" i="5"/>
  <c r="AX225" i="5"/>
  <c r="AW225" i="5"/>
  <c r="AV225" i="5"/>
  <c r="AU225" i="5"/>
  <c r="AT225" i="5"/>
  <c r="AS225" i="5"/>
  <c r="AR225" i="5"/>
  <c r="Z225" i="5"/>
  <c r="C225" i="5" a="1"/>
  <c r="C225" i="5" s="1"/>
  <c r="B225" i="5"/>
  <c r="A225" i="5"/>
  <c r="CC224" i="5"/>
  <c r="CB224" i="5"/>
  <c r="CA224" i="5"/>
  <c r="CD224" i="5" s="1"/>
  <c r="BW224" i="5"/>
  <c r="BV224" i="5"/>
  <c r="BU224" i="5"/>
  <c r="BT224" i="5"/>
  <c r="BS224" i="5"/>
  <c r="BX224" i="5" s="1"/>
  <c r="BN224" i="5"/>
  <c r="BI224" i="5"/>
  <c r="BH224" i="5"/>
  <c r="BG224" i="5"/>
  <c r="BF224" i="5"/>
  <c r="BE224" i="5"/>
  <c r="BD224" i="5"/>
  <c r="BC224" i="5"/>
  <c r="BB224" i="5"/>
  <c r="BA224" i="5"/>
  <c r="AZ224" i="5"/>
  <c r="AY224" i="5"/>
  <c r="AX224" i="5"/>
  <c r="AW224" i="5"/>
  <c r="AV224" i="5"/>
  <c r="AU224" i="5"/>
  <c r="AT224" i="5"/>
  <c r="AS224" i="5"/>
  <c r="AR224" i="5"/>
  <c r="Z224" i="5"/>
  <c r="C224" i="5"/>
  <c r="B224" i="5"/>
  <c r="C224" i="5" s="1" a="1"/>
  <c r="A224" i="5"/>
  <c r="CC223" i="5"/>
  <c r="CB223" i="5"/>
  <c r="CA223" i="5"/>
  <c r="CD223" i="5" s="1"/>
  <c r="BX223" i="5"/>
  <c r="BW223" i="5"/>
  <c r="BV223" i="5"/>
  <c r="BU223" i="5"/>
  <c r="BT223" i="5"/>
  <c r="BS223" i="5"/>
  <c r="BN223" i="5"/>
  <c r="BI223" i="5"/>
  <c r="BH223" i="5"/>
  <c r="BG223" i="5"/>
  <c r="BF223" i="5"/>
  <c r="BE223" i="5"/>
  <c r="BD223" i="5"/>
  <c r="BC223" i="5"/>
  <c r="BB223" i="5"/>
  <c r="BA223" i="5"/>
  <c r="AZ223" i="5"/>
  <c r="AY223" i="5"/>
  <c r="AX223" i="5"/>
  <c r="AW223" i="5"/>
  <c r="AV223" i="5"/>
  <c r="AU223" i="5"/>
  <c r="AT223" i="5"/>
  <c r="AS223" i="5"/>
  <c r="AR223" i="5"/>
  <c r="Z223" i="5"/>
  <c r="C223" i="5" a="1"/>
  <c r="C223" i="5" s="1"/>
  <c r="B223" i="5"/>
  <c r="A223" i="5"/>
  <c r="CC222" i="5"/>
  <c r="CB222" i="5"/>
  <c r="CA222" i="5"/>
  <c r="BX222" i="5"/>
  <c r="BW222" i="5"/>
  <c r="BV222" i="5"/>
  <c r="BU222" i="5"/>
  <c r="BT222" i="5"/>
  <c r="BS222" i="5"/>
  <c r="BN222" i="5"/>
  <c r="BH222" i="5"/>
  <c r="BG222" i="5"/>
  <c r="BF222" i="5"/>
  <c r="BE222" i="5"/>
  <c r="BD222" i="5"/>
  <c r="BC222" i="5"/>
  <c r="BB222" i="5"/>
  <c r="BA222" i="5"/>
  <c r="AZ222" i="5"/>
  <c r="AY222" i="5"/>
  <c r="AX222" i="5"/>
  <c r="AW222" i="5"/>
  <c r="AV222" i="5"/>
  <c r="AU222" i="5"/>
  <c r="AT222" i="5"/>
  <c r="AS222" i="5"/>
  <c r="AR222" i="5"/>
  <c r="Z222" i="5"/>
  <c r="BI222" i="5" s="1"/>
  <c r="B222" i="5"/>
  <c r="C222" i="5" s="1" a="1"/>
  <c r="C222" i="5" s="1"/>
  <c r="A222" i="5"/>
  <c r="CC221" i="5"/>
  <c r="CB221" i="5"/>
  <c r="CA221" i="5"/>
  <c r="BW221" i="5"/>
  <c r="BV221" i="5"/>
  <c r="BU221" i="5"/>
  <c r="BT221" i="5"/>
  <c r="BS221" i="5"/>
  <c r="BN221" i="5"/>
  <c r="BH221" i="5"/>
  <c r="BG221" i="5"/>
  <c r="BF221" i="5"/>
  <c r="BE221" i="5"/>
  <c r="BD221" i="5"/>
  <c r="BC221" i="5"/>
  <c r="BB221" i="5"/>
  <c r="BA221" i="5"/>
  <c r="AZ221" i="5"/>
  <c r="AY221" i="5"/>
  <c r="AX221" i="5"/>
  <c r="AW221" i="5"/>
  <c r="AV221" i="5"/>
  <c r="AU221" i="5"/>
  <c r="AT221" i="5"/>
  <c r="AS221" i="5"/>
  <c r="AR221" i="5"/>
  <c r="Z221" i="5"/>
  <c r="AV222" i="4" s="1"/>
  <c r="AU222" i="4" s="1"/>
  <c r="BE222" i="4" s="1"/>
  <c r="B221" i="5"/>
  <c r="C221" i="5" s="1" a="1"/>
  <c r="C221" i="5" s="1"/>
  <c r="A221" i="5"/>
  <c r="CD220" i="5"/>
  <c r="CC220" i="5"/>
  <c r="CB220" i="5"/>
  <c r="CA220" i="5"/>
  <c r="BX220" i="5"/>
  <c r="BW220" i="5"/>
  <c r="BV220" i="5"/>
  <c r="BU220" i="5"/>
  <c r="BT220" i="5"/>
  <c r="BS220" i="5"/>
  <c r="BN220" i="5"/>
  <c r="BH220" i="5"/>
  <c r="BG220" i="5"/>
  <c r="BF220" i="5"/>
  <c r="BE220" i="5"/>
  <c r="BD220" i="5"/>
  <c r="BC220" i="5"/>
  <c r="BB220" i="5"/>
  <c r="BA220" i="5"/>
  <c r="AZ220" i="5"/>
  <c r="AY220" i="5"/>
  <c r="AX220" i="5"/>
  <c r="AW220" i="5"/>
  <c r="AV220" i="5"/>
  <c r="AU220" i="5"/>
  <c r="AT220" i="5"/>
  <c r="AS220" i="5"/>
  <c r="AR220" i="5"/>
  <c r="Z220" i="5"/>
  <c r="B220" i="5"/>
  <c r="C220" i="5" s="1" a="1"/>
  <c r="C220" i="5" s="1"/>
  <c r="A220" i="5"/>
  <c r="CC219" i="5"/>
  <c r="CB219" i="5"/>
  <c r="CA219" i="5"/>
  <c r="BX219" i="5"/>
  <c r="BW219" i="5"/>
  <c r="BV219" i="5"/>
  <c r="BU219" i="5"/>
  <c r="BT219" i="5"/>
  <c r="BS219" i="5"/>
  <c r="CD219" i="5" s="1"/>
  <c r="BN219" i="5"/>
  <c r="BH219" i="5"/>
  <c r="BG219" i="5"/>
  <c r="BF219" i="5"/>
  <c r="BE219" i="5"/>
  <c r="BD219" i="5"/>
  <c r="BC219" i="5"/>
  <c r="BB219" i="5"/>
  <c r="BA219" i="5"/>
  <c r="AZ219" i="5"/>
  <c r="AY219" i="5"/>
  <c r="AX219" i="5"/>
  <c r="AW219" i="5"/>
  <c r="AV219" i="5"/>
  <c r="AU219" i="5"/>
  <c r="AT219" i="5"/>
  <c r="AS219" i="5"/>
  <c r="AR219" i="5"/>
  <c r="BI219" i="5" s="1"/>
  <c r="Z219" i="5"/>
  <c r="B219" i="5"/>
  <c r="C219" i="5" s="1" a="1"/>
  <c r="C219" i="5" s="1"/>
  <c r="A219" i="5"/>
  <c r="CC218" i="5"/>
  <c r="CB218" i="5"/>
  <c r="CA218" i="5"/>
  <c r="BW218" i="5"/>
  <c r="BV218" i="5"/>
  <c r="BU218" i="5"/>
  <c r="BT218" i="5"/>
  <c r="BS218" i="5"/>
  <c r="CD218" i="5" s="1"/>
  <c r="BN218" i="5"/>
  <c r="BX218" i="5" s="1"/>
  <c r="BI218" i="5"/>
  <c r="BH218" i="5"/>
  <c r="BG218" i="5"/>
  <c r="BF218" i="5"/>
  <c r="BE218" i="5"/>
  <c r="BD218" i="5"/>
  <c r="BC218" i="5"/>
  <c r="BB218" i="5"/>
  <c r="BA218" i="5"/>
  <c r="AZ218" i="5"/>
  <c r="AY218" i="5"/>
  <c r="AX218" i="5"/>
  <c r="AW218" i="5"/>
  <c r="AV218" i="5"/>
  <c r="AU218" i="5"/>
  <c r="AT218" i="5"/>
  <c r="AS218" i="5"/>
  <c r="AR218" i="5"/>
  <c r="Z218" i="5"/>
  <c r="C218" i="5" a="1"/>
  <c r="C218" i="5" s="1"/>
  <c r="B218" i="5"/>
  <c r="A218" i="5"/>
  <c r="CC217" i="5"/>
  <c r="CB217" i="5"/>
  <c r="CA217" i="5"/>
  <c r="CD217" i="5" s="1"/>
  <c r="BW217" i="5"/>
  <c r="BV217" i="5"/>
  <c r="BU217" i="5"/>
  <c r="BT217" i="5"/>
  <c r="BS217" i="5"/>
  <c r="BN217" i="5"/>
  <c r="BH217" i="5"/>
  <c r="BG217" i="5"/>
  <c r="BF217" i="5"/>
  <c r="BE217" i="5"/>
  <c r="BD217" i="5"/>
  <c r="BC217" i="5"/>
  <c r="BB217" i="5"/>
  <c r="BA217" i="5"/>
  <c r="AZ217" i="5"/>
  <c r="AY217" i="5"/>
  <c r="AX217" i="5"/>
  <c r="AW217" i="5"/>
  <c r="AV217" i="5"/>
  <c r="AU217" i="5"/>
  <c r="AT217" i="5"/>
  <c r="AS217" i="5"/>
  <c r="AR217" i="5"/>
  <c r="Z217" i="5"/>
  <c r="BI217" i="5" s="1"/>
  <c r="B217" i="5"/>
  <c r="C217" i="5" s="1" a="1"/>
  <c r="C217" i="5" s="1"/>
  <c r="A217" i="5"/>
  <c r="CD216" i="5"/>
  <c r="CC216" i="5"/>
  <c r="CB216" i="5"/>
  <c r="BX216" i="5"/>
  <c r="BW216" i="5"/>
  <c r="BV216" i="5"/>
  <c r="BU216" i="5"/>
  <c r="BT216" i="5"/>
  <c r="BS216" i="5"/>
  <c r="BN216" i="5"/>
  <c r="BH216" i="5"/>
  <c r="BG216" i="5"/>
  <c r="BF216" i="5"/>
  <c r="BE216" i="5"/>
  <c r="BD216" i="5"/>
  <c r="BC216" i="5"/>
  <c r="BB216" i="5"/>
  <c r="BA216" i="5"/>
  <c r="AZ216" i="5"/>
  <c r="AY216" i="5"/>
  <c r="AX216" i="5"/>
  <c r="AW216" i="5"/>
  <c r="AV216" i="5"/>
  <c r="AU216" i="5"/>
  <c r="AT216" i="5"/>
  <c r="AS216" i="5"/>
  <c r="AR216" i="5"/>
  <c r="BI216" i="5" s="1"/>
  <c r="Z216" i="5"/>
  <c r="C216" i="5" a="1"/>
  <c r="C216" i="5" s="1"/>
  <c r="B216" i="5"/>
  <c r="A216" i="5"/>
  <c r="CC215" i="5"/>
  <c r="BX215" i="5"/>
  <c r="BW215" i="5"/>
  <c r="CB215" i="5" s="1"/>
  <c r="BV215" i="5"/>
  <c r="BU215" i="5"/>
  <c r="BT215" i="5"/>
  <c r="BS215" i="5"/>
  <c r="CD215" i="5" s="1"/>
  <c r="BN215" i="5"/>
  <c r="BI215" i="5"/>
  <c r="BH215" i="5"/>
  <c r="BG215" i="5"/>
  <c r="BF215" i="5"/>
  <c r="BE215" i="5"/>
  <c r="BD215" i="5"/>
  <c r="BC215" i="5"/>
  <c r="BB215" i="5"/>
  <c r="BA215" i="5"/>
  <c r="AZ215" i="5"/>
  <c r="AY215" i="5"/>
  <c r="AX215" i="5"/>
  <c r="AW215" i="5"/>
  <c r="AV215" i="5"/>
  <c r="AU215" i="5"/>
  <c r="AT215" i="5"/>
  <c r="AS215" i="5"/>
  <c r="AR215" i="5"/>
  <c r="Z215" i="5"/>
  <c r="C215" i="5" a="1"/>
  <c r="C215" i="5"/>
  <c r="B215" i="5"/>
  <c r="A215" i="5"/>
  <c r="CC214" i="5"/>
  <c r="CB214" i="5"/>
  <c r="BW214" i="5"/>
  <c r="BV214" i="5"/>
  <c r="BU214" i="5"/>
  <c r="BT214" i="5"/>
  <c r="BS214" i="5"/>
  <c r="BN214" i="5"/>
  <c r="BI214" i="5"/>
  <c r="BH214" i="5"/>
  <c r="BG214" i="5"/>
  <c r="BF214" i="5"/>
  <c r="BE214" i="5"/>
  <c r="BD214" i="5"/>
  <c r="BC214" i="5"/>
  <c r="BB214" i="5"/>
  <c r="BA214" i="5"/>
  <c r="AZ214" i="5"/>
  <c r="AY214" i="5"/>
  <c r="AX214" i="5"/>
  <c r="AW214" i="5"/>
  <c r="AV214" i="5"/>
  <c r="AU214" i="5"/>
  <c r="AT214" i="5"/>
  <c r="AS214" i="5"/>
  <c r="AR214" i="5"/>
  <c r="Z214" i="5"/>
  <c r="B214" i="5"/>
  <c r="C214" i="5" s="1" a="1"/>
  <c r="C214" i="5" s="1"/>
  <c r="A214" i="5"/>
  <c r="CC213" i="5"/>
  <c r="BX213" i="5"/>
  <c r="BW213" i="5"/>
  <c r="CB213" i="5" s="1"/>
  <c r="BV213" i="5"/>
  <c r="BU213" i="5"/>
  <c r="BT213" i="5"/>
  <c r="BS213" i="5"/>
  <c r="CD213" i="5" s="1"/>
  <c r="BN213" i="5"/>
  <c r="BH213" i="5"/>
  <c r="BG213" i="5"/>
  <c r="BF213" i="5"/>
  <c r="BE213" i="5"/>
  <c r="BD213" i="5"/>
  <c r="BC213" i="5"/>
  <c r="BB213" i="5"/>
  <c r="BA213" i="5"/>
  <c r="AZ213" i="5"/>
  <c r="AY213" i="5"/>
  <c r="AX213" i="5"/>
  <c r="AW213" i="5"/>
  <c r="AV213" i="5"/>
  <c r="AU213" i="5"/>
  <c r="AT213" i="5"/>
  <c r="AS213" i="5"/>
  <c r="AR213" i="5"/>
  <c r="Z213" i="5"/>
  <c r="C213" i="5" a="1"/>
  <c r="C213" i="5"/>
  <c r="B213" i="5"/>
  <c r="A213" i="5"/>
  <c r="CC212" i="5"/>
  <c r="BW212" i="5"/>
  <c r="CB212" i="5" s="1"/>
  <c r="BV212" i="5"/>
  <c r="BU212" i="5"/>
  <c r="BT212" i="5"/>
  <c r="CD212" i="5" s="1"/>
  <c r="BS212" i="5"/>
  <c r="BX212" i="5" s="1"/>
  <c r="BN212" i="5"/>
  <c r="BI212" i="5"/>
  <c r="BH212" i="5"/>
  <c r="BG212" i="5"/>
  <c r="BF212" i="5"/>
  <c r="BE212" i="5"/>
  <c r="BD212" i="5"/>
  <c r="BC212" i="5"/>
  <c r="BB212" i="5"/>
  <c r="BA212" i="5"/>
  <c r="AZ212" i="5"/>
  <c r="AY212" i="5"/>
  <c r="AX212" i="5"/>
  <c r="AW212" i="5"/>
  <c r="AV212" i="5"/>
  <c r="AU212" i="5"/>
  <c r="AT212" i="5"/>
  <c r="AS212" i="5"/>
  <c r="AR212" i="5"/>
  <c r="Z212" i="5"/>
  <c r="B212" i="5"/>
  <c r="C212" i="5" s="1" a="1"/>
  <c r="C212" i="5" s="1"/>
  <c r="A212" i="5"/>
  <c r="CD211" i="5"/>
  <c r="CC211" i="5"/>
  <c r="BX211" i="5"/>
  <c r="BW211" i="5"/>
  <c r="CB211" i="5" s="1"/>
  <c r="BV211" i="5"/>
  <c r="BU211" i="5"/>
  <c r="BT211" i="5"/>
  <c r="BS211" i="5"/>
  <c r="BN211" i="5"/>
  <c r="BH211" i="5"/>
  <c r="BG211" i="5"/>
  <c r="BF211" i="5"/>
  <c r="BE211" i="5"/>
  <c r="BD211" i="5"/>
  <c r="BC211" i="5"/>
  <c r="BB211" i="5"/>
  <c r="BA211" i="5"/>
  <c r="AZ211" i="5"/>
  <c r="AY211" i="5"/>
  <c r="AX211" i="5"/>
  <c r="AW211" i="5"/>
  <c r="AV211" i="5"/>
  <c r="AU211" i="5"/>
  <c r="AT211" i="5"/>
  <c r="AS211" i="5"/>
  <c r="AR211" i="5"/>
  <c r="Z211" i="5"/>
  <c r="BI211" i="5" s="1"/>
  <c r="B211" i="5"/>
  <c r="C211" i="5" s="1" a="1"/>
  <c r="C211" i="5" s="1"/>
  <c r="A211" i="5"/>
  <c r="CC210" i="5"/>
  <c r="BW210" i="5"/>
  <c r="CB210" i="5" s="1"/>
  <c r="BV210" i="5"/>
  <c r="BU210" i="5"/>
  <c r="BT210" i="5"/>
  <c r="CD210" i="5" s="1"/>
  <c r="BS210" i="5"/>
  <c r="BX210" i="5" s="1"/>
  <c r="BN210" i="5"/>
  <c r="BH210" i="5"/>
  <c r="BG210" i="5"/>
  <c r="BF210" i="5"/>
  <c r="BE210" i="5"/>
  <c r="BD210" i="5"/>
  <c r="BC210" i="5"/>
  <c r="BB210" i="5"/>
  <c r="BA210" i="5"/>
  <c r="AZ210" i="5"/>
  <c r="AY210" i="5"/>
  <c r="AX210" i="5"/>
  <c r="AW210" i="5"/>
  <c r="AV210" i="5"/>
  <c r="AU210" i="5"/>
  <c r="AT210" i="5"/>
  <c r="AS210" i="5"/>
  <c r="AR210" i="5"/>
  <c r="BI210" i="5" s="1"/>
  <c r="Z210" i="5"/>
  <c r="C210" i="5" a="1"/>
  <c r="C210" i="5" s="1"/>
  <c r="B210" i="5"/>
  <c r="A210" i="5"/>
  <c r="CC209" i="5"/>
  <c r="BW209" i="5"/>
  <c r="CB209" i="5" s="1"/>
  <c r="BV209" i="5"/>
  <c r="BU209" i="5"/>
  <c r="BT209" i="5"/>
  <c r="CD209" i="5" s="1"/>
  <c r="BS209" i="5"/>
  <c r="BN209" i="5"/>
  <c r="BH209" i="5"/>
  <c r="BG209" i="5"/>
  <c r="BF209" i="5"/>
  <c r="BE209" i="5"/>
  <c r="BD209" i="5"/>
  <c r="BC209" i="5"/>
  <c r="BB209" i="5"/>
  <c r="BA209" i="5"/>
  <c r="AZ209" i="5"/>
  <c r="AY209" i="5"/>
  <c r="AX209" i="5"/>
  <c r="AW209" i="5"/>
  <c r="AV209" i="5"/>
  <c r="AU209" i="5"/>
  <c r="AT209" i="5"/>
  <c r="AS209" i="5"/>
  <c r="AR209" i="5"/>
  <c r="BI209" i="5" s="1"/>
  <c r="AA209" i="5"/>
  <c r="Y209" i="5" s="1"/>
  <c r="Z209" i="5"/>
  <c r="C209" i="5"/>
  <c r="B209" i="5"/>
  <c r="C209" i="5" s="1" a="1"/>
  <c r="A209" i="5"/>
  <c r="CD208" i="5"/>
  <c r="CC208" i="5"/>
  <c r="BW208" i="5"/>
  <c r="CB208" i="5" s="1"/>
  <c r="BV208" i="5"/>
  <c r="BU208" i="5"/>
  <c r="BT208" i="5"/>
  <c r="BS208" i="5"/>
  <c r="BN208" i="5"/>
  <c r="BX208" i="5" s="1"/>
  <c r="BH208" i="5"/>
  <c r="BG208" i="5"/>
  <c r="BF208" i="5"/>
  <c r="BE208" i="5"/>
  <c r="BD208" i="5"/>
  <c r="BC208" i="5"/>
  <c r="BB208" i="5"/>
  <c r="BA208" i="5"/>
  <c r="AZ208" i="5"/>
  <c r="AY208" i="5"/>
  <c r="AX208" i="5"/>
  <c r="AW208" i="5"/>
  <c r="AV208" i="5"/>
  <c r="AU208" i="5"/>
  <c r="AT208" i="5"/>
  <c r="AS208" i="5"/>
  <c r="AR208" i="5"/>
  <c r="BI208" i="5" s="1"/>
  <c r="AA208" i="5"/>
  <c r="Y208" i="5" s="1"/>
  <c r="Z208" i="5"/>
  <c r="C208" i="5" a="1"/>
  <c r="C208" i="5" s="1"/>
  <c r="B208" i="5"/>
  <c r="A208" i="5"/>
  <c r="CD207" i="5"/>
  <c r="CC207" i="5"/>
  <c r="BX207" i="5"/>
  <c r="BW207" i="5"/>
  <c r="CB207" i="5" s="1"/>
  <c r="BV207" i="5"/>
  <c r="BU207" i="5"/>
  <c r="BT207" i="5"/>
  <c r="BS207" i="5"/>
  <c r="BN207" i="5"/>
  <c r="BH207" i="5"/>
  <c r="BG207" i="5"/>
  <c r="BF207" i="5"/>
  <c r="BE207" i="5"/>
  <c r="BD207" i="5"/>
  <c r="BC207" i="5"/>
  <c r="BB207" i="5"/>
  <c r="BA207" i="5"/>
  <c r="AZ207" i="5"/>
  <c r="AY207" i="5"/>
  <c r="AX207" i="5"/>
  <c r="AW207" i="5"/>
  <c r="AV207" i="5"/>
  <c r="AU207" i="5"/>
  <c r="AT207" i="5"/>
  <c r="AS207" i="5"/>
  <c r="AR207" i="5"/>
  <c r="AA207" i="5"/>
  <c r="Z207" i="5"/>
  <c r="BI207" i="5" s="1"/>
  <c r="C207" i="5" a="1"/>
  <c r="C207" i="5"/>
  <c r="B207" i="5"/>
  <c r="A207" i="5"/>
  <c r="CD206" i="5"/>
  <c r="CC206" i="5"/>
  <c r="BW206" i="5"/>
  <c r="CB206" i="5" s="1"/>
  <c r="BV206" i="5"/>
  <c r="BU206" i="5"/>
  <c r="BT206" i="5"/>
  <c r="BS206" i="5"/>
  <c r="BX206" i="5" s="1"/>
  <c r="BN206" i="5"/>
  <c r="BI206" i="5"/>
  <c r="BH206" i="5"/>
  <c r="BG206" i="5"/>
  <c r="BF206" i="5"/>
  <c r="BE206" i="5"/>
  <c r="BD206" i="5"/>
  <c r="BC206" i="5"/>
  <c r="BB206" i="5"/>
  <c r="BA206" i="5"/>
  <c r="AZ206" i="5"/>
  <c r="AY206" i="5"/>
  <c r="AX206" i="5"/>
  <c r="AW206" i="5"/>
  <c r="AV206" i="5"/>
  <c r="AU206" i="5"/>
  <c r="AT206" i="5"/>
  <c r="AS206" i="5"/>
  <c r="AR206" i="5"/>
  <c r="AA206" i="5"/>
  <c r="Z206" i="5"/>
  <c r="B206" i="5"/>
  <c r="C206" i="5" s="1" a="1"/>
  <c r="C206" i="5" s="1"/>
  <c r="A206" i="5"/>
  <c r="CD205" i="5"/>
  <c r="CC205" i="5"/>
  <c r="BX205" i="5"/>
  <c r="BW205" i="5"/>
  <c r="CB205" i="5" s="1"/>
  <c r="BV205" i="5"/>
  <c r="BU205" i="5"/>
  <c r="BT205" i="5"/>
  <c r="BS205" i="5"/>
  <c r="BN205" i="5"/>
  <c r="BH205" i="5"/>
  <c r="BG205" i="5"/>
  <c r="BF205" i="5"/>
  <c r="BE205" i="5"/>
  <c r="BD205" i="5"/>
  <c r="BC205" i="5"/>
  <c r="BB205" i="5"/>
  <c r="BA205" i="5"/>
  <c r="AZ205" i="5"/>
  <c r="AY205" i="5"/>
  <c r="AX205" i="5"/>
  <c r="AW205" i="5"/>
  <c r="AV205" i="5"/>
  <c r="AU205" i="5"/>
  <c r="AT205" i="5"/>
  <c r="AS205" i="5"/>
  <c r="AR205" i="5"/>
  <c r="BI205" i="5" s="1"/>
  <c r="AA205" i="5"/>
  <c r="Z205" i="5"/>
  <c r="Y205" i="5"/>
  <c r="C205" i="5" a="1"/>
  <c r="C205" i="5"/>
  <c r="B205" i="5"/>
  <c r="A205" i="5"/>
  <c r="CC204" i="5"/>
  <c r="BW204" i="5"/>
  <c r="CB204" i="5" s="1"/>
  <c r="BV204" i="5"/>
  <c r="BU204" i="5"/>
  <c r="BT204" i="5"/>
  <c r="CD204" i="5" s="1"/>
  <c r="BS204" i="5"/>
  <c r="BX204" i="5" s="1"/>
  <c r="BN204" i="5"/>
  <c r="BI204" i="5"/>
  <c r="BH204" i="5"/>
  <c r="BG204" i="5"/>
  <c r="BF204" i="5"/>
  <c r="BE204" i="5"/>
  <c r="BD204" i="5"/>
  <c r="BC204" i="5"/>
  <c r="BB204" i="5"/>
  <c r="BA204" i="5"/>
  <c r="AZ204" i="5"/>
  <c r="AY204" i="5"/>
  <c r="AX204" i="5"/>
  <c r="AW204" i="5"/>
  <c r="AV204" i="5"/>
  <c r="AU204" i="5"/>
  <c r="AT204" i="5"/>
  <c r="AS204" i="5"/>
  <c r="AR204" i="5"/>
  <c r="AA204" i="5"/>
  <c r="Z204" i="5"/>
  <c r="Y204" i="5"/>
  <c r="C204" i="5" a="1"/>
  <c r="C204" i="5" s="1"/>
  <c r="B204" i="5"/>
  <c r="A204" i="5"/>
  <c r="CD203" i="5"/>
  <c r="CC203" i="5"/>
  <c r="CB203" i="5"/>
  <c r="BW203" i="5"/>
  <c r="BV203" i="5"/>
  <c r="BU203" i="5"/>
  <c r="BT203" i="5"/>
  <c r="BS203" i="5"/>
  <c r="BX203" i="5" s="1"/>
  <c r="BN203" i="5"/>
  <c r="BI203" i="5"/>
  <c r="BH203" i="5"/>
  <c r="BG203" i="5"/>
  <c r="BF203" i="5"/>
  <c r="BE203" i="5"/>
  <c r="BD203" i="5"/>
  <c r="BC203" i="5"/>
  <c r="BB203" i="5"/>
  <c r="BA203" i="5"/>
  <c r="AZ203" i="5"/>
  <c r="AY203" i="5"/>
  <c r="AX203" i="5"/>
  <c r="AW203" i="5"/>
  <c r="AV203" i="5"/>
  <c r="AU203" i="5"/>
  <c r="AT203" i="5"/>
  <c r="AS203" i="5"/>
  <c r="AR203" i="5"/>
  <c r="AA203" i="5"/>
  <c r="Z203" i="5"/>
  <c r="Y203" i="5"/>
  <c r="C203" i="5"/>
  <c r="B203" i="5"/>
  <c r="C203" i="5" s="1" a="1"/>
  <c r="A203" i="5"/>
  <c r="CC202" i="5"/>
  <c r="BX202" i="5"/>
  <c r="BW202" i="5"/>
  <c r="CB202" i="5" s="1"/>
  <c r="BV202" i="5"/>
  <c r="BU202" i="5"/>
  <c r="BT202" i="5"/>
  <c r="CD202" i="5" s="1"/>
  <c r="BS202" i="5"/>
  <c r="BN202" i="5"/>
  <c r="BH202" i="5"/>
  <c r="BG202" i="5"/>
  <c r="BF202" i="5"/>
  <c r="BE202" i="5"/>
  <c r="BD202" i="5"/>
  <c r="BC202" i="5"/>
  <c r="BB202" i="5"/>
  <c r="BA202" i="5"/>
  <c r="AZ202" i="5"/>
  <c r="AY202" i="5"/>
  <c r="AX202" i="5"/>
  <c r="AW202" i="5"/>
  <c r="AV202" i="5"/>
  <c r="AU202" i="5"/>
  <c r="AT202" i="5"/>
  <c r="AS202" i="5"/>
  <c r="AR202" i="5"/>
  <c r="BI202" i="5" s="1"/>
  <c r="AA202" i="5"/>
  <c r="Y202" i="5" s="1"/>
  <c r="Z202" i="5"/>
  <c r="C202" i="5" a="1"/>
  <c r="C202" i="5" s="1"/>
  <c r="B202" i="5"/>
  <c r="A202" i="5"/>
  <c r="CC201" i="5"/>
  <c r="BX201" i="5"/>
  <c r="BW201" i="5"/>
  <c r="CB201" i="5" s="1"/>
  <c r="BV201" i="5"/>
  <c r="BU201" i="5"/>
  <c r="BT201" i="5"/>
  <c r="CD201" i="5" s="1"/>
  <c r="BS201" i="5"/>
  <c r="BN201" i="5"/>
  <c r="BI201" i="5"/>
  <c r="BH201" i="5"/>
  <c r="BG201" i="5"/>
  <c r="BF201" i="5"/>
  <c r="BE201" i="5"/>
  <c r="BD201" i="5"/>
  <c r="BC201" i="5"/>
  <c r="BB201" i="5"/>
  <c r="BA201" i="5"/>
  <c r="AZ201" i="5"/>
  <c r="AY201" i="5"/>
  <c r="AX201" i="5"/>
  <c r="AW201" i="5"/>
  <c r="AV201" i="5"/>
  <c r="AU201" i="5"/>
  <c r="AT201" i="5"/>
  <c r="AS201" i="5"/>
  <c r="AR201" i="5"/>
  <c r="AA201" i="5"/>
  <c r="Z201" i="5"/>
  <c r="Y201" i="5"/>
  <c r="C201" i="5" a="1"/>
  <c r="C201" i="5"/>
  <c r="B201" i="5"/>
  <c r="A201" i="5"/>
  <c r="CD200" i="5"/>
  <c r="CC200" i="5"/>
  <c r="CB200" i="5"/>
  <c r="BW200" i="5"/>
  <c r="BV200" i="5"/>
  <c r="BU200" i="5"/>
  <c r="BT200" i="5"/>
  <c r="BS200" i="5"/>
  <c r="BN200" i="5"/>
  <c r="BI200" i="5"/>
  <c r="BH200" i="5"/>
  <c r="BG200" i="5"/>
  <c r="BF200" i="5"/>
  <c r="BE200" i="5"/>
  <c r="BD200" i="5"/>
  <c r="BC200" i="5"/>
  <c r="BB200" i="5"/>
  <c r="BA200" i="5"/>
  <c r="AZ200" i="5"/>
  <c r="AY200" i="5"/>
  <c r="AX200" i="5"/>
  <c r="AW200" i="5"/>
  <c r="AV200" i="5"/>
  <c r="AU200" i="5"/>
  <c r="AT200" i="5"/>
  <c r="AS200" i="5"/>
  <c r="AR200" i="5"/>
  <c r="AA200" i="5"/>
  <c r="Z200" i="5"/>
  <c r="Y200" i="5"/>
  <c r="B200" i="5"/>
  <c r="C200" i="5" s="1" a="1"/>
  <c r="C200" i="5" s="1"/>
  <c r="A200" i="5"/>
  <c r="CD199" i="5"/>
  <c r="CC199" i="5"/>
  <c r="BX199" i="5"/>
  <c r="BW199" i="5"/>
  <c r="CB199" i="5" s="1"/>
  <c r="BV199" i="5"/>
  <c r="BU199" i="5"/>
  <c r="BT199" i="5"/>
  <c r="BS199" i="5"/>
  <c r="BN199" i="5"/>
  <c r="BH199" i="5"/>
  <c r="BG199" i="5"/>
  <c r="BF199" i="5"/>
  <c r="BE199" i="5"/>
  <c r="BD199" i="5"/>
  <c r="BC199" i="5"/>
  <c r="BB199" i="5"/>
  <c r="BA199" i="5"/>
  <c r="AZ199" i="5"/>
  <c r="AY199" i="5"/>
  <c r="AX199" i="5"/>
  <c r="AW199" i="5"/>
  <c r="AV199" i="5"/>
  <c r="AU199" i="5"/>
  <c r="AT199" i="5"/>
  <c r="AS199" i="5"/>
  <c r="AR199" i="5"/>
  <c r="AA199" i="5"/>
  <c r="Z199" i="5"/>
  <c r="Y199" i="5" s="1"/>
  <c r="C199" i="5" a="1"/>
  <c r="C199" i="5"/>
  <c r="B199" i="5"/>
  <c r="A199" i="5"/>
  <c r="CC198" i="5"/>
  <c r="BW198" i="5"/>
  <c r="CB198" i="5" s="1"/>
  <c r="BV198" i="5"/>
  <c r="BU198" i="5"/>
  <c r="BT198" i="5"/>
  <c r="CD198" i="5" s="1"/>
  <c r="BS198" i="5"/>
  <c r="BX198" i="5" s="1"/>
  <c r="BN198" i="5"/>
  <c r="BH198" i="5"/>
  <c r="BG198" i="5"/>
  <c r="BF198" i="5"/>
  <c r="BE198" i="5"/>
  <c r="BD198" i="5"/>
  <c r="BC198" i="5"/>
  <c r="BB198" i="5"/>
  <c r="BA198" i="5"/>
  <c r="AZ198" i="5"/>
  <c r="AY198" i="5"/>
  <c r="AX198" i="5"/>
  <c r="AW198" i="5"/>
  <c r="AV198" i="5"/>
  <c r="AU198" i="5"/>
  <c r="AT198" i="5"/>
  <c r="AS198" i="5"/>
  <c r="AR198" i="5"/>
  <c r="BI198" i="5" s="1"/>
  <c r="AA198" i="5"/>
  <c r="Z198" i="5"/>
  <c r="Y198" i="5"/>
  <c r="C198" i="5" a="1"/>
  <c r="C198" i="5" s="1"/>
  <c r="B198" i="5"/>
  <c r="A198" i="5"/>
  <c r="CD197" i="5"/>
  <c r="CC197" i="5"/>
  <c r="CB197" i="5"/>
  <c r="BW197" i="5"/>
  <c r="BV197" i="5"/>
  <c r="BU197" i="5"/>
  <c r="BT197" i="5"/>
  <c r="BS197" i="5"/>
  <c r="BN197" i="5"/>
  <c r="BX197" i="5" s="1"/>
  <c r="BH197" i="5"/>
  <c r="BG197" i="5"/>
  <c r="BF197" i="5"/>
  <c r="BE197" i="5"/>
  <c r="BD197" i="5"/>
  <c r="BC197" i="5"/>
  <c r="BB197" i="5"/>
  <c r="BA197" i="5"/>
  <c r="AZ197" i="5"/>
  <c r="AY197" i="5"/>
  <c r="AX197" i="5"/>
  <c r="AW197" i="5"/>
  <c r="AV197" i="5"/>
  <c r="AU197" i="5"/>
  <c r="AT197" i="5"/>
  <c r="AS197" i="5"/>
  <c r="AR197" i="5"/>
  <c r="AA197" i="5"/>
  <c r="Z197" i="5"/>
  <c r="BI197" i="5" s="1"/>
  <c r="Y197" i="5"/>
  <c r="B197" i="5"/>
  <c r="C197" i="5" s="1" a="1"/>
  <c r="C197" i="5" s="1"/>
  <c r="A197" i="5"/>
  <c r="CD196" i="5"/>
  <c r="CC196" i="5"/>
  <c r="CB196" i="5"/>
  <c r="BW196" i="5"/>
  <c r="BV196" i="5"/>
  <c r="BU196" i="5"/>
  <c r="BT196" i="5"/>
  <c r="BS196" i="5"/>
  <c r="BN196" i="5"/>
  <c r="BH196" i="5"/>
  <c r="BG196" i="5"/>
  <c r="BF196" i="5"/>
  <c r="BE196" i="5"/>
  <c r="BD196" i="5"/>
  <c r="BC196" i="5"/>
  <c r="BB196" i="5"/>
  <c r="BA196" i="5"/>
  <c r="AZ196" i="5"/>
  <c r="AY196" i="5"/>
  <c r="AX196" i="5"/>
  <c r="AW196" i="5"/>
  <c r="AV196" i="5"/>
  <c r="AU196" i="5"/>
  <c r="AT196" i="5"/>
  <c r="AS196" i="5"/>
  <c r="AR196" i="5"/>
  <c r="AA196" i="5"/>
  <c r="Z196" i="5"/>
  <c r="Y196" i="5" s="1"/>
  <c r="B196" i="5"/>
  <c r="C196" i="5" s="1" a="1"/>
  <c r="C196" i="5" s="1"/>
  <c r="A196" i="5"/>
  <c r="CD195" i="5"/>
  <c r="CC195" i="5"/>
  <c r="BW195" i="5"/>
  <c r="CB195" i="5" s="1"/>
  <c r="BV195" i="5"/>
  <c r="BU195" i="5"/>
  <c r="BT195" i="5"/>
  <c r="BS195" i="5"/>
  <c r="BX195" i="5" s="1"/>
  <c r="BN195" i="5"/>
  <c r="BI195" i="5"/>
  <c r="BH195" i="5"/>
  <c r="BG195" i="5"/>
  <c r="BF195" i="5"/>
  <c r="BE195" i="5"/>
  <c r="BD195" i="5"/>
  <c r="BC195" i="5"/>
  <c r="BB195" i="5"/>
  <c r="BA195" i="5"/>
  <c r="AZ195" i="5"/>
  <c r="AY195" i="5"/>
  <c r="AX195" i="5"/>
  <c r="AW195" i="5"/>
  <c r="AV195" i="5"/>
  <c r="AU195" i="5"/>
  <c r="AT195" i="5"/>
  <c r="AS195" i="5"/>
  <c r="AR195" i="5"/>
  <c r="AA195" i="5"/>
  <c r="Y195" i="5" s="1"/>
  <c r="Z195" i="5"/>
  <c r="C195" i="5" a="1"/>
  <c r="C195" i="5" s="1"/>
  <c r="B195" i="5"/>
  <c r="A195" i="5"/>
  <c r="CD194" i="5"/>
  <c r="CC194" i="5"/>
  <c r="BW194" i="5"/>
  <c r="CB194" i="5" s="1"/>
  <c r="BV194" i="5"/>
  <c r="BU194" i="5"/>
  <c r="BT194" i="5"/>
  <c r="BS194" i="5"/>
  <c r="BN194" i="5"/>
  <c r="BX194" i="5" s="1"/>
  <c r="BI194" i="5"/>
  <c r="BH194" i="5"/>
  <c r="BG194" i="5"/>
  <c r="BF194" i="5"/>
  <c r="BE194" i="5"/>
  <c r="BD194" i="5"/>
  <c r="BC194" i="5"/>
  <c r="BB194" i="5"/>
  <c r="BA194" i="5"/>
  <c r="AZ194" i="5"/>
  <c r="AY194" i="5"/>
  <c r="AX194" i="5"/>
  <c r="AW194" i="5"/>
  <c r="AV194" i="5"/>
  <c r="AU194" i="5"/>
  <c r="AT194" i="5"/>
  <c r="AS194" i="5"/>
  <c r="AR194" i="5"/>
  <c r="AA194" i="5"/>
  <c r="Z194" i="5"/>
  <c r="Y194" i="5" s="1"/>
  <c r="C194" i="5" a="1"/>
  <c r="C194" i="5" s="1"/>
  <c r="B194" i="5"/>
  <c r="A194" i="5"/>
  <c r="CC193" i="5"/>
  <c r="BX193" i="5"/>
  <c r="BW193" i="5"/>
  <c r="CB193" i="5" s="1"/>
  <c r="BV193" i="5"/>
  <c r="BU193" i="5"/>
  <c r="BT193" i="5"/>
  <c r="CD193" i="5" s="1"/>
  <c r="BS193" i="5"/>
  <c r="BN193" i="5"/>
  <c r="BH193" i="5"/>
  <c r="BG193" i="5"/>
  <c r="BF193" i="5"/>
  <c r="BE193" i="5"/>
  <c r="BD193" i="5"/>
  <c r="BC193" i="5"/>
  <c r="BB193" i="5"/>
  <c r="BA193" i="5"/>
  <c r="AZ193" i="5"/>
  <c r="AY193" i="5"/>
  <c r="AX193" i="5"/>
  <c r="AW193" i="5"/>
  <c r="AV193" i="5"/>
  <c r="AU193" i="5"/>
  <c r="AT193" i="5"/>
  <c r="AS193" i="5"/>
  <c r="AR193" i="5"/>
  <c r="AA193" i="5"/>
  <c r="Z193" i="5"/>
  <c r="BI193" i="5" s="1"/>
  <c r="Y193" i="5"/>
  <c r="B193" i="5"/>
  <c r="C193" i="5" s="1" a="1"/>
  <c r="C193" i="5" s="1"/>
  <c r="A193" i="5"/>
  <c r="CD192" i="5"/>
  <c r="CC192" i="5"/>
  <c r="BW192" i="5"/>
  <c r="CB192" i="5" s="1"/>
  <c r="BV192" i="5"/>
  <c r="BU192" i="5"/>
  <c r="BT192" i="5"/>
  <c r="BS192" i="5"/>
  <c r="BX192" i="5" s="1"/>
  <c r="BN192" i="5"/>
  <c r="BI192" i="5"/>
  <c r="BH192" i="5"/>
  <c r="BG192" i="5"/>
  <c r="BF192" i="5"/>
  <c r="BE192" i="5"/>
  <c r="BD192" i="5"/>
  <c r="BC192" i="5"/>
  <c r="BB192" i="5"/>
  <c r="BA192" i="5"/>
  <c r="AZ192" i="5"/>
  <c r="AY192" i="5"/>
  <c r="AX192" i="5"/>
  <c r="AW192" i="5"/>
  <c r="AV192" i="5"/>
  <c r="AU192" i="5"/>
  <c r="AT192" i="5"/>
  <c r="AS192" i="5"/>
  <c r="AR192" i="5"/>
  <c r="AA192" i="5"/>
  <c r="Y192" i="5" s="1"/>
  <c r="Z192" i="5"/>
  <c r="C192" i="5" a="1"/>
  <c r="C192" i="5" s="1"/>
  <c r="B192" i="5"/>
  <c r="A192" i="5"/>
  <c r="CD191" i="5"/>
  <c r="CC191" i="5"/>
  <c r="CB191" i="5"/>
  <c r="BX191" i="5"/>
  <c r="BW191" i="5"/>
  <c r="BV191" i="5"/>
  <c r="BU191" i="5"/>
  <c r="BT191" i="5"/>
  <c r="BS191" i="5"/>
  <c r="BN191" i="5"/>
  <c r="BI191" i="5"/>
  <c r="BH191" i="5"/>
  <c r="BG191" i="5"/>
  <c r="BF191" i="5"/>
  <c r="BE191" i="5"/>
  <c r="BD191" i="5"/>
  <c r="BC191" i="5"/>
  <c r="BB191" i="5"/>
  <c r="BA191" i="5"/>
  <c r="AZ191" i="5"/>
  <c r="AY191" i="5"/>
  <c r="AX191" i="5"/>
  <c r="AW191" i="5"/>
  <c r="AV191" i="5"/>
  <c r="AU191" i="5"/>
  <c r="AT191" i="5"/>
  <c r="AS191" i="5"/>
  <c r="AR191" i="5"/>
  <c r="AA191" i="5"/>
  <c r="Z191" i="5"/>
  <c r="Y191" i="5"/>
  <c r="C191" i="5" a="1"/>
  <c r="C191" i="5" s="1"/>
  <c r="B191" i="5"/>
  <c r="A191" i="5"/>
  <c r="CC190" i="5"/>
  <c r="CB190" i="5"/>
  <c r="BX190" i="5"/>
  <c r="BW190" i="5"/>
  <c r="BV190" i="5"/>
  <c r="BU190" i="5"/>
  <c r="BT190" i="5"/>
  <c r="CD190" i="5" s="1"/>
  <c r="BS190" i="5"/>
  <c r="BN190" i="5"/>
  <c r="BI190" i="5"/>
  <c r="BH190" i="5"/>
  <c r="BG190" i="5"/>
  <c r="BF190" i="5"/>
  <c r="BE190" i="5"/>
  <c r="BD190" i="5"/>
  <c r="BC190" i="5"/>
  <c r="BB190" i="5"/>
  <c r="BA190" i="5"/>
  <c r="AZ190" i="5"/>
  <c r="AY190" i="5"/>
  <c r="AX190" i="5"/>
  <c r="AW190" i="5"/>
  <c r="AV190" i="5"/>
  <c r="AU190" i="5"/>
  <c r="AT190" i="5"/>
  <c r="AS190" i="5"/>
  <c r="AR190" i="5"/>
  <c r="AA190" i="5"/>
  <c r="Z190" i="5"/>
  <c r="Y190" i="5"/>
  <c r="B190" i="5"/>
  <c r="C190" i="5" s="1" a="1"/>
  <c r="C190" i="5" s="1"/>
  <c r="A190" i="5"/>
  <c r="CD189" i="5"/>
  <c r="CC189" i="5"/>
  <c r="CB189" i="5"/>
  <c r="BW189" i="5"/>
  <c r="BV189" i="5"/>
  <c r="BU189" i="5"/>
  <c r="BT189" i="5"/>
  <c r="BS189" i="5"/>
  <c r="BN189" i="5"/>
  <c r="BH189" i="5"/>
  <c r="BG189" i="5"/>
  <c r="BF189" i="5"/>
  <c r="BE189" i="5"/>
  <c r="BD189" i="5"/>
  <c r="BC189" i="5"/>
  <c r="BB189" i="5"/>
  <c r="BA189" i="5"/>
  <c r="AZ189" i="5"/>
  <c r="AY189" i="5"/>
  <c r="AX189" i="5"/>
  <c r="AW189" i="5"/>
  <c r="AV189" i="5"/>
  <c r="AU189" i="5"/>
  <c r="AT189" i="5"/>
  <c r="AS189" i="5"/>
  <c r="AR189" i="5"/>
  <c r="BI189" i="5" s="1"/>
  <c r="AA189" i="5"/>
  <c r="Y189" i="5" s="1"/>
  <c r="Z189" i="5"/>
  <c r="C189" i="5"/>
  <c r="B189" i="5"/>
  <c r="C189" i="5" s="1" a="1"/>
  <c r="A189" i="5"/>
  <c r="CD188" i="5"/>
  <c r="CC188" i="5"/>
  <c r="CB188" i="5"/>
  <c r="BX188" i="5"/>
  <c r="BW188" i="5"/>
  <c r="BV188" i="5"/>
  <c r="BU188" i="5"/>
  <c r="BT188" i="5"/>
  <c r="BS188" i="5"/>
  <c r="BN188" i="5"/>
  <c r="BH188" i="5"/>
  <c r="BG188" i="5"/>
  <c r="BF188" i="5"/>
  <c r="BE188" i="5"/>
  <c r="BD188" i="5"/>
  <c r="BC188" i="5"/>
  <c r="BB188" i="5"/>
  <c r="BA188" i="5"/>
  <c r="AZ188" i="5"/>
  <c r="AY188" i="5"/>
  <c r="AX188" i="5"/>
  <c r="AW188" i="5"/>
  <c r="AV188" i="5"/>
  <c r="AU188" i="5"/>
  <c r="AT188" i="5"/>
  <c r="AS188" i="5"/>
  <c r="AR188" i="5"/>
  <c r="AA188" i="5"/>
  <c r="Z188" i="5"/>
  <c r="Y188" i="5" s="1"/>
  <c r="B188" i="5"/>
  <c r="C188" i="5" s="1" a="1"/>
  <c r="C188" i="5" s="1"/>
  <c r="A188" i="5"/>
  <c r="CC187" i="5"/>
  <c r="CB187" i="5"/>
  <c r="BX187" i="5"/>
  <c r="BW187" i="5"/>
  <c r="BV187" i="5"/>
  <c r="BU187" i="5"/>
  <c r="BT187" i="5"/>
  <c r="CD187" i="5" s="1"/>
  <c r="BS187" i="5"/>
  <c r="BN187" i="5"/>
  <c r="BI187" i="5"/>
  <c r="BH187" i="5"/>
  <c r="BG187" i="5"/>
  <c r="BF187" i="5"/>
  <c r="BE187" i="5"/>
  <c r="BD187" i="5"/>
  <c r="BC187" i="5"/>
  <c r="BB187" i="5"/>
  <c r="BA187" i="5"/>
  <c r="AZ187" i="5"/>
  <c r="AY187" i="5"/>
  <c r="AX187" i="5"/>
  <c r="AW187" i="5"/>
  <c r="AV187" i="5"/>
  <c r="AU187" i="5"/>
  <c r="AT187" i="5"/>
  <c r="AS187" i="5"/>
  <c r="AR187" i="5"/>
  <c r="AA187" i="5"/>
  <c r="Z187" i="5"/>
  <c r="Y187" i="5"/>
  <c r="B187" i="5"/>
  <c r="C187" i="5" s="1" a="1"/>
  <c r="C187" i="5" s="1"/>
  <c r="A187" i="5"/>
  <c r="CD186" i="5"/>
  <c r="CC186" i="5"/>
  <c r="CB186" i="5"/>
  <c r="BW186" i="5"/>
  <c r="BV186" i="5"/>
  <c r="BU186" i="5"/>
  <c r="BT186" i="5"/>
  <c r="BS186" i="5"/>
  <c r="BX186" i="5" s="1"/>
  <c r="BN186" i="5"/>
  <c r="BH186" i="5"/>
  <c r="BG186" i="5"/>
  <c r="BF186" i="5"/>
  <c r="BE186" i="5"/>
  <c r="BD186" i="5"/>
  <c r="BC186" i="5"/>
  <c r="BB186" i="5"/>
  <c r="BA186" i="5"/>
  <c r="AZ186" i="5"/>
  <c r="AY186" i="5"/>
  <c r="AX186" i="5"/>
  <c r="AW186" i="5"/>
  <c r="AV186" i="5"/>
  <c r="AU186" i="5"/>
  <c r="AT186" i="5"/>
  <c r="AS186" i="5"/>
  <c r="AR186" i="5"/>
  <c r="BI186" i="5" s="1"/>
  <c r="AA186" i="5"/>
  <c r="Z186" i="5"/>
  <c r="B186" i="5"/>
  <c r="C186" i="5" s="1" a="1"/>
  <c r="C186" i="5" s="1"/>
  <c r="A186" i="5"/>
  <c r="CD185" i="5"/>
  <c r="CC185" i="5"/>
  <c r="CB185" i="5"/>
  <c r="BW185" i="5"/>
  <c r="BV185" i="5"/>
  <c r="BU185" i="5"/>
  <c r="BT185" i="5"/>
  <c r="BS185" i="5"/>
  <c r="BX185" i="5" s="1"/>
  <c r="BN185" i="5"/>
  <c r="BH185" i="5"/>
  <c r="BG185" i="5"/>
  <c r="BF185" i="5"/>
  <c r="BE185" i="5"/>
  <c r="BD185" i="5"/>
  <c r="BC185" i="5"/>
  <c r="BB185" i="5"/>
  <c r="BA185" i="5"/>
  <c r="AZ185" i="5"/>
  <c r="AY185" i="5"/>
  <c r="AX185" i="5"/>
  <c r="AW185" i="5"/>
  <c r="AV185" i="5"/>
  <c r="AU185" i="5"/>
  <c r="AT185" i="5"/>
  <c r="AS185" i="5"/>
  <c r="AR185" i="5"/>
  <c r="AA185" i="5"/>
  <c r="Z185" i="5"/>
  <c r="Y185" i="5" s="1"/>
  <c r="B185" i="5"/>
  <c r="C185" i="5" s="1" a="1"/>
  <c r="C185" i="5" s="1"/>
  <c r="A185" i="5"/>
  <c r="CC184" i="5"/>
  <c r="BW184" i="5"/>
  <c r="CB184" i="5" s="1"/>
  <c r="BV184" i="5"/>
  <c r="BU184" i="5"/>
  <c r="BT184" i="5"/>
  <c r="CD184" i="5" s="1"/>
  <c r="BS184" i="5"/>
  <c r="BN184" i="5"/>
  <c r="BX184" i="5" s="1"/>
  <c r="BI184" i="5"/>
  <c r="BH184" i="5"/>
  <c r="BG184" i="5"/>
  <c r="BF184" i="5"/>
  <c r="BE184" i="5"/>
  <c r="BD184" i="5"/>
  <c r="BC184" i="5"/>
  <c r="BB184" i="5"/>
  <c r="BA184" i="5"/>
  <c r="AZ184" i="5"/>
  <c r="AY184" i="5"/>
  <c r="AX184" i="5"/>
  <c r="AW184" i="5"/>
  <c r="AV184" i="5"/>
  <c r="AU184" i="5"/>
  <c r="AT184" i="5"/>
  <c r="AS184" i="5"/>
  <c r="AR184" i="5"/>
  <c r="AA184" i="5"/>
  <c r="Z184" i="5"/>
  <c r="Y184" i="5"/>
  <c r="B184" i="5"/>
  <c r="C184" i="5" s="1" a="1"/>
  <c r="C184" i="5" s="1"/>
  <c r="A184" i="5"/>
  <c r="CD183" i="5"/>
  <c r="CC183" i="5"/>
  <c r="CB183" i="5"/>
  <c r="BW183" i="5"/>
  <c r="BV183" i="5"/>
  <c r="BU183" i="5"/>
  <c r="BT183" i="5"/>
  <c r="BS183" i="5"/>
  <c r="BX183" i="5" s="1"/>
  <c r="BN183" i="5"/>
  <c r="BH183" i="5"/>
  <c r="BG183" i="5"/>
  <c r="BF183" i="5"/>
  <c r="BE183" i="5"/>
  <c r="BD183" i="5"/>
  <c r="BC183" i="5"/>
  <c r="BB183" i="5"/>
  <c r="BA183" i="5"/>
  <c r="AZ183" i="5"/>
  <c r="AY183" i="5"/>
  <c r="AX183" i="5"/>
  <c r="AW183" i="5"/>
  <c r="AV183" i="5"/>
  <c r="AU183" i="5"/>
  <c r="AT183" i="5"/>
  <c r="AS183" i="5"/>
  <c r="AR183" i="5"/>
  <c r="BI183" i="5" s="1"/>
  <c r="AA183" i="5"/>
  <c r="Y183" i="5" s="1"/>
  <c r="Z183" i="5"/>
  <c r="B183" i="5"/>
  <c r="C183" i="5" s="1" a="1"/>
  <c r="C183" i="5" s="1"/>
  <c r="A183" i="5"/>
  <c r="CD182" i="5"/>
  <c r="CC182" i="5"/>
  <c r="BW182" i="5"/>
  <c r="CB182" i="5" s="1"/>
  <c r="BV182" i="5"/>
  <c r="BU182" i="5"/>
  <c r="BT182" i="5"/>
  <c r="BS182" i="5"/>
  <c r="BN182" i="5"/>
  <c r="BH182" i="5"/>
  <c r="BG182" i="5"/>
  <c r="BF182" i="5"/>
  <c r="BE182" i="5"/>
  <c r="BD182" i="5"/>
  <c r="BC182" i="5"/>
  <c r="BB182" i="5"/>
  <c r="BA182" i="5"/>
  <c r="AZ182" i="5"/>
  <c r="AY182" i="5"/>
  <c r="AX182" i="5"/>
  <c r="AW182" i="5"/>
  <c r="AV182" i="5"/>
  <c r="AU182" i="5"/>
  <c r="AT182" i="5"/>
  <c r="AS182" i="5"/>
  <c r="AR182" i="5"/>
  <c r="AA182" i="5"/>
  <c r="Z182" i="5"/>
  <c r="Y182" i="5"/>
  <c r="B182" i="5"/>
  <c r="C182" i="5" s="1" a="1"/>
  <c r="C182" i="5" s="1"/>
  <c r="A182" i="5"/>
  <c r="CD181" i="5"/>
  <c r="CC181" i="5"/>
  <c r="BW181" i="5"/>
  <c r="CB181" i="5" s="1"/>
  <c r="BV181" i="5"/>
  <c r="BU181" i="5"/>
  <c r="BT181" i="5"/>
  <c r="BS181" i="5"/>
  <c r="BN181" i="5"/>
  <c r="BH181" i="5"/>
  <c r="BG181" i="5"/>
  <c r="BF181" i="5"/>
  <c r="BE181" i="5"/>
  <c r="BD181" i="5"/>
  <c r="BC181" i="5"/>
  <c r="BB181" i="5"/>
  <c r="BA181" i="5"/>
  <c r="AZ181" i="5"/>
  <c r="AY181" i="5"/>
  <c r="AX181" i="5"/>
  <c r="AW181" i="5"/>
  <c r="AV181" i="5"/>
  <c r="AU181" i="5"/>
  <c r="AT181" i="5"/>
  <c r="AS181" i="5"/>
  <c r="AR181" i="5"/>
  <c r="BI181" i="5" s="1"/>
  <c r="AA181" i="5"/>
  <c r="Y181" i="5" s="1"/>
  <c r="Z181" i="5"/>
  <c r="C181" i="5" a="1"/>
  <c r="C181" i="5" s="1"/>
  <c r="B181" i="5"/>
  <c r="A181" i="5"/>
  <c r="CD180" i="5"/>
  <c r="CC180" i="5"/>
  <c r="CB180" i="5"/>
  <c r="BW180" i="5"/>
  <c r="BV180" i="5"/>
  <c r="BU180" i="5"/>
  <c r="BT180" i="5"/>
  <c r="BS180" i="5"/>
  <c r="BN180" i="5"/>
  <c r="BX180" i="5" s="1"/>
  <c r="BI180" i="5"/>
  <c r="BH180" i="5"/>
  <c r="BG180" i="5"/>
  <c r="BF180" i="5"/>
  <c r="BE180" i="5"/>
  <c r="BD180" i="5"/>
  <c r="BC180" i="5"/>
  <c r="BB180" i="5"/>
  <c r="BA180" i="5"/>
  <c r="AZ180" i="5"/>
  <c r="AY180" i="5"/>
  <c r="AX180" i="5"/>
  <c r="AW180" i="5"/>
  <c r="AV180" i="5"/>
  <c r="AU180" i="5"/>
  <c r="AT180" i="5"/>
  <c r="AS180" i="5"/>
  <c r="AR180" i="5"/>
  <c r="AA180" i="5"/>
  <c r="Z180" i="5"/>
  <c r="Y180" i="5"/>
  <c r="C180" i="5" a="1"/>
  <c r="C180" i="5" s="1"/>
  <c r="B180" i="5"/>
  <c r="A180" i="5"/>
  <c r="CD179" i="5"/>
  <c r="CC179" i="5"/>
  <c r="CB179" i="5"/>
  <c r="BW179" i="5"/>
  <c r="BV179" i="5"/>
  <c r="BU179" i="5"/>
  <c r="BT179" i="5"/>
  <c r="BS179" i="5"/>
  <c r="BX179" i="5" s="1"/>
  <c r="BN179" i="5"/>
  <c r="BH179" i="5"/>
  <c r="BG179" i="5"/>
  <c r="BF179" i="5"/>
  <c r="BE179" i="5"/>
  <c r="BD179" i="5"/>
  <c r="BC179" i="5"/>
  <c r="BB179" i="5"/>
  <c r="BA179" i="5"/>
  <c r="AZ179" i="5"/>
  <c r="AY179" i="5"/>
  <c r="AX179" i="5"/>
  <c r="AW179" i="5"/>
  <c r="AV179" i="5"/>
  <c r="AU179" i="5"/>
  <c r="AT179" i="5"/>
  <c r="AS179" i="5"/>
  <c r="AR179" i="5"/>
  <c r="AA179" i="5"/>
  <c r="Z179" i="5"/>
  <c r="BI179" i="5" s="1"/>
  <c r="B179" i="5"/>
  <c r="C179" i="5" s="1" a="1"/>
  <c r="C179" i="5" s="1"/>
  <c r="A179" i="5"/>
  <c r="CC178" i="5"/>
  <c r="BW178" i="5"/>
  <c r="CB178" i="5" s="1"/>
  <c r="BV178" i="5"/>
  <c r="BU178" i="5"/>
  <c r="BT178" i="5"/>
  <c r="CD178" i="5" s="1"/>
  <c r="BS178" i="5"/>
  <c r="BX178" i="5" s="1"/>
  <c r="BN178" i="5"/>
  <c r="BH178" i="5"/>
  <c r="BG178" i="5"/>
  <c r="BF178" i="5"/>
  <c r="BE178" i="5"/>
  <c r="BD178" i="5"/>
  <c r="BC178" i="5"/>
  <c r="BB178" i="5"/>
  <c r="BA178" i="5"/>
  <c r="AZ178" i="5"/>
  <c r="AY178" i="5"/>
  <c r="AX178" i="5"/>
  <c r="AW178" i="5"/>
  <c r="AV178" i="5"/>
  <c r="AU178" i="5"/>
  <c r="AT178" i="5"/>
  <c r="AS178" i="5"/>
  <c r="AR178" i="5"/>
  <c r="BI178" i="5" s="1"/>
  <c r="AA178" i="5"/>
  <c r="Y178" i="5" s="1"/>
  <c r="Z178" i="5"/>
  <c r="B178" i="5"/>
  <c r="C178" i="5" s="1" a="1"/>
  <c r="C178" i="5" s="1"/>
  <c r="A178" i="5"/>
  <c r="CD177" i="5"/>
  <c r="CC177" i="5"/>
  <c r="CB177" i="5"/>
  <c r="BX177" i="5"/>
  <c r="BW177" i="5"/>
  <c r="BV177" i="5"/>
  <c r="BU177" i="5"/>
  <c r="BT177" i="5"/>
  <c r="BS177" i="5"/>
  <c r="BN177" i="5"/>
  <c r="BH177" i="5"/>
  <c r="BG177" i="5"/>
  <c r="BF177" i="5"/>
  <c r="BE177" i="5"/>
  <c r="BD177" i="5"/>
  <c r="BC177" i="5"/>
  <c r="BB177" i="5"/>
  <c r="BA177" i="5"/>
  <c r="AZ177" i="5"/>
  <c r="AY177" i="5"/>
  <c r="AX177" i="5"/>
  <c r="AW177" i="5"/>
  <c r="AV177" i="5"/>
  <c r="AU177" i="5"/>
  <c r="AT177" i="5"/>
  <c r="AS177" i="5"/>
  <c r="AR177" i="5"/>
  <c r="AA177" i="5"/>
  <c r="Z177" i="5"/>
  <c r="Y177" i="5"/>
  <c r="C177" i="5" a="1"/>
  <c r="C177" i="5"/>
  <c r="B177" i="5"/>
  <c r="A177" i="5"/>
  <c r="CC176" i="5"/>
  <c r="BW176" i="5"/>
  <c r="CB176" i="5" s="1"/>
  <c r="BV176" i="5"/>
  <c r="BU176" i="5"/>
  <c r="BT176" i="5"/>
  <c r="CD176" i="5" s="1"/>
  <c r="BS176" i="5"/>
  <c r="BN176" i="5"/>
  <c r="BH176" i="5"/>
  <c r="BG176" i="5"/>
  <c r="BF176" i="5"/>
  <c r="BE176" i="5"/>
  <c r="BD176" i="5"/>
  <c r="BC176" i="5"/>
  <c r="BB176" i="5"/>
  <c r="BA176" i="5"/>
  <c r="AZ176" i="5"/>
  <c r="AY176" i="5"/>
  <c r="AX176" i="5"/>
  <c r="AW176" i="5"/>
  <c r="AV176" i="5"/>
  <c r="AU176" i="5"/>
  <c r="AT176" i="5"/>
  <c r="AS176" i="5"/>
  <c r="AR176" i="5"/>
  <c r="AA176" i="5"/>
  <c r="Z176" i="5"/>
  <c r="C176" i="5"/>
  <c r="B176" i="5"/>
  <c r="C176" i="5" s="1" a="1"/>
  <c r="A176" i="5"/>
  <c r="CD175" i="5"/>
  <c r="CC175" i="5"/>
  <c r="CB175" i="5"/>
  <c r="BW175" i="5"/>
  <c r="BV175" i="5"/>
  <c r="BU175" i="5"/>
  <c r="BT175" i="5"/>
  <c r="BS175" i="5"/>
  <c r="BN175" i="5"/>
  <c r="BH175" i="5"/>
  <c r="BG175" i="5"/>
  <c r="BF175" i="5"/>
  <c r="BE175" i="5"/>
  <c r="BD175" i="5"/>
  <c r="BC175" i="5"/>
  <c r="BB175" i="5"/>
  <c r="BA175" i="5"/>
  <c r="AZ175" i="5"/>
  <c r="AY175" i="5"/>
  <c r="AX175" i="5"/>
  <c r="AW175" i="5"/>
  <c r="AV175" i="5"/>
  <c r="AU175" i="5"/>
  <c r="AT175" i="5"/>
  <c r="AS175" i="5"/>
  <c r="AR175" i="5"/>
  <c r="AA175" i="5"/>
  <c r="Z175" i="5"/>
  <c r="B175" i="5"/>
  <c r="C175" i="5" s="1" a="1"/>
  <c r="C175" i="5" s="1"/>
  <c r="A175" i="5"/>
  <c r="CD174" i="5"/>
  <c r="CC174" i="5"/>
  <c r="BX174" i="5"/>
  <c r="BW174" i="5"/>
  <c r="CB174" i="5" s="1"/>
  <c r="BV174" i="5"/>
  <c r="BU174" i="5"/>
  <c r="BT174" i="5"/>
  <c r="BS174" i="5"/>
  <c r="BN174" i="5"/>
  <c r="BH174" i="5"/>
  <c r="BG174" i="5"/>
  <c r="BF174" i="5"/>
  <c r="BE174" i="5"/>
  <c r="BD174" i="5"/>
  <c r="BC174" i="5"/>
  <c r="BB174" i="5"/>
  <c r="BA174" i="5"/>
  <c r="AZ174" i="5"/>
  <c r="AY174" i="5"/>
  <c r="AX174" i="5"/>
  <c r="AW174" i="5"/>
  <c r="AV174" i="5"/>
  <c r="AU174" i="5"/>
  <c r="AT174" i="5"/>
  <c r="AS174" i="5"/>
  <c r="AR174" i="5"/>
  <c r="AA174" i="5"/>
  <c r="Z174" i="5"/>
  <c r="Y174" i="5"/>
  <c r="B174" i="5"/>
  <c r="C174" i="5" s="1" a="1"/>
  <c r="C174" i="5" s="1"/>
  <c r="A174" i="5"/>
  <c r="CC173" i="5"/>
  <c r="CB173" i="5"/>
  <c r="BW173" i="5"/>
  <c r="BV173" i="5"/>
  <c r="BU173" i="5"/>
  <c r="BT173" i="5"/>
  <c r="CD173" i="5" s="1"/>
  <c r="BS173" i="5"/>
  <c r="BX173" i="5" s="1"/>
  <c r="BN173" i="5"/>
  <c r="BI173" i="5"/>
  <c r="BH173" i="5"/>
  <c r="BG173" i="5"/>
  <c r="BF173" i="5"/>
  <c r="BE173" i="5"/>
  <c r="BD173" i="5"/>
  <c r="BC173" i="5"/>
  <c r="BB173" i="5"/>
  <c r="BA173" i="5"/>
  <c r="AZ173" i="5"/>
  <c r="AY173" i="5"/>
  <c r="AX173" i="5"/>
  <c r="AW173" i="5"/>
  <c r="AV173" i="5"/>
  <c r="AU173" i="5"/>
  <c r="AT173" i="5"/>
  <c r="AS173" i="5"/>
  <c r="AR173" i="5"/>
  <c r="AA173" i="5"/>
  <c r="Z173" i="5"/>
  <c r="Y173" i="5"/>
  <c r="B173" i="5"/>
  <c r="C173" i="5" s="1" a="1"/>
  <c r="C173" i="5" s="1"/>
  <c r="A173" i="5"/>
  <c r="CC172" i="5"/>
  <c r="CB172" i="5"/>
  <c r="BX172" i="5"/>
  <c r="BW172" i="5"/>
  <c r="BV172" i="5"/>
  <c r="BU172" i="5"/>
  <c r="BT172" i="5"/>
  <c r="CD172" i="5" s="1"/>
  <c r="BS172" i="5"/>
  <c r="BN172" i="5"/>
  <c r="BH172" i="5"/>
  <c r="BG172" i="5"/>
  <c r="BF172" i="5"/>
  <c r="BE172" i="5"/>
  <c r="BD172" i="5"/>
  <c r="BC172" i="5"/>
  <c r="BB172" i="5"/>
  <c r="BA172" i="5"/>
  <c r="AZ172" i="5"/>
  <c r="AY172" i="5"/>
  <c r="AX172" i="5"/>
  <c r="AW172" i="5"/>
  <c r="AV172" i="5"/>
  <c r="AU172" i="5"/>
  <c r="AT172" i="5"/>
  <c r="AS172" i="5"/>
  <c r="AR172" i="5"/>
  <c r="BI172" i="5" s="1"/>
  <c r="AA172" i="5"/>
  <c r="Z172" i="5"/>
  <c r="Y172" i="5"/>
  <c r="B172" i="5"/>
  <c r="C172" i="5" s="1" a="1"/>
  <c r="C172" i="5" s="1"/>
  <c r="A172" i="5"/>
  <c r="CD171" i="5"/>
  <c r="CC171" i="5"/>
  <c r="BX171" i="5"/>
  <c r="BW171" i="5"/>
  <c r="CB171" i="5" s="1"/>
  <c r="BV171" i="5"/>
  <c r="BU171" i="5"/>
  <c r="BT171" i="5"/>
  <c r="BS171" i="5"/>
  <c r="BN171" i="5"/>
  <c r="BH171" i="5"/>
  <c r="BG171" i="5"/>
  <c r="BF171" i="5"/>
  <c r="BE171" i="5"/>
  <c r="BD171" i="5"/>
  <c r="BC171" i="5"/>
  <c r="BB171" i="5"/>
  <c r="BA171" i="5"/>
  <c r="AZ171" i="5"/>
  <c r="AY171" i="5"/>
  <c r="AX171" i="5"/>
  <c r="AW171" i="5"/>
  <c r="AV171" i="5"/>
  <c r="AU171" i="5"/>
  <c r="AT171" i="5"/>
  <c r="AS171" i="5"/>
  <c r="AR171" i="5"/>
  <c r="AA171" i="5"/>
  <c r="Z171" i="5"/>
  <c r="Y171" i="5" s="1"/>
  <c r="B171" i="5"/>
  <c r="C171" i="5" s="1" a="1"/>
  <c r="C171" i="5" s="1"/>
  <c r="A171" i="5"/>
  <c r="CC170" i="5"/>
  <c r="BW170" i="5"/>
  <c r="CB170" i="5" s="1"/>
  <c r="BV170" i="5"/>
  <c r="BU170" i="5"/>
  <c r="BT170" i="5"/>
  <c r="CD170" i="5" s="1"/>
  <c r="BS170" i="5"/>
  <c r="BX170" i="5" s="1"/>
  <c r="BN170" i="5"/>
  <c r="BH170" i="5"/>
  <c r="BG170" i="5"/>
  <c r="BF170" i="5"/>
  <c r="BE170" i="5"/>
  <c r="BD170" i="5"/>
  <c r="BC170" i="5"/>
  <c r="BB170" i="5"/>
  <c r="BA170" i="5"/>
  <c r="AZ170" i="5"/>
  <c r="AY170" i="5"/>
  <c r="AX170" i="5"/>
  <c r="AW170" i="5"/>
  <c r="AV170" i="5"/>
  <c r="AU170" i="5"/>
  <c r="AT170" i="5"/>
  <c r="AS170" i="5"/>
  <c r="AR170" i="5"/>
  <c r="BI170" i="5" s="1"/>
  <c r="AA170" i="5"/>
  <c r="Z170" i="5"/>
  <c r="Y170" i="5"/>
  <c r="C170" i="5"/>
  <c r="B170" i="5"/>
  <c r="C170" i="5" s="1" a="1"/>
  <c r="A170" i="5"/>
  <c r="CD169" i="5"/>
  <c r="CC169" i="5"/>
  <c r="BW169" i="5"/>
  <c r="CB169" i="5" s="1"/>
  <c r="BV169" i="5"/>
  <c r="BU169" i="5"/>
  <c r="BT169" i="5"/>
  <c r="BS169" i="5"/>
  <c r="BN169" i="5"/>
  <c r="BX169" i="5" s="1"/>
  <c r="BH169" i="5"/>
  <c r="BG169" i="5"/>
  <c r="BF169" i="5"/>
  <c r="BE169" i="5"/>
  <c r="BD169" i="5"/>
  <c r="BC169" i="5"/>
  <c r="BB169" i="5"/>
  <c r="BA169" i="5"/>
  <c r="AZ169" i="5"/>
  <c r="AY169" i="5"/>
  <c r="AX169" i="5"/>
  <c r="AW169" i="5"/>
  <c r="AV169" i="5"/>
  <c r="AU169" i="5"/>
  <c r="AT169" i="5"/>
  <c r="AS169" i="5"/>
  <c r="AR169" i="5"/>
  <c r="BI169" i="5" s="1"/>
  <c r="AA169" i="5"/>
  <c r="Y169" i="5" s="1"/>
  <c r="Z169" i="5"/>
  <c r="B169" i="5"/>
  <c r="C169" i="5" s="1" a="1"/>
  <c r="C169" i="5" s="1"/>
  <c r="A169" i="5"/>
  <c r="CC168" i="5"/>
  <c r="BX168" i="5"/>
  <c r="BW168" i="5"/>
  <c r="CB168" i="5" s="1"/>
  <c r="BV168" i="5"/>
  <c r="BU168" i="5"/>
  <c r="BT168" i="5"/>
  <c r="CD168" i="5" s="1"/>
  <c r="BS168" i="5"/>
  <c r="BN168" i="5"/>
  <c r="BH168" i="5"/>
  <c r="BG168" i="5"/>
  <c r="BF168" i="5"/>
  <c r="BE168" i="5"/>
  <c r="BD168" i="5"/>
  <c r="BC168" i="5"/>
  <c r="BB168" i="5"/>
  <c r="BA168" i="5"/>
  <c r="AZ168" i="5"/>
  <c r="AY168" i="5"/>
  <c r="AX168" i="5"/>
  <c r="AW168" i="5"/>
  <c r="AV168" i="5"/>
  <c r="AU168" i="5"/>
  <c r="AT168" i="5"/>
  <c r="AS168" i="5"/>
  <c r="AR168" i="5"/>
  <c r="BI168" i="5" s="1"/>
  <c r="AA168" i="5"/>
  <c r="Y168" i="5" s="1"/>
  <c r="Z168" i="5"/>
  <c r="B168" i="5"/>
  <c r="C168" i="5" s="1" a="1"/>
  <c r="C168" i="5" s="1"/>
  <c r="A168" i="5"/>
  <c r="CC167" i="5"/>
  <c r="BW167" i="5"/>
  <c r="CB167" i="5" s="1"/>
  <c r="BV167" i="5"/>
  <c r="BU167" i="5"/>
  <c r="BT167" i="5"/>
  <c r="CD167" i="5" s="1"/>
  <c r="BS167" i="5"/>
  <c r="BX167" i="5" s="1"/>
  <c r="BN167" i="5"/>
  <c r="BI167" i="5"/>
  <c r="BH167" i="5"/>
  <c r="BG167" i="5"/>
  <c r="BF167" i="5"/>
  <c r="BE167" i="5"/>
  <c r="BD167" i="5"/>
  <c r="BC167" i="5"/>
  <c r="BB167" i="5"/>
  <c r="BA167" i="5"/>
  <c r="AZ167" i="5"/>
  <c r="AY167" i="5"/>
  <c r="AX167" i="5"/>
  <c r="AW167" i="5"/>
  <c r="AV167" i="5"/>
  <c r="AU167" i="5"/>
  <c r="AT167" i="5"/>
  <c r="AS167" i="5"/>
  <c r="AR167" i="5"/>
  <c r="AA167" i="5"/>
  <c r="Y167" i="5" s="1"/>
  <c r="Z167" i="5"/>
  <c r="B167" i="5"/>
  <c r="C167" i="5" s="1" a="1"/>
  <c r="C167" i="5" s="1"/>
  <c r="A167" i="5"/>
  <c r="CD166" i="5"/>
  <c r="CC166" i="5"/>
  <c r="BX166" i="5"/>
  <c r="BW166" i="5"/>
  <c r="CB166" i="5" s="1"/>
  <c r="BV166" i="5"/>
  <c r="BU166" i="5"/>
  <c r="BT166" i="5"/>
  <c r="BS166" i="5"/>
  <c r="BN166" i="5"/>
  <c r="BH166" i="5"/>
  <c r="BG166" i="5"/>
  <c r="BF166" i="5"/>
  <c r="BE166" i="5"/>
  <c r="BD166" i="5"/>
  <c r="BC166" i="5"/>
  <c r="BB166" i="5"/>
  <c r="BA166" i="5"/>
  <c r="AZ166" i="5"/>
  <c r="AY166" i="5"/>
  <c r="AX166" i="5"/>
  <c r="AW166" i="5"/>
  <c r="AV166" i="5"/>
  <c r="AU166" i="5"/>
  <c r="AT166" i="5"/>
  <c r="AS166" i="5"/>
  <c r="AR166" i="5"/>
  <c r="BI166" i="5" s="1"/>
  <c r="AA166" i="5"/>
  <c r="Y166" i="5" s="1"/>
  <c r="Z166" i="5"/>
  <c r="C166" i="5" a="1"/>
  <c r="C166" i="5" s="1"/>
  <c r="B166" i="5"/>
  <c r="A166" i="5"/>
  <c r="CD165" i="5"/>
  <c r="CC165" i="5"/>
  <c r="BW165" i="5"/>
  <c r="CB165" i="5" s="1"/>
  <c r="BV165" i="5"/>
  <c r="BU165" i="5"/>
  <c r="BT165" i="5"/>
  <c r="BS165" i="5"/>
  <c r="BN165" i="5"/>
  <c r="BX165" i="5" s="1"/>
  <c r="BI165" i="5"/>
  <c r="BH165" i="5"/>
  <c r="BG165" i="5"/>
  <c r="BF165" i="5"/>
  <c r="BE165" i="5"/>
  <c r="BD165" i="5"/>
  <c r="BC165" i="5"/>
  <c r="BB165" i="5"/>
  <c r="BA165" i="5"/>
  <c r="AZ165" i="5"/>
  <c r="AY165" i="5"/>
  <c r="AX165" i="5"/>
  <c r="AW165" i="5"/>
  <c r="AV165" i="5"/>
  <c r="AU165" i="5"/>
  <c r="AT165" i="5"/>
  <c r="AS165" i="5"/>
  <c r="AR165" i="5"/>
  <c r="AA165" i="5"/>
  <c r="Y165" i="5" s="1"/>
  <c r="Z165" i="5"/>
  <c r="C165" i="5" a="1"/>
  <c r="C165" i="5" s="1"/>
  <c r="B165" i="5"/>
  <c r="A165" i="5"/>
  <c r="CC164" i="5"/>
  <c r="BW164" i="5"/>
  <c r="CB164" i="5" s="1"/>
  <c r="BV164" i="5"/>
  <c r="BU164" i="5"/>
  <c r="BT164" i="5"/>
  <c r="CD164" i="5" s="1"/>
  <c r="BS164" i="5"/>
  <c r="BN164" i="5"/>
  <c r="BH164" i="5"/>
  <c r="BG164" i="5"/>
  <c r="BF164" i="5"/>
  <c r="BE164" i="5"/>
  <c r="BD164" i="5"/>
  <c r="BC164" i="5"/>
  <c r="BB164" i="5"/>
  <c r="BA164" i="5"/>
  <c r="AZ164" i="5"/>
  <c r="AY164" i="5"/>
  <c r="AX164" i="5"/>
  <c r="AW164" i="5"/>
  <c r="AV164" i="5"/>
  <c r="AU164" i="5"/>
  <c r="AT164" i="5"/>
  <c r="AS164" i="5"/>
  <c r="AR164" i="5"/>
  <c r="BI164" i="5" s="1"/>
  <c r="AA164" i="5"/>
  <c r="Y164" i="5" s="1"/>
  <c r="Z164" i="5"/>
  <c r="B164" i="5"/>
  <c r="C164" i="5" s="1" a="1"/>
  <c r="C164" i="5" s="1"/>
  <c r="A164" i="5"/>
  <c r="CD163" i="5"/>
  <c r="CC163" i="5"/>
  <c r="BX163" i="5"/>
  <c r="BW163" i="5"/>
  <c r="CB163" i="5" s="1"/>
  <c r="BV163" i="5"/>
  <c r="BU163" i="5"/>
  <c r="BT163" i="5"/>
  <c r="BS163" i="5"/>
  <c r="BN163" i="5"/>
  <c r="BH163" i="5"/>
  <c r="BG163" i="5"/>
  <c r="BF163" i="5"/>
  <c r="BE163" i="5"/>
  <c r="BD163" i="5"/>
  <c r="BC163" i="5"/>
  <c r="BB163" i="5"/>
  <c r="BA163" i="5"/>
  <c r="AZ163" i="5"/>
  <c r="AY163" i="5"/>
  <c r="AX163" i="5"/>
  <c r="AW163" i="5"/>
  <c r="AV163" i="5"/>
  <c r="AU163" i="5"/>
  <c r="AT163" i="5"/>
  <c r="AS163" i="5"/>
  <c r="AR163" i="5"/>
  <c r="AA163" i="5"/>
  <c r="Y163" i="5" s="1"/>
  <c r="Z163" i="5"/>
  <c r="C163" i="5" a="1"/>
  <c r="C163" i="5"/>
  <c r="B163" i="5"/>
  <c r="A163" i="5"/>
  <c r="CC162" i="5"/>
  <c r="CB162" i="5"/>
  <c r="BX162" i="5"/>
  <c r="BW162" i="5"/>
  <c r="BV162" i="5"/>
  <c r="BU162" i="5"/>
  <c r="BT162" i="5"/>
  <c r="CD162" i="5" s="1"/>
  <c r="BS162" i="5"/>
  <c r="BN162" i="5"/>
  <c r="BI162" i="5"/>
  <c r="BH162" i="5"/>
  <c r="BG162" i="5"/>
  <c r="BF162" i="5"/>
  <c r="BE162" i="5"/>
  <c r="BD162" i="5"/>
  <c r="BC162" i="5"/>
  <c r="BB162" i="5"/>
  <c r="BA162" i="5"/>
  <c r="AZ162" i="5"/>
  <c r="AY162" i="5"/>
  <c r="AX162" i="5"/>
  <c r="AW162" i="5"/>
  <c r="AV162" i="5"/>
  <c r="AU162" i="5"/>
  <c r="AT162" i="5"/>
  <c r="AS162" i="5"/>
  <c r="AR162" i="5"/>
  <c r="AA162" i="5"/>
  <c r="Z162" i="5"/>
  <c r="Y162" i="5"/>
  <c r="B162" i="5"/>
  <c r="C162" i="5" s="1" a="1"/>
  <c r="C162" i="5" s="1"/>
  <c r="A162" i="5"/>
  <c r="CD161" i="5"/>
  <c r="CC161" i="5"/>
  <c r="CB161" i="5"/>
  <c r="BW161" i="5"/>
  <c r="BV161" i="5"/>
  <c r="BU161" i="5"/>
  <c r="BT161" i="5"/>
  <c r="BS161" i="5"/>
  <c r="BX161" i="5" s="1"/>
  <c r="BN161" i="5"/>
  <c r="BH161" i="5"/>
  <c r="BG161" i="5"/>
  <c r="BF161" i="5"/>
  <c r="BE161" i="5"/>
  <c r="BD161" i="5"/>
  <c r="BC161" i="5"/>
  <c r="BB161" i="5"/>
  <c r="BA161" i="5"/>
  <c r="AZ161" i="5"/>
  <c r="AY161" i="5"/>
  <c r="AX161" i="5"/>
  <c r="AW161" i="5"/>
  <c r="AV161" i="5"/>
  <c r="AU161" i="5"/>
  <c r="AT161" i="5"/>
  <c r="AS161" i="5"/>
  <c r="AR161" i="5"/>
  <c r="BI161" i="5" s="1"/>
  <c r="AA161" i="5"/>
  <c r="Z161" i="5"/>
  <c r="Y161" i="5"/>
  <c r="B161" i="5"/>
  <c r="C161" i="5" s="1" a="1"/>
  <c r="C161" i="5" s="1"/>
  <c r="A161" i="5"/>
  <c r="CC160" i="5"/>
  <c r="CB160" i="5"/>
  <c r="BX160" i="5"/>
  <c r="BW160" i="5"/>
  <c r="BV160" i="5"/>
  <c r="BU160" i="5"/>
  <c r="BT160" i="5"/>
  <c r="CD160" i="5" s="1"/>
  <c r="BS160" i="5"/>
  <c r="BN160" i="5"/>
  <c r="BH160" i="5"/>
  <c r="BG160" i="5"/>
  <c r="BF160" i="5"/>
  <c r="BE160" i="5"/>
  <c r="BD160" i="5"/>
  <c r="BC160" i="5"/>
  <c r="BB160" i="5"/>
  <c r="BA160" i="5"/>
  <c r="AZ160" i="5"/>
  <c r="AY160" i="5"/>
  <c r="AX160" i="5"/>
  <c r="AW160" i="5"/>
  <c r="AV160" i="5"/>
  <c r="AU160" i="5"/>
  <c r="AT160" i="5"/>
  <c r="AS160" i="5"/>
  <c r="AR160" i="5"/>
  <c r="BI160" i="5" s="1"/>
  <c r="AA160" i="5"/>
  <c r="Y160" i="5" s="1"/>
  <c r="Z160" i="5"/>
  <c r="C160" i="5" a="1"/>
  <c r="C160" i="5" s="1"/>
  <c r="B160" i="5"/>
  <c r="A160" i="5"/>
  <c r="CC159" i="5"/>
  <c r="BX159" i="5"/>
  <c r="BW159" i="5"/>
  <c r="CB159" i="5" s="1"/>
  <c r="BV159" i="5"/>
  <c r="BU159" i="5"/>
  <c r="BT159" i="5"/>
  <c r="CD159" i="5" s="1"/>
  <c r="BS159" i="5"/>
  <c r="BN159" i="5"/>
  <c r="BI159" i="5"/>
  <c r="BH159" i="5"/>
  <c r="BG159" i="5"/>
  <c r="BF159" i="5"/>
  <c r="BE159" i="5"/>
  <c r="BD159" i="5"/>
  <c r="BC159" i="5"/>
  <c r="BB159" i="5"/>
  <c r="BA159" i="5"/>
  <c r="AZ159" i="5"/>
  <c r="AY159" i="5"/>
  <c r="AX159" i="5"/>
  <c r="AW159" i="5"/>
  <c r="AV159" i="5"/>
  <c r="AU159" i="5"/>
  <c r="AT159" i="5"/>
  <c r="AS159" i="5"/>
  <c r="AR159" i="5"/>
  <c r="AA159" i="5"/>
  <c r="Z159" i="5"/>
  <c r="Y159" i="5"/>
  <c r="C159" i="5" a="1"/>
  <c r="C159" i="5" s="1"/>
  <c r="B159" i="5"/>
  <c r="A159" i="5"/>
  <c r="CD158" i="5"/>
  <c r="CC158" i="5"/>
  <c r="CB158" i="5"/>
  <c r="BX158" i="5"/>
  <c r="BW158" i="5"/>
  <c r="BV158" i="5"/>
  <c r="BU158" i="5"/>
  <c r="BT158" i="5"/>
  <c r="BS158" i="5"/>
  <c r="BN158" i="5"/>
  <c r="BI158" i="5"/>
  <c r="BH158" i="5"/>
  <c r="BG158" i="5"/>
  <c r="BF158" i="5"/>
  <c r="BE158" i="5"/>
  <c r="BD158" i="5"/>
  <c r="BC158" i="5"/>
  <c r="BB158" i="5"/>
  <c r="BA158" i="5"/>
  <c r="AZ158" i="5"/>
  <c r="AY158" i="5"/>
  <c r="AX158" i="5"/>
  <c r="AW158" i="5"/>
  <c r="AV158" i="5"/>
  <c r="AU158" i="5"/>
  <c r="AT158" i="5"/>
  <c r="AS158" i="5"/>
  <c r="AR158" i="5"/>
  <c r="AA158" i="5"/>
  <c r="Y158" i="5" s="1"/>
  <c r="Z158" i="5"/>
  <c r="B158" i="5"/>
  <c r="C158" i="5" s="1" a="1"/>
  <c r="C158" i="5" s="1"/>
  <c r="A158" i="5"/>
  <c r="CC157" i="5"/>
  <c r="BW157" i="5"/>
  <c r="CB157" i="5" s="1"/>
  <c r="BV157" i="5"/>
  <c r="BU157" i="5"/>
  <c r="BT157" i="5"/>
  <c r="CD157" i="5" s="1"/>
  <c r="BS157" i="5"/>
  <c r="BX157" i="5" s="1"/>
  <c r="BN157" i="5"/>
  <c r="BH157" i="5"/>
  <c r="BG157" i="5"/>
  <c r="BF157" i="5"/>
  <c r="BE157" i="5"/>
  <c r="BD157" i="5"/>
  <c r="BC157" i="5"/>
  <c r="BB157" i="5"/>
  <c r="BA157" i="5"/>
  <c r="AZ157" i="5"/>
  <c r="AY157" i="5"/>
  <c r="AX157" i="5"/>
  <c r="AW157" i="5"/>
  <c r="AV157" i="5"/>
  <c r="AU157" i="5"/>
  <c r="AT157" i="5"/>
  <c r="AS157" i="5"/>
  <c r="AR157" i="5"/>
  <c r="BI157" i="5" s="1"/>
  <c r="AA157" i="5"/>
  <c r="Y157" i="5" s="1"/>
  <c r="Z157" i="5"/>
  <c r="C157" i="5" a="1"/>
  <c r="C157" i="5" s="1"/>
  <c r="B157" i="5"/>
  <c r="A157" i="5"/>
  <c r="CC156" i="5"/>
  <c r="BX156" i="5"/>
  <c r="BW156" i="5"/>
  <c r="CB156" i="5" s="1"/>
  <c r="BV156" i="5"/>
  <c r="BU156" i="5"/>
  <c r="BT156" i="5"/>
  <c r="CD156" i="5" s="1"/>
  <c r="BS156" i="5"/>
  <c r="BN156" i="5"/>
  <c r="BI156" i="5"/>
  <c r="BH156" i="5"/>
  <c r="BG156" i="5"/>
  <c r="BF156" i="5"/>
  <c r="BE156" i="5"/>
  <c r="BD156" i="5"/>
  <c r="BC156" i="5"/>
  <c r="BB156" i="5"/>
  <c r="BA156" i="5"/>
  <c r="AZ156" i="5"/>
  <c r="AY156" i="5"/>
  <c r="AX156" i="5"/>
  <c r="AW156" i="5"/>
  <c r="AV156" i="5"/>
  <c r="AU156" i="5"/>
  <c r="AT156" i="5"/>
  <c r="AS156" i="5"/>
  <c r="AR156" i="5"/>
  <c r="AA156" i="5"/>
  <c r="Z156" i="5"/>
  <c r="Y156" i="5"/>
  <c r="C156" i="5" a="1"/>
  <c r="C156" i="5" s="1"/>
  <c r="B156" i="5"/>
  <c r="A156" i="5"/>
  <c r="CD155" i="5"/>
  <c r="CC155" i="5"/>
  <c r="BW155" i="5"/>
  <c r="CB155" i="5" s="1"/>
  <c r="BV155" i="5"/>
  <c r="BU155" i="5"/>
  <c r="BT155" i="5"/>
  <c r="BS155" i="5"/>
  <c r="BX155" i="5" s="1"/>
  <c r="BN155" i="5"/>
  <c r="BH155" i="5"/>
  <c r="BG155" i="5"/>
  <c r="BF155" i="5"/>
  <c r="BE155" i="5"/>
  <c r="BD155" i="5"/>
  <c r="BC155" i="5"/>
  <c r="BB155" i="5"/>
  <c r="BA155" i="5"/>
  <c r="AZ155" i="5"/>
  <c r="AY155" i="5"/>
  <c r="AX155" i="5"/>
  <c r="AW155" i="5"/>
  <c r="AV155" i="5"/>
  <c r="AU155" i="5"/>
  <c r="AT155" i="5"/>
  <c r="AS155" i="5"/>
  <c r="AR155" i="5"/>
  <c r="AA155" i="5"/>
  <c r="Z155" i="5"/>
  <c r="Y155" i="5" s="1"/>
  <c r="B155" i="5"/>
  <c r="C155" i="5" s="1" a="1"/>
  <c r="C155" i="5" s="1"/>
  <c r="A155" i="5"/>
  <c r="CD154" i="5"/>
  <c r="CC154" i="5"/>
  <c r="CB154" i="5"/>
  <c r="BX154" i="5"/>
  <c r="BW154" i="5"/>
  <c r="BV154" i="5"/>
  <c r="BU154" i="5"/>
  <c r="BT154" i="5"/>
  <c r="BS154" i="5"/>
  <c r="BN154" i="5"/>
  <c r="BH154" i="5"/>
  <c r="BG154" i="5"/>
  <c r="BF154" i="5"/>
  <c r="BE154" i="5"/>
  <c r="BD154" i="5"/>
  <c r="BC154" i="5"/>
  <c r="BB154" i="5"/>
  <c r="BA154" i="5"/>
  <c r="AZ154" i="5"/>
  <c r="AY154" i="5"/>
  <c r="AX154" i="5"/>
  <c r="AW154" i="5"/>
  <c r="AV154" i="5"/>
  <c r="AU154" i="5"/>
  <c r="AT154" i="5"/>
  <c r="AS154" i="5"/>
  <c r="AR154" i="5"/>
  <c r="AA154" i="5"/>
  <c r="Z154" i="5"/>
  <c r="Y154" i="5" s="1"/>
  <c r="C154" i="5" a="1"/>
  <c r="C154" i="5"/>
  <c r="B154" i="5"/>
  <c r="A154" i="5"/>
  <c r="CD153" i="5"/>
  <c r="CC153" i="5"/>
  <c r="BW153" i="5"/>
  <c r="CB153" i="5" s="1"/>
  <c r="BV153" i="5"/>
  <c r="BU153" i="5"/>
  <c r="BT153" i="5"/>
  <c r="BS153" i="5"/>
  <c r="BX153" i="5" s="1"/>
  <c r="BN153" i="5"/>
  <c r="BH153" i="5"/>
  <c r="BG153" i="5"/>
  <c r="BF153" i="5"/>
  <c r="BE153" i="5"/>
  <c r="BD153" i="5"/>
  <c r="BC153" i="5"/>
  <c r="BB153" i="5"/>
  <c r="BA153" i="5"/>
  <c r="AZ153" i="5"/>
  <c r="AY153" i="5"/>
  <c r="AX153" i="5"/>
  <c r="AW153" i="5"/>
  <c r="AV153" i="5"/>
  <c r="AU153" i="5"/>
  <c r="AT153" i="5"/>
  <c r="AS153" i="5"/>
  <c r="AR153" i="5"/>
  <c r="BI153" i="5" s="1"/>
  <c r="AA153" i="5"/>
  <c r="Y153" i="5" s="1"/>
  <c r="Z153" i="5"/>
  <c r="B153" i="5"/>
  <c r="C153" i="5" s="1" a="1"/>
  <c r="C153" i="5" s="1"/>
  <c r="A153" i="5"/>
  <c r="CD152" i="5"/>
  <c r="CC152" i="5"/>
  <c r="BX152" i="5"/>
  <c r="BW152" i="5"/>
  <c r="CB152" i="5" s="1"/>
  <c r="BV152" i="5"/>
  <c r="BU152" i="5"/>
  <c r="BT152" i="5"/>
  <c r="BS152" i="5"/>
  <c r="BN152" i="5"/>
  <c r="BH152" i="5"/>
  <c r="BG152" i="5"/>
  <c r="BF152" i="5"/>
  <c r="BE152" i="5"/>
  <c r="BD152" i="5"/>
  <c r="BC152" i="5"/>
  <c r="BB152" i="5"/>
  <c r="BA152" i="5"/>
  <c r="AZ152" i="5"/>
  <c r="AY152" i="5"/>
  <c r="AX152" i="5"/>
  <c r="AW152" i="5"/>
  <c r="AV152" i="5"/>
  <c r="AU152" i="5"/>
  <c r="AT152" i="5"/>
  <c r="AS152" i="5"/>
  <c r="AR152" i="5"/>
  <c r="AA152" i="5"/>
  <c r="Z152" i="5"/>
  <c r="BI152" i="5" s="1"/>
  <c r="C152" i="5" a="1"/>
  <c r="C152" i="5" s="1"/>
  <c r="B152" i="5"/>
  <c r="A152" i="5"/>
  <c r="CC151" i="5"/>
  <c r="BX151" i="5"/>
  <c r="BW151" i="5"/>
  <c r="CB151" i="5" s="1"/>
  <c r="BV151" i="5"/>
  <c r="BU151" i="5"/>
  <c r="BT151" i="5"/>
  <c r="CD151" i="5" s="1"/>
  <c r="BS151" i="5"/>
  <c r="BN151" i="5"/>
  <c r="BH151" i="5"/>
  <c r="BG151" i="5"/>
  <c r="BF151" i="5"/>
  <c r="BE151" i="5"/>
  <c r="BD151" i="5"/>
  <c r="BC151" i="5"/>
  <c r="BB151" i="5"/>
  <c r="BA151" i="5"/>
  <c r="AZ151" i="5"/>
  <c r="AY151" i="5"/>
  <c r="AX151" i="5"/>
  <c r="AW151" i="5"/>
  <c r="AV151" i="5"/>
  <c r="AU151" i="5"/>
  <c r="AT151" i="5"/>
  <c r="AS151" i="5"/>
  <c r="AR151" i="5"/>
  <c r="AA151" i="5"/>
  <c r="Z151" i="5"/>
  <c r="Y151" i="5" s="1"/>
  <c r="B151" i="5"/>
  <c r="C151" i="5" s="1" a="1"/>
  <c r="C151" i="5" s="1"/>
  <c r="A151" i="5"/>
  <c r="CD150" i="5"/>
  <c r="CC150" i="5"/>
  <c r="BW150" i="5"/>
  <c r="CB150" i="5" s="1"/>
  <c r="BV150" i="5"/>
  <c r="BU150" i="5"/>
  <c r="BT150" i="5"/>
  <c r="BS150" i="5"/>
  <c r="BX150" i="5" s="1"/>
  <c r="BN150" i="5"/>
  <c r="BI150" i="5"/>
  <c r="BH150" i="5"/>
  <c r="BG150" i="5"/>
  <c r="BF150" i="5"/>
  <c r="BE150" i="5"/>
  <c r="BD150" i="5"/>
  <c r="BC150" i="5"/>
  <c r="BB150" i="5"/>
  <c r="BA150" i="5"/>
  <c r="AZ150" i="5"/>
  <c r="AY150" i="5"/>
  <c r="AX150" i="5"/>
  <c r="AW150" i="5"/>
  <c r="AV150" i="5"/>
  <c r="AU150" i="5"/>
  <c r="AT150" i="5"/>
  <c r="AS150" i="5"/>
  <c r="AR150" i="5"/>
  <c r="AA150" i="5"/>
  <c r="Z150" i="5"/>
  <c r="C150" i="5" a="1"/>
  <c r="C150" i="5"/>
  <c r="B150" i="5"/>
  <c r="A150" i="5"/>
  <c r="CD149" i="5"/>
  <c r="CC149" i="5"/>
  <c r="BX149" i="5"/>
  <c r="BW149" i="5"/>
  <c r="CB149" i="5" s="1"/>
  <c r="BV149" i="5"/>
  <c r="BU149" i="5"/>
  <c r="BT149" i="5"/>
  <c r="BS149" i="5"/>
  <c r="BN149" i="5"/>
  <c r="BI149" i="5"/>
  <c r="BH149" i="5"/>
  <c r="BG149" i="5"/>
  <c r="BF149" i="5"/>
  <c r="BE149" i="5"/>
  <c r="BD149" i="5"/>
  <c r="BC149" i="5"/>
  <c r="BB149" i="5"/>
  <c r="BA149" i="5"/>
  <c r="AZ149" i="5"/>
  <c r="AY149" i="5"/>
  <c r="AX149" i="5"/>
  <c r="AW149" i="5"/>
  <c r="AV149" i="5"/>
  <c r="AU149" i="5"/>
  <c r="AT149" i="5"/>
  <c r="AS149" i="5"/>
  <c r="AR149" i="5"/>
  <c r="AA149" i="5"/>
  <c r="Z149" i="5"/>
  <c r="Y149" i="5"/>
  <c r="C149" i="5" a="1"/>
  <c r="C149" i="5" s="1"/>
  <c r="B149" i="5"/>
  <c r="A149" i="5"/>
  <c r="CC148" i="5"/>
  <c r="BX148" i="5"/>
  <c r="BW148" i="5"/>
  <c r="CB148" i="5" s="1"/>
  <c r="BV148" i="5"/>
  <c r="BU148" i="5"/>
  <c r="BT148" i="5"/>
  <c r="CD148" i="5" s="1"/>
  <c r="BS148" i="5"/>
  <c r="BN148" i="5"/>
  <c r="BH148" i="5"/>
  <c r="BG148" i="5"/>
  <c r="BF148" i="5"/>
  <c r="BE148" i="5"/>
  <c r="BD148" i="5"/>
  <c r="BC148" i="5"/>
  <c r="BB148" i="5"/>
  <c r="BA148" i="5"/>
  <c r="AZ148" i="5"/>
  <c r="AY148" i="5"/>
  <c r="AX148" i="5"/>
  <c r="AW148" i="5"/>
  <c r="AV148" i="5"/>
  <c r="AU148" i="5"/>
  <c r="AT148" i="5"/>
  <c r="AS148" i="5"/>
  <c r="AR148" i="5"/>
  <c r="AA148" i="5"/>
  <c r="Z148" i="5"/>
  <c r="Y148" i="5" s="1"/>
  <c r="C148" i="5" a="1"/>
  <c r="C148" i="5" s="1"/>
  <c r="B148" i="5"/>
  <c r="A148" i="5"/>
  <c r="CC147" i="5"/>
  <c r="CB147" i="5"/>
  <c r="BW147" i="5"/>
  <c r="BV147" i="5"/>
  <c r="BU147" i="5"/>
  <c r="BT147" i="5"/>
  <c r="CD147" i="5" s="1"/>
  <c r="BS147" i="5"/>
  <c r="BX147" i="5" s="1"/>
  <c r="BN147" i="5"/>
  <c r="BI147" i="5"/>
  <c r="BH147" i="5"/>
  <c r="BG147" i="5"/>
  <c r="BF147" i="5"/>
  <c r="BE147" i="5"/>
  <c r="BD147" i="5"/>
  <c r="BC147" i="5"/>
  <c r="BB147" i="5"/>
  <c r="BA147" i="5"/>
  <c r="AZ147" i="5"/>
  <c r="AY147" i="5"/>
  <c r="AX147" i="5"/>
  <c r="AW147" i="5"/>
  <c r="AV147" i="5"/>
  <c r="AU147" i="5"/>
  <c r="AT147" i="5"/>
  <c r="AS147" i="5"/>
  <c r="AR147" i="5"/>
  <c r="AA147" i="5"/>
  <c r="Y147" i="5" s="1"/>
  <c r="Z147" i="5"/>
  <c r="C147" i="5"/>
  <c r="B147" i="5"/>
  <c r="C147" i="5" s="1" a="1"/>
  <c r="A147" i="5"/>
  <c r="CD146" i="5"/>
  <c r="CC146" i="5"/>
  <c r="CB146" i="5"/>
  <c r="BX146" i="5"/>
  <c r="BW146" i="5"/>
  <c r="BV146" i="5"/>
  <c r="BU146" i="5"/>
  <c r="BT146" i="5"/>
  <c r="BS146" i="5"/>
  <c r="BN146" i="5"/>
  <c r="BH146" i="5"/>
  <c r="BG146" i="5"/>
  <c r="BF146" i="5"/>
  <c r="BE146" i="5"/>
  <c r="BD146" i="5"/>
  <c r="BC146" i="5"/>
  <c r="BB146" i="5"/>
  <c r="BA146" i="5"/>
  <c r="AZ146" i="5"/>
  <c r="AY146" i="5"/>
  <c r="AX146" i="5"/>
  <c r="AW146" i="5"/>
  <c r="AV146" i="5"/>
  <c r="AU146" i="5"/>
  <c r="AT146" i="5"/>
  <c r="AS146" i="5"/>
  <c r="AR146" i="5"/>
  <c r="AA146" i="5"/>
  <c r="Z146" i="5"/>
  <c r="Y146" i="5" s="1"/>
  <c r="C146" i="5" a="1"/>
  <c r="C146" i="5"/>
  <c r="B146" i="5"/>
  <c r="A146" i="5"/>
  <c r="CC145" i="5"/>
  <c r="BW145" i="5"/>
  <c r="CB145" i="5" s="1"/>
  <c r="BV145" i="5"/>
  <c r="BU145" i="5"/>
  <c r="BT145" i="5"/>
  <c r="CD145" i="5" s="1"/>
  <c r="BS145" i="5"/>
  <c r="BX145" i="5" s="1"/>
  <c r="BN145" i="5"/>
  <c r="BI145" i="5"/>
  <c r="BH145" i="5"/>
  <c r="BG145" i="5"/>
  <c r="BF145" i="5"/>
  <c r="BE145" i="5"/>
  <c r="BD145" i="5"/>
  <c r="BC145" i="5"/>
  <c r="BB145" i="5"/>
  <c r="BA145" i="5"/>
  <c r="AZ145" i="5"/>
  <c r="AY145" i="5"/>
  <c r="AX145" i="5"/>
  <c r="AW145" i="5"/>
  <c r="AV145" i="5"/>
  <c r="AU145" i="5"/>
  <c r="AT145" i="5"/>
  <c r="AS145" i="5"/>
  <c r="AR145" i="5"/>
  <c r="AA145" i="5"/>
  <c r="Z145" i="5"/>
  <c r="Y145" i="5"/>
  <c r="B145" i="5"/>
  <c r="C145" i="5" s="1" a="1"/>
  <c r="C145" i="5" s="1"/>
  <c r="A145" i="5"/>
  <c r="CD144" i="5"/>
  <c r="CC144" i="5"/>
  <c r="CB144" i="5"/>
  <c r="BX144" i="5"/>
  <c r="BW144" i="5"/>
  <c r="BV144" i="5"/>
  <c r="BU144" i="5"/>
  <c r="BT144" i="5"/>
  <c r="BS144" i="5"/>
  <c r="BN144" i="5"/>
  <c r="BH144" i="5"/>
  <c r="BG144" i="5"/>
  <c r="BF144" i="5"/>
  <c r="BE144" i="5"/>
  <c r="BD144" i="5"/>
  <c r="BC144" i="5"/>
  <c r="BB144" i="5"/>
  <c r="BA144" i="5"/>
  <c r="AZ144" i="5"/>
  <c r="AY144" i="5"/>
  <c r="AX144" i="5"/>
  <c r="AW144" i="5"/>
  <c r="AV144" i="5"/>
  <c r="AU144" i="5"/>
  <c r="AT144" i="5"/>
  <c r="AS144" i="5"/>
  <c r="AR144" i="5"/>
  <c r="AA144" i="5"/>
  <c r="Z144" i="5"/>
  <c r="Y144" i="5" s="1"/>
  <c r="B144" i="5"/>
  <c r="C144" i="5" s="1" a="1"/>
  <c r="C144" i="5" s="1"/>
  <c r="A144" i="5"/>
  <c r="CC143" i="5"/>
  <c r="CB143" i="5"/>
  <c r="BX143" i="5"/>
  <c r="BW143" i="5"/>
  <c r="BV143" i="5"/>
  <c r="BU143" i="5"/>
  <c r="BT143" i="5"/>
  <c r="CD143" i="5" s="1"/>
  <c r="BS143" i="5"/>
  <c r="BN143" i="5"/>
  <c r="BH143" i="5"/>
  <c r="BG143" i="5"/>
  <c r="BF143" i="5"/>
  <c r="BE143" i="5"/>
  <c r="BD143" i="5"/>
  <c r="BC143" i="5"/>
  <c r="BB143" i="5"/>
  <c r="BA143" i="5"/>
  <c r="AZ143" i="5"/>
  <c r="AY143" i="5"/>
  <c r="AX143" i="5"/>
  <c r="AW143" i="5"/>
  <c r="AV143" i="5"/>
  <c r="AU143" i="5"/>
  <c r="AT143" i="5"/>
  <c r="AS143" i="5"/>
  <c r="AR143" i="5"/>
  <c r="AA143" i="5"/>
  <c r="Z143" i="5"/>
  <c r="Y143" i="5" s="1"/>
  <c r="B143" i="5"/>
  <c r="C143" i="5" s="1" a="1"/>
  <c r="C143" i="5" s="1"/>
  <c r="A143" i="5"/>
  <c r="CC142" i="5"/>
  <c r="BW142" i="5"/>
  <c r="CB142" i="5" s="1"/>
  <c r="BV142" i="5"/>
  <c r="BU142" i="5"/>
  <c r="BT142" i="5"/>
  <c r="CD142" i="5" s="1"/>
  <c r="BS142" i="5"/>
  <c r="BX142" i="5" s="1"/>
  <c r="BN142" i="5"/>
  <c r="BI142" i="5"/>
  <c r="BH142" i="5"/>
  <c r="BG142" i="5"/>
  <c r="BF142" i="5"/>
  <c r="BE142" i="5"/>
  <c r="BD142" i="5"/>
  <c r="BC142" i="5"/>
  <c r="BB142" i="5"/>
  <c r="BA142" i="5"/>
  <c r="AZ142" i="5"/>
  <c r="AY142" i="5"/>
  <c r="AX142" i="5"/>
  <c r="AW142" i="5"/>
  <c r="AV142" i="5"/>
  <c r="AU142" i="5"/>
  <c r="AT142" i="5"/>
  <c r="AS142" i="5"/>
  <c r="AR142" i="5"/>
  <c r="AA142" i="5"/>
  <c r="Z142" i="5"/>
  <c r="Y142" i="5"/>
  <c r="C142" i="5" a="1"/>
  <c r="C142" i="5" s="1"/>
  <c r="B142" i="5"/>
  <c r="A142" i="5"/>
  <c r="CD141" i="5"/>
  <c r="CC141" i="5"/>
  <c r="CB141" i="5"/>
  <c r="BW141" i="5"/>
  <c r="BV141" i="5"/>
  <c r="BU141" i="5"/>
  <c r="BT141" i="5"/>
  <c r="BS141" i="5"/>
  <c r="BX141" i="5" s="1"/>
  <c r="BN141" i="5"/>
  <c r="BH141" i="5"/>
  <c r="BG141" i="5"/>
  <c r="BF141" i="5"/>
  <c r="BE141" i="5"/>
  <c r="BD141" i="5"/>
  <c r="BC141" i="5"/>
  <c r="BB141" i="5"/>
  <c r="BA141" i="5"/>
  <c r="AZ141" i="5"/>
  <c r="AY141" i="5"/>
  <c r="AX141" i="5"/>
  <c r="AW141" i="5"/>
  <c r="AV141" i="5"/>
  <c r="AU141" i="5"/>
  <c r="AT141" i="5"/>
  <c r="AS141" i="5"/>
  <c r="AR141" i="5"/>
  <c r="BI141" i="5" s="1"/>
  <c r="AA141" i="5"/>
  <c r="Z141" i="5"/>
  <c r="Y141" i="5"/>
  <c r="B141" i="5"/>
  <c r="C141" i="5" s="1" a="1"/>
  <c r="C141" i="5" s="1"/>
  <c r="A141" i="5"/>
  <c r="CD140" i="5"/>
  <c r="CC140" i="5"/>
  <c r="CB140" i="5"/>
  <c r="BW140" i="5"/>
  <c r="BV140" i="5"/>
  <c r="BU140" i="5"/>
  <c r="BT140" i="5"/>
  <c r="BS140" i="5"/>
  <c r="BN140" i="5"/>
  <c r="BH140" i="5"/>
  <c r="BG140" i="5"/>
  <c r="BF140" i="5"/>
  <c r="BE140" i="5"/>
  <c r="BD140" i="5"/>
  <c r="BC140" i="5"/>
  <c r="BB140" i="5"/>
  <c r="BA140" i="5"/>
  <c r="AZ140" i="5"/>
  <c r="AY140" i="5"/>
  <c r="AX140" i="5"/>
  <c r="AW140" i="5"/>
  <c r="AV140" i="5"/>
  <c r="AU140" i="5"/>
  <c r="AT140" i="5"/>
  <c r="AS140" i="5"/>
  <c r="AR140" i="5"/>
  <c r="BI140" i="5" s="1"/>
  <c r="AA140" i="5"/>
  <c r="Z140" i="5"/>
  <c r="Y140" i="5"/>
  <c r="B140" i="5"/>
  <c r="C140" i="5" s="1" a="1"/>
  <c r="C140" i="5" s="1"/>
  <c r="A140" i="5"/>
  <c r="CC139" i="5"/>
  <c r="BW139" i="5"/>
  <c r="CB139" i="5" s="1"/>
  <c r="BV139" i="5"/>
  <c r="BU139" i="5"/>
  <c r="BT139" i="5"/>
  <c r="CD139" i="5" s="1"/>
  <c r="BS139" i="5"/>
  <c r="BX139" i="5" s="1"/>
  <c r="BN139" i="5"/>
  <c r="BI139" i="5"/>
  <c r="BH139" i="5"/>
  <c r="BG139" i="5"/>
  <c r="BF139" i="5"/>
  <c r="BE139" i="5"/>
  <c r="BD139" i="5"/>
  <c r="BC139" i="5"/>
  <c r="BB139" i="5"/>
  <c r="BA139" i="5"/>
  <c r="AZ139" i="5"/>
  <c r="AY139" i="5"/>
  <c r="AX139" i="5"/>
  <c r="AW139" i="5"/>
  <c r="AV139" i="5"/>
  <c r="AU139" i="5"/>
  <c r="AT139" i="5"/>
  <c r="AS139" i="5"/>
  <c r="AR139" i="5"/>
  <c r="AA139" i="5"/>
  <c r="Y139" i="5" s="1"/>
  <c r="Z139" i="5"/>
  <c r="C139" i="5" a="1"/>
  <c r="C139" i="5" s="1"/>
  <c r="B139" i="5"/>
  <c r="A139" i="5"/>
  <c r="CD138" i="5"/>
  <c r="CC138" i="5"/>
  <c r="CB138" i="5"/>
  <c r="BX138" i="5"/>
  <c r="BW138" i="5"/>
  <c r="BV138" i="5"/>
  <c r="BU138" i="5"/>
  <c r="BT138" i="5"/>
  <c r="BS138" i="5"/>
  <c r="BN138" i="5"/>
  <c r="BH138" i="5"/>
  <c r="BG138" i="5"/>
  <c r="BF138" i="5"/>
  <c r="BE138" i="5"/>
  <c r="BD138" i="5"/>
  <c r="BC138" i="5"/>
  <c r="BB138" i="5"/>
  <c r="BA138" i="5"/>
  <c r="AZ138" i="5"/>
  <c r="AY138" i="5"/>
  <c r="AX138" i="5"/>
  <c r="AW138" i="5"/>
  <c r="AV138" i="5"/>
  <c r="AU138" i="5"/>
  <c r="AT138" i="5"/>
  <c r="AS138" i="5"/>
  <c r="AR138" i="5"/>
  <c r="AA138" i="5"/>
  <c r="Z138" i="5"/>
  <c r="Y138" i="5" s="1"/>
  <c r="C138" i="5" a="1"/>
  <c r="C138" i="5" s="1"/>
  <c r="B138" i="5"/>
  <c r="A138" i="5"/>
  <c r="CC137" i="5"/>
  <c r="CB137" i="5"/>
  <c r="BW137" i="5"/>
  <c r="BV137" i="5"/>
  <c r="BU137" i="5"/>
  <c r="BT137" i="5"/>
  <c r="CD137" i="5" s="1"/>
  <c r="BS137" i="5"/>
  <c r="BN137" i="5"/>
  <c r="BI137" i="5"/>
  <c r="BH137" i="5"/>
  <c r="BG137" i="5"/>
  <c r="BF137" i="5"/>
  <c r="BE137" i="5"/>
  <c r="BD137" i="5"/>
  <c r="BC137" i="5"/>
  <c r="BB137" i="5"/>
  <c r="BA137" i="5"/>
  <c r="AZ137" i="5"/>
  <c r="AY137" i="5"/>
  <c r="AX137" i="5"/>
  <c r="AW137" i="5"/>
  <c r="AV137" i="5"/>
  <c r="AU137" i="5"/>
  <c r="AT137" i="5"/>
  <c r="AS137" i="5"/>
  <c r="AR137" i="5"/>
  <c r="AA137" i="5"/>
  <c r="Z137" i="5"/>
  <c r="Y137" i="5" s="1"/>
  <c r="B137" i="5"/>
  <c r="C137" i="5" s="1" a="1"/>
  <c r="C137" i="5" s="1"/>
  <c r="A137" i="5"/>
  <c r="CD136" i="5"/>
  <c r="CC136" i="5"/>
  <c r="BW136" i="5"/>
  <c r="CB136" i="5" s="1"/>
  <c r="BV136" i="5"/>
  <c r="BU136" i="5"/>
  <c r="BT136" i="5"/>
  <c r="BS136" i="5"/>
  <c r="BN136" i="5"/>
  <c r="BH136" i="5"/>
  <c r="BG136" i="5"/>
  <c r="BF136" i="5"/>
  <c r="BE136" i="5"/>
  <c r="BD136" i="5"/>
  <c r="BC136" i="5"/>
  <c r="BB136" i="5"/>
  <c r="BA136" i="5"/>
  <c r="AZ136" i="5"/>
  <c r="AY136" i="5"/>
  <c r="AX136" i="5"/>
  <c r="AW136" i="5"/>
  <c r="AV136" i="5"/>
  <c r="AU136" i="5"/>
  <c r="AT136" i="5"/>
  <c r="AS136" i="5"/>
  <c r="AR136" i="5"/>
  <c r="AA136" i="5"/>
  <c r="Y136" i="5" s="1"/>
  <c r="Z136" i="5"/>
  <c r="C136" i="5" a="1"/>
  <c r="C136" i="5" s="1"/>
  <c r="B136" i="5"/>
  <c r="A136" i="5"/>
  <c r="CD135" i="5"/>
  <c r="CC135" i="5"/>
  <c r="CB135" i="5"/>
  <c r="BX135" i="5"/>
  <c r="BW135" i="5"/>
  <c r="BV135" i="5"/>
  <c r="BU135" i="5"/>
  <c r="BT135" i="5"/>
  <c r="BS135" i="5"/>
  <c r="BN135" i="5"/>
  <c r="BI135" i="5"/>
  <c r="BH135" i="5"/>
  <c r="BG135" i="5"/>
  <c r="BF135" i="5"/>
  <c r="BE135" i="5"/>
  <c r="BD135" i="5"/>
  <c r="BC135" i="5"/>
  <c r="BB135" i="5"/>
  <c r="BA135" i="5"/>
  <c r="AZ135" i="5"/>
  <c r="AY135" i="5"/>
  <c r="AX135" i="5"/>
  <c r="AW135" i="5"/>
  <c r="AV135" i="5"/>
  <c r="AU135" i="5"/>
  <c r="AT135" i="5"/>
  <c r="AS135" i="5"/>
  <c r="AR135" i="5"/>
  <c r="AA135" i="5"/>
  <c r="Y135" i="5" s="1"/>
  <c r="Z135" i="5"/>
  <c r="C135" i="5" a="1"/>
  <c r="C135" i="5"/>
  <c r="B135" i="5"/>
  <c r="A135" i="5"/>
  <c r="CC134" i="5"/>
  <c r="CB134" i="5"/>
  <c r="BX134" i="5"/>
  <c r="BW134" i="5"/>
  <c r="BV134" i="5"/>
  <c r="BU134" i="5"/>
  <c r="BT134" i="5"/>
  <c r="CD134" i="5" s="1"/>
  <c r="BS134" i="5"/>
  <c r="BN134" i="5"/>
  <c r="BH134" i="5"/>
  <c r="BG134" i="5"/>
  <c r="BF134" i="5"/>
  <c r="BE134" i="5"/>
  <c r="BD134" i="5"/>
  <c r="BC134" i="5"/>
  <c r="BB134" i="5"/>
  <c r="BA134" i="5"/>
  <c r="AZ134" i="5"/>
  <c r="AY134" i="5"/>
  <c r="AX134" i="5"/>
  <c r="AW134" i="5"/>
  <c r="AV134" i="5"/>
  <c r="AU134" i="5"/>
  <c r="AT134" i="5"/>
  <c r="AS134" i="5"/>
  <c r="AR134" i="5"/>
  <c r="AA134" i="5"/>
  <c r="Z134" i="5"/>
  <c r="BI134" i="5" s="1"/>
  <c r="Y134" i="5"/>
  <c r="B134" i="5"/>
  <c r="C134" i="5" s="1" a="1"/>
  <c r="C134" i="5" s="1"/>
  <c r="A134" i="5"/>
  <c r="CD133" i="5"/>
  <c r="CC133" i="5"/>
  <c r="CB133" i="5"/>
  <c r="BW133" i="5"/>
  <c r="BV133" i="5"/>
  <c r="BU133" i="5"/>
  <c r="BT133" i="5"/>
  <c r="BS133" i="5"/>
  <c r="BX133" i="5" s="1"/>
  <c r="BN133" i="5"/>
  <c r="BH133" i="5"/>
  <c r="BG133" i="5"/>
  <c r="BF133" i="5"/>
  <c r="BE133" i="5"/>
  <c r="BD133" i="5"/>
  <c r="BC133" i="5"/>
  <c r="BB133" i="5"/>
  <c r="BA133" i="5"/>
  <c r="AZ133" i="5"/>
  <c r="AY133" i="5"/>
  <c r="AX133" i="5"/>
  <c r="AW133" i="5"/>
  <c r="AV133" i="5"/>
  <c r="AU133" i="5"/>
  <c r="AT133" i="5"/>
  <c r="AS133" i="5"/>
  <c r="AR133" i="5"/>
  <c r="BI133" i="5" s="1"/>
  <c r="AA133" i="5"/>
  <c r="Y133" i="5" s="1"/>
  <c r="Z133" i="5"/>
  <c r="B133" i="5"/>
  <c r="C133" i="5" s="1" a="1"/>
  <c r="C133" i="5" s="1"/>
  <c r="A133" i="5"/>
  <c r="CD132" i="5"/>
  <c r="CC132" i="5"/>
  <c r="CB132" i="5"/>
  <c r="BX132" i="5"/>
  <c r="BW132" i="5"/>
  <c r="BV132" i="5"/>
  <c r="BU132" i="5"/>
  <c r="BT132" i="5"/>
  <c r="BS132" i="5"/>
  <c r="BN132" i="5"/>
  <c r="BH132" i="5"/>
  <c r="BG132" i="5"/>
  <c r="BF132" i="5"/>
  <c r="BE132" i="5"/>
  <c r="BD132" i="5"/>
  <c r="BC132" i="5"/>
  <c r="BB132" i="5"/>
  <c r="BA132" i="5"/>
  <c r="AZ132" i="5"/>
  <c r="AY132" i="5"/>
  <c r="AX132" i="5"/>
  <c r="AW132" i="5"/>
  <c r="AV132" i="5"/>
  <c r="AU132" i="5"/>
  <c r="AT132" i="5"/>
  <c r="AS132" i="5"/>
  <c r="AR132" i="5"/>
  <c r="BI132" i="5" s="1"/>
  <c r="AA132" i="5"/>
  <c r="Y132" i="5" s="1"/>
  <c r="Z132" i="5"/>
  <c r="B132" i="5"/>
  <c r="C132" i="5" s="1" a="1"/>
  <c r="C132" i="5" s="1"/>
  <c r="A132" i="5"/>
  <c r="CC131" i="5"/>
  <c r="CB131" i="5"/>
  <c r="BW131" i="5"/>
  <c r="BV131" i="5"/>
  <c r="BU131" i="5"/>
  <c r="BT131" i="5"/>
  <c r="CD131" i="5" s="1"/>
  <c r="BS131" i="5"/>
  <c r="BX131" i="5" s="1"/>
  <c r="BN131" i="5"/>
  <c r="BI131" i="5"/>
  <c r="BH131" i="5"/>
  <c r="BG131" i="5"/>
  <c r="BF131" i="5"/>
  <c r="BE131" i="5"/>
  <c r="BD131" i="5"/>
  <c r="BC131" i="5"/>
  <c r="BB131" i="5"/>
  <c r="BA131" i="5"/>
  <c r="AZ131" i="5"/>
  <c r="AY131" i="5"/>
  <c r="AX131" i="5"/>
  <c r="AW131" i="5"/>
  <c r="AV131" i="5"/>
  <c r="AU131" i="5"/>
  <c r="AT131" i="5"/>
  <c r="AS131" i="5"/>
  <c r="AR131" i="5"/>
  <c r="AA131" i="5"/>
  <c r="Z131" i="5"/>
  <c r="Y131" i="5"/>
  <c r="B131" i="5"/>
  <c r="C131" i="5" s="1" a="1"/>
  <c r="C131" i="5" s="1"/>
  <c r="A131" i="5"/>
  <c r="CD130" i="5"/>
  <c r="CC130" i="5"/>
  <c r="CB130" i="5"/>
  <c r="BX130" i="5"/>
  <c r="BW130" i="5"/>
  <c r="BV130" i="5"/>
  <c r="BU130" i="5"/>
  <c r="BT130" i="5"/>
  <c r="BS130" i="5"/>
  <c r="BN130" i="5"/>
  <c r="BH130" i="5"/>
  <c r="BG130" i="5"/>
  <c r="BF130" i="5"/>
  <c r="BE130" i="5"/>
  <c r="BD130" i="5"/>
  <c r="BC130" i="5"/>
  <c r="BB130" i="5"/>
  <c r="BA130" i="5"/>
  <c r="AZ130" i="5"/>
  <c r="AY130" i="5"/>
  <c r="AX130" i="5"/>
  <c r="AW130" i="5"/>
  <c r="AV130" i="5"/>
  <c r="AU130" i="5"/>
  <c r="AT130" i="5"/>
  <c r="AS130" i="5"/>
  <c r="AR130" i="5"/>
  <c r="BI130" i="5" s="1"/>
  <c r="AA130" i="5"/>
  <c r="Z130" i="5"/>
  <c r="B130" i="5"/>
  <c r="C130" i="5" s="1" a="1"/>
  <c r="C130" i="5" s="1"/>
  <c r="A130" i="5"/>
  <c r="CD129" i="5"/>
  <c r="CC129" i="5"/>
  <c r="BW129" i="5"/>
  <c r="CB129" i="5" s="1"/>
  <c r="BV129" i="5"/>
  <c r="BU129" i="5"/>
  <c r="BT129" i="5"/>
  <c r="BS129" i="5"/>
  <c r="BX129" i="5" s="1"/>
  <c r="BN129" i="5"/>
  <c r="BH129" i="5"/>
  <c r="BG129" i="5"/>
  <c r="BF129" i="5"/>
  <c r="BE129" i="5"/>
  <c r="BD129" i="5"/>
  <c r="BC129" i="5"/>
  <c r="BB129" i="5"/>
  <c r="BA129" i="5"/>
  <c r="AZ129" i="5"/>
  <c r="AY129" i="5"/>
  <c r="AX129" i="5"/>
  <c r="AW129" i="5"/>
  <c r="AV129" i="5"/>
  <c r="AU129" i="5"/>
  <c r="AT129" i="5"/>
  <c r="AS129" i="5"/>
  <c r="AR129" i="5"/>
  <c r="AA129" i="5"/>
  <c r="Z129" i="5"/>
  <c r="Y129" i="5" s="1"/>
  <c r="B129" i="5"/>
  <c r="C129" i="5" s="1" a="1"/>
  <c r="C129" i="5" s="1"/>
  <c r="A129" i="5"/>
  <c r="CC128" i="5"/>
  <c r="BW128" i="5"/>
  <c r="CB128" i="5" s="1"/>
  <c r="BV128" i="5"/>
  <c r="BU128" i="5"/>
  <c r="BT128" i="5"/>
  <c r="CD128" i="5" s="1"/>
  <c r="BS128" i="5"/>
  <c r="BX128" i="5" s="1"/>
  <c r="BN128" i="5"/>
  <c r="BH128" i="5"/>
  <c r="BG128" i="5"/>
  <c r="BF128" i="5"/>
  <c r="BE128" i="5"/>
  <c r="BD128" i="5"/>
  <c r="BC128" i="5"/>
  <c r="BB128" i="5"/>
  <c r="BA128" i="5"/>
  <c r="AZ128" i="5"/>
  <c r="AY128" i="5"/>
  <c r="AX128" i="5"/>
  <c r="AW128" i="5"/>
  <c r="AV128" i="5"/>
  <c r="AU128" i="5"/>
  <c r="AT128" i="5"/>
  <c r="AS128" i="5"/>
  <c r="AR128" i="5"/>
  <c r="BI128" i="5" s="1"/>
  <c r="AA128" i="5"/>
  <c r="Z128" i="5"/>
  <c r="Y128" i="5"/>
  <c r="B128" i="5"/>
  <c r="C128" i="5" s="1" a="1"/>
  <c r="C128" i="5" s="1"/>
  <c r="A128" i="5"/>
  <c r="CD127" i="5"/>
  <c r="CC127" i="5"/>
  <c r="BX127" i="5"/>
  <c r="BW127" i="5"/>
  <c r="CB127" i="5" s="1"/>
  <c r="BV127" i="5"/>
  <c r="BU127" i="5"/>
  <c r="BT127" i="5"/>
  <c r="BS127" i="5"/>
  <c r="BN127" i="5"/>
  <c r="BH127" i="5"/>
  <c r="BG127" i="5"/>
  <c r="BF127" i="5"/>
  <c r="BE127" i="5"/>
  <c r="BD127" i="5"/>
  <c r="BC127" i="5"/>
  <c r="BB127" i="5"/>
  <c r="BA127" i="5"/>
  <c r="AZ127" i="5"/>
  <c r="AY127" i="5"/>
  <c r="AX127" i="5"/>
  <c r="AW127" i="5"/>
  <c r="AV127" i="5"/>
  <c r="AU127" i="5"/>
  <c r="AT127" i="5"/>
  <c r="AS127" i="5"/>
  <c r="AR127" i="5"/>
  <c r="BI127" i="5" s="1"/>
  <c r="AA127" i="5"/>
  <c r="Y127" i="5" s="1"/>
  <c r="Z127" i="5"/>
  <c r="B127" i="5"/>
  <c r="C127" i="5" s="1" a="1"/>
  <c r="C127" i="5" s="1"/>
  <c r="A127" i="5"/>
  <c r="CD126" i="5"/>
  <c r="CC126" i="5"/>
  <c r="BX126" i="5"/>
  <c r="BW126" i="5"/>
  <c r="CB126" i="5" s="1"/>
  <c r="BV126" i="5"/>
  <c r="BU126" i="5"/>
  <c r="BT126" i="5"/>
  <c r="BS126" i="5"/>
  <c r="BN126" i="5"/>
  <c r="BH126" i="5"/>
  <c r="BG126" i="5"/>
  <c r="BF126" i="5"/>
  <c r="BE126" i="5"/>
  <c r="BD126" i="5"/>
  <c r="BC126" i="5"/>
  <c r="BB126" i="5"/>
  <c r="BA126" i="5"/>
  <c r="AZ126" i="5"/>
  <c r="AY126" i="5"/>
  <c r="AX126" i="5"/>
  <c r="AW126" i="5"/>
  <c r="AV126" i="5"/>
  <c r="AU126" i="5"/>
  <c r="AT126" i="5"/>
  <c r="AS126" i="5"/>
  <c r="AR126" i="5"/>
  <c r="AA126" i="5"/>
  <c r="Z126" i="5"/>
  <c r="Y126" i="5" s="1"/>
  <c r="B126" i="5"/>
  <c r="C126" i="5" s="1" a="1"/>
  <c r="C126" i="5" s="1"/>
  <c r="A126" i="5"/>
  <c r="CC125" i="5"/>
  <c r="BW125" i="5"/>
  <c r="CB125" i="5" s="1"/>
  <c r="BV125" i="5"/>
  <c r="BU125" i="5"/>
  <c r="BT125" i="5"/>
  <c r="CD125" i="5" s="1"/>
  <c r="BS125" i="5"/>
  <c r="BN125" i="5"/>
  <c r="BH125" i="5"/>
  <c r="BG125" i="5"/>
  <c r="BF125" i="5"/>
  <c r="BE125" i="5"/>
  <c r="BD125" i="5"/>
  <c r="BC125" i="5"/>
  <c r="BB125" i="5"/>
  <c r="BA125" i="5"/>
  <c r="AZ125" i="5"/>
  <c r="AY125" i="5"/>
  <c r="AX125" i="5"/>
  <c r="AW125" i="5"/>
  <c r="AV125" i="5"/>
  <c r="AU125" i="5"/>
  <c r="AT125" i="5"/>
  <c r="AS125" i="5"/>
  <c r="AR125" i="5"/>
  <c r="BI125" i="5" s="1"/>
  <c r="AA125" i="5"/>
  <c r="Y125" i="5" s="1"/>
  <c r="Z125" i="5"/>
  <c r="B125" i="5"/>
  <c r="C125" i="5" s="1" a="1"/>
  <c r="C125" i="5" s="1"/>
  <c r="A125" i="5"/>
  <c r="CD124" i="5"/>
  <c r="CC124" i="5"/>
  <c r="CB124" i="5"/>
  <c r="BW124" i="5"/>
  <c r="BV124" i="5"/>
  <c r="BU124" i="5"/>
  <c r="BT124" i="5"/>
  <c r="BS124" i="5"/>
  <c r="BN124" i="5"/>
  <c r="BX124" i="5" s="1"/>
  <c r="BH124" i="5"/>
  <c r="BG124" i="5"/>
  <c r="BF124" i="5"/>
  <c r="BE124" i="5"/>
  <c r="BD124" i="5"/>
  <c r="BC124" i="5"/>
  <c r="BB124" i="5"/>
  <c r="BA124" i="5"/>
  <c r="AZ124" i="5"/>
  <c r="AY124" i="5"/>
  <c r="AX124" i="5"/>
  <c r="AW124" i="5"/>
  <c r="AV124" i="5"/>
  <c r="AU124" i="5"/>
  <c r="AT124" i="5"/>
  <c r="AS124" i="5"/>
  <c r="AR124" i="5"/>
  <c r="AA124" i="5"/>
  <c r="Y124" i="5" s="1"/>
  <c r="Z124" i="5"/>
  <c r="C124" i="5" a="1"/>
  <c r="C124" i="5" s="1"/>
  <c r="B124" i="5"/>
  <c r="A124" i="5"/>
  <c r="CD123" i="5"/>
  <c r="CC123" i="5"/>
  <c r="BX123" i="5"/>
  <c r="BW123" i="5"/>
  <c r="CB123" i="5" s="1"/>
  <c r="BV123" i="5"/>
  <c r="BU123" i="5"/>
  <c r="BT123" i="5"/>
  <c r="BS123" i="5"/>
  <c r="BN123" i="5"/>
  <c r="BI123" i="5"/>
  <c r="BH123" i="5"/>
  <c r="BG123" i="5"/>
  <c r="BF123" i="5"/>
  <c r="BE123" i="5"/>
  <c r="BD123" i="5"/>
  <c r="BC123" i="5"/>
  <c r="BB123" i="5"/>
  <c r="BA123" i="5"/>
  <c r="AZ123" i="5"/>
  <c r="AY123" i="5"/>
  <c r="AX123" i="5"/>
  <c r="AW123" i="5"/>
  <c r="AV123" i="5"/>
  <c r="AU123" i="5"/>
  <c r="AT123" i="5"/>
  <c r="AS123" i="5"/>
  <c r="AR123" i="5"/>
  <c r="AA123" i="5"/>
  <c r="Y123" i="5" s="1"/>
  <c r="Z123" i="5"/>
  <c r="B123" i="5"/>
  <c r="C123" i="5" s="1" a="1"/>
  <c r="C123" i="5" s="1"/>
  <c r="A123" i="5"/>
  <c r="CC122" i="5"/>
  <c r="BW122" i="5"/>
  <c r="CB122" i="5" s="1"/>
  <c r="BV122" i="5"/>
  <c r="BU122" i="5"/>
  <c r="BT122" i="5"/>
  <c r="CD122" i="5" s="1"/>
  <c r="BS122" i="5"/>
  <c r="BX122" i="5" s="1"/>
  <c r="BN122" i="5"/>
  <c r="BH122" i="5"/>
  <c r="BG122" i="5"/>
  <c r="BF122" i="5"/>
  <c r="BE122" i="5"/>
  <c r="BD122" i="5"/>
  <c r="BC122" i="5"/>
  <c r="BB122" i="5"/>
  <c r="BA122" i="5"/>
  <c r="AZ122" i="5"/>
  <c r="AY122" i="5"/>
  <c r="AX122" i="5"/>
  <c r="AW122" i="5"/>
  <c r="AV122" i="5"/>
  <c r="AU122" i="5"/>
  <c r="AT122" i="5"/>
  <c r="AS122" i="5"/>
  <c r="AR122" i="5"/>
  <c r="BI122" i="5" s="1"/>
  <c r="AA122" i="5"/>
  <c r="Y122" i="5" s="1"/>
  <c r="Z122" i="5"/>
  <c r="B122" i="5"/>
  <c r="C122" i="5" s="1" a="1"/>
  <c r="C122" i="5" s="1"/>
  <c r="A122" i="5"/>
  <c r="CD121" i="5"/>
  <c r="CC121" i="5"/>
  <c r="BX121" i="5"/>
  <c r="BW121" i="5"/>
  <c r="CB121" i="5" s="1"/>
  <c r="BV121" i="5"/>
  <c r="BU121" i="5"/>
  <c r="BT121" i="5"/>
  <c r="BS121" i="5"/>
  <c r="BN121" i="5"/>
  <c r="BH121" i="5"/>
  <c r="BG121" i="5"/>
  <c r="BF121" i="5"/>
  <c r="BE121" i="5"/>
  <c r="BD121" i="5"/>
  <c r="BC121" i="5"/>
  <c r="BB121" i="5"/>
  <c r="BA121" i="5"/>
  <c r="AZ121" i="5"/>
  <c r="AY121" i="5"/>
  <c r="AX121" i="5"/>
  <c r="AW121" i="5"/>
  <c r="AV121" i="5"/>
  <c r="AU121" i="5"/>
  <c r="AT121" i="5"/>
  <c r="AS121" i="5"/>
  <c r="AR121" i="5"/>
  <c r="BI121" i="5" s="1"/>
  <c r="AA121" i="5"/>
  <c r="Z121" i="5"/>
  <c r="C121" i="5" a="1"/>
  <c r="C121" i="5" s="1"/>
  <c r="B121" i="5"/>
  <c r="A121" i="5"/>
  <c r="CC120" i="5"/>
  <c r="BX120" i="5"/>
  <c r="BW120" i="5"/>
  <c r="CB120" i="5" s="1"/>
  <c r="BV120" i="5"/>
  <c r="BU120" i="5"/>
  <c r="BT120" i="5"/>
  <c r="CD120" i="5" s="1"/>
  <c r="BS120" i="5"/>
  <c r="BN120" i="5"/>
  <c r="BI120" i="5"/>
  <c r="BH120" i="5"/>
  <c r="BG120" i="5"/>
  <c r="BF120" i="5"/>
  <c r="BE120" i="5"/>
  <c r="BD120" i="5"/>
  <c r="BC120" i="5"/>
  <c r="BB120" i="5"/>
  <c r="BA120" i="5"/>
  <c r="AZ120" i="5"/>
  <c r="AY120" i="5"/>
  <c r="AX120" i="5"/>
  <c r="AW120" i="5"/>
  <c r="AV120" i="5"/>
  <c r="AU120" i="5"/>
  <c r="AT120" i="5"/>
  <c r="AS120" i="5"/>
  <c r="AR120" i="5"/>
  <c r="AA120" i="5"/>
  <c r="Z120" i="5"/>
  <c r="Y120" i="5" s="1"/>
  <c r="B120" i="5"/>
  <c r="C120" i="5" s="1" a="1"/>
  <c r="C120" i="5" s="1"/>
  <c r="A120" i="5"/>
  <c r="CC119" i="5"/>
  <c r="CB119" i="5"/>
  <c r="BW119" i="5"/>
  <c r="BV119" i="5"/>
  <c r="BU119" i="5"/>
  <c r="BT119" i="5"/>
  <c r="CD119" i="5" s="1"/>
  <c r="BS119" i="5"/>
  <c r="BN119" i="5"/>
  <c r="BH119" i="5"/>
  <c r="BG119" i="5"/>
  <c r="BF119" i="5"/>
  <c r="BE119" i="5"/>
  <c r="BD119" i="5"/>
  <c r="BC119" i="5"/>
  <c r="BB119" i="5"/>
  <c r="BA119" i="5"/>
  <c r="AZ119" i="5"/>
  <c r="AY119" i="5"/>
  <c r="AX119" i="5"/>
  <c r="AW119" i="5"/>
  <c r="AV119" i="5"/>
  <c r="AU119" i="5"/>
  <c r="AT119" i="5"/>
  <c r="AS119" i="5"/>
  <c r="AR119" i="5"/>
  <c r="BI119" i="5" s="1"/>
  <c r="AA119" i="5"/>
  <c r="Z119" i="5"/>
  <c r="Y119" i="5"/>
  <c r="C119" i="5"/>
  <c r="B119" i="5"/>
  <c r="C119" i="5" s="1" a="1"/>
  <c r="A119" i="5"/>
  <c r="CC118" i="5"/>
  <c r="BX118" i="5"/>
  <c r="BW118" i="5"/>
  <c r="CB118" i="5" s="1"/>
  <c r="BV118" i="5"/>
  <c r="BU118" i="5"/>
  <c r="BT118" i="5"/>
  <c r="CD118" i="5" s="1"/>
  <c r="BS118" i="5"/>
  <c r="BN118" i="5"/>
  <c r="BH118" i="5"/>
  <c r="BG118" i="5"/>
  <c r="BF118" i="5"/>
  <c r="BE118" i="5"/>
  <c r="BD118" i="5"/>
  <c r="BC118" i="5"/>
  <c r="BB118" i="5"/>
  <c r="BA118" i="5"/>
  <c r="AZ118" i="5"/>
  <c r="AY118" i="5"/>
  <c r="AX118" i="5"/>
  <c r="AW118" i="5"/>
  <c r="AV118" i="5"/>
  <c r="AU118" i="5"/>
  <c r="AT118" i="5"/>
  <c r="AS118" i="5"/>
  <c r="AR118" i="5"/>
  <c r="BI118" i="5" s="1"/>
  <c r="AA118" i="5"/>
  <c r="Y118" i="5" s="1"/>
  <c r="Z118" i="5"/>
  <c r="C118" i="5" a="1"/>
  <c r="C118" i="5" s="1"/>
  <c r="B118" i="5"/>
  <c r="A118" i="5"/>
  <c r="CC117" i="5"/>
  <c r="BW117" i="5"/>
  <c r="CB117" i="5" s="1"/>
  <c r="BV117" i="5"/>
  <c r="BU117" i="5"/>
  <c r="BT117" i="5"/>
  <c r="CD117" i="5" s="1"/>
  <c r="BS117" i="5"/>
  <c r="BX117" i="5" s="1"/>
  <c r="BN117" i="5"/>
  <c r="BI117" i="5"/>
  <c r="BH117" i="5"/>
  <c r="BG117" i="5"/>
  <c r="BF117" i="5"/>
  <c r="BE117" i="5"/>
  <c r="BD117" i="5"/>
  <c r="BC117" i="5"/>
  <c r="BB117" i="5"/>
  <c r="BA117" i="5"/>
  <c r="AZ117" i="5"/>
  <c r="AY117" i="5"/>
  <c r="AX117" i="5"/>
  <c r="AW117" i="5"/>
  <c r="AV117" i="5"/>
  <c r="AU117" i="5"/>
  <c r="AT117" i="5"/>
  <c r="AS117" i="5"/>
  <c r="AR117" i="5"/>
  <c r="AA117" i="5"/>
  <c r="Z117" i="5"/>
  <c r="Y117" i="5" s="1"/>
  <c r="C117" i="5"/>
  <c r="B117" i="5"/>
  <c r="C117" i="5" s="1" a="1"/>
  <c r="A117" i="5"/>
  <c r="CC116" i="5"/>
  <c r="CB116" i="5"/>
  <c r="BX116" i="5"/>
  <c r="BW116" i="5"/>
  <c r="BV116" i="5"/>
  <c r="BU116" i="5"/>
  <c r="BT116" i="5"/>
  <c r="CD116" i="5" s="1"/>
  <c r="BS116" i="5"/>
  <c r="BN116" i="5"/>
  <c r="BH116" i="5"/>
  <c r="BG116" i="5"/>
  <c r="BF116" i="5"/>
  <c r="BE116" i="5"/>
  <c r="BD116" i="5"/>
  <c r="BC116" i="5"/>
  <c r="BB116" i="5"/>
  <c r="BA116" i="5"/>
  <c r="AZ116" i="5"/>
  <c r="AY116" i="5"/>
  <c r="AX116" i="5"/>
  <c r="AW116" i="5"/>
  <c r="AV116" i="5"/>
  <c r="AU116" i="5"/>
  <c r="AT116" i="5"/>
  <c r="AS116" i="5"/>
  <c r="AR116" i="5"/>
  <c r="BI116" i="5" s="1"/>
  <c r="AA116" i="5"/>
  <c r="Z116" i="5"/>
  <c r="Y116" i="5" s="1"/>
  <c r="B116" i="5"/>
  <c r="C116" i="5" s="1" a="1"/>
  <c r="C116" i="5" s="1"/>
  <c r="A116" i="5"/>
  <c r="CC115" i="5"/>
  <c r="BW115" i="5"/>
  <c r="CB115" i="5" s="1"/>
  <c r="BV115" i="5"/>
  <c r="BU115" i="5"/>
  <c r="BT115" i="5"/>
  <c r="CD115" i="5" s="1"/>
  <c r="BS115" i="5"/>
  <c r="BX115" i="5" s="1"/>
  <c r="BN115" i="5"/>
  <c r="BH115" i="5"/>
  <c r="BG115" i="5"/>
  <c r="BF115" i="5"/>
  <c r="BE115" i="5"/>
  <c r="BD115" i="5"/>
  <c r="BC115" i="5"/>
  <c r="BB115" i="5"/>
  <c r="BA115" i="5"/>
  <c r="AZ115" i="5"/>
  <c r="AY115" i="5"/>
  <c r="AX115" i="5"/>
  <c r="AW115" i="5"/>
  <c r="AV115" i="5"/>
  <c r="AU115" i="5"/>
  <c r="AT115" i="5"/>
  <c r="AS115" i="5"/>
  <c r="AR115" i="5"/>
  <c r="BI115" i="5" s="1"/>
  <c r="AA115" i="5"/>
  <c r="Z115" i="5"/>
  <c r="Y115" i="5"/>
  <c r="B115" i="5"/>
  <c r="C115" i="5" s="1" a="1"/>
  <c r="C115" i="5" s="1"/>
  <c r="A115" i="5"/>
  <c r="CC114" i="5"/>
  <c r="CB114" i="5"/>
  <c r="BX114" i="5"/>
  <c r="BW114" i="5"/>
  <c r="BV114" i="5"/>
  <c r="BU114" i="5"/>
  <c r="BT114" i="5"/>
  <c r="CD114" i="5" s="1"/>
  <c r="BS114" i="5"/>
  <c r="BN114" i="5"/>
  <c r="BH114" i="5"/>
  <c r="BG114" i="5"/>
  <c r="BF114" i="5"/>
  <c r="BE114" i="5"/>
  <c r="BD114" i="5"/>
  <c r="BC114" i="5"/>
  <c r="BB114" i="5"/>
  <c r="BA114" i="5"/>
  <c r="AZ114" i="5"/>
  <c r="AY114" i="5"/>
  <c r="AX114" i="5"/>
  <c r="AW114" i="5"/>
  <c r="AV114" i="5"/>
  <c r="AU114" i="5"/>
  <c r="AT114" i="5"/>
  <c r="AS114" i="5"/>
  <c r="AR114" i="5"/>
  <c r="BI114" i="5" s="1"/>
  <c r="AA114" i="5"/>
  <c r="Z114" i="5"/>
  <c r="Y114" i="5"/>
  <c r="C114" i="5" a="1"/>
  <c r="C114" i="5" s="1"/>
  <c r="B114" i="5"/>
  <c r="A114" i="5"/>
  <c r="CC113" i="5"/>
  <c r="BW113" i="5"/>
  <c r="CB113" i="5" s="1"/>
  <c r="BV113" i="5"/>
  <c r="BU113" i="5"/>
  <c r="BT113" i="5"/>
  <c r="CD113" i="5" s="1"/>
  <c r="BS113" i="5"/>
  <c r="BX113" i="5" s="1"/>
  <c r="BN113" i="5"/>
  <c r="BH113" i="5"/>
  <c r="BG113" i="5"/>
  <c r="BF113" i="5"/>
  <c r="BE113" i="5"/>
  <c r="BD113" i="5"/>
  <c r="BC113" i="5"/>
  <c r="BB113" i="5"/>
  <c r="BA113" i="5"/>
  <c r="AZ113" i="5"/>
  <c r="AY113" i="5"/>
  <c r="AX113" i="5"/>
  <c r="AW113" i="5"/>
  <c r="AV113" i="5"/>
  <c r="AU113" i="5"/>
  <c r="AT113" i="5"/>
  <c r="AS113" i="5"/>
  <c r="AR113" i="5"/>
  <c r="BI113" i="5" s="1"/>
  <c r="AA113" i="5"/>
  <c r="Y113" i="5" s="1"/>
  <c r="Z113" i="5"/>
  <c r="B113" i="5"/>
  <c r="C113" i="5" s="1" a="1"/>
  <c r="C113" i="5" s="1"/>
  <c r="A113" i="5"/>
  <c r="CD112" i="5"/>
  <c r="CC112" i="5"/>
  <c r="CB112" i="5"/>
  <c r="BX112" i="5"/>
  <c r="BW112" i="5"/>
  <c r="BV112" i="5"/>
  <c r="BU112" i="5"/>
  <c r="BT112" i="5"/>
  <c r="BS112" i="5"/>
  <c r="BN112" i="5"/>
  <c r="BH112" i="5"/>
  <c r="BG112" i="5"/>
  <c r="BF112" i="5"/>
  <c r="BE112" i="5"/>
  <c r="BD112" i="5"/>
  <c r="BC112" i="5"/>
  <c r="BB112" i="5"/>
  <c r="BA112" i="5"/>
  <c r="AZ112" i="5"/>
  <c r="AY112" i="5"/>
  <c r="AX112" i="5"/>
  <c r="AW112" i="5"/>
  <c r="AV112" i="5"/>
  <c r="AU112" i="5"/>
  <c r="AT112" i="5"/>
  <c r="AS112" i="5"/>
  <c r="AR112" i="5"/>
  <c r="AA112" i="5"/>
  <c r="Z112" i="5"/>
  <c r="Y112" i="5"/>
  <c r="B112" i="5"/>
  <c r="C112" i="5" s="1" a="1"/>
  <c r="C112" i="5" s="1"/>
  <c r="A112" i="5"/>
  <c r="CC111" i="5"/>
  <c r="BW111" i="5"/>
  <c r="CB111" i="5" s="1"/>
  <c r="BV111" i="5"/>
  <c r="BU111" i="5"/>
  <c r="BT111" i="5"/>
  <c r="CD111" i="5" s="1"/>
  <c r="BS111" i="5"/>
  <c r="BX111" i="5" s="1"/>
  <c r="BN111" i="5"/>
  <c r="BI111" i="5"/>
  <c r="BH111" i="5"/>
  <c r="BG111" i="5"/>
  <c r="BF111" i="5"/>
  <c r="BE111" i="5"/>
  <c r="BD111" i="5"/>
  <c r="BC111" i="5"/>
  <c r="BB111" i="5"/>
  <c r="BA111" i="5"/>
  <c r="AZ111" i="5"/>
  <c r="AY111" i="5"/>
  <c r="AX111" i="5"/>
  <c r="AW111" i="5"/>
  <c r="AV111" i="5"/>
  <c r="AU111" i="5"/>
  <c r="AT111" i="5"/>
  <c r="AS111" i="5"/>
  <c r="AR111" i="5"/>
  <c r="AA111" i="5"/>
  <c r="Y111" i="5" s="1"/>
  <c r="Z111" i="5"/>
  <c r="B111" i="5"/>
  <c r="C111" i="5" s="1" a="1"/>
  <c r="C111" i="5" s="1"/>
  <c r="A111" i="5"/>
  <c r="CD110" i="5"/>
  <c r="CC110" i="5"/>
  <c r="CB110" i="5"/>
  <c r="BW110" i="5"/>
  <c r="BV110" i="5"/>
  <c r="BU110" i="5"/>
  <c r="BT110" i="5"/>
  <c r="BS110" i="5"/>
  <c r="BX110" i="5" s="1"/>
  <c r="BN110" i="5"/>
  <c r="BH110" i="5"/>
  <c r="BG110" i="5"/>
  <c r="BF110" i="5"/>
  <c r="BE110" i="5"/>
  <c r="BD110" i="5"/>
  <c r="BC110" i="5"/>
  <c r="BB110" i="5"/>
  <c r="BA110" i="5"/>
  <c r="AZ110" i="5"/>
  <c r="AY110" i="5"/>
  <c r="AX110" i="5"/>
  <c r="AW110" i="5"/>
  <c r="AV110" i="5"/>
  <c r="AU110" i="5"/>
  <c r="AT110" i="5"/>
  <c r="AS110" i="5"/>
  <c r="AR110" i="5"/>
  <c r="AA110" i="5"/>
  <c r="Z110" i="5"/>
  <c r="Y110" i="5" s="1"/>
  <c r="C110" i="5" a="1"/>
  <c r="C110" i="5" s="1"/>
  <c r="B110" i="5"/>
  <c r="A110" i="5"/>
  <c r="CD109" i="5"/>
  <c r="CC109" i="5"/>
  <c r="CB109" i="5"/>
  <c r="BW109" i="5"/>
  <c r="BV109" i="5"/>
  <c r="BU109" i="5"/>
  <c r="BT109" i="5"/>
  <c r="BS109" i="5"/>
  <c r="BX109" i="5" s="1"/>
  <c r="BN109" i="5"/>
  <c r="BH109" i="5"/>
  <c r="BG109" i="5"/>
  <c r="BF109" i="5"/>
  <c r="BE109" i="5"/>
  <c r="BD109" i="5"/>
  <c r="BC109" i="5"/>
  <c r="BB109" i="5"/>
  <c r="BA109" i="5"/>
  <c r="AZ109" i="5"/>
  <c r="AY109" i="5"/>
  <c r="AX109" i="5"/>
  <c r="AW109" i="5"/>
  <c r="AV109" i="5"/>
  <c r="AU109" i="5"/>
  <c r="AT109" i="5"/>
  <c r="AS109" i="5"/>
  <c r="AR109" i="5"/>
  <c r="BI109" i="5" s="1"/>
  <c r="AA109" i="5"/>
  <c r="Y109" i="5" s="1"/>
  <c r="Z109" i="5"/>
  <c r="C109" i="5" a="1"/>
  <c r="C109" i="5" s="1"/>
  <c r="B109" i="5"/>
  <c r="A109" i="5"/>
  <c r="CC108" i="5"/>
  <c r="BW108" i="5"/>
  <c r="CB108" i="5" s="1"/>
  <c r="BV108" i="5"/>
  <c r="BU108" i="5"/>
  <c r="BT108" i="5"/>
  <c r="CD108" i="5" s="1"/>
  <c r="BS108" i="5"/>
  <c r="BN108" i="5"/>
  <c r="BH108" i="5"/>
  <c r="BG108" i="5"/>
  <c r="BF108" i="5"/>
  <c r="BE108" i="5"/>
  <c r="BD108" i="5"/>
  <c r="BC108" i="5"/>
  <c r="BB108" i="5"/>
  <c r="BA108" i="5"/>
  <c r="AZ108" i="5"/>
  <c r="AY108" i="5"/>
  <c r="AX108" i="5"/>
  <c r="AW108" i="5"/>
  <c r="AV108" i="5"/>
  <c r="AU108" i="5"/>
  <c r="AT108" i="5"/>
  <c r="AS108" i="5"/>
  <c r="AR108" i="5"/>
  <c r="AA108" i="5"/>
  <c r="Y108" i="5" s="1"/>
  <c r="Z108" i="5"/>
  <c r="C108" i="5"/>
  <c r="B108" i="5"/>
  <c r="C108" i="5" s="1" a="1"/>
  <c r="A108" i="5"/>
  <c r="CD107" i="5"/>
  <c r="CC107" i="5"/>
  <c r="CB107" i="5"/>
  <c r="BW107" i="5"/>
  <c r="BV107" i="5"/>
  <c r="BU107" i="5"/>
  <c r="BT107" i="5"/>
  <c r="BS107" i="5"/>
  <c r="BN107" i="5"/>
  <c r="BX107" i="5" s="1"/>
  <c r="BH107" i="5"/>
  <c r="BG107" i="5"/>
  <c r="BF107" i="5"/>
  <c r="BE107" i="5"/>
  <c r="BD107" i="5"/>
  <c r="BC107" i="5"/>
  <c r="BB107" i="5"/>
  <c r="BA107" i="5"/>
  <c r="AZ107" i="5"/>
  <c r="AY107" i="5"/>
  <c r="AX107" i="5"/>
  <c r="AW107" i="5"/>
  <c r="AV107" i="5"/>
  <c r="AU107" i="5"/>
  <c r="AT107" i="5"/>
  <c r="AS107" i="5"/>
  <c r="AR107" i="5"/>
  <c r="BI107" i="5" s="1"/>
  <c r="AA107" i="5"/>
  <c r="Z107" i="5"/>
  <c r="Y107" i="5"/>
  <c r="C107" i="5" a="1"/>
  <c r="C107" i="5" s="1"/>
  <c r="B107" i="5"/>
  <c r="A107" i="5"/>
  <c r="CC106" i="5"/>
  <c r="BW106" i="5"/>
  <c r="CB106" i="5" s="1"/>
  <c r="BV106" i="5"/>
  <c r="BU106" i="5"/>
  <c r="BT106" i="5"/>
  <c r="CD106" i="5" s="1"/>
  <c r="BS106" i="5"/>
  <c r="BN106" i="5"/>
  <c r="BX106" i="5" s="1"/>
  <c r="BI106" i="5"/>
  <c r="BH106" i="5"/>
  <c r="BG106" i="5"/>
  <c r="BF106" i="5"/>
  <c r="BE106" i="5"/>
  <c r="BD106" i="5"/>
  <c r="BC106" i="5"/>
  <c r="BB106" i="5"/>
  <c r="BA106" i="5"/>
  <c r="AZ106" i="5"/>
  <c r="AY106" i="5"/>
  <c r="AX106" i="5"/>
  <c r="AW106" i="5"/>
  <c r="AV106" i="5"/>
  <c r="AU106" i="5"/>
  <c r="AT106" i="5"/>
  <c r="AS106" i="5"/>
  <c r="AR106" i="5"/>
  <c r="AA106" i="5"/>
  <c r="Z106" i="5"/>
  <c r="Y106" i="5"/>
  <c r="C106" i="5" a="1"/>
  <c r="C106" i="5" s="1"/>
  <c r="B106" i="5"/>
  <c r="A106" i="5"/>
  <c r="CD105" i="5"/>
  <c r="CC105" i="5"/>
  <c r="CB105" i="5"/>
  <c r="BW105" i="5"/>
  <c r="BV105" i="5"/>
  <c r="BU105" i="5"/>
  <c r="BT105" i="5"/>
  <c r="BS105" i="5"/>
  <c r="BN105" i="5"/>
  <c r="BI105" i="5"/>
  <c r="BH105" i="5"/>
  <c r="BG105" i="5"/>
  <c r="BF105" i="5"/>
  <c r="BE105" i="5"/>
  <c r="BD105" i="5"/>
  <c r="BC105" i="5"/>
  <c r="BB105" i="5"/>
  <c r="BA105" i="5"/>
  <c r="AZ105" i="5"/>
  <c r="AY105" i="5"/>
  <c r="AX105" i="5"/>
  <c r="AW105" i="5"/>
  <c r="AV105" i="5"/>
  <c r="AU105" i="5"/>
  <c r="AT105" i="5"/>
  <c r="AS105" i="5"/>
  <c r="AR105" i="5"/>
  <c r="AA105" i="5"/>
  <c r="Z105" i="5"/>
  <c r="Y105" i="5" s="1"/>
  <c r="C105" i="5" a="1"/>
  <c r="C105" i="5"/>
  <c r="B105" i="5"/>
  <c r="A105" i="5"/>
  <c r="CC104" i="5"/>
  <c r="BX104" i="5"/>
  <c r="BW104" i="5"/>
  <c r="CB104" i="5" s="1"/>
  <c r="BV104" i="5"/>
  <c r="BU104" i="5"/>
  <c r="BT104" i="5"/>
  <c r="CD104" i="5" s="1"/>
  <c r="BS104" i="5"/>
  <c r="BN104" i="5"/>
  <c r="BH104" i="5"/>
  <c r="BG104" i="5"/>
  <c r="BF104" i="5"/>
  <c r="BE104" i="5"/>
  <c r="BD104" i="5"/>
  <c r="BC104" i="5"/>
  <c r="BB104" i="5"/>
  <c r="BA104" i="5"/>
  <c r="AZ104" i="5"/>
  <c r="AY104" i="5"/>
  <c r="AX104" i="5"/>
  <c r="AW104" i="5"/>
  <c r="AV104" i="5"/>
  <c r="AU104" i="5"/>
  <c r="AT104" i="5"/>
  <c r="AS104" i="5"/>
  <c r="AR104" i="5"/>
  <c r="AA104" i="5"/>
  <c r="Z104" i="5"/>
  <c r="Y104" i="5" s="1"/>
  <c r="C104" i="5" a="1"/>
  <c r="C104" i="5" s="1"/>
  <c r="B104" i="5"/>
  <c r="A104" i="5"/>
  <c r="CC103" i="5"/>
  <c r="BX103" i="5"/>
  <c r="BW103" i="5"/>
  <c r="CB103" i="5" s="1"/>
  <c r="BV103" i="5"/>
  <c r="BU103" i="5"/>
  <c r="BT103" i="5"/>
  <c r="CD103" i="5" s="1"/>
  <c r="BS103" i="5"/>
  <c r="BN103" i="5"/>
  <c r="BI103" i="5"/>
  <c r="BH103" i="5"/>
  <c r="BG103" i="5"/>
  <c r="BF103" i="5"/>
  <c r="BE103" i="5"/>
  <c r="BD103" i="5"/>
  <c r="BC103" i="5"/>
  <c r="BB103" i="5"/>
  <c r="BA103" i="5"/>
  <c r="AZ103" i="5"/>
  <c r="AY103" i="5"/>
  <c r="AX103" i="5"/>
  <c r="AW103" i="5"/>
  <c r="AV103" i="5"/>
  <c r="AU103" i="5"/>
  <c r="AT103" i="5"/>
  <c r="AS103" i="5"/>
  <c r="AR103" i="5"/>
  <c r="AA103" i="5"/>
  <c r="Z103" i="5"/>
  <c r="Y103" i="5" s="1"/>
  <c r="B103" i="5"/>
  <c r="C103" i="5" s="1" a="1"/>
  <c r="C103" i="5" s="1"/>
  <c r="A103" i="5"/>
  <c r="CD102" i="5"/>
  <c r="CC102" i="5"/>
  <c r="CB102" i="5"/>
  <c r="BX102" i="5"/>
  <c r="BW102" i="5"/>
  <c r="BV102" i="5"/>
  <c r="BU102" i="5"/>
  <c r="BT102" i="5"/>
  <c r="BS102" i="5"/>
  <c r="BN102" i="5"/>
  <c r="BH102" i="5"/>
  <c r="BG102" i="5"/>
  <c r="BF102" i="5"/>
  <c r="BE102" i="5"/>
  <c r="BD102" i="5"/>
  <c r="BC102" i="5"/>
  <c r="BB102" i="5"/>
  <c r="BA102" i="5"/>
  <c r="AZ102" i="5"/>
  <c r="AY102" i="5"/>
  <c r="AX102" i="5"/>
  <c r="AW102" i="5"/>
  <c r="AV102" i="5"/>
  <c r="AU102" i="5"/>
  <c r="AT102" i="5"/>
  <c r="AS102" i="5"/>
  <c r="AR102" i="5"/>
  <c r="BI102" i="5" s="1"/>
  <c r="AA102" i="5"/>
  <c r="Y102" i="5" s="1"/>
  <c r="Z102" i="5"/>
  <c r="B102" i="5"/>
  <c r="C102" i="5" s="1" a="1"/>
  <c r="C102" i="5" s="1"/>
  <c r="A102" i="5"/>
  <c r="CC101" i="5"/>
  <c r="CB101" i="5"/>
  <c r="BW101" i="5"/>
  <c r="BV101" i="5"/>
  <c r="BU101" i="5"/>
  <c r="BT101" i="5"/>
  <c r="CD101" i="5" s="1"/>
  <c r="BS101" i="5"/>
  <c r="BX101" i="5" s="1"/>
  <c r="BN101" i="5"/>
  <c r="BH101" i="5"/>
  <c r="BG101" i="5"/>
  <c r="BF101" i="5"/>
  <c r="BE101" i="5"/>
  <c r="BD101" i="5"/>
  <c r="BC101" i="5"/>
  <c r="BB101" i="5"/>
  <c r="BA101" i="5"/>
  <c r="AZ101" i="5"/>
  <c r="AY101" i="5"/>
  <c r="AX101" i="5"/>
  <c r="AW101" i="5"/>
  <c r="AV101" i="5"/>
  <c r="AU101" i="5"/>
  <c r="AT101" i="5"/>
  <c r="AS101" i="5"/>
  <c r="AR101" i="5"/>
  <c r="AA101" i="5"/>
  <c r="Y101" i="5" s="1"/>
  <c r="Z101" i="5"/>
  <c r="B101" i="5"/>
  <c r="C101" i="5" s="1" a="1"/>
  <c r="C101" i="5" s="1"/>
  <c r="A101" i="5"/>
  <c r="CD100" i="5"/>
  <c r="CC100" i="5"/>
  <c r="BW100" i="5"/>
  <c r="CB100" i="5" s="1"/>
  <c r="BV100" i="5"/>
  <c r="BU100" i="5"/>
  <c r="BT100" i="5"/>
  <c r="BS100" i="5"/>
  <c r="BX100" i="5" s="1"/>
  <c r="BN100" i="5"/>
  <c r="BH100" i="5"/>
  <c r="BG100" i="5"/>
  <c r="BF100" i="5"/>
  <c r="BE100" i="5"/>
  <c r="BD100" i="5"/>
  <c r="BC100" i="5"/>
  <c r="BB100" i="5"/>
  <c r="BA100" i="5"/>
  <c r="AZ100" i="5"/>
  <c r="AY100" i="5"/>
  <c r="AX100" i="5"/>
  <c r="AW100" i="5"/>
  <c r="AV100" i="5"/>
  <c r="AU100" i="5"/>
  <c r="AT100" i="5"/>
  <c r="AS100" i="5"/>
  <c r="AR100" i="5"/>
  <c r="AA100" i="5"/>
  <c r="Z100" i="5"/>
  <c r="Y100" i="5"/>
  <c r="C100" i="5" a="1"/>
  <c r="C100" i="5"/>
  <c r="B100" i="5"/>
  <c r="A100" i="5"/>
  <c r="CC99" i="5"/>
  <c r="CB99" i="5"/>
  <c r="BW99" i="5"/>
  <c r="BV99" i="5"/>
  <c r="BU99" i="5"/>
  <c r="BT99" i="5"/>
  <c r="CD99" i="5" s="1"/>
  <c r="BS99" i="5"/>
  <c r="BN99" i="5"/>
  <c r="BX99" i="5" s="1"/>
  <c r="BI99" i="5"/>
  <c r="BH99" i="5"/>
  <c r="BG99" i="5"/>
  <c r="BF99" i="5"/>
  <c r="BE99" i="5"/>
  <c r="BD99" i="5"/>
  <c r="BC99" i="5"/>
  <c r="BB99" i="5"/>
  <c r="BA99" i="5"/>
  <c r="AZ99" i="5"/>
  <c r="AY99" i="5"/>
  <c r="AX99" i="5"/>
  <c r="AW99" i="5"/>
  <c r="AV99" i="5"/>
  <c r="AU99" i="5"/>
  <c r="AT99" i="5"/>
  <c r="AS99" i="5"/>
  <c r="AR99" i="5"/>
  <c r="AA99" i="5"/>
  <c r="Z99" i="5"/>
  <c r="Y99" i="5"/>
  <c r="B99" i="5"/>
  <c r="C99" i="5" s="1" a="1"/>
  <c r="C99" i="5" s="1"/>
  <c r="A99" i="5"/>
  <c r="CD98" i="5"/>
  <c r="CC98" i="5"/>
  <c r="CB98" i="5"/>
  <c r="BX98" i="5"/>
  <c r="BW98" i="5"/>
  <c r="BV98" i="5"/>
  <c r="BU98" i="5"/>
  <c r="BT98" i="5"/>
  <c r="BS98" i="5"/>
  <c r="BN98" i="5"/>
  <c r="BH98" i="5"/>
  <c r="BG98" i="5"/>
  <c r="BF98" i="5"/>
  <c r="BE98" i="5"/>
  <c r="BD98" i="5"/>
  <c r="BC98" i="5"/>
  <c r="BB98" i="5"/>
  <c r="BA98" i="5"/>
  <c r="AZ98" i="5"/>
  <c r="AY98" i="5"/>
  <c r="AX98" i="5"/>
  <c r="AW98" i="5"/>
  <c r="AV98" i="5"/>
  <c r="AU98" i="5"/>
  <c r="AT98" i="5"/>
  <c r="AS98" i="5"/>
  <c r="AR98" i="5"/>
  <c r="AA98" i="5"/>
  <c r="Y98" i="5" s="1"/>
  <c r="Z98" i="5"/>
  <c r="BI98" i="5" s="1"/>
  <c r="B98" i="5"/>
  <c r="C98" i="5" s="1" a="1"/>
  <c r="C98" i="5" s="1"/>
  <c r="A98" i="5"/>
  <c r="CC97" i="5"/>
  <c r="CB97" i="5"/>
  <c r="BW97" i="5"/>
  <c r="BV97" i="5"/>
  <c r="BU97" i="5"/>
  <c r="BT97" i="5"/>
  <c r="CD97" i="5" s="1"/>
  <c r="BS97" i="5"/>
  <c r="BX97" i="5" s="1"/>
  <c r="BN97" i="5"/>
  <c r="BH97" i="5"/>
  <c r="BG97" i="5"/>
  <c r="BF97" i="5"/>
  <c r="BE97" i="5"/>
  <c r="BD97" i="5"/>
  <c r="BC97" i="5"/>
  <c r="BB97" i="5"/>
  <c r="BA97" i="5"/>
  <c r="AZ97" i="5"/>
  <c r="AY97" i="5"/>
  <c r="AX97" i="5"/>
  <c r="AW97" i="5"/>
  <c r="AV97" i="5"/>
  <c r="AU97" i="5"/>
  <c r="AT97" i="5"/>
  <c r="AS97" i="5"/>
  <c r="AR97" i="5"/>
  <c r="AA97" i="5"/>
  <c r="Z97" i="5"/>
  <c r="Y97" i="5" s="1"/>
  <c r="B97" i="5"/>
  <c r="C97" i="5" s="1" a="1"/>
  <c r="C97" i="5" s="1"/>
  <c r="A97" i="5"/>
  <c r="CD96" i="5"/>
  <c r="CC96" i="5"/>
  <c r="BX96" i="5"/>
  <c r="BW96" i="5"/>
  <c r="CB96" i="5" s="1"/>
  <c r="BV96" i="5"/>
  <c r="BU96" i="5"/>
  <c r="BT96" i="5"/>
  <c r="BS96" i="5"/>
  <c r="BN96" i="5"/>
  <c r="BH96" i="5"/>
  <c r="BG96" i="5"/>
  <c r="BF96" i="5"/>
  <c r="BE96" i="5"/>
  <c r="BD96" i="5"/>
  <c r="BC96" i="5"/>
  <c r="BB96" i="5"/>
  <c r="BA96" i="5"/>
  <c r="AZ96" i="5"/>
  <c r="AY96" i="5"/>
  <c r="AX96" i="5"/>
  <c r="AW96" i="5"/>
  <c r="AV96" i="5"/>
  <c r="AU96" i="5"/>
  <c r="AT96" i="5"/>
  <c r="AS96" i="5"/>
  <c r="AR96" i="5"/>
  <c r="BI96" i="5" s="1"/>
  <c r="AA96" i="5"/>
  <c r="Y96" i="5" s="1"/>
  <c r="Z96" i="5"/>
  <c r="C96" i="5" a="1"/>
  <c r="C96" i="5" s="1"/>
  <c r="B96" i="5"/>
  <c r="A96" i="5"/>
  <c r="CC95" i="5"/>
  <c r="CB95" i="5"/>
  <c r="BW95" i="5"/>
  <c r="BV95" i="5"/>
  <c r="BU95" i="5"/>
  <c r="BT95" i="5"/>
  <c r="CD95" i="5" s="1"/>
  <c r="BS95" i="5"/>
  <c r="BN95" i="5"/>
  <c r="BI95" i="5"/>
  <c r="BH95" i="5"/>
  <c r="BG95" i="5"/>
  <c r="BF95" i="5"/>
  <c r="BE95" i="5"/>
  <c r="BD95" i="5"/>
  <c r="BC95" i="5"/>
  <c r="BB95" i="5"/>
  <c r="BA95" i="5"/>
  <c r="AZ95" i="5"/>
  <c r="AY95" i="5"/>
  <c r="AX95" i="5"/>
  <c r="AW95" i="5"/>
  <c r="AV95" i="5"/>
  <c r="AU95" i="5"/>
  <c r="AT95" i="5"/>
  <c r="AS95" i="5"/>
  <c r="AR95" i="5"/>
  <c r="AA95" i="5"/>
  <c r="Z95" i="5"/>
  <c r="Y95" i="5" s="1"/>
  <c r="C95" i="5" a="1"/>
  <c r="C95" i="5" s="1"/>
  <c r="B95" i="5"/>
  <c r="A95" i="5"/>
  <c r="CD94" i="5"/>
  <c r="CC94" i="5"/>
  <c r="CB94" i="5"/>
  <c r="BX94" i="5"/>
  <c r="BW94" i="5"/>
  <c r="BV94" i="5"/>
  <c r="BU94" i="5"/>
  <c r="BT94" i="5"/>
  <c r="BS94" i="5"/>
  <c r="BN94" i="5"/>
  <c r="BH94" i="5"/>
  <c r="BG94" i="5"/>
  <c r="BF94" i="5"/>
  <c r="BE94" i="5"/>
  <c r="BD94" i="5"/>
  <c r="BC94" i="5"/>
  <c r="BB94" i="5"/>
  <c r="BA94" i="5"/>
  <c r="AZ94" i="5"/>
  <c r="AY94" i="5"/>
  <c r="AX94" i="5"/>
  <c r="AW94" i="5"/>
  <c r="AV94" i="5"/>
  <c r="AU94" i="5"/>
  <c r="AT94" i="5"/>
  <c r="AS94" i="5"/>
  <c r="AR94" i="5"/>
  <c r="AA94" i="5"/>
  <c r="Z94" i="5"/>
  <c r="B94" i="5"/>
  <c r="C94" i="5" s="1" a="1"/>
  <c r="C94" i="5" s="1"/>
  <c r="A94" i="5"/>
  <c r="CD93" i="5"/>
  <c r="CC93" i="5"/>
  <c r="BW93" i="5"/>
  <c r="CB93" i="5" s="1"/>
  <c r="BV93" i="5"/>
  <c r="BU93" i="5"/>
  <c r="BT93" i="5"/>
  <c r="BS93" i="5"/>
  <c r="BN93" i="5"/>
  <c r="BH93" i="5"/>
  <c r="BG93" i="5"/>
  <c r="BF93" i="5"/>
  <c r="BE93" i="5"/>
  <c r="BD93" i="5"/>
  <c r="BC93" i="5"/>
  <c r="BB93" i="5"/>
  <c r="BA93" i="5"/>
  <c r="AZ93" i="5"/>
  <c r="AY93" i="5"/>
  <c r="AX93" i="5"/>
  <c r="AW93" i="5"/>
  <c r="AV93" i="5"/>
  <c r="AU93" i="5"/>
  <c r="AT93" i="5"/>
  <c r="AS93" i="5"/>
  <c r="AR93" i="5"/>
  <c r="BI93" i="5" s="1"/>
  <c r="AA93" i="5"/>
  <c r="Z93" i="5"/>
  <c r="C93" i="5" a="1"/>
  <c r="C93" i="5" s="1"/>
  <c r="B93" i="5"/>
  <c r="A93" i="5"/>
  <c r="CD92" i="5"/>
  <c r="CC92" i="5"/>
  <c r="CB92" i="5"/>
  <c r="BX92" i="5"/>
  <c r="BW92" i="5"/>
  <c r="BV92" i="5"/>
  <c r="BU92" i="5"/>
  <c r="BT92" i="5"/>
  <c r="BS92" i="5"/>
  <c r="BN92" i="5"/>
  <c r="BI92" i="5"/>
  <c r="BH92" i="5"/>
  <c r="BG92" i="5"/>
  <c r="BF92" i="5"/>
  <c r="BE92" i="5"/>
  <c r="BD92" i="5"/>
  <c r="BC92" i="5"/>
  <c r="BB92" i="5"/>
  <c r="BA92" i="5"/>
  <c r="AZ92" i="5"/>
  <c r="AY92" i="5"/>
  <c r="AX92" i="5"/>
  <c r="AW92" i="5"/>
  <c r="AV92" i="5"/>
  <c r="AU92" i="5"/>
  <c r="AT92" i="5"/>
  <c r="AS92" i="5"/>
  <c r="AR92" i="5"/>
  <c r="AA92" i="5"/>
  <c r="Z92" i="5"/>
  <c r="Y92" i="5"/>
  <c r="C92" i="5" a="1"/>
  <c r="C92" i="5" s="1"/>
  <c r="B92" i="5"/>
  <c r="A92" i="5"/>
  <c r="CC91" i="5"/>
  <c r="CB91" i="5"/>
  <c r="BW91" i="5"/>
  <c r="BV91" i="5"/>
  <c r="BU91" i="5"/>
  <c r="BT91" i="5"/>
  <c r="CD91" i="5" s="1"/>
  <c r="BS91" i="5"/>
  <c r="BX91" i="5" s="1"/>
  <c r="BN91" i="5"/>
  <c r="BI91" i="5"/>
  <c r="BH91" i="5"/>
  <c r="BG91" i="5"/>
  <c r="BF91" i="5"/>
  <c r="BE91" i="5"/>
  <c r="BD91" i="5"/>
  <c r="BC91" i="5"/>
  <c r="BB91" i="5"/>
  <c r="BA91" i="5"/>
  <c r="AZ91" i="5"/>
  <c r="AY91" i="5"/>
  <c r="AX91" i="5"/>
  <c r="AW91" i="5"/>
  <c r="AV91" i="5"/>
  <c r="AU91" i="5"/>
  <c r="AT91" i="5"/>
  <c r="AS91" i="5"/>
  <c r="AR91" i="5"/>
  <c r="AA91" i="5"/>
  <c r="Y91" i="5" s="1"/>
  <c r="Z91" i="5"/>
  <c r="C91" i="5" a="1"/>
  <c r="C91" i="5" s="1"/>
  <c r="B91" i="5"/>
  <c r="A91" i="5"/>
  <c r="CD90" i="5"/>
  <c r="CC90" i="5"/>
  <c r="CB90" i="5"/>
  <c r="BW90" i="5"/>
  <c r="BV90" i="5"/>
  <c r="BU90" i="5"/>
  <c r="BT90" i="5"/>
  <c r="BS90" i="5"/>
  <c r="BX90" i="5" s="1"/>
  <c r="BN90" i="5"/>
  <c r="BH90" i="5"/>
  <c r="BG90" i="5"/>
  <c r="BF90" i="5"/>
  <c r="BE90" i="5"/>
  <c r="BD90" i="5"/>
  <c r="BC90" i="5"/>
  <c r="BB90" i="5"/>
  <c r="BA90" i="5"/>
  <c r="AZ90" i="5"/>
  <c r="AY90" i="5"/>
  <c r="AX90" i="5"/>
  <c r="AW90" i="5"/>
  <c r="AV90" i="5"/>
  <c r="AU90" i="5"/>
  <c r="AT90" i="5"/>
  <c r="AS90" i="5"/>
  <c r="AR90" i="5"/>
  <c r="AA90" i="5"/>
  <c r="Y90" i="5" s="1"/>
  <c r="Z90" i="5"/>
  <c r="C90" i="5" a="1"/>
  <c r="C90" i="5" s="1"/>
  <c r="B90" i="5"/>
  <c r="A90" i="5"/>
  <c r="CD89" i="5"/>
  <c r="CC89" i="5"/>
  <c r="BX89" i="5"/>
  <c r="BW89" i="5"/>
  <c r="CB89" i="5" s="1"/>
  <c r="BV89" i="5"/>
  <c r="BU89" i="5"/>
  <c r="BT89" i="5"/>
  <c r="BS89" i="5"/>
  <c r="BN89" i="5"/>
  <c r="BI89" i="5"/>
  <c r="BH89" i="5"/>
  <c r="BG89" i="5"/>
  <c r="BF89" i="5"/>
  <c r="BE89" i="5"/>
  <c r="BD89" i="5"/>
  <c r="BC89" i="5"/>
  <c r="BB89" i="5"/>
  <c r="BA89" i="5"/>
  <c r="AZ89" i="5"/>
  <c r="AY89" i="5"/>
  <c r="AX89" i="5"/>
  <c r="AW89" i="5"/>
  <c r="AV89" i="5"/>
  <c r="AU89" i="5"/>
  <c r="AT89" i="5"/>
  <c r="AS89" i="5"/>
  <c r="AR89" i="5"/>
  <c r="AA89" i="5"/>
  <c r="Z89" i="5"/>
  <c r="B89" i="5"/>
  <c r="C89" i="5" s="1" a="1"/>
  <c r="C89" i="5" s="1"/>
  <c r="A89" i="5"/>
  <c r="CD88" i="5"/>
  <c r="CC88" i="5"/>
  <c r="CB88" i="5"/>
  <c r="BX88" i="5"/>
  <c r="BW88" i="5"/>
  <c r="BV88" i="5"/>
  <c r="BU88" i="5"/>
  <c r="BT88" i="5"/>
  <c r="BS88" i="5"/>
  <c r="BN88" i="5"/>
  <c r="BH88" i="5"/>
  <c r="BG88" i="5"/>
  <c r="BF88" i="5"/>
  <c r="BE88" i="5"/>
  <c r="BD88" i="5"/>
  <c r="BC88" i="5"/>
  <c r="BB88" i="5"/>
  <c r="BA88" i="5"/>
  <c r="AZ88" i="5"/>
  <c r="AY88" i="5"/>
  <c r="AX88" i="5"/>
  <c r="AW88" i="5"/>
  <c r="AV88" i="5"/>
  <c r="AU88" i="5"/>
  <c r="AT88" i="5"/>
  <c r="AS88" i="5"/>
  <c r="AR88" i="5"/>
  <c r="AA88" i="5"/>
  <c r="Z88" i="5"/>
  <c r="C88" i="5" a="1"/>
  <c r="C88" i="5"/>
  <c r="B88" i="5"/>
  <c r="A88" i="5"/>
  <c r="CC87" i="5"/>
  <c r="CB87" i="5"/>
  <c r="BW87" i="5"/>
  <c r="BV87" i="5"/>
  <c r="BU87" i="5"/>
  <c r="BT87" i="5"/>
  <c r="CD87" i="5" s="1"/>
  <c r="BS87" i="5"/>
  <c r="BX87" i="5" s="1"/>
  <c r="BN87" i="5"/>
  <c r="BH87" i="5"/>
  <c r="BG87" i="5"/>
  <c r="BF87" i="5"/>
  <c r="BE87" i="5"/>
  <c r="BD87" i="5"/>
  <c r="BC87" i="5"/>
  <c r="BB87" i="5"/>
  <c r="BA87" i="5"/>
  <c r="AZ87" i="5"/>
  <c r="AY87" i="5"/>
  <c r="AX87" i="5"/>
  <c r="AW87" i="5"/>
  <c r="AV87" i="5"/>
  <c r="AU87" i="5"/>
  <c r="AT87" i="5"/>
  <c r="AS87" i="5"/>
  <c r="AR87" i="5"/>
  <c r="BI87" i="5" s="1"/>
  <c r="AA87" i="5"/>
  <c r="Y87" i="5" s="1"/>
  <c r="Z87" i="5"/>
  <c r="B87" i="5"/>
  <c r="C87" i="5" s="1" a="1"/>
  <c r="C87" i="5" s="1"/>
  <c r="A87" i="5"/>
  <c r="CD86" i="5"/>
  <c r="CC86" i="5"/>
  <c r="CB86" i="5"/>
  <c r="BW86" i="5"/>
  <c r="BV86" i="5"/>
  <c r="BU86" i="5"/>
  <c r="BT86" i="5"/>
  <c r="BS86" i="5"/>
  <c r="BX86" i="5" s="1"/>
  <c r="BN86" i="5"/>
  <c r="BH86" i="5"/>
  <c r="BG86" i="5"/>
  <c r="BF86" i="5"/>
  <c r="BE86" i="5"/>
  <c r="BD86" i="5"/>
  <c r="BC86" i="5"/>
  <c r="BB86" i="5"/>
  <c r="BA86" i="5"/>
  <c r="AZ86" i="5"/>
  <c r="AY86" i="5"/>
  <c r="AX86" i="5"/>
  <c r="AW86" i="5"/>
  <c r="AV86" i="5"/>
  <c r="AU86" i="5"/>
  <c r="AT86" i="5"/>
  <c r="AS86" i="5"/>
  <c r="AR86" i="5"/>
  <c r="AA86" i="5"/>
  <c r="Z86" i="5"/>
  <c r="C86" i="5" a="1"/>
  <c r="C86" i="5" s="1"/>
  <c r="B86" i="5"/>
  <c r="A86" i="5"/>
  <c r="CC85" i="5"/>
  <c r="CB85" i="5"/>
  <c r="BW85" i="5"/>
  <c r="BV85" i="5"/>
  <c r="BU85" i="5"/>
  <c r="BT85" i="5"/>
  <c r="CD85" i="5" s="1"/>
  <c r="BS85" i="5"/>
  <c r="BN85" i="5"/>
  <c r="BX85" i="5" s="1"/>
  <c r="BI85" i="5"/>
  <c r="BH85" i="5"/>
  <c r="BG85" i="5"/>
  <c r="BF85" i="5"/>
  <c r="BE85" i="5"/>
  <c r="BD85" i="5"/>
  <c r="BC85" i="5"/>
  <c r="BB85" i="5"/>
  <c r="BA85" i="5"/>
  <c r="AZ85" i="5"/>
  <c r="AY85" i="5"/>
  <c r="AX85" i="5"/>
  <c r="AW85" i="5"/>
  <c r="AV85" i="5"/>
  <c r="AU85" i="5"/>
  <c r="AT85" i="5"/>
  <c r="AS85" i="5"/>
  <c r="AR85" i="5"/>
  <c r="AA85" i="5"/>
  <c r="Z85" i="5"/>
  <c r="Y85" i="5"/>
  <c r="B85" i="5"/>
  <c r="C85" i="5" s="1" a="1"/>
  <c r="C85" i="5" s="1"/>
  <c r="A85" i="5"/>
  <c r="CD84" i="5"/>
  <c r="CC84" i="5"/>
  <c r="CB84" i="5"/>
  <c r="BX84" i="5"/>
  <c r="BW84" i="5"/>
  <c r="BV84" i="5"/>
  <c r="BU84" i="5"/>
  <c r="BT84" i="5"/>
  <c r="BS84" i="5"/>
  <c r="BN84" i="5"/>
  <c r="BH84" i="5"/>
  <c r="BG84" i="5"/>
  <c r="BF84" i="5"/>
  <c r="BE84" i="5"/>
  <c r="BD84" i="5"/>
  <c r="BC84" i="5"/>
  <c r="BB84" i="5"/>
  <c r="BA84" i="5"/>
  <c r="AZ84" i="5"/>
  <c r="AY84" i="5"/>
  <c r="AX84" i="5"/>
  <c r="AW84" i="5"/>
  <c r="AV84" i="5"/>
  <c r="AU84" i="5"/>
  <c r="AT84" i="5"/>
  <c r="AS84" i="5"/>
  <c r="AR84" i="5"/>
  <c r="AA84" i="5"/>
  <c r="Z84" i="5"/>
  <c r="BI84" i="5" s="1"/>
  <c r="B84" i="5"/>
  <c r="C84" i="5" s="1" a="1"/>
  <c r="C84" i="5" s="1"/>
  <c r="A84" i="5"/>
  <c r="CC83" i="5"/>
  <c r="CB83" i="5"/>
  <c r="BW83" i="5"/>
  <c r="BV83" i="5"/>
  <c r="BU83" i="5"/>
  <c r="BT83" i="5"/>
  <c r="CD83" i="5" s="1"/>
  <c r="BS83" i="5"/>
  <c r="BX83" i="5" s="1"/>
  <c r="BN83" i="5"/>
  <c r="BH83" i="5"/>
  <c r="BG83" i="5"/>
  <c r="BF83" i="5"/>
  <c r="BE83" i="5"/>
  <c r="BD83" i="5"/>
  <c r="BC83" i="5"/>
  <c r="BB83" i="5"/>
  <c r="BA83" i="5"/>
  <c r="AZ83" i="5"/>
  <c r="AY83" i="5"/>
  <c r="AX83" i="5"/>
  <c r="AW83" i="5"/>
  <c r="AV83" i="5"/>
  <c r="AU83" i="5"/>
  <c r="AT83" i="5"/>
  <c r="AS83" i="5"/>
  <c r="AR83" i="5"/>
  <c r="BI83" i="5" s="1"/>
  <c r="AA83" i="5"/>
  <c r="Y83" i="5" s="1"/>
  <c r="Z83" i="5"/>
  <c r="B83" i="5"/>
  <c r="C83" i="5" s="1" a="1"/>
  <c r="C83" i="5" s="1"/>
  <c r="A83" i="5"/>
  <c r="CD82" i="5"/>
  <c r="CC82" i="5"/>
  <c r="BX82" i="5"/>
  <c r="BW82" i="5"/>
  <c r="CB82" i="5" s="1"/>
  <c r="BV82" i="5"/>
  <c r="BU82" i="5"/>
  <c r="BT82" i="5"/>
  <c r="BS82" i="5"/>
  <c r="BN82" i="5"/>
  <c r="BH82" i="5"/>
  <c r="BG82" i="5"/>
  <c r="BF82" i="5"/>
  <c r="BE82" i="5"/>
  <c r="BD82" i="5"/>
  <c r="BC82" i="5"/>
  <c r="BB82" i="5"/>
  <c r="BA82" i="5"/>
  <c r="AZ82" i="5"/>
  <c r="AY82" i="5"/>
  <c r="AX82" i="5"/>
  <c r="AW82" i="5"/>
  <c r="AV82" i="5"/>
  <c r="AU82" i="5"/>
  <c r="AT82" i="5"/>
  <c r="AS82" i="5"/>
  <c r="AR82" i="5"/>
  <c r="BI82" i="5" s="1"/>
  <c r="AA82" i="5"/>
  <c r="Y82" i="5" s="1"/>
  <c r="Z82" i="5"/>
  <c r="B82" i="5"/>
  <c r="C82" i="5" s="1" a="1"/>
  <c r="C82" i="5" s="1"/>
  <c r="A82" i="5"/>
  <c r="CC81" i="5"/>
  <c r="BW81" i="5"/>
  <c r="CB81" i="5" s="1"/>
  <c r="BV81" i="5"/>
  <c r="BU81" i="5"/>
  <c r="BT81" i="5"/>
  <c r="CD81" i="5" s="1"/>
  <c r="BS81" i="5"/>
  <c r="BN81" i="5"/>
  <c r="BH81" i="5"/>
  <c r="BG81" i="5"/>
  <c r="BF81" i="5"/>
  <c r="BE81" i="5"/>
  <c r="BD81" i="5"/>
  <c r="BC81" i="5"/>
  <c r="BB81" i="5"/>
  <c r="BA81" i="5"/>
  <c r="AZ81" i="5"/>
  <c r="AY81" i="5"/>
  <c r="AX81" i="5"/>
  <c r="AW81" i="5"/>
  <c r="AV81" i="5"/>
  <c r="AU81" i="5"/>
  <c r="AT81" i="5"/>
  <c r="AS81" i="5"/>
  <c r="AR81" i="5"/>
  <c r="BI81" i="5" s="1"/>
  <c r="AA81" i="5"/>
  <c r="Z81" i="5"/>
  <c r="Y81" i="5" s="1"/>
  <c r="C81" i="5" a="1"/>
  <c r="C81" i="5" s="1"/>
  <c r="B81" i="5"/>
  <c r="A81" i="5"/>
  <c r="CD80" i="5"/>
  <c r="CC80" i="5"/>
  <c r="CB80" i="5"/>
  <c r="BX80" i="5"/>
  <c r="BW80" i="5"/>
  <c r="BV80" i="5"/>
  <c r="BU80" i="5"/>
  <c r="BT80" i="5"/>
  <c r="BS80" i="5"/>
  <c r="BN80" i="5"/>
  <c r="BH80" i="5"/>
  <c r="BG80" i="5"/>
  <c r="BF80" i="5"/>
  <c r="BE80" i="5"/>
  <c r="BD80" i="5"/>
  <c r="BC80" i="5"/>
  <c r="BB80" i="5"/>
  <c r="BA80" i="5"/>
  <c r="AZ80" i="5"/>
  <c r="AY80" i="5"/>
  <c r="AX80" i="5"/>
  <c r="AW80" i="5"/>
  <c r="AV80" i="5"/>
  <c r="AU80" i="5"/>
  <c r="AT80" i="5"/>
  <c r="AS80" i="5"/>
  <c r="AR80" i="5"/>
  <c r="BI80" i="5" s="1"/>
  <c r="AA80" i="5"/>
  <c r="Y80" i="5" s="1"/>
  <c r="Z80" i="5"/>
  <c r="C80" i="5"/>
  <c r="B80" i="5"/>
  <c r="C80" i="5" s="1" a="1"/>
  <c r="A80" i="5"/>
  <c r="CC79" i="5"/>
  <c r="BW79" i="5"/>
  <c r="CB79" i="5" s="1"/>
  <c r="BV79" i="5"/>
  <c r="BU79" i="5"/>
  <c r="BT79" i="5"/>
  <c r="CD79" i="5" s="1"/>
  <c r="BS79" i="5"/>
  <c r="BN79" i="5"/>
  <c r="BH79" i="5"/>
  <c r="BG79" i="5"/>
  <c r="BF79" i="5"/>
  <c r="BE79" i="5"/>
  <c r="BD79" i="5"/>
  <c r="BC79" i="5"/>
  <c r="BB79" i="5"/>
  <c r="BA79" i="5"/>
  <c r="AZ79" i="5"/>
  <c r="AY79" i="5"/>
  <c r="AX79" i="5"/>
  <c r="AW79" i="5"/>
  <c r="AV79" i="5"/>
  <c r="AU79" i="5"/>
  <c r="AT79" i="5"/>
  <c r="AS79" i="5"/>
  <c r="AR79" i="5"/>
  <c r="AA79" i="5"/>
  <c r="Y79" i="5" s="1"/>
  <c r="Z79" i="5"/>
  <c r="B79" i="5"/>
  <c r="C79" i="5" s="1" a="1"/>
  <c r="C79" i="5" s="1"/>
  <c r="A79" i="5"/>
  <c r="CD78" i="5"/>
  <c r="CC78" i="5"/>
  <c r="CB78" i="5"/>
  <c r="BX78" i="5"/>
  <c r="BW78" i="5"/>
  <c r="BV78" i="5"/>
  <c r="BU78" i="5"/>
  <c r="BT78" i="5"/>
  <c r="BS78" i="5"/>
  <c r="BN78" i="5"/>
  <c r="BH78" i="5"/>
  <c r="BG78" i="5"/>
  <c r="BF78" i="5"/>
  <c r="BE78" i="5"/>
  <c r="BD78" i="5"/>
  <c r="BC78" i="5"/>
  <c r="BB78" i="5"/>
  <c r="BA78" i="5"/>
  <c r="AZ78" i="5"/>
  <c r="AY78" i="5"/>
  <c r="AX78" i="5"/>
  <c r="AW78" i="5"/>
  <c r="AV78" i="5"/>
  <c r="AU78" i="5"/>
  <c r="AT78" i="5"/>
  <c r="AS78" i="5"/>
  <c r="AR78" i="5"/>
  <c r="BI78" i="5" s="1"/>
  <c r="AA78" i="5"/>
  <c r="Y78" i="5" s="1"/>
  <c r="Z78" i="5"/>
  <c r="C78" i="5" a="1"/>
  <c r="C78" i="5"/>
  <c r="B78" i="5"/>
  <c r="A78" i="5"/>
  <c r="CC77" i="5"/>
  <c r="BW77" i="5"/>
  <c r="CB77" i="5" s="1"/>
  <c r="BV77" i="5"/>
  <c r="BU77" i="5"/>
  <c r="BT77" i="5"/>
  <c r="CD77" i="5" s="1"/>
  <c r="BS77" i="5"/>
  <c r="BX77" i="5" s="1"/>
  <c r="BN77" i="5"/>
  <c r="BI77" i="5"/>
  <c r="BH77" i="5"/>
  <c r="BG77" i="5"/>
  <c r="BF77" i="5"/>
  <c r="BE77" i="5"/>
  <c r="BD77" i="5"/>
  <c r="BC77" i="5"/>
  <c r="BB77" i="5"/>
  <c r="BA77" i="5"/>
  <c r="AZ77" i="5"/>
  <c r="AY77" i="5"/>
  <c r="AX77" i="5"/>
  <c r="AW77" i="5"/>
  <c r="AV77" i="5"/>
  <c r="AU77" i="5"/>
  <c r="AT77" i="5"/>
  <c r="AS77" i="5"/>
  <c r="AR77" i="5"/>
  <c r="AA77" i="5"/>
  <c r="Y77" i="5" s="1"/>
  <c r="Z77" i="5"/>
  <c r="C77" i="5" a="1"/>
  <c r="C77" i="5" s="1"/>
  <c r="B77" i="5"/>
  <c r="A77" i="5"/>
  <c r="CD76" i="5"/>
  <c r="CC76" i="5"/>
  <c r="CB76" i="5"/>
  <c r="BW76" i="5"/>
  <c r="BV76" i="5"/>
  <c r="BU76" i="5"/>
  <c r="BT76" i="5"/>
  <c r="BS76" i="5"/>
  <c r="BN76" i="5"/>
  <c r="BH76" i="5"/>
  <c r="BG76" i="5"/>
  <c r="BF76" i="5"/>
  <c r="BE76" i="5"/>
  <c r="BD76" i="5"/>
  <c r="BC76" i="5"/>
  <c r="BB76" i="5"/>
  <c r="BA76" i="5"/>
  <c r="AZ76" i="5"/>
  <c r="AY76" i="5"/>
  <c r="AX76" i="5"/>
  <c r="AW76" i="5"/>
  <c r="AV76" i="5"/>
  <c r="AU76" i="5"/>
  <c r="AT76" i="5"/>
  <c r="AS76" i="5"/>
  <c r="AR76" i="5"/>
  <c r="BI76" i="5" s="1"/>
  <c r="AA76" i="5"/>
  <c r="Y76" i="5" s="1"/>
  <c r="Z76" i="5"/>
  <c r="B76" i="5"/>
  <c r="C76" i="5" s="1" a="1"/>
  <c r="C76" i="5" s="1"/>
  <c r="A76" i="5"/>
  <c r="CC75" i="5"/>
  <c r="BX75" i="5"/>
  <c r="BW75" i="5"/>
  <c r="CB75" i="5" s="1"/>
  <c r="BV75" i="5"/>
  <c r="BU75" i="5"/>
  <c r="BT75" i="5"/>
  <c r="CD75" i="5" s="1"/>
  <c r="BS75" i="5"/>
  <c r="BN75" i="5"/>
  <c r="BH75" i="5"/>
  <c r="BG75" i="5"/>
  <c r="BF75" i="5"/>
  <c r="BE75" i="5"/>
  <c r="BD75" i="5"/>
  <c r="BC75" i="5"/>
  <c r="BB75" i="5"/>
  <c r="BA75" i="5"/>
  <c r="AZ75" i="5"/>
  <c r="AY75" i="5"/>
  <c r="AX75" i="5"/>
  <c r="AW75" i="5"/>
  <c r="AV75" i="5"/>
  <c r="AU75" i="5"/>
  <c r="AT75" i="5"/>
  <c r="AS75" i="5"/>
  <c r="AR75" i="5"/>
  <c r="BI75" i="5" s="1"/>
  <c r="AA75" i="5"/>
  <c r="Y75" i="5" s="1"/>
  <c r="Z75" i="5"/>
  <c r="B75" i="5"/>
  <c r="C75" i="5" s="1" a="1"/>
  <c r="C75" i="5" s="1"/>
  <c r="A75" i="5"/>
  <c r="CC74" i="5"/>
  <c r="CB74" i="5"/>
  <c r="BX74" i="5"/>
  <c r="BW74" i="5"/>
  <c r="BV74" i="5"/>
  <c r="BU74" i="5"/>
  <c r="BT74" i="5"/>
  <c r="CD74" i="5" s="1"/>
  <c r="BS74" i="5"/>
  <c r="BN74" i="5"/>
  <c r="BH74" i="5"/>
  <c r="BG74" i="5"/>
  <c r="BF74" i="5"/>
  <c r="BE74" i="5"/>
  <c r="BD74" i="5"/>
  <c r="BC74" i="5"/>
  <c r="BB74" i="5"/>
  <c r="BA74" i="5"/>
  <c r="AZ74" i="5"/>
  <c r="AY74" i="5"/>
  <c r="AX74" i="5"/>
  <c r="AW74" i="5"/>
  <c r="AV74" i="5"/>
  <c r="AU74" i="5"/>
  <c r="AT74" i="5"/>
  <c r="AS74" i="5"/>
  <c r="AR74" i="5"/>
  <c r="AA74" i="5"/>
  <c r="Z74" i="5"/>
  <c r="BI74" i="5" s="1"/>
  <c r="Y74" i="5"/>
  <c r="C74" i="5" a="1"/>
  <c r="C74" i="5"/>
  <c r="B74" i="5"/>
  <c r="A74" i="5"/>
  <c r="CC73" i="5"/>
  <c r="CB73" i="5"/>
  <c r="BW73" i="5"/>
  <c r="BV73" i="5"/>
  <c r="BU73" i="5"/>
  <c r="BT73" i="5"/>
  <c r="CD73" i="5" s="1"/>
  <c r="BS73" i="5"/>
  <c r="BX73" i="5" s="1"/>
  <c r="BN73" i="5"/>
  <c r="BH73" i="5"/>
  <c r="BG73" i="5"/>
  <c r="BF73" i="5"/>
  <c r="BE73" i="5"/>
  <c r="BD73" i="5"/>
  <c r="BC73" i="5"/>
  <c r="BB73" i="5"/>
  <c r="BA73" i="5"/>
  <c r="AZ73" i="5"/>
  <c r="AY73" i="5"/>
  <c r="AX73" i="5"/>
  <c r="AW73" i="5"/>
  <c r="AV73" i="5"/>
  <c r="AU73" i="5"/>
  <c r="AT73" i="5"/>
  <c r="AS73" i="5"/>
  <c r="AR73" i="5"/>
  <c r="BI73" i="5" s="1"/>
  <c r="AA73" i="5"/>
  <c r="Z73" i="5"/>
  <c r="Y73" i="5"/>
  <c r="B73" i="5"/>
  <c r="C73" i="5" s="1" a="1"/>
  <c r="C73" i="5" s="1"/>
  <c r="A73" i="5"/>
  <c r="CD72" i="5"/>
  <c r="CC72" i="5"/>
  <c r="BW72" i="5"/>
  <c r="CB72" i="5" s="1"/>
  <c r="BV72" i="5"/>
  <c r="BU72" i="5"/>
  <c r="BT72" i="5"/>
  <c r="BS72" i="5"/>
  <c r="BX72" i="5" s="1"/>
  <c r="BN72" i="5"/>
  <c r="BH72" i="5"/>
  <c r="BG72" i="5"/>
  <c r="BF72" i="5"/>
  <c r="BE72" i="5"/>
  <c r="BD72" i="5"/>
  <c r="BC72" i="5"/>
  <c r="BB72" i="5"/>
  <c r="BA72" i="5"/>
  <c r="AZ72" i="5"/>
  <c r="AY72" i="5"/>
  <c r="AX72" i="5"/>
  <c r="AW72" i="5"/>
  <c r="AV72" i="5"/>
  <c r="AU72" i="5"/>
  <c r="AT72" i="5"/>
  <c r="AS72" i="5"/>
  <c r="AR72" i="5"/>
  <c r="BI72" i="5" s="1"/>
  <c r="AA72" i="5"/>
  <c r="Z72" i="5"/>
  <c r="Y72" i="5"/>
  <c r="B72" i="5"/>
  <c r="C72" i="5" s="1" a="1"/>
  <c r="C72" i="5" s="1"/>
  <c r="A72" i="5"/>
  <c r="CC71" i="5"/>
  <c r="BW71" i="5"/>
  <c r="CB71" i="5" s="1"/>
  <c r="BV71" i="5"/>
  <c r="BU71" i="5"/>
  <c r="BT71" i="5"/>
  <c r="CD71" i="5" s="1"/>
  <c r="BS71" i="5"/>
  <c r="BN71" i="5"/>
  <c r="BX71" i="5" s="1"/>
  <c r="BH71" i="5"/>
  <c r="BG71" i="5"/>
  <c r="BF71" i="5"/>
  <c r="BE71" i="5"/>
  <c r="BD71" i="5"/>
  <c r="BC71" i="5"/>
  <c r="BB71" i="5"/>
  <c r="BA71" i="5"/>
  <c r="AZ71" i="5"/>
  <c r="AY71" i="5"/>
  <c r="AX71" i="5"/>
  <c r="AW71" i="5"/>
  <c r="AV71" i="5"/>
  <c r="AU71" i="5"/>
  <c r="AT71" i="5"/>
  <c r="AS71" i="5"/>
  <c r="AR71" i="5"/>
  <c r="BI71" i="5" s="1"/>
  <c r="AA71" i="5"/>
  <c r="Z71" i="5"/>
  <c r="Y71" i="5"/>
  <c r="C71" i="5"/>
  <c r="B71" i="5"/>
  <c r="C71" i="5" s="1" a="1"/>
  <c r="A71" i="5"/>
  <c r="CD70" i="5"/>
  <c r="CC70" i="5"/>
  <c r="BW70" i="5"/>
  <c r="CB70" i="5" s="1"/>
  <c r="BV70" i="5"/>
  <c r="BU70" i="5"/>
  <c r="BT70" i="5"/>
  <c r="BS70" i="5"/>
  <c r="BN70" i="5"/>
  <c r="BX70" i="5" s="1"/>
  <c r="BH70" i="5"/>
  <c r="BG70" i="5"/>
  <c r="BF70" i="5"/>
  <c r="BE70" i="5"/>
  <c r="BD70" i="5"/>
  <c r="BC70" i="5"/>
  <c r="BB70" i="5"/>
  <c r="BA70" i="5"/>
  <c r="AZ70" i="5"/>
  <c r="AY70" i="5"/>
  <c r="AX70" i="5"/>
  <c r="AW70" i="5"/>
  <c r="AV70" i="5"/>
  <c r="AU70" i="5"/>
  <c r="AT70" i="5"/>
  <c r="AS70" i="5"/>
  <c r="AR70" i="5"/>
  <c r="AA70" i="5"/>
  <c r="Y70" i="5" s="1"/>
  <c r="Z70" i="5"/>
  <c r="BI70" i="5" s="1"/>
  <c r="B70" i="5"/>
  <c r="C70" i="5" s="1" a="1"/>
  <c r="C70" i="5" s="1"/>
  <c r="A70" i="5"/>
  <c r="CC69" i="5"/>
  <c r="CB69" i="5"/>
  <c r="BW69" i="5"/>
  <c r="BV69" i="5"/>
  <c r="BU69" i="5"/>
  <c r="BT69" i="5"/>
  <c r="CD69" i="5" s="1"/>
  <c r="BS69" i="5"/>
  <c r="BX69" i="5" s="1"/>
  <c r="BN69" i="5"/>
  <c r="BH69" i="5"/>
  <c r="BG69" i="5"/>
  <c r="BF69" i="5"/>
  <c r="BE69" i="5"/>
  <c r="BD69" i="5"/>
  <c r="BC69" i="5"/>
  <c r="BB69" i="5"/>
  <c r="BA69" i="5"/>
  <c r="AZ69" i="5"/>
  <c r="AY69" i="5"/>
  <c r="AX69" i="5"/>
  <c r="AW69" i="5"/>
  <c r="AV69" i="5"/>
  <c r="AU69" i="5"/>
  <c r="AT69" i="5"/>
  <c r="AS69" i="5"/>
  <c r="AR69" i="5"/>
  <c r="BI69" i="5" s="1"/>
  <c r="AA69" i="5"/>
  <c r="Y69" i="5" s="1"/>
  <c r="Z69" i="5"/>
  <c r="C69" i="5"/>
  <c r="B69" i="5"/>
  <c r="C69" i="5" s="1" a="1"/>
  <c r="A69" i="5"/>
  <c r="CD68" i="5"/>
  <c r="CC68" i="5"/>
  <c r="BX68" i="5"/>
  <c r="BW68" i="5"/>
  <c r="CB68" i="5" s="1"/>
  <c r="BV68" i="5"/>
  <c r="BU68" i="5"/>
  <c r="BT68" i="5"/>
  <c r="BS68" i="5"/>
  <c r="BN68" i="5"/>
  <c r="BH68" i="5"/>
  <c r="BG68" i="5"/>
  <c r="BF68" i="5"/>
  <c r="BE68" i="5"/>
  <c r="BD68" i="5"/>
  <c r="BC68" i="5"/>
  <c r="BB68" i="5"/>
  <c r="BA68" i="5"/>
  <c r="AZ68" i="5"/>
  <c r="AY68" i="5"/>
  <c r="AX68" i="5"/>
  <c r="AW68" i="5"/>
  <c r="AV68" i="5"/>
  <c r="AU68" i="5"/>
  <c r="AT68" i="5"/>
  <c r="AS68" i="5"/>
  <c r="AR68" i="5"/>
  <c r="BI68" i="5" s="1"/>
  <c r="AA68" i="5"/>
  <c r="Y68" i="5" s="1"/>
  <c r="Z68" i="5"/>
  <c r="B68" i="5"/>
  <c r="C68" i="5" s="1" a="1"/>
  <c r="C68" i="5" s="1"/>
  <c r="A68" i="5"/>
  <c r="CC67" i="5"/>
  <c r="BW67" i="5"/>
  <c r="CB67" i="5" s="1"/>
  <c r="BV67" i="5"/>
  <c r="BU67" i="5"/>
  <c r="BT67" i="5"/>
  <c r="CD67" i="5" s="1"/>
  <c r="BS67" i="5"/>
  <c r="BX67" i="5" s="1"/>
  <c r="BN67" i="5"/>
  <c r="BH67" i="5"/>
  <c r="BG67" i="5"/>
  <c r="BF67" i="5"/>
  <c r="BE67" i="5"/>
  <c r="BD67" i="5"/>
  <c r="BC67" i="5"/>
  <c r="BB67" i="5"/>
  <c r="BA67" i="5"/>
  <c r="AZ67" i="5"/>
  <c r="AY67" i="5"/>
  <c r="AX67" i="5"/>
  <c r="AW67" i="5"/>
  <c r="AV67" i="5"/>
  <c r="AU67" i="5"/>
  <c r="AT67" i="5"/>
  <c r="AS67" i="5"/>
  <c r="AR67" i="5"/>
  <c r="BI67" i="5" s="1"/>
  <c r="AA67" i="5"/>
  <c r="Z67" i="5"/>
  <c r="Y67" i="5" s="1"/>
  <c r="C67" i="5" a="1"/>
  <c r="C67" i="5" s="1"/>
  <c r="B67" i="5"/>
  <c r="A67" i="5"/>
  <c r="CD66" i="5"/>
  <c r="CC66" i="5"/>
  <c r="BW66" i="5"/>
  <c r="CB66" i="5" s="1"/>
  <c r="BV66" i="5"/>
  <c r="BU66" i="5"/>
  <c r="BT66" i="5"/>
  <c r="BS66" i="5"/>
  <c r="BN66" i="5"/>
  <c r="BX66" i="5" s="1"/>
  <c r="BH66" i="5"/>
  <c r="BG66" i="5"/>
  <c r="BF66" i="5"/>
  <c r="BE66" i="5"/>
  <c r="BD66" i="5"/>
  <c r="BC66" i="5"/>
  <c r="BB66" i="5"/>
  <c r="BA66" i="5"/>
  <c r="AZ66" i="5"/>
  <c r="AY66" i="5"/>
  <c r="AX66" i="5"/>
  <c r="AW66" i="5"/>
  <c r="AV66" i="5"/>
  <c r="AU66" i="5"/>
  <c r="AT66" i="5"/>
  <c r="AS66" i="5"/>
  <c r="AR66" i="5"/>
  <c r="BI66" i="5" s="1"/>
  <c r="AA66" i="5"/>
  <c r="Y66" i="5" s="1"/>
  <c r="Z66" i="5"/>
  <c r="C66" i="5"/>
  <c r="B66" i="5"/>
  <c r="C66" i="5" s="1" a="1"/>
  <c r="A66" i="5"/>
  <c r="CC65" i="5"/>
  <c r="BW65" i="5"/>
  <c r="CB65" i="5" s="1"/>
  <c r="BV65" i="5"/>
  <c r="BU65" i="5"/>
  <c r="BT65" i="5"/>
  <c r="CD65" i="5" s="1"/>
  <c r="BS65" i="5"/>
  <c r="BX65" i="5" s="1"/>
  <c r="BN65" i="5"/>
  <c r="BH65" i="5"/>
  <c r="BG65" i="5"/>
  <c r="BF65" i="5"/>
  <c r="BE65" i="5"/>
  <c r="BD65" i="5"/>
  <c r="BC65" i="5"/>
  <c r="BB65" i="5"/>
  <c r="BA65" i="5"/>
  <c r="AZ65" i="5"/>
  <c r="AY65" i="5"/>
  <c r="AX65" i="5"/>
  <c r="AW65" i="5"/>
  <c r="AV65" i="5"/>
  <c r="AU65" i="5"/>
  <c r="AT65" i="5"/>
  <c r="AS65" i="5"/>
  <c r="AR65" i="5"/>
  <c r="BI65" i="5" s="1"/>
  <c r="AA65" i="5"/>
  <c r="Y65" i="5" s="1"/>
  <c r="Z65" i="5"/>
  <c r="B65" i="5"/>
  <c r="C65" i="5" s="1" a="1"/>
  <c r="C65" i="5" s="1"/>
  <c r="A65" i="5"/>
  <c r="CD64" i="5"/>
  <c r="CC64" i="5"/>
  <c r="CB64" i="5"/>
  <c r="BX64" i="5"/>
  <c r="BW64" i="5"/>
  <c r="BV64" i="5"/>
  <c r="BU64" i="5"/>
  <c r="BT64" i="5"/>
  <c r="BS64" i="5"/>
  <c r="BN64" i="5"/>
  <c r="BH64" i="5"/>
  <c r="BG64" i="5"/>
  <c r="BF64" i="5"/>
  <c r="BE64" i="5"/>
  <c r="BD64" i="5"/>
  <c r="BC64" i="5"/>
  <c r="BB64" i="5"/>
  <c r="BA64" i="5"/>
  <c r="AZ64" i="5"/>
  <c r="AY64" i="5"/>
  <c r="AX64" i="5"/>
  <c r="AW64" i="5"/>
  <c r="AV64" i="5"/>
  <c r="AU64" i="5"/>
  <c r="AT64" i="5"/>
  <c r="AS64" i="5"/>
  <c r="AR64" i="5"/>
  <c r="BI64" i="5" s="1"/>
  <c r="AA64" i="5"/>
  <c r="Z64" i="5"/>
  <c r="Y64" i="5"/>
  <c r="C64" i="5" a="1"/>
  <c r="C64" i="5"/>
  <c r="B64" i="5"/>
  <c r="A64" i="5"/>
  <c r="CC63" i="5"/>
  <c r="BW63" i="5"/>
  <c r="CB63" i="5" s="1"/>
  <c r="BV63" i="5"/>
  <c r="BU63" i="5"/>
  <c r="BT63" i="5"/>
  <c r="CD63" i="5" s="1"/>
  <c r="BS63" i="5"/>
  <c r="BX63" i="5" s="1"/>
  <c r="BN63" i="5"/>
  <c r="BI63" i="5"/>
  <c r="BH63" i="5"/>
  <c r="BG63" i="5"/>
  <c r="BF63" i="5"/>
  <c r="BE63" i="5"/>
  <c r="BD63" i="5"/>
  <c r="BC63" i="5"/>
  <c r="BB63" i="5"/>
  <c r="BA63" i="5"/>
  <c r="AZ63" i="5"/>
  <c r="AY63" i="5"/>
  <c r="AX63" i="5"/>
  <c r="AW63" i="5"/>
  <c r="AV63" i="5"/>
  <c r="AU63" i="5"/>
  <c r="AT63" i="5"/>
  <c r="AS63" i="5"/>
  <c r="AR63" i="5"/>
  <c r="AA63" i="5"/>
  <c r="Z63" i="5"/>
  <c r="Y63" i="5"/>
  <c r="C63" i="5" a="1"/>
  <c r="C63" i="5" s="1"/>
  <c r="B63" i="5"/>
  <c r="A63" i="5"/>
  <c r="CD62" i="5"/>
  <c r="CC62" i="5"/>
  <c r="CB62" i="5"/>
  <c r="BW62" i="5"/>
  <c r="BV62" i="5"/>
  <c r="BU62" i="5"/>
  <c r="BT62" i="5"/>
  <c r="BS62" i="5"/>
  <c r="BN62" i="5"/>
  <c r="BH62" i="5"/>
  <c r="BG62" i="5"/>
  <c r="BF62" i="5"/>
  <c r="BE62" i="5"/>
  <c r="BD62" i="5"/>
  <c r="BC62" i="5"/>
  <c r="BB62" i="5"/>
  <c r="BA62" i="5"/>
  <c r="AZ62" i="5"/>
  <c r="AY62" i="5"/>
  <c r="AX62" i="5"/>
  <c r="AW62" i="5"/>
  <c r="AV62" i="5"/>
  <c r="AU62" i="5"/>
  <c r="AT62" i="5"/>
  <c r="AS62" i="5"/>
  <c r="AR62" i="5"/>
  <c r="BI62" i="5" s="1"/>
  <c r="AA62" i="5"/>
  <c r="Y62" i="5" s="1"/>
  <c r="Z62" i="5"/>
  <c r="B62" i="5"/>
  <c r="C62" i="5" s="1" a="1"/>
  <c r="C62" i="5" s="1"/>
  <c r="A62" i="5"/>
  <c r="CC61" i="5"/>
  <c r="BX61" i="5"/>
  <c r="BW61" i="5"/>
  <c r="CB61" i="5" s="1"/>
  <c r="BV61" i="5"/>
  <c r="BU61" i="5"/>
  <c r="BT61" i="5"/>
  <c r="CD61" i="5" s="1"/>
  <c r="BS61" i="5"/>
  <c r="BN61" i="5"/>
  <c r="BH61" i="5"/>
  <c r="BG61" i="5"/>
  <c r="BF61" i="5"/>
  <c r="BE61" i="5"/>
  <c r="BD61" i="5"/>
  <c r="BC61" i="5"/>
  <c r="BB61" i="5"/>
  <c r="BA61" i="5"/>
  <c r="AZ61" i="5"/>
  <c r="AY61" i="5"/>
  <c r="AX61" i="5"/>
  <c r="AW61" i="5"/>
  <c r="AV61" i="5"/>
  <c r="AU61" i="5"/>
  <c r="AT61" i="5"/>
  <c r="AS61" i="5"/>
  <c r="AR61" i="5"/>
  <c r="BI61" i="5" s="1"/>
  <c r="AA61" i="5"/>
  <c r="Y61" i="5" s="1"/>
  <c r="Z61" i="5"/>
  <c r="B61" i="5"/>
  <c r="C61" i="5" s="1" a="1"/>
  <c r="C61" i="5" s="1"/>
  <c r="A61" i="5"/>
  <c r="CC60" i="5"/>
  <c r="CB60" i="5"/>
  <c r="BX60" i="5"/>
  <c r="BW60" i="5"/>
  <c r="BV60" i="5"/>
  <c r="BU60" i="5"/>
  <c r="BT60" i="5"/>
  <c r="CD60" i="5" s="1"/>
  <c r="BS60" i="5"/>
  <c r="BN60" i="5"/>
  <c r="BH60" i="5"/>
  <c r="BG60" i="5"/>
  <c r="BF60" i="5"/>
  <c r="BE60" i="5"/>
  <c r="BD60" i="5"/>
  <c r="BC60" i="5"/>
  <c r="BB60" i="5"/>
  <c r="BA60" i="5"/>
  <c r="AZ60" i="5"/>
  <c r="AY60" i="5"/>
  <c r="AX60" i="5"/>
  <c r="AW60" i="5"/>
  <c r="AV60" i="5"/>
  <c r="AU60" i="5"/>
  <c r="AT60" i="5"/>
  <c r="AS60" i="5"/>
  <c r="AR60" i="5"/>
  <c r="AA60" i="5"/>
  <c r="Z60" i="5"/>
  <c r="C60" i="5" a="1"/>
  <c r="C60" i="5" s="1"/>
  <c r="B60" i="5"/>
  <c r="A60" i="5"/>
  <c r="CC59" i="5"/>
  <c r="CB59" i="5"/>
  <c r="BX59" i="5"/>
  <c r="BW59" i="5"/>
  <c r="BV59" i="5"/>
  <c r="BU59" i="5"/>
  <c r="BT59" i="5"/>
  <c r="CD59" i="5" s="1"/>
  <c r="BS59" i="5"/>
  <c r="BN59" i="5"/>
  <c r="BI59" i="5"/>
  <c r="BH59" i="5"/>
  <c r="BG59" i="5"/>
  <c r="BF59" i="5"/>
  <c r="BE59" i="5"/>
  <c r="BD59" i="5"/>
  <c r="BC59" i="5"/>
  <c r="BB59" i="5"/>
  <c r="BA59" i="5"/>
  <c r="AZ59" i="5"/>
  <c r="AY59" i="5"/>
  <c r="AX59" i="5"/>
  <c r="AW59" i="5"/>
  <c r="AV59" i="5"/>
  <c r="AU59" i="5"/>
  <c r="AT59" i="5"/>
  <c r="AS59" i="5"/>
  <c r="AR59" i="5"/>
  <c r="AA59" i="5"/>
  <c r="Z59" i="5"/>
  <c r="Y59" i="5" s="1"/>
  <c r="C59" i="5"/>
  <c r="B59" i="5"/>
  <c r="C59" i="5" s="1" a="1"/>
  <c r="A59" i="5"/>
  <c r="CD58" i="5"/>
  <c r="CC58" i="5"/>
  <c r="BW58" i="5"/>
  <c r="CB58" i="5" s="1"/>
  <c r="BV58" i="5"/>
  <c r="BU58" i="5"/>
  <c r="BT58" i="5"/>
  <c r="BS58" i="5"/>
  <c r="BX58" i="5" s="1"/>
  <c r="BN58" i="5"/>
  <c r="BH58" i="5"/>
  <c r="BG58" i="5"/>
  <c r="BF58" i="5"/>
  <c r="BE58" i="5"/>
  <c r="BD58" i="5"/>
  <c r="BC58" i="5"/>
  <c r="BB58" i="5"/>
  <c r="BA58" i="5"/>
  <c r="AZ58" i="5"/>
  <c r="AY58" i="5"/>
  <c r="AX58" i="5"/>
  <c r="AW58" i="5"/>
  <c r="AV58" i="5"/>
  <c r="AU58" i="5"/>
  <c r="AT58" i="5"/>
  <c r="AS58" i="5"/>
  <c r="AR58" i="5"/>
  <c r="AA58" i="5"/>
  <c r="Y58" i="5" s="1"/>
  <c r="Z58" i="5"/>
  <c r="B58" i="5"/>
  <c r="C58" i="5" s="1" a="1"/>
  <c r="C58" i="5" s="1"/>
  <c r="A58" i="5"/>
  <c r="CC57" i="5"/>
  <c r="BW57" i="5"/>
  <c r="CB57" i="5" s="1"/>
  <c r="BV57" i="5"/>
  <c r="BU57" i="5"/>
  <c r="BT57" i="5"/>
  <c r="CD57" i="5" s="1"/>
  <c r="BS57" i="5"/>
  <c r="BN57" i="5"/>
  <c r="BX57" i="5" s="1"/>
  <c r="BH57" i="5"/>
  <c r="BG57" i="5"/>
  <c r="BF57" i="5"/>
  <c r="BE57" i="5"/>
  <c r="BD57" i="5"/>
  <c r="BC57" i="5"/>
  <c r="BB57" i="5"/>
  <c r="BA57" i="5"/>
  <c r="AZ57" i="5"/>
  <c r="AY57" i="5"/>
  <c r="AX57" i="5"/>
  <c r="AW57" i="5"/>
  <c r="AV57" i="5"/>
  <c r="AU57" i="5"/>
  <c r="AT57" i="5"/>
  <c r="AS57" i="5"/>
  <c r="AR57" i="5"/>
  <c r="BI57" i="5" s="1"/>
  <c r="AA57" i="5"/>
  <c r="Z57" i="5"/>
  <c r="Y57" i="5"/>
  <c r="C57" i="5" a="1"/>
  <c r="C57" i="5" s="1"/>
  <c r="B57" i="5"/>
  <c r="A57" i="5"/>
  <c r="CD56" i="5"/>
  <c r="CC56" i="5"/>
  <c r="BX56" i="5"/>
  <c r="BW56" i="5"/>
  <c r="CB56" i="5" s="1"/>
  <c r="BV56" i="5"/>
  <c r="BU56" i="5"/>
  <c r="BT56" i="5"/>
  <c r="BS56" i="5"/>
  <c r="BN56" i="5"/>
  <c r="BI56" i="5"/>
  <c r="BH56" i="5"/>
  <c r="BG56" i="5"/>
  <c r="BF56" i="5"/>
  <c r="BE56" i="5"/>
  <c r="BD56" i="5"/>
  <c r="BC56" i="5"/>
  <c r="BB56" i="5"/>
  <c r="BA56" i="5"/>
  <c r="AZ56" i="5"/>
  <c r="AY56" i="5"/>
  <c r="AX56" i="5"/>
  <c r="AW56" i="5"/>
  <c r="AV56" i="5"/>
  <c r="AU56" i="5"/>
  <c r="AT56" i="5"/>
  <c r="AS56" i="5"/>
  <c r="AR56" i="5"/>
  <c r="AA56" i="5"/>
  <c r="Y56" i="5" s="1"/>
  <c r="Z56" i="5"/>
  <c r="B56" i="5"/>
  <c r="C56" i="5" s="1" a="1"/>
  <c r="C56" i="5" s="1"/>
  <c r="A56" i="5"/>
  <c r="CC55" i="5"/>
  <c r="CB55" i="5"/>
  <c r="BX55" i="5"/>
  <c r="BW55" i="5"/>
  <c r="BV55" i="5"/>
  <c r="BU55" i="5"/>
  <c r="BT55" i="5"/>
  <c r="CD55" i="5" s="1"/>
  <c r="BS55" i="5"/>
  <c r="BN55" i="5"/>
  <c r="BH55" i="5"/>
  <c r="BG55" i="5"/>
  <c r="BF55" i="5"/>
  <c r="BE55" i="5"/>
  <c r="BD55" i="5"/>
  <c r="BC55" i="5"/>
  <c r="BB55" i="5"/>
  <c r="BA55" i="5"/>
  <c r="AZ55" i="5"/>
  <c r="AY55" i="5"/>
  <c r="AX55" i="5"/>
  <c r="AW55" i="5"/>
  <c r="AV55" i="5"/>
  <c r="AU55" i="5"/>
  <c r="AT55" i="5"/>
  <c r="AS55" i="5"/>
  <c r="AR55" i="5"/>
  <c r="BI55" i="5" s="1"/>
  <c r="AA55" i="5"/>
  <c r="Z55" i="5"/>
  <c r="Y55" i="5"/>
  <c r="C55" i="5" a="1"/>
  <c r="C55" i="5" s="1"/>
  <c r="B55" i="5"/>
  <c r="A55" i="5"/>
  <c r="CD54" i="5"/>
  <c r="CC54" i="5"/>
  <c r="BX54" i="5"/>
  <c r="BW54" i="5"/>
  <c r="CB54" i="5" s="1"/>
  <c r="BV54" i="5"/>
  <c r="BU54" i="5"/>
  <c r="BT54" i="5"/>
  <c r="BS54" i="5"/>
  <c r="BN54" i="5"/>
  <c r="BH54" i="5"/>
  <c r="BG54" i="5"/>
  <c r="BF54" i="5"/>
  <c r="BE54" i="5"/>
  <c r="BD54" i="5"/>
  <c r="BC54" i="5"/>
  <c r="BB54" i="5"/>
  <c r="BA54" i="5"/>
  <c r="AZ54" i="5"/>
  <c r="AY54" i="5"/>
  <c r="AX54" i="5"/>
  <c r="AW54" i="5"/>
  <c r="AV54" i="5"/>
  <c r="AU54" i="5"/>
  <c r="AT54" i="5"/>
  <c r="AS54" i="5"/>
  <c r="AR54" i="5"/>
  <c r="BI54" i="5" s="1"/>
  <c r="AA54" i="5"/>
  <c r="Y54" i="5" s="1"/>
  <c r="Z54" i="5"/>
  <c r="C54" i="5" a="1"/>
  <c r="C54" i="5" s="1"/>
  <c r="B54" i="5"/>
  <c r="A54" i="5"/>
  <c r="CC53" i="5"/>
  <c r="BW53" i="5"/>
  <c r="CB53" i="5" s="1"/>
  <c r="BV53" i="5"/>
  <c r="BU53" i="5"/>
  <c r="BT53" i="5"/>
  <c r="CD53" i="5" s="1"/>
  <c r="BS53" i="5"/>
  <c r="BX53" i="5" s="1"/>
  <c r="BN53" i="5"/>
  <c r="BH53" i="5"/>
  <c r="BG53" i="5"/>
  <c r="BF53" i="5"/>
  <c r="BE53" i="5"/>
  <c r="BD53" i="5"/>
  <c r="BC53" i="5"/>
  <c r="BB53" i="5"/>
  <c r="BA53" i="5"/>
  <c r="AZ53" i="5"/>
  <c r="AY53" i="5"/>
  <c r="AX53" i="5"/>
  <c r="AW53" i="5"/>
  <c r="AV53" i="5"/>
  <c r="AU53" i="5"/>
  <c r="AT53" i="5"/>
  <c r="AS53" i="5"/>
  <c r="AR53" i="5"/>
  <c r="BI53" i="5" s="1"/>
  <c r="AA53" i="5"/>
  <c r="Z53" i="5"/>
  <c r="Y53" i="5"/>
  <c r="C53" i="5" a="1"/>
  <c r="C53" i="5" s="1"/>
  <c r="B53" i="5"/>
  <c r="A53" i="5"/>
  <c r="CD52" i="5"/>
  <c r="CC52" i="5"/>
  <c r="BX52" i="5"/>
  <c r="BW52" i="5"/>
  <c r="CB52" i="5" s="1"/>
  <c r="BV52" i="5"/>
  <c r="BU52" i="5"/>
  <c r="BT52" i="5"/>
  <c r="BS52" i="5"/>
  <c r="BN52" i="5"/>
  <c r="BH52" i="5"/>
  <c r="BG52" i="5"/>
  <c r="BF52" i="5"/>
  <c r="BE52" i="5"/>
  <c r="BD52" i="5"/>
  <c r="BC52" i="5"/>
  <c r="BB52" i="5"/>
  <c r="BA52" i="5"/>
  <c r="AZ52" i="5"/>
  <c r="AY52" i="5"/>
  <c r="AX52" i="5"/>
  <c r="AW52" i="5"/>
  <c r="AV52" i="5"/>
  <c r="AU52" i="5"/>
  <c r="AT52" i="5"/>
  <c r="AS52" i="5"/>
  <c r="AR52" i="5"/>
  <c r="BI52" i="5" s="1"/>
  <c r="AA52" i="5"/>
  <c r="Y52" i="5" s="1"/>
  <c r="Z52" i="5"/>
  <c r="C52" i="5"/>
  <c r="B52" i="5"/>
  <c r="C52" i="5" s="1" a="1"/>
  <c r="A52" i="5"/>
  <c r="CC51" i="5"/>
  <c r="BW51" i="5"/>
  <c r="CB51" i="5" s="1"/>
  <c r="BV51" i="5"/>
  <c r="BU51" i="5"/>
  <c r="BT51" i="5"/>
  <c r="CD51" i="5" s="1"/>
  <c r="BS51" i="5"/>
  <c r="BX51" i="5" s="1"/>
  <c r="BN51" i="5"/>
  <c r="BH51" i="5"/>
  <c r="BG51" i="5"/>
  <c r="BF51" i="5"/>
  <c r="BE51" i="5"/>
  <c r="BD51" i="5"/>
  <c r="BC51" i="5"/>
  <c r="BB51" i="5"/>
  <c r="BA51" i="5"/>
  <c r="AZ51" i="5"/>
  <c r="AY51" i="5"/>
  <c r="AX51" i="5"/>
  <c r="AW51" i="5"/>
  <c r="AV51" i="5"/>
  <c r="AU51" i="5"/>
  <c r="AT51" i="5"/>
  <c r="AS51" i="5"/>
  <c r="AR51" i="5"/>
  <c r="BI51" i="5" s="1"/>
  <c r="AA51" i="5"/>
  <c r="Y51" i="5" s="1"/>
  <c r="Z51" i="5"/>
  <c r="B51" i="5"/>
  <c r="C51" i="5" s="1" a="1"/>
  <c r="C51" i="5" s="1"/>
  <c r="A51" i="5"/>
  <c r="CD50" i="5"/>
  <c r="CC50" i="5"/>
  <c r="CB50" i="5"/>
  <c r="BX50" i="5"/>
  <c r="BW50" i="5"/>
  <c r="BV50" i="5"/>
  <c r="BU50" i="5"/>
  <c r="BT50" i="5"/>
  <c r="BS50" i="5"/>
  <c r="BN50" i="5"/>
  <c r="BH50" i="5"/>
  <c r="BG50" i="5"/>
  <c r="BF50" i="5"/>
  <c r="BE50" i="5"/>
  <c r="BD50" i="5"/>
  <c r="BC50" i="5"/>
  <c r="BB50" i="5"/>
  <c r="BA50" i="5"/>
  <c r="AZ50" i="5"/>
  <c r="AY50" i="5"/>
  <c r="AX50" i="5"/>
  <c r="AW50" i="5"/>
  <c r="AV50" i="5"/>
  <c r="AU50" i="5"/>
  <c r="AT50" i="5"/>
  <c r="AS50" i="5"/>
  <c r="AR50" i="5"/>
  <c r="BI50" i="5" s="1"/>
  <c r="AA50" i="5"/>
  <c r="Z50" i="5"/>
  <c r="Y50" i="5"/>
  <c r="C50" i="5" a="1"/>
  <c r="C50" i="5" s="1"/>
  <c r="B50" i="5"/>
  <c r="A50" i="5"/>
  <c r="CC49" i="5"/>
  <c r="BX49" i="5"/>
  <c r="BW49" i="5"/>
  <c r="CB49" i="5" s="1"/>
  <c r="BV49" i="5"/>
  <c r="BU49" i="5"/>
  <c r="BT49" i="5"/>
  <c r="CD49" i="5" s="1"/>
  <c r="BS49" i="5"/>
  <c r="BN49" i="5"/>
  <c r="BI49" i="5"/>
  <c r="BH49" i="5"/>
  <c r="BG49" i="5"/>
  <c r="BF49" i="5"/>
  <c r="BE49" i="5"/>
  <c r="BD49" i="5"/>
  <c r="BC49" i="5"/>
  <c r="BB49" i="5"/>
  <c r="BA49" i="5"/>
  <c r="AZ49" i="5"/>
  <c r="AY49" i="5"/>
  <c r="AX49" i="5"/>
  <c r="AW49" i="5"/>
  <c r="AV49" i="5"/>
  <c r="AU49" i="5"/>
  <c r="AT49" i="5"/>
  <c r="AS49" i="5"/>
  <c r="AR49" i="5"/>
  <c r="AA49" i="5"/>
  <c r="Z49" i="5"/>
  <c r="Y49" i="5" s="1"/>
  <c r="B49" i="5"/>
  <c r="C49" i="5" s="1" a="1"/>
  <c r="C49" i="5" s="1"/>
  <c r="A49" i="5"/>
  <c r="CD48" i="5"/>
  <c r="CC48" i="5"/>
  <c r="CB48" i="5"/>
  <c r="BW48" i="5"/>
  <c r="BV48" i="5"/>
  <c r="BU48" i="5"/>
  <c r="BT48" i="5"/>
  <c r="BS48" i="5"/>
  <c r="BX48" i="5" s="1"/>
  <c r="BN48" i="5"/>
  <c r="BH48" i="5"/>
  <c r="BG48" i="5"/>
  <c r="BF48" i="5"/>
  <c r="BE48" i="5"/>
  <c r="BD48" i="5"/>
  <c r="BC48" i="5"/>
  <c r="BB48" i="5"/>
  <c r="BA48" i="5"/>
  <c r="AZ48" i="5"/>
  <c r="AY48" i="5"/>
  <c r="AX48" i="5"/>
  <c r="AW48" i="5"/>
  <c r="AV48" i="5"/>
  <c r="AU48" i="5"/>
  <c r="AT48" i="5"/>
  <c r="AS48" i="5"/>
  <c r="AR48" i="5"/>
  <c r="BI48" i="5" s="1"/>
  <c r="AA48" i="5"/>
  <c r="Y48" i="5" s="1"/>
  <c r="Z48" i="5"/>
  <c r="C48" i="5" a="1"/>
  <c r="C48" i="5" s="1"/>
  <c r="B48" i="5"/>
  <c r="A48" i="5"/>
  <c r="CC47" i="5"/>
  <c r="BX47" i="5"/>
  <c r="BW47" i="5"/>
  <c r="CB47" i="5" s="1"/>
  <c r="BV47" i="5"/>
  <c r="BU47" i="5"/>
  <c r="BT47" i="5"/>
  <c r="CD47" i="5" s="1"/>
  <c r="BS47" i="5"/>
  <c r="BN47" i="5"/>
  <c r="BH47" i="5"/>
  <c r="BG47" i="5"/>
  <c r="BF47" i="5"/>
  <c r="BE47" i="5"/>
  <c r="BD47" i="5"/>
  <c r="BC47" i="5"/>
  <c r="BB47" i="5"/>
  <c r="BA47" i="5"/>
  <c r="AZ47" i="5"/>
  <c r="AY47" i="5"/>
  <c r="AX47" i="5"/>
  <c r="AW47" i="5"/>
  <c r="AV47" i="5"/>
  <c r="AU47" i="5"/>
  <c r="AT47" i="5"/>
  <c r="AS47" i="5"/>
  <c r="AR47" i="5"/>
  <c r="BI47" i="5" s="1"/>
  <c r="AA47" i="5"/>
  <c r="Y47" i="5" s="1"/>
  <c r="Z47" i="5"/>
  <c r="C47" i="5" a="1"/>
  <c r="C47" i="5" s="1"/>
  <c r="B47" i="5"/>
  <c r="A47" i="5"/>
  <c r="CC46" i="5"/>
  <c r="BW46" i="5"/>
  <c r="CB46" i="5" s="1"/>
  <c r="BV46" i="5"/>
  <c r="BU46" i="5"/>
  <c r="BT46" i="5"/>
  <c r="CD46" i="5" s="1"/>
  <c r="BS46" i="5"/>
  <c r="BN46" i="5"/>
  <c r="BX46" i="5" s="1"/>
  <c r="BH46" i="5"/>
  <c r="BG46" i="5"/>
  <c r="BF46" i="5"/>
  <c r="BE46" i="5"/>
  <c r="BD46" i="5"/>
  <c r="BC46" i="5"/>
  <c r="BB46" i="5"/>
  <c r="BA46" i="5"/>
  <c r="AZ46" i="5"/>
  <c r="AY46" i="5"/>
  <c r="AX46" i="5"/>
  <c r="AW46" i="5"/>
  <c r="AV46" i="5"/>
  <c r="AU46" i="5"/>
  <c r="AT46" i="5"/>
  <c r="AS46" i="5"/>
  <c r="AR46" i="5"/>
  <c r="AA46" i="5"/>
  <c r="Z46" i="5"/>
  <c r="C46" i="5" a="1"/>
  <c r="C46" i="5" s="1"/>
  <c r="B46" i="5"/>
  <c r="A46" i="5"/>
  <c r="CD45" i="5"/>
  <c r="CC45" i="5"/>
  <c r="CB45" i="5"/>
  <c r="BW45" i="5"/>
  <c r="BV45" i="5"/>
  <c r="BU45" i="5"/>
  <c r="BT45" i="5"/>
  <c r="BS45" i="5"/>
  <c r="BN45" i="5"/>
  <c r="BX45" i="5" s="1"/>
  <c r="BI45" i="5"/>
  <c r="BH45" i="5"/>
  <c r="BG45" i="5"/>
  <c r="BF45" i="5"/>
  <c r="BE45" i="5"/>
  <c r="BD45" i="5"/>
  <c r="BC45" i="5"/>
  <c r="BB45" i="5"/>
  <c r="BA45" i="5"/>
  <c r="AZ45" i="5"/>
  <c r="AY45" i="5"/>
  <c r="AX45" i="5"/>
  <c r="AW45" i="5"/>
  <c r="AV45" i="5"/>
  <c r="AU45" i="5"/>
  <c r="AT45" i="5"/>
  <c r="AS45" i="5"/>
  <c r="AR45" i="5"/>
  <c r="AA45" i="5"/>
  <c r="Z45" i="5"/>
  <c r="Y45" i="5"/>
  <c r="C45" i="5"/>
  <c r="B45" i="5"/>
  <c r="C45" i="5" s="1" a="1"/>
  <c r="A45" i="5"/>
  <c r="CD44" i="5"/>
  <c r="CC44" i="5"/>
  <c r="CB44" i="5"/>
  <c r="BW44" i="5"/>
  <c r="BV44" i="5"/>
  <c r="BU44" i="5"/>
  <c r="BT44" i="5"/>
  <c r="BS44" i="5"/>
  <c r="BX44" i="5" s="1"/>
  <c r="BN44" i="5"/>
  <c r="BH44" i="5"/>
  <c r="BG44" i="5"/>
  <c r="BF44" i="5"/>
  <c r="BE44" i="5"/>
  <c r="BD44" i="5"/>
  <c r="BC44" i="5"/>
  <c r="BB44" i="5"/>
  <c r="BA44" i="5"/>
  <c r="AZ44" i="5"/>
  <c r="AY44" i="5"/>
  <c r="AX44" i="5"/>
  <c r="AW44" i="5"/>
  <c r="AV44" i="5"/>
  <c r="AU44" i="5"/>
  <c r="AT44" i="5"/>
  <c r="AS44" i="5"/>
  <c r="AR44" i="5"/>
  <c r="BI44" i="5" s="1"/>
  <c r="AA44" i="5"/>
  <c r="Y44" i="5" s="1"/>
  <c r="Z44" i="5"/>
  <c r="C44" i="5" a="1"/>
  <c r="C44" i="5"/>
  <c r="B44" i="5"/>
  <c r="A44" i="5"/>
  <c r="CC43" i="5"/>
  <c r="BX43" i="5"/>
  <c r="BW43" i="5"/>
  <c r="CB43" i="5" s="1"/>
  <c r="BV43" i="5"/>
  <c r="BU43" i="5"/>
  <c r="BT43" i="5"/>
  <c r="CD43" i="5" s="1"/>
  <c r="BS43" i="5"/>
  <c r="BN43" i="5"/>
  <c r="BH43" i="5"/>
  <c r="BG43" i="5"/>
  <c r="BF43" i="5"/>
  <c r="BE43" i="5"/>
  <c r="BD43" i="5"/>
  <c r="BC43" i="5"/>
  <c r="BB43" i="5"/>
  <c r="BA43" i="5"/>
  <c r="AZ43" i="5"/>
  <c r="AY43" i="5"/>
  <c r="AX43" i="5"/>
  <c r="AW43" i="5"/>
  <c r="AV43" i="5"/>
  <c r="AU43" i="5"/>
  <c r="AT43" i="5"/>
  <c r="AS43" i="5"/>
  <c r="AR43" i="5"/>
  <c r="BI43" i="5" s="1"/>
  <c r="AA43" i="5"/>
  <c r="Z43" i="5"/>
  <c r="Y43" i="5"/>
  <c r="B43" i="5"/>
  <c r="C43" i="5" s="1" a="1"/>
  <c r="C43" i="5" s="1"/>
  <c r="A43" i="5"/>
  <c r="CC42" i="5"/>
  <c r="CB42" i="5"/>
  <c r="BX42" i="5"/>
  <c r="BW42" i="5"/>
  <c r="BV42" i="5"/>
  <c r="BU42" i="5"/>
  <c r="BT42" i="5"/>
  <c r="CD42" i="5" s="1"/>
  <c r="BS42" i="5"/>
  <c r="BN42" i="5"/>
  <c r="BI42" i="5"/>
  <c r="BH42" i="5"/>
  <c r="BG42" i="5"/>
  <c r="BF42" i="5"/>
  <c r="BE42" i="5"/>
  <c r="BD42" i="5"/>
  <c r="BC42" i="5"/>
  <c r="BB42" i="5"/>
  <c r="BA42" i="5"/>
  <c r="AZ42" i="5"/>
  <c r="AY42" i="5"/>
  <c r="AX42" i="5"/>
  <c r="AW42" i="5"/>
  <c r="AV42" i="5"/>
  <c r="AU42" i="5"/>
  <c r="AT42" i="5"/>
  <c r="AS42" i="5"/>
  <c r="AR42" i="5"/>
  <c r="AA42" i="5"/>
  <c r="Z42" i="5"/>
  <c r="Y42" i="5"/>
  <c r="B42" i="5"/>
  <c r="C42" i="5" s="1" a="1"/>
  <c r="C42" i="5" s="1"/>
  <c r="A42" i="5"/>
  <c r="CD41" i="5"/>
  <c r="CC41" i="5"/>
  <c r="CB41" i="5"/>
  <c r="BW41" i="5"/>
  <c r="BV41" i="5"/>
  <c r="BU41" i="5"/>
  <c r="BT41" i="5"/>
  <c r="BS41" i="5"/>
  <c r="BN41" i="5"/>
  <c r="BX41" i="5" s="1"/>
  <c r="BH41" i="5"/>
  <c r="BG41" i="5"/>
  <c r="BF41" i="5"/>
  <c r="BE41" i="5"/>
  <c r="BD41" i="5"/>
  <c r="BC41" i="5"/>
  <c r="BB41" i="5"/>
  <c r="BA41" i="5"/>
  <c r="AZ41" i="5"/>
  <c r="AY41" i="5"/>
  <c r="AX41" i="5"/>
  <c r="AW41" i="5"/>
  <c r="AV41" i="5"/>
  <c r="AU41" i="5"/>
  <c r="AT41" i="5"/>
  <c r="AS41" i="5"/>
  <c r="AR41" i="5"/>
  <c r="AA41" i="5"/>
  <c r="Z41" i="5"/>
  <c r="Y41" i="5" s="1"/>
  <c r="C41" i="5" a="1"/>
  <c r="C41" i="5" s="1"/>
  <c r="B41" i="5"/>
  <c r="A41" i="5"/>
  <c r="CD40" i="5"/>
  <c r="CC40" i="5"/>
  <c r="BX40" i="5"/>
  <c r="BW40" i="5"/>
  <c r="CB40" i="5" s="1"/>
  <c r="BV40" i="5"/>
  <c r="BU40" i="5"/>
  <c r="BT40" i="5"/>
  <c r="BS40" i="5"/>
  <c r="BN40" i="5"/>
  <c r="BI40" i="5"/>
  <c r="BH40" i="5"/>
  <c r="BG40" i="5"/>
  <c r="BF40" i="5"/>
  <c r="BE40" i="5"/>
  <c r="BD40" i="5"/>
  <c r="BC40" i="5"/>
  <c r="BB40" i="5"/>
  <c r="BA40" i="5"/>
  <c r="AZ40" i="5"/>
  <c r="AY40" i="5"/>
  <c r="AX40" i="5"/>
  <c r="AW40" i="5"/>
  <c r="AV40" i="5"/>
  <c r="AU40" i="5"/>
  <c r="AT40" i="5"/>
  <c r="AS40" i="5"/>
  <c r="AR40" i="5"/>
  <c r="AA40" i="5"/>
  <c r="Y40" i="5" s="1"/>
  <c r="Z40" i="5"/>
  <c r="C40" i="5" a="1"/>
  <c r="C40" i="5" s="1"/>
  <c r="B40" i="5"/>
  <c r="A40" i="5"/>
  <c r="CC39" i="5"/>
  <c r="BX39" i="5"/>
  <c r="BW39" i="5"/>
  <c r="CB39" i="5" s="1"/>
  <c r="BV39" i="5"/>
  <c r="BU39" i="5"/>
  <c r="BT39" i="5"/>
  <c r="CD39" i="5" s="1"/>
  <c r="BS39" i="5"/>
  <c r="BN39" i="5"/>
  <c r="BI39" i="5"/>
  <c r="BH39" i="5"/>
  <c r="BG39" i="5"/>
  <c r="BF39" i="5"/>
  <c r="BE39" i="5"/>
  <c r="BD39" i="5"/>
  <c r="BC39" i="5"/>
  <c r="BB39" i="5"/>
  <c r="BA39" i="5"/>
  <c r="AZ39" i="5"/>
  <c r="AY39" i="5"/>
  <c r="AX39" i="5"/>
  <c r="AW39" i="5"/>
  <c r="AV39" i="5"/>
  <c r="AU39" i="5"/>
  <c r="AT39" i="5"/>
  <c r="AS39" i="5"/>
  <c r="AR39" i="5"/>
  <c r="AA39" i="5"/>
  <c r="Z39" i="5"/>
  <c r="Y39" i="5" s="1"/>
  <c r="C39" i="5" a="1"/>
  <c r="C39" i="5" s="1"/>
  <c r="B39" i="5"/>
  <c r="A39" i="5"/>
  <c r="CC38" i="5"/>
  <c r="CB38" i="5"/>
  <c r="BW38" i="5"/>
  <c r="BV38" i="5"/>
  <c r="BU38" i="5"/>
  <c r="BT38" i="5"/>
  <c r="CD38" i="5" s="1"/>
  <c r="BS38" i="5"/>
  <c r="BN38" i="5"/>
  <c r="BX38" i="5" s="1"/>
  <c r="BI38" i="5"/>
  <c r="BH38" i="5"/>
  <c r="BG38" i="5"/>
  <c r="BF38" i="5"/>
  <c r="BE38" i="5"/>
  <c r="BD38" i="5"/>
  <c r="BC38" i="5"/>
  <c r="BB38" i="5"/>
  <c r="BA38" i="5"/>
  <c r="AZ38" i="5"/>
  <c r="AY38" i="5"/>
  <c r="AX38" i="5"/>
  <c r="AW38" i="5"/>
  <c r="AV38" i="5"/>
  <c r="AU38" i="5"/>
  <c r="AT38" i="5"/>
  <c r="AS38" i="5"/>
  <c r="AR38" i="5"/>
  <c r="AA38" i="5"/>
  <c r="Z38" i="5"/>
  <c r="Y38" i="5"/>
  <c r="B38" i="5"/>
  <c r="C38" i="5" s="1" a="1"/>
  <c r="C38" i="5" s="1"/>
  <c r="A38" i="5"/>
  <c r="CC37" i="5"/>
  <c r="BW37" i="5"/>
  <c r="CB37" i="5" s="1"/>
  <c r="BV37" i="5"/>
  <c r="BU37" i="5"/>
  <c r="BT37" i="5"/>
  <c r="CD37" i="5" s="1"/>
  <c r="BS37" i="5"/>
  <c r="BN37" i="5"/>
  <c r="BH37" i="5"/>
  <c r="BG37" i="5"/>
  <c r="BF37" i="5"/>
  <c r="BE37" i="5"/>
  <c r="BD37" i="5"/>
  <c r="BC37" i="5"/>
  <c r="BB37" i="5"/>
  <c r="BA37" i="5"/>
  <c r="AZ37" i="5"/>
  <c r="AY37" i="5"/>
  <c r="AX37" i="5"/>
  <c r="AW37" i="5"/>
  <c r="AV37" i="5"/>
  <c r="AU37" i="5"/>
  <c r="AT37" i="5"/>
  <c r="AS37" i="5"/>
  <c r="AR37" i="5"/>
  <c r="BI37" i="5" s="1"/>
  <c r="AA37" i="5"/>
  <c r="Z37" i="5"/>
  <c r="B37" i="5"/>
  <c r="C37" i="5" s="1" a="1"/>
  <c r="C37" i="5" s="1"/>
  <c r="A37" i="5"/>
  <c r="CD36" i="5"/>
  <c r="CC36" i="5"/>
  <c r="BW36" i="5"/>
  <c r="CB36" i="5" s="1"/>
  <c r="BV36" i="5"/>
  <c r="BU36" i="5"/>
  <c r="BT36" i="5"/>
  <c r="BS36" i="5"/>
  <c r="BN36" i="5"/>
  <c r="BX36" i="5" s="1"/>
  <c r="BH36" i="5"/>
  <c r="BG36" i="5"/>
  <c r="BF36" i="5"/>
  <c r="BE36" i="5"/>
  <c r="BD36" i="5"/>
  <c r="BC36" i="5"/>
  <c r="BB36" i="5"/>
  <c r="BA36" i="5"/>
  <c r="AZ36" i="5"/>
  <c r="AY36" i="5"/>
  <c r="AX36" i="5"/>
  <c r="AW36" i="5"/>
  <c r="AV36" i="5"/>
  <c r="AU36" i="5"/>
  <c r="AT36" i="5"/>
  <c r="AS36" i="5"/>
  <c r="AR36" i="5"/>
  <c r="BI36" i="5" s="1"/>
  <c r="AA36" i="5"/>
  <c r="Y36" i="5" s="1"/>
  <c r="Z36" i="5"/>
  <c r="C36" i="5" a="1"/>
  <c r="C36" i="5" s="1"/>
  <c r="B36" i="5"/>
  <c r="A36" i="5"/>
  <c r="CD35" i="5"/>
  <c r="CC35" i="5"/>
  <c r="BW35" i="5"/>
  <c r="CB35" i="5" s="1"/>
  <c r="BV35" i="5"/>
  <c r="BU35" i="5"/>
  <c r="BT35" i="5"/>
  <c r="BS35" i="5"/>
  <c r="BN35" i="5"/>
  <c r="BX35" i="5" s="1"/>
  <c r="BI35" i="5"/>
  <c r="BH35" i="5"/>
  <c r="BG35" i="5"/>
  <c r="BF35" i="5"/>
  <c r="BE35" i="5"/>
  <c r="BD35" i="5"/>
  <c r="BC35" i="5"/>
  <c r="BB35" i="5"/>
  <c r="BA35" i="5"/>
  <c r="AZ35" i="5"/>
  <c r="AY35" i="5"/>
  <c r="AX35" i="5"/>
  <c r="AW35" i="5"/>
  <c r="AV35" i="5"/>
  <c r="AU35" i="5"/>
  <c r="AT35" i="5"/>
  <c r="AS35" i="5"/>
  <c r="AR35" i="5"/>
  <c r="AA35" i="5"/>
  <c r="Z35" i="5"/>
  <c r="Y35" i="5"/>
  <c r="C35" i="5" a="1"/>
  <c r="C35" i="5" s="1"/>
  <c r="B35" i="5"/>
  <c r="A35" i="5"/>
  <c r="CC34" i="5"/>
  <c r="CB34" i="5"/>
  <c r="BW34" i="5"/>
  <c r="BV34" i="5"/>
  <c r="BU34" i="5"/>
  <c r="BT34" i="5"/>
  <c r="CD34" i="5" s="1"/>
  <c r="BS34" i="5"/>
  <c r="BN34" i="5"/>
  <c r="BH34" i="5"/>
  <c r="BG34" i="5"/>
  <c r="BF34" i="5"/>
  <c r="BE34" i="5"/>
  <c r="BD34" i="5"/>
  <c r="BC34" i="5"/>
  <c r="BB34" i="5"/>
  <c r="BA34" i="5"/>
  <c r="AZ34" i="5"/>
  <c r="AY34" i="5"/>
  <c r="AX34" i="5"/>
  <c r="AW34" i="5"/>
  <c r="AV34" i="5"/>
  <c r="AU34" i="5"/>
  <c r="AT34" i="5"/>
  <c r="AS34" i="5"/>
  <c r="AR34" i="5"/>
  <c r="BI34" i="5" s="1"/>
  <c r="AA34" i="5"/>
  <c r="Z34" i="5"/>
  <c r="Y34" i="5"/>
  <c r="C34" i="5" a="1"/>
  <c r="C34" i="5" s="1"/>
  <c r="B34" i="5"/>
  <c r="A34" i="5"/>
  <c r="CC33" i="5"/>
  <c r="BX33" i="5"/>
  <c r="BW33" i="5"/>
  <c r="CB33" i="5" s="1"/>
  <c r="BV33" i="5"/>
  <c r="BU33" i="5"/>
  <c r="BT33" i="5"/>
  <c r="CD33" i="5" s="1"/>
  <c r="BS33" i="5"/>
  <c r="BN33" i="5"/>
  <c r="BI33" i="5"/>
  <c r="BH33" i="5"/>
  <c r="BG33" i="5"/>
  <c r="BF33" i="5"/>
  <c r="BE33" i="5"/>
  <c r="BD33" i="5"/>
  <c r="BC33" i="5"/>
  <c r="BB33" i="5"/>
  <c r="BA33" i="5"/>
  <c r="AZ33" i="5"/>
  <c r="AY33" i="5"/>
  <c r="AX33" i="5"/>
  <c r="AW33" i="5"/>
  <c r="AV33" i="5"/>
  <c r="AU33" i="5"/>
  <c r="AT33" i="5"/>
  <c r="AS33" i="5"/>
  <c r="AR33" i="5"/>
  <c r="AA33" i="5"/>
  <c r="Z33" i="5"/>
  <c r="C33" i="5"/>
  <c r="B33" i="5"/>
  <c r="C33" i="5" s="1" a="1"/>
  <c r="A33" i="5"/>
  <c r="CC32" i="5"/>
  <c r="BX32" i="5"/>
  <c r="BW32" i="5"/>
  <c r="CB32" i="5" s="1"/>
  <c r="BV32" i="5"/>
  <c r="BU32" i="5"/>
  <c r="BT32" i="5"/>
  <c r="CD32" i="5" s="1"/>
  <c r="BS32" i="5"/>
  <c r="BN32" i="5"/>
  <c r="BI32" i="5"/>
  <c r="BH32" i="5"/>
  <c r="BG32" i="5"/>
  <c r="BF32" i="5"/>
  <c r="BE32" i="5"/>
  <c r="BD32" i="5"/>
  <c r="BC32" i="5"/>
  <c r="BB32" i="5"/>
  <c r="BA32" i="5"/>
  <c r="AZ32" i="5"/>
  <c r="AY32" i="5"/>
  <c r="AX32" i="5"/>
  <c r="AW32" i="5"/>
  <c r="AV32" i="5"/>
  <c r="AU32" i="5"/>
  <c r="AT32" i="5"/>
  <c r="AS32" i="5"/>
  <c r="AR32" i="5"/>
  <c r="AA32" i="5"/>
  <c r="Z32" i="5"/>
  <c r="Y32" i="5"/>
  <c r="C32" i="5" a="1"/>
  <c r="C32" i="5" s="1"/>
  <c r="B32" i="5"/>
  <c r="A32" i="5"/>
  <c r="CC31" i="5"/>
  <c r="CB31" i="5"/>
  <c r="BX31" i="5"/>
  <c r="BW31" i="5"/>
  <c r="BV31" i="5"/>
  <c r="BU31" i="5"/>
  <c r="BT31" i="5"/>
  <c r="CD31" i="5" s="1"/>
  <c r="BS31" i="5"/>
  <c r="BN31" i="5"/>
  <c r="BH31" i="5"/>
  <c r="BG31" i="5"/>
  <c r="BF31" i="5"/>
  <c r="BE31" i="5"/>
  <c r="BD31" i="5"/>
  <c r="BC31" i="5"/>
  <c r="BB31" i="5"/>
  <c r="BA31" i="5"/>
  <c r="AZ31" i="5"/>
  <c r="AY31" i="5"/>
  <c r="AX31" i="5"/>
  <c r="AW31" i="5"/>
  <c r="AV31" i="5"/>
  <c r="AU31" i="5"/>
  <c r="AT31" i="5"/>
  <c r="AS31" i="5"/>
  <c r="AR31" i="5"/>
  <c r="AA31" i="5"/>
  <c r="Z31" i="5"/>
  <c r="Y31" i="5"/>
  <c r="C31" i="5"/>
  <c r="B31" i="5"/>
  <c r="C31" i="5" s="1" a="1"/>
  <c r="A31" i="5"/>
  <c r="CC30" i="5"/>
  <c r="CB30" i="5"/>
  <c r="BW30" i="5"/>
  <c r="BV30" i="5"/>
  <c r="BU30" i="5"/>
  <c r="BT30" i="5"/>
  <c r="CD30" i="5" s="1"/>
  <c r="BS30" i="5"/>
  <c r="BX30" i="5" s="1"/>
  <c r="BN30" i="5"/>
  <c r="BH30" i="5"/>
  <c r="BG30" i="5"/>
  <c r="BF30" i="5"/>
  <c r="BE30" i="5"/>
  <c r="BD30" i="5"/>
  <c r="BC30" i="5"/>
  <c r="BB30" i="5"/>
  <c r="BA30" i="5"/>
  <c r="AZ30" i="5"/>
  <c r="AY30" i="5"/>
  <c r="AX30" i="5"/>
  <c r="AW30" i="5"/>
  <c r="AV30" i="5"/>
  <c r="AU30" i="5"/>
  <c r="AT30" i="5"/>
  <c r="AS30" i="5"/>
  <c r="AR30" i="5"/>
  <c r="BI30" i="5" s="1"/>
  <c r="AA30" i="5"/>
  <c r="Y30" i="5" s="1"/>
  <c r="Z30" i="5"/>
  <c r="C30" i="5" a="1"/>
  <c r="C30" i="5" s="1"/>
  <c r="B30" i="5"/>
  <c r="A30" i="5"/>
  <c r="CC29" i="5"/>
  <c r="BX29" i="5"/>
  <c r="BW29" i="5"/>
  <c r="CB29" i="5" s="1"/>
  <c r="BV29" i="5"/>
  <c r="BU29" i="5"/>
  <c r="BT29" i="5"/>
  <c r="CD29" i="5" s="1"/>
  <c r="BS29" i="5"/>
  <c r="BN29" i="5"/>
  <c r="BI29" i="5"/>
  <c r="BH29" i="5"/>
  <c r="BG29" i="5"/>
  <c r="BF29" i="5"/>
  <c r="BE29" i="5"/>
  <c r="BD29" i="5"/>
  <c r="BC29" i="5"/>
  <c r="BB29" i="5"/>
  <c r="BA29" i="5"/>
  <c r="AZ29" i="5"/>
  <c r="AY29" i="5"/>
  <c r="AX29" i="5"/>
  <c r="AW29" i="5"/>
  <c r="AV29" i="5"/>
  <c r="AU29" i="5"/>
  <c r="AT29" i="5"/>
  <c r="AS29" i="5"/>
  <c r="AR29" i="5"/>
  <c r="AA29" i="5"/>
  <c r="Z29" i="5"/>
  <c r="Y29" i="5"/>
  <c r="B29" i="5"/>
  <c r="C29" i="5" s="1" a="1"/>
  <c r="C29" i="5" s="1"/>
  <c r="A29" i="5"/>
  <c r="CD28" i="5"/>
  <c r="CC28" i="5"/>
  <c r="CB28" i="5"/>
  <c r="BW28" i="5"/>
  <c r="BV28" i="5"/>
  <c r="BU28" i="5"/>
  <c r="BT28" i="5"/>
  <c r="BS28" i="5"/>
  <c r="BN28" i="5"/>
  <c r="BH28" i="5"/>
  <c r="BG28" i="5"/>
  <c r="BF28" i="5"/>
  <c r="BE28" i="5"/>
  <c r="BD28" i="5"/>
  <c r="BC28" i="5"/>
  <c r="BB28" i="5"/>
  <c r="BA28" i="5"/>
  <c r="AZ28" i="5"/>
  <c r="AY28" i="5"/>
  <c r="AX28" i="5"/>
  <c r="AW28" i="5"/>
  <c r="AV28" i="5"/>
  <c r="AU28" i="5"/>
  <c r="AT28" i="5"/>
  <c r="AS28" i="5"/>
  <c r="AR28" i="5"/>
  <c r="AA28" i="5"/>
  <c r="Z28" i="5"/>
  <c r="BI28" i="5" s="1"/>
  <c r="Y28" i="5"/>
  <c r="B28" i="5"/>
  <c r="C28" i="5" s="1" a="1"/>
  <c r="C28" i="5" s="1"/>
  <c r="A28" i="5"/>
  <c r="CC27" i="5"/>
  <c r="CB27" i="5"/>
  <c r="BW27" i="5"/>
  <c r="BV27" i="5"/>
  <c r="BU27" i="5"/>
  <c r="BT27" i="5"/>
  <c r="CD27" i="5" s="1"/>
  <c r="BS27" i="5"/>
  <c r="BN27" i="5"/>
  <c r="BX27" i="5" s="1"/>
  <c r="BH27" i="5"/>
  <c r="BG27" i="5"/>
  <c r="BF27" i="5"/>
  <c r="BE27" i="5"/>
  <c r="BD27" i="5"/>
  <c r="BC27" i="5"/>
  <c r="BB27" i="5"/>
  <c r="BA27" i="5"/>
  <c r="AZ27" i="5"/>
  <c r="AY27" i="5"/>
  <c r="AX27" i="5"/>
  <c r="AW27" i="5"/>
  <c r="AV27" i="5"/>
  <c r="AU27" i="5"/>
  <c r="AT27" i="5"/>
  <c r="AS27" i="5"/>
  <c r="AR27" i="5"/>
  <c r="AA27" i="5"/>
  <c r="Z27" i="5"/>
  <c r="Y27" i="5"/>
  <c r="B27" i="5"/>
  <c r="C27" i="5" s="1" a="1"/>
  <c r="C27" i="5" s="1"/>
  <c r="A27" i="5"/>
  <c r="CC26" i="5"/>
  <c r="BX26" i="5"/>
  <c r="BW26" i="5"/>
  <c r="CB26" i="5" s="1"/>
  <c r="BV26" i="5"/>
  <c r="BU26" i="5"/>
  <c r="BT26" i="5"/>
  <c r="CD26" i="5" s="1"/>
  <c r="BS26" i="5"/>
  <c r="BN26" i="5"/>
  <c r="BI26" i="5"/>
  <c r="BH26" i="5"/>
  <c r="BG26" i="5"/>
  <c r="BF26" i="5"/>
  <c r="BE26" i="5"/>
  <c r="BD26" i="5"/>
  <c r="BC26" i="5"/>
  <c r="BB26" i="5"/>
  <c r="BA26" i="5"/>
  <c r="AZ26" i="5"/>
  <c r="AY26" i="5"/>
  <c r="AX26" i="5"/>
  <c r="AW26" i="5"/>
  <c r="AV26" i="5"/>
  <c r="AU26" i="5"/>
  <c r="AT26" i="5"/>
  <c r="AS26" i="5"/>
  <c r="AR26" i="5"/>
  <c r="AA26" i="5"/>
  <c r="Y26" i="5" s="1"/>
  <c r="Z26" i="5"/>
  <c r="C26" i="5" a="1"/>
  <c r="C26" i="5" s="1"/>
  <c r="B26" i="5"/>
  <c r="A26" i="5"/>
  <c r="CC25" i="5"/>
  <c r="CB25" i="5"/>
  <c r="BW25" i="5"/>
  <c r="BV25" i="5"/>
  <c r="BU25" i="5"/>
  <c r="BT25" i="5"/>
  <c r="CD25" i="5" s="1"/>
  <c r="BS25" i="5"/>
  <c r="BN25" i="5"/>
  <c r="BX25" i="5" s="1"/>
  <c r="BI25" i="5"/>
  <c r="BH25" i="5"/>
  <c r="BG25" i="5"/>
  <c r="BF25" i="5"/>
  <c r="BE25" i="5"/>
  <c r="BD25" i="5"/>
  <c r="BC25" i="5"/>
  <c r="BB25" i="5"/>
  <c r="BA25" i="5"/>
  <c r="AZ25" i="5"/>
  <c r="AY25" i="5"/>
  <c r="AX25" i="5"/>
  <c r="AW25" i="5"/>
  <c r="AV25" i="5"/>
  <c r="AU25" i="5"/>
  <c r="AT25" i="5"/>
  <c r="AS25" i="5"/>
  <c r="AR25" i="5"/>
  <c r="AA25" i="5"/>
  <c r="Z25" i="5"/>
  <c r="Y25" i="5"/>
  <c r="C25" i="5" a="1"/>
  <c r="C25" i="5" s="1"/>
  <c r="B25" i="5"/>
  <c r="A25" i="5"/>
  <c r="CD24" i="5"/>
  <c r="CC24" i="5"/>
  <c r="CB24" i="5"/>
  <c r="BW24" i="5"/>
  <c r="BV24" i="5"/>
  <c r="BU24" i="5"/>
  <c r="BT24" i="5"/>
  <c r="BS24" i="5"/>
  <c r="BX24" i="5" s="1"/>
  <c r="BN24" i="5"/>
  <c r="BH24" i="5"/>
  <c r="BG24" i="5"/>
  <c r="BF24" i="5"/>
  <c r="BE24" i="5"/>
  <c r="BD24" i="5"/>
  <c r="BC24" i="5"/>
  <c r="BB24" i="5"/>
  <c r="BA24" i="5"/>
  <c r="AZ24" i="5"/>
  <c r="AY24" i="5"/>
  <c r="AX24" i="5"/>
  <c r="AW24" i="5"/>
  <c r="AV24" i="5"/>
  <c r="AU24" i="5"/>
  <c r="AT24" i="5"/>
  <c r="AS24" i="5"/>
  <c r="AR24" i="5"/>
  <c r="AA24" i="5"/>
  <c r="Z24" i="5"/>
  <c r="Y24" i="5" s="1"/>
  <c r="B24" i="5"/>
  <c r="C24" i="5" s="1" a="1"/>
  <c r="C24" i="5" s="1"/>
  <c r="A24" i="5"/>
  <c r="CD23" i="5"/>
  <c r="CC23" i="5"/>
  <c r="BW23" i="5"/>
  <c r="CB23" i="5" s="1"/>
  <c r="BV23" i="5"/>
  <c r="BU23" i="5"/>
  <c r="BT23" i="5"/>
  <c r="BS23" i="5"/>
  <c r="BN23" i="5"/>
  <c r="BH23" i="5"/>
  <c r="BG23" i="5"/>
  <c r="BF23" i="5"/>
  <c r="BE23" i="5"/>
  <c r="BD23" i="5"/>
  <c r="BC23" i="5"/>
  <c r="BB23" i="5"/>
  <c r="BA23" i="5"/>
  <c r="AZ23" i="5"/>
  <c r="AY23" i="5"/>
  <c r="AX23" i="5"/>
  <c r="AW23" i="5"/>
  <c r="AV23" i="5"/>
  <c r="AU23" i="5"/>
  <c r="AT23" i="5"/>
  <c r="AS23" i="5"/>
  <c r="AR23" i="5"/>
  <c r="AA23" i="5"/>
  <c r="Z23" i="5"/>
  <c r="B23" i="5"/>
  <c r="C23" i="5" s="1" a="1"/>
  <c r="C23" i="5" s="1"/>
  <c r="A23" i="5"/>
  <c r="CD22" i="5"/>
  <c r="CC22" i="5"/>
  <c r="BX22" i="5"/>
  <c r="BW22" i="5"/>
  <c r="CB22" i="5" s="1"/>
  <c r="BV22" i="5"/>
  <c r="BU22" i="5"/>
  <c r="BT22" i="5"/>
  <c r="BS22" i="5"/>
  <c r="BN22" i="5"/>
  <c r="BH22" i="5"/>
  <c r="BG22" i="5"/>
  <c r="BF22" i="5"/>
  <c r="BE22" i="5"/>
  <c r="BD22" i="5"/>
  <c r="BC22" i="5"/>
  <c r="BB22" i="5"/>
  <c r="BA22" i="5"/>
  <c r="AZ22" i="5"/>
  <c r="AY22" i="5"/>
  <c r="AX22" i="5"/>
  <c r="AW22" i="5"/>
  <c r="AV22" i="5"/>
  <c r="AU22" i="5"/>
  <c r="AT22" i="5"/>
  <c r="AS22" i="5"/>
  <c r="AR22" i="5"/>
  <c r="BI22" i="5" s="1"/>
  <c r="AA22" i="5"/>
  <c r="Y22" i="5" s="1"/>
  <c r="Z22" i="5"/>
  <c r="C22" i="5" a="1"/>
  <c r="C22" i="5" s="1"/>
  <c r="B22" i="5"/>
  <c r="A22" i="5"/>
  <c r="CC21" i="5"/>
  <c r="CB21" i="5"/>
  <c r="BW21" i="5"/>
  <c r="BV21" i="5"/>
  <c r="BU21" i="5"/>
  <c r="BT21" i="5"/>
  <c r="CD21" i="5" s="1"/>
  <c r="BS21" i="5"/>
  <c r="BX21" i="5" s="1"/>
  <c r="BN21" i="5"/>
  <c r="BH21" i="5"/>
  <c r="BG21" i="5"/>
  <c r="BF21" i="5"/>
  <c r="BE21" i="5"/>
  <c r="BD21" i="5"/>
  <c r="BC21" i="5"/>
  <c r="BB21" i="5"/>
  <c r="BA21" i="5"/>
  <c r="AZ21" i="5"/>
  <c r="AY21" i="5"/>
  <c r="AX21" i="5"/>
  <c r="AW21" i="5"/>
  <c r="AV21" i="5"/>
  <c r="AU21" i="5"/>
  <c r="AT21" i="5"/>
  <c r="AS21" i="5"/>
  <c r="AR21" i="5"/>
  <c r="AA21" i="5"/>
  <c r="Z21" i="5"/>
  <c r="BI21" i="5" s="1"/>
  <c r="Y21" i="5"/>
  <c r="C21" i="5" a="1"/>
  <c r="C21" i="5" s="1"/>
  <c r="B21" i="5"/>
  <c r="A21" i="5"/>
  <c r="CD20" i="5"/>
  <c r="CC20" i="5"/>
  <c r="CB20" i="5"/>
  <c r="BW20" i="5"/>
  <c r="BV20" i="5"/>
  <c r="BU20" i="5"/>
  <c r="BT20" i="5"/>
  <c r="BS20" i="5"/>
  <c r="BN20" i="5"/>
  <c r="BH20" i="5"/>
  <c r="BG20" i="5"/>
  <c r="BF20" i="5"/>
  <c r="BE20" i="5"/>
  <c r="BD20" i="5"/>
  <c r="BC20" i="5"/>
  <c r="BB20" i="5"/>
  <c r="BA20" i="5"/>
  <c r="AZ20" i="5"/>
  <c r="AY20" i="5"/>
  <c r="AX20" i="5"/>
  <c r="AW20" i="5"/>
  <c r="AV20" i="5"/>
  <c r="AU20" i="5"/>
  <c r="AT20" i="5"/>
  <c r="AS20" i="5"/>
  <c r="AR20" i="5"/>
  <c r="AA20" i="5"/>
  <c r="Z20" i="5"/>
  <c r="BI20" i="5" s="1"/>
  <c r="C20" i="5" a="1"/>
  <c r="C20" i="5" s="1"/>
  <c r="B20" i="5"/>
  <c r="A20" i="5"/>
  <c r="CD19" i="5"/>
  <c r="CC19" i="5"/>
  <c r="BX19" i="5"/>
  <c r="BW19" i="5"/>
  <c r="CB19" i="5" s="1"/>
  <c r="BV19" i="5"/>
  <c r="BU19" i="5"/>
  <c r="BT19" i="5"/>
  <c r="BS19" i="5"/>
  <c r="BN19" i="5"/>
  <c r="BI19" i="5"/>
  <c r="BH19" i="5"/>
  <c r="BG19" i="5"/>
  <c r="BF19" i="5"/>
  <c r="BE19" i="5"/>
  <c r="BD19" i="5"/>
  <c r="BC19" i="5"/>
  <c r="BB19" i="5"/>
  <c r="BA19" i="5"/>
  <c r="AZ19" i="5"/>
  <c r="AY19" i="5"/>
  <c r="AX19" i="5"/>
  <c r="AW19" i="5"/>
  <c r="AV19" i="5"/>
  <c r="AU19" i="5"/>
  <c r="AT19" i="5"/>
  <c r="AS19" i="5"/>
  <c r="AR19" i="5"/>
  <c r="AA19" i="5"/>
  <c r="Y19" i="5" s="1"/>
  <c r="Z19" i="5"/>
  <c r="B19" i="5"/>
  <c r="C19" i="5" s="1" a="1"/>
  <c r="C19" i="5" s="1"/>
  <c r="A19" i="5"/>
  <c r="CC18" i="5"/>
  <c r="CB18" i="5"/>
  <c r="BX18" i="5"/>
  <c r="BW18" i="5"/>
  <c r="BV18" i="5"/>
  <c r="BU18" i="5"/>
  <c r="BT18" i="5"/>
  <c r="CD18" i="5" s="1"/>
  <c r="BS18" i="5"/>
  <c r="BN18" i="5"/>
  <c r="BI18" i="5"/>
  <c r="BH18" i="5"/>
  <c r="BG18" i="5"/>
  <c r="BF18" i="5"/>
  <c r="BE18" i="5"/>
  <c r="BD18" i="5"/>
  <c r="BC18" i="5"/>
  <c r="BB18" i="5"/>
  <c r="BA18" i="5"/>
  <c r="AZ18" i="5"/>
  <c r="AY18" i="5"/>
  <c r="AX18" i="5"/>
  <c r="AW18" i="5"/>
  <c r="AV18" i="5"/>
  <c r="AU18" i="5"/>
  <c r="AT18" i="5"/>
  <c r="AS18" i="5"/>
  <c r="AR18" i="5"/>
  <c r="AA18" i="5"/>
  <c r="Z18" i="5"/>
  <c r="Y18" i="5"/>
  <c r="C18" i="5" a="1"/>
  <c r="C18" i="5" s="1"/>
  <c r="B18" i="5"/>
  <c r="A18" i="5"/>
  <c r="CD17" i="5"/>
  <c r="CC17" i="5"/>
  <c r="CB17" i="5"/>
  <c r="BX17" i="5"/>
  <c r="BW17" i="5"/>
  <c r="BV17" i="5"/>
  <c r="BU17" i="5"/>
  <c r="BT17" i="5"/>
  <c r="BS17" i="5"/>
  <c r="BN17" i="5"/>
  <c r="BH17" i="5"/>
  <c r="BG17" i="5"/>
  <c r="BF17" i="5"/>
  <c r="BE17" i="5"/>
  <c r="BD17" i="5"/>
  <c r="BC17" i="5"/>
  <c r="BB17" i="5"/>
  <c r="BA17" i="5"/>
  <c r="AZ17" i="5"/>
  <c r="AY17" i="5"/>
  <c r="AX17" i="5"/>
  <c r="AW17" i="5"/>
  <c r="AV17" i="5"/>
  <c r="AU17" i="5"/>
  <c r="AT17" i="5"/>
  <c r="AS17" i="5"/>
  <c r="AR17" i="5"/>
  <c r="BI17" i="5" s="1"/>
  <c r="AA17" i="5"/>
  <c r="Z17" i="5"/>
  <c r="Y17" i="5"/>
  <c r="C17" i="5"/>
  <c r="B17" i="5"/>
  <c r="C17" i="5" s="1" a="1"/>
  <c r="A17" i="5"/>
  <c r="CD16" i="5"/>
  <c r="CC16" i="5"/>
  <c r="CB16" i="5"/>
  <c r="BW16" i="5"/>
  <c r="BV16" i="5"/>
  <c r="BU16" i="5"/>
  <c r="BT16" i="5"/>
  <c r="BS16" i="5"/>
  <c r="BX16" i="5" s="1"/>
  <c r="BN16" i="5"/>
  <c r="BH16" i="5"/>
  <c r="BG16" i="5"/>
  <c r="BF16" i="5"/>
  <c r="BE16" i="5"/>
  <c r="BD16" i="5"/>
  <c r="BC16" i="5"/>
  <c r="BB16" i="5"/>
  <c r="BA16" i="5"/>
  <c r="AZ16" i="5"/>
  <c r="AY16" i="5"/>
  <c r="AX16" i="5"/>
  <c r="AW16" i="5"/>
  <c r="AV16" i="5"/>
  <c r="AU16" i="5"/>
  <c r="AT16" i="5"/>
  <c r="AS16" i="5"/>
  <c r="AR16" i="5"/>
  <c r="BI16" i="5" s="1"/>
  <c r="AA16" i="5"/>
  <c r="Z16" i="5"/>
  <c r="Y16" i="5"/>
  <c r="C16" i="5" a="1"/>
  <c r="C16" i="5" s="1"/>
  <c r="B16" i="5"/>
  <c r="A16" i="5"/>
  <c r="CC15" i="5"/>
  <c r="CB15" i="5"/>
  <c r="BX15" i="5"/>
  <c r="BW15" i="5"/>
  <c r="BV15" i="5"/>
  <c r="BU15" i="5"/>
  <c r="BT15" i="5"/>
  <c r="CD15" i="5" s="1"/>
  <c r="BS15" i="5"/>
  <c r="BN15" i="5"/>
  <c r="BI15" i="5"/>
  <c r="BH15" i="5"/>
  <c r="BG15" i="5"/>
  <c r="BF15" i="5"/>
  <c r="BE15" i="5"/>
  <c r="BD15" i="5"/>
  <c r="BC15" i="5"/>
  <c r="BB15" i="5"/>
  <c r="BA15" i="5"/>
  <c r="AZ15" i="5"/>
  <c r="AY15" i="5"/>
  <c r="AX15" i="5"/>
  <c r="AW15" i="5"/>
  <c r="AV15" i="5"/>
  <c r="AU15" i="5"/>
  <c r="AT15" i="5"/>
  <c r="AS15" i="5"/>
  <c r="AR15" i="5"/>
  <c r="AA15" i="5"/>
  <c r="Z15" i="5"/>
  <c r="Y15" i="5"/>
  <c r="C15" i="5" a="1"/>
  <c r="C15" i="5" s="1"/>
  <c r="B15" i="5"/>
  <c r="A15" i="5"/>
  <c r="CC14" i="5"/>
  <c r="CB14" i="5"/>
  <c r="BW14" i="5"/>
  <c r="BV14" i="5"/>
  <c r="BU14" i="5"/>
  <c r="BT14" i="5"/>
  <c r="CD14" i="5" s="1"/>
  <c r="BS14" i="5"/>
  <c r="BN14" i="5"/>
  <c r="BH14" i="5"/>
  <c r="BG14" i="5"/>
  <c r="BF14" i="5"/>
  <c r="BE14" i="5"/>
  <c r="BD14" i="5"/>
  <c r="BC14" i="5"/>
  <c r="BB14" i="5"/>
  <c r="BA14" i="5"/>
  <c r="AZ14" i="5"/>
  <c r="AY14" i="5"/>
  <c r="AX14" i="5"/>
  <c r="AW14" i="5"/>
  <c r="AV14" i="5"/>
  <c r="AU14" i="5"/>
  <c r="AT14" i="5"/>
  <c r="AS14" i="5"/>
  <c r="AR14" i="5"/>
  <c r="AA14" i="5"/>
  <c r="Z14" i="5"/>
  <c r="BI14" i="5" s="1"/>
  <c r="B14" i="5"/>
  <c r="C14" i="5" s="1" a="1"/>
  <c r="C14" i="5" s="1"/>
  <c r="A14" i="5"/>
  <c r="CC13" i="5"/>
  <c r="CB13" i="5"/>
  <c r="BX13" i="5"/>
  <c r="BW13" i="5"/>
  <c r="BV13" i="5"/>
  <c r="BU13" i="5"/>
  <c r="BT13" i="5"/>
  <c r="CD13" i="5" s="1"/>
  <c r="BS13" i="5"/>
  <c r="BN13" i="5"/>
  <c r="BH13" i="5"/>
  <c r="BG13" i="5"/>
  <c r="BF13" i="5"/>
  <c r="BE13" i="5"/>
  <c r="BD13" i="5"/>
  <c r="BC13" i="5"/>
  <c r="BB13" i="5"/>
  <c r="BA13" i="5"/>
  <c r="AZ13" i="5"/>
  <c r="AY13" i="5"/>
  <c r="AX13" i="5"/>
  <c r="AW13" i="5"/>
  <c r="AV13" i="5"/>
  <c r="AU13" i="5"/>
  <c r="AT13" i="5"/>
  <c r="AS13" i="5"/>
  <c r="AR13" i="5"/>
  <c r="BI13" i="5" s="1"/>
  <c r="AA13" i="5"/>
  <c r="Z13" i="5"/>
  <c r="Y13" i="5"/>
  <c r="C13" i="5" a="1"/>
  <c r="C13" i="5"/>
  <c r="B13" i="5"/>
  <c r="A13" i="5"/>
  <c r="CD12" i="5"/>
  <c r="CC12" i="5"/>
  <c r="BW12" i="5"/>
  <c r="CB12" i="5" s="1"/>
  <c r="BV12" i="5"/>
  <c r="BU12" i="5"/>
  <c r="BT12" i="5"/>
  <c r="BS12" i="5"/>
  <c r="BX12" i="5" s="1"/>
  <c r="BN12" i="5"/>
  <c r="BI12" i="5"/>
  <c r="BH12" i="5"/>
  <c r="BG12" i="5"/>
  <c r="BF12" i="5"/>
  <c r="BE12" i="5"/>
  <c r="BD12" i="5"/>
  <c r="BC12" i="5"/>
  <c r="BB12" i="5"/>
  <c r="BA12" i="5"/>
  <c r="AZ12" i="5"/>
  <c r="AY12" i="5"/>
  <c r="AX12" i="5"/>
  <c r="AW12" i="5"/>
  <c r="AV12" i="5"/>
  <c r="AU12" i="5"/>
  <c r="AT12" i="5"/>
  <c r="AS12" i="5"/>
  <c r="AR12" i="5"/>
  <c r="AA12" i="5"/>
  <c r="Y12" i="5" s="1"/>
  <c r="Z12" i="5"/>
  <c r="B12" i="5"/>
  <c r="C12" i="5" s="1" a="1"/>
  <c r="C12" i="5" s="1"/>
  <c r="A12" i="5"/>
  <c r="CC11" i="5"/>
  <c r="CB11" i="5"/>
  <c r="BW11" i="5"/>
  <c r="BV11" i="5"/>
  <c r="BU11" i="5"/>
  <c r="BT11" i="5"/>
  <c r="CD11" i="5" s="1"/>
  <c r="BS11" i="5"/>
  <c r="BX11" i="5" s="1"/>
  <c r="BN11" i="5"/>
  <c r="BH11" i="5"/>
  <c r="BG11" i="5"/>
  <c r="BF11" i="5"/>
  <c r="BE11" i="5"/>
  <c r="BD11" i="5"/>
  <c r="BC11" i="5"/>
  <c r="BB11" i="5"/>
  <c r="BA11" i="5"/>
  <c r="AZ11" i="5"/>
  <c r="AY11" i="5"/>
  <c r="AX11" i="5"/>
  <c r="AW11" i="5"/>
  <c r="AV11" i="5"/>
  <c r="AU11" i="5"/>
  <c r="AT11" i="5"/>
  <c r="AS11" i="5"/>
  <c r="AR11" i="5"/>
  <c r="BI11" i="5" s="1"/>
  <c r="AA11" i="5"/>
  <c r="Z11" i="5"/>
  <c r="Y11" i="5"/>
  <c r="C11" i="5" a="1"/>
  <c r="C11" i="5" s="1"/>
  <c r="B11" i="5"/>
  <c r="A11" i="5"/>
  <c r="CD10" i="5"/>
  <c r="CC10" i="5"/>
  <c r="CB10" i="5"/>
  <c r="BW10" i="5"/>
  <c r="BV10" i="5"/>
  <c r="BU10" i="5"/>
  <c r="BT10" i="5"/>
  <c r="BS10" i="5"/>
  <c r="BN10" i="5"/>
  <c r="BH10" i="5"/>
  <c r="BG10" i="5"/>
  <c r="BF10" i="5"/>
  <c r="BE10" i="5"/>
  <c r="BD10" i="5"/>
  <c r="BC10" i="5"/>
  <c r="BB10" i="5"/>
  <c r="BA10" i="5"/>
  <c r="AZ10" i="5"/>
  <c r="AY10" i="5"/>
  <c r="AX10" i="5"/>
  <c r="AW10" i="5"/>
  <c r="AV10" i="5"/>
  <c r="AU10" i="5"/>
  <c r="AT10" i="5"/>
  <c r="AS10" i="5"/>
  <c r="AR10" i="5"/>
  <c r="AA10" i="5"/>
  <c r="Z10" i="5"/>
  <c r="BI10" i="5" s="1"/>
  <c r="C10" i="5"/>
  <c r="B10" i="5"/>
  <c r="C10" i="5" s="1" a="1"/>
  <c r="A10" i="5"/>
  <c r="CD9" i="5"/>
  <c r="CC9" i="5"/>
  <c r="BW9" i="5"/>
  <c r="CB9" i="5" s="1"/>
  <c r="BV9" i="5"/>
  <c r="BU9" i="5"/>
  <c r="BT9" i="5"/>
  <c r="BS9" i="5"/>
  <c r="BX9" i="5" s="1"/>
  <c r="BN9" i="5"/>
  <c r="BH9" i="5"/>
  <c r="BG9" i="5"/>
  <c r="BF9" i="5"/>
  <c r="BE9" i="5"/>
  <c r="BD9" i="5"/>
  <c r="BC9" i="5"/>
  <c r="BB9" i="5"/>
  <c r="BA9" i="5"/>
  <c r="AZ9" i="5"/>
  <c r="AY9" i="5"/>
  <c r="AX9" i="5"/>
  <c r="AW9" i="5"/>
  <c r="AV9" i="5"/>
  <c r="AU9" i="5"/>
  <c r="AT9" i="5"/>
  <c r="AS9" i="5"/>
  <c r="AR9" i="5"/>
  <c r="AA9" i="5"/>
  <c r="Y9" i="5" s="1"/>
  <c r="Z9" i="5"/>
  <c r="C9" i="5"/>
  <c r="B9" i="5"/>
  <c r="C9" i="5" s="1" a="1"/>
  <c r="A9" i="5"/>
  <c r="CD8" i="5"/>
  <c r="CC8" i="5"/>
  <c r="CB8" i="5"/>
  <c r="BW8" i="5"/>
  <c r="BV8" i="5"/>
  <c r="BU8" i="5"/>
  <c r="BT8" i="5"/>
  <c r="BS8" i="5"/>
  <c r="BN8" i="5"/>
  <c r="BX8" i="5" s="1"/>
  <c r="BI8" i="5"/>
  <c r="BH8" i="5"/>
  <c r="BG8" i="5"/>
  <c r="BF8" i="5"/>
  <c r="BE8" i="5"/>
  <c r="BD8" i="5"/>
  <c r="BC8" i="5"/>
  <c r="BB8" i="5"/>
  <c r="BA8" i="5"/>
  <c r="AZ8" i="5"/>
  <c r="AY8" i="5"/>
  <c r="AX8" i="5"/>
  <c r="AW8" i="5"/>
  <c r="AV8" i="5"/>
  <c r="AU8" i="5"/>
  <c r="AT8" i="5"/>
  <c r="AS8" i="5"/>
  <c r="AR8" i="5"/>
  <c r="AA8" i="5"/>
  <c r="Z8" i="5"/>
  <c r="Y8" i="5"/>
  <c r="C8" i="5" a="1"/>
  <c r="C8" i="5" s="1"/>
  <c r="B8" i="5"/>
  <c r="A8" i="5"/>
  <c r="CD7" i="5"/>
  <c r="CC7" i="5"/>
  <c r="BX7" i="5"/>
  <c r="BW7" i="5"/>
  <c r="CB7" i="5" s="1"/>
  <c r="BV7" i="5"/>
  <c r="BU7" i="5"/>
  <c r="BT7" i="5"/>
  <c r="BS7" i="5"/>
  <c r="BN7" i="5"/>
  <c r="BH7" i="5"/>
  <c r="BG7" i="5"/>
  <c r="BF7" i="5"/>
  <c r="BE7" i="5"/>
  <c r="BD7" i="5"/>
  <c r="BC7" i="5"/>
  <c r="BB7" i="5"/>
  <c r="BA7" i="5"/>
  <c r="AZ7" i="5"/>
  <c r="AY7" i="5"/>
  <c r="AX7" i="5"/>
  <c r="AW7" i="5"/>
  <c r="AV7" i="5"/>
  <c r="AU7" i="5"/>
  <c r="AT7" i="5"/>
  <c r="AS7" i="5"/>
  <c r="AR7" i="5"/>
  <c r="AA7" i="5"/>
  <c r="Z7" i="5"/>
  <c r="BI7" i="5" s="1"/>
  <c r="Y7" i="5"/>
  <c r="D7" i="5"/>
  <c r="E7" i="5" s="1"/>
  <c r="B7" i="5"/>
  <c r="C7" i="5" s="1" a="1"/>
  <c r="C7" i="5" s="1"/>
  <c r="A7" i="5"/>
  <c r="CC6" i="5"/>
  <c r="CB6" i="5"/>
  <c r="BW6" i="5"/>
  <c r="BV6" i="5"/>
  <c r="BU6" i="5"/>
  <c r="BT6" i="5"/>
  <c r="CD6" i="5" s="1"/>
  <c r="BS6" i="5"/>
  <c r="BN6" i="5"/>
  <c r="BH6" i="5"/>
  <c r="BG6" i="5"/>
  <c r="BF6" i="5"/>
  <c r="BE6" i="5"/>
  <c r="BD6" i="5"/>
  <c r="BC6" i="5"/>
  <c r="BB6" i="5"/>
  <c r="BA6" i="5"/>
  <c r="AZ6" i="5"/>
  <c r="AY6" i="5"/>
  <c r="AX6" i="5"/>
  <c r="AW6" i="5"/>
  <c r="AV6" i="5"/>
  <c r="AU6" i="5"/>
  <c r="AT6" i="5"/>
  <c r="AS6" i="5"/>
  <c r="AR6" i="5"/>
  <c r="AA6" i="5"/>
  <c r="E6" i="5"/>
  <c r="B6" i="5"/>
  <c r="C6" i="5" s="1" a="1"/>
  <c r="C6" i="5" s="1"/>
  <c r="A6" i="5"/>
  <c r="E1" i="5"/>
  <c r="D1" i="5" s="1"/>
  <c r="BN319" i="4"/>
  <c r="BK319" i="4"/>
  <c r="BJ319" i="4"/>
  <c r="BA319" i="4"/>
  <c r="AZ319" i="4"/>
  <c r="AY319" i="4"/>
  <c r="AX319" i="4"/>
  <c r="AW319" i="4"/>
  <c r="AV319" i="4"/>
  <c r="AS319" i="4"/>
  <c r="AV314" i="12" s="1"/>
  <c r="AW314" i="12" s="1"/>
  <c r="AJ319" i="4"/>
  <c r="AO319" i="4" s="1"/>
  <c r="AQ314" i="12" s="1"/>
  <c r="AR314" i="12" s="1"/>
  <c r="AF319" i="4"/>
  <c r="AE319" i="4"/>
  <c r="AG319" i="4" s="1"/>
  <c r="AD319" i="4"/>
  <c r="AH319" i="4" s="1"/>
  <c r="AC319" i="4"/>
  <c r="AB319" i="4"/>
  <c r="X319" i="4"/>
  <c r="W319" i="4"/>
  <c r="S319" i="4"/>
  <c r="R319" i="4"/>
  <c r="Q319" i="4"/>
  <c r="P319" i="4"/>
  <c r="O319" i="4"/>
  <c r="M319" i="4"/>
  <c r="L319" i="4"/>
  <c r="G319" i="4"/>
  <c r="T319" i="4" s="1"/>
  <c r="C319" i="4" a="1"/>
  <c r="C319" i="4" s="1"/>
  <c r="B319" i="4"/>
  <c r="A319" i="4"/>
  <c r="BN318" i="4"/>
  <c r="BK318" i="4"/>
  <c r="BJ318" i="4"/>
  <c r="BH318" i="4"/>
  <c r="BA318" i="4"/>
  <c r="AZ318" i="4"/>
  <c r="AY318" i="4"/>
  <c r="AX318" i="4"/>
  <c r="AW318" i="4"/>
  <c r="AV318" i="4"/>
  <c r="AS318" i="4"/>
  <c r="AV313" i="12" s="1"/>
  <c r="AW313" i="12" s="1"/>
  <c r="AO318" i="4"/>
  <c r="AQ313" i="12" s="1"/>
  <c r="AR313" i="12" s="1"/>
  <c r="AJ318" i="4"/>
  <c r="AH318" i="4"/>
  <c r="AG318" i="4"/>
  <c r="AF318" i="4"/>
  <c r="AE318" i="4"/>
  <c r="AD318" i="4"/>
  <c r="AC318" i="4"/>
  <c r="AB318" i="4"/>
  <c r="X318" i="4"/>
  <c r="W318" i="4"/>
  <c r="S318" i="4"/>
  <c r="R318" i="4"/>
  <c r="M318" i="4"/>
  <c r="L318" i="4"/>
  <c r="BG318" i="4" s="1"/>
  <c r="G318" i="4"/>
  <c r="C318" i="4" a="1"/>
  <c r="C318" i="4"/>
  <c r="B318" i="4"/>
  <c r="A318" i="4"/>
  <c r="BN317" i="4"/>
  <c r="BK317" i="4"/>
  <c r="BJ317" i="4"/>
  <c r="BG317" i="4"/>
  <c r="BF317" i="4"/>
  <c r="BA317" i="4"/>
  <c r="L317" i="4" s="1"/>
  <c r="O312" i="12" s="1"/>
  <c r="AZ317" i="4"/>
  <c r="AX317" i="4"/>
  <c r="AW317" i="4"/>
  <c r="AV317" i="4"/>
  <c r="AS317" i="4"/>
  <c r="AV312" i="12" s="1"/>
  <c r="AW312" i="12" s="1"/>
  <c r="AJ317" i="4"/>
  <c r="AO317" i="4" s="1"/>
  <c r="AQ312" i="12" s="1"/>
  <c r="AR312" i="12" s="1"/>
  <c r="AF317" i="4"/>
  <c r="AE317" i="4"/>
  <c r="AG317" i="4" s="1"/>
  <c r="AD317" i="4"/>
  <c r="AH317" i="4" s="1"/>
  <c r="AC317" i="4"/>
  <c r="AB317" i="4"/>
  <c r="X317" i="4"/>
  <c r="W317" i="4"/>
  <c r="S317" i="4"/>
  <c r="R317" i="4"/>
  <c r="Q317" i="4"/>
  <c r="P317" i="4"/>
  <c r="O317" i="4"/>
  <c r="M317" i="4"/>
  <c r="BI317" i="4" s="1"/>
  <c r="J317" i="4"/>
  <c r="G317" i="4"/>
  <c r="T317" i="4" s="1"/>
  <c r="C317" i="4" a="1"/>
  <c r="C317" i="4"/>
  <c r="B317" i="4"/>
  <c r="A317" i="4"/>
  <c r="BN316" i="4"/>
  <c r="BK316" i="4"/>
  <c r="BJ316" i="4"/>
  <c r="BI316" i="4"/>
  <c r="BA316" i="4"/>
  <c r="AZ316" i="4"/>
  <c r="AX316" i="4"/>
  <c r="AW316" i="4"/>
  <c r="AY316" i="4" s="1"/>
  <c r="AV316" i="4"/>
  <c r="AS316" i="4"/>
  <c r="AV311" i="12" s="1"/>
  <c r="AW311" i="12" s="1"/>
  <c r="AO316" i="4"/>
  <c r="AQ311" i="12" s="1"/>
  <c r="AR311" i="12" s="1"/>
  <c r="AJ316" i="4"/>
  <c r="AE316" i="4"/>
  <c r="AF316" i="4" s="1"/>
  <c r="AD316" i="4"/>
  <c r="AH316" i="4" s="1"/>
  <c r="AC316" i="4"/>
  <c r="AB316" i="4"/>
  <c r="X316" i="4"/>
  <c r="W316" i="4"/>
  <c r="S316" i="4"/>
  <c r="R316" i="4"/>
  <c r="M316" i="4"/>
  <c r="L316" i="4"/>
  <c r="G316" i="4"/>
  <c r="B316" i="4"/>
  <c r="C316" i="4" s="1" a="1"/>
  <c r="C316" i="4" s="1"/>
  <c r="A316" i="4"/>
  <c r="BN315" i="4"/>
  <c r="BK315" i="4"/>
  <c r="BJ315" i="4"/>
  <c r="BA315" i="4"/>
  <c r="L315" i="4" s="1"/>
  <c r="AZ315" i="4"/>
  <c r="AY315" i="4"/>
  <c r="AX315" i="4"/>
  <c r="AW315" i="4"/>
  <c r="AV315" i="4"/>
  <c r="AS315" i="4"/>
  <c r="AV310" i="12" s="1"/>
  <c r="AW310" i="12" s="1"/>
  <c r="AO315" i="4"/>
  <c r="AQ310" i="12" s="1"/>
  <c r="AR310" i="12" s="1"/>
  <c r="AJ315" i="4"/>
  <c r="AH315" i="4"/>
  <c r="AE315" i="4"/>
  <c r="AG315" i="4" s="1"/>
  <c r="AD315" i="4"/>
  <c r="AC315" i="4"/>
  <c r="AB315" i="4"/>
  <c r="Y315" i="4"/>
  <c r="X315" i="4"/>
  <c r="W315" i="4"/>
  <c r="S315" i="4"/>
  <c r="R315" i="4"/>
  <c r="M315" i="4"/>
  <c r="BI315" i="4" s="1"/>
  <c r="K315" i="4"/>
  <c r="G315" i="4"/>
  <c r="B315" i="4"/>
  <c r="C315" i="4" s="1" a="1"/>
  <c r="C315" i="4" s="1"/>
  <c r="A315" i="4"/>
  <c r="BN314" i="4"/>
  <c r="BK314" i="4"/>
  <c r="BJ314" i="4"/>
  <c r="BA314" i="4"/>
  <c r="AZ314" i="4"/>
  <c r="AY314" i="4"/>
  <c r="AX314" i="4"/>
  <c r="AW314" i="4"/>
  <c r="AV314" i="4"/>
  <c r="AS314" i="4"/>
  <c r="AV309" i="12" s="1"/>
  <c r="AW309" i="12" s="1"/>
  <c r="AJ314" i="4"/>
  <c r="AO314" i="4" s="1"/>
  <c r="AQ309" i="12" s="1"/>
  <c r="AR309" i="12" s="1"/>
  <c r="AE314" i="4"/>
  <c r="AD314" i="4"/>
  <c r="AH314" i="4" s="1"/>
  <c r="AC314" i="4"/>
  <c r="AB314" i="4"/>
  <c r="AI314" i="4" s="1"/>
  <c r="W314" i="4"/>
  <c r="T314" i="4"/>
  <c r="S314" i="4"/>
  <c r="R314" i="4"/>
  <c r="P314" i="4"/>
  <c r="M314" i="4"/>
  <c r="BI314" i="4" s="1"/>
  <c r="K314" i="4"/>
  <c r="J314" i="4"/>
  <c r="G314" i="4"/>
  <c r="Q314" i="4" s="1"/>
  <c r="C314" i="4" a="1"/>
  <c r="C314" i="4" s="1"/>
  <c r="B314" i="4"/>
  <c r="A314" i="4"/>
  <c r="BN313" i="4"/>
  <c r="BK313" i="4"/>
  <c r="BJ313" i="4"/>
  <c r="BI313" i="4"/>
  <c r="BH313" i="4"/>
  <c r="BA313" i="4"/>
  <c r="AZ313" i="4"/>
  <c r="AX313" i="4"/>
  <c r="AW313" i="4"/>
  <c r="AV313" i="4"/>
  <c r="AS313" i="4"/>
  <c r="AV308" i="12" s="1"/>
  <c r="AW308" i="12" s="1"/>
  <c r="AJ313" i="4"/>
  <c r="AO313" i="4" s="1"/>
  <c r="AQ308" i="12" s="1"/>
  <c r="AR308" i="12" s="1"/>
  <c r="AH313" i="4"/>
  <c r="AG313" i="4"/>
  <c r="AE313" i="4"/>
  <c r="AD313" i="4"/>
  <c r="AC313" i="4"/>
  <c r="AB313" i="4"/>
  <c r="X313" i="4"/>
  <c r="W313" i="4"/>
  <c r="S313" i="4"/>
  <c r="R313" i="4"/>
  <c r="Q313" i="4"/>
  <c r="P313" i="4"/>
  <c r="M313" i="4"/>
  <c r="G313" i="4"/>
  <c r="B313" i="4"/>
  <c r="C313" i="4" s="1" a="1"/>
  <c r="C313" i="4" s="1"/>
  <c r="A313" i="4"/>
  <c r="BN312" i="4"/>
  <c r="BK312" i="4"/>
  <c r="BJ312" i="4"/>
  <c r="BA312" i="4"/>
  <c r="AZ312" i="4"/>
  <c r="AX312" i="4"/>
  <c r="AW312" i="4"/>
  <c r="AY312" i="4" s="1"/>
  <c r="AV312" i="4"/>
  <c r="AS312" i="4"/>
  <c r="AV307" i="12" s="1"/>
  <c r="AW307" i="12" s="1"/>
  <c r="AJ312" i="4"/>
  <c r="AO312" i="4" s="1"/>
  <c r="AQ307" i="12" s="1"/>
  <c r="AR307" i="12" s="1"/>
  <c r="AE312" i="4"/>
  <c r="AD312" i="4"/>
  <c r="AH312" i="4" s="1"/>
  <c r="AC312" i="4"/>
  <c r="AB312" i="4"/>
  <c r="X312" i="4"/>
  <c r="W312" i="4"/>
  <c r="S312" i="4"/>
  <c r="R312" i="4"/>
  <c r="M312" i="4"/>
  <c r="G312" i="4"/>
  <c r="C312" i="4" a="1"/>
  <c r="C312" i="4"/>
  <c r="B312" i="4"/>
  <c r="A312" i="4"/>
  <c r="BN311" i="4"/>
  <c r="BK311" i="4"/>
  <c r="BJ311" i="4"/>
  <c r="BI311" i="4"/>
  <c r="BH311" i="4"/>
  <c r="BA311" i="4"/>
  <c r="AZ311" i="4"/>
  <c r="AX311" i="4"/>
  <c r="AW311" i="4"/>
  <c r="AY311" i="4" s="1"/>
  <c r="AV311" i="4"/>
  <c r="AS311" i="4"/>
  <c r="AV306" i="12" s="1"/>
  <c r="AW306" i="12" s="1"/>
  <c r="AO311" i="4"/>
  <c r="AQ306" i="12" s="1"/>
  <c r="AR306" i="12" s="1"/>
  <c r="AJ311" i="4"/>
  <c r="AI311" i="4"/>
  <c r="AF311" i="4"/>
  <c r="AE311" i="4"/>
  <c r="AD311" i="4"/>
  <c r="AC311" i="4"/>
  <c r="AB311" i="4"/>
  <c r="X311" i="4"/>
  <c r="W311" i="4"/>
  <c r="T311" i="4"/>
  <c r="S311" i="4"/>
  <c r="R311" i="4"/>
  <c r="Q311" i="4"/>
  <c r="M311" i="4"/>
  <c r="J311" i="4"/>
  <c r="G311" i="4"/>
  <c r="K311" i="4" s="1"/>
  <c r="C311" i="4" a="1"/>
  <c r="C311" i="4" s="1"/>
  <c r="B311" i="4"/>
  <c r="A311" i="4"/>
  <c r="BN310" i="4"/>
  <c r="BK310" i="4"/>
  <c r="BJ310" i="4"/>
  <c r="BG310" i="4"/>
  <c r="BF310" i="4"/>
  <c r="BA310" i="4"/>
  <c r="L310" i="4" s="1"/>
  <c r="O305" i="12" s="1"/>
  <c r="AZ310" i="4"/>
  <c r="AX310" i="4"/>
  <c r="AW310" i="4"/>
  <c r="AY310" i="4" s="1"/>
  <c r="AV310" i="4"/>
  <c r="AS310" i="4"/>
  <c r="AV305" i="12" s="1"/>
  <c r="AW305" i="12" s="1"/>
  <c r="AO310" i="4"/>
  <c r="AQ305" i="12" s="1"/>
  <c r="AR305" i="12" s="1"/>
  <c r="AJ310" i="4"/>
  <c r="AE310" i="4"/>
  <c r="AG310" i="4" s="1"/>
  <c r="AD310" i="4"/>
  <c r="AH310" i="4" s="1"/>
  <c r="AC310" i="4"/>
  <c r="AB310" i="4"/>
  <c r="X310" i="4"/>
  <c r="W310" i="4"/>
  <c r="T310" i="4"/>
  <c r="S310" i="4"/>
  <c r="R310" i="4"/>
  <c r="Q310" i="4"/>
  <c r="O310" i="4"/>
  <c r="M310" i="4"/>
  <c r="BH310" i="4" s="1"/>
  <c r="J310" i="4"/>
  <c r="G310" i="4"/>
  <c r="C310" i="4" a="1"/>
  <c r="C310" i="4"/>
  <c r="B310" i="4"/>
  <c r="A310" i="4"/>
  <c r="BN309" i="4"/>
  <c r="BK309" i="4"/>
  <c r="BJ309" i="4"/>
  <c r="BI309" i="4"/>
  <c r="BA309" i="4"/>
  <c r="AZ309" i="4"/>
  <c r="AX309" i="4"/>
  <c r="AW309" i="4"/>
  <c r="AV309" i="4"/>
  <c r="AS309" i="4"/>
  <c r="AV304" i="12" s="1"/>
  <c r="AW304" i="12" s="1"/>
  <c r="AJ309" i="4"/>
  <c r="AO309" i="4" s="1"/>
  <c r="AQ304" i="12" s="1"/>
  <c r="AR304" i="12" s="1"/>
  <c r="AE309" i="4"/>
  <c r="AD309" i="4"/>
  <c r="AC309" i="4"/>
  <c r="AG309" i="4" s="1"/>
  <c r="AB309" i="4"/>
  <c r="X309" i="4"/>
  <c r="W309" i="4"/>
  <c r="S309" i="4"/>
  <c r="R309" i="4"/>
  <c r="M309" i="4"/>
  <c r="G309" i="4"/>
  <c r="AI309" i="4" s="1"/>
  <c r="B309" i="4"/>
  <c r="C309" i="4" s="1" a="1"/>
  <c r="C309" i="4" s="1"/>
  <c r="A309" i="4"/>
  <c r="BN308" i="4"/>
  <c r="BK308" i="4"/>
  <c r="BJ308" i="4"/>
  <c r="BI308" i="4"/>
  <c r="BA308" i="4"/>
  <c r="AZ308" i="4"/>
  <c r="AX308" i="4"/>
  <c r="AW308" i="4"/>
  <c r="AY308" i="4" s="1"/>
  <c r="AV308" i="4"/>
  <c r="AS308" i="4"/>
  <c r="AV303" i="12" s="1"/>
  <c r="AW303" i="12" s="1"/>
  <c r="AO308" i="4"/>
  <c r="AQ303" i="12" s="1"/>
  <c r="AR303" i="12" s="1"/>
  <c r="AJ308" i="4"/>
  <c r="AI308" i="4"/>
  <c r="AE308" i="4"/>
  <c r="AD308" i="4"/>
  <c r="AH308" i="4" s="1"/>
  <c r="AC308" i="4"/>
  <c r="AB308" i="4"/>
  <c r="Y308" i="4"/>
  <c r="X308" i="4"/>
  <c r="W308" i="4"/>
  <c r="S308" i="4"/>
  <c r="R308" i="4"/>
  <c r="P308" i="4"/>
  <c r="M308" i="4"/>
  <c r="G308" i="4"/>
  <c r="T308" i="4" s="1"/>
  <c r="B308" i="4"/>
  <c r="C308" i="4" s="1" a="1"/>
  <c r="C308" i="4" s="1"/>
  <c r="A308" i="4"/>
  <c r="BN307" i="4"/>
  <c r="BK307" i="4"/>
  <c r="BJ307" i="4"/>
  <c r="BI307" i="4"/>
  <c r="BA307" i="4"/>
  <c r="AZ307" i="4"/>
  <c r="AY307" i="4"/>
  <c r="AX307" i="4"/>
  <c r="AW307" i="4"/>
  <c r="AV307" i="4"/>
  <c r="AS307" i="4"/>
  <c r="AV302" i="12" s="1"/>
  <c r="AW302" i="12" s="1"/>
  <c r="AJ307" i="4"/>
  <c r="AO307" i="4" s="1"/>
  <c r="AQ302" i="12" s="1"/>
  <c r="AR302" i="12" s="1"/>
  <c r="AH307" i="4"/>
  <c r="AE307" i="4"/>
  <c r="AD307" i="4"/>
  <c r="AC307" i="4"/>
  <c r="AB307" i="4"/>
  <c r="AI307" i="4" s="1"/>
  <c r="X307" i="4"/>
  <c r="W307" i="4"/>
  <c r="T307" i="4"/>
  <c r="S307" i="4"/>
  <c r="R307" i="4"/>
  <c r="P307" i="4"/>
  <c r="M307" i="4"/>
  <c r="K307" i="4"/>
  <c r="J307" i="4"/>
  <c r="G307" i="4"/>
  <c r="Q307" i="4" s="1"/>
  <c r="B307" i="4"/>
  <c r="C307" i="4" s="1" a="1"/>
  <c r="C307" i="4" s="1"/>
  <c r="A307" i="4"/>
  <c r="BN306" i="4"/>
  <c r="BK306" i="4"/>
  <c r="BJ306" i="4"/>
  <c r="BI306" i="4"/>
  <c r="BH306" i="4"/>
  <c r="BA306" i="4"/>
  <c r="AZ306" i="4"/>
  <c r="AX306" i="4"/>
  <c r="AY306" i="4" s="1"/>
  <c r="AW306" i="4"/>
  <c r="AV306" i="4"/>
  <c r="AS306" i="4"/>
  <c r="AV301" i="12" s="1"/>
  <c r="AW301" i="12" s="1"/>
  <c r="AJ306" i="4"/>
  <c r="AO306" i="4" s="1"/>
  <c r="AQ301" i="12" s="1"/>
  <c r="AR301" i="12" s="1"/>
  <c r="AI306" i="4"/>
  <c r="AH306" i="4"/>
  <c r="AG306" i="4"/>
  <c r="AF306" i="4"/>
  <c r="AE306" i="4"/>
  <c r="AD306" i="4"/>
  <c r="AC306" i="4"/>
  <c r="AB306" i="4"/>
  <c r="X306" i="4"/>
  <c r="W306" i="4"/>
  <c r="T306" i="4"/>
  <c r="S306" i="4"/>
  <c r="R306" i="4"/>
  <c r="Q306" i="4"/>
  <c r="P306" i="4"/>
  <c r="M306" i="4"/>
  <c r="L306" i="4"/>
  <c r="G306" i="4"/>
  <c r="B306" i="4"/>
  <c r="C306" i="4" s="1" a="1"/>
  <c r="C306" i="4" s="1"/>
  <c r="A306" i="4"/>
  <c r="BN305" i="4"/>
  <c r="BK305" i="4"/>
  <c r="BJ305" i="4"/>
  <c r="BH305" i="4"/>
  <c r="BA305" i="4"/>
  <c r="AZ305" i="4"/>
  <c r="AX305" i="4"/>
  <c r="AW305" i="4"/>
  <c r="AY305" i="4" s="1"/>
  <c r="AV305" i="4"/>
  <c r="AS305" i="4"/>
  <c r="AV300" i="12" s="1"/>
  <c r="AW300" i="12" s="1"/>
  <c r="AO305" i="4"/>
  <c r="AQ300" i="12" s="1"/>
  <c r="AR300" i="12" s="1"/>
  <c r="AJ305" i="4"/>
  <c r="AG305" i="4"/>
  <c r="AF305" i="4"/>
  <c r="AE305" i="4"/>
  <c r="AD305" i="4"/>
  <c r="AC305" i="4"/>
  <c r="AB305" i="4"/>
  <c r="X305" i="4"/>
  <c r="W305" i="4"/>
  <c r="S305" i="4"/>
  <c r="R305" i="4"/>
  <c r="Q305" i="4"/>
  <c r="M305" i="4"/>
  <c r="L305" i="4"/>
  <c r="K305" i="4"/>
  <c r="G305" i="4"/>
  <c r="T305" i="4" s="1"/>
  <c r="C305" i="4" a="1"/>
  <c r="C305" i="4"/>
  <c r="B305" i="4"/>
  <c r="A305" i="4"/>
  <c r="BN304" i="4"/>
  <c r="BK304" i="4"/>
  <c r="BJ304" i="4"/>
  <c r="BI304" i="4"/>
  <c r="BH304" i="4"/>
  <c r="BA304" i="4"/>
  <c r="AZ304" i="4"/>
  <c r="AX304" i="4"/>
  <c r="AW304" i="4"/>
  <c r="AV304" i="4"/>
  <c r="AS304" i="4"/>
  <c r="AV299" i="12" s="1"/>
  <c r="AW299" i="12" s="1"/>
  <c r="AJ304" i="4"/>
  <c r="AO304" i="4" s="1"/>
  <c r="AQ299" i="12" s="1"/>
  <c r="AR299" i="12" s="1"/>
  <c r="AI304" i="4"/>
  <c r="AG304" i="4"/>
  <c r="AF304" i="4"/>
  <c r="AE304" i="4"/>
  <c r="AD304" i="4"/>
  <c r="AH304" i="4" s="1"/>
  <c r="AC304" i="4"/>
  <c r="AB304" i="4"/>
  <c r="X304" i="4"/>
  <c r="W304" i="4"/>
  <c r="S304" i="4"/>
  <c r="R304" i="4"/>
  <c r="Q304" i="4"/>
  <c r="P304" i="4"/>
  <c r="M304" i="4"/>
  <c r="K304" i="4"/>
  <c r="G304" i="4"/>
  <c r="J304" i="4" s="1"/>
  <c r="B304" i="4"/>
  <c r="C304" i="4" s="1" a="1"/>
  <c r="C304" i="4" s="1"/>
  <c r="A304" i="4"/>
  <c r="BN303" i="4"/>
  <c r="BK303" i="4"/>
  <c r="BJ303" i="4"/>
  <c r="BH303" i="4"/>
  <c r="BG303" i="4"/>
  <c r="BA303" i="4"/>
  <c r="L303" i="4" s="1"/>
  <c r="O298" i="12" s="1"/>
  <c r="AZ303" i="4"/>
  <c r="AX303" i="4"/>
  <c r="AW303" i="4"/>
  <c r="AY303" i="4" s="1"/>
  <c r="AV303" i="4"/>
  <c r="AS303" i="4"/>
  <c r="AV298" i="12" s="1"/>
  <c r="AW298" i="12" s="1"/>
  <c r="AJ303" i="4"/>
  <c r="AO303" i="4" s="1"/>
  <c r="AQ298" i="12" s="1"/>
  <c r="AR298" i="12" s="1"/>
  <c r="AH303" i="4"/>
  <c r="AF303" i="4"/>
  <c r="AE303" i="4"/>
  <c r="AG303" i="4" s="1"/>
  <c r="AD303" i="4"/>
  <c r="AC303" i="4"/>
  <c r="AB303" i="4"/>
  <c r="X303" i="4"/>
  <c r="W303" i="4"/>
  <c r="S303" i="4"/>
  <c r="R303" i="4"/>
  <c r="P303" i="4"/>
  <c r="O303" i="4"/>
  <c r="M303" i="4"/>
  <c r="J303" i="4"/>
  <c r="G303" i="4"/>
  <c r="C303" i="4" a="1"/>
  <c r="C303" i="4"/>
  <c r="B303" i="4"/>
  <c r="A303" i="4"/>
  <c r="BN302" i="4"/>
  <c r="BK302" i="4"/>
  <c r="BJ302" i="4"/>
  <c r="BI302" i="4"/>
  <c r="BA302" i="4"/>
  <c r="AZ302" i="4"/>
  <c r="AY302" i="4"/>
  <c r="AX302" i="4"/>
  <c r="AW302" i="4"/>
  <c r="AV302" i="4"/>
  <c r="AS302" i="4"/>
  <c r="AV297" i="12" s="1"/>
  <c r="AW297" i="12" s="1"/>
  <c r="AO302" i="4"/>
  <c r="AQ297" i="12" s="1"/>
  <c r="AR297" i="12" s="1"/>
  <c r="AJ302" i="4"/>
  <c r="AE302" i="4"/>
  <c r="AD302" i="4"/>
  <c r="AC302" i="4"/>
  <c r="AG302" i="4" s="1"/>
  <c r="AB302" i="4"/>
  <c r="X302" i="4"/>
  <c r="W302" i="4"/>
  <c r="T302" i="4"/>
  <c r="S302" i="4"/>
  <c r="R302" i="4"/>
  <c r="M302" i="4"/>
  <c r="G302" i="4"/>
  <c r="C302" i="4" a="1"/>
  <c r="C302" i="4" s="1"/>
  <c r="B302" i="4"/>
  <c r="A302" i="4"/>
  <c r="BN301" i="4"/>
  <c r="BK301" i="4"/>
  <c r="BJ301" i="4"/>
  <c r="BH301" i="4"/>
  <c r="BA301" i="4"/>
  <c r="AZ301" i="4"/>
  <c r="AX301" i="4"/>
  <c r="AY301" i="4" s="1"/>
  <c r="AW301" i="4"/>
  <c r="AV301" i="4"/>
  <c r="AS301" i="4"/>
  <c r="AV296" i="12" s="1"/>
  <c r="AW296" i="12" s="1"/>
  <c r="AO301" i="4"/>
  <c r="AQ296" i="12" s="1"/>
  <c r="AR296" i="12" s="1"/>
  <c r="AJ301" i="4"/>
  <c r="AE301" i="4"/>
  <c r="AD301" i="4"/>
  <c r="AH301" i="4" s="1"/>
  <c r="AC301" i="4"/>
  <c r="AB301" i="4"/>
  <c r="X301" i="4"/>
  <c r="W301" i="4"/>
  <c r="S301" i="4"/>
  <c r="R301" i="4"/>
  <c r="M301" i="4"/>
  <c r="G301" i="4"/>
  <c r="B301" i="4"/>
  <c r="C301" i="4" s="1" a="1"/>
  <c r="C301" i="4" s="1"/>
  <c r="A301" i="4"/>
  <c r="BN300" i="4"/>
  <c r="BK300" i="4"/>
  <c r="BJ300" i="4"/>
  <c r="BA300" i="4"/>
  <c r="AZ300" i="4"/>
  <c r="AY300" i="4"/>
  <c r="AX300" i="4"/>
  <c r="AW300" i="4"/>
  <c r="AV300" i="4"/>
  <c r="AS300" i="4"/>
  <c r="AV295" i="12" s="1"/>
  <c r="AW295" i="12" s="1"/>
  <c r="AJ300" i="4"/>
  <c r="AO300" i="4" s="1"/>
  <c r="AQ295" i="12" s="1"/>
  <c r="AR295" i="12" s="1"/>
  <c r="AI300" i="4"/>
  <c r="AH300" i="4"/>
  <c r="AE300" i="4"/>
  <c r="AF300" i="4" s="1"/>
  <c r="AD300" i="4"/>
  <c r="AC300" i="4"/>
  <c r="AG300" i="4" s="1"/>
  <c r="AB300" i="4"/>
  <c r="X300" i="4"/>
  <c r="W300" i="4"/>
  <c r="T300" i="4"/>
  <c r="S300" i="4"/>
  <c r="R300" i="4"/>
  <c r="P300" i="4"/>
  <c r="M300" i="4"/>
  <c r="K300" i="4"/>
  <c r="J300" i="4"/>
  <c r="G300" i="4"/>
  <c r="Q300" i="4" s="1"/>
  <c r="C300" i="4" a="1"/>
  <c r="C300" i="4" s="1"/>
  <c r="B300" i="4"/>
  <c r="A300" i="4"/>
  <c r="BN299" i="4"/>
  <c r="BK299" i="4"/>
  <c r="BJ299" i="4"/>
  <c r="BI299" i="4"/>
  <c r="BH299" i="4"/>
  <c r="BA299" i="4"/>
  <c r="AZ299" i="4"/>
  <c r="AX299" i="4"/>
  <c r="AW299" i="4"/>
  <c r="AY299" i="4" s="1"/>
  <c r="AV299" i="4"/>
  <c r="AS299" i="4"/>
  <c r="AV294" i="12" s="1"/>
  <c r="AW294" i="12" s="1"/>
  <c r="AJ299" i="4"/>
  <c r="AO299" i="4" s="1"/>
  <c r="AQ294" i="12" s="1"/>
  <c r="AR294" i="12" s="1"/>
  <c r="AH299" i="4"/>
  <c r="AE299" i="4"/>
  <c r="AD299" i="4"/>
  <c r="AC299" i="4"/>
  <c r="AG299" i="4" s="1"/>
  <c r="AB299" i="4"/>
  <c r="AF299" i="4" s="1"/>
  <c r="Y299" i="4"/>
  <c r="X299" i="4"/>
  <c r="W299" i="4"/>
  <c r="S299" i="4"/>
  <c r="R299" i="4"/>
  <c r="P299" i="4"/>
  <c r="M299" i="4"/>
  <c r="G299" i="4"/>
  <c r="B299" i="4"/>
  <c r="C299" i="4" s="1" a="1"/>
  <c r="C299" i="4" s="1"/>
  <c r="A299" i="4"/>
  <c r="BN298" i="4"/>
  <c r="BK298" i="4"/>
  <c r="BJ298" i="4"/>
  <c r="BA298" i="4"/>
  <c r="AZ298" i="4"/>
  <c r="AX298" i="4"/>
  <c r="AW298" i="4"/>
  <c r="AY298" i="4" s="1"/>
  <c r="AV298" i="4"/>
  <c r="AS298" i="4"/>
  <c r="AV293" i="12" s="1"/>
  <c r="AW293" i="12" s="1"/>
  <c r="AJ298" i="4"/>
  <c r="AO298" i="4" s="1"/>
  <c r="AQ293" i="12" s="1"/>
  <c r="AR293" i="12" s="1"/>
  <c r="AF298" i="4"/>
  <c r="AE298" i="4"/>
  <c r="AG298" i="4" s="1"/>
  <c r="AD298" i="4"/>
  <c r="AC298" i="4"/>
  <c r="AB298" i="4"/>
  <c r="X298" i="4"/>
  <c r="W298" i="4"/>
  <c r="T298" i="4"/>
  <c r="S298" i="4"/>
  <c r="R298" i="4"/>
  <c r="M298" i="4"/>
  <c r="G298" i="4"/>
  <c r="C298" i="4" a="1"/>
  <c r="C298" i="4" s="1"/>
  <c r="B298" i="4"/>
  <c r="A298" i="4"/>
  <c r="BN297" i="4"/>
  <c r="BK297" i="4"/>
  <c r="BJ297" i="4"/>
  <c r="BH297" i="4"/>
  <c r="BA297" i="4"/>
  <c r="AZ297" i="4"/>
  <c r="AX297" i="4"/>
  <c r="AY297" i="4" s="1"/>
  <c r="AW297" i="4"/>
  <c r="AV297" i="4"/>
  <c r="AS297" i="4"/>
  <c r="AV292" i="12" s="1"/>
  <c r="AW292" i="12" s="1"/>
  <c r="AO297" i="4"/>
  <c r="AQ292" i="12" s="1"/>
  <c r="AR292" i="12" s="1"/>
  <c r="AJ297" i="4"/>
  <c r="AE297" i="4"/>
  <c r="AD297" i="4"/>
  <c r="AC297" i="4"/>
  <c r="AB297" i="4"/>
  <c r="Y297" i="4"/>
  <c r="X297" i="4"/>
  <c r="W297" i="4"/>
  <c r="S297" i="4"/>
  <c r="R297" i="4"/>
  <c r="M297" i="4"/>
  <c r="G297" i="4"/>
  <c r="C297" i="4" a="1"/>
  <c r="C297" i="4" s="1"/>
  <c r="B297" i="4"/>
  <c r="A297" i="4"/>
  <c r="BN296" i="4"/>
  <c r="BK296" i="4"/>
  <c r="BJ296" i="4"/>
  <c r="BH296" i="4"/>
  <c r="BG296" i="4"/>
  <c r="BA296" i="4"/>
  <c r="L296" i="4" s="1"/>
  <c r="O291" i="12" s="1"/>
  <c r="AZ296" i="4"/>
  <c r="AX296" i="4"/>
  <c r="AW296" i="4"/>
  <c r="AY296" i="4" s="1"/>
  <c r="AV296" i="4"/>
  <c r="AS296" i="4"/>
  <c r="AV291" i="12" s="1"/>
  <c r="AW291" i="12" s="1"/>
  <c r="AO296" i="4"/>
  <c r="AQ291" i="12" s="1"/>
  <c r="AR291" i="12" s="1"/>
  <c r="AJ296" i="4"/>
  <c r="AG296" i="4"/>
  <c r="AF296" i="4"/>
  <c r="AE296" i="4"/>
  <c r="AD296" i="4"/>
  <c r="AH296" i="4" s="1"/>
  <c r="AC296" i="4"/>
  <c r="AB296" i="4"/>
  <c r="X296" i="4"/>
  <c r="W296" i="4"/>
  <c r="T296" i="4"/>
  <c r="S296" i="4"/>
  <c r="R296" i="4"/>
  <c r="Q296" i="4"/>
  <c r="P296" i="4"/>
  <c r="O296" i="4"/>
  <c r="M296" i="4"/>
  <c r="G296" i="4"/>
  <c r="C296" i="4" a="1"/>
  <c r="C296" i="4"/>
  <c r="B296" i="4"/>
  <c r="A296" i="4"/>
  <c r="BN295" i="4"/>
  <c r="BK295" i="4"/>
  <c r="BJ295" i="4"/>
  <c r="BI295" i="4"/>
  <c r="BF295" i="4"/>
  <c r="BA295" i="4"/>
  <c r="AZ295" i="4"/>
  <c r="AX295" i="4"/>
  <c r="AW295" i="4"/>
  <c r="AV295" i="4"/>
  <c r="AS295" i="4"/>
  <c r="AV290" i="12" s="1"/>
  <c r="AW290" i="12" s="1"/>
  <c r="AJ295" i="4"/>
  <c r="AO295" i="4" s="1"/>
  <c r="AQ290" i="12" s="1"/>
  <c r="AR290" i="12" s="1"/>
  <c r="AI295" i="4"/>
  <c r="AE295" i="4"/>
  <c r="AF295" i="4" s="1"/>
  <c r="AD295" i="4"/>
  <c r="AH295" i="4" s="1"/>
  <c r="AC295" i="4"/>
  <c r="AB295" i="4"/>
  <c r="X295" i="4"/>
  <c r="W295" i="4"/>
  <c r="T295" i="4"/>
  <c r="S295" i="4"/>
  <c r="R295" i="4"/>
  <c r="M295" i="4"/>
  <c r="L295" i="4"/>
  <c r="K295" i="4"/>
  <c r="J295" i="4"/>
  <c r="G295" i="4"/>
  <c r="Q295" i="4" s="1"/>
  <c r="C295" i="4"/>
  <c r="B295" i="4"/>
  <c r="C295" i="4" s="1" a="1"/>
  <c r="A295" i="4"/>
  <c r="BN294" i="4"/>
  <c r="BK294" i="4"/>
  <c r="BJ294" i="4"/>
  <c r="BA294" i="4"/>
  <c r="AZ294" i="4"/>
  <c r="AX294" i="4"/>
  <c r="AW294" i="4"/>
  <c r="AY294" i="4" s="1"/>
  <c r="AV294" i="4"/>
  <c r="AS294" i="4"/>
  <c r="AV289" i="12" s="1"/>
  <c r="AW289" i="12" s="1"/>
  <c r="AO294" i="4"/>
  <c r="AQ289" i="12" s="1"/>
  <c r="AR289" i="12" s="1"/>
  <c r="AJ294" i="4"/>
  <c r="AI294" i="4"/>
  <c r="AH294" i="4"/>
  <c r="AF294" i="4"/>
  <c r="AE294" i="4"/>
  <c r="AG294" i="4" s="1"/>
  <c r="AD294" i="4"/>
  <c r="AC294" i="4"/>
  <c r="AB294" i="4"/>
  <c r="Y294" i="4"/>
  <c r="X294" i="4"/>
  <c r="W294" i="4"/>
  <c r="S294" i="4"/>
  <c r="R294" i="4"/>
  <c r="Q294" i="4"/>
  <c r="M294" i="4"/>
  <c r="K294" i="4"/>
  <c r="G294" i="4"/>
  <c r="T294" i="4" s="1"/>
  <c r="B294" i="4"/>
  <c r="C294" i="4" s="1" a="1"/>
  <c r="C294" i="4" s="1"/>
  <c r="A294" i="4"/>
  <c r="BN293" i="4"/>
  <c r="BK293" i="4"/>
  <c r="BJ293" i="4"/>
  <c r="BA293" i="4"/>
  <c r="L293" i="4" s="1"/>
  <c r="AZ293" i="4"/>
  <c r="AY293" i="4"/>
  <c r="AX293" i="4"/>
  <c r="AW293" i="4"/>
  <c r="AV293" i="4"/>
  <c r="AS293" i="4"/>
  <c r="AV288" i="12" s="1"/>
  <c r="AW288" i="12" s="1"/>
  <c r="AJ293" i="4"/>
  <c r="AO293" i="4" s="1"/>
  <c r="AQ288" i="12" s="1"/>
  <c r="AR288" i="12" s="1"/>
  <c r="AI293" i="4"/>
  <c r="AF293" i="4"/>
  <c r="AE293" i="4"/>
  <c r="AD293" i="4"/>
  <c r="AC293" i="4"/>
  <c r="AB293" i="4"/>
  <c r="X293" i="4"/>
  <c r="W293" i="4"/>
  <c r="T293" i="4"/>
  <c r="S293" i="4"/>
  <c r="R293" i="4"/>
  <c r="M293" i="4"/>
  <c r="K293" i="4"/>
  <c r="J293" i="4"/>
  <c r="G293" i="4"/>
  <c r="Q293" i="4" s="1"/>
  <c r="B293" i="4"/>
  <c r="C293" i="4" s="1" a="1"/>
  <c r="C293" i="4" s="1"/>
  <c r="A293" i="4"/>
  <c r="BN292" i="4"/>
  <c r="BK292" i="4"/>
  <c r="BJ292" i="4"/>
  <c r="BI292" i="4"/>
  <c r="BH292" i="4"/>
  <c r="BA292" i="4"/>
  <c r="AZ292" i="4"/>
  <c r="AY292" i="4"/>
  <c r="AX292" i="4"/>
  <c r="AW292" i="4"/>
  <c r="AV292" i="4"/>
  <c r="AS292" i="4"/>
  <c r="AV287" i="12" s="1"/>
  <c r="AW287" i="12" s="1"/>
  <c r="AJ292" i="4"/>
  <c r="AO292" i="4" s="1"/>
  <c r="AQ287" i="12" s="1"/>
  <c r="AR287" i="12" s="1"/>
  <c r="AI292" i="4"/>
  <c r="AE292" i="4"/>
  <c r="AD292" i="4"/>
  <c r="AC292" i="4"/>
  <c r="AG292" i="4" s="1"/>
  <c r="AB292" i="4"/>
  <c r="AF292" i="4" s="1"/>
  <c r="X292" i="4"/>
  <c r="W292" i="4"/>
  <c r="T292" i="4"/>
  <c r="S292" i="4"/>
  <c r="R292" i="4"/>
  <c r="Q292" i="4"/>
  <c r="P292" i="4"/>
  <c r="M292" i="4"/>
  <c r="G292" i="4"/>
  <c r="B292" i="4"/>
  <c r="C292" i="4" s="1" a="1"/>
  <c r="C292" i="4" s="1"/>
  <c r="A292" i="4"/>
  <c r="BN291" i="4"/>
  <c r="BK291" i="4"/>
  <c r="BJ291" i="4"/>
  <c r="BH291" i="4"/>
  <c r="BG291" i="4"/>
  <c r="BF291" i="4"/>
  <c r="BA291" i="4"/>
  <c r="AZ291" i="4"/>
  <c r="AX291" i="4"/>
  <c r="AW291" i="4"/>
  <c r="AY291" i="4" s="1"/>
  <c r="AV291" i="4"/>
  <c r="AS291" i="4"/>
  <c r="AV286" i="12" s="1"/>
  <c r="AW286" i="12" s="1"/>
  <c r="AO291" i="4"/>
  <c r="AQ286" i="12" s="1"/>
  <c r="AR286" i="12" s="1"/>
  <c r="AJ291" i="4"/>
  <c r="AE291" i="4"/>
  <c r="AF291" i="4" s="1"/>
  <c r="AD291" i="4"/>
  <c r="AC291" i="4"/>
  <c r="AG291" i="4" s="1"/>
  <c r="AB291" i="4"/>
  <c r="X291" i="4"/>
  <c r="W291" i="4"/>
  <c r="S291" i="4"/>
  <c r="R291" i="4"/>
  <c r="Q291" i="4"/>
  <c r="P291" i="4"/>
  <c r="O291" i="4"/>
  <c r="M291" i="4"/>
  <c r="L291" i="4"/>
  <c r="O286" i="12" s="1"/>
  <c r="K291" i="4"/>
  <c r="G291" i="4"/>
  <c r="T291" i="4" s="1"/>
  <c r="C291" i="4" a="1"/>
  <c r="C291" i="4"/>
  <c r="B291" i="4"/>
  <c r="A291" i="4"/>
  <c r="BN290" i="4"/>
  <c r="BK290" i="4"/>
  <c r="BJ290" i="4"/>
  <c r="BA290" i="4"/>
  <c r="AZ290" i="4"/>
  <c r="AX290" i="4"/>
  <c r="AW290" i="4"/>
  <c r="AY290" i="4" s="1"/>
  <c r="AV290" i="4"/>
  <c r="AS290" i="4"/>
  <c r="AV285" i="12" s="1"/>
  <c r="AW285" i="12" s="1"/>
  <c r="AJ290" i="4"/>
  <c r="AO290" i="4" s="1"/>
  <c r="AQ285" i="12" s="1"/>
  <c r="AR285" i="12" s="1"/>
  <c r="AH290" i="4"/>
  <c r="AG290" i="4"/>
  <c r="AF290" i="4"/>
  <c r="AE290" i="4"/>
  <c r="AD290" i="4"/>
  <c r="AC290" i="4"/>
  <c r="AB290" i="4"/>
  <c r="AI290" i="4" s="1"/>
  <c r="Y290" i="4"/>
  <c r="X290" i="4"/>
  <c r="W290" i="4"/>
  <c r="S290" i="4"/>
  <c r="R290" i="4"/>
  <c r="Q290" i="4"/>
  <c r="M290" i="4"/>
  <c r="L290" i="4"/>
  <c r="K290" i="4"/>
  <c r="G290" i="4"/>
  <c r="B290" i="4"/>
  <c r="C290" i="4" s="1" a="1"/>
  <c r="C290" i="4" s="1"/>
  <c r="A290" i="4"/>
  <c r="BN289" i="4"/>
  <c r="BK289" i="4"/>
  <c r="BJ289" i="4"/>
  <c r="BA289" i="4"/>
  <c r="AZ289" i="4"/>
  <c r="AX289" i="4"/>
  <c r="AW289" i="4"/>
  <c r="AY289" i="4" s="1"/>
  <c r="AV289" i="4"/>
  <c r="AS289" i="4"/>
  <c r="AV284" i="12" s="1"/>
  <c r="AW284" i="12" s="1"/>
  <c r="AJ289" i="4"/>
  <c r="AO289" i="4" s="1"/>
  <c r="AQ284" i="12" s="1"/>
  <c r="AR284" i="12" s="1"/>
  <c r="AF289" i="4"/>
  <c r="AE289" i="4"/>
  <c r="AG289" i="4" s="1"/>
  <c r="AD289" i="4"/>
  <c r="AH289" i="4" s="1"/>
  <c r="AC289" i="4"/>
  <c r="AB289" i="4"/>
  <c r="Y289" i="4"/>
  <c r="X289" i="4"/>
  <c r="W289" i="4"/>
  <c r="S289" i="4"/>
  <c r="R289" i="4"/>
  <c r="M289" i="4"/>
  <c r="BI289" i="4" s="1"/>
  <c r="J289" i="4"/>
  <c r="G289" i="4"/>
  <c r="C289" i="4" a="1"/>
  <c r="C289" i="4" s="1"/>
  <c r="B289" i="4"/>
  <c r="A289" i="4"/>
  <c r="BN288" i="4"/>
  <c r="BK288" i="4"/>
  <c r="BJ288" i="4"/>
  <c r="BA288" i="4"/>
  <c r="AZ288" i="4"/>
  <c r="L288" i="4" s="1"/>
  <c r="AY288" i="4"/>
  <c r="AX288" i="4"/>
  <c r="AW288" i="4"/>
  <c r="AV288" i="4"/>
  <c r="AS288" i="4"/>
  <c r="AV283" i="12" s="1"/>
  <c r="AW283" i="12" s="1"/>
  <c r="AO288" i="4"/>
  <c r="AQ283" i="12" s="1"/>
  <c r="AR283" i="12" s="1"/>
  <c r="AJ288" i="4"/>
  <c r="AH288" i="4"/>
  <c r="AE288" i="4"/>
  <c r="AF288" i="4" s="1"/>
  <c r="AD288" i="4"/>
  <c r="AC288" i="4"/>
  <c r="AB288" i="4"/>
  <c r="X288" i="4"/>
  <c r="W288" i="4"/>
  <c r="T288" i="4"/>
  <c r="S288" i="4"/>
  <c r="R288" i="4"/>
  <c r="M288" i="4"/>
  <c r="K288" i="4"/>
  <c r="G288" i="4"/>
  <c r="C288" i="4" a="1"/>
  <c r="C288" i="4" s="1"/>
  <c r="B288" i="4"/>
  <c r="A288" i="4"/>
  <c r="BN287" i="4"/>
  <c r="BK287" i="4"/>
  <c r="BJ287" i="4"/>
  <c r="BA287" i="4"/>
  <c r="AZ287" i="4"/>
  <c r="AX287" i="4"/>
  <c r="AY287" i="4" s="1"/>
  <c r="AW287" i="4"/>
  <c r="AV287" i="4"/>
  <c r="AS287" i="4"/>
  <c r="AV282" i="12" s="1"/>
  <c r="AW282" i="12" s="1"/>
  <c r="AO287" i="4"/>
  <c r="AQ282" i="12" s="1"/>
  <c r="AR282" i="12" s="1"/>
  <c r="AJ287" i="4"/>
  <c r="AE287" i="4"/>
  <c r="AD287" i="4"/>
  <c r="AH287" i="4" s="1"/>
  <c r="AC287" i="4"/>
  <c r="AB287" i="4"/>
  <c r="X287" i="4"/>
  <c r="W287" i="4"/>
  <c r="S287" i="4"/>
  <c r="R287" i="4"/>
  <c r="M287" i="4"/>
  <c r="G287" i="4"/>
  <c r="B287" i="4"/>
  <c r="C287" i="4" s="1" a="1"/>
  <c r="C287" i="4" s="1"/>
  <c r="A287" i="4"/>
  <c r="BN286" i="4"/>
  <c r="BK286" i="4"/>
  <c r="BJ286" i="4"/>
  <c r="BA286" i="4"/>
  <c r="AZ286" i="4"/>
  <c r="AY286" i="4"/>
  <c r="AX286" i="4"/>
  <c r="AW286" i="4"/>
  <c r="AV286" i="4"/>
  <c r="AS286" i="4"/>
  <c r="AV281" i="12" s="1"/>
  <c r="AW281" i="12" s="1"/>
  <c r="AO286" i="4"/>
  <c r="AQ281" i="12" s="1"/>
  <c r="AR281" i="12" s="1"/>
  <c r="AJ286" i="4"/>
  <c r="AE286" i="4"/>
  <c r="AD286" i="4"/>
  <c r="AC286" i="4"/>
  <c r="AG286" i="4" s="1"/>
  <c r="AB286" i="4"/>
  <c r="AI286" i="4" s="1"/>
  <c r="X286" i="4"/>
  <c r="W286" i="4"/>
  <c r="T286" i="4"/>
  <c r="S286" i="4"/>
  <c r="R286" i="4"/>
  <c r="P286" i="4"/>
  <c r="M286" i="4"/>
  <c r="K286" i="4"/>
  <c r="J286" i="4"/>
  <c r="G286" i="4"/>
  <c r="Q286" i="4" s="1"/>
  <c r="C286" i="4" a="1"/>
  <c r="C286" i="4" s="1"/>
  <c r="B286" i="4"/>
  <c r="A286" i="4"/>
  <c r="BN285" i="4"/>
  <c r="BK285" i="4"/>
  <c r="BJ285" i="4"/>
  <c r="BI285" i="4"/>
  <c r="BH285" i="4"/>
  <c r="BA285" i="4"/>
  <c r="AZ285" i="4"/>
  <c r="AY285" i="4"/>
  <c r="AX285" i="4"/>
  <c r="AW285" i="4"/>
  <c r="AV285" i="4"/>
  <c r="AS285" i="4"/>
  <c r="AV280" i="12" s="1"/>
  <c r="AW280" i="12" s="1"/>
  <c r="AJ285" i="4"/>
  <c r="AO285" i="4" s="1"/>
  <c r="AQ280" i="12" s="1"/>
  <c r="AR280" i="12" s="1"/>
  <c r="AI285" i="4"/>
  <c r="AH285" i="4"/>
  <c r="AG285" i="4"/>
  <c r="AE285" i="4"/>
  <c r="AD285" i="4"/>
  <c r="AC285" i="4"/>
  <c r="AB285" i="4"/>
  <c r="AF285" i="4" s="1"/>
  <c r="X285" i="4"/>
  <c r="W285" i="4"/>
  <c r="S285" i="4"/>
  <c r="R285" i="4"/>
  <c r="Q285" i="4"/>
  <c r="P285" i="4"/>
  <c r="M285" i="4"/>
  <c r="K285" i="4"/>
  <c r="J285" i="4"/>
  <c r="G285" i="4"/>
  <c r="T285" i="4" s="1"/>
  <c r="C285" i="4"/>
  <c r="B285" i="4"/>
  <c r="C285" i="4" s="1" a="1"/>
  <c r="A285" i="4"/>
  <c r="BN284" i="4"/>
  <c r="BK284" i="4"/>
  <c r="BJ284" i="4"/>
  <c r="BH284" i="4"/>
  <c r="BA284" i="4"/>
  <c r="AZ284" i="4"/>
  <c r="AY284" i="4"/>
  <c r="AX284" i="4"/>
  <c r="AW284" i="4"/>
  <c r="AV284" i="4"/>
  <c r="AS284" i="4"/>
  <c r="AV279" i="12" s="1"/>
  <c r="AW279" i="12" s="1"/>
  <c r="AJ284" i="4"/>
  <c r="AO284" i="4" s="1"/>
  <c r="AQ279" i="12" s="1"/>
  <c r="AR279" i="12" s="1"/>
  <c r="AE284" i="4"/>
  <c r="AG284" i="4" s="1"/>
  <c r="AD284" i="4"/>
  <c r="AC284" i="4"/>
  <c r="AB284" i="4"/>
  <c r="Y284" i="4"/>
  <c r="X284" i="4"/>
  <c r="W284" i="4"/>
  <c r="S284" i="4"/>
  <c r="R284" i="4"/>
  <c r="Q284" i="4"/>
  <c r="M284" i="4"/>
  <c r="K284" i="4"/>
  <c r="G284" i="4"/>
  <c r="C284" i="4" a="1"/>
  <c r="C284" i="4" s="1"/>
  <c r="B284" i="4"/>
  <c r="A284" i="4"/>
  <c r="BN283" i="4"/>
  <c r="BK283" i="4"/>
  <c r="BJ283" i="4"/>
  <c r="BI283" i="4"/>
  <c r="BA283" i="4"/>
  <c r="AZ283" i="4"/>
  <c r="AX283" i="4"/>
  <c r="AY283" i="4" s="1"/>
  <c r="AW283" i="4"/>
  <c r="AV283" i="4"/>
  <c r="AS283" i="4"/>
  <c r="AV278" i="12" s="1"/>
  <c r="AW278" i="12" s="1"/>
  <c r="AJ283" i="4"/>
  <c r="AO283" i="4" s="1"/>
  <c r="AQ278" i="12" s="1"/>
  <c r="AR278" i="12" s="1"/>
  <c r="AE283" i="4"/>
  <c r="AD283" i="4"/>
  <c r="AH283" i="4" s="1"/>
  <c r="AC283" i="4"/>
  <c r="AG283" i="4" s="1"/>
  <c r="AB283" i="4"/>
  <c r="AF283" i="4" s="1"/>
  <c r="Y283" i="4"/>
  <c r="X283" i="4"/>
  <c r="W283" i="4"/>
  <c r="S283" i="4"/>
  <c r="R283" i="4"/>
  <c r="M283" i="4"/>
  <c r="G283" i="4"/>
  <c r="C283" i="4" a="1"/>
  <c r="C283" i="4"/>
  <c r="B283" i="4"/>
  <c r="A283" i="4"/>
  <c r="BN282" i="4"/>
  <c r="BK282" i="4"/>
  <c r="BJ282" i="4"/>
  <c r="BI282" i="4"/>
  <c r="BH282" i="4"/>
  <c r="BA282" i="4"/>
  <c r="AZ282" i="4"/>
  <c r="AX282" i="4"/>
  <c r="AW282" i="4"/>
  <c r="AY282" i="4" s="1"/>
  <c r="AV282" i="4"/>
  <c r="AS282" i="4"/>
  <c r="AV277" i="12" s="1"/>
  <c r="AW277" i="12" s="1"/>
  <c r="AO282" i="4"/>
  <c r="AQ277" i="12" s="1"/>
  <c r="AR277" i="12" s="1"/>
  <c r="AJ282" i="4"/>
  <c r="AH282" i="4"/>
  <c r="AE282" i="4"/>
  <c r="AD282" i="4"/>
  <c r="AC282" i="4"/>
  <c r="AB282" i="4"/>
  <c r="X282" i="4"/>
  <c r="W282" i="4"/>
  <c r="S282" i="4"/>
  <c r="R282" i="4"/>
  <c r="M282" i="4"/>
  <c r="G282" i="4"/>
  <c r="C282" i="4" a="1"/>
  <c r="C282" i="4"/>
  <c r="B282" i="4"/>
  <c r="A282" i="4"/>
  <c r="BN281" i="4"/>
  <c r="BK281" i="4"/>
  <c r="BJ281" i="4"/>
  <c r="BI281" i="4"/>
  <c r="BA281" i="4"/>
  <c r="AZ281" i="4"/>
  <c r="AY281" i="4"/>
  <c r="AX281" i="4"/>
  <c r="AW281" i="4"/>
  <c r="AV281" i="4"/>
  <c r="AS281" i="4"/>
  <c r="AV276" i="12" s="1"/>
  <c r="AW276" i="12" s="1"/>
  <c r="AO281" i="4"/>
  <c r="AQ276" i="12" s="1"/>
  <c r="AR276" i="12" s="1"/>
  <c r="AJ281" i="4"/>
  <c r="AI281" i="4"/>
  <c r="AH281" i="4"/>
  <c r="AE281" i="4"/>
  <c r="AF281" i="4" s="1"/>
  <c r="AD281" i="4"/>
  <c r="AC281" i="4"/>
  <c r="AB281" i="4"/>
  <c r="X281" i="4"/>
  <c r="W281" i="4"/>
  <c r="T281" i="4"/>
  <c r="S281" i="4"/>
  <c r="R281" i="4"/>
  <c r="M281" i="4"/>
  <c r="L281" i="4"/>
  <c r="K281" i="4"/>
  <c r="J281" i="4"/>
  <c r="G281" i="4"/>
  <c r="Q281" i="4" s="1"/>
  <c r="C281" i="4"/>
  <c r="B281" i="4"/>
  <c r="C281" i="4" s="1" a="1"/>
  <c r="A281" i="4"/>
  <c r="BN280" i="4"/>
  <c r="BK280" i="4"/>
  <c r="BJ280" i="4"/>
  <c r="BH280" i="4"/>
  <c r="BG280" i="4"/>
  <c r="BF280" i="4"/>
  <c r="BA280" i="4"/>
  <c r="L280" i="4" s="1"/>
  <c r="AZ280" i="4"/>
  <c r="AX280" i="4"/>
  <c r="AW280" i="4"/>
  <c r="AV280" i="4"/>
  <c r="AS280" i="4"/>
  <c r="AV275" i="12" s="1"/>
  <c r="AW275" i="12" s="1"/>
  <c r="AO280" i="4"/>
  <c r="AQ275" i="12" s="1"/>
  <c r="AR275" i="12" s="1"/>
  <c r="AJ280" i="4"/>
  <c r="AI280" i="4"/>
  <c r="AE280" i="4"/>
  <c r="AD280" i="4"/>
  <c r="AH280" i="4" s="1"/>
  <c r="AC280" i="4"/>
  <c r="AB280" i="4"/>
  <c r="X280" i="4"/>
  <c r="W280" i="4"/>
  <c r="S280" i="4"/>
  <c r="R280" i="4"/>
  <c r="Q280" i="4"/>
  <c r="M280" i="4"/>
  <c r="K280" i="4"/>
  <c r="J280" i="4"/>
  <c r="G280" i="4"/>
  <c r="T280" i="4" s="1"/>
  <c r="B280" i="4"/>
  <c r="C280" i="4" s="1" a="1"/>
  <c r="C280" i="4" s="1"/>
  <c r="A280" i="4"/>
  <c r="BN279" i="4"/>
  <c r="BK279" i="4"/>
  <c r="BJ279" i="4"/>
  <c r="BA279" i="4"/>
  <c r="AZ279" i="4"/>
  <c r="AY279" i="4"/>
  <c r="AX279" i="4"/>
  <c r="AW279" i="4"/>
  <c r="AV279" i="4"/>
  <c r="AS279" i="4"/>
  <c r="AV274" i="12" s="1"/>
  <c r="AW274" i="12" s="1"/>
  <c r="AO279" i="4"/>
  <c r="AQ274" i="12" s="1"/>
  <c r="AR274" i="12" s="1"/>
  <c r="AJ279" i="4"/>
  <c r="AI279" i="4"/>
  <c r="AH279" i="4"/>
  <c r="AF279" i="4"/>
  <c r="AE279" i="4"/>
  <c r="AD279" i="4"/>
  <c r="AC279" i="4"/>
  <c r="AG279" i="4" s="1"/>
  <c r="AB279" i="4"/>
  <c r="X279" i="4"/>
  <c r="W279" i="4"/>
  <c r="T279" i="4"/>
  <c r="S279" i="4"/>
  <c r="R279" i="4"/>
  <c r="M279" i="4"/>
  <c r="K279" i="4"/>
  <c r="J279" i="4"/>
  <c r="G279" i="4"/>
  <c r="Q279" i="4" s="1"/>
  <c r="B279" i="4"/>
  <c r="C279" i="4" s="1" a="1"/>
  <c r="C279" i="4" s="1"/>
  <c r="A279" i="4"/>
  <c r="BN278" i="4"/>
  <c r="BK278" i="4"/>
  <c r="BJ278" i="4"/>
  <c r="BI278" i="4"/>
  <c r="BH278" i="4"/>
  <c r="BA278" i="4"/>
  <c r="AZ278" i="4"/>
  <c r="AY278" i="4"/>
  <c r="AX278" i="4"/>
  <c r="AW278" i="4"/>
  <c r="AV278" i="4"/>
  <c r="AS278" i="4"/>
  <c r="AV273" i="12" s="1"/>
  <c r="AW273" i="12" s="1"/>
  <c r="AJ278" i="4"/>
  <c r="AO278" i="4" s="1"/>
  <c r="AQ273" i="12" s="1"/>
  <c r="AR273" i="12" s="1"/>
  <c r="AH278" i="4"/>
  <c r="AG278" i="4"/>
  <c r="AF278" i="4"/>
  <c r="AE278" i="4"/>
  <c r="AD278" i="4"/>
  <c r="AC278" i="4"/>
  <c r="AB278" i="4"/>
  <c r="Y278" i="4"/>
  <c r="X278" i="4"/>
  <c r="W278" i="4"/>
  <c r="S278" i="4"/>
  <c r="R278" i="4"/>
  <c r="M278" i="4"/>
  <c r="K278" i="4"/>
  <c r="J278" i="4"/>
  <c r="G278" i="4"/>
  <c r="T278" i="4" s="1"/>
  <c r="B278" i="4"/>
  <c r="C278" i="4" s="1" a="1"/>
  <c r="C278" i="4" s="1"/>
  <c r="A278" i="4"/>
  <c r="BN277" i="4"/>
  <c r="BK277" i="4"/>
  <c r="BJ277" i="4"/>
  <c r="BA277" i="4"/>
  <c r="AZ277" i="4"/>
  <c r="AY277" i="4"/>
  <c r="AX277" i="4"/>
  <c r="AW277" i="4"/>
  <c r="AV277" i="4"/>
  <c r="AS277" i="4"/>
  <c r="AV272" i="12" s="1"/>
  <c r="AW272" i="12" s="1"/>
  <c r="AO277" i="4"/>
  <c r="AQ272" i="12" s="1"/>
  <c r="AR272" i="12" s="1"/>
  <c r="AJ277" i="4"/>
  <c r="AG277" i="4"/>
  <c r="AE277" i="4"/>
  <c r="AF277" i="4" s="1"/>
  <c r="AD277" i="4"/>
  <c r="AH277" i="4" s="1"/>
  <c r="AC277" i="4"/>
  <c r="AB277" i="4"/>
  <c r="X277" i="4"/>
  <c r="W277" i="4"/>
  <c r="S277" i="4"/>
  <c r="R277" i="4"/>
  <c r="Q277" i="4"/>
  <c r="P277" i="4"/>
  <c r="M277" i="4"/>
  <c r="G277" i="4"/>
  <c r="C277" i="4" a="1"/>
  <c r="C277" i="4" s="1"/>
  <c r="B277" i="4"/>
  <c r="A277" i="4"/>
  <c r="BN276" i="4"/>
  <c r="BK276" i="4"/>
  <c r="BJ276" i="4"/>
  <c r="BH276" i="4"/>
  <c r="BG276" i="4"/>
  <c r="BA276" i="4"/>
  <c r="AZ276" i="4"/>
  <c r="AX276" i="4"/>
  <c r="AW276" i="4"/>
  <c r="AY276" i="4" s="1"/>
  <c r="AV276" i="4"/>
  <c r="AS276" i="4"/>
  <c r="AV271" i="12" s="1"/>
  <c r="AW271" i="12" s="1"/>
  <c r="AO276" i="4"/>
  <c r="AQ271" i="12" s="1"/>
  <c r="AR271" i="12" s="1"/>
  <c r="AJ276" i="4"/>
  <c r="AI276" i="4"/>
  <c r="AH276" i="4"/>
  <c r="AG276" i="4"/>
  <c r="AF276" i="4"/>
  <c r="AE276" i="4"/>
  <c r="AD276" i="4"/>
  <c r="AC276" i="4"/>
  <c r="AB276" i="4"/>
  <c r="X276" i="4"/>
  <c r="W276" i="4"/>
  <c r="T276" i="4"/>
  <c r="S276" i="4"/>
  <c r="R276" i="4"/>
  <c r="Q276" i="4"/>
  <c r="P276" i="4"/>
  <c r="M276" i="4"/>
  <c r="L276" i="4"/>
  <c r="J276" i="4"/>
  <c r="G276" i="4"/>
  <c r="K276" i="4" s="1"/>
  <c r="C276" i="4" a="1"/>
  <c r="C276" i="4"/>
  <c r="B276" i="4"/>
  <c r="A276" i="4"/>
  <c r="BN275" i="4"/>
  <c r="BK275" i="4"/>
  <c r="BJ275" i="4"/>
  <c r="BG275" i="4"/>
  <c r="BF275" i="4"/>
  <c r="BA275" i="4"/>
  <c r="L275" i="4" s="1"/>
  <c r="O270" i="12" s="1"/>
  <c r="AZ275" i="4"/>
  <c r="AX275" i="4"/>
  <c r="AW275" i="4"/>
  <c r="AV275" i="4"/>
  <c r="AS275" i="4"/>
  <c r="AV270" i="12" s="1"/>
  <c r="AW270" i="12" s="1"/>
  <c r="AJ275" i="4"/>
  <c r="AO275" i="4" s="1"/>
  <c r="AQ270" i="12" s="1"/>
  <c r="AR270" i="12" s="1"/>
  <c r="AG275" i="4"/>
  <c r="AF275" i="4"/>
  <c r="AE275" i="4"/>
  <c r="AD275" i="4"/>
  <c r="AH275" i="4" s="1"/>
  <c r="AC275" i="4"/>
  <c r="AB275" i="4"/>
  <c r="X275" i="4"/>
  <c r="W275" i="4"/>
  <c r="S275" i="4"/>
  <c r="R275" i="4"/>
  <c r="Q275" i="4"/>
  <c r="O275" i="4"/>
  <c r="M275" i="4"/>
  <c r="BI275" i="4" s="1"/>
  <c r="J275" i="4"/>
  <c r="G275" i="4"/>
  <c r="T275" i="4" s="1"/>
  <c r="C275" i="4" a="1"/>
  <c r="C275" i="4" s="1"/>
  <c r="B275" i="4"/>
  <c r="A275" i="4"/>
  <c r="BN274" i="4"/>
  <c r="BK274" i="4"/>
  <c r="BJ274" i="4"/>
  <c r="BI274" i="4"/>
  <c r="BH274" i="4"/>
  <c r="BF274" i="4"/>
  <c r="BA274" i="4"/>
  <c r="BG274" i="4" s="1"/>
  <c r="AZ274" i="4"/>
  <c r="AY274" i="4"/>
  <c r="AX274" i="4"/>
  <c r="AW274" i="4"/>
  <c r="AV274" i="4"/>
  <c r="AS274" i="4"/>
  <c r="AV269" i="12" s="1"/>
  <c r="AW269" i="12" s="1"/>
  <c r="AJ274" i="4"/>
  <c r="AO274" i="4" s="1"/>
  <c r="AQ269" i="12" s="1"/>
  <c r="AR269" i="12" s="1"/>
  <c r="AE274" i="4"/>
  <c r="AD274" i="4"/>
  <c r="AH274" i="4" s="1"/>
  <c r="AC274" i="4"/>
  <c r="AG274" i="4" s="1"/>
  <c r="AB274" i="4"/>
  <c r="X274" i="4"/>
  <c r="W274" i="4"/>
  <c r="S274" i="4"/>
  <c r="R274" i="4"/>
  <c r="O274" i="4"/>
  <c r="G274" i="4"/>
  <c r="B274" i="4"/>
  <c r="C274" i="4" s="1" a="1"/>
  <c r="C274" i="4" s="1"/>
  <c r="A274" i="4"/>
  <c r="BN273" i="4"/>
  <c r="BK273" i="4"/>
  <c r="BJ273" i="4"/>
  <c r="BI273" i="4"/>
  <c r="BH273" i="4"/>
  <c r="BF273" i="4"/>
  <c r="BA273" i="4"/>
  <c r="BG273" i="4" s="1"/>
  <c r="AZ273" i="4"/>
  <c r="AX273" i="4"/>
  <c r="AY273" i="4" s="1"/>
  <c r="AW273" i="4"/>
  <c r="AV273" i="4"/>
  <c r="AS273" i="4"/>
  <c r="AV268" i="12" s="1"/>
  <c r="AJ273" i="4"/>
  <c r="AO273" i="4" s="1"/>
  <c r="AQ268" i="12" s="1"/>
  <c r="AE273" i="4"/>
  <c r="W273" i="4"/>
  <c r="S273" i="4"/>
  <c r="R273" i="4"/>
  <c r="J273" i="4"/>
  <c r="G273" i="4"/>
  <c r="K273" i="4" s="1"/>
  <c r="B273" i="4"/>
  <c r="C273" i="4" s="1" a="1"/>
  <c r="C273" i="4" s="1"/>
  <c r="A273" i="4"/>
  <c r="BN272" i="4"/>
  <c r="BI272" i="4"/>
  <c r="BH272" i="4"/>
  <c r="BD272" i="4"/>
  <c r="AW272" i="4"/>
  <c r="AS272" i="4"/>
  <c r="AV267" i="12" s="1"/>
  <c r="AO272" i="4"/>
  <c r="AQ267" i="12" s="1"/>
  <c r="AJ272" i="4"/>
  <c r="AE272" i="4"/>
  <c r="AD272" i="4"/>
  <c r="AC272" i="4"/>
  <c r="AG272" i="4" s="1"/>
  <c r="AB272" i="4"/>
  <c r="X272" i="4"/>
  <c r="S272" i="4"/>
  <c r="R272" i="4"/>
  <c r="H272" i="4"/>
  <c r="C272" i="4"/>
  <c r="B272" i="4"/>
  <c r="C272" i="4" s="1" a="1"/>
  <c r="A272" i="4"/>
  <c r="BN271" i="4"/>
  <c r="BD271" i="4"/>
  <c r="AW271" i="4"/>
  <c r="AV271" i="4"/>
  <c r="AU271" i="4" s="1"/>
  <c r="BE271" i="4" s="1"/>
  <c r="AJ271" i="4"/>
  <c r="AO271" i="4" s="1"/>
  <c r="AQ266" i="12" s="1"/>
  <c r="AR266" i="12" s="1"/>
  <c r="AH271" i="4"/>
  <c r="AF271" i="4"/>
  <c r="AE271" i="4"/>
  <c r="AG271" i="4" s="1"/>
  <c r="AD271" i="4"/>
  <c r="AC271" i="4"/>
  <c r="AB271" i="4"/>
  <c r="Y271" i="4"/>
  <c r="X271" i="4"/>
  <c r="S271" i="4"/>
  <c r="R271" i="4"/>
  <c r="BH271" i="4"/>
  <c r="H271" i="4"/>
  <c r="C271" i="4" a="1"/>
  <c r="C271" i="4" s="1"/>
  <c r="B271" i="4"/>
  <c r="A271" i="4"/>
  <c r="BN270" i="4"/>
  <c r="BI270" i="4"/>
  <c r="BD270" i="4"/>
  <c r="AV270" i="4"/>
  <c r="AU270" i="4"/>
  <c r="BE270" i="4" s="1"/>
  <c r="AO270" i="4"/>
  <c r="AQ265" i="12" s="1"/>
  <c r="AR265" i="12" s="1"/>
  <c r="AJ270" i="4"/>
  <c r="AF270" i="4"/>
  <c r="AE270" i="4"/>
  <c r="AD270" i="4"/>
  <c r="AC270" i="4"/>
  <c r="AB270" i="4"/>
  <c r="X270" i="4"/>
  <c r="S270" i="4"/>
  <c r="R270" i="4"/>
  <c r="C270" i="4" a="1"/>
  <c r="C270" i="4" s="1"/>
  <c r="B270" i="4"/>
  <c r="A270" i="4"/>
  <c r="BN269" i="4"/>
  <c r="BI269" i="4"/>
  <c r="BH269" i="4"/>
  <c r="BD269" i="4"/>
  <c r="AV269" i="4"/>
  <c r="AU269" i="4"/>
  <c r="BE269" i="4" s="1"/>
  <c r="AX269" i="4" s="1"/>
  <c r="AS269" i="4"/>
  <c r="AV264" i="12" s="1"/>
  <c r="AO269" i="4"/>
  <c r="AQ264" i="12" s="1"/>
  <c r="AR264" i="12" s="1"/>
  <c r="AJ269" i="4"/>
  <c r="AE269" i="4"/>
  <c r="AF269" i="4" s="1"/>
  <c r="AD269" i="4"/>
  <c r="AH269" i="4" s="1"/>
  <c r="AC269" i="4"/>
  <c r="AB269" i="4"/>
  <c r="X269" i="4"/>
  <c r="S269" i="4"/>
  <c r="R269" i="4"/>
  <c r="N269" i="4"/>
  <c r="I269" i="4"/>
  <c r="H269" i="4"/>
  <c r="C269" i="4" a="1"/>
  <c r="C269" i="4" s="1"/>
  <c r="B269" i="4"/>
  <c r="A269" i="4"/>
  <c r="BN268" i="4"/>
  <c r="BI268" i="4"/>
  <c r="BD268" i="4"/>
  <c r="AZ268" i="4"/>
  <c r="AW268" i="4"/>
  <c r="AV268" i="4"/>
  <c r="AU268" i="4" s="1"/>
  <c r="BE268" i="4" s="1"/>
  <c r="AS268" i="4"/>
  <c r="AV263" i="12" s="1"/>
  <c r="AO268" i="4"/>
  <c r="AQ263" i="12" s="1"/>
  <c r="AR263" i="12" s="1"/>
  <c r="AJ268" i="4"/>
  <c r="AE268" i="4"/>
  <c r="AD268" i="4"/>
  <c r="AC268" i="4"/>
  <c r="AG268" i="4" s="1"/>
  <c r="AB268" i="4"/>
  <c r="AF268" i="4" s="1"/>
  <c r="X268" i="4"/>
  <c r="V268" i="4"/>
  <c r="V269" i="4" s="1"/>
  <c r="U268" i="4"/>
  <c r="U269" i="4" s="1"/>
  <c r="S268" i="4"/>
  <c r="R268" i="4"/>
  <c r="BH268" i="4"/>
  <c r="H268" i="4"/>
  <c r="B268" i="4"/>
  <c r="C268" i="4" s="1" a="1"/>
  <c r="C268" i="4" s="1"/>
  <c r="A268" i="4"/>
  <c r="BN267" i="4"/>
  <c r="BD267" i="4"/>
  <c r="AV267" i="4"/>
  <c r="AU267" i="4"/>
  <c r="BE267" i="4" s="1"/>
  <c r="AS267" i="4"/>
  <c r="AV262" i="12" s="1"/>
  <c r="AO267" i="4"/>
  <c r="AQ262" i="12" s="1"/>
  <c r="AR262" i="12" s="1"/>
  <c r="AJ267" i="4"/>
  <c r="AH267" i="4"/>
  <c r="AG267" i="4"/>
  <c r="AF267" i="4"/>
  <c r="AE267" i="4"/>
  <c r="AD267" i="4"/>
  <c r="AC267" i="4"/>
  <c r="AB267" i="4"/>
  <c r="X267" i="4"/>
  <c r="S267" i="4"/>
  <c r="R267" i="4"/>
  <c r="BI267" i="4"/>
  <c r="C267" i="4" a="1"/>
  <c r="C267" i="4" s="1"/>
  <c r="B267" i="4"/>
  <c r="A267" i="4"/>
  <c r="BN266" i="4"/>
  <c r="BI266" i="4"/>
  <c r="BH266" i="4"/>
  <c r="BD266" i="4"/>
  <c r="H266" i="4" s="1"/>
  <c r="AV266" i="4"/>
  <c r="AU266" i="4"/>
  <c r="BE266" i="4" s="1"/>
  <c r="AS266" i="4"/>
  <c r="AV261" i="12" s="1"/>
  <c r="AO266" i="4"/>
  <c r="AQ261" i="12" s="1"/>
  <c r="AR261" i="12" s="1"/>
  <c r="AJ266" i="4"/>
  <c r="AE266" i="4"/>
  <c r="AF266" i="4" s="1"/>
  <c r="AD266" i="4"/>
  <c r="AC266" i="4"/>
  <c r="AG266" i="4" s="1"/>
  <c r="AB266" i="4"/>
  <c r="X266" i="4"/>
  <c r="S266" i="4"/>
  <c r="R266" i="4"/>
  <c r="C266" i="4" a="1"/>
  <c r="C266" i="4" s="1"/>
  <c r="B266" i="4"/>
  <c r="A266" i="4"/>
  <c r="BN265" i="4"/>
  <c r="BE265" i="4"/>
  <c r="BD265" i="4"/>
  <c r="AZ265" i="4"/>
  <c r="AX265" i="4"/>
  <c r="AW265" i="4"/>
  <c r="AY265" i="4" s="1"/>
  <c r="AV265" i="4"/>
  <c r="AU265" i="4" s="1"/>
  <c r="AS265" i="4"/>
  <c r="AV260" i="12" s="1"/>
  <c r="AO265" i="4"/>
  <c r="AQ260" i="12" s="1"/>
  <c r="AR260" i="12" s="1"/>
  <c r="AJ265" i="4"/>
  <c r="AE265" i="4"/>
  <c r="AD265" i="4"/>
  <c r="AC265" i="4"/>
  <c r="AG265" i="4" s="1"/>
  <c r="AB265" i="4"/>
  <c r="X265" i="4"/>
  <c r="S265" i="4"/>
  <c r="R265" i="4"/>
  <c r="N265" i="4"/>
  <c r="H265" i="4"/>
  <c r="C265" i="4"/>
  <c r="B265" i="4"/>
  <c r="C265" i="4" s="1" a="1"/>
  <c r="A265" i="4"/>
  <c r="BN264" i="4"/>
  <c r="BD264" i="4"/>
  <c r="AV264" i="4"/>
  <c r="AU264" i="4" s="1"/>
  <c r="BE264" i="4" s="1"/>
  <c r="AS264" i="4"/>
  <c r="AV259" i="12" s="1"/>
  <c r="AJ264" i="4"/>
  <c r="AO264" i="4" s="1"/>
  <c r="AQ259" i="12" s="1"/>
  <c r="AR259" i="12" s="1"/>
  <c r="AH264" i="4"/>
  <c r="AG264" i="4"/>
  <c r="AF264" i="4"/>
  <c r="AE264" i="4"/>
  <c r="AD264" i="4"/>
  <c r="AC264" i="4"/>
  <c r="AB264" i="4"/>
  <c r="Y264" i="4"/>
  <c r="X264" i="4"/>
  <c r="W264" i="4" s="1"/>
  <c r="AA264" i="4" s="1"/>
  <c r="S264" i="4"/>
  <c r="R264" i="4"/>
  <c r="C264" i="4" a="1"/>
  <c r="C264" i="4" s="1"/>
  <c r="B264" i="4"/>
  <c r="A264" i="4"/>
  <c r="BN263" i="4"/>
  <c r="BI263" i="4"/>
  <c r="BD263" i="4"/>
  <c r="AV263" i="4"/>
  <c r="AU263" i="4"/>
  <c r="BE263" i="4" s="1"/>
  <c r="AS263" i="4"/>
  <c r="AV258" i="12" s="1"/>
  <c r="AO263" i="4"/>
  <c r="AQ258" i="12" s="1"/>
  <c r="AR258" i="12" s="1"/>
  <c r="AJ263" i="4"/>
  <c r="AF263" i="4"/>
  <c r="AE263" i="4"/>
  <c r="AD263" i="4"/>
  <c r="AH263" i="4" s="1"/>
  <c r="AC263" i="4"/>
  <c r="AG263" i="4" s="1"/>
  <c r="AB263" i="4"/>
  <c r="X263" i="4"/>
  <c r="S263" i="4"/>
  <c r="R263" i="4"/>
  <c r="C263" i="4"/>
  <c r="B263" i="4"/>
  <c r="C263" i="4" s="1" a="1"/>
  <c r="A263" i="4"/>
  <c r="BN262" i="4"/>
  <c r="BI262" i="4"/>
  <c r="BH262" i="4"/>
  <c r="BD262" i="4"/>
  <c r="AX262" i="4"/>
  <c r="AY262" i="4" s="1"/>
  <c r="AW262" i="4"/>
  <c r="AV262" i="4"/>
  <c r="AU262" i="4"/>
  <c r="BE262" i="4" s="1"/>
  <c r="AS262" i="4"/>
  <c r="AV257" i="12" s="1"/>
  <c r="AO262" i="4"/>
  <c r="AQ257" i="12" s="1"/>
  <c r="AR257" i="12" s="1"/>
  <c r="AJ262" i="4"/>
  <c r="AE262" i="4"/>
  <c r="AF262" i="4" s="1"/>
  <c r="AD262" i="4"/>
  <c r="AH262" i="4" s="1"/>
  <c r="AC262" i="4"/>
  <c r="AB262" i="4"/>
  <c r="X262" i="4"/>
  <c r="S262" i="4"/>
  <c r="R262" i="4"/>
  <c r="N262" i="4"/>
  <c r="I262" i="4"/>
  <c r="H262" i="4"/>
  <c r="C262" i="4" a="1"/>
  <c r="C262" i="4" s="1"/>
  <c r="B262" i="4"/>
  <c r="A262" i="4"/>
  <c r="BN261" i="4"/>
  <c r="BE261" i="4"/>
  <c r="BD261" i="4"/>
  <c r="AZ261" i="4"/>
  <c r="AX261" i="4"/>
  <c r="AY261" i="4" s="1"/>
  <c r="AW261" i="4"/>
  <c r="AV261" i="4"/>
  <c r="AU261" i="4" s="1"/>
  <c r="AS261" i="4"/>
  <c r="AV256" i="12" s="1"/>
  <c r="AO261" i="4"/>
  <c r="AQ256" i="12" s="1"/>
  <c r="AR256" i="12" s="1"/>
  <c r="AJ261" i="4"/>
  <c r="AE261" i="4"/>
  <c r="AD261" i="4"/>
  <c r="AC261" i="4"/>
  <c r="AG261" i="4" s="1"/>
  <c r="AB261" i="4"/>
  <c r="AF261" i="4" s="1"/>
  <c r="Z261" i="4"/>
  <c r="Y261" i="4"/>
  <c r="W261" i="4" s="1"/>
  <c r="AA261" i="4" s="1"/>
  <c r="X261" i="4"/>
  <c r="S261" i="4"/>
  <c r="R261" i="4"/>
  <c r="H261" i="4"/>
  <c r="B261" i="4"/>
  <c r="C261" i="4" s="1" a="1"/>
  <c r="C261" i="4" s="1"/>
  <c r="A261" i="4"/>
  <c r="BN260" i="4"/>
  <c r="BE260" i="4"/>
  <c r="N260" i="4" s="1"/>
  <c r="BD260" i="4"/>
  <c r="AW260" i="4" s="1"/>
  <c r="AV260" i="4"/>
  <c r="AU260" i="4" s="1"/>
  <c r="AS260" i="4"/>
  <c r="AV255" i="12" s="1"/>
  <c r="AW255" i="12" s="1"/>
  <c r="AO260" i="4"/>
  <c r="AQ255" i="12" s="1"/>
  <c r="AR255" i="12" s="1"/>
  <c r="AJ260" i="4"/>
  <c r="AH260" i="4"/>
  <c r="AE260" i="4"/>
  <c r="AG260" i="4" s="1"/>
  <c r="AD260" i="4"/>
  <c r="AC260" i="4"/>
  <c r="AB260" i="4"/>
  <c r="AA260" i="4"/>
  <c r="Z260" i="4"/>
  <c r="Y260" i="4"/>
  <c r="X260" i="4"/>
  <c r="W260" i="4" s="1"/>
  <c r="S260" i="4"/>
  <c r="R260" i="4"/>
  <c r="C260" i="4" a="1"/>
  <c r="C260" i="4" s="1"/>
  <c r="B260" i="4"/>
  <c r="A260" i="4"/>
  <c r="BN259" i="4"/>
  <c r="BI259" i="4"/>
  <c r="BH259" i="4"/>
  <c r="BD259" i="4"/>
  <c r="AV259" i="4"/>
  <c r="AU259" i="4" s="1"/>
  <c r="BE259" i="4" s="1"/>
  <c r="AS259" i="4"/>
  <c r="AV254" i="12" s="1"/>
  <c r="AW254" i="12" s="1"/>
  <c r="AJ259" i="4"/>
  <c r="AO259" i="4" s="1"/>
  <c r="AQ254" i="12" s="1"/>
  <c r="AR254" i="12" s="1"/>
  <c r="AE259" i="4"/>
  <c r="AF259" i="4" s="1"/>
  <c r="AD259" i="4"/>
  <c r="AC259" i="4"/>
  <c r="AG259" i="4" s="1"/>
  <c r="AB259" i="4"/>
  <c r="X259" i="4"/>
  <c r="S259" i="4"/>
  <c r="R259" i="4"/>
  <c r="C259" i="4" a="1"/>
  <c r="C259" i="4"/>
  <c r="B259" i="4"/>
  <c r="A259" i="4"/>
  <c r="BN258" i="4"/>
  <c r="BJ258" i="4"/>
  <c r="BE258" i="4"/>
  <c r="BD258" i="4"/>
  <c r="BA258" i="4"/>
  <c r="AZ258" i="4"/>
  <c r="AX258" i="4"/>
  <c r="AW258" i="4"/>
  <c r="AY258" i="4" s="1"/>
  <c r="AV258" i="4"/>
  <c r="AU258" i="4" s="1"/>
  <c r="AS258" i="4"/>
  <c r="AV253" i="12" s="1"/>
  <c r="AW253" i="12" s="1"/>
  <c r="AO258" i="4"/>
  <c r="AQ253" i="12" s="1"/>
  <c r="AR253" i="12" s="1"/>
  <c r="AJ258" i="4"/>
  <c r="AI258" i="4"/>
  <c r="AE258" i="4"/>
  <c r="AF258" i="4" s="1"/>
  <c r="AD258" i="4"/>
  <c r="AH258" i="4" s="1"/>
  <c r="AC258" i="4"/>
  <c r="AB258" i="4"/>
  <c r="Y258" i="4"/>
  <c r="X258" i="4"/>
  <c r="W258" i="4" s="1"/>
  <c r="S258" i="4"/>
  <c r="R258" i="4"/>
  <c r="N258" i="4"/>
  <c r="I258" i="4"/>
  <c r="H258" i="4"/>
  <c r="G258" i="4" s="1"/>
  <c r="C258" i="4"/>
  <c r="B258" i="4"/>
  <c r="C258" i="4" s="1" a="1"/>
  <c r="A258" i="4"/>
  <c r="BN257" i="4"/>
  <c r="BE257" i="4"/>
  <c r="BD257" i="4"/>
  <c r="AW257" i="4"/>
  <c r="AV257" i="4"/>
  <c r="AU257" i="4" s="1"/>
  <c r="AS257" i="4"/>
  <c r="AV252" i="12" s="1"/>
  <c r="AW252" i="12" s="1"/>
  <c r="AJ257" i="4"/>
  <c r="AO257" i="4" s="1"/>
  <c r="AQ252" i="12" s="1"/>
  <c r="AR252" i="12" s="1"/>
  <c r="AH257" i="4"/>
  <c r="AF257" i="4"/>
  <c r="AE257" i="4"/>
  <c r="AG257" i="4" s="1"/>
  <c r="AD257" i="4"/>
  <c r="AC257" i="4"/>
  <c r="AB257" i="4"/>
  <c r="Y257" i="4"/>
  <c r="S257" i="4"/>
  <c r="R257" i="4"/>
  <c r="H257" i="4"/>
  <c r="C257" i="4" a="1"/>
  <c r="C257" i="4" s="1"/>
  <c r="B257" i="4"/>
  <c r="A257" i="4"/>
  <c r="BN256" i="4"/>
  <c r="BI256" i="4"/>
  <c r="BD256" i="4"/>
  <c r="AV256" i="4"/>
  <c r="AU256" i="4"/>
  <c r="BE256" i="4" s="1"/>
  <c r="AS256" i="4"/>
  <c r="AV251" i="12" s="1"/>
  <c r="AW251" i="12" s="1"/>
  <c r="AO256" i="4"/>
  <c r="AQ251" i="12" s="1"/>
  <c r="AR251" i="12" s="1"/>
  <c r="AJ256" i="4"/>
  <c r="AF256" i="4"/>
  <c r="AE256" i="4"/>
  <c r="AD256" i="4"/>
  <c r="AC256" i="4"/>
  <c r="AB256" i="4"/>
  <c r="X256" i="4"/>
  <c r="S256" i="4"/>
  <c r="R256" i="4"/>
  <c r="C256" i="4" a="1"/>
  <c r="C256" i="4" s="1"/>
  <c r="B256" i="4"/>
  <c r="A256" i="4"/>
  <c r="BN255" i="4"/>
  <c r="BK255" i="4"/>
  <c r="BI255" i="4"/>
  <c r="BH255" i="4"/>
  <c r="BD255" i="4"/>
  <c r="AX255" i="4"/>
  <c r="AV255" i="4"/>
  <c r="AU255" i="4"/>
  <c r="BE255" i="4" s="1"/>
  <c r="AS255" i="4"/>
  <c r="AV250" i="12" s="1"/>
  <c r="AW250" i="12" s="1"/>
  <c r="AO255" i="4"/>
  <c r="AQ250" i="12" s="1"/>
  <c r="AR250" i="12" s="1"/>
  <c r="AJ255" i="4"/>
  <c r="AF255" i="4"/>
  <c r="AE255" i="4"/>
  <c r="AD255" i="4"/>
  <c r="AH255" i="4" s="1"/>
  <c r="AC255" i="4"/>
  <c r="AB255" i="4"/>
  <c r="AA255" i="4"/>
  <c r="Y255" i="4"/>
  <c r="X255" i="4"/>
  <c r="W255" i="4"/>
  <c r="Z255" i="4" s="1"/>
  <c r="S255" i="4"/>
  <c r="R255" i="4"/>
  <c r="N255" i="4"/>
  <c r="I255" i="4"/>
  <c r="H255" i="4"/>
  <c r="B255" i="4"/>
  <c r="C255" i="4" s="1" a="1"/>
  <c r="C255" i="4" s="1"/>
  <c r="A255" i="4"/>
  <c r="BN254" i="4"/>
  <c r="BI254" i="4"/>
  <c r="BH254" i="4"/>
  <c r="BE254" i="4"/>
  <c r="BD254" i="4"/>
  <c r="AZ254" i="4"/>
  <c r="AX254" i="4"/>
  <c r="AY254" i="4" s="1"/>
  <c r="AW254" i="4"/>
  <c r="AV254" i="4"/>
  <c r="AU254" i="4" s="1"/>
  <c r="AS254" i="4"/>
  <c r="AV249" i="12" s="1"/>
  <c r="AW249" i="12" s="1"/>
  <c r="AO254" i="4"/>
  <c r="AQ249" i="12" s="1"/>
  <c r="AR249" i="12" s="1"/>
  <c r="AJ254" i="4"/>
  <c r="AE254" i="4"/>
  <c r="AD254" i="4"/>
  <c r="AC254" i="4"/>
  <c r="AG254" i="4" s="1"/>
  <c r="AB254" i="4"/>
  <c r="AF254" i="4" s="1"/>
  <c r="X254" i="4"/>
  <c r="S254" i="4"/>
  <c r="R254" i="4"/>
  <c r="I254" i="4"/>
  <c r="H254" i="4"/>
  <c r="B254" i="4"/>
  <c r="C254" i="4" s="1" a="1"/>
  <c r="C254" i="4" s="1"/>
  <c r="A254" i="4"/>
  <c r="BN253" i="4"/>
  <c r="BD253" i="4"/>
  <c r="N253" i="4" s="1"/>
  <c r="AX253" i="4"/>
  <c r="AV253" i="4"/>
  <c r="AU253" i="4" s="1"/>
  <c r="BE253" i="4" s="1"/>
  <c r="AS253" i="4"/>
  <c r="AV248" i="12" s="1"/>
  <c r="AW248" i="12" s="1"/>
  <c r="AO253" i="4"/>
  <c r="AQ248" i="12" s="1"/>
  <c r="AR248" i="12" s="1"/>
  <c r="AJ253" i="4"/>
  <c r="AH253" i="4"/>
  <c r="AG253" i="4"/>
  <c r="AF253" i="4"/>
  <c r="AE253" i="4"/>
  <c r="AD253" i="4"/>
  <c r="AC253" i="4"/>
  <c r="AB253" i="4"/>
  <c r="Y253" i="4"/>
  <c r="X253" i="4"/>
  <c r="W253" i="4" s="1"/>
  <c r="AA253" i="4" s="1"/>
  <c r="S253" i="4"/>
  <c r="R253" i="4"/>
  <c r="BI253" i="4"/>
  <c r="C253" i="4" a="1"/>
  <c r="C253" i="4" s="1"/>
  <c r="B253" i="4"/>
  <c r="A253" i="4"/>
  <c r="BN252" i="4"/>
  <c r="BI252" i="4"/>
  <c r="BH252" i="4"/>
  <c r="BE252" i="4"/>
  <c r="BD252" i="4"/>
  <c r="H252" i="4" s="1"/>
  <c r="AV252" i="4"/>
  <c r="AU252" i="4"/>
  <c r="AS252" i="4"/>
  <c r="AV247" i="12" s="1"/>
  <c r="AW247" i="12" s="1"/>
  <c r="AO252" i="4"/>
  <c r="AQ247" i="12" s="1"/>
  <c r="AR247" i="12" s="1"/>
  <c r="AJ252" i="4"/>
  <c r="AE252" i="4"/>
  <c r="AD252" i="4"/>
  <c r="AH252" i="4" s="1"/>
  <c r="AC252" i="4"/>
  <c r="AG252" i="4" s="1"/>
  <c r="X252" i="4"/>
  <c r="S252" i="4"/>
  <c r="R252" i="4"/>
  <c r="C252" i="4" a="1"/>
  <c r="C252" i="4" s="1"/>
  <c r="B252" i="4"/>
  <c r="A252" i="4"/>
  <c r="BN251" i="4"/>
  <c r="BI251" i="4"/>
  <c r="BH251" i="4"/>
  <c r="BD251" i="4"/>
  <c r="AZ251" i="4"/>
  <c r="AW251" i="4"/>
  <c r="AV251" i="4"/>
  <c r="AU251" i="4" s="1"/>
  <c r="BE251" i="4" s="1"/>
  <c r="AS251" i="4"/>
  <c r="AV246" i="12" s="1"/>
  <c r="AW246" i="12" s="1"/>
  <c r="AO251" i="4"/>
  <c r="AQ246" i="12" s="1"/>
  <c r="AR246" i="12" s="1"/>
  <c r="AJ251" i="4"/>
  <c r="AH251" i="4"/>
  <c r="AE251" i="4"/>
  <c r="AD251" i="4"/>
  <c r="AC251" i="4"/>
  <c r="AG251" i="4" s="1"/>
  <c r="AB251" i="4"/>
  <c r="X251" i="4"/>
  <c r="S251" i="4"/>
  <c r="R251" i="4"/>
  <c r="H251" i="4"/>
  <c r="C251" i="4"/>
  <c r="B251" i="4"/>
  <c r="C251" i="4" s="1" a="1"/>
  <c r="A251" i="4"/>
  <c r="BN250" i="4"/>
  <c r="BD250" i="4"/>
  <c r="AV250" i="4"/>
  <c r="AU250" i="4"/>
  <c r="BE250" i="4" s="1"/>
  <c r="AS250" i="4"/>
  <c r="AV245" i="12" s="1"/>
  <c r="AW245" i="12" s="1"/>
  <c r="AJ250" i="4"/>
  <c r="AO250" i="4" s="1"/>
  <c r="AQ245" i="12" s="1"/>
  <c r="AR245" i="12" s="1"/>
  <c r="AG250" i="4"/>
  <c r="AF250" i="4"/>
  <c r="AE250" i="4"/>
  <c r="AD250" i="4"/>
  <c r="AC250" i="4"/>
  <c r="AH250" i="4" s="1"/>
  <c r="AB250" i="4"/>
  <c r="Y250" i="4"/>
  <c r="X250" i="4"/>
  <c r="S250" i="4"/>
  <c r="R250" i="4"/>
  <c r="N250" i="4"/>
  <c r="C250" i="4" a="1"/>
  <c r="C250" i="4" s="1"/>
  <c r="B250" i="4"/>
  <c r="A250" i="4"/>
  <c r="BN249" i="4"/>
  <c r="BI249" i="4"/>
  <c r="BE249" i="4"/>
  <c r="BD249" i="4"/>
  <c r="AW249" i="4"/>
  <c r="AV249" i="4"/>
  <c r="AU249" i="4" s="1"/>
  <c r="AS249" i="4"/>
  <c r="AV244" i="12" s="1"/>
  <c r="AW244" i="12" s="1"/>
  <c r="AO249" i="4"/>
  <c r="AQ244" i="12" s="1"/>
  <c r="AR244" i="12" s="1"/>
  <c r="AJ249" i="4"/>
  <c r="AH249" i="4"/>
  <c r="AG249" i="4"/>
  <c r="AF249" i="4"/>
  <c r="AE249" i="4"/>
  <c r="AD249" i="4"/>
  <c r="AC249" i="4"/>
  <c r="AB249" i="4"/>
  <c r="X249" i="4"/>
  <c r="S249" i="4"/>
  <c r="R249" i="4"/>
  <c r="C249" i="4" a="1"/>
  <c r="C249" i="4" s="1"/>
  <c r="B249" i="4"/>
  <c r="A249" i="4"/>
  <c r="BN248" i="4"/>
  <c r="BH248" i="4"/>
  <c r="BD248" i="4"/>
  <c r="BA248" i="4"/>
  <c r="AX248" i="4"/>
  <c r="AV248" i="4"/>
  <c r="AU248" i="4"/>
  <c r="BE248" i="4" s="1"/>
  <c r="AS248" i="4"/>
  <c r="AV243" i="12" s="1"/>
  <c r="AW243" i="12" s="1"/>
  <c r="AO248" i="4"/>
  <c r="AQ243" i="12" s="1"/>
  <c r="AR243" i="12" s="1"/>
  <c r="AJ248" i="4"/>
  <c r="AE248" i="4"/>
  <c r="AF248" i="4" s="1"/>
  <c r="AD248" i="4"/>
  <c r="AC248" i="4"/>
  <c r="AG248" i="4" s="1"/>
  <c r="AB248" i="4"/>
  <c r="X248" i="4"/>
  <c r="S248" i="4"/>
  <c r="R248" i="4"/>
  <c r="I248" i="4"/>
  <c r="B248" i="4"/>
  <c r="C248" i="4" s="1" a="1"/>
  <c r="C248" i="4" s="1"/>
  <c r="A248" i="4"/>
  <c r="BN247" i="4"/>
  <c r="BK247" i="4"/>
  <c r="BI247" i="4"/>
  <c r="BH247" i="4"/>
  <c r="BD247" i="4"/>
  <c r="AX247" i="4"/>
  <c r="AW247" i="4"/>
  <c r="AY247" i="4" s="1"/>
  <c r="AV247" i="4"/>
  <c r="AU247" i="4" s="1"/>
  <c r="BE247" i="4" s="1"/>
  <c r="I247" i="4" s="1"/>
  <c r="AS247" i="4"/>
  <c r="AV242" i="12" s="1"/>
  <c r="AW242" i="12" s="1"/>
  <c r="AO247" i="4"/>
  <c r="AQ242" i="12" s="1"/>
  <c r="AR242" i="12" s="1"/>
  <c r="AJ247" i="4"/>
  <c r="AH247" i="4"/>
  <c r="AE247" i="4"/>
  <c r="AD247" i="4"/>
  <c r="AC247" i="4"/>
  <c r="AG247" i="4" s="1"/>
  <c r="AB247" i="4"/>
  <c r="AF247" i="4" s="1"/>
  <c r="X247" i="4"/>
  <c r="S247" i="4"/>
  <c r="R247" i="4"/>
  <c r="N247" i="4"/>
  <c r="H247" i="4"/>
  <c r="B247" i="4"/>
  <c r="C247" i="4" s="1" a="1"/>
  <c r="C247" i="4" s="1"/>
  <c r="A247" i="4"/>
  <c r="BN246" i="4"/>
  <c r="BD246" i="4"/>
  <c r="H246" i="4" s="1"/>
  <c r="AZ246" i="4" s="1"/>
  <c r="AW246" i="4"/>
  <c r="AV246" i="4"/>
  <c r="AU246" i="4"/>
  <c r="BE246" i="4" s="1"/>
  <c r="AS246" i="4"/>
  <c r="AV241" i="12" s="1"/>
  <c r="AW241" i="12" s="1"/>
  <c r="AO246" i="4"/>
  <c r="AQ241" i="12" s="1"/>
  <c r="AR241" i="12" s="1"/>
  <c r="AJ246" i="4"/>
  <c r="AH246" i="4"/>
  <c r="AG246" i="4"/>
  <c r="AF246" i="4"/>
  <c r="AE246" i="4"/>
  <c r="AD246" i="4"/>
  <c r="AC246" i="4"/>
  <c r="AB246" i="4"/>
  <c r="Y246" i="4"/>
  <c r="X246" i="4"/>
  <c r="S246" i="4"/>
  <c r="R246" i="4"/>
  <c r="BI246" i="4"/>
  <c r="C246" i="4" a="1"/>
  <c r="C246" i="4"/>
  <c r="B246" i="4"/>
  <c r="A246" i="4"/>
  <c r="BN245" i="4"/>
  <c r="BI245" i="4"/>
  <c r="BH245" i="4"/>
  <c r="BD245" i="4"/>
  <c r="AV245" i="4"/>
  <c r="AU245" i="4" s="1"/>
  <c r="BE245" i="4" s="1"/>
  <c r="AS245" i="4"/>
  <c r="AV240" i="12" s="1"/>
  <c r="AW240" i="12" s="1"/>
  <c r="AJ245" i="4"/>
  <c r="AO245" i="4" s="1"/>
  <c r="AQ240" i="12" s="1"/>
  <c r="AR240" i="12" s="1"/>
  <c r="AE245" i="4"/>
  <c r="AF245" i="4" s="1"/>
  <c r="AD245" i="4"/>
  <c r="AC245" i="4"/>
  <c r="AG245" i="4" s="1"/>
  <c r="AB245" i="4"/>
  <c r="Y245" i="4"/>
  <c r="X245" i="4"/>
  <c r="W245" i="4"/>
  <c r="S245" i="4"/>
  <c r="R245" i="4"/>
  <c r="H245" i="4"/>
  <c r="B245" i="4"/>
  <c r="C245" i="4" s="1" a="1"/>
  <c r="C245" i="4" s="1"/>
  <c r="A245" i="4"/>
  <c r="BN244" i="4"/>
  <c r="BJ244" i="4"/>
  <c r="BI244" i="4"/>
  <c r="BH244" i="4"/>
  <c r="BD244" i="4"/>
  <c r="AZ244" i="4"/>
  <c r="AW244" i="4"/>
  <c r="AV244" i="4"/>
  <c r="AU244" i="4" s="1"/>
  <c r="BE244" i="4" s="1"/>
  <c r="AS244" i="4"/>
  <c r="AV239" i="12" s="1"/>
  <c r="AW239" i="12" s="1"/>
  <c r="AO244" i="4"/>
  <c r="AQ239" i="12" s="1"/>
  <c r="AR239" i="12" s="1"/>
  <c r="AJ244" i="4"/>
  <c r="AH244" i="4"/>
  <c r="AE244" i="4"/>
  <c r="AD244" i="4"/>
  <c r="AC244" i="4"/>
  <c r="AG244" i="4" s="1"/>
  <c r="AB244" i="4"/>
  <c r="AA244" i="4"/>
  <c r="Z244" i="4"/>
  <c r="Y244" i="4"/>
  <c r="X244" i="4"/>
  <c r="W244" i="4" s="1"/>
  <c r="S244" i="4"/>
  <c r="R244" i="4"/>
  <c r="N244" i="4"/>
  <c r="I244" i="4"/>
  <c r="H244" i="4"/>
  <c r="C244" i="4"/>
  <c r="B244" i="4"/>
  <c r="C244" i="4" s="1" a="1"/>
  <c r="A244" i="4"/>
  <c r="BN243" i="4"/>
  <c r="BE243" i="4"/>
  <c r="AX243" i="4" s="1"/>
  <c r="BD243" i="4"/>
  <c r="AW243" i="4"/>
  <c r="AV243" i="4"/>
  <c r="AU243" i="4" s="1"/>
  <c r="AS243" i="4"/>
  <c r="AV238" i="12" s="1"/>
  <c r="AW238" i="12" s="1"/>
  <c r="AJ243" i="4"/>
  <c r="AO243" i="4" s="1"/>
  <c r="AQ238" i="12" s="1"/>
  <c r="AR238" i="12" s="1"/>
  <c r="AH243" i="4"/>
  <c r="AF243" i="4"/>
  <c r="AE243" i="4"/>
  <c r="AG243" i="4" s="1"/>
  <c r="AD243" i="4"/>
  <c r="AC243" i="4"/>
  <c r="AB243" i="4"/>
  <c r="X243" i="4"/>
  <c r="S243" i="4"/>
  <c r="R243" i="4"/>
  <c r="H243" i="4"/>
  <c r="AZ243" i="4" s="1"/>
  <c r="C243" i="4" a="1"/>
  <c r="C243" i="4" s="1"/>
  <c r="B243" i="4"/>
  <c r="A243" i="4"/>
  <c r="BN242" i="4"/>
  <c r="BD242" i="4"/>
  <c r="AW242" i="4"/>
  <c r="AV242" i="4"/>
  <c r="AU242" i="4"/>
  <c r="BE242" i="4" s="1"/>
  <c r="AS242" i="4"/>
  <c r="AV237" i="12" s="1"/>
  <c r="AW237" i="12" s="1"/>
  <c r="AJ242" i="4"/>
  <c r="AO242" i="4" s="1"/>
  <c r="AQ237" i="12" s="1"/>
  <c r="AR237" i="12" s="1"/>
  <c r="AH242" i="4"/>
  <c r="AG242" i="4"/>
  <c r="AF242" i="4"/>
  <c r="AE242" i="4"/>
  <c r="AD242" i="4"/>
  <c r="AC242" i="4"/>
  <c r="AB242" i="4"/>
  <c r="Y242" i="4"/>
  <c r="X242" i="4"/>
  <c r="S242" i="4"/>
  <c r="R242" i="4"/>
  <c r="BI242" i="4"/>
  <c r="H242" i="4"/>
  <c r="C242" i="4"/>
  <c r="B242" i="4"/>
  <c r="C242" i="4" s="1" a="1"/>
  <c r="A242" i="4"/>
  <c r="BN241" i="4"/>
  <c r="BH241" i="4"/>
  <c r="BD241" i="4"/>
  <c r="AX241" i="4"/>
  <c r="AW241" i="4"/>
  <c r="AV241" i="4"/>
  <c r="AU241" i="4"/>
  <c r="BE241" i="4" s="1"/>
  <c r="AS241" i="4"/>
  <c r="AV236" i="12" s="1"/>
  <c r="AW236" i="12" s="1"/>
  <c r="AJ241" i="4"/>
  <c r="AO241" i="4" s="1"/>
  <c r="AQ236" i="12" s="1"/>
  <c r="AR236" i="12" s="1"/>
  <c r="AH241" i="4"/>
  <c r="AF241" i="4"/>
  <c r="AE241" i="4"/>
  <c r="AD241" i="4"/>
  <c r="AC241" i="4"/>
  <c r="AB241" i="4"/>
  <c r="Y241" i="4"/>
  <c r="X241" i="4"/>
  <c r="S241" i="4"/>
  <c r="R241" i="4"/>
  <c r="I241" i="4"/>
  <c r="C241" i="4" a="1"/>
  <c r="C241" i="4" s="1"/>
  <c r="B241" i="4"/>
  <c r="A241" i="4"/>
  <c r="BN240" i="4"/>
  <c r="BD240" i="4"/>
  <c r="AW240" i="4"/>
  <c r="AV240" i="4"/>
  <c r="AU240" i="4" s="1"/>
  <c r="BE240" i="4" s="1"/>
  <c r="AS240" i="4"/>
  <c r="AV235" i="12" s="1"/>
  <c r="AW235" i="12" s="1"/>
  <c r="AO240" i="4"/>
  <c r="AQ235" i="12" s="1"/>
  <c r="AR235" i="12" s="1"/>
  <c r="AJ240" i="4"/>
  <c r="AH240" i="4"/>
  <c r="AG240" i="4"/>
  <c r="AF240" i="4"/>
  <c r="AE240" i="4"/>
  <c r="AD240" i="4"/>
  <c r="AC240" i="4"/>
  <c r="AB240" i="4"/>
  <c r="Y240" i="4"/>
  <c r="X240" i="4"/>
  <c r="W240" i="4"/>
  <c r="Z240" i="4" s="1"/>
  <c r="S240" i="4"/>
  <c r="R240" i="4"/>
  <c r="H240" i="4"/>
  <c r="C240" i="4" a="1"/>
  <c r="C240" i="4" s="1"/>
  <c r="B240" i="4"/>
  <c r="A240" i="4"/>
  <c r="BN239" i="4"/>
  <c r="BI239" i="4"/>
  <c r="BD239" i="4"/>
  <c r="H239" i="4" s="1"/>
  <c r="AW239" i="4"/>
  <c r="AV239" i="4"/>
  <c r="AU239" i="4" s="1"/>
  <c r="BE239" i="4" s="1"/>
  <c r="AS239" i="4"/>
  <c r="AV234" i="12" s="1"/>
  <c r="AW234" i="12" s="1"/>
  <c r="AO239" i="4"/>
  <c r="AQ234" i="12" s="1"/>
  <c r="AR234" i="12" s="1"/>
  <c r="AJ239" i="4"/>
  <c r="AH239" i="4"/>
  <c r="AG239" i="4"/>
  <c r="AF239" i="4"/>
  <c r="AE239" i="4"/>
  <c r="AD239" i="4"/>
  <c r="AC239" i="4"/>
  <c r="AB239" i="4"/>
  <c r="Y239" i="4"/>
  <c r="X239" i="4"/>
  <c r="S239" i="4"/>
  <c r="R239" i="4"/>
  <c r="C239" i="4" a="1"/>
  <c r="C239" i="4" s="1"/>
  <c r="B239" i="4"/>
  <c r="A239" i="4"/>
  <c r="BN238" i="4"/>
  <c r="BI238" i="4"/>
  <c r="BH238" i="4"/>
  <c r="BD238" i="4"/>
  <c r="AW238" i="4" s="1"/>
  <c r="AZ238" i="4"/>
  <c r="AV238" i="4"/>
  <c r="AU238" i="4" s="1"/>
  <c r="BE238" i="4" s="1"/>
  <c r="AS238" i="4"/>
  <c r="AV233" i="12" s="1"/>
  <c r="AW233" i="12" s="1"/>
  <c r="AO238" i="4"/>
  <c r="AQ233" i="12" s="1"/>
  <c r="AR233" i="12" s="1"/>
  <c r="AJ238" i="4"/>
  <c r="AG238" i="4"/>
  <c r="AE238" i="4"/>
  <c r="AF238" i="4" s="1"/>
  <c r="AD238" i="4"/>
  <c r="AH238" i="4" s="1"/>
  <c r="AC238" i="4"/>
  <c r="AB238" i="4"/>
  <c r="Z238" i="4"/>
  <c r="Y238" i="4"/>
  <c r="X238" i="4"/>
  <c r="W238" i="4" s="1"/>
  <c r="AA238" i="4" s="1"/>
  <c r="S238" i="4"/>
  <c r="R238" i="4"/>
  <c r="H238" i="4"/>
  <c r="B238" i="4"/>
  <c r="C238" i="4" s="1" a="1"/>
  <c r="C238" i="4" s="1"/>
  <c r="A238" i="4"/>
  <c r="BN237" i="4"/>
  <c r="BH237" i="4"/>
  <c r="BE237" i="4"/>
  <c r="BD237" i="4"/>
  <c r="AZ237" i="4"/>
  <c r="AX237" i="4"/>
  <c r="AW237" i="4"/>
  <c r="AV237" i="4"/>
  <c r="AU237" i="4" s="1"/>
  <c r="AS237" i="4"/>
  <c r="AV232" i="12" s="1"/>
  <c r="AW232" i="12" s="1"/>
  <c r="AO237" i="4"/>
  <c r="AQ232" i="12" s="1"/>
  <c r="AR232" i="12" s="1"/>
  <c r="AJ237" i="4"/>
  <c r="AE237" i="4"/>
  <c r="AD237" i="4"/>
  <c r="AC237" i="4"/>
  <c r="AG237" i="4" s="1"/>
  <c r="AB237" i="4"/>
  <c r="Y237" i="4"/>
  <c r="X237" i="4"/>
  <c r="W237" i="4" s="1"/>
  <c r="S237" i="4"/>
  <c r="R237" i="4"/>
  <c r="BI237" i="4"/>
  <c r="H237" i="4"/>
  <c r="C237" i="4"/>
  <c r="B237" i="4"/>
  <c r="C237" i="4" s="1" a="1"/>
  <c r="A237" i="4"/>
  <c r="BN236" i="4"/>
  <c r="BD236" i="4"/>
  <c r="AW236" i="4"/>
  <c r="AV236" i="4"/>
  <c r="AU236" i="4" s="1"/>
  <c r="BE236" i="4" s="1"/>
  <c r="AS236" i="4"/>
  <c r="AV231" i="12" s="1"/>
  <c r="AW231" i="12" s="1"/>
  <c r="AJ236" i="4"/>
  <c r="AO236" i="4" s="1"/>
  <c r="AQ231" i="12" s="1"/>
  <c r="AR231" i="12" s="1"/>
  <c r="AG236" i="4"/>
  <c r="AF236" i="4"/>
  <c r="AE236" i="4"/>
  <c r="AD236" i="4"/>
  <c r="AC236" i="4"/>
  <c r="AH236" i="4" s="1"/>
  <c r="AB236" i="4"/>
  <c r="Y236" i="4"/>
  <c r="X236" i="4"/>
  <c r="S236" i="4"/>
  <c r="R236" i="4"/>
  <c r="H236" i="4"/>
  <c r="C236" i="4" a="1"/>
  <c r="C236" i="4" s="1"/>
  <c r="B236" i="4"/>
  <c r="A236" i="4"/>
  <c r="BN235" i="4"/>
  <c r="BD235" i="4"/>
  <c r="AV235" i="4"/>
  <c r="AU235" i="4"/>
  <c r="BE235" i="4" s="1"/>
  <c r="AS235" i="4"/>
  <c r="AV230" i="12" s="1"/>
  <c r="AW230" i="12" s="1"/>
  <c r="AO235" i="4"/>
  <c r="AQ230" i="12" s="1"/>
  <c r="AR230" i="12" s="1"/>
  <c r="AJ235" i="4"/>
  <c r="AG235" i="4"/>
  <c r="AF235" i="4"/>
  <c r="AE235" i="4"/>
  <c r="AD235" i="4"/>
  <c r="AC235" i="4"/>
  <c r="AB235" i="4"/>
  <c r="Y235" i="4"/>
  <c r="X235" i="4"/>
  <c r="W235" i="4" s="1"/>
  <c r="S235" i="4"/>
  <c r="R235" i="4"/>
  <c r="B235" i="4"/>
  <c r="C235" i="4" s="1" a="1"/>
  <c r="C235" i="4" s="1"/>
  <c r="A235" i="4"/>
  <c r="BN234" i="4"/>
  <c r="BJ234" i="4"/>
  <c r="BI234" i="4"/>
  <c r="BH234" i="4"/>
  <c r="BD234" i="4"/>
  <c r="AW234" i="4"/>
  <c r="AV234" i="4"/>
  <c r="AU234" i="4"/>
  <c r="BE234" i="4" s="1"/>
  <c r="AS234" i="4"/>
  <c r="AV229" i="12" s="1"/>
  <c r="AW229" i="12" s="1"/>
  <c r="AO234" i="4"/>
  <c r="AQ229" i="12" s="1"/>
  <c r="AR229" i="12" s="1"/>
  <c r="AJ234" i="4"/>
  <c r="AE234" i="4"/>
  <c r="AF234" i="4" s="1"/>
  <c r="AD234" i="4"/>
  <c r="AH234" i="4" s="1"/>
  <c r="AC234" i="4"/>
  <c r="AB234" i="4"/>
  <c r="Y234" i="4"/>
  <c r="X234" i="4"/>
  <c r="W234" i="4"/>
  <c r="S234" i="4"/>
  <c r="R234" i="4"/>
  <c r="N234" i="4"/>
  <c r="H234" i="4"/>
  <c r="C234" i="4" a="1"/>
  <c r="C234" i="4"/>
  <c r="B234" i="4"/>
  <c r="A234" i="4"/>
  <c r="BN233" i="4"/>
  <c r="BI233" i="4"/>
  <c r="BD233" i="4"/>
  <c r="AX233" i="4"/>
  <c r="AW233" i="4"/>
  <c r="AY233" i="4" s="1"/>
  <c r="AV233" i="4"/>
  <c r="AU233" i="4"/>
  <c r="BE233" i="4" s="1"/>
  <c r="I233" i="4" s="1"/>
  <c r="AS233" i="4"/>
  <c r="AV228" i="12" s="1"/>
  <c r="AW228" i="12" s="1"/>
  <c r="AO233" i="4"/>
  <c r="AQ228" i="12" s="1"/>
  <c r="AR228" i="12" s="1"/>
  <c r="AJ233" i="4"/>
  <c r="AG233" i="4"/>
  <c r="AF233" i="4"/>
  <c r="AE233" i="4"/>
  <c r="AD233" i="4"/>
  <c r="AC233" i="4"/>
  <c r="AB233" i="4"/>
  <c r="Y233" i="4"/>
  <c r="W233" i="4" s="1"/>
  <c r="Z233" i="4" s="1"/>
  <c r="X233" i="4"/>
  <c r="S233" i="4"/>
  <c r="R233" i="4"/>
  <c r="N233" i="4"/>
  <c r="H233" i="4"/>
  <c r="G233" i="4"/>
  <c r="B233" i="4"/>
  <c r="C233" i="4" s="1" a="1"/>
  <c r="C233" i="4" s="1"/>
  <c r="A233" i="4"/>
  <c r="BN232" i="4"/>
  <c r="BE232" i="4"/>
  <c r="AX232" i="4" s="1"/>
  <c r="BD232" i="4"/>
  <c r="AV232" i="4"/>
  <c r="AU232" i="4"/>
  <c r="AS232" i="4"/>
  <c r="AV227" i="12" s="1"/>
  <c r="AW227" i="12" s="1"/>
  <c r="AO232" i="4"/>
  <c r="AQ227" i="12" s="1"/>
  <c r="AR227" i="12" s="1"/>
  <c r="AJ232" i="4"/>
  <c r="AF232" i="4"/>
  <c r="AE232" i="4"/>
  <c r="AG232" i="4" s="1"/>
  <c r="AD232" i="4"/>
  <c r="AH232" i="4" s="1"/>
  <c r="AC232" i="4"/>
  <c r="AB232" i="4"/>
  <c r="Y232" i="4"/>
  <c r="X232" i="4"/>
  <c r="W232" i="4"/>
  <c r="S232" i="4"/>
  <c r="R232" i="4"/>
  <c r="I232" i="4"/>
  <c r="C232" i="4" a="1"/>
  <c r="C232" i="4" s="1"/>
  <c r="B232" i="4"/>
  <c r="A232" i="4"/>
  <c r="BN231" i="4"/>
  <c r="BI231" i="4"/>
  <c r="BH231" i="4"/>
  <c r="BD231" i="4"/>
  <c r="AW231" i="4" s="1"/>
  <c r="AV231" i="4"/>
  <c r="AU231" i="4"/>
  <c r="BE231" i="4" s="1"/>
  <c r="N231" i="4" s="1"/>
  <c r="AS231" i="4"/>
  <c r="AV226" i="12" s="1"/>
  <c r="AW226" i="12" s="1"/>
  <c r="AO231" i="4"/>
  <c r="AQ226" i="12" s="1"/>
  <c r="AR226" i="12" s="1"/>
  <c r="AJ231" i="4"/>
  <c r="AE231" i="4"/>
  <c r="AF231" i="4" s="1"/>
  <c r="AD231" i="4"/>
  <c r="AH231" i="4" s="1"/>
  <c r="AC231" i="4"/>
  <c r="AB231" i="4"/>
  <c r="Y231" i="4"/>
  <c r="X231" i="4"/>
  <c r="W231" i="4"/>
  <c r="S231" i="4"/>
  <c r="R231" i="4"/>
  <c r="H231" i="4"/>
  <c r="C231" i="4" a="1"/>
  <c r="C231" i="4" s="1"/>
  <c r="B231" i="4"/>
  <c r="A231" i="4"/>
  <c r="BN230" i="4"/>
  <c r="BJ230" i="4"/>
  <c r="BI230" i="4"/>
  <c r="BH230" i="4"/>
  <c r="BD230" i="4"/>
  <c r="AW230" i="4"/>
  <c r="AV230" i="4"/>
  <c r="AU230" i="4" s="1"/>
  <c r="BE230" i="4" s="1"/>
  <c r="AS230" i="4"/>
  <c r="AV225" i="12" s="1"/>
  <c r="AW225" i="12" s="1"/>
  <c r="AO230" i="4"/>
  <c r="AQ225" i="12" s="1"/>
  <c r="AR225" i="12" s="1"/>
  <c r="AJ230" i="4"/>
  <c r="AG230" i="4"/>
  <c r="AE230" i="4"/>
  <c r="AD230" i="4"/>
  <c r="AH230" i="4" s="1"/>
  <c r="AC230" i="4"/>
  <c r="AB230" i="4"/>
  <c r="Y230" i="4"/>
  <c r="X230" i="4"/>
  <c r="W230" i="4" s="1"/>
  <c r="S230" i="4"/>
  <c r="R230" i="4"/>
  <c r="N230" i="4"/>
  <c r="H230" i="4"/>
  <c r="C230" i="4" a="1"/>
  <c r="C230" i="4" s="1"/>
  <c r="B230" i="4"/>
  <c r="A230" i="4"/>
  <c r="BN229" i="4"/>
  <c r="BD229" i="4"/>
  <c r="AW229" i="4" s="1"/>
  <c r="AZ229" i="4"/>
  <c r="AV229" i="4"/>
  <c r="AU229" i="4" s="1"/>
  <c r="BE229" i="4" s="1"/>
  <c r="AS229" i="4"/>
  <c r="AV224" i="12" s="1"/>
  <c r="AW224" i="12" s="1"/>
  <c r="AJ229" i="4"/>
  <c r="AO229" i="4" s="1"/>
  <c r="AQ224" i="12" s="1"/>
  <c r="AR224" i="12" s="1"/>
  <c r="AE229" i="4"/>
  <c r="AG229" i="4" s="1"/>
  <c r="AD229" i="4"/>
  <c r="AH229" i="4" s="1"/>
  <c r="AC229" i="4"/>
  <c r="AB229" i="4"/>
  <c r="W229" i="4"/>
  <c r="S229" i="4"/>
  <c r="R229" i="4"/>
  <c r="H229" i="4"/>
  <c r="C229" i="4" a="1"/>
  <c r="C229" i="4" s="1"/>
  <c r="B229" i="4"/>
  <c r="A229" i="4"/>
  <c r="BN228" i="4"/>
  <c r="BI228" i="4"/>
  <c r="BH228" i="4"/>
  <c r="BD228" i="4"/>
  <c r="AV228" i="4"/>
  <c r="AU228" i="4" s="1"/>
  <c r="BE228" i="4" s="1"/>
  <c r="AS228" i="4"/>
  <c r="AV223" i="12" s="1"/>
  <c r="AW223" i="12" s="1"/>
  <c r="AO228" i="4"/>
  <c r="AQ223" i="12" s="1"/>
  <c r="AR223" i="12" s="1"/>
  <c r="AJ228" i="4"/>
  <c r="AH228" i="4"/>
  <c r="AE228" i="4"/>
  <c r="AD228" i="4"/>
  <c r="AC228" i="4"/>
  <c r="AG228" i="4" s="1"/>
  <c r="AB228" i="4"/>
  <c r="Y228" i="4"/>
  <c r="X228" i="4"/>
  <c r="W228" i="4"/>
  <c r="S228" i="4"/>
  <c r="R228" i="4"/>
  <c r="C228" i="4"/>
  <c r="B228" i="4"/>
  <c r="C228" i="4" s="1" a="1"/>
  <c r="A228" i="4"/>
  <c r="BN227" i="4"/>
  <c r="BD227" i="4"/>
  <c r="AW227" i="4"/>
  <c r="AV227" i="4"/>
  <c r="AU227" i="4" s="1"/>
  <c r="BE227" i="4" s="1"/>
  <c r="I227" i="4" s="1"/>
  <c r="AS227" i="4"/>
  <c r="AV222" i="12" s="1"/>
  <c r="AW222" i="12" s="1"/>
  <c r="AO227" i="4"/>
  <c r="AQ222" i="12" s="1"/>
  <c r="AR222" i="12" s="1"/>
  <c r="AJ227" i="4"/>
  <c r="AH227" i="4"/>
  <c r="AG227" i="4"/>
  <c r="AE227" i="4"/>
  <c r="AD227" i="4"/>
  <c r="AC227" i="4"/>
  <c r="AB227" i="4"/>
  <c r="AF227" i="4" s="1"/>
  <c r="Y227" i="4"/>
  <c r="X227" i="4"/>
  <c r="W227" i="4"/>
  <c r="Z227" i="4" s="1"/>
  <c r="S227" i="4"/>
  <c r="R227" i="4"/>
  <c r="BH227" i="4"/>
  <c r="H227" i="4"/>
  <c r="C227" i="4" a="1"/>
  <c r="C227" i="4"/>
  <c r="B227" i="4"/>
  <c r="A227" i="4"/>
  <c r="BN226" i="4"/>
  <c r="BD226" i="4"/>
  <c r="AV226" i="4"/>
  <c r="AU226" i="4" s="1"/>
  <c r="BE226" i="4" s="1"/>
  <c r="AS226" i="4"/>
  <c r="AV221" i="12" s="1"/>
  <c r="AW221" i="12" s="1"/>
  <c r="AO226" i="4"/>
  <c r="AQ221" i="12" s="1"/>
  <c r="AR221" i="12" s="1"/>
  <c r="AJ226" i="4"/>
  <c r="AH226" i="4"/>
  <c r="AG226" i="4"/>
  <c r="AF226" i="4"/>
  <c r="AE226" i="4"/>
  <c r="AD226" i="4"/>
  <c r="AC226" i="4"/>
  <c r="AB226" i="4"/>
  <c r="Y226" i="4"/>
  <c r="X226" i="4"/>
  <c r="W226" i="4" s="1"/>
  <c r="AA226" i="4" s="1"/>
  <c r="S226" i="4"/>
  <c r="R226" i="4"/>
  <c r="B226" i="4"/>
  <c r="C226" i="4" s="1" a="1"/>
  <c r="C226" i="4" s="1"/>
  <c r="A226" i="4"/>
  <c r="BN225" i="4"/>
  <c r="BI225" i="4"/>
  <c r="BH225" i="4"/>
  <c r="BE225" i="4"/>
  <c r="AX225" i="4" s="1"/>
  <c r="BD225" i="4"/>
  <c r="H225" i="4" s="1"/>
  <c r="AZ225" i="4" s="1"/>
  <c r="AV225" i="4"/>
  <c r="AU225" i="4"/>
  <c r="AS225" i="4"/>
  <c r="AV220" i="12" s="1"/>
  <c r="AW220" i="12" s="1"/>
  <c r="AO225" i="4"/>
  <c r="AQ220" i="12" s="1"/>
  <c r="AR220" i="12" s="1"/>
  <c r="AJ225" i="4"/>
  <c r="AE225" i="4"/>
  <c r="AF225" i="4" s="1"/>
  <c r="AD225" i="4"/>
  <c r="AC225" i="4"/>
  <c r="AG225" i="4" s="1"/>
  <c r="AB225" i="4"/>
  <c r="AA225" i="4"/>
  <c r="Y225" i="4"/>
  <c r="X225" i="4"/>
  <c r="W225" i="4"/>
  <c r="Z225" i="4" s="1"/>
  <c r="S225" i="4"/>
  <c r="R225" i="4"/>
  <c r="B225" i="4"/>
  <c r="C225" i="4" s="1" a="1"/>
  <c r="C225" i="4" s="1"/>
  <c r="A225" i="4"/>
  <c r="BN224" i="4"/>
  <c r="BI224" i="4"/>
  <c r="BH224" i="4"/>
  <c r="BD224" i="4"/>
  <c r="AW224" i="4"/>
  <c r="AV224" i="4"/>
  <c r="AU224" i="4" s="1"/>
  <c r="BE224" i="4" s="1"/>
  <c r="I224" i="4" s="1"/>
  <c r="AS224" i="4"/>
  <c r="AV219" i="12" s="1"/>
  <c r="AW219" i="12" s="1"/>
  <c r="AJ224" i="4"/>
  <c r="AO224" i="4" s="1"/>
  <c r="AQ219" i="12" s="1"/>
  <c r="AR219" i="12" s="1"/>
  <c r="AE224" i="4"/>
  <c r="AF224" i="4" s="1"/>
  <c r="AD224" i="4"/>
  <c r="AC224" i="4"/>
  <c r="AG224" i="4" s="1"/>
  <c r="AB224" i="4"/>
  <c r="Y224" i="4"/>
  <c r="X224" i="4"/>
  <c r="W224" i="4"/>
  <c r="S224" i="4"/>
  <c r="R224" i="4"/>
  <c r="H224" i="4"/>
  <c r="C224" i="4"/>
  <c r="B224" i="4"/>
  <c r="C224" i="4" s="1" a="1"/>
  <c r="A224" i="4"/>
  <c r="BN223" i="4"/>
  <c r="BD223" i="4"/>
  <c r="H223" i="4" s="1"/>
  <c r="AZ223" i="4" s="1"/>
  <c r="AW223" i="4"/>
  <c r="AV223" i="4"/>
  <c r="AU223" i="4" s="1"/>
  <c r="BE223" i="4" s="1"/>
  <c r="AS223" i="4"/>
  <c r="AV218" i="12" s="1"/>
  <c r="AW218" i="12" s="1"/>
  <c r="AO223" i="4"/>
  <c r="AQ218" i="12" s="1"/>
  <c r="AR218" i="12" s="1"/>
  <c r="AJ223" i="4"/>
  <c r="AE223" i="4"/>
  <c r="AD223" i="4"/>
  <c r="AC223" i="4"/>
  <c r="AB223" i="4"/>
  <c r="AF223" i="4" s="1"/>
  <c r="Z223" i="4"/>
  <c r="Y223" i="4"/>
  <c r="W223" i="4" s="1"/>
  <c r="AA223" i="4" s="1"/>
  <c r="X223" i="4"/>
  <c r="S223" i="4"/>
  <c r="R223" i="4"/>
  <c r="C223" i="4" a="1"/>
  <c r="C223" i="4" s="1"/>
  <c r="B223" i="4"/>
  <c r="A223" i="4"/>
  <c r="BN222" i="4"/>
  <c r="BI222" i="4"/>
  <c r="BH222" i="4"/>
  <c r="BD222" i="4"/>
  <c r="AW222" i="4" s="1"/>
  <c r="AS222" i="4"/>
  <c r="AV217" i="12" s="1"/>
  <c r="AW217" i="12" s="1"/>
  <c r="AJ222" i="4"/>
  <c r="AO222" i="4" s="1"/>
  <c r="AQ217" i="12" s="1"/>
  <c r="AR217" i="12" s="1"/>
  <c r="AF222" i="4"/>
  <c r="AE222" i="4"/>
  <c r="AG222" i="4" s="1"/>
  <c r="AD222" i="4"/>
  <c r="AH222" i="4" s="1"/>
  <c r="AC222" i="4"/>
  <c r="AB222" i="4"/>
  <c r="Y222" i="4"/>
  <c r="X222" i="4"/>
  <c r="S222" i="4"/>
  <c r="R222" i="4"/>
  <c r="B222" i="4"/>
  <c r="C222" i="4" s="1" a="1"/>
  <c r="C222" i="4" s="1"/>
  <c r="A222" i="4"/>
  <c r="BN221" i="4"/>
  <c r="BI221" i="4"/>
  <c r="BH221" i="4"/>
  <c r="BD221" i="4"/>
  <c r="AW221" i="4"/>
  <c r="AV221" i="4"/>
  <c r="AU221" i="4" s="1"/>
  <c r="BE221" i="4" s="1"/>
  <c r="BJ221" i="4" s="1"/>
  <c r="AS221" i="4"/>
  <c r="AV216" i="12" s="1"/>
  <c r="AW216" i="12" s="1"/>
  <c r="AO221" i="4"/>
  <c r="AQ216" i="12" s="1"/>
  <c r="AR216" i="12" s="1"/>
  <c r="AJ221" i="4"/>
  <c r="AH221" i="4"/>
  <c r="AG221" i="4"/>
  <c r="AE221" i="4"/>
  <c r="AD221" i="4"/>
  <c r="AC221" i="4"/>
  <c r="Y221" i="4"/>
  <c r="X221" i="4"/>
  <c r="W221" i="4" s="1"/>
  <c r="S221" i="4"/>
  <c r="R221" i="4"/>
  <c r="H221" i="4"/>
  <c r="AZ221" i="4" s="1"/>
  <c r="C221" i="4"/>
  <c r="B221" i="4"/>
  <c r="C221" i="4" s="1" a="1"/>
  <c r="A221" i="4"/>
  <c r="BN220" i="4"/>
  <c r="BD220" i="4"/>
  <c r="AV220" i="4"/>
  <c r="AU220" i="4" s="1"/>
  <c r="BE220" i="4" s="1"/>
  <c r="AS220" i="4"/>
  <c r="AV215" i="12" s="1"/>
  <c r="AW215" i="12" s="1"/>
  <c r="AO220" i="4"/>
  <c r="AQ215" i="12" s="1"/>
  <c r="AR215" i="12" s="1"/>
  <c r="AJ220" i="4"/>
  <c r="AE220" i="4"/>
  <c r="AD220" i="4"/>
  <c r="AC220" i="4"/>
  <c r="AB220" i="4"/>
  <c r="AA220" i="4"/>
  <c r="Z220" i="4"/>
  <c r="Y220" i="4"/>
  <c r="X220" i="4"/>
  <c r="W220" i="4"/>
  <c r="S220" i="4"/>
  <c r="R220" i="4"/>
  <c r="C220" i="4" a="1"/>
  <c r="C220" i="4" s="1"/>
  <c r="B220" i="4"/>
  <c r="A220" i="4"/>
  <c r="BN219" i="4"/>
  <c r="BE219" i="4"/>
  <c r="BD219" i="4"/>
  <c r="AV219" i="4"/>
  <c r="AU219" i="4"/>
  <c r="AS219" i="4"/>
  <c r="AV214" i="12" s="1"/>
  <c r="AW214" i="12" s="1"/>
  <c r="AO219" i="4"/>
  <c r="AQ214" i="12" s="1"/>
  <c r="AR214" i="12" s="1"/>
  <c r="AJ219" i="4"/>
  <c r="AF219" i="4"/>
  <c r="AE219" i="4"/>
  <c r="AD219" i="4"/>
  <c r="AC219" i="4"/>
  <c r="AB219" i="4"/>
  <c r="AA219" i="4"/>
  <c r="Y219" i="4"/>
  <c r="X219" i="4"/>
  <c r="W219" i="4" s="1"/>
  <c r="Z219" i="4" s="1"/>
  <c r="S219" i="4"/>
  <c r="R219" i="4"/>
  <c r="B219" i="4"/>
  <c r="C219" i="4" s="1" a="1"/>
  <c r="C219" i="4" s="1"/>
  <c r="A219" i="4"/>
  <c r="BN218" i="4"/>
  <c r="BD218" i="4"/>
  <c r="AW218" i="4"/>
  <c r="AV218" i="4"/>
  <c r="AU218" i="4"/>
  <c r="BE218" i="4" s="1"/>
  <c r="AS218" i="4"/>
  <c r="AV213" i="12" s="1"/>
  <c r="AW213" i="12" s="1"/>
  <c r="AJ218" i="4"/>
  <c r="AO218" i="4" s="1"/>
  <c r="AQ213" i="12" s="1"/>
  <c r="AR213" i="12" s="1"/>
  <c r="AF218" i="4"/>
  <c r="AE218" i="4"/>
  <c r="AG218" i="4" s="1"/>
  <c r="AD218" i="4"/>
  <c r="AH218" i="4" s="1"/>
  <c r="AC218" i="4"/>
  <c r="AB218" i="4"/>
  <c r="Y218" i="4"/>
  <c r="X218" i="4"/>
  <c r="W218" i="4" s="1"/>
  <c r="S218" i="4"/>
  <c r="R218" i="4"/>
  <c r="H218" i="4"/>
  <c r="B218" i="4"/>
  <c r="C218" i="4" s="1" a="1"/>
  <c r="C218" i="4" s="1"/>
  <c r="A218" i="4"/>
  <c r="BN217" i="4"/>
  <c r="BH217" i="4"/>
  <c r="BD217" i="4"/>
  <c r="AW217" i="4"/>
  <c r="AV217" i="4"/>
  <c r="AU217" i="4" s="1"/>
  <c r="BE217" i="4" s="1"/>
  <c r="AS217" i="4"/>
  <c r="AV212" i="12" s="1"/>
  <c r="AW212" i="12" s="1"/>
  <c r="AJ217" i="4"/>
  <c r="AO217" i="4" s="1"/>
  <c r="AQ212" i="12" s="1"/>
  <c r="AR212" i="12" s="1"/>
  <c r="AH217" i="4"/>
  <c r="AE217" i="4"/>
  <c r="AD217" i="4"/>
  <c r="AC217" i="4"/>
  <c r="AG217" i="4" s="1"/>
  <c r="AB217" i="4"/>
  <c r="Y217" i="4"/>
  <c r="W217" i="4" s="1"/>
  <c r="X217" i="4"/>
  <c r="S217" i="4"/>
  <c r="R217" i="4"/>
  <c r="BI217" i="4"/>
  <c r="H217" i="4"/>
  <c r="C217" i="4"/>
  <c r="B217" i="4"/>
  <c r="C217" i="4" s="1" a="1"/>
  <c r="A217" i="4"/>
  <c r="BN216" i="4"/>
  <c r="BD216" i="4"/>
  <c r="AV216" i="4"/>
  <c r="AU216" i="4" s="1"/>
  <c r="BE216" i="4" s="1"/>
  <c r="AS216" i="4"/>
  <c r="AV211" i="12" s="1"/>
  <c r="AW211" i="12" s="1"/>
  <c r="AO216" i="4"/>
  <c r="AQ211" i="12" s="1"/>
  <c r="AR211" i="12" s="1"/>
  <c r="AJ216" i="4"/>
  <c r="AH216" i="4"/>
  <c r="AG216" i="4"/>
  <c r="AE216" i="4"/>
  <c r="AD216" i="4"/>
  <c r="AC216" i="4"/>
  <c r="AB216" i="4"/>
  <c r="AF216" i="4" s="1"/>
  <c r="Y216" i="4"/>
  <c r="X216" i="4"/>
  <c r="S216" i="4"/>
  <c r="R216" i="4"/>
  <c r="BI216" i="4"/>
  <c r="C216" i="4" a="1"/>
  <c r="C216" i="4" s="1"/>
  <c r="B216" i="4"/>
  <c r="A216" i="4"/>
  <c r="BN215" i="4"/>
  <c r="BI215" i="4"/>
  <c r="BH215" i="4"/>
  <c r="BE215" i="4"/>
  <c r="AX215" i="4" s="1"/>
  <c r="BD215" i="4"/>
  <c r="AV215" i="4"/>
  <c r="AU215" i="4"/>
  <c r="AS215" i="4"/>
  <c r="AV210" i="12" s="1"/>
  <c r="AW210" i="12" s="1"/>
  <c r="AO215" i="4"/>
  <c r="AQ210" i="12" s="1"/>
  <c r="AR210" i="12" s="1"/>
  <c r="AJ215" i="4"/>
  <c r="AF215" i="4"/>
  <c r="AE215" i="4"/>
  <c r="AG215" i="4" s="1"/>
  <c r="AD215" i="4"/>
  <c r="AH215" i="4" s="1"/>
  <c r="AC215" i="4"/>
  <c r="AB215" i="4"/>
  <c r="Y215" i="4"/>
  <c r="X215" i="4"/>
  <c r="W215" i="4"/>
  <c r="V215" i="4"/>
  <c r="U215" i="4"/>
  <c r="S215" i="4"/>
  <c r="R215" i="4"/>
  <c r="B215" i="4"/>
  <c r="C215" i="4" s="1" a="1"/>
  <c r="C215" i="4" s="1"/>
  <c r="A215" i="4"/>
  <c r="BN214" i="4"/>
  <c r="BI214" i="4"/>
  <c r="BH214" i="4"/>
  <c r="BD214" i="4"/>
  <c r="AW214" i="4"/>
  <c r="AV214" i="4"/>
  <c r="AU214" i="4"/>
  <c r="BE214" i="4" s="1"/>
  <c r="I214" i="4" s="1"/>
  <c r="AS214" i="4"/>
  <c r="AV209" i="12" s="1"/>
  <c r="AW209" i="12" s="1"/>
  <c r="AO214" i="4"/>
  <c r="AQ209" i="12" s="1"/>
  <c r="AR209" i="12" s="1"/>
  <c r="AJ214" i="4"/>
  <c r="AE214" i="4"/>
  <c r="AD214" i="4"/>
  <c r="AH214" i="4" s="1"/>
  <c r="AC214" i="4"/>
  <c r="AG214" i="4" s="1"/>
  <c r="AB214" i="4"/>
  <c r="Y214" i="4"/>
  <c r="X214" i="4"/>
  <c r="W214" i="4"/>
  <c r="S214" i="4"/>
  <c r="R214" i="4"/>
  <c r="M214" i="4"/>
  <c r="H214" i="4"/>
  <c r="B214" i="4"/>
  <c r="C214" i="4" s="1" a="1"/>
  <c r="C214" i="4" s="1"/>
  <c r="A214" i="4"/>
  <c r="BN213" i="4"/>
  <c r="BD213" i="4"/>
  <c r="AW213" i="4"/>
  <c r="AV213" i="4"/>
  <c r="AU213" i="4" s="1"/>
  <c r="BE213" i="4" s="1"/>
  <c r="AS213" i="4"/>
  <c r="AV208" i="12" s="1"/>
  <c r="AW208" i="12" s="1"/>
  <c r="AJ213" i="4"/>
  <c r="AO213" i="4" s="1"/>
  <c r="AQ208" i="12" s="1"/>
  <c r="AR208" i="12" s="1"/>
  <c r="AE213" i="4"/>
  <c r="AF213" i="4" s="1"/>
  <c r="AD213" i="4"/>
  <c r="AC213" i="4"/>
  <c r="AB213" i="4"/>
  <c r="AA213" i="4"/>
  <c r="Z213" i="4"/>
  <c r="Y213" i="4"/>
  <c r="X213" i="4"/>
  <c r="W213" i="4"/>
  <c r="S213" i="4"/>
  <c r="R213" i="4"/>
  <c r="N213" i="4"/>
  <c r="M213" i="4"/>
  <c r="I213" i="4"/>
  <c r="H213" i="4"/>
  <c r="C213" i="4" a="1"/>
  <c r="C213" i="4"/>
  <c r="B213" i="4"/>
  <c r="A213" i="4"/>
  <c r="BN212" i="4"/>
  <c r="BD212" i="4"/>
  <c r="AV212" i="4"/>
  <c r="AU212" i="4" s="1"/>
  <c r="BE212" i="4" s="1"/>
  <c r="AS212" i="4"/>
  <c r="AV207" i="12" s="1"/>
  <c r="AW207" i="12" s="1"/>
  <c r="AO212" i="4"/>
  <c r="AQ207" i="12" s="1"/>
  <c r="AR207" i="12" s="1"/>
  <c r="AJ212" i="4"/>
  <c r="AF212" i="4"/>
  <c r="AE212" i="4"/>
  <c r="AG212" i="4" s="1"/>
  <c r="AD212" i="4"/>
  <c r="AH212" i="4" s="1"/>
  <c r="AC212" i="4"/>
  <c r="AB212" i="4"/>
  <c r="Y212" i="4"/>
  <c r="X212" i="4"/>
  <c r="S212" i="4"/>
  <c r="R212" i="4"/>
  <c r="M212" i="4"/>
  <c r="C212" i="4"/>
  <c r="B212" i="4"/>
  <c r="C212" i="4" s="1" a="1"/>
  <c r="A212" i="4"/>
  <c r="BN211" i="4"/>
  <c r="BI211" i="4"/>
  <c r="BD211" i="4"/>
  <c r="AW211" i="4"/>
  <c r="AV211" i="4"/>
  <c r="AU211" i="4"/>
  <c r="BE211" i="4" s="1"/>
  <c r="AS211" i="4"/>
  <c r="AV206" i="12" s="1"/>
  <c r="AW206" i="12" s="1"/>
  <c r="AO211" i="4"/>
  <c r="AQ206" i="12" s="1"/>
  <c r="AR206" i="12" s="1"/>
  <c r="AJ211" i="4"/>
  <c r="AE211" i="4"/>
  <c r="AF211" i="4" s="1"/>
  <c r="AD211" i="4"/>
  <c r="AC211" i="4"/>
  <c r="AG211" i="4" s="1"/>
  <c r="AB211" i="4"/>
  <c r="Y211" i="4"/>
  <c r="X211" i="4"/>
  <c r="W211" i="4" s="1"/>
  <c r="S211" i="4"/>
  <c r="R211" i="4"/>
  <c r="M211" i="4"/>
  <c r="H211" i="4"/>
  <c r="AZ211" i="4" s="1"/>
  <c r="C211" i="4" a="1"/>
  <c r="C211" i="4"/>
  <c r="B211" i="4"/>
  <c r="A211" i="4"/>
  <c r="BN210" i="4"/>
  <c r="BK210" i="4"/>
  <c r="BJ210" i="4"/>
  <c r="BI210" i="4"/>
  <c r="BH210" i="4"/>
  <c r="BG210" i="4"/>
  <c r="BF210" i="4"/>
  <c r="BA210" i="4"/>
  <c r="AZ210" i="4"/>
  <c r="AX210" i="4"/>
  <c r="AW210" i="4"/>
  <c r="AY210" i="4" s="1"/>
  <c r="AV210" i="4"/>
  <c r="AS210" i="4"/>
  <c r="AV205" i="12" s="1"/>
  <c r="AW205" i="12" s="1"/>
  <c r="AO210" i="4"/>
  <c r="AQ205" i="12" s="1"/>
  <c r="AR205" i="12" s="1"/>
  <c r="AJ210" i="4"/>
  <c r="AH210" i="4"/>
  <c r="AE210" i="4"/>
  <c r="AD210" i="4"/>
  <c r="AC210" i="4"/>
  <c r="AB210" i="4"/>
  <c r="Y210" i="4"/>
  <c r="X210" i="4"/>
  <c r="W210" i="4" s="1"/>
  <c r="S210" i="4"/>
  <c r="R210" i="4"/>
  <c r="O210" i="4"/>
  <c r="G210" i="4"/>
  <c r="B210" i="4"/>
  <c r="C210" i="4" s="1" a="1"/>
  <c r="C210" i="4" s="1"/>
  <c r="A210" i="4"/>
  <c r="BN209" i="4"/>
  <c r="BK209" i="4"/>
  <c r="BJ209" i="4"/>
  <c r="BI209" i="4"/>
  <c r="BH209" i="4"/>
  <c r="BA209" i="4"/>
  <c r="BG209" i="4" s="1"/>
  <c r="AZ209" i="4"/>
  <c r="BF209" i="4" s="1"/>
  <c r="AX209" i="4"/>
  <c r="AY209" i="4" s="1"/>
  <c r="AW209" i="4"/>
  <c r="AV209" i="4"/>
  <c r="AS209" i="4"/>
  <c r="AV204" i="12" s="1"/>
  <c r="AW204" i="12" s="1"/>
  <c r="AJ209" i="4"/>
  <c r="AO209" i="4" s="1"/>
  <c r="AQ204" i="12" s="1"/>
  <c r="AR204" i="12" s="1"/>
  <c r="AH209" i="4"/>
  <c r="AG209" i="4"/>
  <c r="AE209" i="4"/>
  <c r="AD209" i="4"/>
  <c r="AC209" i="4"/>
  <c r="AB209" i="4"/>
  <c r="AF209" i="4" s="1"/>
  <c r="Y209" i="4"/>
  <c r="X209" i="4"/>
  <c r="W209" i="4" s="1"/>
  <c r="S209" i="4"/>
  <c r="R209" i="4"/>
  <c r="K209" i="4"/>
  <c r="J209" i="4"/>
  <c r="G209" i="4"/>
  <c r="C209" i="4" a="1"/>
  <c r="C209" i="4"/>
  <c r="B209" i="4"/>
  <c r="A209" i="4"/>
  <c r="BN208" i="4"/>
  <c r="BK208" i="4"/>
  <c r="BJ208" i="4"/>
  <c r="BI208" i="4"/>
  <c r="BH208" i="4"/>
  <c r="BF208" i="4"/>
  <c r="BA208" i="4"/>
  <c r="BG208" i="4" s="1"/>
  <c r="AZ208" i="4"/>
  <c r="AX208" i="4"/>
  <c r="AW208" i="4"/>
  <c r="AY208" i="4" s="1"/>
  <c r="AV208" i="4"/>
  <c r="AS208" i="4"/>
  <c r="AV203" i="12" s="1"/>
  <c r="AW203" i="12" s="1"/>
  <c r="AO208" i="4"/>
  <c r="AQ203" i="12" s="1"/>
  <c r="AR203" i="12" s="1"/>
  <c r="AJ208" i="4"/>
  <c r="AI208" i="4"/>
  <c r="AF208" i="4"/>
  <c r="AE208" i="4"/>
  <c r="AD208" i="4"/>
  <c r="AH208" i="4" s="1"/>
  <c r="AC208" i="4"/>
  <c r="AG208" i="4" s="1"/>
  <c r="AB208" i="4"/>
  <c r="Y208" i="4"/>
  <c r="X208" i="4"/>
  <c r="W208" i="4" s="1"/>
  <c r="S208" i="4"/>
  <c r="R208" i="4"/>
  <c r="G208" i="4"/>
  <c r="B208" i="4"/>
  <c r="C208" i="4" s="1" a="1"/>
  <c r="C208" i="4" s="1"/>
  <c r="A208" i="4"/>
  <c r="BN207" i="4"/>
  <c r="BK207" i="4"/>
  <c r="BJ207" i="4"/>
  <c r="BI207" i="4"/>
  <c r="BH207" i="4"/>
  <c r="BG207" i="4"/>
  <c r="BA207" i="4"/>
  <c r="AZ207" i="4"/>
  <c r="BF207" i="4" s="1"/>
  <c r="AY207" i="4"/>
  <c r="AX207" i="4"/>
  <c r="AW207" i="4"/>
  <c r="AV207" i="4"/>
  <c r="AS207" i="4"/>
  <c r="AV202" i="12" s="1"/>
  <c r="AW202" i="12" s="1"/>
  <c r="AO207" i="4"/>
  <c r="AQ202" i="12" s="1"/>
  <c r="AR202" i="12" s="1"/>
  <c r="AJ207" i="4"/>
  <c r="AH207" i="4"/>
  <c r="AE207" i="4"/>
  <c r="AG207" i="4" s="1"/>
  <c r="AD207" i="4"/>
  <c r="AC207" i="4"/>
  <c r="AB207" i="4"/>
  <c r="Y207" i="4"/>
  <c r="X207" i="4"/>
  <c r="W207" i="4" s="1"/>
  <c r="S207" i="4"/>
  <c r="R207" i="4"/>
  <c r="Q207" i="4"/>
  <c r="P207" i="4"/>
  <c r="O207" i="4"/>
  <c r="K207" i="4"/>
  <c r="J207" i="4"/>
  <c r="G207" i="4"/>
  <c r="C207" i="4" a="1"/>
  <c r="C207" i="4" s="1"/>
  <c r="B207" i="4"/>
  <c r="A207" i="4"/>
  <c r="BN206" i="4"/>
  <c r="BK206" i="4"/>
  <c r="BJ206" i="4"/>
  <c r="BI206" i="4"/>
  <c r="BH206" i="4"/>
  <c r="BG206" i="4"/>
  <c r="BF206" i="4"/>
  <c r="BA206" i="4"/>
  <c r="AZ206" i="4"/>
  <c r="AY206" i="4"/>
  <c r="AX206" i="4"/>
  <c r="AW206" i="4"/>
  <c r="AV206" i="4"/>
  <c r="AS206" i="4"/>
  <c r="AV201" i="12" s="1"/>
  <c r="AW201" i="12" s="1"/>
  <c r="AJ206" i="4"/>
  <c r="AO206" i="4" s="1"/>
  <c r="AQ201" i="12" s="1"/>
  <c r="AR201" i="12" s="1"/>
  <c r="AF206" i="4"/>
  <c r="AE206" i="4"/>
  <c r="AG206" i="4" s="1"/>
  <c r="AD206" i="4"/>
  <c r="AH206" i="4" s="1"/>
  <c r="AC206" i="4"/>
  <c r="AB206" i="4"/>
  <c r="Y206" i="4"/>
  <c r="X206" i="4"/>
  <c r="W206" i="4" s="1"/>
  <c r="S206" i="4"/>
  <c r="R206" i="4"/>
  <c r="Q206" i="4"/>
  <c r="G206" i="4"/>
  <c r="C206" i="4" a="1"/>
  <c r="C206" i="4" s="1"/>
  <c r="B206" i="4"/>
  <c r="A206" i="4"/>
  <c r="BN205" i="4"/>
  <c r="BK205" i="4"/>
  <c r="BJ205" i="4"/>
  <c r="BI205" i="4"/>
  <c r="BH205" i="4"/>
  <c r="BG205" i="4"/>
  <c r="BA205" i="4"/>
  <c r="AZ205" i="4"/>
  <c r="BF205" i="4" s="1"/>
  <c r="AY205" i="4"/>
  <c r="AX205" i="4"/>
  <c r="AW205" i="4"/>
  <c r="AV205" i="4"/>
  <c r="AS205" i="4"/>
  <c r="AV200" i="12" s="1"/>
  <c r="AW200" i="12" s="1"/>
  <c r="AO205" i="4"/>
  <c r="AQ200" i="12" s="1"/>
  <c r="AR200" i="12" s="1"/>
  <c r="AJ205" i="4"/>
  <c r="AE205" i="4"/>
  <c r="AD205" i="4"/>
  <c r="AH205" i="4" s="1"/>
  <c r="AC205" i="4"/>
  <c r="AG205" i="4" s="1"/>
  <c r="AB205" i="4"/>
  <c r="AF205" i="4" s="1"/>
  <c r="Y205" i="4"/>
  <c r="X205" i="4"/>
  <c r="W205" i="4" s="1"/>
  <c r="T205" i="4"/>
  <c r="S205" i="4"/>
  <c r="R205" i="4"/>
  <c r="J205" i="4"/>
  <c r="G205" i="4"/>
  <c r="B205" i="4"/>
  <c r="C205" i="4" s="1" a="1"/>
  <c r="C205" i="4" s="1"/>
  <c r="A205" i="4"/>
  <c r="BN204" i="4"/>
  <c r="BK204" i="4"/>
  <c r="BJ204" i="4"/>
  <c r="BI204" i="4"/>
  <c r="BH204" i="4"/>
  <c r="BA204" i="4"/>
  <c r="BG204" i="4" s="1"/>
  <c r="AZ204" i="4"/>
  <c r="BF204" i="4" s="1"/>
  <c r="AX204" i="4"/>
  <c r="AW204" i="4"/>
  <c r="AY204" i="4" s="1"/>
  <c r="AV204" i="4"/>
  <c r="AS204" i="4"/>
  <c r="AV199" i="12" s="1"/>
  <c r="AW199" i="12" s="1"/>
  <c r="AO204" i="4"/>
  <c r="AQ199" i="12" s="1"/>
  <c r="AR199" i="12" s="1"/>
  <c r="AJ204" i="4"/>
  <c r="AI204" i="4"/>
  <c r="AH204" i="4"/>
  <c r="AF204" i="4"/>
  <c r="AE204" i="4"/>
  <c r="AD204" i="4"/>
  <c r="AC204" i="4"/>
  <c r="AG204" i="4" s="1"/>
  <c r="AB204" i="4"/>
  <c r="Y204" i="4"/>
  <c r="X204" i="4"/>
  <c r="W204" i="4"/>
  <c r="T204" i="4"/>
  <c r="S204" i="4"/>
  <c r="R204" i="4"/>
  <c r="P204" i="4"/>
  <c r="O204" i="4"/>
  <c r="K204" i="4"/>
  <c r="J204" i="4"/>
  <c r="G204" i="4"/>
  <c r="Q204" i="4" s="1"/>
  <c r="B204" i="4"/>
  <c r="C204" i="4" s="1" a="1"/>
  <c r="C204" i="4" s="1"/>
  <c r="A204" i="4"/>
  <c r="BN203" i="4"/>
  <c r="BK203" i="4"/>
  <c r="BJ203" i="4"/>
  <c r="BI203" i="4"/>
  <c r="BH203" i="4"/>
  <c r="BG203" i="4"/>
  <c r="BF203" i="4"/>
  <c r="BA203" i="4"/>
  <c r="AZ203" i="4"/>
  <c r="AY203" i="4"/>
  <c r="AX203" i="4"/>
  <c r="AW203" i="4"/>
  <c r="AV203" i="4"/>
  <c r="AS203" i="4"/>
  <c r="AV198" i="12" s="1"/>
  <c r="AW198" i="12" s="1"/>
  <c r="AJ203" i="4"/>
  <c r="AO203" i="4" s="1"/>
  <c r="AQ198" i="12" s="1"/>
  <c r="AR198" i="12" s="1"/>
  <c r="AH203" i="4"/>
  <c r="AG203" i="4"/>
  <c r="AF203" i="4"/>
  <c r="AE203" i="4"/>
  <c r="AD203" i="4"/>
  <c r="AC203" i="4"/>
  <c r="AB203" i="4"/>
  <c r="Y203" i="4"/>
  <c r="X203" i="4"/>
  <c r="W203" i="4" s="1"/>
  <c r="T203" i="4"/>
  <c r="S203" i="4"/>
  <c r="R203" i="4"/>
  <c r="Q203" i="4"/>
  <c r="P203" i="4"/>
  <c r="O203" i="4"/>
  <c r="G203" i="4"/>
  <c r="C203" i="4" a="1"/>
  <c r="C203" i="4" s="1"/>
  <c r="B203" i="4"/>
  <c r="A203" i="4"/>
  <c r="BN202" i="4"/>
  <c r="BK202" i="4"/>
  <c r="BJ202" i="4"/>
  <c r="BI202" i="4"/>
  <c r="BH202" i="4"/>
  <c r="BA202" i="4"/>
  <c r="BG202" i="4" s="1"/>
  <c r="AZ202" i="4"/>
  <c r="BF202" i="4" s="1"/>
  <c r="AX202" i="4"/>
  <c r="AW202" i="4"/>
  <c r="AY202" i="4" s="1"/>
  <c r="AV202" i="4"/>
  <c r="AS202" i="4"/>
  <c r="AV197" i="12" s="1"/>
  <c r="AW197" i="12" s="1"/>
  <c r="AJ202" i="4"/>
  <c r="AO202" i="4" s="1"/>
  <c r="AQ197" i="12" s="1"/>
  <c r="AR197" i="12" s="1"/>
  <c r="AH202" i="4"/>
  <c r="AE202" i="4"/>
  <c r="AD202" i="4"/>
  <c r="AC202" i="4"/>
  <c r="AG202" i="4" s="1"/>
  <c r="AB202" i="4"/>
  <c r="Y202" i="4"/>
  <c r="W202" i="4" s="1"/>
  <c r="X202" i="4"/>
  <c r="T202" i="4"/>
  <c r="S202" i="4"/>
  <c r="R202" i="4"/>
  <c r="Q202" i="4"/>
  <c r="K202" i="4"/>
  <c r="J202" i="4"/>
  <c r="G202" i="4"/>
  <c r="C202" i="4" a="1"/>
  <c r="C202" i="4" s="1"/>
  <c r="B202" i="4"/>
  <c r="A202" i="4"/>
  <c r="BN201" i="4"/>
  <c r="BK201" i="4"/>
  <c r="BJ201" i="4"/>
  <c r="BI201" i="4"/>
  <c r="BH201" i="4"/>
  <c r="BG201" i="4"/>
  <c r="BF201" i="4"/>
  <c r="BA201" i="4"/>
  <c r="AZ201" i="4"/>
  <c r="AX201" i="4"/>
  <c r="AW201" i="4"/>
  <c r="AY201" i="4" s="1"/>
  <c r="AV201" i="4"/>
  <c r="AS201" i="4"/>
  <c r="AV196" i="12" s="1"/>
  <c r="AW196" i="12" s="1"/>
  <c r="AJ201" i="4"/>
  <c r="AO201" i="4" s="1"/>
  <c r="AQ196" i="12" s="1"/>
  <c r="AR196" i="12" s="1"/>
  <c r="AI201" i="4"/>
  <c r="AE201" i="4"/>
  <c r="AD201" i="4"/>
  <c r="AC201" i="4"/>
  <c r="AG201" i="4" s="1"/>
  <c r="AB201" i="4"/>
  <c r="AF201" i="4" s="1"/>
  <c r="Y201" i="4"/>
  <c r="X201" i="4"/>
  <c r="W201" i="4" s="1"/>
  <c r="S201" i="4"/>
  <c r="R201" i="4"/>
  <c r="P201" i="4"/>
  <c r="O201" i="4"/>
  <c r="K201" i="4"/>
  <c r="J201" i="4"/>
  <c r="G201" i="4"/>
  <c r="B201" i="4"/>
  <c r="C201" i="4" s="1" a="1"/>
  <c r="C201" i="4" s="1"/>
  <c r="A201" i="4"/>
  <c r="BN200" i="4"/>
  <c r="BK200" i="4"/>
  <c r="BJ200" i="4"/>
  <c r="BI200" i="4"/>
  <c r="BH200" i="4"/>
  <c r="BF200" i="4"/>
  <c r="BA200" i="4"/>
  <c r="BG200" i="4" s="1"/>
  <c r="AZ200" i="4"/>
  <c r="AY200" i="4"/>
  <c r="AX200" i="4"/>
  <c r="AW200" i="4"/>
  <c r="AV200" i="4"/>
  <c r="AS200" i="4"/>
  <c r="AV195" i="12" s="1"/>
  <c r="AW195" i="12" s="1"/>
  <c r="AO200" i="4"/>
  <c r="AQ195" i="12" s="1"/>
  <c r="AR195" i="12" s="1"/>
  <c r="AJ200" i="4"/>
  <c r="AF200" i="4"/>
  <c r="AE200" i="4"/>
  <c r="AD200" i="4"/>
  <c r="AC200" i="4"/>
  <c r="AG200" i="4" s="1"/>
  <c r="AB200" i="4"/>
  <c r="Y200" i="4"/>
  <c r="X200" i="4"/>
  <c r="W200" i="4" s="1"/>
  <c r="S200" i="4"/>
  <c r="R200" i="4"/>
  <c r="G200" i="4"/>
  <c r="C200" i="4" a="1"/>
  <c r="C200" i="4"/>
  <c r="B200" i="4"/>
  <c r="A200" i="4"/>
  <c r="BN199" i="4"/>
  <c r="BK199" i="4"/>
  <c r="BJ199" i="4"/>
  <c r="BI199" i="4"/>
  <c r="BH199" i="4"/>
  <c r="BG199" i="4"/>
  <c r="BF199" i="4"/>
  <c r="BA199" i="4"/>
  <c r="AZ199" i="4"/>
  <c r="AX199" i="4"/>
  <c r="AW199" i="4"/>
  <c r="AY199" i="4" s="1"/>
  <c r="AV199" i="4"/>
  <c r="AS199" i="4"/>
  <c r="AV194" i="12" s="1"/>
  <c r="AW194" i="12" s="1"/>
  <c r="AJ199" i="4"/>
  <c r="AO199" i="4" s="1"/>
  <c r="AQ194" i="12" s="1"/>
  <c r="AR194" i="12" s="1"/>
  <c r="AE199" i="4"/>
  <c r="AD199" i="4"/>
  <c r="AH199" i="4" s="1"/>
  <c r="AC199" i="4"/>
  <c r="AB199" i="4"/>
  <c r="Y199" i="4"/>
  <c r="X199" i="4"/>
  <c r="W199" i="4"/>
  <c r="S199" i="4"/>
  <c r="R199" i="4"/>
  <c r="Q199" i="4"/>
  <c r="G199" i="4"/>
  <c r="C199" i="4" a="1"/>
  <c r="C199" i="4" s="1"/>
  <c r="B199" i="4"/>
  <c r="A199" i="4"/>
  <c r="BN198" i="4"/>
  <c r="BK198" i="4"/>
  <c r="BJ198" i="4"/>
  <c r="BI198" i="4"/>
  <c r="BH198" i="4"/>
  <c r="BA198" i="4"/>
  <c r="BG198" i="4" s="1"/>
  <c r="AZ198" i="4"/>
  <c r="BF198" i="4" s="1"/>
  <c r="AY198" i="4"/>
  <c r="AX198" i="4"/>
  <c r="AW198" i="4"/>
  <c r="AV198" i="4"/>
  <c r="AS198" i="4"/>
  <c r="AV193" i="12" s="1"/>
  <c r="AW193" i="12" s="1"/>
  <c r="AJ198" i="4"/>
  <c r="AO198" i="4" s="1"/>
  <c r="AQ193" i="12" s="1"/>
  <c r="AR193" i="12" s="1"/>
  <c r="AH198" i="4"/>
  <c r="AG198" i="4"/>
  <c r="AF198" i="4"/>
  <c r="AE198" i="4"/>
  <c r="AD198" i="4"/>
  <c r="AC198" i="4"/>
  <c r="AB198" i="4"/>
  <c r="AI198" i="4" s="1"/>
  <c r="Y198" i="4"/>
  <c r="X198" i="4"/>
  <c r="T198" i="4"/>
  <c r="S198" i="4"/>
  <c r="R198" i="4"/>
  <c r="Q198" i="4"/>
  <c r="P198" i="4"/>
  <c r="K198" i="4"/>
  <c r="G198" i="4"/>
  <c r="O198" i="4" s="1"/>
  <c r="C198" i="4"/>
  <c r="B198" i="4"/>
  <c r="C198" i="4" s="1" a="1"/>
  <c r="A198" i="4"/>
  <c r="BN197" i="4"/>
  <c r="BK197" i="4"/>
  <c r="BJ197" i="4"/>
  <c r="BI197" i="4"/>
  <c r="BH197" i="4"/>
  <c r="BF197" i="4"/>
  <c r="BA197" i="4"/>
  <c r="BG197" i="4" s="1"/>
  <c r="AZ197" i="4"/>
  <c r="AX197" i="4"/>
  <c r="AW197" i="4"/>
  <c r="AY197" i="4" s="1"/>
  <c r="AV197" i="4"/>
  <c r="AS197" i="4"/>
  <c r="AV192" i="12" s="1"/>
  <c r="AW192" i="12" s="1"/>
  <c r="AJ197" i="4"/>
  <c r="AO197" i="4" s="1"/>
  <c r="AQ192" i="12" s="1"/>
  <c r="AR192" i="12" s="1"/>
  <c r="AI197" i="4"/>
  <c r="AH197" i="4"/>
  <c r="AF197" i="4"/>
  <c r="AE197" i="4"/>
  <c r="AD197" i="4"/>
  <c r="AC197" i="4"/>
  <c r="AG197" i="4" s="1"/>
  <c r="AB197" i="4"/>
  <c r="Y197" i="4"/>
  <c r="X197" i="4"/>
  <c r="W197" i="4"/>
  <c r="T197" i="4"/>
  <c r="S197" i="4"/>
  <c r="R197" i="4"/>
  <c r="P197" i="4"/>
  <c r="O197" i="4"/>
  <c r="K197" i="4"/>
  <c r="J197" i="4"/>
  <c r="G197" i="4"/>
  <c r="Q197" i="4" s="1"/>
  <c r="B197" i="4"/>
  <c r="C197" i="4" s="1" a="1"/>
  <c r="C197" i="4" s="1"/>
  <c r="A197" i="4"/>
  <c r="BN196" i="4"/>
  <c r="BK196" i="4"/>
  <c r="BJ196" i="4"/>
  <c r="BI196" i="4"/>
  <c r="BH196" i="4"/>
  <c r="BG196" i="4"/>
  <c r="BF196" i="4"/>
  <c r="BA196" i="4"/>
  <c r="AZ196" i="4"/>
  <c r="AY196" i="4"/>
  <c r="AX196" i="4"/>
  <c r="AW196" i="4"/>
  <c r="AV196" i="4"/>
  <c r="AS196" i="4"/>
  <c r="AV191" i="12" s="1"/>
  <c r="AW191" i="12" s="1"/>
  <c r="AJ196" i="4"/>
  <c r="AO196" i="4" s="1"/>
  <c r="AQ191" i="12" s="1"/>
  <c r="AR191" i="12" s="1"/>
  <c r="AH196" i="4"/>
  <c r="AE196" i="4"/>
  <c r="AG196" i="4" s="1"/>
  <c r="AD196" i="4"/>
  <c r="AC196" i="4"/>
  <c r="AB196" i="4"/>
  <c r="Y196" i="4"/>
  <c r="W196" i="4" s="1"/>
  <c r="X196" i="4"/>
  <c r="T196" i="4"/>
  <c r="S196" i="4"/>
  <c r="R196" i="4"/>
  <c r="Q196" i="4"/>
  <c r="P196" i="4"/>
  <c r="O196" i="4"/>
  <c r="G196" i="4"/>
  <c r="C196" i="4" a="1"/>
  <c r="C196" i="4" s="1"/>
  <c r="B196" i="4"/>
  <c r="A196" i="4"/>
  <c r="BN195" i="4"/>
  <c r="BK195" i="4"/>
  <c r="BJ195" i="4"/>
  <c r="BI195" i="4"/>
  <c r="BH195" i="4"/>
  <c r="BA195" i="4"/>
  <c r="BG195" i="4" s="1"/>
  <c r="AZ195" i="4"/>
  <c r="BF195" i="4" s="1"/>
  <c r="AX195" i="4"/>
  <c r="AW195" i="4"/>
  <c r="AY195" i="4" s="1"/>
  <c r="AV195" i="4"/>
  <c r="AS195" i="4"/>
  <c r="AV190" i="12" s="1"/>
  <c r="AW190" i="12" s="1"/>
  <c r="AJ195" i="4"/>
  <c r="AO195" i="4" s="1"/>
  <c r="AQ190" i="12" s="1"/>
  <c r="AR190" i="12" s="1"/>
  <c r="AG195" i="4"/>
  <c r="AE195" i="4"/>
  <c r="AD195" i="4"/>
  <c r="AH195" i="4" s="1"/>
  <c r="AC195" i="4"/>
  <c r="AB195" i="4"/>
  <c r="AF195" i="4" s="1"/>
  <c r="Y195" i="4"/>
  <c r="X195" i="4"/>
  <c r="W195" i="4"/>
  <c r="T195" i="4"/>
  <c r="S195" i="4"/>
  <c r="R195" i="4"/>
  <c r="G195" i="4"/>
  <c r="C195" i="4" a="1"/>
  <c r="C195" i="4" s="1"/>
  <c r="B195" i="4"/>
  <c r="A195" i="4"/>
  <c r="BN194" i="4"/>
  <c r="BK194" i="4"/>
  <c r="BJ194" i="4"/>
  <c r="BI194" i="4"/>
  <c r="BH194" i="4"/>
  <c r="BA194" i="4"/>
  <c r="BG194" i="4" s="1"/>
  <c r="AZ194" i="4"/>
  <c r="BF194" i="4" s="1"/>
  <c r="AY194" i="4"/>
  <c r="AX194" i="4"/>
  <c r="AW194" i="4"/>
  <c r="AV194" i="4"/>
  <c r="AS194" i="4"/>
  <c r="AV189" i="12" s="1"/>
  <c r="AW189" i="12" s="1"/>
  <c r="AO194" i="4"/>
  <c r="AQ189" i="12" s="1"/>
  <c r="AR189" i="12" s="1"/>
  <c r="AJ194" i="4"/>
  <c r="AE194" i="4"/>
  <c r="AF194" i="4" s="1"/>
  <c r="AD194" i="4"/>
  <c r="AC194" i="4"/>
  <c r="AB194" i="4"/>
  <c r="W194" i="4"/>
  <c r="T194" i="4"/>
  <c r="S194" i="4"/>
  <c r="R194" i="4"/>
  <c r="Q194" i="4"/>
  <c r="P194" i="4"/>
  <c r="G194" i="4"/>
  <c r="O194" i="4" s="1"/>
  <c r="C194" i="4" a="1"/>
  <c r="C194" i="4" s="1"/>
  <c r="B194" i="4"/>
  <c r="A194" i="4"/>
  <c r="BN193" i="4"/>
  <c r="BK193" i="4"/>
  <c r="BJ193" i="4"/>
  <c r="BI193" i="4"/>
  <c r="BH193" i="4"/>
  <c r="BA193" i="4"/>
  <c r="BG193" i="4" s="1"/>
  <c r="AZ193" i="4"/>
  <c r="BF193" i="4" s="1"/>
  <c r="AY193" i="4"/>
  <c r="AX193" i="4"/>
  <c r="AW193" i="4"/>
  <c r="AV193" i="4"/>
  <c r="AS193" i="4"/>
  <c r="AV188" i="12" s="1"/>
  <c r="AW188" i="12" s="1"/>
  <c r="AO193" i="4"/>
  <c r="AQ188" i="12" s="1"/>
  <c r="AR188" i="12" s="1"/>
  <c r="AJ193" i="4"/>
  <c r="AI193" i="4"/>
  <c r="AH193" i="4"/>
  <c r="AF193" i="4"/>
  <c r="AE193" i="4"/>
  <c r="AD193" i="4"/>
  <c r="AC193" i="4"/>
  <c r="AG193" i="4" s="1"/>
  <c r="AB193" i="4"/>
  <c r="Y193" i="4"/>
  <c r="X193" i="4"/>
  <c r="T193" i="4"/>
  <c r="S193" i="4"/>
  <c r="R193" i="4"/>
  <c r="P193" i="4"/>
  <c r="O193" i="4"/>
  <c r="K193" i="4"/>
  <c r="G193" i="4"/>
  <c r="Q193" i="4" s="1"/>
  <c r="C193" i="4"/>
  <c r="B193" i="4"/>
  <c r="C193" i="4" s="1" a="1"/>
  <c r="A193" i="4"/>
  <c r="BN192" i="4"/>
  <c r="BK192" i="4"/>
  <c r="BJ192" i="4"/>
  <c r="BI192" i="4"/>
  <c r="BH192" i="4"/>
  <c r="BG192" i="4"/>
  <c r="BF192" i="4"/>
  <c r="BA192" i="4"/>
  <c r="AZ192" i="4"/>
  <c r="AX192" i="4"/>
  <c r="AW192" i="4"/>
  <c r="AY192" i="4" s="1"/>
  <c r="AV192" i="4"/>
  <c r="AS192" i="4"/>
  <c r="AV187" i="12" s="1"/>
  <c r="AW187" i="12" s="1"/>
  <c r="AO192" i="4"/>
  <c r="AQ187" i="12" s="1"/>
  <c r="AR187" i="12" s="1"/>
  <c r="AJ192" i="4"/>
  <c r="AF192" i="4"/>
  <c r="AE192" i="4"/>
  <c r="AG192" i="4" s="1"/>
  <c r="AD192" i="4"/>
  <c r="AH192" i="4" s="1"/>
  <c r="AC192" i="4"/>
  <c r="AB192" i="4"/>
  <c r="Y192" i="4"/>
  <c r="X192" i="4"/>
  <c r="W192" i="4" s="1"/>
  <c r="T192" i="4"/>
  <c r="S192" i="4"/>
  <c r="R192" i="4"/>
  <c r="Q192" i="4"/>
  <c r="P192" i="4"/>
  <c r="O192" i="4"/>
  <c r="K192" i="4"/>
  <c r="G192" i="4"/>
  <c r="AI192" i="4" s="1"/>
  <c r="B192" i="4"/>
  <c r="C192" i="4" s="1" a="1"/>
  <c r="C192" i="4" s="1"/>
  <c r="A192" i="4"/>
  <c r="BN191" i="4"/>
  <c r="BK191" i="4"/>
  <c r="BJ191" i="4"/>
  <c r="BI191" i="4"/>
  <c r="BH191" i="4"/>
  <c r="BG191" i="4"/>
  <c r="BF191" i="4"/>
  <c r="BA191" i="4"/>
  <c r="AZ191" i="4"/>
  <c r="AX191" i="4"/>
  <c r="AW191" i="4"/>
  <c r="AV191" i="4"/>
  <c r="AS191" i="4"/>
  <c r="AV186" i="12" s="1"/>
  <c r="AW186" i="12" s="1"/>
  <c r="AJ191" i="4"/>
  <c r="AO191" i="4" s="1"/>
  <c r="AQ186" i="12" s="1"/>
  <c r="AR186" i="12" s="1"/>
  <c r="AE191" i="4"/>
  <c r="AD191" i="4"/>
  <c r="AH191" i="4" s="1"/>
  <c r="AC191" i="4"/>
  <c r="AB191" i="4"/>
  <c r="Y191" i="4"/>
  <c r="X191" i="4"/>
  <c r="W191" i="4" s="1"/>
  <c r="S191" i="4"/>
  <c r="R191" i="4"/>
  <c r="G191" i="4"/>
  <c r="C191" i="4" a="1"/>
  <c r="C191" i="4"/>
  <c r="B191" i="4"/>
  <c r="A191" i="4"/>
  <c r="BN190" i="4"/>
  <c r="BK190" i="4"/>
  <c r="BJ190" i="4"/>
  <c r="BI190" i="4"/>
  <c r="BH190" i="4"/>
  <c r="BG190" i="4"/>
  <c r="BA190" i="4"/>
  <c r="AZ190" i="4"/>
  <c r="BF190" i="4" s="1"/>
  <c r="AX190" i="4"/>
  <c r="AW190" i="4"/>
  <c r="AY190" i="4" s="1"/>
  <c r="AV190" i="4"/>
  <c r="AS190" i="4"/>
  <c r="AV185" i="12" s="1"/>
  <c r="AW185" i="12" s="1"/>
  <c r="AO190" i="4"/>
  <c r="AQ185" i="12" s="1"/>
  <c r="AR185" i="12" s="1"/>
  <c r="AJ190" i="4"/>
  <c r="AI190" i="4"/>
  <c r="AF190" i="4"/>
  <c r="AE190" i="4"/>
  <c r="AD190" i="4"/>
  <c r="AH190" i="4" s="1"/>
  <c r="AC190" i="4"/>
  <c r="AG190" i="4" s="1"/>
  <c r="AB190" i="4"/>
  <c r="Y190" i="4"/>
  <c r="X190" i="4"/>
  <c r="W190" i="4" s="1"/>
  <c r="S190" i="4"/>
  <c r="R190" i="4"/>
  <c r="G190" i="4"/>
  <c r="B190" i="4"/>
  <c r="C190" i="4" s="1" a="1"/>
  <c r="C190" i="4" s="1"/>
  <c r="A190" i="4"/>
  <c r="BN189" i="4"/>
  <c r="BK189" i="4"/>
  <c r="BJ189" i="4"/>
  <c r="BI189" i="4"/>
  <c r="BH189" i="4"/>
  <c r="BG189" i="4"/>
  <c r="BA189" i="4"/>
  <c r="AZ189" i="4"/>
  <c r="BF189" i="4" s="1"/>
  <c r="AY189" i="4"/>
  <c r="AX189" i="4"/>
  <c r="AW189" i="4"/>
  <c r="AV189" i="4"/>
  <c r="AS189" i="4"/>
  <c r="AV184" i="12" s="1"/>
  <c r="AW184" i="12" s="1"/>
  <c r="AO189" i="4"/>
  <c r="AQ184" i="12" s="1"/>
  <c r="AR184" i="12" s="1"/>
  <c r="AJ189" i="4"/>
  <c r="AE189" i="4"/>
  <c r="AF189" i="4" s="1"/>
  <c r="AD189" i="4"/>
  <c r="AC189" i="4"/>
  <c r="AB189" i="4"/>
  <c r="Y189" i="4"/>
  <c r="X189" i="4"/>
  <c r="W189" i="4"/>
  <c r="S189" i="4"/>
  <c r="R189" i="4"/>
  <c r="G189" i="4"/>
  <c r="P189" i="4" s="1"/>
  <c r="C189" i="4" a="1"/>
  <c r="C189" i="4" s="1"/>
  <c r="B189" i="4"/>
  <c r="A189" i="4"/>
  <c r="BN188" i="4"/>
  <c r="BK188" i="4"/>
  <c r="BJ188" i="4"/>
  <c r="BI188" i="4"/>
  <c r="BH188" i="4"/>
  <c r="BG188" i="4"/>
  <c r="BF188" i="4"/>
  <c r="BA188" i="4"/>
  <c r="AZ188" i="4"/>
  <c r="AY188" i="4"/>
  <c r="AX188" i="4"/>
  <c r="AW188" i="4"/>
  <c r="AV188" i="4"/>
  <c r="AS188" i="4"/>
  <c r="AV183" i="12" s="1"/>
  <c r="AW183" i="12" s="1"/>
  <c r="AJ188" i="4"/>
  <c r="AO188" i="4" s="1"/>
  <c r="AQ183" i="12" s="1"/>
  <c r="AR183" i="12" s="1"/>
  <c r="AG188" i="4"/>
  <c r="AF188" i="4"/>
  <c r="AE188" i="4"/>
  <c r="AD188" i="4"/>
  <c r="AH188" i="4" s="1"/>
  <c r="AC188" i="4"/>
  <c r="AB188" i="4"/>
  <c r="Y188" i="4"/>
  <c r="X188" i="4"/>
  <c r="W188" i="4" s="1"/>
  <c r="T188" i="4"/>
  <c r="S188" i="4"/>
  <c r="R188" i="4"/>
  <c r="Q188" i="4"/>
  <c r="P188" i="4"/>
  <c r="O188" i="4"/>
  <c r="K188" i="4"/>
  <c r="G188" i="4"/>
  <c r="C188" i="4" a="1"/>
  <c r="C188" i="4" s="1"/>
  <c r="B188" i="4"/>
  <c r="A188" i="4"/>
  <c r="BN187" i="4"/>
  <c r="BK187" i="4"/>
  <c r="BJ187" i="4"/>
  <c r="BI187" i="4"/>
  <c r="BH187" i="4"/>
  <c r="BG187" i="4"/>
  <c r="BA187" i="4"/>
  <c r="AZ187" i="4"/>
  <c r="BF187" i="4" s="1"/>
  <c r="AX187" i="4"/>
  <c r="AW187" i="4"/>
  <c r="AY187" i="4" s="1"/>
  <c r="AV187" i="4"/>
  <c r="AS187" i="4"/>
  <c r="AV182" i="12" s="1"/>
  <c r="AW182" i="12" s="1"/>
  <c r="AJ187" i="4"/>
  <c r="AO187" i="4" s="1"/>
  <c r="AQ182" i="12" s="1"/>
  <c r="AR182" i="12" s="1"/>
  <c r="AI187" i="4"/>
  <c r="AH187" i="4"/>
  <c r="AF187" i="4"/>
  <c r="AE187" i="4"/>
  <c r="AD187" i="4"/>
  <c r="AC187" i="4"/>
  <c r="AG187" i="4" s="1"/>
  <c r="AB187" i="4"/>
  <c r="Y187" i="4"/>
  <c r="X187" i="4"/>
  <c r="W187" i="4"/>
  <c r="S187" i="4"/>
  <c r="R187" i="4"/>
  <c r="Q187" i="4"/>
  <c r="P187" i="4"/>
  <c r="K187" i="4"/>
  <c r="J187" i="4"/>
  <c r="G187" i="4"/>
  <c r="C187" i="4" a="1"/>
  <c r="C187" i="4" s="1"/>
  <c r="B187" i="4"/>
  <c r="A187" i="4"/>
  <c r="BN186" i="4"/>
  <c r="BK186" i="4"/>
  <c r="BJ186" i="4"/>
  <c r="BI186" i="4"/>
  <c r="BH186" i="4"/>
  <c r="BG186" i="4"/>
  <c r="BF186" i="4"/>
  <c r="BA186" i="4"/>
  <c r="AZ186" i="4"/>
  <c r="AX186" i="4"/>
  <c r="AW186" i="4"/>
  <c r="AY186" i="4" s="1"/>
  <c r="AV186" i="4"/>
  <c r="AS186" i="4"/>
  <c r="AV181" i="12" s="1"/>
  <c r="AW181" i="12" s="1"/>
  <c r="AJ186" i="4"/>
  <c r="AO186" i="4" s="1"/>
  <c r="AQ181" i="12" s="1"/>
  <c r="AR181" i="12" s="1"/>
  <c r="AE186" i="4"/>
  <c r="AD186" i="4"/>
  <c r="AH186" i="4" s="1"/>
  <c r="AC186" i="4"/>
  <c r="AG186" i="4" s="1"/>
  <c r="AB186" i="4"/>
  <c r="AF186" i="4" s="1"/>
  <c r="Y186" i="4"/>
  <c r="X186" i="4"/>
  <c r="W186" i="4" s="1"/>
  <c r="S186" i="4"/>
  <c r="R186" i="4"/>
  <c r="P186" i="4"/>
  <c r="K186" i="4"/>
  <c r="J186" i="4"/>
  <c r="G186" i="4"/>
  <c r="B186" i="4"/>
  <c r="C186" i="4" s="1" a="1"/>
  <c r="C186" i="4" s="1"/>
  <c r="A186" i="4"/>
  <c r="BN185" i="4"/>
  <c r="BK185" i="4"/>
  <c r="BJ185" i="4"/>
  <c r="BI185" i="4"/>
  <c r="BH185" i="4"/>
  <c r="BA185" i="4"/>
  <c r="BG185" i="4" s="1"/>
  <c r="AZ185" i="4"/>
  <c r="BF185" i="4" s="1"/>
  <c r="AY185" i="4"/>
  <c r="AX185" i="4"/>
  <c r="AW185" i="4"/>
  <c r="AV185" i="4"/>
  <c r="AS185" i="4"/>
  <c r="AV180" i="12" s="1"/>
  <c r="AW180" i="12" s="1"/>
  <c r="AO185" i="4"/>
  <c r="AQ180" i="12" s="1"/>
  <c r="AR180" i="12" s="1"/>
  <c r="AJ185" i="4"/>
  <c r="AE185" i="4"/>
  <c r="AF185" i="4" s="1"/>
  <c r="AD185" i="4"/>
  <c r="AH185" i="4" s="1"/>
  <c r="AC185" i="4"/>
  <c r="AB185" i="4"/>
  <c r="Y185" i="4"/>
  <c r="X185" i="4"/>
  <c r="W185" i="4" s="1"/>
  <c r="T185" i="4"/>
  <c r="S185" i="4"/>
  <c r="R185" i="4"/>
  <c r="O185" i="4"/>
  <c r="K185" i="4"/>
  <c r="J185" i="4"/>
  <c r="G185" i="4"/>
  <c r="B185" i="4"/>
  <c r="C185" i="4" s="1" a="1"/>
  <c r="C185" i="4" s="1"/>
  <c r="A185" i="4"/>
  <c r="BN184" i="4"/>
  <c r="BK184" i="4"/>
  <c r="BJ184" i="4"/>
  <c r="BI184" i="4"/>
  <c r="BH184" i="4"/>
  <c r="BF184" i="4"/>
  <c r="BA184" i="4"/>
  <c r="BG184" i="4" s="1"/>
  <c r="AZ184" i="4"/>
  <c r="AY184" i="4"/>
  <c r="AX184" i="4"/>
  <c r="AW184" i="4"/>
  <c r="AV184" i="4"/>
  <c r="AS184" i="4"/>
  <c r="AV179" i="12" s="1"/>
  <c r="AW179" i="12" s="1"/>
  <c r="AJ184" i="4"/>
  <c r="AO184" i="4" s="1"/>
  <c r="AQ179" i="12" s="1"/>
  <c r="AR179" i="12" s="1"/>
  <c r="AF184" i="4"/>
  <c r="AE184" i="4"/>
  <c r="AG184" i="4" s="1"/>
  <c r="AD184" i="4"/>
  <c r="AH184" i="4" s="1"/>
  <c r="AC184" i="4"/>
  <c r="AB184" i="4"/>
  <c r="Y184" i="4"/>
  <c r="X184" i="4"/>
  <c r="W184" i="4" s="1"/>
  <c r="T184" i="4"/>
  <c r="S184" i="4"/>
  <c r="R184" i="4"/>
  <c r="O184" i="4"/>
  <c r="K184" i="4"/>
  <c r="G184" i="4"/>
  <c r="C184" i="4" a="1"/>
  <c r="C184" i="4" s="1"/>
  <c r="B184" i="4"/>
  <c r="A184" i="4"/>
  <c r="BN183" i="4"/>
  <c r="BK183" i="4"/>
  <c r="BJ183" i="4"/>
  <c r="BI183" i="4"/>
  <c r="BH183" i="4"/>
  <c r="BG183" i="4"/>
  <c r="BA183" i="4"/>
  <c r="AZ183" i="4"/>
  <c r="BF183" i="4" s="1"/>
  <c r="AX183" i="4"/>
  <c r="AW183" i="4"/>
  <c r="AY183" i="4" s="1"/>
  <c r="AV183" i="4"/>
  <c r="AS183" i="4"/>
  <c r="AV178" i="12" s="1"/>
  <c r="AW178" i="12" s="1"/>
  <c r="AJ183" i="4"/>
  <c r="AO183" i="4" s="1"/>
  <c r="AQ178" i="12" s="1"/>
  <c r="AR178" i="12" s="1"/>
  <c r="AE183" i="4"/>
  <c r="AD183" i="4"/>
  <c r="AH183" i="4" s="1"/>
  <c r="AC183" i="4"/>
  <c r="AG183" i="4" s="1"/>
  <c r="AB183" i="4"/>
  <c r="AF183" i="4" s="1"/>
  <c r="Y183" i="4"/>
  <c r="X183" i="4"/>
  <c r="T183" i="4"/>
  <c r="S183" i="4"/>
  <c r="R183" i="4"/>
  <c r="G183" i="4"/>
  <c r="C183" i="4"/>
  <c r="B183" i="4"/>
  <c r="C183" i="4" s="1" a="1"/>
  <c r="A183" i="4"/>
  <c r="BN182" i="4"/>
  <c r="BK182" i="4"/>
  <c r="BJ182" i="4"/>
  <c r="BI182" i="4"/>
  <c r="BH182" i="4"/>
  <c r="BA182" i="4"/>
  <c r="BG182" i="4" s="1"/>
  <c r="AZ182" i="4"/>
  <c r="BF182" i="4" s="1"/>
  <c r="AX182" i="4"/>
  <c r="AW182" i="4"/>
  <c r="AY182" i="4" s="1"/>
  <c r="AV182" i="4"/>
  <c r="AS182" i="4"/>
  <c r="AV177" i="12" s="1"/>
  <c r="AW177" i="12" s="1"/>
  <c r="AJ182" i="4"/>
  <c r="AO182" i="4" s="1"/>
  <c r="AQ177" i="12" s="1"/>
  <c r="AR177" i="12" s="1"/>
  <c r="AH182" i="4"/>
  <c r="AE182" i="4"/>
  <c r="AF182" i="4" s="1"/>
  <c r="AD182" i="4"/>
  <c r="AC182" i="4"/>
  <c r="AG182" i="4" s="1"/>
  <c r="AB182" i="4"/>
  <c r="Y182" i="4"/>
  <c r="X182" i="4"/>
  <c r="W182" i="4" s="1"/>
  <c r="S182" i="4"/>
  <c r="R182" i="4"/>
  <c r="P182" i="4"/>
  <c r="G182" i="4"/>
  <c r="B182" i="4"/>
  <c r="C182" i="4" s="1" a="1"/>
  <c r="C182" i="4" s="1"/>
  <c r="A182" i="4"/>
  <c r="BN181" i="4"/>
  <c r="BK181" i="4"/>
  <c r="BJ181" i="4"/>
  <c r="BI181" i="4"/>
  <c r="BH181" i="4"/>
  <c r="BF181" i="4"/>
  <c r="BA181" i="4"/>
  <c r="BG181" i="4" s="1"/>
  <c r="AZ181" i="4"/>
  <c r="AX181" i="4"/>
  <c r="AW181" i="4"/>
  <c r="AY181" i="4" s="1"/>
  <c r="AV181" i="4"/>
  <c r="AS181" i="4"/>
  <c r="AV176" i="12" s="1"/>
  <c r="AW176" i="12" s="1"/>
  <c r="AO181" i="4"/>
  <c r="AQ176" i="12" s="1"/>
  <c r="AR176" i="12" s="1"/>
  <c r="AJ181" i="4"/>
  <c r="AH181" i="4"/>
  <c r="AG181" i="4"/>
  <c r="AF181" i="4"/>
  <c r="AE181" i="4"/>
  <c r="AD181" i="4"/>
  <c r="AC181" i="4"/>
  <c r="AB181" i="4"/>
  <c r="Y181" i="4"/>
  <c r="X181" i="4"/>
  <c r="W181" i="4"/>
  <c r="T181" i="4"/>
  <c r="S181" i="4"/>
  <c r="R181" i="4"/>
  <c r="Q181" i="4"/>
  <c r="P181" i="4"/>
  <c r="G181" i="4"/>
  <c r="B181" i="4"/>
  <c r="C181" i="4" s="1" a="1"/>
  <c r="C181" i="4" s="1"/>
  <c r="A181" i="4"/>
  <c r="BN180" i="4"/>
  <c r="BK180" i="4"/>
  <c r="BJ180" i="4"/>
  <c r="BI180" i="4"/>
  <c r="BH180" i="4"/>
  <c r="BA180" i="4"/>
  <c r="BG180" i="4" s="1"/>
  <c r="AZ180" i="4"/>
  <c r="BF180" i="4" s="1"/>
  <c r="AX180" i="4"/>
  <c r="AW180" i="4"/>
  <c r="AY180" i="4" s="1"/>
  <c r="AV180" i="4"/>
  <c r="AS180" i="4"/>
  <c r="AV175" i="12" s="1"/>
  <c r="AW175" i="12" s="1"/>
  <c r="AJ180" i="4"/>
  <c r="AO180" i="4" s="1"/>
  <c r="AQ175" i="12" s="1"/>
  <c r="AR175" i="12" s="1"/>
  <c r="AI180" i="4"/>
  <c r="AH180" i="4"/>
  <c r="AG180" i="4"/>
  <c r="AF180" i="4"/>
  <c r="AE180" i="4"/>
  <c r="AD180" i="4"/>
  <c r="AC180" i="4"/>
  <c r="AB180" i="4"/>
  <c r="Y180" i="4"/>
  <c r="X180" i="4"/>
  <c r="W180" i="4"/>
  <c r="T180" i="4"/>
  <c r="S180" i="4"/>
  <c r="R180" i="4"/>
  <c r="Q180" i="4"/>
  <c r="P180" i="4"/>
  <c r="K180" i="4"/>
  <c r="J180" i="4"/>
  <c r="G180" i="4"/>
  <c r="O180" i="4" s="1"/>
  <c r="C180" i="4" a="1"/>
  <c r="C180" i="4"/>
  <c r="B180" i="4"/>
  <c r="A180" i="4"/>
  <c r="BN179" i="4"/>
  <c r="BK179" i="4"/>
  <c r="BJ179" i="4"/>
  <c r="BI179" i="4"/>
  <c r="BH179" i="4"/>
  <c r="BG179" i="4"/>
  <c r="BF179" i="4"/>
  <c r="BA179" i="4"/>
  <c r="AZ179" i="4"/>
  <c r="AX179" i="4"/>
  <c r="AW179" i="4"/>
  <c r="AV179" i="4"/>
  <c r="AS179" i="4"/>
  <c r="AV174" i="12" s="1"/>
  <c r="AW174" i="12" s="1"/>
  <c r="AO179" i="4"/>
  <c r="AQ174" i="12" s="1"/>
  <c r="AR174" i="12" s="1"/>
  <c r="AJ179" i="4"/>
  <c r="AE179" i="4"/>
  <c r="AF179" i="4" s="1"/>
  <c r="AD179" i="4"/>
  <c r="AH179" i="4" s="1"/>
  <c r="AC179" i="4"/>
  <c r="AB179" i="4"/>
  <c r="Y179" i="4"/>
  <c r="X179" i="4"/>
  <c r="W179" i="4" s="1"/>
  <c r="S179" i="4"/>
  <c r="R179" i="4"/>
  <c r="P179" i="4"/>
  <c r="G179" i="4"/>
  <c r="B179" i="4"/>
  <c r="C179" i="4" s="1" a="1"/>
  <c r="C179" i="4" s="1"/>
  <c r="A179" i="4"/>
  <c r="BN178" i="4"/>
  <c r="BK178" i="4"/>
  <c r="BJ178" i="4"/>
  <c r="BI178" i="4"/>
  <c r="BH178" i="4"/>
  <c r="BF178" i="4"/>
  <c r="BA178" i="4"/>
  <c r="BG178" i="4" s="1"/>
  <c r="AZ178" i="4"/>
  <c r="AX178" i="4"/>
  <c r="AW178" i="4"/>
  <c r="AY178" i="4" s="1"/>
  <c r="AV178" i="4"/>
  <c r="AS178" i="4"/>
  <c r="AV173" i="12" s="1"/>
  <c r="AW173" i="12" s="1"/>
  <c r="AO178" i="4"/>
  <c r="AQ173" i="12" s="1"/>
  <c r="AR173" i="12" s="1"/>
  <c r="AJ178" i="4"/>
  <c r="AF178" i="4"/>
  <c r="AE178" i="4"/>
  <c r="AD178" i="4"/>
  <c r="AC178" i="4"/>
  <c r="AH178" i="4" s="1"/>
  <c r="AB178" i="4"/>
  <c r="Y178" i="4"/>
  <c r="X178" i="4"/>
  <c r="W178" i="4"/>
  <c r="S178" i="4"/>
  <c r="R178" i="4"/>
  <c r="K178" i="4"/>
  <c r="G178" i="4"/>
  <c r="B178" i="4"/>
  <c r="C178" i="4" s="1" a="1"/>
  <c r="C178" i="4" s="1"/>
  <c r="A178" i="4"/>
  <c r="BN177" i="4"/>
  <c r="BK177" i="4"/>
  <c r="BJ177" i="4"/>
  <c r="BI177" i="4"/>
  <c r="BH177" i="4"/>
  <c r="BF177" i="4"/>
  <c r="BA177" i="4"/>
  <c r="BG177" i="4" s="1"/>
  <c r="AZ177" i="4"/>
  <c r="AX177" i="4"/>
  <c r="AW177" i="4"/>
  <c r="AY177" i="4" s="1"/>
  <c r="AV177" i="4"/>
  <c r="AS177" i="4"/>
  <c r="AV172" i="12" s="1"/>
  <c r="AW172" i="12" s="1"/>
  <c r="AJ177" i="4"/>
  <c r="AO177" i="4" s="1"/>
  <c r="AQ172" i="12" s="1"/>
  <c r="AR172" i="12" s="1"/>
  <c r="AG177" i="4"/>
  <c r="AE177" i="4"/>
  <c r="AD177" i="4"/>
  <c r="AH177" i="4" s="1"/>
  <c r="AC177" i="4"/>
  <c r="AB177" i="4"/>
  <c r="AF177" i="4" s="1"/>
  <c r="Y177" i="4"/>
  <c r="X177" i="4"/>
  <c r="W177" i="4"/>
  <c r="S177" i="4"/>
  <c r="R177" i="4"/>
  <c r="Q177" i="4"/>
  <c r="G177" i="4"/>
  <c r="C177" i="4" a="1"/>
  <c r="C177" i="4"/>
  <c r="B177" i="4"/>
  <c r="A177" i="4"/>
  <c r="BN176" i="4"/>
  <c r="BK176" i="4"/>
  <c r="BJ176" i="4"/>
  <c r="BI176" i="4"/>
  <c r="BH176" i="4"/>
  <c r="BG176" i="4"/>
  <c r="BA176" i="4"/>
  <c r="AZ176" i="4"/>
  <c r="BF176" i="4" s="1"/>
  <c r="AY176" i="4"/>
  <c r="AX176" i="4"/>
  <c r="AW176" i="4"/>
  <c r="AV176" i="4"/>
  <c r="AS176" i="4"/>
  <c r="AV171" i="12" s="1"/>
  <c r="AW171" i="12" s="1"/>
  <c r="AO176" i="4"/>
  <c r="AQ171" i="12" s="1"/>
  <c r="AR171" i="12" s="1"/>
  <c r="AJ176" i="4"/>
  <c r="AE176" i="4"/>
  <c r="AD176" i="4"/>
  <c r="AC176" i="4"/>
  <c r="AH176" i="4" s="1"/>
  <c r="AB176" i="4"/>
  <c r="AI176" i="4" s="1"/>
  <c r="Y176" i="4"/>
  <c r="X176" i="4"/>
  <c r="T176" i="4"/>
  <c r="S176" i="4"/>
  <c r="R176" i="4"/>
  <c r="Q176" i="4"/>
  <c r="P176" i="4"/>
  <c r="K176" i="4"/>
  <c r="J176" i="4"/>
  <c r="G176" i="4"/>
  <c r="O176" i="4" s="1"/>
  <c r="C176" i="4"/>
  <c r="B176" i="4"/>
  <c r="C176" i="4" s="1" a="1"/>
  <c r="A176" i="4"/>
  <c r="BN175" i="4"/>
  <c r="BK175" i="4"/>
  <c r="BJ175" i="4"/>
  <c r="BI175" i="4"/>
  <c r="BH175" i="4"/>
  <c r="BG175" i="4"/>
  <c r="BF175" i="4"/>
  <c r="BA175" i="4"/>
  <c r="AZ175" i="4"/>
  <c r="AX175" i="4"/>
  <c r="AW175" i="4"/>
  <c r="AY175" i="4" s="1"/>
  <c r="AV175" i="4"/>
  <c r="AS175" i="4"/>
  <c r="AV170" i="12" s="1"/>
  <c r="AW170" i="12" s="1"/>
  <c r="AJ175" i="4"/>
  <c r="AO175" i="4" s="1"/>
  <c r="AQ170" i="12" s="1"/>
  <c r="AR170" i="12" s="1"/>
  <c r="AF175" i="4"/>
  <c r="AE175" i="4"/>
  <c r="AD175" i="4"/>
  <c r="AH175" i="4" s="1"/>
  <c r="AC175" i="4"/>
  <c r="AG175" i="4" s="1"/>
  <c r="AB175" i="4"/>
  <c r="Y175" i="4"/>
  <c r="X175" i="4"/>
  <c r="W175" i="4" s="1"/>
  <c r="S175" i="4"/>
  <c r="R175" i="4"/>
  <c r="O175" i="4"/>
  <c r="K175" i="4"/>
  <c r="J175" i="4"/>
  <c r="G175" i="4"/>
  <c r="B175" i="4"/>
  <c r="C175" i="4" s="1" a="1"/>
  <c r="C175" i="4" s="1"/>
  <c r="A175" i="4"/>
  <c r="BN174" i="4"/>
  <c r="BK174" i="4"/>
  <c r="BJ174" i="4"/>
  <c r="BI174" i="4"/>
  <c r="BH174" i="4"/>
  <c r="BF174" i="4"/>
  <c r="BA174" i="4"/>
  <c r="BG174" i="4" s="1"/>
  <c r="AZ174" i="4"/>
  <c r="AX174" i="4"/>
  <c r="AW174" i="4"/>
  <c r="AV174" i="4"/>
  <c r="AS174" i="4"/>
  <c r="AV169" i="12" s="1"/>
  <c r="AW169" i="12" s="1"/>
  <c r="AJ174" i="4"/>
  <c r="AO174" i="4" s="1"/>
  <c r="AQ169" i="12" s="1"/>
  <c r="AR169" i="12" s="1"/>
  <c r="AI174" i="4"/>
  <c r="AH174" i="4"/>
  <c r="AF174" i="4"/>
  <c r="AE174" i="4"/>
  <c r="AG174" i="4" s="1"/>
  <c r="AD174" i="4"/>
  <c r="AC174" i="4"/>
  <c r="AB174" i="4"/>
  <c r="Y174" i="4"/>
  <c r="X174" i="4"/>
  <c r="W174" i="4" s="1"/>
  <c r="S174" i="4"/>
  <c r="R174" i="4"/>
  <c r="Q174" i="4"/>
  <c r="G174" i="4"/>
  <c r="C174" i="4" a="1"/>
  <c r="C174" i="4"/>
  <c r="B174" i="4"/>
  <c r="A174" i="4"/>
  <c r="BN173" i="4"/>
  <c r="BK173" i="4"/>
  <c r="BJ173" i="4"/>
  <c r="BI173" i="4"/>
  <c r="BH173" i="4"/>
  <c r="BG173" i="4"/>
  <c r="BA173" i="4"/>
  <c r="AZ173" i="4"/>
  <c r="BF173" i="4" s="1"/>
  <c r="AX173" i="4"/>
  <c r="AW173" i="4"/>
  <c r="AY173" i="4" s="1"/>
  <c r="AV173" i="4"/>
  <c r="AS173" i="4"/>
  <c r="AV168" i="12" s="1"/>
  <c r="AW168" i="12" s="1"/>
  <c r="AJ173" i="4"/>
  <c r="AO173" i="4" s="1"/>
  <c r="AQ168" i="12" s="1"/>
  <c r="AR168" i="12" s="1"/>
  <c r="AI173" i="4"/>
  <c r="AF173" i="4"/>
  <c r="AE173" i="4"/>
  <c r="AD173" i="4"/>
  <c r="AH173" i="4" s="1"/>
  <c r="AC173" i="4"/>
  <c r="AG173" i="4" s="1"/>
  <c r="AB173" i="4"/>
  <c r="Y173" i="4"/>
  <c r="X173" i="4"/>
  <c r="W173" i="4"/>
  <c r="S173" i="4"/>
  <c r="R173" i="4"/>
  <c r="Q173" i="4"/>
  <c r="P173" i="4"/>
  <c r="K173" i="4"/>
  <c r="G173" i="4"/>
  <c r="C173" i="4" a="1"/>
  <c r="C173" i="4"/>
  <c r="B173" i="4"/>
  <c r="A173" i="4"/>
  <c r="BN172" i="4"/>
  <c r="BK172" i="4"/>
  <c r="BJ172" i="4"/>
  <c r="BI172" i="4"/>
  <c r="BH172" i="4"/>
  <c r="BG172" i="4"/>
  <c r="BF172" i="4"/>
  <c r="BA172" i="4"/>
  <c r="AZ172" i="4"/>
  <c r="AX172" i="4"/>
  <c r="AW172" i="4"/>
  <c r="AY172" i="4" s="1"/>
  <c r="AV172" i="4"/>
  <c r="AS172" i="4"/>
  <c r="AV167" i="12" s="1"/>
  <c r="AW167" i="12" s="1"/>
  <c r="AJ172" i="4"/>
  <c r="AO172" i="4" s="1"/>
  <c r="AQ167" i="12" s="1"/>
  <c r="AR167" i="12" s="1"/>
  <c r="AE172" i="4"/>
  <c r="AF172" i="4" s="1"/>
  <c r="AD172" i="4"/>
  <c r="AC172" i="4"/>
  <c r="AB172" i="4"/>
  <c r="Y172" i="4"/>
  <c r="X172" i="4"/>
  <c r="W172" i="4"/>
  <c r="S172" i="4"/>
  <c r="R172" i="4"/>
  <c r="O172" i="4"/>
  <c r="K172" i="4"/>
  <c r="G172" i="4"/>
  <c r="C172" i="4" a="1"/>
  <c r="C172" i="4"/>
  <c r="B172" i="4"/>
  <c r="A172" i="4"/>
  <c r="BN171" i="4"/>
  <c r="BK171" i="4"/>
  <c r="BJ171" i="4"/>
  <c r="BI171" i="4"/>
  <c r="BH171" i="4"/>
  <c r="BG171" i="4"/>
  <c r="BF171" i="4"/>
  <c r="BA171" i="4"/>
  <c r="AZ171" i="4"/>
  <c r="AX171" i="4"/>
  <c r="AW171" i="4"/>
  <c r="AY171" i="4" s="1"/>
  <c r="AV171" i="4"/>
  <c r="AS171" i="4"/>
  <c r="AV166" i="12" s="1"/>
  <c r="AW166" i="12" s="1"/>
  <c r="AJ171" i="4"/>
  <c r="AO171" i="4" s="1"/>
  <c r="AQ166" i="12" s="1"/>
  <c r="AR166" i="12" s="1"/>
  <c r="AF171" i="4"/>
  <c r="AE171" i="4"/>
  <c r="AD171" i="4"/>
  <c r="AH171" i="4" s="1"/>
  <c r="AC171" i="4"/>
  <c r="AG171" i="4" s="1"/>
  <c r="AB171" i="4"/>
  <c r="Y171" i="4"/>
  <c r="W171" i="4" s="1"/>
  <c r="X171" i="4"/>
  <c r="T171" i="4"/>
  <c r="S171" i="4"/>
  <c r="R171" i="4"/>
  <c r="Q171" i="4"/>
  <c r="P171" i="4"/>
  <c r="O171" i="4"/>
  <c r="K171" i="4"/>
  <c r="J171" i="4"/>
  <c r="G171" i="4"/>
  <c r="AI171" i="4" s="1"/>
  <c r="C171" i="4" a="1"/>
  <c r="C171" i="4" s="1"/>
  <c r="B171" i="4"/>
  <c r="A171" i="4"/>
  <c r="BN170" i="4"/>
  <c r="BK170" i="4"/>
  <c r="BJ170" i="4"/>
  <c r="BI170" i="4"/>
  <c r="BH170" i="4"/>
  <c r="BG170" i="4"/>
  <c r="BA170" i="4"/>
  <c r="AZ170" i="4"/>
  <c r="BF170" i="4" s="1"/>
  <c r="AY170" i="4"/>
  <c r="AX170" i="4"/>
  <c r="AW170" i="4"/>
  <c r="AV170" i="4"/>
  <c r="AS170" i="4"/>
  <c r="AV165" i="12" s="1"/>
  <c r="AW165" i="12" s="1"/>
  <c r="AJ170" i="4"/>
  <c r="AO170" i="4" s="1"/>
  <c r="AQ165" i="12" s="1"/>
  <c r="AR165" i="12" s="1"/>
  <c r="AH170" i="4"/>
  <c r="AG170" i="4"/>
  <c r="AE170" i="4"/>
  <c r="AF170" i="4" s="1"/>
  <c r="AD170" i="4"/>
  <c r="AC170" i="4"/>
  <c r="AB170" i="4"/>
  <c r="AI170" i="4" s="1"/>
  <c r="Y170" i="4"/>
  <c r="X170" i="4"/>
  <c r="T170" i="4"/>
  <c r="S170" i="4"/>
  <c r="R170" i="4"/>
  <c r="Q170" i="4"/>
  <c r="P170" i="4"/>
  <c r="O170" i="4"/>
  <c r="K170" i="4"/>
  <c r="J170" i="4"/>
  <c r="G170" i="4"/>
  <c r="C170" i="4" a="1"/>
  <c r="C170" i="4" s="1"/>
  <c r="B170" i="4"/>
  <c r="A170" i="4"/>
  <c r="BN169" i="4"/>
  <c r="BK169" i="4"/>
  <c r="BJ169" i="4"/>
  <c r="BI169" i="4"/>
  <c r="BH169" i="4"/>
  <c r="BG169" i="4"/>
  <c r="BA169" i="4"/>
  <c r="AZ169" i="4"/>
  <c r="BF169" i="4" s="1"/>
  <c r="AY169" i="4"/>
  <c r="AX169" i="4"/>
  <c r="AW169" i="4"/>
  <c r="AV169" i="4"/>
  <c r="AS169" i="4"/>
  <c r="AV164" i="12" s="1"/>
  <c r="AW164" i="12" s="1"/>
  <c r="AJ169" i="4"/>
  <c r="AO169" i="4" s="1"/>
  <c r="AQ164" i="12" s="1"/>
  <c r="AR164" i="12" s="1"/>
  <c r="AI169" i="4"/>
  <c r="AH169" i="4"/>
  <c r="AF169" i="4"/>
  <c r="AE169" i="4"/>
  <c r="AD169" i="4"/>
  <c r="AC169" i="4"/>
  <c r="AB169" i="4"/>
  <c r="Y169" i="4"/>
  <c r="X169" i="4"/>
  <c r="S169" i="4"/>
  <c r="R169" i="4"/>
  <c r="O169" i="4"/>
  <c r="G169" i="4"/>
  <c r="B169" i="4"/>
  <c r="C169" i="4" s="1" a="1"/>
  <c r="C169" i="4" s="1"/>
  <c r="A169" i="4"/>
  <c r="BN168" i="4"/>
  <c r="BK168" i="4"/>
  <c r="BJ168" i="4"/>
  <c r="BI168" i="4"/>
  <c r="BH168" i="4"/>
  <c r="BG168" i="4"/>
  <c r="BF168" i="4"/>
  <c r="BA168" i="4"/>
  <c r="AZ168" i="4"/>
  <c r="AY168" i="4"/>
  <c r="AX168" i="4"/>
  <c r="AW168" i="4"/>
  <c r="AV168" i="4"/>
  <c r="AS168" i="4"/>
  <c r="AV163" i="12" s="1"/>
  <c r="AW163" i="12" s="1"/>
  <c r="AJ168" i="4"/>
  <c r="AO168" i="4" s="1"/>
  <c r="AQ163" i="12" s="1"/>
  <c r="AR163" i="12" s="1"/>
  <c r="AG168" i="4"/>
  <c r="AE168" i="4"/>
  <c r="AD168" i="4"/>
  <c r="AC168" i="4"/>
  <c r="AH168" i="4" s="1"/>
  <c r="AB168" i="4"/>
  <c r="AF168" i="4" s="1"/>
  <c r="Y168" i="4"/>
  <c r="X168" i="4"/>
  <c r="W168" i="4"/>
  <c r="S168" i="4"/>
  <c r="R168" i="4"/>
  <c r="O168" i="4"/>
  <c r="G168" i="4"/>
  <c r="B168" i="4"/>
  <c r="C168" i="4" s="1" a="1"/>
  <c r="C168" i="4" s="1"/>
  <c r="A168" i="4"/>
  <c r="BN167" i="4"/>
  <c r="BK167" i="4"/>
  <c r="BJ167" i="4"/>
  <c r="BI167" i="4"/>
  <c r="BH167" i="4"/>
  <c r="BG167" i="4"/>
  <c r="BF167" i="4"/>
  <c r="BA167" i="4"/>
  <c r="AZ167" i="4"/>
  <c r="AY167" i="4"/>
  <c r="AX167" i="4"/>
  <c r="AW167" i="4"/>
  <c r="AV167" i="4"/>
  <c r="AS167" i="4"/>
  <c r="AV162" i="12" s="1"/>
  <c r="AW162" i="12" s="1"/>
  <c r="AJ167" i="4"/>
  <c r="AO167" i="4" s="1"/>
  <c r="AQ162" i="12" s="1"/>
  <c r="AR162" i="12" s="1"/>
  <c r="AG167" i="4"/>
  <c r="AF167" i="4"/>
  <c r="AE167" i="4"/>
  <c r="AD167" i="4"/>
  <c r="AH167" i="4" s="1"/>
  <c r="AC167" i="4"/>
  <c r="AB167" i="4"/>
  <c r="Y167" i="4"/>
  <c r="X167" i="4"/>
  <c r="W167" i="4"/>
  <c r="S167" i="4"/>
  <c r="R167" i="4"/>
  <c r="P167" i="4"/>
  <c r="G167" i="4"/>
  <c r="B167" i="4"/>
  <c r="C167" i="4" s="1" a="1"/>
  <c r="C167" i="4" s="1"/>
  <c r="A167" i="4"/>
  <c r="BN166" i="4"/>
  <c r="BK166" i="4"/>
  <c r="BJ166" i="4"/>
  <c r="BI166" i="4"/>
  <c r="BH166" i="4"/>
  <c r="BA166" i="4"/>
  <c r="BG166" i="4" s="1"/>
  <c r="AZ166" i="4"/>
  <c r="BF166" i="4" s="1"/>
  <c r="AY166" i="4"/>
  <c r="AX166" i="4"/>
  <c r="AW166" i="4"/>
  <c r="AV166" i="4"/>
  <c r="AS166" i="4"/>
  <c r="AV161" i="12" s="1"/>
  <c r="AW161" i="12" s="1"/>
  <c r="AO166" i="4"/>
  <c r="AQ161" i="12" s="1"/>
  <c r="AR161" i="12" s="1"/>
  <c r="AJ166" i="4"/>
  <c r="AH166" i="4"/>
  <c r="AG166" i="4"/>
  <c r="AF166" i="4"/>
  <c r="AE166" i="4"/>
  <c r="AD166" i="4"/>
  <c r="AC166" i="4"/>
  <c r="AB166" i="4"/>
  <c r="AI166" i="4" s="1"/>
  <c r="Y166" i="4"/>
  <c r="X166" i="4"/>
  <c r="W166" i="4"/>
  <c r="T166" i="4"/>
  <c r="S166" i="4"/>
  <c r="R166" i="4"/>
  <c r="Q166" i="4"/>
  <c r="P166" i="4"/>
  <c r="J166" i="4"/>
  <c r="G166" i="4"/>
  <c r="B166" i="4"/>
  <c r="C166" i="4" s="1" a="1"/>
  <c r="C166" i="4" s="1"/>
  <c r="A166" i="4"/>
  <c r="BN165" i="4"/>
  <c r="BK165" i="4"/>
  <c r="BJ165" i="4"/>
  <c r="BI165" i="4"/>
  <c r="BH165" i="4"/>
  <c r="BA165" i="4"/>
  <c r="BG165" i="4" s="1"/>
  <c r="AZ165" i="4"/>
  <c r="BF165" i="4" s="1"/>
  <c r="AX165" i="4"/>
  <c r="AW165" i="4"/>
  <c r="AY165" i="4" s="1"/>
  <c r="AV165" i="4"/>
  <c r="AS165" i="4"/>
  <c r="AV160" i="12" s="1"/>
  <c r="AW160" i="12" s="1"/>
  <c r="AO165" i="4"/>
  <c r="AQ160" i="12" s="1"/>
  <c r="AR160" i="12" s="1"/>
  <c r="AJ165" i="4"/>
  <c r="AE165" i="4"/>
  <c r="AD165" i="4"/>
  <c r="AH165" i="4" s="1"/>
  <c r="AC165" i="4"/>
  <c r="AG165" i="4" s="1"/>
  <c r="AB165" i="4"/>
  <c r="AF165" i="4" s="1"/>
  <c r="Y165" i="4"/>
  <c r="X165" i="4"/>
  <c r="W165" i="4"/>
  <c r="T165" i="4"/>
  <c r="S165" i="4"/>
  <c r="R165" i="4"/>
  <c r="G165" i="4"/>
  <c r="B165" i="4"/>
  <c r="C165" i="4" s="1" a="1"/>
  <c r="C165" i="4" s="1"/>
  <c r="A165" i="4"/>
  <c r="BN164" i="4"/>
  <c r="BK164" i="4"/>
  <c r="BJ164" i="4"/>
  <c r="BI164" i="4"/>
  <c r="BH164" i="4"/>
  <c r="BF164" i="4"/>
  <c r="BA164" i="4"/>
  <c r="BG164" i="4" s="1"/>
  <c r="AZ164" i="4"/>
  <c r="AX164" i="4"/>
  <c r="AW164" i="4"/>
  <c r="AY164" i="4" s="1"/>
  <c r="AV164" i="4"/>
  <c r="AS164" i="4"/>
  <c r="AV159" i="12" s="1"/>
  <c r="AW159" i="12" s="1"/>
  <c r="AJ164" i="4"/>
  <c r="AO164" i="4" s="1"/>
  <c r="AQ159" i="12" s="1"/>
  <c r="AR159" i="12" s="1"/>
  <c r="AH164" i="4"/>
  <c r="AG164" i="4"/>
  <c r="AF164" i="4"/>
  <c r="AE164" i="4"/>
  <c r="AD164" i="4"/>
  <c r="AC164" i="4"/>
  <c r="AB164" i="4"/>
  <c r="Y164" i="4"/>
  <c r="V164" i="4"/>
  <c r="T164" i="4"/>
  <c r="S164" i="4"/>
  <c r="R164" i="4"/>
  <c r="U164" i="4" s="1"/>
  <c r="Q164" i="4"/>
  <c r="P164" i="4"/>
  <c r="K164" i="4"/>
  <c r="J164" i="4"/>
  <c r="G164" i="4"/>
  <c r="B164" i="4"/>
  <c r="C164" i="4" s="1" a="1"/>
  <c r="C164" i="4" s="1"/>
  <c r="A164" i="4"/>
  <c r="BN163" i="4"/>
  <c r="BK163" i="4"/>
  <c r="BJ163" i="4"/>
  <c r="BI163" i="4"/>
  <c r="BH163" i="4"/>
  <c r="BF163" i="4"/>
  <c r="BA163" i="4"/>
  <c r="BG163" i="4" s="1"/>
  <c r="AZ163" i="4"/>
  <c r="AX163" i="4"/>
  <c r="AW163" i="4"/>
  <c r="AY163" i="4" s="1"/>
  <c r="AV163" i="4"/>
  <c r="AS163" i="4"/>
  <c r="AV158" i="12" s="1"/>
  <c r="AW158" i="12" s="1"/>
  <c r="AJ163" i="4"/>
  <c r="AO163" i="4" s="1"/>
  <c r="AQ158" i="12" s="1"/>
  <c r="AR158" i="12" s="1"/>
  <c r="AI163" i="4"/>
  <c r="AE163" i="4"/>
  <c r="AF163" i="4" s="1"/>
  <c r="AD163" i="4"/>
  <c r="AC163" i="4"/>
  <c r="AH163" i="4" s="1"/>
  <c r="AB163" i="4"/>
  <c r="Y163" i="4"/>
  <c r="X163" i="4"/>
  <c r="W163" i="4"/>
  <c r="T163" i="4"/>
  <c r="S163" i="4"/>
  <c r="V163" i="4" s="1"/>
  <c r="R163" i="4"/>
  <c r="U163" i="4" s="1"/>
  <c r="Q163" i="4"/>
  <c r="P163" i="4"/>
  <c r="K163" i="4"/>
  <c r="J163" i="4"/>
  <c r="G163" i="4"/>
  <c r="O163" i="4" s="1"/>
  <c r="C163" i="4" a="1"/>
  <c r="C163" i="4"/>
  <c r="B163" i="4"/>
  <c r="A163" i="4"/>
  <c r="BN162" i="4"/>
  <c r="BK162" i="4"/>
  <c r="BJ162" i="4"/>
  <c r="BI162" i="4"/>
  <c r="BH162" i="4"/>
  <c r="BF162" i="4"/>
  <c r="BA162" i="4"/>
  <c r="BG162" i="4" s="1"/>
  <c r="AZ162" i="4"/>
  <c r="AX162" i="4"/>
  <c r="AW162" i="4"/>
  <c r="AY162" i="4" s="1"/>
  <c r="AV162" i="4"/>
  <c r="AS162" i="4"/>
  <c r="AV157" i="12" s="1"/>
  <c r="AW157" i="12" s="1"/>
  <c r="AO162" i="4"/>
  <c r="AQ157" i="12" s="1"/>
  <c r="AR157" i="12" s="1"/>
  <c r="AJ162" i="4"/>
  <c r="AI162" i="4"/>
  <c r="AF162" i="4"/>
  <c r="AE162" i="4"/>
  <c r="AG162" i="4" s="1"/>
  <c r="AD162" i="4"/>
  <c r="AH162" i="4" s="1"/>
  <c r="AC162" i="4"/>
  <c r="AB162" i="4"/>
  <c r="Y162" i="4"/>
  <c r="X162" i="4"/>
  <c r="W162" i="4" s="1"/>
  <c r="T162" i="4"/>
  <c r="S162" i="4"/>
  <c r="R162" i="4"/>
  <c r="Q162" i="4"/>
  <c r="P162" i="4"/>
  <c r="O162" i="4"/>
  <c r="K162" i="4"/>
  <c r="J162" i="4"/>
  <c r="G162" i="4"/>
  <c r="C162" i="4"/>
  <c r="B162" i="4"/>
  <c r="C162" i="4" s="1" a="1"/>
  <c r="A162" i="4"/>
  <c r="BN161" i="4"/>
  <c r="BK161" i="4"/>
  <c r="BJ161" i="4"/>
  <c r="BI161" i="4"/>
  <c r="BH161" i="4"/>
  <c r="BF161" i="4"/>
  <c r="BA161" i="4"/>
  <c r="BG161" i="4" s="1"/>
  <c r="AZ161" i="4"/>
  <c r="AX161" i="4"/>
  <c r="AW161" i="4"/>
  <c r="AY161" i="4" s="1"/>
  <c r="AV161" i="4"/>
  <c r="AS161" i="4"/>
  <c r="AV156" i="12" s="1"/>
  <c r="AW156" i="12" s="1"/>
  <c r="AJ161" i="4"/>
  <c r="AO161" i="4" s="1"/>
  <c r="AQ156" i="12" s="1"/>
  <c r="AR156" i="12" s="1"/>
  <c r="AI161" i="4"/>
  <c r="AH161" i="4"/>
  <c r="AF161" i="4"/>
  <c r="AE161" i="4"/>
  <c r="AG161" i="4" s="1"/>
  <c r="AD161" i="4"/>
  <c r="AC161" i="4"/>
  <c r="AB161" i="4"/>
  <c r="Y161" i="4"/>
  <c r="X161" i="4"/>
  <c r="W161" i="4"/>
  <c r="T161" i="4"/>
  <c r="S161" i="4"/>
  <c r="R161" i="4"/>
  <c r="Q161" i="4"/>
  <c r="P161" i="4"/>
  <c r="O161" i="4"/>
  <c r="K161" i="4"/>
  <c r="G161" i="4"/>
  <c r="J161" i="4" s="1"/>
  <c r="C161" i="4" a="1"/>
  <c r="C161" i="4" s="1"/>
  <c r="B161" i="4"/>
  <c r="A161" i="4"/>
  <c r="BN160" i="4"/>
  <c r="BK160" i="4"/>
  <c r="BJ160" i="4"/>
  <c r="BI160" i="4"/>
  <c r="BH160" i="4"/>
  <c r="BG160" i="4"/>
  <c r="BF160" i="4"/>
  <c r="BA160" i="4"/>
  <c r="AZ160" i="4"/>
  <c r="AX160" i="4"/>
  <c r="AW160" i="4"/>
  <c r="AY160" i="4" s="1"/>
  <c r="AV160" i="4"/>
  <c r="AS160" i="4"/>
  <c r="AV155" i="12" s="1"/>
  <c r="AW155" i="12" s="1"/>
  <c r="AJ160" i="4"/>
  <c r="AO160" i="4" s="1"/>
  <c r="AQ155" i="12" s="1"/>
  <c r="AR155" i="12" s="1"/>
  <c r="AI160" i="4"/>
  <c r="AH160" i="4"/>
  <c r="AG160" i="4"/>
  <c r="AF160" i="4"/>
  <c r="AE160" i="4"/>
  <c r="AD160" i="4"/>
  <c r="AC160" i="4"/>
  <c r="AB160" i="4"/>
  <c r="Y160" i="4"/>
  <c r="X160" i="4"/>
  <c r="W160" i="4" s="1"/>
  <c r="T160" i="4"/>
  <c r="S160" i="4"/>
  <c r="R160" i="4"/>
  <c r="Q160" i="4"/>
  <c r="P160" i="4"/>
  <c r="O160" i="4"/>
  <c r="G160" i="4"/>
  <c r="J160" i="4" s="1"/>
  <c r="B160" i="4"/>
  <c r="C160" i="4" s="1" a="1"/>
  <c r="C160" i="4" s="1"/>
  <c r="A160" i="4"/>
  <c r="BN159" i="4"/>
  <c r="BK159" i="4"/>
  <c r="BJ159" i="4"/>
  <c r="BI159" i="4"/>
  <c r="BH159" i="4"/>
  <c r="BG159" i="4"/>
  <c r="BA159" i="4"/>
  <c r="AZ159" i="4"/>
  <c r="BF159" i="4" s="1"/>
  <c r="AX159" i="4"/>
  <c r="AW159" i="4"/>
  <c r="AV159" i="4"/>
  <c r="AS159" i="4"/>
  <c r="AV154" i="12" s="1"/>
  <c r="AW154" i="12" s="1"/>
  <c r="AO159" i="4"/>
  <c r="AQ154" i="12" s="1"/>
  <c r="AR154" i="12" s="1"/>
  <c r="AJ159" i="4"/>
  <c r="AI159" i="4"/>
  <c r="AH159" i="4"/>
  <c r="AG159" i="4"/>
  <c r="AF159" i="4"/>
  <c r="AE159" i="4"/>
  <c r="AD159" i="4"/>
  <c r="AC159" i="4"/>
  <c r="AB159" i="4"/>
  <c r="Y159" i="4"/>
  <c r="X159" i="4"/>
  <c r="T159" i="4"/>
  <c r="S159" i="4"/>
  <c r="R159" i="4"/>
  <c r="Q159" i="4"/>
  <c r="P159" i="4"/>
  <c r="K159" i="4"/>
  <c r="G159" i="4"/>
  <c r="O159" i="4" s="1"/>
  <c r="C159" i="4" a="1"/>
  <c r="C159" i="4"/>
  <c r="B159" i="4"/>
  <c r="A159" i="4"/>
  <c r="BN158" i="4"/>
  <c r="BK158" i="4"/>
  <c r="BJ158" i="4"/>
  <c r="BI158" i="4"/>
  <c r="BH158" i="4"/>
  <c r="BG158" i="4"/>
  <c r="BA158" i="4"/>
  <c r="AZ158" i="4"/>
  <c r="BF158" i="4" s="1"/>
  <c r="AX158" i="4"/>
  <c r="AY158" i="4" s="1"/>
  <c r="AW158" i="4"/>
  <c r="AV158" i="4"/>
  <c r="AS158" i="4"/>
  <c r="AV153" i="12" s="1"/>
  <c r="AW153" i="12" s="1"/>
  <c r="AJ158" i="4"/>
  <c r="AO158" i="4" s="1"/>
  <c r="AQ153" i="12" s="1"/>
  <c r="AR153" i="12" s="1"/>
  <c r="AH158" i="4"/>
  <c r="AE158" i="4"/>
  <c r="AF158" i="4" s="1"/>
  <c r="AD158" i="4"/>
  <c r="AC158" i="4"/>
  <c r="AB158" i="4"/>
  <c r="AI158" i="4" s="1"/>
  <c r="Y158" i="4"/>
  <c r="X158" i="4"/>
  <c r="W158" i="4" s="1"/>
  <c r="T158" i="4"/>
  <c r="S158" i="4"/>
  <c r="R158" i="4"/>
  <c r="P158" i="4"/>
  <c r="O158" i="4"/>
  <c r="K158" i="4"/>
  <c r="G158" i="4"/>
  <c r="Q158" i="4" s="1"/>
  <c r="B158" i="4"/>
  <c r="C158" i="4" s="1" a="1"/>
  <c r="C158" i="4" s="1"/>
  <c r="A158" i="4"/>
  <c r="BN157" i="4"/>
  <c r="BK157" i="4"/>
  <c r="BJ157" i="4"/>
  <c r="BI157" i="4"/>
  <c r="BH157" i="4"/>
  <c r="BG157" i="4"/>
  <c r="BA157" i="4"/>
  <c r="AZ157" i="4"/>
  <c r="BF157" i="4" s="1"/>
  <c r="AX157" i="4"/>
  <c r="AW157" i="4"/>
  <c r="AY157" i="4" s="1"/>
  <c r="AV157" i="4"/>
  <c r="AS157" i="4"/>
  <c r="AV152" i="12" s="1"/>
  <c r="AW152" i="12" s="1"/>
  <c r="AO157" i="4"/>
  <c r="AQ152" i="12" s="1"/>
  <c r="AR152" i="12" s="1"/>
  <c r="AJ157" i="4"/>
  <c r="AH157" i="4"/>
  <c r="AE157" i="4"/>
  <c r="AD157" i="4"/>
  <c r="AC157" i="4"/>
  <c r="AB157" i="4"/>
  <c r="Y157" i="4"/>
  <c r="X157" i="4"/>
  <c r="W157" i="4"/>
  <c r="T157" i="4"/>
  <c r="S157" i="4"/>
  <c r="R157" i="4"/>
  <c r="Q157" i="4"/>
  <c r="P157" i="4"/>
  <c r="O157" i="4"/>
  <c r="G157" i="4"/>
  <c r="AI157" i="4" s="1"/>
  <c r="C157" i="4" a="1"/>
  <c r="C157" i="4"/>
  <c r="B157" i="4"/>
  <c r="A157" i="4"/>
  <c r="BN156" i="4"/>
  <c r="BK156" i="4"/>
  <c r="BJ156" i="4"/>
  <c r="BI156" i="4"/>
  <c r="BH156" i="4"/>
  <c r="BA156" i="4"/>
  <c r="BG156" i="4" s="1"/>
  <c r="AZ156" i="4"/>
  <c r="BF156" i="4" s="1"/>
  <c r="AY156" i="4"/>
  <c r="AX156" i="4"/>
  <c r="AW156" i="4"/>
  <c r="AV156" i="4"/>
  <c r="AS156" i="4"/>
  <c r="AV151" i="12" s="1"/>
  <c r="AW151" i="12" s="1"/>
  <c r="AJ156" i="4"/>
  <c r="AO156" i="4" s="1"/>
  <c r="AQ151" i="12" s="1"/>
  <c r="AR151" i="12" s="1"/>
  <c r="AH156" i="4"/>
  <c r="AG156" i="4"/>
  <c r="AF156" i="4"/>
  <c r="AE156" i="4"/>
  <c r="AD156" i="4"/>
  <c r="AC156" i="4"/>
  <c r="AB156" i="4"/>
  <c r="Y156" i="4"/>
  <c r="X156" i="4"/>
  <c r="W156" i="4" s="1"/>
  <c r="T156" i="4"/>
  <c r="S156" i="4"/>
  <c r="R156" i="4"/>
  <c r="Q156" i="4"/>
  <c r="P156" i="4"/>
  <c r="O156" i="4"/>
  <c r="G156" i="4"/>
  <c r="AI156" i="4" s="1"/>
  <c r="C156" i="4" a="1"/>
  <c r="C156" i="4"/>
  <c r="B156" i="4"/>
  <c r="A156" i="4"/>
  <c r="BN155" i="4"/>
  <c r="BK155" i="4"/>
  <c r="BJ155" i="4"/>
  <c r="BI155" i="4"/>
  <c r="BH155" i="4"/>
  <c r="BA155" i="4"/>
  <c r="BG155" i="4" s="1"/>
  <c r="AZ155" i="4"/>
  <c r="BF155" i="4" s="1"/>
  <c r="AX155" i="4"/>
  <c r="AY155" i="4" s="1"/>
  <c r="AW155" i="4"/>
  <c r="AV155" i="4"/>
  <c r="AS155" i="4"/>
  <c r="AV150" i="12" s="1"/>
  <c r="AW150" i="12" s="1"/>
  <c r="AO155" i="4"/>
  <c r="AQ150" i="12" s="1"/>
  <c r="AR150" i="12" s="1"/>
  <c r="AJ155" i="4"/>
  <c r="AH155" i="4"/>
  <c r="AG155" i="4"/>
  <c r="AE155" i="4"/>
  <c r="AF155" i="4" s="1"/>
  <c r="AD155" i="4"/>
  <c r="AC155" i="4"/>
  <c r="AB155" i="4"/>
  <c r="Y155" i="4"/>
  <c r="X155" i="4"/>
  <c r="W155" i="4" s="1"/>
  <c r="T155" i="4"/>
  <c r="S155" i="4"/>
  <c r="R155" i="4"/>
  <c r="Q155" i="4"/>
  <c r="G155" i="4"/>
  <c r="B155" i="4"/>
  <c r="C155" i="4" s="1" a="1"/>
  <c r="C155" i="4" s="1"/>
  <c r="A155" i="4"/>
  <c r="BN154" i="4"/>
  <c r="BK154" i="4"/>
  <c r="BJ154" i="4"/>
  <c r="BI154" i="4"/>
  <c r="BH154" i="4"/>
  <c r="BA154" i="4"/>
  <c r="BG154" i="4" s="1"/>
  <c r="AZ154" i="4"/>
  <c r="BF154" i="4" s="1"/>
  <c r="AY154" i="4"/>
  <c r="AX154" i="4"/>
  <c r="AW154" i="4"/>
  <c r="AV154" i="4"/>
  <c r="AS154" i="4"/>
  <c r="AV149" i="12" s="1"/>
  <c r="AW149" i="12" s="1"/>
  <c r="AO154" i="4"/>
  <c r="AQ149" i="12" s="1"/>
  <c r="AR149" i="12" s="1"/>
  <c r="AJ154" i="4"/>
  <c r="AE154" i="4"/>
  <c r="AD154" i="4"/>
  <c r="AC154" i="4"/>
  <c r="AH154" i="4" s="1"/>
  <c r="AB154" i="4"/>
  <c r="AI154" i="4" s="1"/>
  <c r="Y154" i="4"/>
  <c r="X154" i="4"/>
  <c r="W154" i="4" s="1"/>
  <c r="S154" i="4"/>
  <c r="R154" i="4"/>
  <c r="Q154" i="4"/>
  <c r="J154" i="4"/>
  <c r="G154" i="4"/>
  <c r="B154" i="4"/>
  <c r="C154" i="4" s="1" a="1"/>
  <c r="C154" i="4" s="1"/>
  <c r="A154" i="4"/>
  <c r="BN153" i="4"/>
  <c r="BK153" i="4"/>
  <c r="BJ153" i="4"/>
  <c r="BI153" i="4"/>
  <c r="BH153" i="4"/>
  <c r="BF153" i="4"/>
  <c r="BA153" i="4"/>
  <c r="BG153" i="4" s="1"/>
  <c r="AZ153" i="4"/>
  <c r="AX153" i="4"/>
  <c r="AW153" i="4"/>
  <c r="AY153" i="4" s="1"/>
  <c r="AV153" i="4"/>
  <c r="AS153" i="4"/>
  <c r="AV148" i="12" s="1"/>
  <c r="AW148" i="12" s="1"/>
  <c r="AJ153" i="4"/>
  <c r="AO153" i="4" s="1"/>
  <c r="AQ148" i="12" s="1"/>
  <c r="AR148" i="12" s="1"/>
  <c r="AI153" i="4"/>
  <c r="AE153" i="4"/>
  <c r="AG153" i="4" s="1"/>
  <c r="AD153" i="4"/>
  <c r="AH153" i="4" s="1"/>
  <c r="AC153" i="4"/>
  <c r="AB153" i="4"/>
  <c r="Y153" i="4"/>
  <c r="X153" i="4"/>
  <c r="W153" i="4" s="1"/>
  <c r="S153" i="4"/>
  <c r="R153" i="4"/>
  <c r="G153" i="4"/>
  <c r="K153" i="4" s="1"/>
  <c r="B153" i="4"/>
  <c r="C153" i="4" s="1" a="1"/>
  <c r="C153" i="4" s="1"/>
  <c r="A153" i="4"/>
  <c r="BN152" i="4"/>
  <c r="BK152" i="4"/>
  <c r="BJ152" i="4"/>
  <c r="BI152" i="4"/>
  <c r="BH152" i="4"/>
  <c r="BA152" i="4"/>
  <c r="BG152" i="4" s="1"/>
  <c r="AZ152" i="4"/>
  <c r="BF152" i="4" s="1"/>
  <c r="AX152" i="4"/>
  <c r="AY152" i="4" s="1"/>
  <c r="AW152" i="4"/>
  <c r="AV152" i="4"/>
  <c r="AS152" i="4"/>
  <c r="AV147" i="12" s="1"/>
  <c r="AW147" i="12" s="1"/>
  <c r="AJ152" i="4"/>
  <c r="AO152" i="4" s="1"/>
  <c r="AQ147" i="12" s="1"/>
  <c r="AR147" i="12" s="1"/>
  <c r="AE152" i="4"/>
  <c r="AD152" i="4"/>
  <c r="AC152" i="4"/>
  <c r="AG152" i="4" s="1"/>
  <c r="AB152" i="4"/>
  <c r="AF152" i="4" s="1"/>
  <c r="Y152" i="4"/>
  <c r="X152" i="4"/>
  <c r="W152" i="4" s="1"/>
  <c r="S152" i="4"/>
  <c r="R152" i="4"/>
  <c r="J152" i="4"/>
  <c r="G152" i="4"/>
  <c r="AI152" i="4" s="1"/>
  <c r="C152" i="4" a="1"/>
  <c r="C152" i="4" s="1"/>
  <c r="B152" i="4"/>
  <c r="A152" i="4"/>
  <c r="BN151" i="4"/>
  <c r="BK151" i="4"/>
  <c r="BJ151" i="4"/>
  <c r="BI151" i="4"/>
  <c r="BH151" i="4"/>
  <c r="BA151" i="4"/>
  <c r="BG151" i="4" s="1"/>
  <c r="AZ151" i="4"/>
  <c r="BF151" i="4" s="1"/>
  <c r="AX151" i="4"/>
  <c r="AW151" i="4"/>
  <c r="AY151" i="4" s="1"/>
  <c r="AV151" i="4"/>
  <c r="AS151" i="4"/>
  <c r="AV146" i="12" s="1"/>
  <c r="AW146" i="12" s="1"/>
  <c r="AJ151" i="4"/>
  <c r="AO151" i="4" s="1"/>
  <c r="AQ146" i="12" s="1"/>
  <c r="AR146" i="12" s="1"/>
  <c r="AE151" i="4"/>
  <c r="AF151" i="4" s="1"/>
  <c r="AD151" i="4"/>
  <c r="AC151" i="4"/>
  <c r="AG151" i="4" s="1"/>
  <c r="AB151" i="4"/>
  <c r="Y151" i="4"/>
  <c r="X151" i="4"/>
  <c r="W151" i="4" s="1"/>
  <c r="S151" i="4"/>
  <c r="R151" i="4"/>
  <c r="J151" i="4"/>
  <c r="G151" i="4"/>
  <c r="C151" i="4"/>
  <c r="B151" i="4"/>
  <c r="C151" i="4" s="1" a="1"/>
  <c r="A151" i="4"/>
  <c r="BN150" i="4"/>
  <c r="BK150" i="4"/>
  <c r="BJ150" i="4"/>
  <c r="BI150" i="4"/>
  <c r="BH150" i="4"/>
  <c r="BA150" i="4"/>
  <c r="BG150" i="4" s="1"/>
  <c r="AZ150" i="4"/>
  <c r="BF150" i="4" s="1"/>
  <c r="AY150" i="4"/>
  <c r="AX150" i="4"/>
  <c r="AW150" i="4"/>
  <c r="AV150" i="4"/>
  <c r="AS150" i="4"/>
  <c r="AV145" i="12" s="1"/>
  <c r="AW145" i="12" s="1"/>
  <c r="AJ150" i="4"/>
  <c r="AO150" i="4" s="1"/>
  <c r="AQ145" i="12" s="1"/>
  <c r="AR145" i="12" s="1"/>
  <c r="AE150" i="4"/>
  <c r="AD150" i="4"/>
  <c r="AH150" i="4" s="1"/>
  <c r="AC150" i="4"/>
  <c r="AG150" i="4" s="1"/>
  <c r="AB150" i="4"/>
  <c r="Y150" i="4"/>
  <c r="X150" i="4"/>
  <c r="W150" i="4" s="1"/>
  <c r="T150" i="4"/>
  <c r="S150" i="4"/>
  <c r="R150" i="4"/>
  <c r="K150" i="4"/>
  <c r="J150" i="4"/>
  <c r="G150" i="4"/>
  <c r="C150" i="4" a="1"/>
  <c r="C150" i="4" s="1"/>
  <c r="B150" i="4"/>
  <c r="A150" i="4"/>
  <c r="BN149" i="4"/>
  <c r="BK149" i="4"/>
  <c r="BJ149" i="4"/>
  <c r="BI149" i="4"/>
  <c r="BH149" i="4"/>
  <c r="BG149" i="4"/>
  <c r="BF149" i="4"/>
  <c r="BA149" i="4"/>
  <c r="AZ149" i="4"/>
  <c r="AX149" i="4"/>
  <c r="AY149" i="4" s="1"/>
  <c r="AW149" i="4"/>
  <c r="AV149" i="4"/>
  <c r="AS149" i="4"/>
  <c r="AV144" i="12" s="1"/>
  <c r="AW144" i="12" s="1"/>
  <c r="AJ149" i="4"/>
  <c r="AO149" i="4" s="1"/>
  <c r="AQ144" i="12" s="1"/>
  <c r="AR144" i="12" s="1"/>
  <c r="AI149" i="4"/>
  <c r="AE149" i="4"/>
  <c r="AF149" i="4" s="1"/>
  <c r="AD149" i="4"/>
  <c r="AH149" i="4" s="1"/>
  <c r="AC149" i="4"/>
  <c r="AB149" i="4"/>
  <c r="Y149" i="4"/>
  <c r="X149" i="4"/>
  <c r="W149" i="4"/>
  <c r="T149" i="4"/>
  <c r="S149" i="4"/>
  <c r="R149" i="4"/>
  <c r="O149" i="4"/>
  <c r="K149" i="4"/>
  <c r="J149" i="4"/>
  <c r="G149" i="4"/>
  <c r="C149" i="4" a="1"/>
  <c r="C149" i="4" s="1"/>
  <c r="B149" i="4"/>
  <c r="A149" i="4"/>
  <c r="BN148" i="4"/>
  <c r="BK148" i="4"/>
  <c r="BJ148" i="4"/>
  <c r="BI148" i="4"/>
  <c r="BH148" i="4"/>
  <c r="BG148" i="4"/>
  <c r="BA148" i="4"/>
  <c r="AZ148" i="4"/>
  <c r="BF148" i="4" s="1"/>
  <c r="AY148" i="4"/>
  <c r="AX148" i="4"/>
  <c r="AW148" i="4"/>
  <c r="AV148" i="4"/>
  <c r="AS148" i="4"/>
  <c r="AV143" i="12" s="1"/>
  <c r="AW143" i="12" s="1"/>
  <c r="AJ148" i="4"/>
  <c r="AO148" i="4" s="1"/>
  <c r="AQ143" i="12" s="1"/>
  <c r="AR143" i="12" s="1"/>
  <c r="AF148" i="4"/>
  <c r="AE148" i="4"/>
  <c r="AD148" i="4"/>
  <c r="AC148" i="4"/>
  <c r="AG148" i="4" s="1"/>
  <c r="AB148" i="4"/>
  <c r="Y148" i="4"/>
  <c r="X148" i="4"/>
  <c r="T148" i="4"/>
  <c r="S148" i="4"/>
  <c r="R148" i="4"/>
  <c r="P148" i="4"/>
  <c r="G148" i="4"/>
  <c r="C148" i="4"/>
  <c r="B148" i="4"/>
  <c r="C148" i="4" s="1" a="1"/>
  <c r="A148" i="4"/>
  <c r="BN147" i="4"/>
  <c r="BK147" i="4"/>
  <c r="BJ147" i="4"/>
  <c r="BI147" i="4"/>
  <c r="BH147" i="4"/>
  <c r="BG147" i="4"/>
  <c r="BA147" i="4"/>
  <c r="AZ147" i="4"/>
  <c r="BF147" i="4" s="1"/>
  <c r="AY147" i="4"/>
  <c r="AX147" i="4"/>
  <c r="AW147" i="4"/>
  <c r="AV147" i="4"/>
  <c r="AS147" i="4"/>
  <c r="AV142" i="12" s="1"/>
  <c r="AW142" i="12" s="1"/>
  <c r="AO147" i="4"/>
  <c r="AQ142" i="12" s="1"/>
  <c r="AR142" i="12" s="1"/>
  <c r="AJ147" i="4"/>
  <c r="AE147" i="4"/>
  <c r="AF147" i="4" s="1"/>
  <c r="AD147" i="4"/>
  <c r="AH147" i="4" s="1"/>
  <c r="AC147" i="4"/>
  <c r="AB147" i="4"/>
  <c r="Y147" i="4"/>
  <c r="X147" i="4"/>
  <c r="W147" i="4" s="1"/>
  <c r="T147" i="4"/>
  <c r="S147" i="4"/>
  <c r="R147" i="4"/>
  <c r="Q147" i="4"/>
  <c r="K147" i="4"/>
  <c r="J147" i="4"/>
  <c r="G147" i="4"/>
  <c r="C147" i="4" a="1"/>
  <c r="C147" i="4" s="1"/>
  <c r="B147" i="4"/>
  <c r="A147" i="4"/>
  <c r="BN146" i="4"/>
  <c r="BK146" i="4"/>
  <c r="BJ146" i="4"/>
  <c r="BI146" i="4"/>
  <c r="BH146" i="4"/>
  <c r="BF146" i="4"/>
  <c r="BA146" i="4"/>
  <c r="BG146" i="4" s="1"/>
  <c r="AZ146" i="4"/>
  <c r="AX146" i="4"/>
  <c r="AY146" i="4" s="1"/>
  <c r="AW146" i="4"/>
  <c r="AV146" i="4"/>
  <c r="AS146" i="4"/>
  <c r="AV141" i="12" s="1"/>
  <c r="AW141" i="12" s="1"/>
  <c r="AO146" i="4"/>
  <c r="AQ141" i="12" s="1"/>
  <c r="AR141" i="12" s="1"/>
  <c r="AJ146" i="4"/>
  <c r="AH146" i="4"/>
  <c r="AG146" i="4"/>
  <c r="AE146" i="4"/>
  <c r="AD146" i="4"/>
  <c r="AC146" i="4"/>
  <c r="AB146" i="4"/>
  <c r="AF146" i="4" s="1"/>
  <c r="Y146" i="4"/>
  <c r="X146" i="4"/>
  <c r="W146" i="4"/>
  <c r="S146" i="4"/>
  <c r="R146" i="4"/>
  <c r="Q146" i="4"/>
  <c r="P146" i="4"/>
  <c r="O146" i="4"/>
  <c r="K146" i="4"/>
  <c r="G146" i="4"/>
  <c r="B146" i="4"/>
  <c r="C146" i="4" s="1" a="1"/>
  <c r="C146" i="4" s="1"/>
  <c r="A146" i="4"/>
  <c r="BN145" i="4"/>
  <c r="BK145" i="4"/>
  <c r="BJ145" i="4"/>
  <c r="BI145" i="4"/>
  <c r="BH145" i="4"/>
  <c r="BG145" i="4"/>
  <c r="BA145" i="4"/>
  <c r="AZ145" i="4"/>
  <c r="BF145" i="4" s="1"/>
  <c r="AX145" i="4"/>
  <c r="AY145" i="4" s="1"/>
  <c r="AW145" i="4"/>
  <c r="AV145" i="4"/>
  <c r="AS145" i="4"/>
  <c r="AV140" i="12" s="1"/>
  <c r="AW140" i="12" s="1"/>
  <c r="AO145" i="4"/>
  <c r="AQ140" i="12" s="1"/>
  <c r="AR140" i="12" s="1"/>
  <c r="AJ145" i="4"/>
  <c r="AH145" i="4"/>
  <c r="AF145" i="4"/>
  <c r="AE145" i="4"/>
  <c r="AD145" i="4"/>
  <c r="AC145" i="4"/>
  <c r="AG145" i="4" s="1"/>
  <c r="AB145" i="4"/>
  <c r="Y145" i="4"/>
  <c r="X145" i="4"/>
  <c r="W145" i="4"/>
  <c r="S145" i="4"/>
  <c r="R145" i="4"/>
  <c r="G145" i="4"/>
  <c r="B145" i="4"/>
  <c r="C145" i="4" s="1" a="1"/>
  <c r="C145" i="4" s="1"/>
  <c r="A145" i="4"/>
  <c r="BN144" i="4"/>
  <c r="BK144" i="4"/>
  <c r="BJ144" i="4"/>
  <c r="BI144" i="4"/>
  <c r="BH144" i="4"/>
  <c r="BA144" i="4"/>
  <c r="BG144" i="4" s="1"/>
  <c r="AZ144" i="4"/>
  <c r="BF144" i="4" s="1"/>
  <c r="AY144" i="4"/>
  <c r="AX144" i="4"/>
  <c r="AW144" i="4"/>
  <c r="AV144" i="4"/>
  <c r="AS144" i="4"/>
  <c r="AV139" i="12" s="1"/>
  <c r="AW139" i="12" s="1"/>
  <c r="AJ144" i="4"/>
  <c r="AO144" i="4" s="1"/>
  <c r="AQ139" i="12" s="1"/>
  <c r="AR139" i="12" s="1"/>
  <c r="AI144" i="4"/>
  <c r="AH144" i="4"/>
  <c r="AE144" i="4"/>
  <c r="AF144" i="4" s="1"/>
  <c r="AD144" i="4"/>
  <c r="AC144" i="4"/>
  <c r="AB144" i="4"/>
  <c r="Y144" i="4"/>
  <c r="W144" i="4" s="1"/>
  <c r="X144" i="4"/>
  <c r="S144" i="4"/>
  <c r="R144" i="4"/>
  <c r="P144" i="4"/>
  <c r="O144" i="4"/>
  <c r="K144" i="4"/>
  <c r="J144" i="4"/>
  <c r="G144" i="4"/>
  <c r="B144" i="4"/>
  <c r="C144" i="4" s="1" a="1"/>
  <c r="C144" i="4" s="1"/>
  <c r="A144" i="4"/>
  <c r="BN143" i="4"/>
  <c r="BK143" i="4"/>
  <c r="BJ143" i="4"/>
  <c r="BI143" i="4"/>
  <c r="BH143" i="4"/>
  <c r="BF143" i="4"/>
  <c r="BA143" i="4"/>
  <c r="BG143" i="4" s="1"/>
  <c r="AZ143" i="4"/>
  <c r="AY143" i="4"/>
  <c r="AX143" i="4"/>
  <c r="AW143" i="4"/>
  <c r="AV143" i="4"/>
  <c r="AS143" i="4"/>
  <c r="AV138" i="12" s="1"/>
  <c r="AW138" i="12" s="1"/>
  <c r="AJ143" i="4"/>
  <c r="AO143" i="4" s="1"/>
  <c r="AQ138" i="12" s="1"/>
  <c r="AR138" i="12" s="1"/>
  <c r="AI143" i="4"/>
  <c r="AH143" i="4"/>
  <c r="AF143" i="4"/>
  <c r="AE143" i="4"/>
  <c r="AD143" i="4"/>
  <c r="AC143" i="4"/>
  <c r="AG143" i="4" s="1"/>
  <c r="AB143" i="4"/>
  <c r="Y143" i="4"/>
  <c r="X143" i="4"/>
  <c r="W143" i="4" s="1"/>
  <c r="S143" i="4"/>
  <c r="R143" i="4"/>
  <c r="Q143" i="4"/>
  <c r="P143" i="4"/>
  <c r="K143" i="4"/>
  <c r="J143" i="4"/>
  <c r="G143" i="4"/>
  <c r="C143" i="4" a="1"/>
  <c r="C143" i="4"/>
  <c r="B143" i="4"/>
  <c r="A143" i="4"/>
  <c r="BN142" i="4"/>
  <c r="BK142" i="4"/>
  <c r="BJ142" i="4"/>
  <c r="BI142" i="4"/>
  <c r="BH142" i="4"/>
  <c r="BF142" i="4"/>
  <c r="BA142" i="4"/>
  <c r="BG142" i="4" s="1"/>
  <c r="AZ142" i="4"/>
  <c r="AX142" i="4"/>
  <c r="AW142" i="4"/>
  <c r="AY142" i="4" s="1"/>
  <c r="AV142" i="4"/>
  <c r="AS142" i="4"/>
  <c r="AV137" i="12" s="1"/>
  <c r="AW137" i="12" s="1"/>
  <c r="AO142" i="4"/>
  <c r="AQ137" i="12" s="1"/>
  <c r="AR137" i="12" s="1"/>
  <c r="AJ142" i="4"/>
  <c r="AE142" i="4"/>
  <c r="AD142" i="4"/>
  <c r="AH142" i="4" s="1"/>
  <c r="AC142" i="4"/>
  <c r="AB142" i="4"/>
  <c r="Y142" i="4"/>
  <c r="X142" i="4"/>
  <c r="W142" i="4" s="1"/>
  <c r="T142" i="4"/>
  <c r="S142" i="4"/>
  <c r="R142" i="4"/>
  <c r="P142" i="4"/>
  <c r="O142" i="4"/>
  <c r="G142" i="4"/>
  <c r="B142" i="4"/>
  <c r="C142" i="4" s="1" a="1"/>
  <c r="C142" i="4" s="1"/>
  <c r="A142" i="4"/>
  <c r="BN141" i="4"/>
  <c r="BK141" i="4"/>
  <c r="BJ141" i="4"/>
  <c r="BI141" i="4"/>
  <c r="BH141" i="4"/>
  <c r="BA141" i="4"/>
  <c r="BG141" i="4" s="1"/>
  <c r="AZ141" i="4"/>
  <c r="BF141" i="4" s="1"/>
  <c r="AY141" i="4"/>
  <c r="AX141" i="4"/>
  <c r="AW141" i="4"/>
  <c r="AV141" i="4"/>
  <c r="AS141" i="4"/>
  <c r="AV136" i="12" s="1"/>
  <c r="AW136" i="12" s="1"/>
  <c r="AJ141" i="4"/>
  <c r="AO141" i="4" s="1"/>
  <c r="AQ136" i="12" s="1"/>
  <c r="AR136" i="12" s="1"/>
  <c r="AI141" i="4"/>
  <c r="AH141" i="4"/>
  <c r="AG141" i="4"/>
  <c r="AE141" i="4"/>
  <c r="AD141" i="4"/>
  <c r="AC141" i="4"/>
  <c r="AB141" i="4"/>
  <c r="AF141" i="4" s="1"/>
  <c r="Y141" i="4"/>
  <c r="X141" i="4"/>
  <c r="W141" i="4"/>
  <c r="S141" i="4"/>
  <c r="R141" i="4"/>
  <c r="Q141" i="4"/>
  <c r="J141" i="4"/>
  <c r="G141" i="4"/>
  <c r="B141" i="4"/>
  <c r="C141" i="4" s="1" a="1"/>
  <c r="C141" i="4" s="1"/>
  <c r="A141" i="4"/>
  <c r="BN140" i="4"/>
  <c r="BK140" i="4"/>
  <c r="BJ140" i="4"/>
  <c r="BI140" i="4"/>
  <c r="BH140" i="4"/>
  <c r="BG140" i="4"/>
  <c r="BF140" i="4"/>
  <c r="BA140" i="4"/>
  <c r="AZ140" i="4"/>
  <c r="AX140" i="4"/>
  <c r="AW140" i="4"/>
  <c r="AV140" i="4"/>
  <c r="AS140" i="4"/>
  <c r="AV135" i="12" s="1"/>
  <c r="AW135" i="12" s="1"/>
  <c r="AO140" i="4"/>
  <c r="AQ135" i="12" s="1"/>
  <c r="AR135" i="12" s="1"/>
  <c r="AJ140" i="4"/>
  <c r="AI140" i="4"/>
  <c r="AF140" i="4"/>
  <c r="AE140" i="4"/>
  <c r="AG140" i="4" s="1"/>
  <c r="AD140" i="4"/>
  <c r="AH140" i="4" s="1"/>
  <c r="AC140" i="4"/>
  <c r="AB140" i="4"/>
  <c r="Y140" i="4"/>
  <c r="X140" i="4"/>
  <c r="W140" i="4" s="1"/>
  <c r="T140" i="4"/>
  <c r="S140" i="4"/>
  <c r="R140" i="4"/>
  <c r="Q140" i="4"/>
  <c r="P140" i="4"/>
  <c r="O140" i="4"/>
  <c r="K140" i="4"/>
  <c r="G140" i="4"/>
  <c r="J140" i="4" s="1"/>
  <c r="C140" i="4" a="1"/>
  <c r="C140" i="4" s="1"/>
  <c r="B140" i="4"/>
  <c r="A140" i="4"/>
  <c r="BN139" i="4"/>
  <c r="BK139" i="4"/>
  <c r="BJ139" i="4"/>
  <c r="BI139" i="4"/>
  <c r="BH139" i="4"/>
  <c r="BG139" i="4"/>
  <c r="BA139" i="4"/>
  <c r="AZ139" i="4"/>
  <c r="BF139" i="4" s="1"/>
  <c r="AX139" i="4"/>
  <c r="AW139" i="4"/>
  <c r="AY139" i="4" s="1"/>
  <c r="AV139" i="4"/>
  <c r="AS139" i="4"/>
  <c r="AV134" i="12" s="1"/>
  <c r="AW134" i="12" s="1"/>
  <c r="AJ139" i="4"/>
  <c r="AO139" i="4" s="1"/>
  <c r="AQ134" i="12" s="1"/>
  <c r="AR134" i="12" s="1"/>
  <c r="AH139" i="4"/>
  <c r="AF139" i="4"/>
  <c r="AE139" i="4"/>
  <c r="AD139" i="4"/>
  <c r="AC139" i="4"/>
  <c r="AG139" i="4" s="1"/>
  <c r="AB139" i="4"/>
  <c r="Y139" i="4"/>
  <c r="X139" i="4"/>
  <c r="W139" i="4" s="1"/>
  <c r="T139" i="4"/>
  <c r="S139" i="4"/>
  <c r="R139" i="4"/>
  <c r="P139" i="4"/>
  <c r="J139" i="4"/>
  <c r="G139" i="4"/>
  <c r="C139" i="4"/>
  <c r="B139" i="4"/>
  <c r="C139" i="4" s="1" a="1"/>
  <c r="A139" i="4"/>
  <c r="BN138" i="4"/>
  <c r="BK138" i="4"/>
  <c r="BJ138" i="4"/>
  <c r="BI138" i="4"/>
  <c r="BH138" i="4"/>
  <c r="BA138" i="4"/>
  <c r="BG138" i="4" s="1"/>
  <c r="AZ138" i="4"/>
  <c r="BF138" i="4" s="1"/>
  <c r="AY138" i="4"/>
  <c r="AX138" i="4"/>
  <c r="AW138" i="4"/>
  <c r="AV138" i="4"/>
  <c r="AS138" i="4"/>
  <c r="AV133" i="12" s="1"/>
  <c r="AW133" i="12" s="1"/>
  <c r="AJ138" i="4"/>
  <c r="AO138" i="4" s="1"/>
  <c r="AQ133" i="12" s="1"/>
  <c r="AR133" i="12" s="1"/>
  <c r="AE138" i="4"/>
  <c r="AD138" i="4"/>
  <c r="AH138" i="4" s="1"/>
  <c r="AC138" i="4"/>
  <c r="AB138" i="4"/>
  <c r="AI138" i="4" s="1"/>
  <c r="Y138" i="4"/>
  <c r="X138" i="4"/>
  <c r="W138" i="4" s="1"/>
  <c r="S138" i="4"/>
  <c r="R138" i="4"/>
  <c r="K138" i="4"/>
  <c r="G138" i="4"/>
  <c r="C138" i="4" a="1"/>
  <c r="C138" i="4" s="1"/>
  <c r="B138" i="4"/>
  <c r="A138" i="4"/>
  <c r="BN137" i="4"/>
  <c r="BK137" i="4"/>
  <c r="BJ137" i="4"/>
  <c r="BI137" i="4"/>
  <c r="BH137" i="4"/>
  <c r="BF137" i="4"/>
  <c r="BA137" i="4"/>
  <c r="BG137" i="4" s="1"/>
  <c r="AZ137" i="4"/>
  <c r="AX137" i="4"/>
  <c r="AW137" i="4"/>
  <c r="AV137" i="4"/>
  <c r="AS137" i="4"/>
  <c r="AV132" i="12" s="1"/>
  <c r="AW132" i="12" s="1"/>
  <c r="AO137" i="4"/>
  <c r="AQ132" i="12" s="1"/>
  <c r="AR132" i="12" s="1"/>
  <c r="AJ137" i="4"/>
  <c r="AG137" i="4"/>
  <c r="AF137" i="4"/>
  <c r="AE137" i="4"/>
  <c r="AD137" i="4"/>
  <c r="AC137" i="4"/>
  <c r="AB137" i="4"/>
  <c r="Y137" i="4"/>
  <c r="X137" i="4"/>
  <c r="S137" i="4"/>
  <c r="R137" i="4"/>
  <c r="P137" i="4"/>
  <c r="O137" i="4"/>
  <c r="J137" i="4"/>
  <c r="G137" i="4"/>
  <c r="B137" i="4"/>
  <c r="C137" i="4" s="1" a="1"/>
  <c r="C137" i="4" s="1"/>
  <c r="A137" i="4"/>
  <c r="BN136" i="4"/>
  <c r="BK136" i="4"/>
  <c r="BJ136" i="4"/>
  <c r="BI136" i="4"/>
  <c r="BH136" i="4"/>
  <c r="BA136" i="4"/>
  <c r="BG136" i="4" s="1"/>
  <c r="AZ136" i="4"/>
  <c r="BF136" i="4" s="1"/>
  <c r="AY136" i="4"/>
  <c r="AX136" i="4"/>
  <c r="AW136" i="4"/>
  <c r="AV136" i="4"/>
  <c r="AS136" i="4"/>
  <c r="AV131" i="12" s="1"/>
  <c r="AW131" i="12" s="1"/>
  <c r="AJ136" i="4"/>
  <c r="AO136" i="4" s="1"/>
  <c r="AQ131" i="12" s="1"/>
  <c r="AR131" i="12" s="1"/>
  <c r="AE136" i="4"/>
  <c r="AD136" i="4"/>
  <c r="AC136" i="4"/>
  <c r="AG136" i="4" s="1"/>
  <c r="AB136" i="4"/>
  <c r="AI136" i="4" s="1"/>
  <c r="Y136" i="4"/>
  <c r="X136" i="4"/>
  <c r="W136" i="4" s="1"/>
  <c r="S136" i="4"/>
  <c r="R136" i="4"/>
  <c r="Q136" i="4"/>
  <c r="K136" i="4"/>
  <c r="J136" i="4"/>
  <c r="G136" i="4"/>
  <c r="T136" i="4" s="1"/>
  <c r="C136" i="4" a="1"/>
  <c r="C136" i="4" s="1"/>
  <c r="B136" i="4"/>
  <c r="A136" i="4"/>
  <c r="BN135" i="4"/>
  <c r="BK135" i="4"/>
  <c r="BJ135" i="4"/>
  <c r="BI135" i="4"/>
  <c r="BH135" i="4"/>
  <c r="BF135" i="4"/>
  <c r="BA135" i="4"/>
  <c r="BG135" i="4" s="1"/>
  <c r="AZ135" i="4"/>
  <c r="AX135" i="4"/>
  <c r="AY135" i="4" s="1"/>
  <c r="AW135" i="4"/>
  <c r="AV135" i="4"/>
  <c r="AS135" i="4"/>
  <c r="AV130" i="12" s="1"/>
  <c r="AW130" i="12" s="1"/>
  <c r="AJ135" i="4"/>
  <c r="AO135" i="4" s="1"/>
  <c r="AQ130" i="12" s="1"/>
  <c r="AR130" i="12" s="1"/>
  <c r="AH135" i="4"/>
  <c r="AE135" i="4"/>
  <c r="AD135" i="4"/>
  <c r="AC135" i="4"/>
  <c r="AB135" i="4"/>
  <c r="Y135" i="4"/>
  <c r="X135" i="4"/>
  <c r="W135" i="4" s="1"/>
  <c r="S135" i="4"/>
  <c r="R135" i="4"/>
  <c r="G135" i="4"/>
  <c r="AI135" i="4" s="1"/>
  <c r="B135" i="4"/>
  <c r="C135" i="4" s="1" a="1"/>
  <c r="C135" i="4" s="1"/>
  <c r="A135" i="4"/>
  <c r="BN134" i="4"/>
  <c r="BK134" i="4"/>
  <c r="BJ134" i="4"/>
  <c r="BI134" i="4"/>
  <c r="BH134" i="4"/>
  <c r="BG134" i="4"/>
  <c r="BA134" i="4"/>
  <c r="AZ134" i="4"/>
  <c r="BF134" i="4" s="1"/>
  <c r="AY134" i="4"/>
  <c r="AX134" i="4"/>
  <c r="AW134" i="4"/>
  <c r="AV134" i="4"/>
  <c r="AS134" i="4"/>
  <c r="AV129" i="12" s="1"/>
  <c r="AW129" i="12" s="1"/>
  <c r="AO134" i="4"/>
  <c r="AQ129" i="12" s="1"/>
  <c r="AR129" i="12" s="1"/>
  <c r="AJ134" i="4"/>
  <c r="AI134" i="4"/>
  <c r="AG134" i="4"/>
  <c r="AF134" i="4"/>
  <c r="AE134" i="4"/>
  <c r="AD134" i="4"/>
  <c r="AH134" i="4" s="1"/>
  <c r="AC134" i="4"/>
  <c r="AB134" i="4"/>
  <c r="Y134" i="4"/>
  <c r="X134" i="4"/>
  <c r="W134" i="4"/>
  <c r="T134" i="4"/>
  <c r="S134" i="4"/>
  <c r="R134" i="4"/>
  <c r="Q134" i="4"/>
  <c r="P134" i="4"/>
  <c r="K134" i="4"/>
  <c r="J134" i="4"/>
  <c r="G134" i="4"/>
  <c r="O134" i="4" s="1"/>
  <c r="B134" i="4"/>
  <c r="C134" i="4" s="1" a="1"/>
  <c r="C134" i="4" s="1"/>
  <c r="A134" i="4"/>
  <c r="BN133" i="4"/>
  <c r="BK133" i="4"/>
  <c r="BJ133" i="4"/>
  <c r="BI133" i="4"/>
  <c r="BH133" i="4"/>
  <c r="BF133" i="4"/>
  <c r="BA133" i="4"/>
  <c r="BG133" i="4" s="1"/>
  <c r="AZ133" i="4"/>
  <c r="AX133" i="4"/>
  <c r="AW133" i="4"/>
  <c r="AV133" i="4"/>
  <c r="AS133" i="4"/>
  <c r="AV128" i="12" s="1"/>
  <c r="AW128" i="12" s="1"/>
  <c r="AJ133" i="4"/>
  <c r="AO133" i="4" s="1"/>
  <c r="AQ128" i="12" s="1"/>
  <c r="AR128" i="12" s="1"/>
  <c r="AI133" i="4"/>
  <c r="AH133" i="4"/>
  <c r="AF133" i="4"/>
  <c r="AE133" i="4"/>
  <c r="AG133" i="4" s="1"/>
  <c r="AD133" i="4"/>
  <c r="AC133" i="4"/>
  <c r="AB133" i="4"/>
  <c r="Y133" i="4"/>
  <c r="X133" i="4"/>
  <c r="W133" i="4" s="1"/>
  <c r="T133" i="4"/>
  <c r="S133" i="4"/>
  <c r="R133" i="4"/>
  <c r="Q133" i="4"/>
  <c r="P133" i="4"/>
  <c r="O133" i="4"/>
  <c r="K133" i="4"/>
  <c r="G133" i="4"/>
  <c r="J133" i="4" s="1"/>
  <c r="B133" i="4"/>
  <c r="C133" i="4" s="1" a="1"/>
  <c r="C133" i="4" s="1"/>
  <c r="A133" i="4"/>
  <c r="BN132" i="4"/>
  <c r="BK132" i="4"/>
  <c r="BJ132" i="4"/>
  <c r="BI132" i="4"/>
  <c r="BH132" i="4"/>
  <c r="BG132" i="4"/>
  <c r="BA132" i="4"/>
  <c r="AZ132" i="4"/>
  <c r="BF132" i="4" s="1"/>
  <c r="AY132" i="4"/>
  <c r="AX132" i="4"/>
  <c r="AW132" i="4"/>
  <c r="AV132" i="4"/>
  <c r="AS132" i="4"/>
  <c r="AV127" i="12" s="1"/>
  <c r="AW127" i="12" s="1"/>
  <c r="AO132" i="4"/>
  <c r="AQ127" i="12" s="1"/>
  <c r="AR127" i="12" s="1"/>
  <c r="AJ132" i="4"/>
  <c r="AE132" i="4"/>
  <c r="AD132" i="4"/>
  <c r="AC132" i="4"/>
  <c r="AB132" i="4"/>
  <c r="AF132" i="4" s="1"/>
  <c r="Y132" i="4"/>
  <c r="X132" i="4"/>
  <c r="W132" i="4" s="1"/>
  <c r="S132" i="4"/>
  <c r="R132" i="4"/>
  <c r="G132" i="4"/>
  <c r="C132" i="4" a="1"/>
  <c r="C132" i="4" s="1"/>
  <c r="B132" i="4"/>
  <c r="A132" i="4"/>
  <c r="BN131" i="4"/>
  <c r="BK131" i="4"/>
  <c r="BJ131" i="4"/>
  <c r="BI131" i="4"/>
  <c r="BH131" i="4"/>
  <c r="BF131" i="4"/>
  <c r="BA131" i="4"/>
  <c r="BG131" i="4" s="1"/>
  <c r="AZ131" i="4"/>
  <c r="AX131" i="4"/>
  <c r="AW131" i="4"/>
  <c r="AY131" i="4" s="1"/>
  <c r="AV131" i="4"/>
  <c r="AS131" i="4"/>
  <c r="AV126" i="12" s="1"/>
  <c r="AW126" i="12" s="1"/>
  <c r="AO131" i="4"/>
  <c r="AQ126" i="12" s="1"/>
  <c r="AR126" i="12" s="1"/>
  <c r="AJ131" i="4"/>
  <c r="AE131" i="4"/>
  <c r="AF131" i="4" s="1"/>
  <c r="AD131" i="4"/>
  <c r="AH131" i="4" s="1"/>
  <c r="AC131" i="4"/>
  <c r="AB131" i="4"/>
  <c r="Y131" i="4"/>
  <c r="X131" i="4"/>
  <c r="W131" i="4"/>
  <c r="S131" i="4"/>
  <c r="R131" i="4"/>
  <c r="K131" i="4"/>
  <c r="J131" i="4"/>
  <c r="G131" i="4"/>
  <c r="C131" i="4" a="1"/>
  <c r="C131" i="4" s="1"/>
  <c r="B131" i="4"/>
  <c r="A131" i="4"/>
  <c r="BN130" i="4"/>
  <c r="BK130" i="4"/>
  <c r="BJ130" i="4"/>
  <c r="BI130" i="4"/>
  <c r="BH130" i="4"/>
  <c r="BG130" i="4"/>
  <c r="BF130" i="4"/>
  <c r="BA130" i="4"/>
  <c r="AZ130" i="4"/>
  <c r="AX130" i="4"/>
  <c r="AW130" i="4"/>
  <c r="AY130" i="4" s="1"/>
  <c r="AV130" i="4"/>
  <c r="AS130" i="4"/>
  <c r="AV125" i="12" s="1"/>
  <c r="AW125" i="12" s="1"/>
  <c r="AO130" i="4"/>
  <c r="AQ125" i="12" s="1"/>
  <c r="AR125" i="12" s="1"/>
  <c r="AJ130" i="4"/>
  <c r="AE130" i="4"/>
  <c r="AD130" i="4"/>
  <c r="AH130" i="4" s="1"/>
  <c r="AC130" i="4"/>
  <c r="AG130" i="4" s="1"/>
  <c r="AB130" i="4"/>
  <c r="AF130" i="4" s="1"/>
  <c r="Y130" i="4"/>
  <c r="W130" i="4" s="1"/>
  <c r="X130" i="4"/>
  <c r="S130" i="4"/>
  <c r="R130" i="4"/>
  <c r="J130" i="4"/>
  <c r="G130" i="4"/>
  <c r="C130" i="4" a="1"/>
  <c r="C130" i="4" s="1"/>
  <c r="B130" i="4"/>
  <c r="A130" i="4"/>
  <c r="BN129" i="4"/>
  <c r="BK129" i="4"/>
  <c r="BJ129" i="4"/>
  <c r="BI129" i="4"/>
  <c r="BH129" i="4"/>
  <c r="BA129" i="4"/>
  <c r="BG129" i="4" s="1"/>
  <c r="AZ129" i="4"/>
  <c r="BF129" i="4" s="1"/>
  <c r="AX129" i="4"/>
  <c r="AW129" i="4"/>
  <c r="AV129" i="4"/>
  <c r="AS129" i="4"/>
  <c r="AV124" i="12" s="1"/>
  <c r="AW124" i="12" s="1"/>
  <c r="AJ129" i="4"/>
  <c r="AO129" i="4" s="1"/>
  <c r="AQ124" i="12" s="1"/>
  <c r="AR124" i="12" s="1"/>
  <c r="AH129" i="4"/>
  <c r="AE129" i="4"/>
  <c r="AD129" i="4"/>
  <c r="AC129" i="4"/>
  <c r="AB129" i="4"/>
  <c r="Y129" i="4"/>
  <c r="X129" i="4"/>
  <c r="W129" i="4" s="1"/>
  <c r="S129" i="4"/>
  <c r="R129" i="4"/>
  <c r="O129" i="4"/>
  <c r="G129" i="4"/>
  <c r="C129" i="4" a="1"/>
  <c r="C129" i="4"/>
  <c r="B129" i="4"/>
  <c r="A129" i="4"/>
  <c r="BN128" i="4"/>
  <c r="BK128" i="4"/>
  <c r="BJ128" i="4"/>
  <c r="BI128" i="4"/>
  <c r="BH128" i="4"/>
  <c r="BF128" i="4"/>
  <c r="BA128" i="4"/>
  <c r="BG128" i="4" s="1"/>
  <c r="AZ128" i="4"/>
  <c r="AY128" i="4"/>
  <c r="AX128" i="4"/>
  <c r="AW128" i="4"/>
  <c r="AV128" i="4"/>
  <c r="AS128" i="4"/>
  <c r="AV123" i="12" s="1"/>
  <c r="AW123" i="12" s="1"/>
  <c r="AO128" i="4"/>
  <c r="AQ123" i="12" s="1"/>
  <c r="AR123" i="12" s="1"/>
  <c r="AJ128" i="4"/>
  <c r="AH128" i="4"/>
  <c r="AG128" i="4"/>
  <c r="AE128" i="4"/>
  <c r="AD128" i="4"/>
  <c r="AC128" i="4"/>
  <c r="AB128" i="4"/>
  <c r="Y128" i="4"/>
  <c r="X128" i="4"/>
  <c r="W128" i="4" s="1"/>
  <c r="S128" i="4"/>
  <c r="R128" i="4"/>
  <c r="P128" i="4"/>
  <c r="O128" i="4"/>
  <c r="J128" i="4"/>
  <c r="G128" i="4"/>
  <c r="B128" i="4"/>
  <c r="C128" i="4" s="1" a="1"/>
  <c r="C128" i="4" s="1"/>
  <c r="A128" i="4"/>
  <c r="BN127" i="4"/>
  <c r="BK127" i="4"/>
  <c r="BJ127" i="4"/>
  <c r="BI127" i="4"/>
  <c r="BH127" i="4"/>
  <c r="BG127" i="4"/>
  <c r="BA127" i="4"/>
  <c r="AZ127" i="4"/>
  <c r="BF127" i="4" s="1"/>
  <c r="AY127" i="4"/>
  <c r="AX127" i="4"/>
  <c r="AW127" i="4"/>
  <c r="AV127" i="4"/>
  <c r="AS127" i="4"/>
  <c r="AV122" i="12" s="1"/>
  <c r="AW122" i="12" s="1"/>
  <c r="AJ127" i="4"/>
  <c r="AO127" i="4" s="1"/>
  <c r="AQ122" i="12" s="1"/>
  <c r="AR122" i="12" s="1"/>
  <c r="AE127" i="4"/>
  <c r="AF127" i="4" s="1"/>
  <c r="AD127" i="4"/>
  <c r="AC127" i="4"/>
  <c r="AB127" i="4"/>
  <c r="Y127" i="4"/>
  <c r="X127" i="4"/>
  <c r="W127" i="4" s="1"/>
  <c r="T127" i="4"/>
  <c r="S127" i="4"/>
  <c r="R127" i="4"/>
  <c r="G127" i="4"/>
  <c r="C127" i="4" a="1"/>
  <c r="C127" i="4" s="1"/>
  <c r="B127" i="4"/>
  <c r="A127" i="4"/>
  <c r="BN126" i="4"/>
  <c r="BK126" i="4"/>
  <c r="BJ126" i="4"/>
  <c r="BI126" i="4"/>
  <c r="BH126" i="4"/>
  <c r="BG126" i="4"/>
  <c r="BF126" i="4"/>
  <c r="BA126" i="4"/>
  <c r="AZ126" i="4"/>
  <c r="AX126" i="4"/>
  <c r="AY126" i="4" s="1"/>
  <c r="AW126" i="4"/>
  <c r="AV126" i="4"/>
  <c r="AS126" i="4"/>
  <c r="AV121" i="12" s="1"/>
  <c r="AW121" i="12" s="1"/>
  <c r="AO126" i="4"/>
  <c r="AQ121" i="12" s="1"/>
  <c r="AR121" i="12" s="1"/>
  <c r="AJ126" i="4"/>
  <c r="AG126" i="4"/>
  <c r="AF126" i="4"/>
  <c r="AE126" i="4"/>
  <c r="AD126" i="4"/>
  <c r="AH126" i="4" s="1"/>
  <c r="AC126" i="4"/>
  <c r="AB126" i="4"/>
  <c r="Y126" i="4"/>
  <c r="X126" i="4"/>
  <c r="W126" i="4"/>
  <c r="T126" i="4"/>
  <c r="S126" i="4"/>
  <c r="R126" i="4"/>
  <c r="P126" i="4"/>
  <c r="K126" i="4"/>
  <c r="G126" i="4"/>
  <c r="B126" i="4"/>
  <c r="C126" i="4" s="1" a="1"/>
  <c r="C126" i="4" s="1"/>
  <c r="A126" i="4"/>
  <c r="BN125" i="4"/>
  <c r="BK125" i="4"/>
  <c r="BJ125" i="4"/>
  <c r="BI125" i="4"/>
  <c r="BH125" i="4"/>
  <c r="BA125" i="4"/>
  <c r="BG125" i="4" s="1"/>
  <c r="AZ125" i="4"/>
  <c r="BF125" i="4" s="1"/>
  <c r="AY125" i="4"/>
  <c r="AX125" i="4"/>
  <c r="AW125" i="4"/>
  <c r="AV125" i="4"/>
  <c r="AS125" i="4"/>
  <c r="AV120" i="12" s="1"/>
  <c r="AW120" i="12" s="1"/>
  <c r="AJ125" i="4"/>
  <c r="AO125" i="4" s="1"/>
  <c r="AQ120" i="12" s="1"/>
  <c r="AR120" i="12" s="1"/>
  <c r="AG125" i="4"/>
  <c r="AF125" i="4"/>
  <c r="AE125" i="4"/>
  <c r="AD125" i="4"/>
  <c r="AH125" i="4" s="1"/>
  <c r="AC125" i="4"/>
  <c r="AB125" i="4"/>
  <c r="Y125" i="4"/>
  <c r="W125" i="4" s="1"/>
  <c r="X125" i="4"/>
  <c r="S125" i="4"/>
  <c r="R125" i="4"/>
  <c r="Q125" i="4"/>
  <c r="J125" i="4"/>
  <c r="G125" i="4"/>
  <c r="C125" i="4"/>
  <c r="B125" i="4"/>
  <c r="C125" i="4" s="1" a="1"/>
  <c r="A125" i="4"/>
  <c r="BN124" i="4"/>
  <c r="BK124" i="4"/>
  <c r="BJ124" i="4"/>
  <c r="BI124" i="4"/>
  <c r="BH124" i="4"/>
  <c r="BA124" i="4"/>
  <c r="BG124" i="4" s="1"/>
  <c r="AZ124" i="4"/>
  <c r="BF124" i="4" s="1"/>
  <c r="AY124" i="4"/>
  <c r="AX124" i="4"/>
  <c r="AW124" i="4"/>
  <c r="AV124" i="4"/>
  <c r="AS124" i="4"/>
  <c r="AV119" i="12" s="1"/>
  <c r="AW119" i="12" s="1"/>
  <c r="AO124" i="4"/>
  <c r="AQ119" i="12" s="1"/>
  <c r="AR119" i="12" s="1"/>
  <c r="AJ124" i="4"/>
  <c r="AE124" i="4"/>
  <c r="AD124" i="4"/>
  <c r="AH124" i="4" s="1"/>
  <c r="AC124" i="4"/>
  <c r="AG124" i="4" s="1"/>
  <c r="AB124" i="4"/>
  <c r="AF124" i="4" s="1"/>
  <c r="Y124" i="4"/>
  <c r="W124" i="4" s="1"/>
  <c r="X124" i="4"/>
  <c r="S124" i="4"/>
  <c r="R124" i="4"/>
  <c r="G124" i="4"/>
  <c r="O124" i="4" s="1"/>
  <c r="C124" i="4"/>
  <c r="B124" i="4"/>
  <c r="C124" i="4" s="1" a="1"/>
  <c r="A124" i="4"/>
  <c r="BN123" i="4"/>
  <c r="BK123" i="4"/>
  <c r="BJ123" i="4"/>
  <c r="BI123" i="4"/>
  <c r="BH123" i="4"/>
  <c r="BA123" i="4"/>
  <c r="BG123" i="4" s="1"/>
  <c r="AZ123" i="4"/>
  <c r="BF123" i="4" s="1"/>
  <c r="AX123" i="4"/>
  <c r="AW123" i="4"/>
  <c r="AY123" i="4" s="1"/>
  <c r="AV123" i="4"/>
  <c r="AS123" i="4"/>
  <c r="AV118" i="12" s="1"/>
  <c r="AW118" i="12" s="1"/>
  <c r="AO123" i="4"/>
  <c r="AQ118" i="12" s="1"/>
  <c r="AR118" i="12" s="1"/>
  <c r="AJ123" i="4"/>
  <c r="AG123" i="4"/>
  <c r="AF123" i="4"/>
  <c r="AE123" i="4"/>
  <c r="AD123" i="4"/>
  <c r="AH123" i="4" s="1"/>
  <c r="AC123" i="4"/>
  <c r="AB123" i="4"/>
  <c r="Y123" i="4"/>
  <c r="X123" i="4"/>
  <c r="W123" i="4"/>
  <c r="T123" i="4"/>
  <c r="S123" i="4"/>
  <c r="R123" i="4"/>
  <c r="Q123" i="4"/>
  <c r="P123" i="4"/>
  <c r="K123" i="4"/>
  <c r="J123" i="4"/>
  <c r="G123" i="4"/>
  <c r="B123" i="4"/>
  <c r="C123" i="4" s="1" a="1"/>
  <c r="C123" i="4" s="1"/>
  <c r="A123" i="4"/>
  <c r="BN122" i="4"/>
  <c r="BK122" i="4"/>
  <c r="BJ122" i="4"/>
  <c r="BI122" i="4"/>
  <c r="BH122" i="4"/>
  <c r="BG122" i="4"/>
  <c r="BF122" i="4"/>
  <c r="BA122" i="4"/>
  <c r="AZ122" i="4"/>
  <c r="AX122" i="4"/>
  <c r="AW122" i="4"/>
  <c r="AY122" i="4" s="1"/>
  <c r="AV122" i="4"/>
  <c r="AS122" i="4"/>
  <c r="AV117" i="12" s="1"/>
  <c r="AW117" i="12" s="1"/>
  <c r="AJ122" i="4"/>
  <c r="AO122" i="4" s="1"/>
  <c r="AQ117" i="12" s="1"/>
  <c r="AR117" i="12" s="1"/>
  <c r="AH122" i="4"/>
  <c r="AG122" i="4"/>
  <c r="AE122" i="4"/>
  <c r="AD122" i="4"/>
  <c r="AC122" i="4"/>
  <c r="AB122" i="4"/>
  <c r="Y122" i="4"/>
  <c r="X122" i="4"/>
  <c r="W122" i="4" s="1"/>
  <c r="T122" i="4"/>
  <c r="S122" i="4"/>
  <c r="R122" i="4"/>
  <c r="Q122" i="4"/>
  <c r="P122" i="4"/>
  <c r="K122" i="4"/>
  <c r="G122" i="4"/>
  <c r="C122" i="4" a="1"/>
  <c r="C122" i="4" s="1"/>
  <c r="B122" i="4"/>
  <c r="A122" i="4"/>
  <c r="BN121" i="4"/>
  <c r="BK121" i="4"/>
  <c r="BJ121" i="4"/>
  <c r="BI121" i="4"/>
  <c r="BH121" i="4"/>
  <c r="BG121" i="4"/>
  <c r="BF121" i="4"/>
  <c r="BA121" i="4"/>
  <c r="AZ121" i="4"/>
  <c r="AX121" i="4"/>
  <c r="AW121" i="4"/>
  <c r="AV121" i="4"/>
  <c r="AS121" i="4"/>
  <c r="AV116" i="12" s="1"/>
  <c r="AW116" i="12" s="1"/>
  <c r="AO121" i="4"/>
  <c r="AQ116" i="12" s="1"/>
  <c r="AR116" i="12" s="1"/>
  <c r="AJ121" i="4"/>
  <c r="AF121" i="4"/>
  <c r="AE121" i="4"/>
  <c r="AD121" i="4"/>
  <c r="AH121" i="4" s="1"/>
  <c r="AC121" i="4"/>
  <c r="AG121" i="4" s="1"/>
  <c r="AB121" i="4"/>
  <c r="Y121" i="4"/>
  <c r="X121" i="4"/>
  <c r="W121" i="4" s="1"/>
  <c r="S121" i="4"/>
  <c r="R121" i="4"/>
  <c r="J121" i="4"/>
  <c r="G121" i="4"/>
  <c r="C121" i="4"/>
  <c r="B121" i="4"/>
  <c r="C121" i="4" s="1" a="1"/>
  <c r="A121" i="4"/>
  <c r="BN120" i="4"/>
  <c r="BK120" i="4"/>
  <c r="BJ120" i="4"/>
  <c r="BI120" i="4"/>
  <c r="BH120" i="4"/>
  <c r="BA120" i="4"/>
  <c r="BG120" i="4" s="1"/>
  <c r="AZ120" i="4"/>
  <c r="BF120" i="4" s="1"/>
  <c r="AX120" i="4"/>
  <c r="AW120" i="4"/>
  <c r="AY120" i="4" s="1"/>
  <c r="AV120" i="4"/>
  <c r="AS120" i="4"/>
  <c r="AV115" i="12" s="1"/>
  <c r="AW115" i="12" s="1"/>
  <c r="AO120" i="4"/>
  <c r="AQ115" i="12" s="1"/>
  <c r="AR115" i="12" s="1"/>
  <c r="AJ120" i="4"/>
  <c r="AI120" i="4"/>
  <c r="AF120" i="4"/>
  <c r="AE120" i="4"/>
  <c r="AD120" i="4"/>
  <c r="AC120" i="4"/>
  <c r="AG120" i="4" s="1"/>
  <c r="AB120" i="4"/>
  <c r="Y120" i="4"/>
  <c r="X120" i="4"/>
  <c r="W120" i="4"/>
  <c r="S120" i="4"/>
  <c r="R120" i="4"/>
  <c r="P120" i="4"/>
  <c r="O120" i="4"/>
  <c r="K120" i="4"/>
  <c r="J120" i="4"/>
  <c r="G120" i="4"/>
  <c r="T120" i="4" s="1"/>
  <c r="B120" i="4"/>
  <c r="C120" i="4" s="1" a="1"/>
  <c r="C120" i="4" s="1"/>
  <c r="A120" i="4"/>
  <c r="BN119" i="4"/>
  <c r="BK119" i="4"/>
  <c r="BJ119" i="4"/>
  <c r="BI119" i="4"/>
  <c r="BH119" i="4"/>
  <c r="BG119" i="4"/>
  <c r="BF119" i="4"/>
  <c r="BA119" i="4"/>
  <c r="AZ119" i="4"/>
  <c r="AX119" i="4"/>
  <c r="AW119" i="4"/>
  <c r="AY119" i="4" s="1"/>
  <c r="AV119" i="4"/>
  <c r="AS119" i="4"/>
  <c r="AV114" i="12" s="1"/>
  <c r="AW114" i="12" s="1"/>
  <c r="AJ119" i="4"/>
  <c r="AO119" i="4" s="1"/>
  <c r="AQ114" i="12" s="1"/>
  <c r="AR114" i="12" s="1"/>
  <c r="AI119" i="4"/>
  <c r="AE119" i="4"/>
  <c r="AG119" i="4" s="1"/>
  <c r="AD119" i="4"/>
  <c r="AH119" i="4" s="1"/>
  <c r="AC119" i="4"/>
  <c r="AB119" i="4"/>
  <c r="Y119" i="4"/>
  <c r="X119" i="4"/>
  <c r="W119" i="4"/>
  <c r="T119" i="4"/>
  <c r="S119" i="4"/>
  <c r="R119" i="4"/>
  <c r="Q119" i="4"/>
  <c r="P119" i="4"/>
  <c r="O119" i="4"/>
  <c r="K119" i="4"/>
  <c r="G119" i="4"/>
  <c r="J119" i="4" s="1"/>
  <c r="C119" i="4" a="1"/>
  <c r="C119" i="4" s="1"/>
  <c r="B119" i="4"/>
  <c r="A119" i="4"/>
  <c r="BN118" i="4"/>
  <c r="BK118" i="4"/>
  <c r="BJ118" i="4"/>
  <c r="BI118" i="4"/>
  <c r="BH118" i="4"/>
  <c r="BA118" i="4"/>
  <c r="BG118" i="4" s="1"/>
  <c r="AZ118" i="4"/>
  <c r="BF118" i="4" s="1"/>
  <c r="AY118" i="4"/>
  <c r="AX118" i="4"/>
  <c r="AW118" i="4"/>
  <c r="AV118" i="4"/>
  <c r="AS118" i="4"/>
  <c r="AV113" i="12" s="1"/>
  <c r="AW113" i="12" s="1"/>
  <c r="AJ118" i="4"/>
  <c r="AO118" i="4" s="1"/>
  <c r="AQ113" i="12" s="1"/>
  <c r="AR113" i="12" s="1"/>
  <c r="AI118" i="4"/>
  <c r="AG118" i="4"/>
  <c r="AF118" i="4"/>
  <c r="AE118" i="4"/>
  <c r="AD118" i="4"/>
  <c r="AH118" i="4" s="1"/>
  <c r="AC118" i="4"/>
  <c r="AB118" i="4"/>
  <c r="Y118" i="4"/>
  <c r="X118" i="4"/>
  <c r="W118" i="4" s="1"/>
  <c r="T118" i="4"/>
  <c r="S118" i="4"/>
  <c r="R118" i="4"/>
  <c r="Q118" i="4"/>
  <c r="P118" i="4"/>
  <c r="K118" i="4"/>
  <c r="J118" i="4"/>
  <c r="G118" i="4"/>
  <c r="O118" i="4" s="1"/>
  <c r="C118" i="4" a="1"/>
  <c r="C118" i="4"/>
  <c r="B118" i="4"/>
  <c r="A118" i="4"/>
  <c r="BN117" i="4"/>
  <c r="BK117" i="4"/>
  <c r="BJ117" i="4"/>
  <c r="BI117" i="4"/>
  <c r="BH117" i="4"/>
  <c r="BG117" i="4"/>
  <c r="BA117" i="4"/>
  <c r="AZ117" i="4"/>
  <c r="BF117" i="4" s="1"/>
  <c r="AX117" i="4"/>
  <c r="AW117" i="4"/>
  <c r="AY117" i="4" s="1"/>
  <c r="AV117" i="4"/>
  <c r="AS117" i="4"/>
  <c r="AV112" i="12" s="1"/>
  <c r="AW112" i="12" s="1"/>
  <c r="AO117" i="4"/>
  <c r="AQ112" i="12" s="1"/>
  <c r="AR112" i="12" s="1"/>
  <c r="AJ117" i="4"/>
  <c r="AE117" i="4"/>
  <c r="AD117" i="4"/>
  <c r="AH117" i="4" s="1"/>
  <c r="AC117" i="4"/>
  <c r="AB117" i="4"/>
  <c r="Y117" i="4"/>
  <c r="W117" i="4" s="1"/>
  <c r="X117" i="4"/>
  <c r="T117" i="4"/>
  <c r="S117" i="4"/>
  <c r="R117" i="4"/>
  <c r="P117" i="4"/>
  <c r="O117" i="4"/>
  <c r="K117" i="4"/>
  <c r="J117" i="4"/>
  <c r="G117" i="4"/>
  <c r="Q117" i="4" s="1"/>
  <c r="C117" i="4" a="1"/>
  <c r="C117" i="4" s="1"/>
  <c r="B117" i="4"/>
  <c r="A117" i="4"/>
  <c r="BN116" i="4"/>
  <c r="BK116" i="4"/>
  <c r="BJ116" i="4"/>
  <c r="BI116" i="4"/>
  <c r="BH116" i="4"/>
  <c r="BG116" i="4"/>
  <c r="BA116" i="4"/>
  <c r="AZ116" i="4"/>
  <c r="BF116" i="4" s="1"/>
  <c r="AX116" i="4"/>
  <c r="AW116" i="4"/>
  <c r="AV116" i="4"/>
  <c r="AS116" i="4"/>
  <c r="AV111" i="12" s="1"/>
  <c r="AW111" i="12" s="1"/>
  <c r="AO116" i="4"/>
  <c r="AQ111" i="12" s="1"/>
  <c r="AR111" i="12" s="1"/>
  <c r="AJ116" i="4"/>
  <c r="AG116" i="4"/>
  <c r="AE116" i="4"/>
  <c r="AD116" i="4"/>
  <c r="AH116" i="4" s="1"/>
  <c r="AC116" i="4"/>
  <c r="AB116" i="4"/>
  <c r="AF116" i="4" s="1"/>
  <c r="Y116" i="4"/>
  <c r="X116" i="4"/>
  <c r="W116" i="4"/>
  <c r="T116" i="4"/>
  <c r="S116" i="4"/>
  <c r="R116" i="4"/>
  <c r="Q116" i="4"/>
  <c r="P116" i="4"/>
  <c r="O116" i="4"/>
  <c r="K116" i="4"/>
  <c r="G116" i="4"/>
  <c r="C116" i="4" a="1"/>
  <c r="C116" i="4" s="1"/>
  <c r="B116" i="4"/>
  <c r="A116" i="4"/>
  <c r="BN115" i="4"/>
  <c r="BK115" i="4"/>
  <c r="BJ115" i="4"/>
  <c r="BI115" i="4"/>
  <c r="BH115" i="4"/>
  <c r="BG115" i="4"/>
  <c r="BA115" i="4"/>
  <c r="AZ115" i="4"/>
  <c r="BF115" i="4" s="1"/>
  <c r="AY115" i="4"/>
  <c r="AX115" i="4"/>
  <c r="AW115" i="4"/>
  <c r="AV115" i="4"/>
  <c r="AS115" i="4"/>
  <c r="AV110" i="12" s="1"/>
  <c r="AW110" i="12" s="1"/>
  <c r="AJ115" i="4"/>
  <c r="AO115" i="4" s="1"/>
  <c r="AQ110" i="12" s="1"/>
  <c r="AR110" i="12" s="1"/>
  <c r="AH115" i="4"/>
  <c r="AG115" i="4"/>
  <c r="AE115" i="4"/>
  <c r="AF115" i="4" s="1"/>
  <c r="AD115" i="4"/>
  <c r="AC115" i="4"/>
  <c r="AB115" i="4"/>
  <c r="Y115" i="4"/>
  <c r="X115" i="4"/>
  <c r="S115" i="4"/>
  <c r="R115" i="4"/>
  <c r="Q115" i="4"/>
  <c r="P115" i="4"/>
  <c r="O115" i="4"/>
  <c r="K115" i="4"/>
  <c r="G115" i="4"/>
  <c r="T115" i="4" s="1"/>
  <c r="C115" i="4" a="1"/>
  <c r="C115" i="4" s="1"/>
  <c r="B115" i="4"/>
  <c r="A115" i="4"/>
  <c r="BN114" i="4"/>
  <c r="BK114" i="4"/>
  <c r="BJ114" i="4"/>
  <c r="BI114" i="4"/>
  <c r="BH114" i="4"/>
  <c r="BA114" i="4"/>
  <c r="BG114" i="4" s="1"/>
  <c r="AZ114" i="4"/>
  <c r="BF114" i="4" s="1"/>
  <c r="AX114" i="4"/>
  <c r="AY114" i="4" s="1"/>
  <c r="AW114" i="4"/>
  <c r="AV114" i="4"/>
  <c r="AS114" i="4"/>
  <c r="AV109" i="12" s="1"/>
  <c r="AW109" i="12" s="1"/>
  <c r="AO114" i="4"/>
  <c r="AQ109" i="12" s="1"/>
  <c r="AR109" i="12" s="1"/>
  <c r="AJ114" i="4"/>
  <c r="AF114" i="4"/>
  <c r="AE114" i="4"/>
  <c r="AD114" i="4"/>
  <c r="AH114" i="4" s="1"/>
  <c r="AC114" i="4"/>
  <c r="AG114" i="4" s="1"/>
  <c r="AB114" i="4"/>
  <c r="Y114" i="4"/>
  <c r="X114" i="4"/>
  <c r="S114" i="4"/>
  <c r="R114" i="4"/>
  <c r="J114" i="4"/>
  <c r="G114" i="4"/>
  <c r="K114" i="4" s="1"/>
  <c r="C114" i="4"/>
  <c r="B114" i="4"/>
  <c r="C114" i="4" s="1" a="1"/>
  <c r="A114" i="4"/>
  <c r="BN113" i="4"/>
  <c r="BK113" i="4"/>
  <c r="BJ113" i="4"/>
  <c r="BI113" i="4"/>
  <c r="BH113" i="4"/>
  <c r="BA113" i="4"/>
  <c r="BG113" i="4" s="1"/>
  <c r="AZ113" i="4"/>
  <c r="BF113" i="4" s="1"/>
  <c r="AY113" i="4"/>
  <c r="AX113" i="4"/>
  <c r="AW113" i="4"/>
  <c r="AV113" i="4"/>
  <c r="AS113" i="4"/>
  <c r="AV108" i="12" s="1"/>
  <c r="AW108" i="12" s="1"/>
  <c r="AO113" i="4"/>
  <c r="AQ108" i="12" s="1"/>
  <c r="AR108" i="12" s="1"/>
  <c r="AJ113" i="4"/>
  <c r="AE113" i="4"/>
  <c r="AD113" i="4"/>
  <c r="AH113" i="4" s="1"/>
  <c r="AC113" i="4"/>
  <c r="AG113" i="4" s="1"/>
  <c r="AB113" i="4"/>
  <c r="AI113" i="4" s="1"/>
  <c r="Y113" i="4"/>
  <c r="X113" i="4"/>
  <c r="W113" i="4" s="1"/>
  <c r="S113" i="4"/>
  <c r="R113" i="4"/>
  <c r="U113" i="4" s="1"/>
  <c r="U114" i="4" s="1"/>
  <c r="Q113" i="4"/>
  <c r="P113" i="4"/>
  <c r="G113" i="4"/>
  <c r="B113" i="4"/>
  <c r="C113" i="4" s="1" a="1"/>
  <c r="C113" i="4" s="1"/>
  <c r="A113" i="4"/>
  <c r="BN112" i="4"/>
  <c r="BK112" i="4"/>
  <c r="BJ112" i="4"/>
  <c r="BI112" i="4"/>
  <c r="BH112" i="4"/>
  <c r="BF112" i="4"/>
  <c r="BA112" i="4"/>
  <c r="BG112" i="4" s="1"/>
  <c r="AZ112" i="4"/>
  <c r="AY112" i="4"/>
  <c r="AX112" i="4"/>
  <c r="AW112" i="4"/>
  <c r="AV112" i="4"/>
  <c r="AS112" i="4"/>
  <c r="AV107" i="12" s="1"/>
  <c r="AW107" i="12" s="1"/>
  <c r="AJ112" i="4"/>
  <c r="AO112" i="4" s="1"/>
  <c r="AQ107" i="12" s="1"/>
  <c r="AR107" i="12" s="1"/>
  <c r="AI112" i="4"/>
  <c r="AH112" i="4"/>
  <c r="AE112" i="4"/>
  <c r="AD112" i="4"/>
  <c r="AC112" i="4"/>
  <c r="AB112" i="4"/>
  <c r="Y112" i="4"/>
  <c r="X112" i="4"/>
  <c r="W112" i="4"/>
  <c r="T112" i="4"/>
  <c r="S112" i="4"/>
  <c r="V112" i="4" s="1"/>
  <c r="R112" i="4"/>
  <c r="U112" i="4" s="1"/>
  <c r="Q112" i="4"/>
  <c r="O112" i="4"/>
  <c r="G112" i="4"/>
  <c r="C112" i="4"/>
  <c r="B112" i="4"/>
  <c r="C112" i="4" s="1" a="1"/>
  <c r="A112" i="4"/>
  <c r="BN111" i="4"/>
  <c r="BK111" i="4"/>
  <c r="BJ111" i="4"/>
  <c r="BI111" i="4"/>
  <c r="BH111" i="4"/>
  <c r="BA111" i="4"/>
  <c r="BG111" i="4" s="1"/>
  <c r="AZ111" i="4"/>
  <c r="BF111" i="4" s="1"/>
  <c r="AY111" i="4"/>
  <c r="AX111" i="4"/>
  <c r="AW111" i="4"/>
  <c r="AV111" i="4"/>
  <c r="AS111" i="4"/>
  <c r="AV106" i="12" s="1"/>
  <c r="AW106" i="12" s="1"/>
  <c r="AJ111" i="4"/>
  <c r="AO111" i="4" s="1"/>
  <c r="AQ106" i="12" s="1"/>
  <c r="AR106" i="12" s="1"/>
  <c r="AE111" i="4"/>
  <c r="AD111" i="4"/>
  <c r="AH111" i="4" s="1"/>
  <c r="AC111" i="4"/>
  <c r="AG111" i="4" s="1"/>
  <c r="AB111" i="4"/>
  <c r="AF111" i="4" s="1"/>
  <c r="Y111" i="4"/>
  <c r="X111" i="4"/>
  <c r="W111" i="4"/>
  <c r="V111" i="4"/>
  <c r="S111" i="4"/>
  <c r="R111" i="4"/>
  <c r="U111" i="4" s="1"/>
  <c r="G111" i="4"/>
  <c r="K111" i="4" s="1"/>
  <c r="B111" i="4"/>
  <c r="C111" i="4" s="1" a="1"/>
  <c r="C111" i="4" s="1"/>
  <c r="A111" i="4"/>
  <c r="BN110" i="4"/>
  <c r="BK110" i="4"/>
  <c r="BJ110" i="4"/>
  <c r="BI110" i="4"/>
  <c r="BH110" i="4"/>
  <c r="BG110" i="4"/>
  <c r="BA110" i="4"/>
  <c r="AZ110" i="4"/>
  <c r="BF110" i="4" s="1"/>
  <c r="AV110" i="4"/>
  <c r="AS110" i="4"/>
  <c r="AV105" i="12" s="1"/>
  <c r="AW105" i="12" s="1"/>
  <c r="AO110" i="4"/>
  <c r="AQ105" i="12" s="1"/>
  <c r="AR105" i="12" s="1"/>
  <c r="AJ110" i="4"/>
  <c r="AH110" i="4"/>
  <c r="AE110" i="4"/>
  <c r="AF110" i="4" s="1"/>
  <c r="AD110" i="4"/>
  <c r="AC110" i="4"/>
  <c r="AG110" i="4" s="1"/>
  <c r="AB110" i="4"/>
  <c r="Y110" i="4"/>
  <c r="X110" i="4"/>
  <c r="T110" i="4"/>
  <c r="S110" i="4"/>
  <c r="R110" i="4"/>
  <c r="Q110" i="4"/>
  <c r="P110" i="4"/>
  <c r="G110" i="4"/>
  <c r="C110" i="4" a="1"/>
  <c r="C110" i="4" s="1"/>
  <c r="B110" i="4"/>
  <c r="A110" i="4"/>
  <c r="BN109" i="4"/>
  <c r="BK109" i="4"/>
  <c r="BJ109" i="4"/>
  <c r="BI109" i="4"/>
  <c r="BH109" i="4"/>
  <c r="BF109" i="4"/>
  <c r="BA109" i="4"/>
  <c r="BG109" i="4" s="1"/>
  <c r="AZ109" i="4"/>
  <c r="AV109" i="4"/>
  <c r="AS109" i="4"/>
  <c r="AV104" i="12" s="1"/>
  <c r="AW104" i="12" s="1"/>
  <c r="AO109" i="4"/>
  <c r="AQ104" i="12" s="1"/>
  <c r="AR104" i="12" s="1"/>
  <c r="AJ109" i="4"/>
  <c r="AH109" i="4"/>
  <c r="AG109" i="4"/>
  <c r="AE109" i="4"/>
  <c r="AD109" i="4"/>
  <c r="AC109" i="4"/>
  <c r="AB109" i="4"/>
  <c r="Y109" i="4"/>
  <c r="X109" i="4"/>
  <c r="W109" i="4" s="1"/>
  <c r="S109" i="4"/>
  <c r="R109" i="4"/>
  <c r="Q109" i="4"/>
  <c r="O109" i="4"/>
  <c r="K109" i="4"/>
  <c r="G109" i="4"/>
  <c r="B109" i="4"/>
  <c r="C109" i="4" s="1" a="1"/>
  <c r="C109" i="4" s="1"/>
  <c r="A109" i="4"/>
  <c r="BN108" i="4"/>
  <c r="BK108" i="4"/>
  <c r="BJ108" i="4"/>
  <c r="BI108" i="4"/>
  <c r="BH108" i="4"/>
  <c r="BA108" i="4"/>
  <c r="BG108" i="4" s="1"/>
  <c r="AZ108" i="4"/>
  <c r="BF108" i="4" s="1"/>
  <c r="AV108" i="4"/>
  <c r="AS108" i="4"/>
  <c r="AV103" i="12" s="1"/>
  <c r="AW103" i="12" s="1"/>
  <c r="AO108" i="4"/>
  <c r="AQ103" i="12" s="1"/>
  <c r="AR103" i="12" s="1"/>
  <c r="AJ108" i="4"/>
  <c r="AI108" i="4"/>
  <c r="AH108" i="4"/>
  <c r="AE108" i="4"/>
  <c r="AD108" i="4"/>
  <c r="AC108" i="4"/>
  <c r="AB108" i="4"/>
  <c r="Y108" i="4"/>
  <c r="X108" i="4"/>
  <c r="W108" i="4"/>
  <c r="T108" i="4"/>
  <c r="S108" i="4"/>
  <c r="R108" i="4"/>
  <c r="Q108" i="4"/>
  <c r="P108" i="4"/>
  <c r="O108" i="4"/>
  <c r="K108" i="4"/>
  <c r="J108" i="4"/>
  <c r="G108" i="4"/>
  <c r="B108" i="4"/>
  <c r="C108" i="4" s="1" a="1"/>
  <c r="C108" i="4" s="1"/>
  <c r="A108" i="4"/>
  <c r="BN107" i="4"/>
  <c r="BK107" i="4"/>
  <c r="BJ107" i="4"/>
  <c r="BI107" i="4"/>
  <c r="BH107" i="4"/>
  <c r="BG107" i="4"/>
  <c r="BA107" i="4"/>
  <c r="AZ107" i="4"/>
  <c r="BF107" i="4" s="1"/>
  <c r="AV107" i="4"/>
  <c r="AS107" i="4"/>
  <c r="AV102" i="12" s="1"/>
  <c r="AW102" i="12" s="1"/>
  <c r="AO107" i="4"/>
  <c r="AQ102" i="12" s="1"/>
  <c r="AR102" i="12" s="1"/>
  <c r="AJ107" i="4"/>
  <c r="AI107" i="4"/>
  <c r="AF107" i="4"/>
  <c r="AE107" i="4"/>
  <c r="AD107" i="4"/>
  <c r="AH107" i="4" s="1"/>
  <c r="AC107" i="4"/>
  <c r="AG107" i="4" s="1"/>
  <c r="AB107" i="4"/>
  <c r="Y107" i="4"/>
  <c r="X107" i="4"/>
  <c r="W107" i="4"/>
  <c r="T107" i="4"/>
  <c r="S107" i="4"/>
  <c r="R107" i="4"/>
  <c r="Q107" i="4"/>
  <c r="P107" i="4"/>
  <c r="O107" i="4"/>
  <c r="K107" i="4"/>
  <c r="J107" i="4"/>
  <c r="G107" i="4"/>
  <c r="C107" i="4" a="1"/>
  <c r="C107" i="4" s="1"/>
  <c r="B107" i="4"/>
  <c r="A107" i="4"/>
  <c r="BN106" i="4"/>
  <c r="BK106" i="4"/>
  <c r="BJ106" i="4"/>
  <c r="BI106" i="4"/>
  <c r="BH106" i="4"/>
  <c r="BF106" i="4"/>
  <c r="BA106" i="4"/>
  <c r="BG106" i="4" s="1"/>
  <c r="AZ106" i="4"/>
  <c r="AV106" i="4"/>
  <c r="AS106" i="4"/>
  <c r="AV101" i="12" s="1"/>
  <c r="AW101" i="12" s="1"/>
  <c r="AO106" i="4"/>
  <c r="AQ101" i="12" s="1"/>
  <c r="AR101" i="12" s="1"/>
  <c r="AJ106" i="4"/>
  <c r="AH106" i="4"/>
  <c r="AG106" i="4"/>
  <c r="AF106" i="4"/>
  <c r="AE106" i="4"/>
  <c r="AD106" i="4"/>
  <c r="AC106" i="4"/>
  <c r="AB106" i="4"/>
  <c r="Y106" i="4"/>
  <c r="X106" i="4"/>
  <c r="W106" i="4"/>
  <c r="T106" i="4"/>
  <c r="S106" i="4"/>
  <c r="R106" i="4"/>
  <c r="Q106" i="4"/>
  <c r="G106" i="4"/>
  <c r="B106" i="4"/>
  <c r="C106" i="4" s="1" a="1"/>
  <c r="C106" i="4" s="1"/>
  <c r="A106" i="4"/>
  <c r="BN105" i="4"/>
  <c r="BK105" i="4"/>
  <c r="BJ105" i="4"/>
  <c r="BI105" i="4"/>
  <c r="BH105" i="4"/>
  <c r="BG105" i="4"/>
  <c r="BA105" i="4"/>
  <c r="AZ105" i="4"/>
  <c r="BF105" i="4" s="1"/>
  <c r="AV105" i="4"/>
  <c r="AS105" i="4"/>
  <c r="AV100" i="12" s="1"/>
  <c r="AW100" i="12" s="1"/>
  <c r="AO105" i="4"/>
  <c r="AQ100" i="12" s="1"/>
  <c r="AR100" i="12" s="1"/>
  <c r="AJ105" i="4"/>
  <c r="AE105" i="4"/>
  <c r="AF105" i="4" s="1"/>
  <c r="AD105" i="4"/>
  <c r="AH105" i="4" s="1"/>
  <c r="AC105" i="4"/>
  <c r="AG105" i="4" s="1"/>
  <c r="AB105" i="4"/>
  <c r="Y105" i="4"/>
  <c r="X105" i="4"/>
  <c r="W105" i="4" s="1"/>
  <c r="S105" i="4"/>
  <c r="R105" i="4"/>
  <c r="G105" i="4"/>
  <c r="P105" i="4" s="1"/>
  <c r="C105" i="4" a="1"/>
  <c r="C105" i="4" s="1"/>
  <c r="B105" i="4"/>
  <c r="A105" i="4"/>
  <c r="BN104" i="4"/>
  <c r="BK104" i="4"/>
  <c r="BJ104" i="4"/>
  <c r="BI104" i="4"/>
  <c r="BH104" i="4"/>
  <c r="BF104" i="4"/>
  <c r="BA104" i="4"/>
  <c r="BG104" i="4" s="1"/>
  <c r="AZ104" i="4"/>
  <c r="AV104" i="4"/>
  <c r="AS104" i="4"/>
  <c r="AV99" i="12" s="1"/>
  <c r="AW99" i="12" s="1"/>
  <c r="AO104" i="4"/>
  <c r="AQ99" i="12" s="1"/>
  <c r="AR99" i="12" s="1"/>
  <c r="AJ104" i="4"/>
  <c r="AH104" i="4"/>
  <c r="AG104" i="4"/>
  <c r="AF104" i="4"/>
  <c r="AE104" i="4"/>
  <c r="AD104" i="4"/>
  <c r="AC104" i="4"/>
  <c r="AB104" i="4"/>
  <c r="Y104" i="4"/>
  <c r="X104" i="4"/>
  <c r="W104" i="4" s="1"/>
  <c r="S104" i="4"/>
  <c r="R104" i="4"/>
  <c r="P104" i="4"/>
  <c r="G104" i="4"/>
  <c r="B104" i="4"/>
  <c r="C104" i="4" s="1" a="1"/>
  <c r="C104" i="4" s="1"/>
  <c r="A104" i="4"/>
  <c r="BN103" i="4"/>
  <c r="BK103" i="4"/>
  <c r="BJ103" i="4"/>
  <c r="BI103" i="4"/>
  <c r="BH103" i="4"/>
  <c r="BF103" i="4"/>
  <c r="BA103" i="4"/>
  <c r="BG103" i="4" s="1"/>
  <c r="AZ103" i="4"/>
  <c r="AV103" i="4"/>
  <c r="AS103" i="4"/>
  <c r="AV98" i="12" s="1"/>
  <c r="AW98" i="12" s="1"/>
  <c r="AO103" i="4"/>
  <c r="AQ98" i="12" s="1"/>
  <c r="AR98" i="12" s="1"/>
  <c r="AJ103" i="4"/>
  <c r="AH103" i="4"/>
  <c r="AE103" i="4"/>
  <c r="AD103" i="4"/>
  <c r="AC103" i="4"/>
  <c r="AB103" i="4"/>
  <c r="Y103" i="4"/>
  <c r="X103" i="4"/>
  <c r="S103" i="4"/>
  <c r="R103" i="4"/>
  <c r="G103" i="4"/>
  <c r="B103" i="4"/>
  <c r="C103" i="4" s="1" a="1"/>
  <c r="C103" i="4" s="1"/>
  <c r="A103" i="4"/>
  <c r="BN102" i="4"/>
  <c r="BK102" i="4"/>
  <c r="BJ102" i="4"/>
  <c r="BI102" i="4"/>
  <c r="BH102" i="4"/>
  <c r="BA102" i="4"/>
  <c r="BG102" i="4" s="1"/>
  <c r="AZ102" i="4"/>
  <c r="BF102" i="4" s="1"/>
  <c r="AV102" i="4"/>
  <c r="AS102" i="4"/>
  <c r="AV97" i="12" s="1"/>
  <c r="AW97" i="12" s="1"/>
  <c r="AO102" i="4"/>
  <c r="AQ97" i="12" s="1"/>
  <c r="AR97" i="12" s="1"/>
  <c r="AJ102" i="4"/>
  <c r="AG102" i="4"/>
  <c r="AF102" i="4"/>
  <c r="AE102" i="4"/>
  <c r="AD102" i="4"/>
  <c r="AH102" i="4" s="1"/>
  <c r="AC102" i="4"/>
  <c r="AB102" i="4"/>
  <c r="Y102" i="4"/>
  <c r="X102" i="4"/>
  <c r="W102" i="4"/>
  <c r="T102" i="4"/>
  <c r="S102" i="4"/>
  <c r="R102" i="4"/>
  <c r="O102" i="4"/>
  <c r="K102" i="4"/>
  <c r="G102" i="4"/>
  <c r="J102" i="4" s="1"/>
  <c r="C102" i="4" a="1"/>
  <c r="C102" i="4" s="1"/>
  <c r="B102" i="4"/>
  <c r="A102" i="4"/>
  <c r="BN101" i="4"/>
  <c r="BK101" i="4"/>
  <c r="BJ101" i="4"/>
  <c r="BI101" i="4"/>
  <c r="BH101" i="4"/>
  <c r="BA101" i="4"/>
  <c r="BG101" i="4" s="1"/>
  <c r="AZ101" i="4"/>
  <c r="BF101" i="4" s="1"/>
  <c r="AV101" i="4"/>
  <c r="AS101" i="4"/>
  <c r="AV96" i="12" s="1"/>
  <c r="AW96" i="12" s="1"/>
  <c r="AO101" i="4"/>
  <c r="AQ96" i="12" s="1"/>
  <c r="AR96" i="12" s="1"/>
  <c r="AJ101" i="4"/>
  <c r="AI101" i="4"/>
  <c r="AE101" i="4"/>
  <c r="AF101" i="4" s="1"/>
  <c r="AD101" i="4"/>
  <c r="AH101" i="4" s="1"/>
  <c r="AC101" i="4"/>
  <c r="AG101" i="4" s="1"/>
  <c r="AB101" i="4"/>
  <c r="Y101" i="4"/>
  <c r="X101" i="4"/>
  <c r="W101" i="4" s="1"/>
  <c r="T101" i="4"/>
  <c r="S101" i="4"/>
  <c r="R101" i="4"/>
  <c r="P101" i="4"/>
  <c r="O101" i="4"/>
  <c r="K101" i="4"/>
  <c r="J101" i="4"/>
  <c r="G101" i="4"/>
  <c r="Q101" i="4" s="1"/>
  <c r="C101" i="4" a="1"/>
  <c r="C101" i="4"/>
  <c r="B101" i="4"/>
  <c r="A101" i="4"/>
  <c r="BN100" i="4"/>
  <c r="BK100" i="4"/>
  <c r="BJ100" i="4"/>
  <c r="BI100" i="4"/>
  <c r="BH100" i="4"/>
  <c r="BG100" i="4"/>
  <c r="BA100" i="4"/>
  <c r="AZ100" i="4"/>
  <c r="BF100" i="4" s="1"/>
  <c r="AV100" i="4"/>
  <c r="AS100" i="4"/>
  <c r="AV95" i="12" s="1"/>
  <c r="AW95" i="12" s="1"/>
  <c r="AO100" i="4"/>
  <c r="AQ95" i="12" s="1"/>
  <c r="AR95" i="12" s="1"/>
  <c r="AJ100" i="4"/>
  <c r="AH100" i="4"/>
  <c r="AG100" i="4"/>
  <c r="AE100" i="4"/>
  <c r="AD100" i="4"/>
  <c r="AC100" i="4"/>
  <c r="AB100" i="4"/>
  <c r="Y100" i="4"/>
  <c r="X100" i="4"/>
  <c r="W100" i="4"/>
  <c r="S100" i="4"/>
  <c r="R100" i="4"/>
  <c r="Q100" i="4"/>
  <c r="O100" i="4"/>
  <c r="K100" i="4"/>
  <c r="J100" i="4"/>
  <c r="G100" i="4"/>
  <c r="B100" i="4"/>
  <c r="C100" i="4" s="1" a="1"/>
  <c r="C100" i="4" s="1"/>
  <c r="A100" i="4"/>
  <c r="BN99" i="4"/>
  <c r="BK99" i="4"/>
  <c r="BJ99" i="4"/>
  <c r="BI99" i="4"/>
  <c r="BH99" i="4"/>
  <c r="BG99" i="4"/>
  <c r="BF99" i="4"/>
  <c r="BA99" i="4"/>
  <c r="AZ99" i="4"/>
  <c r="AV99" i="4"/>
  <c r="AS99" i="4"/>
  <c r="AV94" i="12" s="1"/>
  <c r="AW94" i="12" s="1"/>
  <c r="AO99" i="4"/>
  <c r="AQ94" i="12" s="1"/>
  <c r="AR94" i="12" s="1"/>
  <c r="AJ99" i="4"/>
  <c r="AG99" i="4"/>
  <c r="AF99" i="4"/>
  <c r="AE99" i="4"/>
  <c r="AD99" i="4"/>
  <c r="AC99" i="4"/>
  <c r="AB99" i="4"/>
  <c r="Y99" i="4"/>
  <c r="W99" i="4" s="1"/>
  <c r="X99" i="4"/>
  <c r="S99" i="4"/>
  <c r="R99" i="4"/>
  <c r="Q99" i="4"/>
  <c r="P99" i="4"/>
  <c r="G99" i="4"/>
  <c r="T99" i="4" s="1"/>
  <c r="C99" i="4" a="1"/>
  <c r="C99" i="4"/>
  <c r="B99" i="4"/>
  <c r="A99" i="4"/>
  <c r="BN98" i="4"/>
  <c r="BK98" i="4"/>
  <c r="BJ98" i="4"/>
  <c r="BI98" i="4"/>
  <c r="BH98" i="4"/>
  <c r="BG98" i="4"/>
  <c r="BA98" i="4"/>
  <c r="AZ98" i="4"/>
  <c r="BF98" i="4" s="1"/>
  <c r="AV98" i="4"/>
  <c r="AS98" i="4"/>
  <c r="AV93" i="12" s="1"/>
  <c r="AW93" i="12" s="1"/>
  <c r="AO98" i="4"/>
  <c r="AQ93" i="12" s="1"/>
  <c r="AR93" i="12" s="1"/>
  <c r="AJ98" i="4"/>
  <c r="AE98" i="4"/>
  <c r="AD98" i="4"/>
  <c r="AC98" i="4"/>
  <c r="AB98" i="4"/>
  <c r="Y98" i="4"/>
  <c r="X98" i="4"/>
  <c r="S98" i="4"/>
  <c r="R98" i="4"/>
  <c r="G98" i="4"/>
  <c r="C98" i="4"/>
  <c r="B98" i="4"/>
  <c r="C98" i="4" s="1" a="1"/>
  <c r="A98" i="4"/>
  <c r="BN97" i="4"/>
  <c r="BK97" i="4"/>
  <c r="BJ97" i="4"/>
  <c r="BI97" i="4"/>
  <c r="BH97" i="4"/>
  <c r="BA97" i="4"/>
  <c r="BG97" i="4" s="1"/>
  <c r="AZ97" i="4"/>
  <c r="BF97" i="4" s="1"/>
  <c r="AV97" i="4"/>
  <c r="AS97" i="4"/>
  <c r="AV92" i="12" s="1"/>
  <c r="AW92" i="12" s="1"/>
  <c r="AO97" i="4"/>
  <c r="AQ92" i="12" s="1"/>
  <c r="AR92" i="12" s="1"/>
  <c r="AJ97" i="4"/>
  <c r="AI97" i="4"/>
  <c r="AE97" i="4"/>
  <c r="AD97" i="4"/>
  <c r="AH97" i="4" s="1"/>
  <c r="AC97" i="4"/>
  <c r="AB97" i="4"/>
  <c r="Y97" i="4"/>
  <c r="X97" i="4"/>
  <c r="W97" i="4" s="1"/>
  <c r="T97" i="4"/>
  <c r="S97" i="4"/>
  <c r="R97" i="4"/>
  <c r="O97" i="4"/>
  <c r="K97" i="4"/>
  <c r="G97" i="4"/>
  <c r="B97" i="4"/>
  <c r="C97" i="4" s="1" a="1"/>
  <c r="C97" i="4" s="1"/>
  <c r="A97" i="4"/>
  <c r="BN96" i="4"/>
  <c r="BK96" i="4"/>
  <c r="BJ96" i="4"/>
  <c r="BI96" i="4"/>
  <c r="BH96" i="4"/>
  <c r="BA96" i="4"/>
  <c r="BG96" i="4" s="1"/>
  <c r="AZ96" i="4"/>
  <c r="BF96" i="4" s="1"/>
  <c r="AV96" i="4"/>
  <c r="AS96" i="4"/>
  <c r="AV91" i="12" s="1"/>
  <c r="AW91" i="12" s="1"/>
  <c r="AO96" i="4"/>
  <c r="AQ91" i="12" s="1"/>
  <c r="AR91" i="12" s="1"/>
  <c r="AJ96" i="4"/>
  <c r="AI96" i="4"/>
  <c r="AF96" i="4"/>
  <c r="AE96" i="4"/>
  <c r="AD96" i="4"/>
  <c r="AH96" i="4" s="1"/>
  <c r="AC96" i="4"/>
  <c r="AG96" i="4" s="1"/>
  <c r="AB96" i="4"/>
  <c r="Y96" i="4"/>
  <c r="X96" i="4"/>
  <c r="W96" i="4" s="1"/>
  <c r="T96" i="4"/>
  <c r="S96" i="4"/>
  <c r="R96" i="4"/>
  <c r="Q96" i="4"/>
  <c r="P96" i="4"/>
  <c r="O96" i="4"/>
  <c r="K96" i="4"/>
  <c r="J96" i="4"/>
  <c r="G96" i="4"/>
  <c r="C96" i="4" a="1"/>
  <c r="C96" i="4" s="1"/>
  <c r="B96" i="4"/>
  <c r="A96" i="4"/>
  <c r="BN95" i="4"/>
  <c r="BK95" i="4"/>
  <c r="BJ95" i="4"/>
  <c r="BI95" i="4"/>
  <c r="BH95" i="4"/>
  <c r="BG95" i="4"/>
  <c r="BA95" i="4"/>
  <c r="AZ95" i="4"/>
  <c r="BF95" i="4" s="1"/>
  <c r="AV95" i="4"/>
  <c r="AS95" i="4"/>
  <c r="AV90" i="12" s="1"/>
  <c r="AW90" i="12" s="1"/>
  <c r="AO95" i="4"/>
  <c r="AQ90" i="12" s="1"/>
  <c r="AR90" i="12" s="1"/>
  <c r="AJ95" i="4"/>
  <c r="AI95" i="4"/>
  <c r="AH95" i="4"/>
  <c r="AG95" i="4"/>
  <c r="AE95" i="4"/>
  <c r="AD95" i="4"/>
  <c r="AC95" i="4"/>
  <c r="AB95" i="4"/>
  <c r="AF95" i="4" s="1"/>
  <c r="Y95" i="4"/>
  <c r="X95" i="4"/>
  <c r="W95" i="4"/>
  <c r="S95" i="4"/>
  <c r="R95" i="4"/>
  <c r="Q95" i="4"/>
  <c r="P95" i="4"/>
  <c r="J95" i="4"/>
  <c r="G95" i="4"/>
  <c r="B95" i="4"/>
  <c r="C95" i="4" s="1" a="1"/>
  <c r="C95" i="4" s="1"/>
  <c r="A95" i="4"/>
  <c r="BN94" i="4"/>
  <c r="BK94" i="4"/>
  <c r="BJ94" i="4"/>
  <c r="BI94" i="4"/>
  <c r="BH94" i="4"/>
  <c r="BF94" i="4"/>
  <c r="BA94" i="4"/>
  <c r="BG94" i="4" s="1"/>
  <c r="AZ94" i="4"/>
  <c r="AV94" i="4"/>
  <c r="AS94" i="4"/>
  <c r="AV89" i="12" s="1"/>
  <c r="AW89" i="12" s="1"/>
  <c r="AO94" i="4"/>
  <c r="AQ89" i="12" s="1"/>
  <c r="AR89" i="12" s="1"/>
  <c r="AJ94" i="4"/>
  <c r="AH94" i="4"/>
  <c r="AF94" i="4"/>
  <c r="AE94" i="4"/>
  <c r="AG94" i="4" s="1"/>
  <c r="AD94" i="4"/>
  <c r="AC94" i="4"/>
  <c r="AB94" i="4"/>
  <c r="Y94" i="4"/>
  <c r="X94" i="4"/>
  <c r="W94" i="4"/>
  <c r="T94" i="4"/>
  <c r="S94" i="4"/>
  <c r="R94" i="4"/>
  <c r="Q94" i="4"/>
  <c r="P94" i="4"/>
  <c r="O94" i="4"/>
  <c r="G94" i="4"/>
  <c r="C94" i="4" a="1"/>
  <c r="C94" i="4" s="1"/>
  <c r="B94" i="4"/>
  <c r="A94" i="4"/>
  <c r="BN93" i="4"/>
  <c r="BK93" i="4"/>
  <c r="BJ93" i="4"/>
  <c r="BI93" i="4"/>
  <c r="BH93" i="4"/>
  <c r="BA93" i="4"/>
  <c r="BG93" i="4" s="1"/>
  <c r="AZ93" i="4"/>
  <c r="BF93" i="4" s="1"/>
  <c r="AV93" i="4"/>
  <c r="AS93" i="4"/>
  <c r="AV88" i="12" s="1"/>
  <c r="AW88" i="12" s="1"/>
  <c r="AO93" i="4"/>
  <c r="AQ88" i="12" s="1"/>
  <c r="AR88" i="12" s="1"/>
  <c r="AJ93" i="4"/>
  <c r="AI93" i="4"/>
  <c r="AG93" i="4"/>
  <c r="AF93" i="4"/>
  <c r="AE93" i="4"/>
  <c r="AD93" i="4"/>
  <c r="AH93" i="4" s="1"/>
  <c r="AC93" i="4"/>
  <c r="AB93" i="4"/>
  <c r="Y93" i="4"/>
  <c r="X93" i="4"/>
  <c r="W93" i="4" s="1"/>
  <c r="T93" i="4"/>
  <c r="S93" i="4"/>
  <c r="R93" i="4"/>
  <c r="Q93" i="4"/>
  <c r="P93" i="4"/>
  <c r="O93" i="4"/>
  <c r="K93" i="4"/>
  <c r="J93" i="4"/>
  <c r="G93" i="4"/>
  <c r="B93" i="4"/>
  <c r="C93" i="4" s="1" a="1"/>
  <c r="C93" i="4" s="1"/>
  <c r="A93" i="4"/>
  <c r="BN92" i="4"/>
  <c r="BK92" i="4"/>
  <c r="BJ92" i="4"/>
  <c r="BI92" i="4"/>
  <c r="BH92" i="4"/>
  <c r="BG92" i="4"/>
  <c r="BA92" i="4"/>
  <c r="AZ92" i="4"/>
  <c r="BF92" i="4" s="1"/>
  <c r="AV92" i="4"/>
  <c r="AS92" i="4"/>
  <c r="AV87" i="12" s="1"/>
  <c r="AW87" i="12" s="1"/>
  <c r="AO92" i="4"/>
  <c r="AQ87" i="12" s="1"/>
  <c r="AR87" i="12" s="1"/>
  <c r="AJ92" i="4"/>
  <c r="AI92" i="4"/>
  <c r="AH92" i="4"/>
  <c r="AE92" i="4"/>
  <c r="AF92" i="4" s="1"/>
  <c r="AD92" i="4"/>
  <c r="AC92" i="4"/>
  <c r="AG92" i="4" s="1"/>
  <c r="AB92" i="4"/>
  <c r="Y92" i="4"/>
  <c r="X92" i="4"/>
  <c r="W92" i="4" s="1"/>
  <c r="T92" i="4"/>
  <c r="S92" i="4"/>
  <c r="R92" i="4"/>
  <c r="P92" i="4"/>
  <c r="O92" i="4"/>
  <c r="K92" i="4"/>
  <c r="J92" i="4"/>
  <c r="G92" i="4"/>
  <c r="Q92" i="4" s="1"/>
  <c r="B92" i="4"/>
  <c r="C92" i="4" s="1" a="1"/>
  <c r="C92" i="4" s="1"/>
  <c r="A92" i="4"/>
  <c r="BN91" i="4"/>
  <c r="BK91" i="4"/>
  <c r="BJ91" i="4"/>
  <c r="BI91" i="4"/>
  <c r="BH91" i="4"/>
  <c r="BG91" i="4"/>
  <c r="BF91" i="4"/>
  <c r="BA91" i="4"/>
  <c r="AZ91" i="4"/>
  <c r="AV91" i="4"/>
  <c r="AS91" i="4"/>
  <c r="AV86" i="12" s="1"/>
  <c r="AW86" i="12" s="1"/>
  <c r="AO91" i="4"/>
  <c r="AQ86" i="12" s="1"/>
  <c r="AR86" i="12" s="1"/>
  <c r="AJ91" i="4"/>
  <c r="AE91" i="4"/>
  <c r="AD91" i="4"/>
  <c r="AH91" i="4" s="1"/>
  <c r="AC91" i="4"/>
  <c r="AG91" i="4" s="1"/>
  <c r="AB91" i="4"/>
  <c r="Y91" i="4"/>
  <c r="X91" i="4"/>
  <c r="W91" i="4"/>
  <c r="S91" i="4"/>
  <c r="R91" i="4"/>
  <c r="G91" i="4"/>
  <c r="P91" i="4" s="1"/>
  <c r="C91" i="4" a="1"/>
  <c r="C91" i="4"/>
  <c r="B91" i="4"/>
  <c r="A91" i="4"/>
  <c r="BN90" i="4"/>
  <c r="BK90" i="4"/>
  <c r="BJ90" i="4"/>
  <c r="BI90" i="4"/>
  <c r="BH90" i="4"/>
  <c r="BF90" i="4"/>
  <c r="BA90" i="4"/>
  <c r="BG90" i="4" s="1"/>
  <c r="AZ90" i="4"/>
  <c r="AV90" i="4"/>
  <c r="AS90" i="4"/>
  <c r="AV85" i="12" s="1"/>
  <c r="AW85" i="12" s="1"/>
  <c r="AO90" i="4"/>
  <c r="AQ85" i="12" s="1"/>
  <c r="AR85" i="12" s="1"/>
  <c r="AJ90" i="4"/>
  <c r="AG90" i="4"/>
  <c r="AF90" i="4"/>
  <c r="AE90" i="4"/>
  <c r="AD90" i="4"/>
  <c r="AH90" i="4" s="1"/>
  <c r="AC90" i="4"/>
  <c r="AB90" i="4"/>
  <c r="Y90" i="4"/>
  <c r="X90" i="4"/>
  <c r="W90" i="4" s="1"/>
  <c r="S90" i="4"/>
  <c r="R90" i="4"/>
  <c r="K90" i="4"/>
  <c r="G90" i="4"/>
  <c r="C90" i="4"/>
  <c r="B90" i="4"/>
  <c r="C90" i="4" s="1" a="1"/>
  <c r="A90" i="4"/>
  <c r="BN89" i="4"/>
  <c r="BK89" i="4"/>
  <c r="BJ89" i="4"/>
  <c r="BI89" i="4"/>
  <c r="BH89" i="4"/>
  <c r="BA89" i="4"/>
  <c r="BG89" i="4" s="1"/>
  <c r="AZ89" i="4"/>
  <c r="BF89" i="4" s="1"/>
  <c r="AV89" i="4"/>
  <c r="AS89" i="4"/>
  <c r="AV84" i="12" s="1"/>
  <c r="AW84" i="12" s="1"/>
  <c r="AO89" i="4"/>
  <c r="AQ84" i="12" s="1"/>
  <c r="AR84" i="12" s="1"/>
  <c r="AJ89" i="4"/>
  <c r="AE89" i="4"/>
  <c r="AF89" i="4" s="1"/>
  <c r="AD89" i="4"/>
  <c r="AC89" i="4"/>
  <c r="AH89" i="4" s="1"/>
  <c r="AB89" i="4"/>
  <c r="Y89" i="4"/>
  <c r="X89" i="4"/>
  <c r="W89" i="4" s="1"/>
  <c r="S89" i="4"/>
  <c r="R89" i="4"/>
  <c r="G89" i="4"/>
  <c r="B89" i="4"/>
  <c r="C89" i="4" s="1" a="1"/>
  <c r="C89" i="4" s="1"/>
  <c r="A89" i="4"/>
  <c r="BN88" i="4"/>
  <c r="BK88" i="4"/>
  <c r="BJ88" i="4"/>
  <c r="BI88" i="4"/>
  <c r="BH88" i="4"/>
  <c r="BA88" i="4"/>
  <c r="BG88" i="4" s="1"/>
  <c r="AZ88" i="4"/>
  <c r="BF88" i="4" s="1"/>
  <c r="AV88" i="4"/>
  <c r="AS88" i="4"/>
  <c r="AV83" i="12" s="1"/>
  <c r="AW83" i="12" s="1"/>
  <c r="AO88" i="4"/>
  <c r="AQ83" i="12" s="1"/>
  <c r="AR83" i="12" s="1"/>
  <c r="AJ88" i="4"/>
  <c r="AF88" i="4"/>
  <c r="AE88" i="4"/>
  <c r="AG88" i="4" s="1"/>
  <c r="AD88" i="4"/>
  <c r="AH88" i="4" s="1"/>
  <c r="AC88" i="4"/>
  <c r="AB88" i="4"/>
  <c r="Y88" i="4"/>
  <c r="X88" i="4"/>
  <c r="W88" i="4"/>
  <c r="T88" i="4"/>
  <c r="S88" i="4"/>
  <c r="R88" i="4"/>
  <c r="Q88" i="4"/>
  <c r="K88" i="4"/>
  <c r="G88" i="4"/>
  <c r="J88" i="4" s="1"/>
  <c r="C88" i="4" a="1"/>
  <c r="C88" i="4" s="1"/>
  <c r="B88" i="4"/>
  <c r="A88" i="4"/>
  <c r="BN87" i="4"/>
  <c r="BK87" i="4"/>
  <c r="BJ87" i="4"/>
  <c r="BI87" i="4"/>
  <c r="BH87" i="4"/>
  <c r="BA87" i="4"/>
  <c r="BG87" i="4" s="1"/>
  <c r="AZ87" i="4"/>
  <c r="BF87" i="4" s="1"/>
  <c r="AV87" i="4"/>
  <c r="AS87" i="4"/>
  <c r="AV82" i="12" s="1"/>
  <c r="AW82" i="12" s="1"/>
  <c r="AO87" i="4"/>
  <c r="AQ82" i="12" s="1"/>
  <c r="AR82" i="12" s="1"/>
  <c r="AJ87" i="4"/>
  <c r="AI87" i="4"/>
  <c r="AE87" i="4"/>
  <c r="AF87" i="4" s="1"/>
  <c r="AD87" i="4"/>
  <c r="AC87" i="4"/>
  <c r="AG87" i="4" s="1"/>
  <c r="AB87" i="4"/>
  <c r="Y87" i="4"/>
  <c r="X87" i="4"/>
  <c r="W87" i="4"/>
  <c r="T87" i="4"/>
  <c r="S87" i="4"/>
  <c r="R87" i="4"/>
  <c r="P87" i="4"/>
  <c r="O87" i="4"/>
  <c r="K87" i="4"/>
  <c r="J87" i="4"/>
  <c r="G87" i="4"/>
  <c r="Q87" i="4" s="1"/>
  <c r="C87" i="4" a="1"/>
  <c r="C87" i="4"/>
  <c r="B87" i="4"/>
  <c r="A87" i="4"/>
  <c r="BN86" i="4"/>
  <c r="BK86" i="4"/>
  <c r="BJ86" i="4"/>
  <c r="BI86" i="4"/>
  <c r="BH86" i="4"/>
  <c r="BG86" i="4"/>
  <c r="BA86" i="4"/>
  <c r="AZ86" i="4"/>
  <c r="BF86" i="4" s="1"/>
  <c r="AV86" i="4"/>
  <c r="AS86" i="4"/>
  <c r="AV81" i="12" s="1"/>
  <c r="AW81" i="12" s="1"/>
  <c r="AO86" i="4"/>
  <c r="AQ81" i="12" s="1"/>
  <c r="AR81" i="12" s="1"/>
  <c r="AJ86" i="4"/>
  <c r="AH86" i="4"/>
  <c r="AE86" i="4"/>
  <c r="AF86" i="4" s="1"/>
  <c r="AD86" i="4"/>
  <c r="AC86" i="4"/>
  <c r="AB86" i="4"/>
  <c r="Y86" i="4"/>
  <c r="X86" i="4"/>
  <c r="W86" i="4"/>
  <c r="S86" i="4"/>
  <c r="R86" i="4"/>
  <c r="Q86" i="4"/>
  <c r="O86" i="4"/>
  <c r="K86" i="4"/>
  <c r="J86" i="4"/>
  <c r="G86" i="4"/>
  <c r="B86" i="4"/>
  <c r="C86" i="4" s="1" a="1"/>
  <c r="C86" i="4" s="1"/>
  <c r="A86" i="4"/>
  <c r="BN85" i="4"/>
  <c r="BK85" i="4"/>
  <c r="BJ85" i="4"/>
  <c r="BI85" i="4"/>
  <c r="BH85" i="4"/>
  <c r="BF85" i="4"/>
  <c r="BA85" i="4"/>
  <c r="BG85" i="4" s="1"/>
  <c r="AZ85" i="4"/>
  <c r="AV85" i="4"/>
  <c r="AS85" i="4"/>
  <c r="AV80" i="12" s="1"/>
  <c r="AW80" i="12" s="1"/>
  <c r="AO85" i="4"/>
  <c r="AQ80" i="12" s="1"/>
  <c r="AR80" i="12" s="1"/>
  <c r="AJ85" i="4"/>
  <c r="AG85" i="4"/>
  <c r="AF85" i="4"/>
  <c r="AE85" i="4"/>
  <c r="AD85" i="4"/>
  <c r="AC85" i="4"/>
  <c r="AB85" i="4"/>
  <c r="Y85" i="4"/>
  <c r="X85" i="4"/>
  <c r="W85" i="4"/>
  <c r="T85" i="4"/>
  <c r="S85" i="4"/>
  <c r="R85" i="4"/>
  <c r="Q85" i="4"/>
  <c r="P85" i="4"/>
  <c r="K85" i="4"/>
  <c r="G85" i="4"/>
  <c r="B85" i="4"/>
  <c r="C85" i="4" s="1" a="1"/>
  <c r="C85" i="4" s="1"/>
  <c r="A85" i="4"/>
  <c r="BN84" i="4"/>
  <c r="BK84" i="4"/>
  <c r="BJ84" i="4"/>
  <c r="BI84" i="4"/>
  <c r="BH84" i="4"/>
  <c r="BG84" i="4"/>
  <c r="BF84" i="4"/>
  <c r="BA84" i="4"/>
  <c r="AZ84" i="4"/>
  <c r="AV84" i="4"/>
  <c r="AS84" i="4"/>
  <c r="AV79" i="12" s="1"/>
  <c r="AW79" i="12" s="1"/>
  <c r="AO84" i="4"/>
  <c r="AQ79" i="12" s="1"/>
  <c r="AR79" i="12" s="1"/>
  <c r="AJ84" i="4"/>
  <c r="AE84" i="4"/>
  <c r="AF84" i="4" s="1"/>
  <c r="AD84" i="4"/>
  <c r="AC84" i="4"/>
  <c r="AB84" i="4"/>
  <c r="Y84" i="4"/>
  <c r="X84" i="4"/>
  <c r="T84" i="4"/>
  <c r="S84" i="4"/>
  <c r="R84" i="4"/>
  <c r="P84" i="4"/>
  <c r="G84" i="4"/>
  <c r="J84" i="4" s="1"/>
  <c r="B84" i="4"/>
  <c r="C84" i="4" s="1" a="1"/>
  <c r="C84" i="4" s="1"/>
  <c r="A84" i="4"/>
  <c r="BN83" i="4"/>
  <c r="BK83" i="4"/>
  <c r="BJ83" i="4"/>
  <c r="BI83" i="4"/>
  <c r="BH83" i="4"/>
  <c r="BF83" i="4"/>
  <c r="BA83" i="4"/>
  <c r="BG83" i="4" s="1"/>
  <c r="AZ83" i="4"/>
  <c r="AV83" i="4"/>
  <c r="AS83" i="4"/>
  <c r="AV78" i="12" s="1"/>
  <c r="AW78" i="12" s="1"/>
  <c r="AO83" i="4"/>
  <c r="AQ78" i="12" s="1"/>
  <c r="AR78" i="12" s="1"/>
  <c r="AJ83" i="4"/>
  <c r="AI83" i="4"/>
  <c r="AH83" i="4"/>
  <c r="AE83" i="4"/>
  <c r="AD83" i="4"/>
  <c r="AC83" i="4"/>
  <c r="AB83" i="4"/>
  <c r="Y83" i="4"/>
  <c r="X83" i="4"/>
  <c r="W83" i="4" s="1"/>
  <c r="S83" i="4"/>
  <c r="R83" i="4"/>
  <c r="K83" i="4"/>
  <c r="G83" i="4"/>
  <c r="C83" i="4" a="1"/>
  <c r="C83" i="4" s="1"/>
  <c r="B83" i="4"/>
  <c r="A83" i="4"/>
  <c r="BN82" i="4"/>
  <c r="BK82" i="4"/>
  <c r="BJ82" i="4"/>
  <c r="BI82" i="4"/>
  <c r="BH82" i="4"/>
  <c r="BA82" i="4"/>
  <c r="BG82" i="4" s="1"/>
  <c r="AZ82" i="4"/>
  <c r="BF82" i="4" s="1"/>
  <c r="AV82" i="4"/>
  <c r="AS82" i="4"/>
  <c r="AV77" i="12" s="1"/>
  <c r="AW77" i="12" s="1"/>
  <c r="AO82" i="4"/>
  <c r="AQ77" i="12" s="1"/>
  <c r="AR77" i="12" s="1"/>
  <c r="AJ82" i="4"/>
  <c r="AI82" i="4"/>
  <c r="AF82" i="4"/>
  <c r="AE82" i="4"/>
  <c r="AD82" i="4"/>
  <c r="AC82" i="4"/>
  <c r="AH82" i="4" s="1"/>
  <c r="AB82" i="4"/>
  <c r="Y82" i="4"/>
  <c r="X82" i="4"/>
  <c r="W82" i="4" s="1"/>
  <c r="T82" i="4"/>
  <c r="S82" i="4"/>
  <c r="R82" i="4"/>
  <c r="Q82" i="4"/>
  <c r="P82" i="4"/>
  <c r="O82" i="4"/>
  <c r="K82" i="4"/>
  <c r="J82" i="4"/>
  <c r="G82" i="4"/>
  <c r="C82" i="4" a="1"/>
  <c r="C82" i="4" s="1"/>
  <c r="B82" i="4"/>
  <c r="A82" i="4"/>
  <c r="BN81" i="4"/>
  <c r="BK81" i="4"/>
  <c r="BJ81" i="4"/>
  <c r="BI81" i="4"/>
  <c r="BH81" i="4"/>
  <c r="BG81" i="4"/>
  <c r="BA81" i="4"/>
  <c r="AZ81" i="4"/>
  <c r="BF81" i="4" s="1"/>
  <c r="AV81" i="4"/>
  <c r="AS81" i="4"/>
  <c r="AV76" i="12" s="1"/>
  <c r="AW76" i="12" s="1"/>
  <c r="AO81" i="4"/>
  <c r="AQ76" i="12" s="1"/>
  <c r="AR76" i="12" s="1"/>
  <c r="AJ81" i="4"/>
  <c r="AH81" i="4"/>
  <c r="AG81" i="4"/>
  <c r="AF81" i="4"/>
  <c r="AE81" i="4"/>
  <c r="AD81" i="4"/>
  <c r="AC81" i="4"/>
  <c r="AB81" i="4"/>
  <c r="Y81" i="4"/>
  <c r="X81" i="4"/>
  <c r="W81" i="4"/>
  <c r="S81" i="4"/>
  <c r="R81" i="4"/>
  <c r="Q81" i="4"/>
  <c r="G81" i="4"/>
  <c r="B81" i="4"/>
  <c r="C81" i="4" s="1" a="1"/>
  <c r="C81" i="4" s="1"/>
  <c r="A81" i="4"/>
  <c r="BN80" i="4"/>
  <c r="BK80" i="4"/>
  <c r="BJ80" i="4"/>
  <c r="BI80" i="4"/>
  <c r="BH80" i="4"/>
  <c r="BF80" i="4"/>
  <c r="BA80" i="4"/>
  <c r="BG80" i="4" s="1"/>
  <c r="AZ80" i="4"/>
  <c r="AV80" i="4"/>
  <c r="AS80" i="4"/>
  <c r="AV75" i="12" s="1"/>
  <c r="AW75" i="12" s="1"/>
  <c r="AO80" i="4"/>
  <c r="AQ75" i="12" s="1"/>
  <c r="AR75" i="12" s="1"/>
  <c r="AJ80" i="4"/>
  <c r="AH80" i="4"/>
  <c r="AE80" i="4"/>
  <c r="AD80" i="4"/>
  <c r="AC80" i="4"/>
  <c r="AB80" i="4"/>
  <c r="Y80" i="4"/>
  <c r="W80" i="4" s="1"/>
  <c r="X80" i="4"/>
  <c r="S80" i="4"/>
  <c r="R80" i="4"/>
  <c r="O80" i="4"/>
  <c r="G80" i="4"/>
  <c r="B80" i="4"/>
  <c r="C80" i="4" s="1" a="1"/>
  <c r="C80" i="4" s="1"/>
  <c r="A80" i="4"/>
  <c r="BN79" i="4"/>
  <c r="BK79" i="4"/>
  <c r="BJ79" i="4"/>
  <c r="BI79" i="4"/>
  <c r="BH79" i="4"/>
  <c r="BA79" i="4"/>
  <c r="BG79" i="4" s="1"/>
  <c r="AZ79" i="4"/>
  <c r="BF79" i="4" s="1"/>
  <c r="AV79" i="4"/>
  <c r="AS79" i="4"/>
  <c r="AV74" i="12" s="1"/>
  <c r="AW74" i="12" s="1"/>
  <c r="AO79" i="4"/>
  <c r="AQ74" i="12" s="1"/>
  <c r="AR74" i="12" s="1"/>
  <c r="AJ79" i="4"/>
  <c r="AI79" i="4"/>
  <c r="AE79" i="4"/>
  <c r="AG79" i="4" s="1"/>
  <c r="AD79" i="4"/>
  <c r="AH79" i="4" s="1"/>
  <c r="AC79" i="4"/>
  <c r="AB79" i="4"/>
  <c r="Y79" i="4"/>
  <c r="X79" i="4"/>
  <c r="W79" i="4" s="1"/>
  <c r="T79" i="4"/>
  <c r="S79" i="4"/>
  <c r="R79" i="4"/>
  <c r="Q79" i="4"/>
  <c r="P79" i="4"/>
  <c r="O79" i="4"/>
  <c r="K79" i="4"/>
  <c r="J79" i="4"/>
  <c r="G79" i="4"/>
  <c r="B79" i="4"/>
  <c r="C79" i="4" s="1" a="1"/>
  <c r="C79" i="4" s="1"/>
  <c r="A79" i="4"/>
  <c r="BN78" i="4"/>
  <c r="BK78" i="4"/>
  <c r="BJ78" i="4"/>
  <c r="BI78" i="4"/>
  <c r="BH78" i="4"/>
  <c r="BG78" i="4"/>
  <c r="BA78" i="4"/>
  <c r="AZ78" i="4"/>
  <c r="BF78" i="4" s="1"/>
  <c r="AV78" i="4"/>
  <c r="AS78" i="4"/>
  <c r="AV73" i="12" s="1"/>
  <c r="AW73" i="12" s="1"/>
  <c r="AO78" i="4"/>
  <c r="AQ73" i="12" s="1"/>
  <c r="AR73" i="12" s="1"/>
  <c r="AJ78" i="4"/>
  <c r="AI78" i="4"/>
  <c r="AH78" i="4"/>
  <c r="AF78" i="4"/>
  <c r="AE78" i="4"/>
  <c r="AD78" i="4"/>
  <c r="AC78" i="4"/>
  <c r="AG78" i="4" s="1"/>
  <c r="AB78" i="4"/>
  <c r="Y78" i="4"/>
  <c r="X78" i="4"/>
  <c r="W78" i="4" s="1"/>
  <c r="T78" i="4"/>
  <c r="S78" i="4"/>
  <c r="R78" i="4"/>
  <c r="Q78" i="4"/>
  <c r="P78" i="4"/>
  <c r="O78" i="4"/>
  <c r="K78" i="4"/>
  <c r="J78" i="4"/>
  <c r="G78" i="4"/>
  <c r="B78" i="4"/>
  <c r="C78" i="4" s="1" a="1"/>
  <c r="C78" i="4" s="1"/>
  <c r="A78" i="4"/>
  <c r="BN77" i="4"/>
  <c r="BK77" i="4"/>
  <c r="BJ77" i="4"/>
  <c r="BI77" i="4"/>
  <c r="BH77" i="4"/>
  <c r="BG77" i="4"/>
  <c r="BF77" i="4"/>
  <c r="BA77" i="4"/>
  <c r="AZ77" i="4"/>
  <c r="AV77" i="4"/>
  <c r="AS77" i="4"/>
  <c r="AV72" i="12" s="1"/>
  <c r="AW72" i="12" s="1"/>
  <c r="AO77" i="4"/>
  <c r="AQ72" i="12" s="1"/>
  <c r="AR72" i="12" s="1"/>
  <c r="AJ77" i="4"/>
  <c r="AE77" i="4"/>
  <c r="AD77" i="4"/>
  <c r="AH77" i="4" s="1"/>
  <c r="AC77" i="4"/>
  <c r="AG77" i="4" s="1"/>
  <c r="AB77" i="4"/>
  <c r="Y77" i="4"/>
  <c r="X77" i="4"/>
  <c r="W77" i="4"/>
  <c r="S77" i="4"/>
  <c r="R77" i="4"/>
  <c r="G77" i="4"/>
  <c r="P77" i="4" s="1"/>
  <c r="C77" i="4" a="1"/>
  <c r="C77" i="4"/>
  <c r="B77" i="4"/>
  <c r="A77" i="4"/>
  <c r="BN76" i="4"/>
  <c r="BK76" i="4"/>
  <c r="BJ76" i="4"/>
  <c r="BI76" i="4"/>
  <c r="BH76" i="4"/>
  <c r="BF76" i="4"/>
  <c r="BA76" i="4"/>
  <c r="BG76" i="4" s="1"/>
  <c r="AZ76" i="4"/>
  <c r="AV76" i="4"/>
  <c r="AS76" i="4"/>
  <c r="AV71" i="12" s="1"/>
  <c r="AW71" i="12" s="1"/>
  <c r="AO76" i="4"/>
  <c r="AQ71" i="12" s="1"/>
  <c r="AR71" i="12" s="1"/>
  <c r="AJ76" i="4"/>
  <c r="AG76" i="4"/>
  <c r="AF76" i="4"/>
  <c r="AE76" i="4"/>
  <c r="AD76" i="4"/>
  <c r="AH76" i="4" s="1"/>
  <c r="AC76" i="4"/>
  <c r="AB76" i="4"/>
  <c r="Y76" i="4"/>
  <c r="X76" i="4"/>
  <c r="W76" i="4" s="1"/>
  <c r="S76" i="4"/>
  <c r="R76" i="4"/>
  <c r="K76" i="4"/>
  <c r="J76" i="4"/>
  <c r="G76" i="4"/>
  <c r="C76" i="4"/>
  <c r="B76" i="4"/>
  <c r="C76" i="4" s="1" a="1"/>
  <c r="A76" i="4"/>
  <c r="BN75" i="4"/>
  <c r="BK75" i="4"/>
  <c r="BJ75" i="4"/>
  <c r="BI75" i="4"/>
  <c r="BH75" i="4"/>
  <c r="BA75" i="4"/>
  <c r="BG75" i="4" s="1"/>
  <c r="AZ75" i="4"/>
  <c r="BF75" i="4" s="1"/>
  <c r="AV75" i="4"/>
  <c r="AS75" i="4"/>
  <c r="AV70" i="12" s="1"/>
  <c r="AW70" i="12" s="1"/>
  <c r="AO75" i="4"/>
  <c r="AQ70" i="12" s="1"/>
  <c r="AR70" i="12" s="1"/>
  <c r="AJ75" i="4"/>
  <c r="AE75" i="4"/>
  <c r="AF75" i="4" s="1"/>
  <c r="AD75" i="4"/>
  <c r="AC75" i="4"/>
  <c r="AH75" i="4" s="1"/>
  <c r="AB75" i="4"/>
  <c r="Y75" i="4"/>
  <c r="X75" i="4"/>
  <c r="W75" i="4" s="1"/>
  <c r="S75" i="4"/>
  <c r="R75" i="4"/>
  <c r="G75" i="4"/>
  <c r="B75" i="4"/>
  <c r="C75" i="4" s="1" a="1"/>
  <c r="C75" i="4" s="1"/>
  <c r="A75" i="4"/>
  <c r="BN74" i="4"/>
  <c r="BK74" i="4"/>
  <c r="BJ74" i="4"/>
  <c r="BI74" i="4"/>
  <c r="BH74" i="4"/>
  <c r="BA74" i="4"/>
  <c r="BG74" i="4" s="1"/>
  <c r="AZ74" i="4"/>
  <c r="BF74" i="4" s="1"/>
  <c r="AV74" i="4"/>
  <c r="AS74" i="4"/>
  <c r="AV69" i="12" s="1"/>
  <c r="AW69" i="12" s="1"/>
  <c r="AO74" i="4"/>
  <c r="AQ69" i="12" s="1"/>
  <c r="AR69" i="12" s="1"/>
  <c r="AJ74" i="4"/>
  <c r="AF74" i="4"/>
  <c r="AE74" i="4"/>
  <c r="AG74" i="4" s="1"/>
  <c r="AD74" i="4"/>
  <c r="AH74" i="4" s="1"/>
  <c r="AC74" i="4"/>
  <c r="AB74" i="4"/>
  <c r="Y74" i="4"/>
  <c r="X74" i="4"/>
  <c r="W74" i="4"/>
  <c r="T74" i="4"/>
  <c r="S74" i="4"/>
  <c r="R74" i="4"/>
  <c r="Q74" i="4"/>
  <c r="K74" i="4"/>
  <c r="G74" i="4"/>
  <c r="J74" i="4" s="1"/>
  <c r="C74" i="4" a="1"/>
  <c r="C74" i="4" s="1"/>
  <c r="B74" i="4"/>
  <c r="A74" i="4"/>
  <c r="BN73" i="4"/>
  <c r="BK73" i="4"/>
  <c r="BJ73" i="4"/>
  <c r="BI73" i="4"/>
  <c r="BH73" i="4"/>
  <c r="BA73" i="4"/>
  <c r="BG73" i="4" s="1"/>
  <c r="AZ73" i="4"/>
  <c r="BF73" i="4" s="1"/>
  <c r="AV73" i="4"/>
  <c r="AS73" i="4"/>
  <c r="AV68" i="12" s="1"/>
  <c r="AW68" i="12" s="1"/>
  <c r="AO73" i="4"/>
  <c r="AQ68" i="12" s="1"/>
  <c r="AR68" i="12" s="1"/>
  <c r="AJ73" i="4"/>
  <c r="AI73" i="4"/>
  <c r="AE73" i="4"/>
  <c r="AF73" i="4" s="1"/>
  <c r="AD73" i="4"/>
  <c r="AC73" i="4"/>
  <c r="AG73" i="4" s="1"/>
  <c r="AB73" i="4"/>
  <c r="Y73" i="4"/>
  <c r="X73" i="4"/>
  <c r="W73" i="4"/>
  <c r="T73" i="4"/>
  <c r="S73" i="4"/>
  <c r="R73" i="4"/>
  <c r="P73" i="4"/>
  <c r="O73" i="4"/>
  <c r="K73" i="4"/>
  <c r="J73" i="4"/>
  <c r="G73" i="4"/>
  <c r="Q73" i="4" s="1"/>
  <c r="C73" i="4" a="1"/>
  <c r="C73" i="4"/>
  <c r="B73" i="4"/>
  <c r="A73" i="4"/>
  <c r="BN72" i="4"/>
  <c r="BK72" i="4"/>
  <c r="BJ72" i="4"/>
  <c r="BI72" i="4"/>
  <c r="BH72" i="4"/>
  <c r="BG72" i="4"/>
  <c r="BA72" i="4"/>
  <c r="AZ72" i="4"/>
  <c r="BF72" i="4" s="1"/>
  <c r="AV72" i="4"/>
  <c r="AS72" i="4"/>
  <c r="AV67" i="12" s="1"/>
  <c r="AW67" i="12" s="1"/>
  <c r="AO72" i="4"/>
  <c r="AQ67" i="12" s="1"/>
  <c r="AR67" i="12" s="1"/>
  <c r="AJ72" i="4"/>
  <c r="AH72" i="4"/>
  <c r="AE72" i="4"/>
  <c r="AF72" i="4" s="1"/>
  <c r="AD72" i="4"/>
  <c r="AC72" i="4"/>
  <c r="AB72" i="4"/>
  <c r="Y72" i="4"/>
  <c r="X72" i="4"/>
  <c r="W72" i="4"/>
  <c r="S72" i="4"/>
  <c r="R72" i="4"/>
  <c r="Q72" i="4"/>
  <c r="O72" i="4"/>
  <c r="K72" i="4"/>
  <c r="J72" i="4"/>
  <c r="G72" i="4"/>
  <c r="B72" i="4"/>
  <c r="C72" i="4" s="1" a="1"/>
  <c r="C72" i="4" s="1"/>
  <c r="A72" i="4"/>
  <c r="BN71" i="4"/>
  <c r="BK71" i="4"/>
  <c r="BJ71" i="4"/>
  <c r="BI71" i="4"/>
  <c r="BH71" i="4"/>
  <c r="BG71" i="4"/>
  <c r="BF71" i="4"/>
  <c r="BA71" i="4"/>
  <c r="AZ71" i="4"/>
  <c r="AV71" i="4"/>
  <c r="AS71" i="4"/>
  <c r="AV66" i="12" s="1"/>
  <c r="AW66" i="12" s="1"/>
  <c r="AO71" i="4"/>
  <c r="AQ66" i="12" s="1"/>
  <c r="AR66" i="12" s="1"/>
  <c r="AJ71" i="4"/>
  <c r="AG71" i="4"/>
  <c r="AF71" i="4"/>
  <c r="AE71" i="4"/>
  <c r="AD71" i="4"/>
  <c r="AC71" i="4"/>
  <c r="AB71" i="4"/>
  <c r="Y71" i="4"/>
  <c r="W71" i="4" s="1"/>
  <c r="X71" i="4"/>
  <c r="T71" i="4"/>
  <c r="S71" i="4"/>
  <c r="R71" i="4"/>
  <c r="Q71" i="4"/>
  <c r="P71" i="4"/>
  <c r="K71" i="4"/>
  <c r="G71" i="4"/>
  <c r="C71" i="4" a="1"/>
  <c r="C71" i="4" s="1"/>
  <c r="B71" i="4"/>
  <c r="A71" i="4"/>
  <c r="BN70" i="4"/>
  <c r="BK70" i="4"/>
  <c r="BJ70" i="4"/>
  <c r="BI70" i="4"/>
  <c r="BH70" i="4"/>
  <c r="BG70" i="4"/>
  <c r="BF70" i="4"/>
  <c r="BA70" i="4"/>
  <c r="AZ70" i="4"/>
  <c r="AV70" i="4"/>
  <c r="AS70" i="4"/>
  <c r="AV65" i="12" s="1"/>
  <c r="AW65" i="12" s="1"/>
  <c r="AO70" i="4"/>
  <c r="AQ65" i="12" s="1"/>
  <c r="AR65" i="12" s="1"/>
  <c r="AJ70" i="4"/>
  <c r="AE70" i="4"/>
  <c r="AF70" i="4" s="1"/>
  <c r="AD70" i="4"/>
  <c r="AC70" i="4"/>
  <c r="AB70" i="4"/>
  <c r="Y70" i="4"/>
  <c r="X70" i="4"/>
  <c r="T70" i="4"/>
  <c r="S70" i="4"/>
  <c r="R70" i="4"/>
  <c r="P70" i="4"/>
  <c r="G70" i="4"/>
  <c r="J70" i="4" s="1"/>
  <c r="B70" i="4"/>
  <c r="C70" i="4" s="1" a="1"/>
  <c r="C70" i="4" s="1"/>
  <c r="A70" i="4"/>
  <c r="BN69" i="4"/>
  <c r="BK69" i="4"/>
  <c r="BJ69" i="4"/>
  <c r="BI69" i="4"/>
  <c r="BH69" i="4"/>
  <c r="BF69" i="4"/>
  <c r="BA69" i="4"/>
  <c r="BG69" i="4" s="1"/>
  <c r="AZ69" i="4"/>
  <c r="AV69" i="4"/>
  <c r="AS69" i="4"/>
  <c r="AV64" i="12" s="1"/>
  <c r="AW64" i="12" s="1"/>
  <c r="AO69" i="4"/>
  <c r="AQ64" i="12" s="1"/>
  <c r="AR64" i="12" s="1"/>
  <c r="AJ69" i="4"/>
  <c r="AI69" i="4"/>
  <c r="AH69" i="4"/>
  <c r="AE69" i="4"/>
  <c r="AD69" i="4"/>
  <c r="AC69" i="4"/>
  <c r="AB69" i="4"/>
  <c r="Y69" i="4"/>
  <c r="X69" i="4"/>
  <c r="W69" i="4" s="1"/>
  <c r="S69" i="4"/>
  <c r="R69" i="4"/>
  <c r="K69" i="4"/>
  <c r="G69" i="4"/>
  <c r="C69" i="4" a="1"/>
  <c r="C69" i="4" s="1"/>
  <c r="B69" i="4"/>
  <c r="A69" i="4"/>
  <c r="BN68" i="4"/>
  <c r="BK68" i="4"/>
  <c r="BJ68" i="4"/>
  <c r="BI68" i="4"/>
  <c r="BH68" i="4"/>
  <c r="BA68" i="4"/>
  <c r="BG68" i="4" s="1"/>
  <c r="AZ68" i="4"/>
  <c r="BF68" i="4" s="1"/>
  <c r="AV68" i="4"/>
  <c r="AS68" i="4"/>
  <c r="AV63" i="12" s="1"/>
  <c r="AW63" i="12" s="1"/>
  <c r="AO68" i="4"/>
  <c r="AQ63" i="12" s="1"/>
  <c r="AR63" i="12" s="1"/>
  <c r="AJ68" i="4"/>
  <c r="AI68" i="4"/>
  <c r="AF68" i="4"/>
  <c r="AE68" i="4"/>
  <c r="AD68" i="4"/>
  <c r="AC68" i="4"/>
  <c r="AH68" i="4" s="1"/>
  <c r="AB68" i="4"/>
  <c r="Y68" i="4"/>
  <c r="X68" i="4"/>
  <c r="W68" i="4" s="1"/>
  <c r="T68" i="4"/>
  <c r="S68" i="4"/>
  <c r="R68" i="4"/>
  <c r="Q68" i="4"/>
  <c r="P68" i="4"/>
  <c r="O68" i="4"/>
  <c r="K68" i="4"/>
  <c r="J68" i="4"/>
  <c r="G68" i="4"/>
  <c r="C68" i="4" a="1"/>
  <c r="C68" i="4" s="1"/>
  <c r="B68" i="4"/>
  <c r="A68" i="4"/>
  <c r="BN67" i="4"/>
  <c r="BK67" i="4"/>
  <c r="BJ67" i="4"/>
  <c r="BI67" i="4"/>
  <c r="BH67" i="4"/>
  <c r="BG67" i="4"/>
  <c r="BA67" i="4"/>
  <c r="AZ67" i="4"/>
  <c r="BF67" i="4" s="1"/>
  <c r="AV67" i="4"/>
  <c r="AS67" i="4"/>
  <c r="AV62" i="12" s="1"/>
  <c r="AW62" i="12" s="1"/>
  <c r="AO67" i="4"/>
  <c r="AQ62" i="12" s="1"/>
  <c r="AR62" i="12" s="1"/>
  <c r="AJ67" i="4"/>
  <c r="AH67" i="4"/>
  <c r="AG67" i="4"/>
  <c r="AF67" i="4"/>
  <c r="AE67" i="4"/>
  <c r="AD67" i="4"/>
  <c r="AC67" i="4"/>
  <c r="AB67" i="4"/>
  <c r="Y67" i="4"/>
  <c r="X67" i="4"/>
  <c r="W67" i="4"/>
  <c r="S67" i="4"/>
  <c r="R67" i="4"/>
  <c r="Q67" i="4"/>
  <c r="P67" i="4"/>
  <c r="J67" i="4"/>
  <c r="G67" i="4"/>
  <c r="B67" i="4"/>
  <c r="C67" i="4" s="1" a="1"/>
  <c r="C67" i="4" s="1"/>
  <c r="A67" i="4"/>
  <c r="BN66" i="4"/>
  <c r="BK66" i="4"/>
  <c r="BJ66" i="4"/>
  <c r="BI66" i="4"/>
  <c r="BH66" i="4"/>
  <c r="BF66" i="4"/>
  <c r="BA66" i="4"/>
  <c r="BG66" i="4" s="1"/>
  <c r="AZ66" i="4"/>
  <c r="AV66" i="4"/>
  <c r="AS66" i="4"/>
  <c r="AV61" i="12" s="1"/>
  <c r="AW61" i="12" s="1"/>
  <c r="AO66" i="4"/>
  <c r="AQ61" i="12" s="1"/>
  <c r="AR61" i="12" s="1"/>
  <c r="AJ66" i="4"/>
  <c r="AH66" i="4"/>
  <c r="AE66" i="4"/>
  <c r="AD66" i="4"/>
  <c r="AC66" i="4"/>
  <c r="AB66" i="4"/>
  <c r="Y66" i="4"/>
  <c r="W66" i="4" s="1"/>
  <c r="X66" i="4"/>
  <c r="S66" i="4"/>
  <c r="R66" i="4"/>
  <c r="O66" i="4"/>
  <c r="G66" i="4"/>
  <c r="B66" i="4"/>
  <c r="C66" i="4" s="1" a="1"/>
  <c r="C66" i="4" s="1"/>
  <c r="A66" i="4"/>
  <c r="BN65" i="4"/>
  <c r="BK65" i="4"/>
  <c r="BJ65" i="4"/>
  <c r="BI65" i="4"/>
  <c r="BH65" i="4"/>
  <c r="BA65" i="4"/>
  <c r="BG65" i="4" s="1"/>
  <c r="AZ65" i="4"/>
  <c r="BF65" i="4" s="1"/>
  <c r="AV65" i="4"/>
  <c r="AS65" i="4"/>
  <c r="AV60" i="12" s="1"/>
  <c r="AW60" i="12" s="1"/>
  <c r="AO65" i="4"/>
  <c r="AQ60" i="12" s="1"/>
  <c r="AR60" i="12" s="1"/>
  <c r="AJ65" i="4"/>
  <c r="AI65" i="4"/>
  <c r="AG65" i="4"/>
  <c r="AF65" i="4"/>
  <c r="AE65" i="4"/>
  <c r="AD65" i="4"/>
  <c r="AH65" i="4" s="1"/>
  <c r="AC65" i="4"/>
  <c r="AB65" i="4"/>
  <c r="Y65" i="4"/>
  <c r="X65" i="4"/>
  <c r="W65" i="4" s="1"/>
  <c r="T65" i="4"/>
  <c r="S65" i="4"/>
  <c r="R65" i="4"/>
  <c r="Q65" i="4"/>
  <c r="P65" i="4"/>
  <c r="O65" i="4"/>
  <c r="K65" i="4"/>
  <c r="J65" i="4"/>
  <c r="G65" i="4"/>
  <c r="B65" i="4"/>
  <c r="C65" i="4" s="1" a="1"/>
  <c r="C65" i="4" s="1"/>
  <c r="A65" i="4"/>
  <c r="BN64" i="4"/>
  <c r="BK64" i="4"/>
  <c r="BJ64" i="4"/>
  <c r="BI64" i="4"/>
  <c r="BH64" i="4"/>
  <c r="BG64" i="4"/>
  <c r="BA64" i="4"/>
  <c r="AZ64" i="4"/>
  <c r="BF64" i="4" s="1"/>
  <c r="AV64" i="4"/>
  <c r="AS64" i="4"/>
  <c r="AV59" i="12" s="1"/>
  <c r="AW59" i="12" s="1"/>
  <c r="AO64" i="4"/>
  <c r="AQ59" i="12" s="1"/>
  <c r="AR59" i="12" s="1"/>
  <c r="AJ64" i="4"/>
  <c r="AI64" i="4"/>
  <c r="AH64" i="4"/>
  <c r="AF64" i="4"/>
  <c r="AE64" i="4"/>
  <c r="AD64" i="4"/>
  <c r="AC64" i="4"/>
  <c r="AG64" i="4" s="1"/>
  <c r="AB64" i="4"/>
  <c r="Y64" i="4"/>
  <c r="X64" i="4"/>
  <c r="W64" i="4" s="1"/>
  <c r="T64" i="4"/>
  <c r="S64" i="4"/>
  <c r="R64" i="4"/>
  <c r="Q64" i="4"/>
  <c r="P64" i="4"/>
  <c r="O64" i="4"/>
  <c r="K64" i="4"/>
  <c r="J64" i="4"/>
  <c r="G64" i="4"/>
  <c r="C64" i="4" a="1"/>
  <c r="C64" i="4" s="1"/>
  <c r="B64" i="4"/>
  <c r="A64" i="4"/>
  <c r="BN63" i="4"/>
  <c r="BK63" i="4"/>
  <c r="BJ63" i="4"/>
  <c r="BI63" i="4"/>
  <c r="BH63" i="4"/>
  <c r="BG63" i="4"/>
  <c r="BF63" i="4"/>
  <c r="BA63" i="4"/>
  <c r="AZ63" i="4"/>
  <c r="AV63" i="4"/>
  <c r="AS63" i="4"/>
  <c r="AV58" i="12" s="1"/>
  <c r="AW58" i="12" s="1"/>
  <c r="AO63" i="4"/>
  <c r="AQ58" i="12" s="1"/>
  <c r="AR58" i="12" s="1"/>
  <c r="AJ63" i="4"/>
  <c r="AE63" i="4"/>
  <c r="AD63" i="4"/>
  <c r="AH63" i="4" s="1"/>
  <c r="AC63" i="4"/>
  <c r="AG63" i="4" s="1"/>
  <c r="AB63" i="4"/>
  <c r="Y63" i="4"/>
  <c r="X63" i="4"/>
  <c r="W63" i="4"/>
  <c r="S63" i="4"/>
  <c r="R63" i="4"/>
  <c r="G63" i="4"/>
  <c r="P63" i="4" s="1"/>
  <c r="C63" i="4" a="1"/>
  <c r="C63" i="4"/>
  <c r="B63" i="4"/>
  <c r="A63" i="4"/>
  <c r="BN62" i="4"/>
  <c r="BK62" i="4"/>
  <c r="BJ62" i="4"/>
  <c r="BI62" i="4"/>
  <c r="BH62" i="4"/>
  <c r="BF62" i="4"/>
  <c r="BA62" i="4"/>
  <c r="BG62" i="4" s="1"/>
  <c r="AZ62" i="4"/>
  <c r="AV62" i="4"/>
  <c r="AS62" i="4"/>
  <c r="AV57" i="12" s="1"/>
  <c r="AW57" i="12" s="1"/>
  <c r="AO62" i="4"/>
  <c r="AQ57" i="12" s="1"/>
  <c r="AR57" i="12" s="1"/>
  <c r="AJ62" i="4"/>
  <c r="AG62" i="4"/>
  <c r="AF62" i="4"/>
  <c r="AE62" i="4"/>
  <c r="AD62" i="4"/>
  <c r="AH62" i="4" s="1"/>
  <c r="AC62" i="4"/>
  <c r="AB62" i="4"/>
  <c r="Y62" i="4"/>
  <c r="X62" i="4"/>
  <c r="W62" i="4" s="1"/>
  <c r="S62" i="4"/>
  <c r="R62" i="4"/>
  <c r="U62" i="4" s="1"/>
  <c r="G62" i="4"/>
  <c r="C62" i="4"/>
  <c r="B62" i="4"/>
  <c r="C62" i="4" s="1" a="1"/>
  <c r="A62" i="4"/>
  <c r="BN61" i="4"/>
  <c r="BK61" i="4"/>
  <c r="BJ61" i="4"/>
  <c r="BI61" i="4"/>
  <c r="BH61" i="4"/>
  <c r="BA61" i="4"/>
  <c r="BG61" i="4" s="1"/>
  <c r="AZ61" i="4"/>
  <c r="BF61" i="4" s="1"/>
  <c r="AV61" i="4"/>
  <c r="AS61" i="4"/>
  <c r="AV56" i="12" s="1"/>
  <c r="AW56" i="12" s="1"/>
  <c r="AO61" i="4"/>
  <c r="AQ56" i="12" s="1"/>
  <c r="AR56" i="12" s="1"/>
  <c r="AJ61" i="4"/>
  <c r="AE61" i="4"/>
  <c r="AF61" i="4" s="1"/>
  <c r="AD61" i="4"/>
  <c r="AC61" i="4"/>
  <c r="AH61" i="4" s="1"/>
  <c r="AB61" i="4"/>
  <c r="Y61" i="4"/>
  <c r="X61" i="4"/>
  <c r="W61" i="4" s="1"/>
  <c r="U61" i="4"/>
  <c r="S61" i="4"/>
  <c r="R61" i="4"/>
  <c r="G61" i="4"/>
  <c r="B61" i="4"/>
  <c r="C61" i="4" s="1" a="1"/>
  <c r="C61" i="4" s="1"/>
  <c r="A61" i="4"/>
  <c r="BN60" i="4"/>
  <c r="BK60" i="4"/>
  <c r="BJ60" i="4"/>
  <c r="BI60" i="4"/>
  <c r="BH60" i="4"/>
  <c r="BA60" i="4"/>
  <c r="BG60" i="4" s="1"/>
  <c r="AZ60" i="4"/>
  <c r="BF60" i="4" s="1"/>
  <c r="AV60" i="4"/>
  <c r="AS60" i="4"/>
  <c r="AV55" i="12" s="1"/>
  <c r="AW55" i="12" s="1"/>
  <c r="AO60" i="4"/>
  <c r="AQ55" i="12" s="1"/>
  <c r="AR55" i="12" s="1"/>
  <c r="AJ60" i="4"/>
  <c r="AF60" i="4"/>
  <c r="AE60" i="4"/>
  <c r="AG60" i="4" s="1"/>
  <c r="AD60" i="4"/>
  <c r="AH60" i="4" s="1"/>
  <c r="AC60" i="4"/>
  <c r="AB60" i="4"/>
  <c r="Y60" i="4"/>
  <c r="X60" i="4"/>
  <c r="W60" i="4"/>
  <c r="T60" i="4"/>
  <c r="S60" i="4"/>
  <c r="V60" i="4" s="1"/>
  <c r="R60" i="4"/>
  <c r="Q60" i="4"/>
  <c r="K60" i="4"/>
  <c r="G60" i="4"/>
  <c r="J60" i="4" s="1"/>
  <c r="C60" i="4" a="1"/>
  <c r="C60" i="4" s="1"/>
  <c r="B60" i="4"/>
  <c r="A60" i="4"/>
  <c r="BN59" i="4"/>
  <c r="BK59" i="4"/>
  <c r="BJ59" i="4"/>
  <c r="BI59" i="4"/>
  <c r="BH59" i="4"/>
  <c r="BA59" i="4"/>
  <c r="BG59" i="4" s="1"/>
  <c r="AZ59" i="4"/>
  <c r="BF59" i="4" s="1"/>
  <c r="AV59" i="4"/>
  <c r="AS59" i="4"/>
  <c r="AV54" i="12" s="1"/>
  <c r="AW54" i="12" s="1"/>
  <c r="AO59" i="4"/>
  <c r="AQ54" i="12" s="1"/>
  <c r="AR54" i="12" s="1"/>
  <c r="AJ59" i="4"/>
  <c r="AI59" i="4"/>
  <c r="AE59" i="4"/>
  <c r="AF59" i="4" s="1"/>
  <c r="AD59" i="4"/>
  <c r="AC59" i="4"/>
  <c r="AG59" i="4" s="1"/>
  <c r="AB59" i="4"/>
  <c r="Y59" i="4"/>
  <c r="X59" i="4"/>
  <c r="W59" i="4"/>
  <c r="V59" i="4"/>
  <c r="T59" i="4"/>
  <c r="S59" i="4"/>
  <c r="R59" i="4"/>
  <c r="U59" i="4" s="1"/>
  <c r="U60" i="4" s="1"/>
  <c r="Q59" i="4"/>
  <c r="P59" i="4"/>
  <c r="O59" i="4"/>
  <c r="K59" i="4"/>
  <c r="J59" i="4"/>
  <c r="G59" i="4"/>
  <c r="C59" i="4" a="1"/>
  <c r="C59" i="4"/>
  <c r="B59" i="4"/>
  <c r="A59" i="4"/>
  <c r="BN58" i="4"/>
  <c r="AV58" i="4"/>
  <c r="AS58" i="4"/>
  <c r="AV53" i="12" s="1"/>
  <c r="AW53" i="12" s="1"/>
  <c r="AO58" i="4"/>
  <c r="AQ53" i="12" s="1"/>
  <c r="AR53" i="12" s="1"/>
  <c r="AE58" i="4"/>
  <c r="AD58" i="4"/>
  <c r="AH58" i="4" s="1"/>
  <c r="AC58" i="4"/>
  <c r="AB58" i="4"/>
  <c r="Y58" i="4"/>
  <c r="X58" i="4"/>
  <c r="W58" i="4"/>
  <c r="S58" i="4"/>
  <c r="R58" i="4"/>
  <c r="J58" i="4"/>
  <c r="G58" i="4"/>
  <c r="P58" i="4" s="1"/>
  <c r="C58" i="4" a="1"/>
  <c r="C58" i="4"/>
  <c r="B58" i="4"/>
  <c r="A58" i="4"/>
  <c r="BN57" i="4"/>
  <c r="AV57" i="4"/>
  <c r="AS57" i="4"/>
  <c r="AV52" i="12" s="1"/>
  <c r="AW52" i="12" s="1"/>
  <c r="AO57" i="4"/>
  <c r="AQ52" i="12" s="1"/>
  <c r="AR52" i="12" s="1"/>
  <c r="AH57" i="4"/>
  <c r="AG57" i="4"/>
  <c r="AF57" i="4"/>
  <c r="AE57" i="4"/>
  <c r="AD57" i="4"/>
  <c r="AC57" i="4"/>
  <c r="AB57" i="4"/>
  <c r="Y57" i="4"/>
  <c r="X57" i="4"/>
  <c r="W57" i="4"/>
  <c r="S57" i="4"/>
  <c r="R57" i="4"/>
  <c r="G57" i="4"/>
  <c r="B57" i="4"/>
  <c r="C57" i="4" s="1" a="1"/>
  <c r="C57" i="4" s="1"/>
  <c r="A57" i="4"/>
  <c r="BN56" i="4"/>
  <c r="AV56" i="4"/>
  <c r="AS56" i="4"/>
  <c r="AV51" i="12" s="1"/>
  <c r="AW51" i="12" s="1"/>
  <c r="AO56" i="4"/>
  <c r="AQ51" i="12" s="1"/>
  <c r="AR51" i="12" s="1"/>
  <c r="AE56" i="4"/>
  <c r="AD56" i="4"/>
  <c r="AC56" i="4"/>
  <c r="AG56" i="4" s="1"/>
  <c r="AB56" i="4"/>
  <c r="AF56" i="4" s="1"/>
  <c r="Y56" i="4"/>
  <c r="X56" i="4"/>
  <c r="W56" i="4"/>
  <c r="S56" i="4"/>
  <c r="R56" i="4"/>
  <c r="G56" i="4"/>
  <c r="B56" i="4"/>
  <c r="C56" i="4" s="1" a="1"/>
  <c r="C56" i="4" s="1"/>
  <c r="A56" i="4"/>
  <c r="BN55" i="4"/>
  <c r="AV55" i="4"/>
  <c r="AS55" i="4"/>
  <c r="AV50" i="12" s="1"/>
  <c r="AW50" i="12" s="1"/>
  <c r="AO55" i="4"/>
  <c r="AQ50" i="12" s="1"/>
  <c r="AR50" i="12" s="1"/>
  <c r="AE55" i="4"/>
  <c r="AF55" i="4" s="1"/>
  <c r="AD55" i="4"/>
  <c r="AC55" i="4"/>
  <c r="AH55" i="4" s="1"/>
  <c r="AB55" i="4"/>
  <c r="Y55" i="4"/>
  <c r="X55" i="4"/>
  <c r="W55" i="4" s="1"/>
  <c r="S55" i="4"/>
  <c r="R55" i="4"/>
  <c r="G55" i="4"/>
  <c r="Q55" i="4" s="1"/>
  <c r="B55" i="4"/>
  <c r="C55" i="4" s="1" a="1"/>
  <c r="C55" i="4" s="1"/>
  <c r="A55" i="4"/>
  <c r="BN54" i="4"/>
  <c r="AV54" i="4"/>
  <c r="AS54" i="4"/>
  <c r="AV49" i="12" s="1"/>
  <c r="AW49" i="12" s="1"/>
  <c r="AO54" i="4"/>
  <c r="AQ49" i="12" s="1"/>
  <c r="AR49" i="12" s="1"/>
  <c r="AI54" i="4"/>
  <c r="AE54" i="4"/>
  <c r="AG54" i="4" s="1"/>
  <c r="AD54" i="4"/>
  <c r="AH54" i="4" s="1"/>
  <c r="AC54" i="4"/>
  <c r="AB54" i="4"/>
  <c r="Y54" i="4"/>
  <c r="X54" i="4"/>
  <c r="T54" i="4"/>
  <c r="S54" i="4"/>
  <c r="R54" i="4"/>
  <c r="Q54" i="4"/>
  <c r="P54" i="4"/>
  <c r="O54" i="4"/>
  <c r="K54" i="4"/>
  <c r="G54" i="4"/>
  <c r="J54" i="4" s="1"/>
  <c r="C54" i="4"/>
  <c r="B54" i="4"/>
  <c r="C54" i="4" s="1" a="1"/>
  <c r="A54" i="4"/>
  <c r="BN53" i="4"/>
  <c r="AV53" i="4"/>
  <c r="AS53" i="4"/>
  <c r="AV48" i="12" s="1"/>
  <c r="AW48" i="12" s="1"/>
  <c r="AO53" i="4"/>
  <c r="AQ48" i="12" s="1"/>
  <c r="AR48" i="12" s="1"/>
  <c r="AE53" i="4"/>
  <c r="AD53" i="4"/>
  <c r="AH53" i="4" s="1"/>
  <c r="AC53" i="4"/>
  <c r="AG53" i="4" s="1"/>
  <c r="AB53" i="4"/>
  <c r="AI53" i="4" s="1"/>
  <c r="Y53" i="4"/>
  <c r="X53" i="4"/>
  <c r="W53" i="4" s="1"/>
  <c r="T53" i="4"/>
  <c r="S53" i="4"/>
  <c r="R53" i="4"/>
  <c r="O53" i="4"/>
  <c r="K53" i="4"/>
  <c r="G53" i="4"/>
  <c r="B53" i="4"/>
  <c r="C53" i="4" s="1" a="1"/>
  <c r="C53" i="4" s="1"/>
  <c r="A53" i="4"/>
  <c r="BN52" i="4"/>
  <c r="AV52" i="4"/>
  <c r="AS52" i="4"/>
  <c r="AV47" i="12" s="1"/>
  <c r="AW47" i="12" s="1"/>
  <c r="AO52" i="4"/>
  <c r="AQ47" i="12" s="1"/>
  <c r="AR47" i="12" s="1"/>
  <c r="AI52" i="4"/>
  <c r="AH52" i="4"/>
  <c r="AF52" i="4"/>
  <c r="AE52" i="4"/>
  <c r="AD52" i="4"/>
  <c r="AC52" i="4"/>
  <c r="AG52" i="4" s="1"/>
  <c r="AB52" i="4"/>
  <c r="Y52" i="4"/>
  <c r="X52" i="4"/>
  <c r="W52" i="4"/>
  <c r="T52" i="4"/>
  <c r="S52" i="4"/>
  <c r="R52" i="4"/>
  <c r="Q52" i="4"/>
  <c r="P52" i="4"/>
  <c r="O52" i="4"/>
  <c r="K52" i="4"/>
  <c r="J52" i="4"/>
  <c r="G52" i="4"/>
  <c r="C52" i="4" a="1"/>
  <c r="C52" i="4"/>
  <c r="B52" i="4"/>
  <c r="A52" i="4"/>
  <c r="BN51" i="4"/>
  <c r="AV51" i="4"/>
  <c r="AS51" i="4"/>
  <c r="AV46" i="12" s="1"/>
  <c r="AW46" i="12" s="1"/>
  <c r="AO51" i="4"/>
  <c r="AQ46" i="12" s="1"/>
  <c r="AR46" i="12" s="1"/>
  <c r="AE51" i="4"/>
  <c r="AD51" i="4"/>
  <c r="AH51" i="4" s="1"/>
  <c r="AC51" i="4"/>
  <c r="AG51" i="4" s="1"/>
  <c r="AB51" i="4"/>
  <c r="Y51" i="4"/>
  <c r="X51" i="4"/>
  <c r="W51" i="4"/>
  <c r="T51" i="4"/>
  <c r="S51" i="4"/>
  <c r="R51" i="4"/>
  <c r="G51" i="4"/>
  <c r="P51" i="4" s="1"/>
  <c r="C51" i="4" a="1"/>
  <c r="C51" i="4"/>
  <c r="B51" i="4"/>
  <c r="A51" i="4"/>
  <c r="BN50" i="4"/>
  <c r="AV50" i="4"/>
  <c r="AS50" i="4"/>
  <c r="AV45" i="12" s="1"/>
  <c r="AW45" i="12" s="1"/>
  <c r="AO50" i="4"/>
  <c r="AQ45" i="12" s="1"/>
  <c r="AR45" i="12" s="1"/>
  <c r="AE50" i="4"/>
  <c r="AD50" i="4"/>
  <c r="AC50" i="4"/>
  <c r="AH50" i="4" s="1"/>
  <c r="AB50" i="4"/>
  <c r="AI50" i="4" s="1"/>
  <c r="Y50" i="4"/>
  <c r="X50" i="4"/>
  <c r="W50" i="4" s="1"/>
  <c r="S50" i="4"/>
  <c r="R50" i="4"/>
  <c r="Q50" i="4"/>
  <c r="G50" i="4"/>
  <c r="B50" i="4"/>
  <c r="C50" i="4" s="1" a="1"/>
  <c r="C50" i="4" s="1"/>
  <c r="A50" i="4"/>
  <c r="BN49" i="4"/>
  <c r="AV49" i="4"/>
  <c r="AS49" i="4"/>
  <c r="AV44" i="12" s="1"/>
  <c r="AW44" i="12" s="1"/>
  <c r="AO49" i="4"/>
  <c r="AQ44" i="12" s="1"/>
  <c r="AR44" i="12" s="1"/>
  <c r="AG49" i="4"/>
  <c r="AE49" i="4"/>
  <c r="AD49" i="4"/>
  <c r="AC49" i="4"/>
  <c r="AB49" i="4"/>
  <c r="AF49" i="4" s="1"/>
  <c r="Y49" i="4"/>
  <c r="X49" i="4"/>
  <c r="W49" i="4"/>
  <c r="S49" i="4"/>
  <c r="R49" i="4"/>
  <c r="Q49" i="4"/>
  <c r="P49" i="4"/>
  <c r="G49" i="4"/>
  <c r="B49" i="4"/>
  <c r="C49" i="4" s="1" a="1"/>
  <c r="C49" i="4" s="1"/>
  <c r="A49" i="4"/>
  <c r="BN48" i="4"/>
  <c r="AV48" i="4"/>
  <c r="AS48" i="4"/>
  <c r="AV43" i="12" s="1"/>
  <c r="AW43" i="12" s="1"/>
  <c r="AO48" i="4"/>
  <c r="AQ43" i="12" s="1"/>
  <c r="AR43" i="12" s="1"/>
  <c r="AH48" i="4"/>
  <c r="AE48" i="4"/>
  <c r="AD48" i="4"/>
  <c r="AC48" i="4"/>
  <c r="AG48" i="4" s="1"/>
  <c r="AB48" i="4"/>
  <c r="AF48" i="4" s="1"/>
  <c r="Y48" i="4"/>
  <c r="X48" i="4"/>
  <c r="W48" i="4" s="1"/>
  <c r="T48" i="4"/>
  <c r="S48" i="4"/>
  <c r="R48" i="4"/>
  <c r="Q48" i="4"/>
  <c r="P48" i="4"/>
  <c r="O48" i="4"/>
  <c r="J48" i="4"/>
  <c r="G48" i="4"/>
  <c r="B48" i="4"/>
  <c r="C48" i="4" s="1" a="1"/>
  <c r="C48" i="4" s="1"/>
  <c r="A48" i="4"/>
  <c r="BN47" i="4"/>
  <c r="AV47" i="4"/>
  <c r="AS47" i="4"/>
  <c r="AV42" i="12" s="1"/>
  <c r="AW42" i="12" s="1"/>
  <c r="AO47" i="4"/>
  <c r="AQ42" i="12" s="1"/>
  <c r="AR42" i="12" s="1"/>
  <c r="AI47" i="4"/>
  <c r="AG47" i="4"/>
  <c r="AF47" i="4"/>
  <c r="AE47" i="4"/>
  <c r="AD47" i="4"/>
  <c r="AH47" i="4" s="1"/>
  <c r="AC47" i="4"/>
  <c r="AB47" i="4"/>
  <c r="Y47" i="4"/>
  <c r="X47" i="4"/>
  <c r="W47" i="4" s="1"/>
  <c r="T47" i="4"/>
  <c r="S47" i="4"/>
  <c r="R47" i="4"/>
  <c r="Q47" i="4"/>
  <c r="P47" i="4"/>
  <c r="O47" i="4"/>
  <c r="K47" i="4"/>
  <c r="G47" i="4"/>
  <c r="J47" i="4" s="1"/>
  <c r="B47" i="4"/>
  <c r="C47" i="4" s="1" a="1"/>
  <c r="C47" i="4" s="1"/>
  <c r="A47" i="4"/>
  <c r="BN46" i="4"/>
  <c r="AV46" i="4"/>
  <c r="AS46" i="4"/>
  <c r="AV41" i="12" s="1"/>
  <c r="AW41" i="12" s="1"/>
  <c r="AO46" i="4"/>
  <c r="AQ41" i="12" s="1"/>
  <c r="AR41" i="12" s="1"/>
  <c r="AI46" i="4"/>
  <c r="AH46" i="4"/>
  <c r="AE46" i="4"/>
  <c r="AD46" i="4"/>
  <c r="AC46" i="4"/>
  <c r="AB46" i="4"/>
  <c r="Y46" i="4"/>
  <c r="X46" i="4"/>
  <c r="W46" i="4"/>
  <c r="T46" i="4"/>
  <c r="S46" i="4"/>
  <c r="R46" i="4"/>
  <c r="K46" i="4"/>
  <c r="G46" i="4"/>
  <c r="C46" i="4" a="1"/>
  <c r="C46" i="4" s="1"/>
  <c r="B46" i="4"/>
  <c r="A46" i="4"/>
  <c r="BN45" i="4"/>
  <c r="AV45" i="4"/>
  <c r="AS45" i="4"/>
  <c r="AV40" i="12" s="1"/>
  <c r="AW40" i="12" s="1"/>
  <c r="AO45" i="4"/>
  <c r="AQ40" i="12" s="1"/>
  <c r="AR40" i="12" s="1"/>
  <c r="AI45" i="4"/>
  <c r="AE45" i="4"/>
  <c r="AF45" i="4" s="1"/>
  <c r="AD45" i="4"/>
  <c r="AH45" i="4" s="1"/>
  <c r="AC45" i="4"/>
  <c r="AG45" i="4" s="1"/>
  <c r="AB45" i="4"/>
  <c r="Y45" i="4"/>
  <c r="X45" i="4"/>
  <c r="W45" i="4"/>
  <c r="T45" i="4"/>
  <c r="S45" i="4"/>
  <c r="R45" i="4"/>
  <c r="P45" i="4"/>
  <c r="O45" i="4"/>
  <c r="K45" i="4"/>
  <c r="J45" i="4"/>
  <c r="G45" i="4"/>
  <c r="Q45" i="4" s="1"/>
  <c r="C45" i="4" a="1"/>
  <c r="C45" i="4" s="1"/>
  <c r="B45" i="4"/>
  <c r="A45" i="4"/>
  <c r="BN44" i="4"/>
  <c r="AV44" i="4"/>
  <c r="AS44" i="4"/>
  <c r="AV39" i="12" s="1"/>
  <c r="AW39" i="12" s="1"/>
  <c r="AO44" i="4"/>
  <c r="AQ39" i="12" s="1"/>
  <c r="AR39" i="12" s="1"/>
  <c r="AG44" i="4"/>
  <c r="AE44" i="4"/>
  <c r="AF44" i="4" s="1"/>
  <c r="AD44" i="4"/>
  <c r="AH44" i="4" s="1"/>
  <c r="AC44" i="4"/>
  <c r="AB44" i="4"/>
  <c r="Y44" i="4"/>
  <c r="X44" i="4"/>
  <c r="W44" i="4"/>
  <c r="T44" i="4"/>
  <c r="S44" i="4"/>
  <c r="R44" i="4"/>
  <c r="G44" i="4"/>
  <c r="P44" i="4" s="1"/>
  <c r="C44" i="4" a="1"/>
  <c r="C44" i="4" s="1"/>
  <c r="B44" i="4"/>
  <c r="A44" i="4"/>
  <c r="BN43" i="4"/>
  <c r="AV43" i="4"/>
  <c r="AS43" i="4"/>
  <c r="AV38" i="12" s="1"/>
  <c r="AW38" i="12" s="1"/>
  <c r="AO43" i="4"/>
  <c r="AQ38" i="12" s="1"/>
  <c r="AR38" i="12" s="1"/>
  <c r="AI43" i="4"/>
  <c r="AF43" i="4"/>
  <c r="AE43" i="4"/>
  <c r="AD43" i="4"/>
  <c r="AC43" i="4"/>
  <c r="AH43" i="4" s="1"/>
  <c r="AB43" i="4"/>
  <c r="Y43" i="4"/>
  <c r="X43" i="4"/>
  <c r="W43" i="4"/>
  <c r="S43" i="4"/>
  <c r="R43" i="4"/>
  <c r="J43" i="4"/>
  <c r="G43" i="4"/>
  <c r="C43" i="4" a="1"/>
  <c r="C43" i="4" s="1"/>
  <c r="B43" i="4"/>
  <c r="A43" i="4"/>
  <c r="BN42" i="4"/>
  <c r="AV42" i="4"/>
  <c r="AS42" i="4"/>
  <c r="AV37" i="12" s="1"/>
  <c r="AW37" i="12" s="1"/>
  <c r="AO42" i="4"/>
  <c r="AQ37" i="12" s="1"/>
  <c r="AR37" i="12" s="1"/>
  <c r="AG42" i="4"/>
  <c r="AE42" i="4"/>
  <c r="AD42" i="4"/>
  <c r="AH42" i="4" s="1"/>
  <c r="AC42" i="4"/>
  <c r="AB42" i="4"/>
  <c r="AF42" i="4" s="1"/>
  <c r="Y42" i="4"/>
  <c r="W42" i="4" s="1"/>
  <c r="X42" i="4"/>
  <c r="T42" i="4"/>
  <c r="S42" i="4"/>
  <c r="R42" i="4"/>
  <c r="Q42" i="4"/>
  <c r="J42" i="4"/>
  <c r="G42" i="4"/>
  <c r="C42" i="4" a="1"/>
  <c r="C42" i="4" s="1"/>
  <c r="B42" i="4"/>
  <c r="A42" i="4"/>
  <c r="BN41" i="4"/>
  <c r="AV41" i="4"/>
  <c r="AS41" i="4"/>
  <c r="AV36" i="12" s="1"/>
  <c r="AW36" i="12" s="1"/>
  <c r="AO41" i="4"/>
  <c r="AQ36" i="12" s="1"/>
  <c r="AR36" i="12" s="1"/>
  <c r="AH41" i="4"/>
  <c r="AE41" i="4"/>
  <c r="AF41" i="4" s="1"/>
  <c r="AD41" i="4"/>
  <c r="AC41" i="4"/>
  <c r="AG41" i="4" s="1"/>
  <c r="AB41" i="4"/>
  <c r="Y41" i="4"/>
  <c r="X41" i="4"/>
  <c r="S41" i="4"/>
  <c r="R41" i="4"/>
  <c r="Q41" i="4"/>
  <c r="P41" i="4"/>
  <c r="G41" i="4"/>
  <c r="J41" i="4" s="1"/>
  <c r="B41" i="4"/>
  <c r="C41" i="4" s="1" a="1"/>
  <c r="C41" i="4" s="1"/>
  <c r="A41" i="4"/>
  <c r="BN40" i="4"/>
  <c r="AV40" i="4"/>
  <c r="AS40" i="4"/>
  <c r="AV35" i="12" s="1"/>
  <c r="AW35" i="12" s="1"/>
  <c r="AO40" i="4"/>
  <c r="AQ35" i="12" s="1"/>
  <c r="AR35" i="12" s="1"/>
  <c r="AI40" i="4"/>
  <c r="AG40" i="4"/>
  <c r="AF40" i="4"/>
  <c r="AE40" i="4"/>
  <c r="AD40" i="4"/>
  <c r="AH40" i="4" s="1"/>
  <c r="AC40" i="4"/>
  <c r="AB40" i="4"/>
  <c r="Y40" i="4"/>
  <c r="X40" i="4"/>
  <c r="T40" i="4"/>
  <c r="S40" i="4"/>
  <c r="R40" i="4"/>
  <c r="Q40" i="4"/>
  <c r="P40" i="4"/>
  <c r="O40" i="4"/>
  <c r="K40" i="4"/>
  <c r="G40" i="4"/>
  <c r="J40" i="4" s="1"/>
  <c r="C40" i="4"/>
  <c r="B40" i="4"/>
  <c r="C40" i="4" s="1" a="1"/>
  <c r="A40" i="4"/>
  <c r="BN39" i="4"/>
  <c r="AV39" i="4"/>
  <c r="AS39" i="4"/>
  <c r="AV34" i="12" s="1"/>
  <c r="AW34" i="12" s="1"/>
  <c r="AO39" i="4"/>
  <c r="AQ34" i="12" s="1"/>
  <c r="AR34" i="12" s="1"/>
  <c r="AH39" i="4"/>
  <c r="AE39" i="4"/>
  <c r="AF39" i="4" s="1"/>
  <c r="AD39" i="4"/>
  <c r="AC39" i="4"/>
  <c r="AB39" i="4"/>
  <c r="Y39" i="4"/>
  <c r="X39" i="4"/>
  <c r="W39" i="4" s="1"/>
  <c r="S39" i="4"/>
  <c r="R39" i="4"/>
  <c r="G39" i="4"/>
  <c r="B39" i="4"/>
  <c r="C39" i="4" s="1" a="1"/>
  <c r="C39" i="4" s="1"/>
  <c r="A39" i="4"/>
  <c r="BN38" i="4"/>
  <c r="AV38" i="4"/>
  <c r="AS38" i="4"/>
  <c r="AV33" i="12" s="1"/>
  <c r="AW33" i="12" s="1"/>
  <c r="AO38" i="4"/>
  <c r="AQ33" i="12" s="1"/>
  <c r="AR33" i="12" s="1"/>
  <c r="AI38" i="4"/>
  <c r="AE38" i="4"/>
  <c r="AF38" i="4" s="1"/>
  <c r="AD38" i="4"/>
  <c r="AH38" i="4" s="1"/>
  <c r="AC38" i="4"/>
  <c r="AG38" i="4" s="1"/>
  <c r="AB38" i="4"/>
  <c r="Y38" i="4"/>
  <c r="X38" i="4"/>
  <c r="W38" i="4" s="1"/>
  <c r="T38" i="4"/>
  <c r="S38" i="4"/>
  <c r="R38" i="4"/>
  <c r="P38" i="4"/>
  <c r="O38" i="4"/>
  <c r="K38" i="4"/>
  <c r="J38" i="4"/>
  <c r="G38" i="4"/>
  <c r="Q38" i="4" s="1"/>
  <c r="C38" i="4" a="1"/>
  <c r="C38" i="4"/>
  <c r="B38" i="4"/>
  <c r="A38" i="4"/>
  <c r="BN37" i="4"/>
  <c r="AV37" i="4"/>
  <c r="AS37" i="4"/>
  <c r="AV32" i="12" s="1"/>
  <c r="AW32" i="12" s="1"/>
  <c r="AO37" i="4"/>
  <c r="AQ32" i="12" s="1"/>
  <c r="AR32" i="12" s="1"/>
  <c r="AE37" i="4"/>
  <c r="AD37" i="4"/>
  <c r="AH37" i="4" s="1"/>
  <c r="AC37" i="4"/>
  <c r="AB37" i="4"/>
  <c r="Y37" i="4"/>
  <c r="X37" i="4"/>
  <c r="W37" i="4"/>
  <c r="S37" i="4"/>
  <c r="R37" i="4"/>
  <c r="J37" i="4"/>
  <c r="G37" i="4"/>
  <c r="P37" i="4" s="1"/>
  <c r="C37" i="4" a="1"/>
  <c r="C37" i="4"/>
  <c r="B37" i="4"/>
  <c r="A37" i="4"/>
  <c r="BN36" i="4"/>
  <c r="AV36" i="4"/>
  <c r="AS36" i="4"/>
  <c r="AV31" i="12" s="1"/>
  <c r="AW31" i="12" s="1"/>
  <c r="AO36" i="4"/>
  <c r="AQ31" i="12" s="1"/>
  <c r="AR31" i="12" s="1"/>
  <c r="AH36" i="4"/>
  <c r="AG36" i="4"/>
  <c r="AF36" i="4"/>
  <c r="AE36" i="4"/>
  <c r="AD36" i="4"/>
  <c r="AC36" i="4"/>
  <c r="AB36" i="4"/>
  <c r="Y36" i="4"/>
  <c r="X36" i="4"/>
  <c r="W36" i="4"/>
  <c r="S36" i="4"/>
  <c r="R36" i="4"/>
  <c r="G36" i="4"/>
  <c r="B36" i="4"/>
  <c r="C36" i="4" s="1" a="1"/>
  <c r="C36" i="4" s="1"/>
  <c r="A36" i="4"/>
  <c r="BN35" i="4"/>
  <c r="AV35" i="4"/>
  <c r="AS35" i="4"/>
  <c r="AV30" i="12" s="1"/>
  <c r="AW30" i="12" s="1"/>
  <c r="AO35" i="4"/>
  <c r="AQ30" i="12" s="1"/>
  <c r="AR30" i="12" s="1"/>
  <c r="AE35" i="4"/>
  <c r="AD35" i="4"/>
  <c r="AC35" i="4"/>
  <c r="AG35" i="4" s="1"/>
  <c r="AB35" i="4"/>
  <c r="AF35" i="4" s="1"/>
  <c r="Y35" i="4"/>
  <c r="X35" i="4"/>
  <c r="W35" i="4"/>
  <c r="S35" i="4"/>
  <c r="R35" i="4"/>
  <c r="G35" i="4"/>
  <c r="B35" i="4"/>
  <c r="C35" i="4" s="1" a="1"/>
  <c r="C35" i="4" s="1"/>
  <c r="A35" i="4"/>
  <c r="BN34" i="4"/>
  <c r="AV34" i="4"/>
  <c r="AS34" i="4"/>
  <c r="AV29" i="12" s="1"/>
  <c r="AW29" i="12" s="1"/>
  <c r="AO34" i="4"/>
  <c r="AQ29" i="12" s="1"/>
  <c r="AR29" i="12" s="1"/>
  <c r="AE34" i="4"/>
  <c r="AF34" i="4" s="1"/>
  <c r="AD34" i="4"/>
  <c r="AC34" i="4"/>
  <c r="AH34" i="4" s="1"/>
  <c r="AB34" i="4"/>
  <c r="Y34" i="4"/>
  <c r="X34" i="4"/>
  <c r="W34" i="4" s="1"/>
  <c r="S34" i="4"/>
  <c r="R34" i="4"/>
  <c r="G34" i="4"/>
  <c r="T34" i="4" s="1"/>
  <c r="B34" i="4"/>
  <c r="C34" i="4" s="1" a="1"/>
  <c r="C34" i="4" s="1"/>
  <c r="A34" i="4"/>
  <c r="BN33" i="4"/>
  <c r="AV33" i="4"/>
  <c r="AS33" i="4"/>
  <c r="AV28" i="12" s="1"/>
  <c r="AW28" i="12" s="1"/>
  <c r="AO33" i="4"/>
  <c r="AQ28" i="12" s="1"/>
  <c r="AR28" i="12" s="1"/>
  <c r="AI33" i="4"/>
  <c r="AE33" i="4"/>
  <c r="AF33" i="4" s="1"/>
  <c r="AD33" i="4"/>
  <c r="AH33" i="4" s="1"/>
  <c r="AC33" i="4"/>
  <c r="AB33" i="4"/>
  <c r="Y33" i="4"/>
  <c r="X33" i="4"/>
  <c r="T33" i="4"/>
  <c r="S33" i="4"/>
  <c r="R33" i="4"/>
  <c r="Q33" i="4"/>
  <c r="P33" i="4"/>
  <c r="O33" i="4"/>
  <c r="K33" i="4"/>
  <c r="G33" i="4"/>
  <c r="J33" i="4" s="1"/>
  <c r="C33" i="4"/>
  <c r="B33" i="4"/>
  <c r="C33" i="4" s="1" a="1"/>
  <c r="A33" i="4"/>
  <c r="BN32" i="4"/>
  <c r="AV32" i="4"/>
  <c r="AS32" i="4"/>
  <c r="AV27" i="12" s="1"/>
  <c r="AW27" i="12" s="1"/>
  <c r="AO32" i="4"/>
  <c r="AQ27" i="12" s="1"/>
  <c r="AR27" i="12" s="1"/>
  <c r="AE32" i="4"/>
  <c r="AD32" i="4"/>
  <c r="AH32" i="4" s="1"/>
  <c r="AC32" i="4"/>
  <c r="AG32" i="4" s="1"/>
  <c r="AB32" i="4"/>
  <c r="AI32" i="4" s="1"/>
  <c r="Y32" i="4"/>
  <c r="X32" i="4"/>
  <c r="T32" i="4"/>
  <c r="S32" i="4"/>
  <c r="R32" i="4"/>
  <c r="O32" i="4"/>
  <c r="K32" i="4"/>
  <c r="G32" i="4"/>
  <c r="B32" i="4"/>
  <c r="C32" i="4" s="1" a="1"/>
  <c r="C32" i="4" s="1"/>
  <c r="A32" i="4"/>
  <c r="BN31" i="4"/>
  <c r="AV31" i="4"/>
  <c r="AS31" i="4"/>
  <c r="AV26" i="12" s="1"/>
  <c r="AW26" i="12" s="1"/>
  <c r="AO31" i="4"/>
  <c r="AQ26" i="12" s="1"/>
  <c r="AR26" i="12" s="1"/>
  <c r="AI31" i="4"/>
  <c r="AH31" i="4"/>
  <c r="AF31" i="4"/>
  <c r="AE31" i="4"/>
  <c r="AD31" i="4"/>
  <c r="AC31" i="4"/>
  <c r="AG31" i="4" s="1"/>
  <c r="AB31" i="4"/>
  <c r="Y31" i="4"/>
  <c r="X31" i="4"/>
  <c r="W31" i="4"/>
  <c r="T31" i="4"/>
  <c r="S31" i="4"/>
  <c r="R31" i="4"/>
  <c r="P31" i="4"/>
  <c r="O31" i="4"/>
  <c r="K31" i="4"/>
  <c r="J31" i="4"/>
  <c r="G31" i="4"/>
  <c r="Q31" i="4" s="1"/>
  <c r="C31" i="4" a="1"/>
  <c r="C31" i="4"/>
  <c r="B31" i="4"/>
  <c r="A31" i="4"/>
  <c r="BN30" i="4"/>
  <c r="AV30" i="4"/>
  <c r="AS30" i="4"/>
  <c r="AV25" i="12" s="1"/>
  <c r="AW25" i="12" s="1"/>
  <c r="AO30" i="4"/>
  <c r="AQ25" i="12" s="1"/>
  <c r="AR25" i="12" s="1"/>
  <c r="AE30" i="4"/>
  <c r="AD30" i="4"/>
  <c r="AC30" i="4"/>
  <c r="AH30" i="4" s="1"/>
  <c r="AB30" i="4"/>
  <c r="AI30" i="4" s="1"/>
  <c r="Y30" i="4"/>
  <c r="X30" i="4"/>
  <c r="W30" i="4"/>
  <c r="S30" i="4"/>
  <c r="R30" i="4"/>
  <c r="Q30" i="4"/>
  <c r="O30" i="4"/>
  <c r="G30" i="4"/>
  <c r="P30" i="4" s="1"/>
  <c r="C30" i="4" a="1"/>
  <c r="C30" i="4"/>
  <c r="B30" i="4"/>
  <c r="A30" i="4"/>
  <c r="BN29" i="4"/>
  <c r="AV29" i="4"/>
  <c r="AS29" i="4"/>
  <c r="AV24" i="12" s="1"/>
  <c r="AW24" i="12" s="1"/>
  <c r="AO29" i="4"/>
  <c r="AQ24" i="12" s="1"/>
  <c r="AR24" i="12" s="1"/>
  <c r="AH29" i="4"/>
  <c r="AE29" i="4"/>
  <c r="AD29" i="4"/>
  <c r="AC29" i="4"/>
  <c r="AG29" i="4" s="1"/>
  <c r="AB29" i="4"/>
  <c r="AI29" i="4" s="1"/>
  <c r="Y29" i="4"/>
  <c r="X29" i="4"/>
  <c r="W29" i="4" s="1"/>
  <c r="S29" i="4"/>
  <c r="R29" i="4"/>
  <c r="Q29" i="4"/>
  <c r="P29" i="4"/>
  <c r="J29" i="4"/>
  <c r="G29" i="4"/>
  <c r="B29" i="4"/>
  <c r="C29" i="4" s="1" a="1"/>
  <c r="C29" i="4" s="1"/>
  <c r="A29" i="4"/>
  <c r="BN28" i="4"/>
  <c r="AV28" i="4"/>
  <c r="AS28" i="4"/>
  <c r="AV23" i="12" s="1"/>
  <c r="AW23" i="12" s="1"/>
  <c r="AO28" i="4"/>
  <c r="AQ23" i="12" s="1"/>
  <c r="AR23" i="12" s="1"/>
  <c r="AG28" i="4"/>
  <c r="AF28" i="4"/>
  <c r="AE28" i="4"/>
  <c r="AD28" i="4"/>
  <c r="AH28" i="4" s="1"/>
  <c r="AC28" i="4"/>
  <c r="AB28" i="4"/>
  <c r="Y28" i="4"/>
  <c r="X28" i="4"/>
  <c r="W28" i="4"/>
  <c r="T28" i="4"/>
  <c r="S28" i="4"/>
  <c r="R28" i="4"/>
  <c r="Q28" i="4"/>
  <c r="P28" i="4"/>
  <c r="K28" i="4"/>
  <c r="J28" i="4"/>
  <c r="G28" i="4"/>
  <c r="B28" i="4"/>
  <c r="C28" i="4" s="1" a="1"/>
  <c r="C28" i="4" s="1"/>
  <c r="A28" i="4"/>
  <c r="BN27" i="4"/>
  <c r="AV27" i="4"/>
  <c r="AS27" i="4"/>
  <c r="AV22" i="12" s="1"/>
  <c r="AW22" i="12" s="1"/>
  <c r="AO27" i="4"/>
  <c r="AQ22" i="12" s="1"/>
  <c r="AR22" i="12" s="1"/>
  <c r="AH27" i="4"/>
  <c r="AG27" i="4"/>
  <c r="AE27" i="4"/>
  <c r="AD27" i="4"/>
  <c r="AC27" i="4"/>
  <c r="AB27" i="4"/>
  <c r="AF27" i="4" s="1"/>
  <c r="Y27" i="4"/>
  <c r="X27" i="4"/>
  <c r="W27" i="4" s="1"/>
  <c r="T27" i="4"/>
  <c r="S27" i="4"/>
  <c r="R27" i="4"/>
  <c r="Q27" i="4"/>
  <c r="P27" i="4"/>
  <c r="O27" i="4"/>
  <c r="J27" i="4"/>
  <c r="G27" i="4"/>
  <c r="B27" i="4"/>
  <c r="C27" i="4" s="1" a="1"/>
  <c r="C27" i="4" s="1"/>
  <c r="A27" i="4"/>
  <c r="BN26" i="4"/>
  <c r="AV26" i="4"/>
  <c r="AS26" i="4"/>
  <c r="AV21" i="12" s="1"/>
  <c r="AW21" i="12" s="1"/>
  <c r="AO26" i="4"/>
  <c r="AQ21" i="12" s="1"/>
  <c r="AR21" i="12" s="1"/>
  <c r="AI26" i="4"/>
  <c r="AE26" i="4"/>
  <c r="AG26" i="4" s="1"/>
  <c r="AD26" i="4"/>
  <c r="AH26" i="4" s="1"/>
  <c r="AC26" i="4"/>
  <c r="AB26" i="4"/>
  <c r="Y26" i="4"/>
  <c r="X26" i="4"/>
  <c r="W26" i="4" s="1"/>
  <c r="T26" i="4"/>
  <c r="S26" i="4"/>
  <c r="R26" i="4"/>
  <c r="Q26" i="4"/>
  <c r="P26" i="4"/>
  <c r="O26" i="4"/>
  <c r="K26" i="4"/>
  <c r="G26" i="4"/>
  <c r="J26" i="4" s="1"/>
  <c r="B26" i="4"/>
  <c r="C26" i="4" s="1" a="1"/>
  <c r="C26" i="4" s="1"/>
  <c r="A26" i="4"/>
  <c r="BN25" i="4"/>
  <c r="AV25" i="4"/>
  <c r="AS25" i="4"/>
  <c r="AV20" i="12" s="1"/>
  <c r="AW20" i="12" s="1"/>
  <c r="AO25" i="4"/>
  <c r="AQ20" i="12" s="1"/>
  <c r="AR20" i="12" s="1"/>
  <c r="AE25" i="4"/>
  <c r="AF25" i="4" s="1"/>
  <c r="AD25" i="4"/>
  <c r="AH25" i="4" s="1"/>
  <c r="AC25" i="4"/>
  <c r="AB25" i="4"/>
  <c r="Y25" i="4"/>
  <c r="X25" i="4"/>
  <c r="W25" i="4"/>
  <c r="T25" i="4"/>
  <c r="S25" i="4"/>
  <c r="R25" i="4"/>
  <c r="G25" i="4"/>
  <c r="AI25" i="4" s="1"/>
  <c r="C25" i="4" a="1"/>
  <c r="C25" i="4" s="1"/>
  <c r="B25" i="4"/>
  <c r="A25" i="4"/>
  <c r="BN24" i="4"/>
  <c r="AV24" i="4"/>
  <c r="AS24" i="4"/>
  <c r="AV19" i="12" s="1"/>
  <c r="AW19" i="12" s="1"/>
  <c r="AO24" i="4"/>
  <c r="AQ19" i="12" s="1"/>
  <c r="AR19" i="12" s="1"/>
  <c r="AI24" i="4"/>
  <c r="AH24" i="4"/>
  <c r="AE24" i="4"/>
  <c r="AF24" i="4" s="1"/>
  <c r="AD24" i="4"/>
  <c r="AC24" i="4"/>
  <c r="AG24" i="4" s="1"/>
  <c r="AB24" i="4"/>
  <c r="Y24" i="4"/>
  <c r="X24" i="4"/>
  <c r="W24" i="4" s="1"/>
  <c r="T24" i="4"/>
  <c r="S24" i="4"/>
  <c r="R24" i="4"/>
  <c r="P24" i="4"/>
  <c r="O24" i="4"/>
  <c r="K24" i="4"/>
  <c r="J24" i="4"/>
  <c r="G24" i="4"/>
  <c r="Q24" i="4" s="1"/>
  <c r="C24" i="4" a="1"/>
  <c r="C24" i="4" s="1"/>
  <c r="B24" i="4"/>
  <c r="A24" i="4"/>
  <c r="BN23" i="4"/>
  <c r="AV23" i="4"/>
  <c r="AS23" i="4"/>
  <c r="AV18" i="12" s="1"/>
  <c r="AW18" i="12" s="1"/>
  <c r="AO23" i="4"/>
  <c r="AQ18" i="12" s="1"/>
  <c r="AR18" i="12" s="1"/>
  <c r="AI23" i="4"/>
  <c r="AE23" i="4"/>
  <c r="AF23" i="4" s="1"/>
  <c r="AD23" i="4"/>
  <c r="AH23" i="4" s="1"/>
  <c r="AC23" i="4"/>
  <c r="AG23" i="4" s="1"/>
  <c r="AB23" i="4"/>
  <c r="Y23" i="4"/>
  <c r="X23" i="4"/>
  <c r="W23" i="4"/>
  <c r="T23" i="4"/>
  <c r="S23" i="4"/>
  <c r="R23" i="4"/>
  <c r="Q23" i="4"/>
  <c r="J23" i="4"/>
  <c r="G23" i="4"/>
  <c r="P23" i="4" s="1"/>
  <c r="C23" i="4" a="1"/>
  <c r="C23" i="4" s="1"/>
  <c r="B23" i="4"/>
  <c r="A23" i="4"/>
  <c r="BN22" i="4"/>
  <c r="AV22" i="4"/>
  <c r="AS22" i="4"/>
  <c r="AV17" i="12" s="1"/>
  <c r="AW17" i="12" s="1"/>
  <c r="AO22" i="4"/>
  <c r="AQ17" i="12" s="1"/>
  <c r="AR17" i="12" s="1"/>
  <c r="AI22" i="4"/>
  <c r="AH22" i="4"/>
  <c r="AE22" i="4"/>
  <c r="AD22" i="4"/>
  <c r="AC22" i="4"/>
  <c r="AG22" i="4" s="1"/>
  <c r="AB22" i="4"/>
  <c r="AF22" i="4" s="1"/>
  <c r="Y22" i="4"/>
  <c r="X22" i="4"/>
  <c r="W22" i="4"/>
  <c r="S22" i="4"/>
  <c r="R22" i="4"/>
  <c r="Q22" i="4"/>
  <c r="G22" i="4"/>
  <c r="C22" i="4" a="1"/>
  <c r="C22" i="4" s="1"/>
  <c r="B22" i="4"/>
  <c r="A22" i="4"/>
  <c r="BN21" i="4"/>
  <c r="AV21" i="4"/>
  <c r="AS21" i="4"/>
  <c r="AV16" i="12" s="1"/>
  <c r="AW16" i="12" s="1"/>
  <c r="AO21" i="4"/>
  <c r="AQ16" i="12" s="1"/>
  <c r="AR16" i="12" s="1"/>
  <c r="AG21" i="4"/>
  <c r="AF21" i="4"/>
  <c r="AE21" i="4"/>
  <c r="AD21" i="4"/>
  <c r="AC21" i="4"/>
  <c r="AB21" i="4"/>
  <c r="Y21" i="4"/>
  <c r="W21" i="4" s="1"/>
  <c r="X21" i="4"/>
  <c r="S21" i="4"/>
  <c r="R21" i="4"/>
  <c r="Q21" i="4"/>
  <c r="P21" i="4"/>
  <c r="G21" i="4"/>
  <c r="J21" i="4" s="1"/>
  <c r="C21" i="4" a="1"/>
  <c r="C21" i="4" s="1"/>
  <c r="B21" i="4"/>
  <c r="A21" i="4"/>
  <c r="BN20" i="4"/>
  <c r="AV20" i="4"/>
  <c r="AS20" i="4"/>
  <c r="AV15" i="12" s="1"/>
  <c r="AW15" i="12" s="1"/>
  <c r="AO20" i="4"/>
  <c r="AQ15" i="12" s="1"/>
  <c r="AR15" i="12" s="1"/>
  <c r="AH20" i="4"/>
  <c r="AG20" i="4"/>
  <c r="AE20" i="4"/>
  <c r="AF20" i="4" s="1"/>
  <c r="AD20" i="4"/>
  <c r="AC20" i="4"/>
  <c r="AB20" i="4"/>
  <c r="Y20" i="4"/>
  <c r="X20" i="4"/>
  <c r="T20" i="4"/>
  <c r="S20" i="4"/>
  <c r="R20" i="4"/>
  <c r="Q20" i="4"/>
  <c r="P20" i="4"/>
  <c r="O20" i="4"/>
  <c r="G20" i="4"/>
  <c r="B20" i="4"/>
  <c r="C20" i="4" s="1" a="1"/>
  <c r="C20" i="4" s="1"/>
  <c r="A20" i="4"/>
  <c r="BN19" i="4"/>
  <c r="AV19" i="4"/>
  <c r="AS19" i="4"/>
  <c r="AV14" i="12" s="1"/>
  <c r="AW14" i="12" s="1"/>
  <c r="AO19" i="4"/>
  <c r="AQ14" i="12" s="1"/>
  <c r="AR14" i="12" s="1"/>
  <c r="AI19" i="4"/>
  <c r="AF19" i="4"/>
  <c r="AE19" i="4"/>
  <c r="AG19" i="4" s="1"/>
  <c r="AD19" i="4"/>
  <c r="AH19" i="4" s="1"/>
  <c r="AC19" i="4"/>
  <c r="AB19" i="4"/>
  <c r="Y19" i="4"/>
  <c r="X19" i="4"/>
  <c r="W19" i="4" s="1"/>
  <c r="T19" i="4"/>
  <c r="S19" i="4"/>
  <c r="R19" i="4"/>
  <c r="Q19" i="4"/>
  <c r="P19" i="4"/>
  <c r="O19" i="4"/>
  <c r="K19" i="4"/>
  <c r="G19" i="4"/>
  <c r="J19" i="4" s="1"/>
  <c r="B19" i="4"/>
  <c r="C19" i="4" s="1" a="1"/>
  <c r="C19" i="4" s="1"/>
  <c r="A19" i="4"/>
  <c r="BN18" i="4"/>
  <c r="AV18" i="4"/>
  <c r="AS18" i="4"/>
  <c r="AV13" i="12" s="1"/>
  <c r="AW13" i="12" s="1"/>
  <c r="AO18" i="4"/>
  <c r="AQ13" i="12" s="1"/>
  <c r="AR13" i="12" s="1"/>
  <c r="AE18" i="4"/>
  <c r="AF18" i="4" s="1"/>
  <c r="AD18" i="4"/>
  <c r="AH18" i="4" s="1"/>
  <c r="AC18" i="4"/>
  <c r="AB18" i="4"/>
  <c r="Y18" i="4"/>
  <c r="X18" i="4"/>
  <c r="W18" i="4"/>
  <c r="S18" i="4"/>
  <c r="R18" i="4"/>
  <c r="G18" i="4"/>
  <c r="K18" i="4" s="1"/>
  <c r="B18" i="4"/>
  <c r="C18" i="4" s="1" a="1"/>
  <c r="C18" i="4" s="1"/>
  <c r="A18" i="4"/>
  <c r="BN17" i="4"/>
  <c r="AV17" i="4"/>
  <c r="AS17" i="4"/>
  <c r="AV12" i="12" s="1"/>
  <c r="AW12" i="12" s="1"/>
  <c r="AO17" i="4"/>
  <c r="AQ12" i="12" s="1"/>
  <c r="AR12" i="12" s="1"/>
  <c r="AI17" i="4"/>
  <c r="AE17" i="4"/>
  <c r="AF17" i="4" s="1"/>
  <c r="AD17" i="4"/>
  <c r="AC17" i="4"/>
  <c r="AG17" i="4" s="1"/>
  <c r="AB17" i="4"/>
  <c r="Y17" i="4"/>
  <c r="X17" i="4"/>
  <c r="W17" i="4"/>
  <c r="T17" i="4"/>
  <c r="S17" i="4"/>
  <c r="R17" i="4"/>
  <c r="P17" i="4"/>
  <c r="O17" i="4"/>
  <c r="K17" i="4"/>
  <c r="J17" i="4"/>
  <c r="G17" i="4"/>
  <c r="Q17" i="4" s="1"/>
  <c r="C17" i="4" a="1"/>
  <c r="C17" i="4"/>
  <c r="B17" i="4"/>
  <c r="A17" i="4"/>
  <c r="BN16" i="4"/>
  <c r="AV16" i="4"/>
  <c r="AS16" i="4"/>
  <c r="AV11" i="12" s="1"/>
  <c r="AW11" i="12" s="1"/>
  <c r="AO16" i="4"/>
  <c r="AQ11" i="12" s="1"/>
  <c r="AR11" i="12" s="1"/>
  <c r="AE16" i="4"/>
  <c r="AF16" i="4" s="1"/>
  <c r="AD16" i="4"/>
  <c r="AC16" i="4"/>
  <c r="AG16" i="4" s="1"/>
  <c r="AB16" i="4"/>
  <c r="Y16" i="4"/>
  <c r="X16" i="4"/>
  <c r="W16" i="4"/>
  <c r="S16" i="4"/>
  <c r="R16" i="4"/>
  <c r="G16" i="4"/>
  <c r="C16" i="4" a="1"/>
  <c r="C16" i="4" s="1"/>
  <c r="B16" i="4"/>
  <c r="A16" i="4"/>
  <c r="BN15" i="4"/>
  <c r="AV15" i="4"/>
  <c r="AS15" i="4"/>
  <c r="AV10" i="12" s="1"/>
  <c r="AW10" i="12" s="1"/>
  <c r="AO15" i="4"/>
  <c r="AQ10" i="12" s="1"/>
  <c r="AR10" i="12" s="1"/>
  <c r="AF15" i="4"/>
  <c r="AE15" i="4"/>
  <c r="AD15" i="4"/>
  <c r="AC15" i="4"/>
  <c r="AB15" i="4"/>
  <c r="Y15" i="4"/>
  <c r="X15" i="4"/>
  <c r="W15" i="4" s="1"/>
  <c r="S15" i="4"/>
  <c r="R15" i="4"/>
  <c r="G15" i="4"/>
  <c r="AI15" i="4" s="1"/>
  <c r="C15" i="4" a="1"/>
  <c r="C15" i="4" s="1"/>
  <c r="B15" i="4"/>
  <c r="A15" i="4"/>
  <c r="BN14" i="4"/>
  <c r="AV14" i="4"/>
  <c r="AS14" i="4"/>
  <c r="AV9" i="12" s="1"/>
  <c r="AW9" i="12" s="1"/>
  <c r="AO14" i="4"/>
  <c r="AQ9" i="12" s="1"/>
  <c r="AR9" i="12" s="1"/>
  <c r="AE14" i="4"/>
  <c r="AD14" i="4"/>
  <c r="AC14" i="4"/>
  <c r="AG14" i="4" s="1"/>
  <c r="AB14" i="4"/>
  <c r="AF14" i="4" s="1"/>
  <c r="Y14" i="4"/>
  <c r="W14" i="4" s="1"/>
  <c r="X14" i="4"/>
  <c r="S14" i="4"/>
  <c r="R14" i="4"/>
  <c r="G14" i="4"/>
  <c r="C14" i="4" a="1"/>
  <c r="C14" i="4" s="1"/>
  <c r="B14" i="4"/>
  <c r="A14" i="4"/>
  <c r="BN13" i="4"/>
  <c r="AV13" i="4"/>
  <c r="AS13" i="4"/>
  <c r="AV8" i="12" s="1"/>
  <c r="AW8" i="12" s="1"/>
  <c r="AO13" i="4"/>
  <c r="AQ8" i="12" s="1"/>
  <c r="AR8" i="12" s="1"/>
  <c r="AE13" i="4"/>
  <c r="AD13" i="4"/>
  <c r="AC13" i="4"/>
  <c r="AB13" i="4"/>
  <c r="Y13" i="4"/>
  <c r="X13" i="4"/>
  <c r="W13" i="4" s="1"/>
  <c r="S13" i="4"/>
  <c r="R13" i="4"/>
  <c r="G13" i="4"/>
  <c r="J13" i="4" s="1"/>
  <c r="B13" i="4"/>
  <c r="C13" i="4" s="1" a="1"/>
  <c r="C13" i="4" s="1"/>
  <c r="A13" i="4"/>
  <c r="BN12" i="4"/>
  <c r="AV12" i="4"/>
  <c r="AS12" i="4"/>
  <c r="AV7" i="12" s="1"/>
  <c r="AW7" i="12" s="1"/>
  <c r="AO12" i="4"/>
  <c r="AQ7" i="12" s="1"/>
  <c r="AR7" i="12" s="1"/>
  <c r="AI12" i="4"/>
  <c r="AE12" i="4"/>
  <c r="AG12" i="4" s="1"/>
  <c r="AD12" i="4"/>
  <c r="AH12" i="4" s="1"/>
  <c r="AC12" i="4"/>
  <c r="AB12" i="4"/>
  <c r="Y12" i="4"/>
  <c r="X12" i="4"/>
  <c r="T12" i="4"/>
  <c r="S12" i="4"/>
  <c r="R12" i="4"/>
  <c r="Q12" i="4"/>
  <c r="P12" i="4"/>
  <c r="O12" i="4"/>
  <c r="K12" i="4"/>
  <c r="G12" i="4"/>
  <c r="J12" i="4" s="1"/>
  <c r="B12" i="4"/>
  <c r="C12" i="4" s="1" a="1"/>
  <c r="C12" i="4" s="1"/>
  <c r="A12" i="4"/>
  <c r="BN11" i="4"/>
  <c r="AV11" i="4"/>
  <c r="AS11" i="4"/>
  <c r="AV6" i="12" s="1"/>
  <c r="AW6" i="12" s="1"/>
  <c r="AO11" i="4"/>
  <c r="AQ6" i="12" s="1"/>
  <c r="AR6" i="12" s="1"/>
  <c r="AE11" i="4"/>
  <c r="AD11" i="4"/>
  <c r="AH11" i="4" s="1"/>
  <c r="AC11" i="4"/>
  <c r="AG11" i="4" s="1"/>
  <c r="AB11" i="4"/>
  <c r="AI11" i="4" s="1"/>
  <c r="Y11" i="4"/>
  <c r="X11" i="4"/>
  <c r="W11" i="4"/>
  <c r="T11" i="4"/>
  <c r="S11" i="4"/>
  <c r="R11" i="4"/>
  <c r="O11" i="4"/>
  <c r="K11" i="4"/>
  <c r="G11" i="4"/>
  <c r="B11" i="4"/>
  <c r="C11" i="4" s="1" a="1"/>
  <c r="C11" i="4" s="1"/>
  <c r="A11" i="4"/>
  <c r="BN10" i="4"/>
  <c r="AV10" i="4"/>
  <c r="AS10" i="4"/>
  <c r="AV5" i="12" s="1"/>
  <c r="AW5" i="12" s="1"/>
  <c r="AO10" i="4"/>
  <c r="AQ5" i="12" s="1"/>
  <c r="AR5" i="12" s="1"/>
  <c r="AI10" i="4"/>
  <c r="AH10" i="4"/>
  <c r="AF10" i="4"/>
  <c r="AE10" i="4"/>
  <c r="AD10" i="4"/>
  <c r="AC10" i="4"/>
  <c r="AB10" i="4"/>
  <c r="Y10" i="4"/>
  <c r="X10" i="4"/>
  <c r="W10" i="4"/>
  <c r="T10" i="4"/>
  <c r="S10" i="4"/>
  <c r="R10" i="4"/>
  <c r="P10" i="4"/>
  <c r="O10" i="4"/>
  <c r="K10" i="4"/>
  <c r="J10" i="4"/>
  <c r="G10" i="4"/>
  <c r="Q10" i="4" s="1"/>
  <c r="C10" i="4" a="1"/>
  <c r="C10" i="4"/>
  <c r="B10" i="4"/>
  <c r="A10" i="4"/>
  <c r="BN9" i="4"/>
  <c r="AV9" i="4"/>
  <c r="AS9" i="4"/>
  <c r="AV4" i="12" s="1"/>
  <c r="AW4" i="12" s="1"/>
  <c r="AO9" i="4"/>
  <c r="AQ4" i="12" s="1"/>
  <c r="AR4" i="12" s="1"/>
  <c r="AI9" i="4"/>
  <c r="AH9" i="4"/>
  <c r="AG9" i="4"/>
  <c r="AE9" i="4"/>
  <c r="AD9" i="4"/>
  <c r="AC9" i="4"/>
  <c r="AB9" i="4"/>
  <c r="Y9" i="4"/>
  <c r="X9" i="4"/>
  <c r="W9" i="4"/>
  <c r="T9" i="4"/>
  <c r="S9" i="4"/>
  <c r="R9" i="4"/>
  <c r="Q9" i="4"/>
  <c r="O9" i="4"/>
  <c r="K9" i="4"/>
  <c r="J9" i="4"/>
  <c r="G9" i="4"/>
  <c r="P9" i="4" s="1"/>
  <c r="C9" i="4" a="1"/>
  <c r="C9" i="4"/>
  <c r="B9" i="4"/>
  <c r="A9" i="4"/>
  <c r="BN8" i="4"/>
  <c r="AV8" i="4"/>
  <c r="AS8" i="4"/>
  <c r="AV3" i="12" s="1"/>
  <c r="AW3" i="12" s="1"/>
  <c r="AO8" i="4"/>
  <c r="AQ3" i="12" s="1"/>
  <c r="AR3" i="12" s="1"/>
  <c r="AI8" i="4"/>
  <c r="AH8" i="4"/>
  <c r="AG8" i="4"/>
  <c r="AF8" i="4"/>
  <c r="AE8" i="4"/>
  <c r="AD8" i="4"/>
  <c r="AC8" i="4"/>
  <c r="AB8" i="4"/>
  <c r="Y8" i="4"/>
  <c r="X8" i="4"/>
  <c r="W8" i="4"/>
  <c r="S8" i="4"/>
  <c r="R8" i="4"/>
  <c r="Q8" i="4"/>
  <c r="P8" i="4"/>
  <c r="J8" i="4"/>
  <c r="G8" i="4"/>
  <c r="B8" i="4"/>
  <c r="C8" i="4" s="1" a="1"/>
  <c r="C8" i="4" s="1"/>
  <c r="A8" i="4"/>
  <c r="BN7" i="4"/>
  <c r="AV7" i="4"/>
  <c r="AS7" i="4"/>
  <c r="AV2" i="12" s="1"/>
  <c r="AW2" i="12" s="1"/>
  <c r="AO7" i="4"/>
  <c r="AQ2" i="12" s="1"/>
  <c r="AR2" i="12" s="1"/>
  <c r="AH7" i="4"/>
  <c r="AG7" i="4"/>
  <c r="AF7" i="4"/>
  <c r="AE7" i="4"/>
  <c r="AD7" i="4"/>
  <c r="AC7" i="4"/>
  <c r="AB7" i="4"/>
  <c r="Y7" i="4"/>
  <c r="X7" i="4"/>
  <c r="W7" i="4"/>
  <c r="V7" i="4"/>
  <c r="V8" i="4" s="1"/>
  <c r="V9" i="4" s="1"/>
  <c r="V10" i="4" s="1"/>
  <c r="U7" i="4"/>
  <c r="T7" i="4"/>
  <c r="S7" i="4"/>
  <c r="R7" i="4"/>
  <c r="Q7" i="4"/>
  <c r="P7" i="4"/>
  <c r="K7" i="4"/>
  <c r="J7" i="4"/>
  <c r="G7" i="4"/>
  <c r="E7" i="4"/>
  <c r="D8" i="4" s="1"/>
  <c r="E8" i="4" s="1"/>
  <c r="B7" i="4"/>
  <c r="C7" i="4" s="1" a="1"/>
  <c r="C7" i="4" s="1"/>
  <c r="A7" i="4"/>
  <c r="D1" i="4"/>
  <c r="BI221" i="5" l="1"/>
  <c r="I221" i="4"/>
  <c r="G221" i="4" s="1"/>
  <c r="P221" i="4" s="1"/>
  <c r="AX221" i="4"/>
  <c r="AY221" i="4" s="1"/>
  <c r="BI220" i="5"/>
  <c r="AV272" i="4"/>
  <c r="AU272" i="4" s="1"/>
  <c r="BE272" i="4" s="1"/>
  <c r="G272" i="11"/>
  <c r="AB221" i="4"/>
  <c r="AF221" i="4" s="1"/>
  <c r="AB273" i="4"/>
  <c r="AI273" i="4" s="1"/>
  <c r="U268" i="12"/>
  <c r="U269" i="12" s="1"/>
  <c r="U270" i="12" s="1"/>
  <c r="U271" i="12" s="1"/>
  <c r="U272" i="12" s="1"/>
  <c r="U273" i="12" s="1"/>
  <c r="U274" i="12" s="1"/>
  <c r="U275" i="12" s="1"/>
  <c r="U276" i="12" s="1"/>
  <c r="U277" i="12" s="1"/>
  <c r="U278" i="12" s="1"/>
  <c r="U279" i="12" s="1"/>
  <c r="U280" i="12" s="1"/>
  <c r="U281" i="12" s="1"/>
  <c r="U282" i="12" s="1"/>
  <c r="U283" i="12" s="1"/>
  <c r="U284" i="12" s="1"/>
  <c r="U285" i="12" s="1"/>
  <c r="U286" i="12" s="1"/>
  <c r="U287" i="12" s="1"/>
  <c r="U288" i="12" s="1"/>
  <c r="U289" i="12" s="1"/>
  <c r="U290" i="12" s="1"/>
  <c r="U291" i="12" s="1"/>
  <c r="U292" i="12" s="1"/>
  <c r="U293" i="12" s="1"/>
  <c r="U294" i="12" s="1"/>
  <c r="U295" i="12" s="1"/>
  <c r="U296" i="12" s="1"/>
  <c r="U297" i="12" s="1"/>
  <c r="U298" i="12" s="1"/>
  <c r="U299" i="12" s="1"/>
  <c r="U300" i="12" s="1"/>
  <c r="U301" i="12" s="1"/>
  <c r="U302" i="12" s="1"/>
  <c r="U303" i="12" s="1"/>
  <c r="U304" i="12" s="1"/>
  <c r="U305" i="12" s="1"/>
  <c r="U306" i="12" s="1"/>
  <c r="U307" i="12" s="1"/>
  <c r="U308" i="12" s="1"/>
  <c r="U309" i="12" s="1"/>
  <c r="U310" i="12" s="1"/>
  <c r="U311" i="12" s="1"/>
  <c r="U312" i="12" s="1"/>
  <c r="U313" i="12" s="1"/>
  <c r="U314" i="12" s="1"/>
  <c r="T219" i="10"/>
  <c r="S272" i="8"/>
  <c r="AF273" i="4"/>
  <c r="AN273" i="7"/>
  <c r="AC273" i="4"/>
  <c r="CB272" i="5"/>
  <c r="CA273" i="5"/>
  <c r="CA305" i="5"/>
  <c r="CA310" i="5"/>
  <c r="CC265" i="5"/>
  <c r="CC286" i="5"/>
  <c r="CA301" i="5"/>
  <c r="CD290" i="5"/>
  <c r="CD278" i="5"/>
  <c r="CA289" i="5"/>
  <c r="CD289" i="5" s="1"/>
  <c r="CC298" i="5"/>
  <c r="CA302" i="5"/>
  <c r="CC312" i="5"/>
  <c r="CA316" i="5"/>
  <c r="CC267" i="5"/>
  <c r="CA286" i="5"/>
  <c r="CA287" i="5"/>
  <c r="CC299" i="5"/>
  <c r="CA303" i="5"/>
  <c r="CA309" i="5"/>
  <c r="CA269" i="5"/>
  <c r="CC266" i="5"/>
  <c r="CA265" i="5"/>
  <c r="CC273" i="5"/>
  <c r="CA257" i="5"/>
  <c r="CD257" i="5" s="1"/>
  <c r="CA248" i="5"/>
  <c r="CA258" i="5"/>
  <c r="CA259" i="5"/>
  <c r="CD259" i="5" s="1"/>
  <c r="CA270" i="5"/>
  <c r="CD270" i="5" s="1"/>
  <c r="CC271" i="5"/>
  <c r="CA250" i="5"/>
  <c r="CA262" i="5"/>
  <c r="CA251" i="5"/>
  <c r="CA263" i="5"/>
  <c r="CA260" i="5"/>
  <c r="CD260" i="5" s="1"/>
  <c r="CA267" i="5"/>
  <c r="CA271" i="5"/>
  <c r="CA256" i="5"/>
  <c r="CD256" i="5" s="1"/>
  <c r="CA261" i="5"/>
  <c r="CA268" i="5"/>
  <c r="X273" i="4"/>
  <c r="R268" i="12"/>
  <c r="AH16" i="4"/>
  <c r="W32" i="4"/>
  <c r="AF37" i="4"/>
  <c r="AG37" i="4"/>
  <c r="AH87" i="4"/>
  <c r="BA224" i="4"/>
  <c r="K224" i="4"/>
  <c r="AY271" i="4"/>
  <c r="AX268" i="4"/>
  <c r="AY268" i="4" s="1"/>
  <c r="N268" i="4"/>
  <c r="I268" i="4"/>
  <c r="Q255" i="12"/>
  <c r="AA259" i="5"/>
  <c r="Y259" i="5" s="1"/>
  <c r="AG13" i="4"/>
  <c r="AH13" i="4"/>
  <c r="AF98" i="4"/>
  <c r="D9" i="4"/>
  <c r="E9" i="4" s="1"/>
  <c r="D10" i="4" s="1"/>
  <c r="E10" i="4" s="1"/>
  <c r="D11" i="4" s="1"/>
  <c r="E11" i="4" s="1"/>
  <c r="D12" i="4" s="1"/>
  <c r="E12" i="4" s="1"/>
  <c r="D13" i="4" s="1"/>
  <c r="E13" i="4" s="1"/>
  <c r="D14" i="4" s="1"/>
  <c r="E14" i="4" s="1"/>
  <c r="D15" i="4" s="1"/>
  <c r="E15" i="4" s="1"/>
  <c r="D16" i="4" s="1"/>
  <c r="E16" i="4" s="1"/>
  <c r="D17" i="4" s="1"/>
  <c r="E17" i="4" s="1"/>
  <c r="D18" i="4" s="1"/>
  <c r="E18" i="4" s="1"/>
  <c r="D19" i="4" s="1"/>
  <c r="E19" i="4" s="1"/>
  <c r="D20" i="4" s="1"/>
  <c r="E20" i="4" s="1"/>
  <c r="D21" i="4" s="1"/>
  <c r="E21" i="4" s="1"/>
  <c r="D22" i="4" s="1"/>
  <c r="E22" i="4" s="1"/>
  <c r="D23" i="4" s="1"/>
  <c r="E23" i="4" s="1"/>
  <c r="D24" i="4" s="1"/>
  <c r="E24" i="4" s="1"/>
  <c r="D25" i="4" s="1"/>
  <c r="E25" i="4" s="1"/>
  <c r="D26" i="4" s="1"/>
  <c r="E26" i="4" s="1"/>
  <c r="D27" i="4" s="1"/>
  <c r="E27" i="4" s="1"/>
  <c r="D28" i="4" s="1"/>
  <c r="E28" i="4" s="1"/>
  <c r="D29" i="4" s="1"/>
  <c r="E29" i="4" s="1"/>
  <c r="D30" i="4" s="1"/>
  <c r="E30" i="4" s="1"/>
  <c r="D31" i="4" s="1"/>
  <c r="E31" i="4" s="1"/>
  <c r="D32" i="4" s="1"/>
  <c r="E32" i="4" s="1"/>
  <c r="D33" i="4" s="1"/>
  <c r="E33" i="4" s="1"/>
  <c r="D34" i="4" s="1"/>
  <c r="E34" i="4" s="1"/>
  <c r="D35" i="4" s="1"/>
  <c r="E35" i="4" s="1"/>
  <c r="D36" i="4" s="1"/>
  <c r="E36" i="4" s="1"/>
  <c r="D37" i="4" s="1"/>
  <c r="E37" i="4" s="1"/>
  <c r="D38" i="4" s="1"/>
  <c r="E38" i="4" s="1"/>
  <c r="D39" i="4" s="1"/>
  <c r="E39" i="4" s="1"/>
  <c r="D40" i="4" s="1"/>
  <c r="E40" i="4" s="1"/>
  <c r="D41" i="4" s="1"/>
  <c r="E41" i="4" s="1"/>
  <c r="D42" i="4" s="1"/>
  <c r="E42" i="4" s="1"/>
  <c r="D43" i="4" s="1"/>
  <c r="E43" i="4" s="1"/>
  <c r="D44" i="4" s="1"/>
  <c r="E44" i="4" s="1"/>
  <c r="D45" i="4" s="1"/>
  <c r="E45" i="4" s="1"/>
  <c r="D46" i="4" s="1"/>
  <c r="E46" i="4" s="1"/>
  <c r="D47" i="4" s="1"/>
  <c r="E47" i="4" s="1"/>
  <c r="D48" i="4" s="1"/>
  <c r="E48" i="4" s="1"/>
  <c r="D49" i="4" s="1"/>
  <c r="E49" i="4" s="1"/>
  <c r="D50" i="4" s="1"/>
  <c r="E50" i="4" s="1"/>
  <c r="D51" i="4" s="1"/>
  <c r="E51" i="4" s="1"/>
  <c r="D52" i="4" s="1"/>
  <c r="E52" i="4" s="1"/>
  <c r="D53" i="4" s="1"/>
  <c r="E53" i="4" s="1"/>
  <c r="D54" i="4" s="1"/>
  <c r="E54" i="4" s="1"/>
  <c r="D55" i="4" s="1"/>
  <c r="E55" i="4" s="1"/>
  <c r="D56" i="4" s="1"/>
  <c r="E56" i="4" s="1"/>
  <c r="D57" i="4" s="1"/>
  <c r="E57" i="4" s="1"/>
  <c r="D58" i="4" s="1"/>
  <c r="E58" i="4" s="1"/>
  <c r="D59" i="4" s="1"/>
  <c r="E59" i="4" s="1"/>
  <c r="D60" i="4" s="1"/>
  <c r="E60" i="4" s="1"/>
  <c r="D61" i="4" s="1"/>
  <c r="E61" i="4" s="1"/>
  <c r="D62" i="4" s="1"/>
  <c r="E62" i="4" s="1"/>
  <c r="D63" i="4" s="1"/>
  <c r="E63" i="4" s="1"/>
  <c r="D64" i="4" s="1"/>
  <c r="E64" i="4" s="1"/>
  <c r="D65" i="4" s="1"/>
  <c r="E65" i="4" s="1"/>
  <c r="D66" i="4" s="1"/>
  <c r="E66" i="4" s="1"/>
  <c r="D67" i="4" s="1"/>
  <c r="E67" i="4" s="1"/>
  <c r="D68" i="4" s="1"/>
  <c r="E68" i="4" s="1"/>
  <c r="D69" i="4" s="1"/>
  <c r="E69" i="4" s="1"/>
  <c r="D70" i="4" s="1"/>
  <c r="E70" i="4" s="1"/>
  <c r="D71" i="4" s="1"/>
  <c r="E71" i="4" s="1"/>
  <c r="D72" i="4" s="1"/>
  <c r="E72" i="4" s="1"/>
  <c r="D73" i="4" s="1"/>
  <c r="E73" i="4" s="1"/>
  <c r="D74" i="4" s="1"/>
  <c r="E74" i="4" s="1"/>
  <c r="D75" i="4" s="1"/>
  <c r="E75" i="4" s="1"/>
  <c r="D76" i="4" s="1"/>
  <c r="E76" i="4" s="1"/>
  <c r="D77" i="4" s="1"/>
  <c r="E77" i="4" s="1"/>
  <c r="D78" i="4" s="1"/>
  <c r="E78" i="4" s="1"/>
  <c r="D79" i="4" s="1"/>
  <c r="E79" i="4" s="1"/>
  <c r="D80" i="4" s="1"/>
  <c r="E80" i="4" s="1"/>
  <c r="D81" i="4" s="1"/>
  <c r="E81" i="4" s="1"/>
  <c r="D82" i="4" s="1"/>
  <c r="E82" i="4" s="1"/>
  <c r="D83" i="4" s="1"/>
  <c r="E83" i="4" s="1"/>
  <c r="D84" i="4" s="1"/>
  <c r="E84" i="4" s="1"/>
  <c r="D85" i="4" s="1"/>
  <c r="E85" i="4" s="1"/>
  <c r="D86" i="4" s="1"/>
  <c r="E86" i="4" s="1"/>
  <c r="D87" i="4" s="1"/>
  <c r="E87" i="4" s="1"/>
  <c r="D88" i="4" s="1"/>
  <c r="E88" i="4" s="1"/>
  <c r="D89" i="4" s="1"/>
  <c r="E89" i="4" s="1"/>
  <c r="D90" i="4" s="1"/>
  <c r="E90" i="4" s="1"/>
  <c r="D91" i="4" s="1"/>
  <c r="E91" i="4" s="1"/>
  <c r="D92" i="4" s="1"/>
  <c r="E92" i="4" s="1"/>
  <c r="D93" i="4" s="1"/>
  <c r="E93" i="4" s="1"/>
  <c r="D94" i="4" s="1"/>
  <c r="E94" i="4" s="1"/>
  <c r="D95" i="4" s="1"/>
  <c r="E95" i="4" s="1"/>
  <c r="D96" i="4" s="1"/>
  <c r="E96" i="4" s="1"/>
  <c r="D97" i="4" s="1"/>
  <c r="E97" i="4" s="1"/>
  <c r="D98" i="4" s="1"/>
  <c r="E98" i="4" s="1"/>
  <c r="D99" i="4" s="1"/>
  <c r="E99" i="4" s="1"/>
  <c r="D100" i="4" s="1"/>
  <c r="E100" i="4" s="1"/>
  <c r="D101" i="4" s="1"/>
  <c r="E101" i="4" s="1"/>
  <c r="D102" i="4" s="1"/>
  <c r="E102" i="4" s="1"/>
  <c r="D103" i="4" s="1"/>
  <c r="E103" i="4" s="1"/>
  <c r="D104" i="4" s="1"/>
  <c r="E104" i="4" s="1"/>
  <c r="D105" i="4" s="1"/>
  <c r="E105" i="4" s="1"/>
  <c r="D106" i="4" s="1"/>
  <c r="E106" i="4" s="1"/>
  <c r="D107" i="4" s="1"/>
  <c r="E107" i="4" s="1"/>
  <c r="D108" i="4" s="1"/>
  <c r="E108" i="4" s="1"/>
  <c r="D109" i="4" s="1"/>
  <c r="E109" i="4" s="1"/>
  <c r="D110" i="4" s="1"/>
  <c r="E110" i="4" s="1"/>
  <c r="D111" i="4" s="1"/>
  <c r="E111" i="4" s="1"/>
  <c r="D112" i="4" s="1"/>
  <c r="E112" i="4" s="1"/>
  <c r="D113" i="4" s="1"/>
  <c r="E113" i="4" s="1"/>
  <c r="D114" i="4" s="1"/>
  <c r="E114" i="4" s="1"/>
  <c r="D115" i="4" s="1"/>
  <c r="E115" i="4" s="1"/>
  <c r="D116" i="4" s="1"/>
  <c r="E116" i="4" s="1"/>
  <c r="D117" i="4" s="1"/>
  <c r="E117" i="4" s="1"/>
  <c r="D118" i="4" s="1"/>
  <c r="E118" i="4" s="1"/>
  <c r="D119" i="4" s="1"/>
  <c r="E119" i="4" s="1"/>
  <c r="D120" i="4" s="1"/>
  <c r="E120" i="4" s="1"/>
  <c r="D121" i="4" s="1"/>
  <c r="E121" i="4" s="1"/>
  <c r="D122" i="4" s="1"/>
  <c r="E122" i="4" s="1"/>
  <c r="D123" i="4" s="1"/>
  <c r="E123" i="4" s="1"/>
  <c r="D124" i="4" s="1"/>
  <c r="E124" i="4" s="1"/>
  <c r="D125" i="4" s="1"/>
  <c r="E125" i="4" s="1"/>
  <c r="D126" i="4" s="1"/>
  <c r="E126" i="4" s="1"/>
  <c r="D127" i="4" s="1"/>
  <c r="E127" i="4" s="1"/>
  <c r="D128" i="4" s="1"/>
  <c r="E128" i="4" s="1"/>
  <c r="D129" i="4" s="1"/>
  <c r="E129" i="4" s="1"/>
  <c r="D130" i="4" s="1"/>
  <c r="E130" i="4" s="1"/>
  <c r="D131" i="4" s="1"/>
  <c r="E131" i="4" s="1"/>
  <c r="D132" i="4" s="1"/>
  <c r="E132" i="4" s="1"/>
  <c r="D133" i="4" s="1"/>
  <c r="E133" i="4" s="1"/>
  <c r="D134" i="4" s="1"/>
  <c r="E134" i="4" s="1"/>
  <c r="D135" i="4" s="1"/>
  <c r="E135" i="4" s="1"/>
  <c r="D136" i="4" s="1"/>
  <c r="E136" i="4" s="1"/>
  <c r="D137" i="4" s="1"/>
  <c r="E137" i="4" s="1"/>
  <c r="D138" i="4" s="1"/>
  <c r="E138" i="4" s="1"/>
  <c r="D139" i="4" s="1"/>
  <c r="E139" i="4" s="1"/>
  <c r="D140" i="4" s="1"/>
  <c r="E140" i="4" s="1"/>
  <c r="D141" i="4" s="1"/>
  <c r="E141" i="4" s="1"/>
  <c r="D142" i="4" s="1"/>
  <c r="E142" i="4" s="1"/>
  <c r="D143" i="4" s="1"/>
  <c r="E143" i="4" s="1"/>
  <c r="D144" i="4" s="1"/>
  <c r="E144" i="4" s="1"/>
  <c r="D145" i="4" s="1"/>
  <c r="E145" i="4" s="1"/>
  <c r="D146" i="4" s="1"/>
  <c r="E146" i="4" s="1"/>
  <c r="D147" i="4" s="1"/>
  <c r="E147" i="4" s="1"/>
  <c r="D148" i="4" s="1"/>
  <c r="E148" i="4" s="1"/>
  <c r="D149" i="4" s="1"/>
  <c r="E149" i="4" s="1"/>
  <c r="D150" i="4" s="1"/>
  <c r="E150" i="4" s="1"/>
  <c r="D151" i="4" s="1"/>
  <c r="E151" i="4" s="1"/>
  <c r="D152" i="4" s="1"/>
  <c r="E152" i="4" s="1"/>
  <c r="D153" i="4" s="1"/>
  <c r="E153" i="4" s="1"/>
  <c r="D154" i="4" s="1"/>
  <c r="E154" i="4" s="1"/>
  <c r="D155" i="4" s="1"/>
  <c r="E155" i="4" s="1"/>
  <c r="D156" i="4" s="1"/>
  <c r="E156" i="4" s="1"/>
  <c r="D157" i="4" s="1"/>
  <c r="E157" i="4" s="1"/>
  <c r="D158" i="4" s="1"/>
  <c r="E158" i="4" s="1"/>
  <c r="D159" i="4" s="1"/>
  <c r="E159" i="4" s="1"/>
  <c r="D160" i="4" s="1"/>
  <c r="E160" i="4" s="1"/>
  <c r="D161" i="4" s="1"/>
  <c r="E161" i="4" s="1"/>
  <c r="D162" i="4" s="1"/>
  <c r="E162" i="4" s="1"/>
  <c r="D163" i="4" s="1"/>
  <c r="E163" i="4" s="1"/>
  <c r="D164" i="4" s="1"/>
  <c r="E164" i="4" s="1"/>
  <c r="D165" i="4" s="1"/>
  <c r="E165" i="4" s="1"/>
  <c r="D166" i="4" s="1"/>
  <c r="E166" i="4" s="1"/>
  <c r="D167" i="4" s="1"/>
  <c r="E167" i="4" s="1"/>
  <c r="D168" i="4" s="1"/>
  <c r="E168" i="4" s="1"/>
  <c r="D169" i="4" s="1"/>
  <c r="E169" i="4" s="1"/>
  <c r="D170" i="4" s="1"/>
  <c r="E170" i="4" s="1"/>
  <c r="D171" i="4" s="1"/>
  <c r="E171" i="4" s="1"/>
  <c r="D172" i="4" s="1"/>
  <c r="E172" i="4" s="1"/>
  <c r="D173" i="4" s="1"/>
  <c r="E173" i="4" s="1"/>
  <c r="D174" i="4" s="1"/>
  <c r="E174" i="4" s="1"/>
  <c r="D175" i="4" s="1"/>
  <c r="E175" i="4" s="1"/>
  <c r="D176" i="4" s="1"/>
  <c r="E176" i="4" s="1"/>
  <c r="D177" i="4" s="1"/>
  <c r="E177" i="4" s="1"/>
  <c r="D178" i="4" s="1"/>
  <c r="E178" i="4" s="1"/>
  <c r="D179" i="4" s="1"/>
  <c r="E179" i="4" s="1"/>
  <c r="D180" i="4" s="1"/>
  <c r="E180" i="4" s="1"/>
  <c r="D181" i="4" s="1"/>
  <c r="E181" i="4" s="1"/>
  <c r="D182" i="4" s="1"/>
  <c r="E182" i="4" s="1"/>
  <c r="D183" i="4" s="1"/>
  <c r="E183" i="4" s="1"/>
  <c r="D184" i="4" s="1"/>
  <c r="E184" i="4" s="1"/>
  <c r="D185" i="4" s="1"/>
  <c r="E185" i="4" s="1"/>
  <c r="D186" i="4" s="1"/>
  <c r="E186" i="4" s="1"/>
  <c r="D187" i="4" s="1"/>
  <c r="E187" i="4" s="1"/>
  <c r="D188" i="4" s="1"/>
  <c r="E188" i="4" s="1"/>
  <c r="D189" i="4" s="1"/>
  <c r="E189" i="4" s="1"/>
  <c r="D190" i="4" s="1"/>
  <c r="E190" i="4" s="1"/>
  <c r="D191" i="4" s="1"/>
  <c r="E191" i="4" s="1"/>
  <c r="D192" i="4" s="1"/>
  <c r="E192" i="4" s="1"/>
  <c r="D193" i="4" s="1"/>
  <c r="E193" i="4" s="1"/>
  <c r="D194" i="4" s="1"/>
  <c r="E194" i="4" s="1"/>
  <c r="D195" i="4" s="1"/>
  <c r="E195" i="4" s="1"/>
  <c r="D196" i="4" s="1"/>
  <c r="E196" i="4" s="1"/>
  <c r="D197" i="4" s="1"/>
  <c r="E197" i="4" s="1"/>
  <c r="D198" i="4" s="1"/>
  <c r="E198" i="4" s="1"/>
  <c r="D199" i="4" s="1"/>
  <c r="E199" i="4" s="1"/>
  <c r="D200" i="4" s="1"/>
  <c r="E200" i="4" s="1"/>
  <c r="D201" i="4" s="1"/>
  <c r="E201" i="4" s="1"/>
  <c r="D202" i="4" s="1"/>
  <c r="E202" i="4" s="1"/>
  <c r="D203" i="4" s="1"/>
  <c r="E203" i="4" s="1"/>
  <c r="D204" i="4" s="1"/>
  <c r="E204" i="4" s="1"/>
  <c r="D205" i="4" s="1"/>
  <c r="E205" i="4" s="1"/>
  <c r="D206" i="4" s="1"/>
  <c r="E206" i="4" s="1"/>
  <c r="D207" i="4" s="1"/>
  <c r="E207" i="4" s="1"/>
  <c r="D208" i="4" s="1"/>
  <c r="E208" i="4" s="1"/>
  <c r="D209" i="4" s="1"/>
  <c r="E209" i="4" s="1"/>
  <c r="D210" i="4" s="1"/>
  <c r="E210" i="4" s="1"/>
  <c r="D211" i="4" s="1"/>
  <c r="E211" i="4" s="1"/>
  <c r="D212" i="4" s="1"/>
  <c r="E212" i="4" s="1"/>
  <c r="D213" i="4" s="1"/>
  <c r="E213" i="4" s="1"/>
  <c r="D214" i="4" s="1"/>
  <c r="E214" i="4" s="1"/>
  <c r="D215" i="4" s="1"/>
  <c r="E215" i="4" s="1"/>
  <c r="D216" i="4" s="1"/>
  <c r="E216" i="4" s="1"/>
  <c r="D217" i="4" s="1"/>
  <c r="E217" i="4" s="1"/>
  <c r="D218" i="4" s="1"/>
  <c r="E218" i="4" s="1"/>
  <c r="D219" i="4" s="1"/>
  <c r="E219" i="4" s="1"/>
  <c r="D220" i="4" s="1"/>
  <c r="E220" i="4" s="1"/>
  <c r="D221" i="4" s="1"/>
  <c r="E221" i="4" s="1"/>
  <c r="D222" i="4" s="1"/>
  <c r="E222" i="4" s="1"/>
  <c r="D223" i="4" s="1"/>
  <c r="E223" i="4" s="1"/>
  <c r="D224" i="4" s="1"/>
  <c r="E224" i="4" s="1"/>
  <c r="D225" i="4" s="1"/>
  <c r="E225" i="4" s="1"/>
  <c r="D226" i="4" s="1"/>
  <c r="E226" i="4" s="1"/>
  <c r="D227" i="4" s="1"/>
  <c r="E227" i="4" s="1"/>
  <c r="D228" i="4" s="1"/>
  <c r="E228" i="4" s="1"/>
  <c r="D229" i="4" s="1"/>
  <c r="E229" i="4" s="1"/>
  <c r="D230" i="4" s="1"/>
  <c r="E230" i="4" s="1"/>
  <c r="D231" i="4" s="1"/>
  <c r="E231" i="4" s="1"/>
  <c r="D232" i="4" s="1"/>
  <c r="E232" i="4" s="1"/>
  <c r="D233" i="4" s="1"/>
  <c r="E233" i="4" s="1"/>
  <c r="D234" i="4" s="1"/>
  <c r="E234" i="4" s="1"/>
  <c r="D235" i="4" s="1"/>
  <c r="E235" i="4" s="1"/>
  <c r="D236" i="4" s="1"/>
  <c r="E236" i="4" s="1"/>
  <c r="D237" i="4" s="1"/>
  <c r="E237" i="4" s="1"/>
  <c r="D238" i="4" s="1"/>
  <c r="E238" i="4" s="1"/>
  <c r="D239" i="4" s="1"/>
  <c r="E239" i="4" s="1"/>
  <c r="D240" i="4" s="1"/>
  <c r="E240" i="4" s="1"/>
  <c r="D241" i="4" s="1"/>
  <c r="E241" i="4" s="1"/>
  <c r="D242" i="4" s="1"/>
  <c r="E242" i="4" s="1"/>
  <c r="D243" i="4" s="1"/>
  <c r="E243" i="4" s="1"/>
  <c r="D244" i="4" s="1"/>
  <c r="E244" i="4" s="1"/>
  <c r="D245" i="4" s="1"/>
  <c r="E245" i="4" s="1"/>
  <c r="D246" i="4" s="1"/>
  <c r="E246" i="4" s="1"/>
  <c r="D247" i="4" s="1"/>
  <c r="E247" i="4" s="1"/>
  <c r="D248" i="4" s="1"/>
  <c r="E248" i="4" s="1"/>
  <c r="D249" i="4" s="1"/>
  <c r="E249" i="4" s="1"/>
  <c r="D250" i="4" s="1"/>
  <c r="E250" i="4" s="1"/>
  <c r="D251" i="4" s="1"/>
  <c r="E251" i="4" s="1"/>
  <c r="D252" i="4" s="1"/>
  <c r="E252" i="4" s="1"/>
  <c r="D253" i="4" s="1"/>
  <c r="E253" i="4" s="1"/>
  <c r="D254" i="4" s="1"/>
  <c r="E254" i="4" s="1"/>
  <c r="D255" i="4" s="1"/>
  <c r="E255" i="4" s="1"/>
  <c r="D256" i="4" s="1"/>
  <c r="E256" i="4" s="1"/>
  <c r="D257" i="4" s="1"/>
  <c r="E257" i="4" s="1"/>
  <c r="D258" i="4" s="1"/>
  <c r="E258" i="4" s="1"/>
  <c r="D259" i="4" s="1"/>
  <c r="E259" i="4" s="1"/>
  <c r="D260" i="4" s="1"/>
  <c r="E260" i="4" s="1"/>
  <c r="D261" i="4" s="1"/>
  <c r="E261" i="4" s="1"/>
  <c r="D262" i="4" s="1"/>
  <c r="E262" i="4" s="1"/>
  <c r="D263" i="4" s="1"/>
  <c r="E263" i="4" s="1"/>
  <c r="D264" i="4" s="1"/>
  <c r="E264" i="4" s="1"/>
  <c r="D265" i="4" s="1"/>
  <c r="E265" i="4" s="1"/>
  <c r="D266" i="4" s="1"/>
  <c r="E266" i="4" s="1"/>
  <c r="D267" i="4" s="1"/>
  <c r="E267" i="4" s="1"/>
  <c r="D268" i="4" s="1"/>
  <c r="E268" i="4" s="1"/>
  <c r="D269" i="4" s="1"/>
  <c r="E269" i="4" s="1"/>
  <c r="D270" i="4" s="1"/>
  <c r="E270" i="4" s="1"/>
  <c r="D271" i="4" s="1"/>
  <c r="E271" i="4" s="1"/>
  <c r="D272" i="4" s="1"/>
  <c r="E272" i="4" s="1"/>
  <c r="D273" i="4" s="1"/>
  <c r="E273" i="4" s="1"/>
  <c r="D274" i="4" s="1"/>
  <c r="E274" i="4" s="1"/>
  <c r="D275" i="4" s="1"/>
  <c r="E275" i="4" s="1"/>
  <c r="D276" i="4" s="1"/>
  <c r="E276" i="4" s="1"/>
  <c r="D277" i="4" s="1"/>
  <c r="E277" i="4" s="1"/>
  <c r="D278" i="4" s="1"/>
  <c r="E278" i="4" s="1"/>
  <c r="D279" i="4" s="1"/>
  <c r="E279" i="4" s="1"/>
  <c r="D280" i="4" s="1"/>
  <c r="E280" i="4" s="1"/>
  <c r="D281" i="4" s="1"/>
  <c r="E281" i="4" s="1"/>
  <c r="D282" i="4" s="1"/>
  <c r="E282" i="4" s="1"/>
  <c r="D283" i="4" s="1"/>
  <c r="E283" i="4" s="1"/>
  <c r="D284" i="4" s="1"/>
  <c r="E284" i="4" s="1"/>
  <c r="D285" i="4" s="1"/>
  <c r="E285" i="4" s="1"/>
  <c r="D286" i="4" s="1"/>
  <c r="E286" i="4" s="1"/>
  <c r="D287" i="4" s="1"/>
  <c r="E287" i="4" s="1"/>
  <c r="D288" i="4" s="1"/>
  <c r="E288" i="4" s="1"/>
  <c r="D289" i="4" s="1"/>
  <c r="E289" i="4" s="1"/>
  <c r="D290" i="4" s="1"/>
  <c r="E290" i="4" s="1"/>
  <c r="D291" i="4" s="1"/>
  <c r="E291" i="4" s="1"/>
  <c r="D292" i="4" s="1"/>
  <c r="E292" i="4" s="1"/>
  <c r="D293" i="4" s="1"/>
  <c r="E293" i="4" s="1"/>
  <c r="D294" i="4" s="1"/>
  <c r="E294" i="4" s="1"/>
  <c r="D295" i="4" s="1"/>
  <c r="E295" i="4" s="1"/>
  <c r="D296" i="4" s="1"/>
  <c r="E296" i="4" s="1"/>
  <c r="D297" i="4" s="1"/>
  <c r="E297" i="4" s="1"/>
  <c r="D298" i="4" s="1"/>
  <c r="E298" i="4" s="1"/>
  <c r="D299" i="4" s="1"/>
  <c r="E299" i="4" s="1"/>
  <c r="D300" i="4" s="1"/>
  <c r="E300" i="4" s="1"/>
  <c r="D301" i="4" s="1"/>
  <c r="E301" i="4" s="1"/>
  <c r="D302" i="4" s="1"/>
  <c r="E302" i="4" s="1"/>
  <c r="D303" i="4" s="1"/>
  <c r="E303" i="4" s="1"/>
  <c r="D304" i="4" s="1"/>
  <c r="E304" i="4" s="1"/>
  <c r="D305" i="4" s="1"/>
  <c r="E305" i="4" s="1"/>
  <c r="D306" i="4" s="1"/>
  <c r="E306" i="4" s="1"/>
  <c r="D307" i="4" s="1"/>
  <c r="E307" i="4" s="1"/>
  <c r="D308" i="4" s="1"/>
  <c r="E308" i="4" s="1"/>
  <c r="D309" i="4" s="1"/>
  <c r="E309" i="4" s="1"/>
  <c r="D310" i="4" s="1"/>
  <c r="E310" i="4" s="1"/>
  <c r="D311" i="4" s="1"/>
  <c r="E311" i="4" s="1"/>
  <c r="D312" i="4" s="1"/>
  <c r="E312" i="4" s="1"/>
  <c r="D313" i="4" s="1"/>
  <c r="E313" i="4" s="1"/>
  <c r="D314" i="4" s="1"/>
  <c r="E314" i="4" s="1"/>
  <c r="D315" i="4" s="1"/>
  <c r="E315" i="4" s="1"/>
  <c r="D316" i="4" s="1"/>
  <c r="E316" i="4" s="1"/>
  <c r="D317" i="4" s="1"/>
  <c r="E317" i="4" s="1"/>
  <c r="D318" i="4" s="1"/>
  <c r="E318" i="4" s="1"/>
  <c r="D319" i="4" s="1"/>
  <c r="E319" i="4" s="1"/>
  <c r="I264" i="4"/>
  <c r="AX264" i="4"/>
  <c r="AF13" i="4"/>
  <c r="AG80" i="4"/>
  <c r="AF80" i="4"/>
  <c r="AG103" i="4"/>
  <c r="AF103" i="4"/>
  <c r="AA237" i="4"/>
  <c r="Z237" i="4"/>
  <c r="O145" i="4"/>
  <c r="T145" i="4"/>
  <c r="AI145" i="4"/>
  <c r="P145" i="4"/>
  <c r="Q145" i="4"/>
  <c r="K145" i="4"/>
  <c r="J145" i="4"/>
  <c r="Z235" i="4"/>
  <c r="AA235" i="4"/>
  <c r="AX240" i="4"/>
  <c r="I240" i="4"/>
  <c r="BK240" i="4"/>
  <c r="N240" i="4"/>
  <c r="P16" i="4"/>
  <c r="K16" i="4"/>
  <c r="T16" i="4"/>
  <c r="AI16" i="4"/>
  <c r="Q16" i="4"/>
  <c r="O16" i="4"/>
  <c r="J16" i="4"/>
  <c r="V113" i="4"/>
  <c r="V114" i="4" s="1"/>
  <c r="Q248" i="12"/>
  <c r="AA252" i="5"/>
  <c r="Y252" i="5" s="1"/>
  <c r="AF58" i="4"/>
  <c r="AG58" i="4"/>
  <c r="Q226" i="12"/>
  <c r="AA230" i="5"/>
  <c r="Y230" i="5" s="1"/>
  <c r="BJ231" i="4"/>
  <c r="Q39" i="4"/>
  <c r="P39" i="4"/>
  <c r="J39" i="4"/>
  <c r="T39" i="4"/>
  <c r="O39" i="4"/>
  <c r="K39" i="4"/>
  <c r="AI39" i="4"/>
  <c r="BA214" i="4"/>
  <c r="AH73" i="4"/>
  <c r="BK220" i="4"/>
  <c r="AX220" i="4"/>
  <c r="I220" i="4"/>
  <c r="AG15" i="4"/>
  <c r="AH15" i="4"/>
  <c r="AI35" i="4"/>
  <c r="O35" i="4"/>
  <c r="T35" i="4"/>
  <c r="Q35" i="4"/>
  <c r="J35" i="4"/>
  <c r="P35" i="4"/>
  <c r="K35" i="4"/>
  <c r="U8" i="4"/>
  <c r="Z6" i="5"/>
  <c r="AI56" i="4"/>
  <c r="O56" i="4"/>
  <c r="K56" i="4"/>
  <c r="T56" i="4"/>
  <c r="Q56" i="4"/>
  <c r="P56" i="4"/>
  <c r="J56" i="4"/>
  <c r="AF66" i="4"/>
  <c r="AG66" i="4"/>
  <c r="AF117" i="4"/>
  <c r="AG132" i="4"/>
  <c r="AH132" i="4"/>
  <c r="W12" i="4"/>
  <c r="AH17" i="4"/>
  <c r="T36" i="4"/>
  <c r="O36" i="4"/>
  <c r="K36" i="4"/>
  <c r="AI36" i="4"/>
  <c r="Q36" i="4"/>
  <c r="P36" i="4"/>
  <c r="J36" i="4"/>
  <c r="AH59" i="4"/>
  <c r="K103" i="4"/>
  <c r="AI103" i="4"/>
  <c r="T103" i="4"/>
  <c r="P103" i="4"/>
  <c r="Q103" i="4"/>
  <c r="O103" i="4"/>
  <c r="J103" i="4"/>
  <c r="T57" i="4"/>
  <c r="O57" i="4"/>
  <c r="K57" i="4"/>
  <c r="J57" i="4"/>
  <c r="AI57" i="4"/>
  <c r="Q57" i="4"/>
  <c r="P57" i="4"/>
  <c r="AY116" i="4"/>
  <c r="AI66" i="4"/>
  <c r="K66" i="4"/>
  <c r="J66" i="4"/>
  <c r="Q69" i="4"/>
  <c r="P69" i="4"/>
  <c r="J69" i="4"/>
  <c r="W70" i="4"/>
  <c r="AI80" i="4"/>
  <c r="K80" i="4"/>
  <c r="J80" i="4"/>
  <c r="Q83" i="4"/>
  <c r="P83" i="4"/>
  <c r="J83" i="4"/>
  <c r="W84" i="4"/>
  <c r="AG108" i="4"/>
  <c r="AF108" i="4"/>
  <c r="O125" i="4"/>
  <c r="AI125" i="4"/>
  <c r="K125" i="4"/>
  <c r="AI128" i="4"/>
  <c r="Q128" i="4"/>
  <c r="K128" i="4"/>
  <c r="AY129" i="4"/>
  <c r="AG135" i="4"/>
  <c r="AF135" i="4"/>
  <c r="AI137" i="4"/>
  <c r="Q137" i="4"/>
  <c r="K137" i="4"/>
  <c r="O141" i="4"/>
  <c r="P141" i="4"/>
  <c r="K141" i="4"/>
  <c r="AG149" i="4"/>
  <c r="Q151" i="4"/>
  <c r="P151" i="4"/>
  <c r="O151" i="4"/>
  <c r="K151" i="4"/>
  <c r="Q172" i="4"/>
  <c r="T172" i="4"/>
  <c r="P172" i="4"/>
  <c r="J172" i="4"/>
  <c r="Q175" i="4"/>
  <c r="T175" i="4"/>
  <c r="P175" i="4"/>
  <c r="AI175" i="4"/>
  <c r="J177" i="4"/>
  <c r="K177" i="4"/>
  <c r="P177" i="4"/>
  <c r="O177" i="4"/>
  <c r="AI177" i="4"/>
  <c r="O183" i="4"/>
  <c r="Q183" i="4"/>
  <c r="P183" i="4"/>
  <c r="K183" i="4"/>
  <c r="J183" i="4"/>
  <c r="AG191" i="4"/>
  <c r="AF191" i="4"/>
  <c r="AH213" i="4"/>
  <c r="AG213" i="4"/>
  <c r="BK216" i="4"/>
  <c r="I216" i="4"/>
  <c r="AX222" i="4"/>
  <c r="AY222" i="4" s="1"/>
  <c r="I222" i="4"/>
  <c r="AZ262" i="4"/>
  <c r="G262" i="4"/>
  <c r="Q262" i="4" s="1"/>
  <c r="BK262" i="4"/>
  <c r="P282" i="12"/>
  <c r="U233" i="10"/>
  <c r="T233" i="10" s="1"/>
  <c r="BI287" i="4"/>
  <c r="P287" i="4"/>
  <c r="BH287" i="4"/>
  <c r="O288" i="12"/>
  <c r="O293" i="4"/>
  <c r="AX216" i="4"/>
  <c r="AA217" i="4"/>
  <c r="Z217" i="4"/>
  <c r="I236" i="4"/>
  <c r="AX236" i="4"/>
  <c r="BA254" i="4"/>
  <c r="G254" i="4"/>
  <c r="AY257" i="4"/>
  <c r="AF282" i="4"/>
  <c r="AG282" i="4"/>
  <c r="BG293" i="4"/>
  <c r="AH35" i="4"/>
  <c r="P80" i="4"/>
  <c r="O83" i="4"/>
  <c r="K89" i="4"/>
  <c r="AI89" i="4"/>
  <c r="AH98" i="4"/>
  <c r="AG98" i="4"/>
  <c r="T121" i="4"/>
  <c r="P121" i="4"/>
  <c r="P125" i="4"/>
  <c r="AI130" i="4"/>
  <c r="O130" i="4"/>
  <c r="W148" i="4"/>
  <c r="O152" i="4"/>
  <c r="Q152" i="4"/>
  <c r="P152" i="4"/>
  <c r="K152" i="4"/>
  <c r="T152" i="4"/>
  <c r="J167" i="4"/>
  <c r="O167" i="4"/>
  <c r="AI167" i="4"/>
  <c r="K167" i="4"/>
  <c r="J169" i="4"/>
  <c r="K169" i="4"/>
  <c r="AI178" i="4"/>
  <c r="O178" i="4"/>
  <c r="J178" i="4"/>
  <c r="AF196" i="4"/>
  <c r="G213" i="4"/>
  <c r="AX226" i="4"/>
  <c r="I226" i="4"/>
  <c r="BA227" i="4"/>
  <c r="AX228" i="4"/>
  <c r="I228" i="4"/>
  <c r="Z229" i="4"/>
  <c r="AA229" i="4"/>
  <c r="AY236" i="4"/>
  <c r="AZ266" i="4"/>
  <c r="I271" i="4"/>
  <c r="AX271" i="4"/>
  <c r="BK271" i="4"/>
  <c r="N271" i="4"/>
  <c r="O283" i="12"/>
  <c r="O288" i="4"/>
  <c r="AG293" i="4"/>
  <c r="AH293" i="4"/>
  <c r="L294" i="4"/>
  <c r="BG294" i="4"/>
  <c r="AI14" i="4"/>
  <c r="O14" i="4"/>
  <c r="P66" i="4"/>
  <c r="O58" i="4"/>
  <c r="AH70" i="4"/>
  <c r="AG70" i="4"/>
  <c r="O69" i="4"/>
  <c r="K75" i="4"/>
  <c r="AI75" i="4"/>
  <c r="AH14" i="4"/>
  <c r="AI18" i="4"/>
  <c r="J34" i="4"/>
  <c r="O37" i="4"/>
  <c r="J55" i="4"/>
  <c r="J75" i="4"/>
  <c r="J89" i="4"/>
  <c r="J105" i="4"/>
  <c r="BK214" i="4"/>
  <c r="AX214" i="4"/>
  <c r="AY214" i="4" s="1"/>
  <c r="H216" i="4"/>
  <c r="AW216" i="4"/>
  <c r="AY216" i="4" s="1"/>
  <c r="BJ216" i="4"/>
  <c r="N216" i="4"/>
  <c r="AX246" i="4"/>
  <c r="AY246" i="4" s="1"/>
  <c r="BK246" i="4"/>
  <c r="I246" i="4"/>
  <c r="N246" i="4"/>
  <c r="Q257" i="12"/>
  <c r="AA261" i="5"/>
  <c r="Y261" i="5" s="1"/>
  <c r="L289" i="4"/>
  <c r="BG289" i="4"/>
  <c r="O300" i="12"/>
  <c r="BG305" i="4"/>
  <c r="BF305" i="4"/>
  <c r="O305" i="4"/>
  <c r="AG34" i="4"/>
  <c r="Q37" i="4"/>
  <c r="T41" i="4"/>
  <c r="O55" i="4"/>
  <c r="AG61" i="4"/>
  <c r="AF63" i="4"/>
  <c r="AG75" i="4"/>
  <c r="AF77" i="4"/>
  <c r="O89" i="4"/>
  <c r="AF91" i="4"/>
  <c r="Q98" i="4"/>
  <c r="K98" i="4"/>
  <c r="AF142" i="4"/>
  <c r="Q167" i="4"/>
  <c r="P169" i="4"/>
  <c r="AF176" i="4"/>
  <c r="T177" i="4"/>
  <c r="P178" i="4"/>
  <c r="AG178" i="4"/>
  <c r="O190" i="4"/>
  <c r="K190" i="4"/>
  <c r="Q190" i="4"/>
  <c r="P190" i="4"/>
  <c r="J190" i="4"/>
  <c r="Z211" i="4"/>
  <c r="AA211" i="4"/>
  <c r="P208" i="12"/>
  <c r="U159" i="10"/>
  <c r="T159" i="10" s="1"/>
  <c r="BI213" i="4"/>
  <c r="N214" i="4"/>
  <c r="AH224" i="4"/>
  <c r="P238" i="12"/>
  <c r="U189" i="10"/>
  <c r="T189" i="10" s="1"/>
  <c r="BI243" i="4"/>
  <c r="BH243" i="4"/>
  <c r="Q245" i="12"/>
  <c r="AA249" i="5"/>
  <c r="Y249" i="5" s="1"/>
  <c r="AF260" i="4"/>
  <c r="AZ269" i="4"/>
  <c r="G269" i="4"/>
  <c r="J269" i="4"/>
  <c r="AI282" i="4"/>
  <c r="K282" i="4"/>
  <c r="J282" i="4"/>
  <c r="P282" i="4"/>
  <c r="Q282" i="4"/>
  <c r="L286" i="4"/>
  <c r="BF286" i="4"/>
  <c r="L304" i="4"/>
  <c r="BG304" i="4"/>
  <c r="AF312" i="4"/>
  <c r="AG312" i="4"/>
  <c r="Q189" i="4"/>
  <c r="J189" i="4"/>
  <c r="T189" i="4"/>
  <c r="O189" i="4"/>
  <c r="K189" i="4"/>
  <c r="K58" i="4"/>
  <c r="K61" i="4"/>
  <c r="AI61" i="4"/>
  <c r="K13" i="4"/>
  <c r="AI13" i="4"/>
  <c r="J15" i="4"/>
  <c r="AH84" i="4"/>
  <c r="AG84" i="4"/>
  <c r="J135" i="4"/>
  <c r="T135" i="4"/>
  <c r="O135" i="4"/>
  <c r="K135" i="4"/>
  <c r="BA213" i="4"/>
  <c r="AZ245" i="4"/>
  <c r="T21" i="4"/>
  <c r="AG55" i="4"/>
  <c r="AG89" i="4"/>
  <c r="K121" i="4"/>
  <c r="K130" i="4"/>
  <c r="P135" i="4"/>
  <c r="P14" i="4"/>
  <c r="AF32" i="4"/>
  <c r="P34" i="4"/>
  <c r="AI49" i="4"/>
  <c r="O49" i="4"/>
  <c r="T50" i="4"/>
  <c r="O50" i="4"/>
  <c r="K50" i="4"/>
  <c r="J51" i="4"/>
  <c r="AF51" i="4"/>
  <c r="AF53" i="4"/>
  <c r="AF54" i="4"/>
  <c r="P55" i="4"/>
  <c r="K63" i="4"/>
  <c r="K77" i="4"/>
  <c r="P89" i="4"/>
  <c r="J111" i="4"/>
  <c r="O113" i="4"/>
  <c r="T113" i="4"/>
  <c r="Q127" i="4"/>
  <c r="K127" i="4"/>
  <c r="O132" i="4"/>
  <c r="K132" i="4"/>
  <c r="J132" i="4"/>
  <c r="T132" i="4"/>
  <c r="Q135" i="4"/>
  <c r="T141" i="4"/>
  <c r="AG142" i="4"/>
  <c r="Q165" i="4"/>
  <c r="K165" i="4"/>
  <c r="AI165" i="4"/>
  <c r="Q169" i="4"/>
  <c r="AG176" i="4"/>
  <c r="Q178" i="4"/>
  <c r="Q208" i="4"/>
  <c r="J208" i="4"/>
  <c r="T208" i="4"/>
  <c r="P208" i="4"/>
  <c r="O208" i="4"/>
  <c r="Q208" i="12"/>
  <c r="AA212" i="5"/>
  <c r="Y212" i="5" s="1"/>
  <c r="BK213" i="4"/>
  <c r="AX213" i="4"/>
  <c r="AY213" i="4" s="1"/>
  <c r="Z215" i="4"/>
  <c r="AA215" i="4"/>
  <c r="I218" i="4"/>
  <c r="N218" i="4"/>
  <c r="BK218" i="4" s="1"/>
  <c r="AX218" i="4"/>
  <c r="AY218" i="4" s="1"/>
  <c r="BJ220" i="4"/>
  <c r="AW220" i="4"/>
  <c r="AY220" i="4" s="1"/>
  <c r="N220" i="4"/>
  <c r="AA221" i="4"/>
  <c r="Z221" i="4"/>
  <c r="Z226" i="4"/>
  <c r="AX235" i="4"/>
  <c r="I235" i="4"/>
  <c r="AI7" i="4"/>
  <c r="O7" i="4"/>
  <c r="AG10" i="4"/>
  <c r="AF11" i="4"/>
  <c r="AF12" i="4"/>
  <c r="P13" i="4"/>
  <c r="Q14" i="4"/>
  <c r="AI28" i="4"/>
  <c r="O28" i="4"/>
  <c r="T29" i="4"/>
  <c r="O29" i="4"/>
  <c r="K29" i="4"/>
  <c r="J30" i="4"/>
  <c r="AF30" i="4"/>
  <c r="Q32" i="4"/>
  <c r="P32" i="4"/>
  <c r="J32" i="4"/>
  <c r="AG33" i="4"/>
  <c r="Q34" i="4"/>
  <c r="W41" i="4"/>
  <c r="K48" i="4"/>
  <c r="AI48" i="4"/>
  <c r="J49" i="4"/>
  <c r="AH49" i="4"/>
  <c r="J50" i="4"/>
  <c r="AF50" i="4"/>
  <c r="K51" i="4"/>
  <c r="Q53" i="4"/>
  <c r="P53" i="4"/>
  <c r="J53" i="4"/>
  <c r="Q61" i="4"/>
  <c r="O63" i="4"/>
  <c r="T66" i="4"/>
  <c r="Q75" i="4"/>
  <c r="O77" i="4"/>
  <c r="T80" i="4"/>
  <c r="Q89" i="4"/>
  <c r="O91" i="4"/>
  <c r="O98" i="4"/>
  <c r="AI98" i="4"/>
  <c r="T100" i="4"/>
  <c r="AI100" i="4"/>
  <c r="P100" i="4"/>
  <c r="Q105" i="4"/>
  <c r="J109" i="4"/>
  <c r="T109" i="4"/>
  <c r="AI109" i="4"/>
  <c r="P109" i="4"/>
  <c r="AF109" i="4"/>
  <c r="W110" i="4"/>
  <c r="J113" i="4"/>
  <c r="AF113" i="4"/>
  <c r="Q114" i="4"/>
  <c r="AI114" i="4"/>
  <c r="Q121" i="4"/>
  <c r="T125" i="4"/>
  <c r="J127" i="4"/>
  <c r="T128" i="4"/>
  <c r="Q130" i="4"/>
  <c r="P132" i="4"/>
  <c r="AH136" i="4"/>
  <c r="T137" i="4"/>
  <c r="AF138" i="4"/>
  <c r="J142" i="4"/>
  <c r="AI142" i="4"/>
  <c r="Q142" i="4"/>
  <c r="K142" i="4"/>
  <c r="AG144" i="4"/>
  <c r="AH148" i="4"/>
  <c r="AF154" i="4"/>
  <c r="J165" i="4"/>
  <c r="O173" i="4"/>
  <c r="T173" i="4"/>
  <c r="J173" i="4"/>
  <c r="J191" i="4"/>
  <c r="P191" i="4"/>
  <c r="T191" i="4"/>
  <c r="AI191" i="4"/>
  <c r="Q191" i="4"/>
  <c r="O191" i="4"/>
  <c r="K191" i="4"/>
  <c r="J199" i="4"/>
  <c r="T199" i="4"/>
  <c r="P199" i="4"/>
  <c r="O199" i="4"/>
  <c r="K199" i="4"/>
  <c r="AI199" i="4"/>
  <c r="K208" i="4"/>
  <c r="P213" i="12"/>
  <c r="U164" i="10"/>
  <c r="T164" i="10" s="1"/>
  <c r="BI218" i="4"/>
  <c r="BH218" i="4"/>
  <c r="N219" i="4"/>
  <c r="H219" i="4"/>
  <c r="AW219" i="4"/>
  <c r="G224" i="4"/>
  <c r="AA227" i="4"/>
  <c r="BA232" i="4"/>
  <c r="Q229" i="12"/>
  <c r="AA233" i="5"/>
  <c r="Y233" i="5" s="1"/>
  <c r="Q260" i="12"/>
  <c r="AA264" i="5"/>
  <c r="Y264" i="5" s="1"/>
  <c r="BJ265" i="4"/>
  <c r="T283" i="4"/>
  <c r="AI283" i="4"/>
  <c r="P283" i="4"/>
  <c r="K283" i="4"/>
  <c r="Q283" i="4"/>
  <c r="J283" i="4"/>
  <c r="AY211" i="4"/>
  <c r="T15" i="4"/>
  <c r="O15" i="4"/>
  <c r="K15" i="4"/>
  <c r="Q18" i="4"/>
  <c r="P18" i="4"/>
  <c r="J18" i="4"/>
  <c r="K55" i="4"/>
  <c r="AI55" i="4"/>
  <c r="J61" i="4"/>
  <c r="AH127" i="4"/>
  <c r="AG127" i="4"/>
  <c r="AX245" i="4"/>
  <c r="I245" i="4"/>
  <c r="I257" i="4"/>
  <c r="G257" i="4" s="1"/>
  <c r="N257" i="4"/>
  <c r="BK257" i="4" s="1"/>
  <c r="AX257" i="4"/>
  <c r="K14" i="4"/>
  <c r="P15" i="4"/>
  <c r="O18" i="4"/>
  <c r="O34" i="4"/>
  <c r="AI37" i="4"/>
  <c r="Q58" i="4"/>
  <c r="AI58" i="4"/>
  <c r="O61" i="4"/>
  <c r="J63" i="4"/>
  <c r="O75" i="4"/>
  <c r="J77" i="4"/>
  <c r="J91" i="4"/>
  <c r="K105" i="4"/>
  <c r="O111" i="4"/>
  <c r="P111" i="4"/>
  <c r="O114" i="4"/>
  <c r="Q124" i="4"/>
  <c r="AI124" i="4"/>
  <c r="K124" i="4"/>
  <c r="T151" i="4"/>
  <c r="O13" i="4"/>
  <c r="Q15" i="4"/>
  <c r="P61" i="4"/>
  <c r="T69" i="4"/>
  <c r="Q70" i="4"/>
  <c r="K70" i="4"/>
  <c r="P75" i="4"/>
  <c r="T83" i="4"/>
  <c r="Q84" i="4"/>
  <c r="K84" i="4"/>
  <c r="K91" i="4"/>
  <c r="J98" i="4"/>
  <c r="O105" i="4"/>
  <c r="AI105" i="4"/>
  <c r="P114" i="4"/>
  <c r="V115" i="4"/>
  <c r="V116" i="4" s="1"/>
  <c r="O121" i="4"/>
  <c r="AI121" i="4"/>
  <c r="J124" i="4"/>
  <c r="P130" i="4"/>
  <c r="J153" i="4"/>
  <c r="Q153" i="4"/>
  <c r="P153" i="4"/>
  <c r="O153" i="4"/>
  <c r="T8" i="4"/>
  <c r="O8" i="4"/>
  <c r="K8" i="4"/>
  <c r="AF9" i="4"/>
  <c r="Q11" i="4"/>
  <c r="P11" i="4"/>
  <c r="J11" i="4"/>
  <c r="Q13" i="4"/>
  <c r="T18" i="4"/>
  <c r="W20" i="4"/>
  <c r="K27" i="4"/>
  <c r="AI27" i="4"/>
  <c r="AF29" i="4"/>
  <c r="K30" i="4"/>
  <c r="AG30" i="4"/>
  <c r="T37" i="4"/>
  <c r="K49" i="4"/>
  <c r="P50" i="4"/>
  <c r="AG50" i="4"/>
  <c r="O51" i="4"/>
  <c r="T58" i="4"/>
  <c r="Q63" i="4"/>
  <c r="AI63" i="4"/>
  <c r="O70" i="4"/>
  <c r="AI70" i="4"/>
  <c r="T72" i="4"/>
  <c r="AI72" i="4"/>
  <c r="P72" i="4"/>
  <c r="Q77" i="4"/>
  <c r="AI77" i="4"/>
  <c r="O84" i="4"/>
  <c r="AI84" i="4"/>
  <c r="T86" i="4"/>
  <c r="AI86" i="4"/>
  <c r="P86" i="4"/>
  <c r="Q91" i="4"/>
  <c r="AI91" i="4"/>
  <c r="T95" i="4"/>
  <c r="O95" i="4"/>
  <c r="K95" i="4"/>
  <c r="P98" i="4"/>
  <c r="AF100" i="4"/>
  <c r="Q111" i="4"/>
  <c r="AI111" i="4"/>
  <c r="K113" i="4"/>
  <c r="W115" i="4"/>
  <c r="AI116" i="4"/>
  <c r="J116" i="4"/>
  <c r="AI123" i="4"/>
  <c r="O123" i="4"/>
  <c r="P124" i="4"/>
  <c r="O127" i="4"/>
  <c r="AI127" i="4"/>
  <c r="Q132" i="4"/>
  <c r="AI132" i="4"/>
  <c r="AY137" i="4"/>
  <c r="W159" i="4"/>
  <c r="AG163" i="4"/>
  <c r="O165" i="4"/>
  <c r="T167" i="4"/>
  <c r="T190" i="4"/>
  <c r="T200" i="4"/>
  <c r="AI200" i="4"/>
  <c r="Q200" i="4"/>
  <c r="P200" i="4"/>
  <c r="O200" i="4"/>
  <c r="K200" i="4"/>
  <c r="J200" i="4"/>
  <c r="AF202" i="4"/>
  <c r="AI202" i="4"/>
  <c r="Q221" i="4"/>
  <c r="Q225" i="12"/>
  <c r="AA229" i="5"/>
  <c r="Y229" i="5" s="1"/>
  <c r="W250" i="4"/>
  <c r="BJ250" i="4"/>
  <c r="AW250" i="4"/>
  <c r="H250" i="4"/>
  <c r="P255" i="12"/>
  <c r="U206" i="10"/>
  <c r="T206" i="10" s="1"/>
  <c r="BH260" i="4"/>
  <c r="BI260" i="4"/>
  <c r="AG25" i="4"/>
  <c r="W40" i="4"/>
  <c r="Q51" i="4"/>
  <c r="AI51" i="4"/>
  <c r="V61" i="4"/>
  <c r="V62" i="4" s="1"/>
  <c r="V63" i="4" s="1"/>
  <c r="V64" i="4" s="1"/>
  <c r="V65" i="4" s="1"/>
  <c r="V66" i="4" s="1"/>
  <c r="V67" i="4" s="1"/>
  <c r="V68" i="4" s="1"/>
  <c r="V69" i="4" s="1"/>
  <c r="V70" i="4" s="1"/>
  <c r="V71" i="4" s="1"/>
  <c r="V72" i="4" s="1"/>
  <c r="V73" i="4" s="1"/>
  <c r="V74" i="4" s="1"/>
  <c r="V75" i="4" s="1"/>
  <c r="V76" i="4" s="1"/>
  <c r="V77" i="4" s="1"/>
  <c r="V78" i="4" s="1"/>
  <c r="V79" i="4" s="1"/>
  <c r="V80" i="4" s="1"/>
  <c r="V81" i="4" s="1"/>
  <c r="V82" i="4" s="1"/>
  <c r="V83" i="4" s="1"/>
  <c r="V84" i="4" s="1"/>
  <c r="V85" i="4" s="1"/>
  <c r="V86" i="4" s="1"/>
  <c r="V87" i="4" s="1"/>
  <c r="V88" i="4" s="1"/>
  <c r="V89" i="4" s="1"/>
  <c r="V90" i="4" s="1"/>
  <c r="V91" i="4" s="1"/>
  <c r="V92" i="4" s="1"/>
  <c r="V93" i="4" s="1"/>
  <c r="V94" i="4" s="1"/>
  <c r="V95" i="4" s="1"/>
  <c r="V96" i="4" s="1"/>
  <c r="V97" i="4" s="1"/>
  <c r="V98" i="4" s="1"/>
  <c r="V99" i="4" s="1"/>
  <c r="V100" i="4" s="1"/>
  <c r="V101" i="4" s="1"/>
  <c r="V102" i="4" s="1"/>
  <c r="V103" i="4" s="1"/>
  <c r="V104" i="4" s="1"/>
  <c r="V105" i="4" s="1"/>
  <c r="V106" i="4" s="1"/>
  <c r="V107" i="4" s="1"/>
  <c r="V108" i="4" s="1"/>
  <c r="V109" i="4" s="1"/>
  <c r="V110" i="4" s="1"/>
  <c r="U63" i="4"/>
  <c r="U64" i="4" s="1"/>
  <c r="U65" i="4" s="1"/>
  <c r="U66" i="4" s="1"/>
  <c r="U67" i="4" s="1"/>
  <c r="U68" i="4" s="1"/>
  <c r="U69" i="4" s="1"/>
  <c r="U70" i="4" s="1"/>
  <c r="U71" i="4" s="1"/>
  <c r="U72" i="4" s="1"/>
  <c r="U73" i="4" s="1"/>
  <c r="U74" i="4" s="1"/>
  <c r="U75" i="4" s="1"/>
  <c r="U76" i="4" s="1"/>
  <c r="U77" i="4" s="1"/>
  <c r="U78" i="4" s="1"/>
  <c r="U79" i="4" s="1"/>
  <c r="U80" i="4" s="1"/>
  <c r="U81" i="4" s="1"/>
  <c r="U82" i="4" s="1"/>
  <c r="U83" i="4" s="1"/>
  <c r="U84" i="4" s="1"/>
  <c r="U85" i="4" s="1"/>
  <c r="U86" i="4" s="1"/>
  <c r="U87" i="4" s="1"/>
  <c r="U88" i="4" s="1"/>
  <c r="U89" i="4" s="1"/>
  <c r="U90" i="4" s="1"/>
  <c r="U91" i="4" s="1"/>
  <c r="U92" i="4" s="1"/>
  <c r="U93" i="4" s="1"/>
  <c r="U94" i="4" s="1"/>
  <c r="U95" i="4" s="1"/>
  <c r="U96" i="4" s="1"/>
  <c r="U97" i="4" s="1"/>
  <c r="U98" i="4" s="1"/>
  <c r="U99" i="4" s="1"/>
  <c r="U100" i="4" s="1"/>
  <c r="U101" i="4" s="1"/>
  <c r="U102" i="4" s="1"/>
  <c r="U103" i="4" s="1"/>
  <c r="U104" i="4" s="1"/>
  <c r="U105" i="4" s="1"/>
  <c r="U106" i="4" s="1"/>
  <c r="U107" i="4" s="1"/>
  <c r="U108" i="4" s="1"/>
  <c r="U109" i="4" s="1"/>
  <c r="U110" i="4" s="1"/>
  <c r="T67" i="4"/>
  <c r="O67" i="4"/>
  <c r="K67" i="4"/>
  <c r="AG68" i="4"/>
  <c r="T81" i="4"/>
  <c r="O81" i="4"/>
  <c r="K81" i="4"/>
  <c r="AG82" i="4"/>
  <c r="O104" i="4"/>
  <c r="T104" i="4"/>
  <c r="AI106" i="4"/>
  <c r="K106" i="4"/>
  <c r="J106" i="4"/>
  <c r="P127" i="4"/>
  <c r="AF129" i="4"/>
  <c r="AF136" i="4"/>
  <c r="AI148" i="4"/>
  <c r="Q148" i="4"/>
  <c r="K148" i="4"/>
  <c r="P165" i="4"/>
  <c r="T169" i="4"/>
  <c r="T178" i="4"/>
  <c r="Q179" i="4"/>
  <c r="O179" i="4"/>
  <c r="AI179" i="4"/>
  <c r="K179" i="4"/>
  <c r="J179" i="4"/>
  <c r="W198" i="4"/>
  <c r="AX212" i="4"/>
  <c r="I212" i="4"/>
  <c r="N224" i="4"/>
  <c r="AX224" i="4"/>
  <c r="P227" i="12"/>
  <c r="U178" i="10"/>
  <c r="T178" i="10" s="1"/>
  <c r="BH232" i="4"/>
  <c r="BI232" i="4"/>
  <c r="AZ234" i="4"/>
  <c r="W242" i="4"/>
  <c r="BK253" i="4"/>
  <c r="I253" i="4"/>
  <c r="N254" i="4"/>
  <c r="Q264" i="12"/>
  <c r="AA268" i="5"/>
  <c r="Y268" i="5" s="1"/>
  <c r="BK269" i="4"/>
  <c r="N270" i="4"/>
  <c r="H270" i="4"/>
  <c r="AW270" i="4"/>
  <c r="BJ270" i="4"/>
  <c r="AG46" i="4"/>
  <c r="AF46" i="4"/>
  <c r="T55" i="4"/>
  <c r="T61" i="4"/>
  <c r="O62" i="4"/>
  <c r="T62" i="4"/>
  <c r="AG72" i="4"/>
  <c r="T75" i="4"/>
  <c r="O76" i="4"/>
  <c r="T76" i="4"/>
  <c r="AF79" i="4"/>
  <c r="J81" i="4"/>
  <c r="AG86" i="4"/>
  <c r="T89" i="4"/>
  <c r="O90" i="4"/>
  <c r="T90" i="4"/>
  <c r="J104" i="4"/>
  <c r="T105" i="4"/>
  <c r="O106" i="4"/>
  <c r="T114" i="4"/>
  <c r="AH120" i="4"/>
  <c r="J126" i="4"/>
  <c r="AI126" i="4"/>
  <c r="O126" i="4"/>
  <c r="T129" i="4"/>
  <c r="AI129" i="4"/>
  <c r="Q129" i="4"/>
  <c r="K129" i="4"/>
  <c r="AG129" i="4"/>
  <c r="T130" i="4"/>
  <c r="AG131" i="4"/>
  <c r="Q138" i="4"/>
  <c r="P138" i="4"/>
  <c r="T138" i="4"/>
  <c r="O138" i="4"/>
  <c r="J148" i="4"/>
  <c r="T153" i="4"/>
  <c r="U165" i="4"/>
  <c r="U166" i="4" s="1"/>
  <c r="U167" i="4" s="1"/>
  <c r="U168" i="4" s="1"/>
  <c r="U169" i="4" s="1"/>
  <c r="U170" i="4" s="1"/>
  <c r="U171" i="4" s="1"/>
  <c r="U172" i="4" s="1"/>
  <c r="U173" i="4" s="1"/>
  <c r="U174" i="4" s="1"/>
  <c r="U175" i="4" s="1"/>
  <c r="U176" i="4" s="1"/>
  <c r="U177" i="4" s="1"/>
  <c r="U178" i="4" s="1"/>
  <c r="U179" i="4" s="1"/>
  <c r="U180" i="4" s="1"/>
  <c r="U181" i="4" s="1"/>
  <c r="U182" i="4" s="1"/>
  <c r="U183" i="4" s="1"/>
  <c r="U184" i="4" s="1"/>
  <c r="U185" i="4" s="1"/>
  <c r="U186" i="4" s="1"/>
  <c r="U187" i="4" s="1"/>
  <c r="U188" i="4" s="1"/>
  <c r="U189" i="4" s="1"/>
  <c r="U190" i="4" s="1"/>
  <c r="U191" i="4" s="1"/>
  <c r="U192" i="4" s="1"/>
  <c r="U193" i="4" s="1"/>
  <c r="U194" i="4" s="1"/>
  <c r="U195" i="4" s="1"/>
  <c r="U196" i="4" s="1"/>
  <c r="U197" i="4" s="1"/>
  <c r="U198" i="4" s="1"/>
  <c r="U199" i="4" s="1"/>
  <c r="U200" i="4" s="1"/>
  <c r="U201" i="4" s="1"/>
  <c r="U202" i="4" s="1"/>
  <c r="U203" i="4" s="1"/>
  <c r="U204" i="4" s="1"/>
  <c r="U205" i="4" s="1"/>
  <c r="U206" i="4" s="1"/>
  <c r="U207" i="4" s="1"/>
  <c r="U208" i="4" s="1"/>
  <c r="U209" i="4" s="1"/>
  <c r="U210" i="4" s="1"/>
  <c r="U211" i="4" s="1"/>
  <c r="U212" i="4" s="1"/>
  <c r="U213" i="4" s="1"/>
  <c r="U214" i="4" s="1"/>
  <c r="K168" i="4"/>
  <c r="T168" i="4"/>
  <c r="Q168" i="4"/>
  <c r="AG172" i="4"/>
  <c r="AG194" i="4"/>
  <c r="I217" i="4"/>
  <c r="N217" i="4"/>
  <c r="AH219" i="4"/>
  <c r="AG219" i="4"/>
  <c r="AY224" i="4"/>
  <c r="I229" i="4"/>
  <c r="N229" i="4"/>
  <c r="AX229" i="4"/>
  <c r="AY229" i="4" s="1"/>
  <c r="I231" i="4"/>
  <c r="BK231" i="4"/>
  <c r="Z234" i="4"/>
  <c r="AA234" i="4"/>
  <c r="AH256" i="4"/>
  <c r="AG256" i="4"/>
  <c r="P259" i="12"/>
  <c r="U210" i="10"/>
  <c r="T210" i="10" s="1"/>
  <c r="BI264" i="4"/>
  <c r="BH264" i="4"/>
  <c r="P274" i="12"/>
  <c r="U225" i="10"/>
  <c r="T225" i="10" s="1"/>
  <c r="BH279" i="4"/>
  <c r="P279" i="4"/>
  <c r="BI279" i="4"/>
  <c r="AG280" i="4"/>
  <c r="AF280" i="4"/>
  <c r="T282" i="4"/>
  <c r="BF284" i="4"/>
  <c r="L284" i="4"/>
  <c r="AG287" i="4"/>
  <c r="AF287" i="4"/>
  <c r="AF297" i="4"/>
  <c r="AI297" i="4"/>
  <c r="T14" i="4"/>
  <c r="T13" i="4"/>
  <c r="AF26" i="4"/>
  <c r="AI42" i="4"/>
  <c r="O42" i="4"/>
  <c r="T43" i="4"/>
  <c r="O43" i="4"/>
  <c r="K43" i="4"/>
  <c r="J44" i="4"/>
  <c r="Q46" i="4"/>
  <c r="P46" i="4"/>
  <c r="J46" i="4"/>
  <c r="J62" i="4"/>
  <c r="T63" i="4"/>
  <c r="T77" i="4"/>
  <c r="P81" i="4"/>
  <c r="J90" i="4"/>
  <c r="T91" i="4"/>
  <c r="T98" i="4"/>
  <c r="W103" i="4"/>
  <c r="K104" i="4"/>
  <c r="P106" i="4"/>
  <c r="T111" i="4"/>
  <c r="V117" i="4"/>
  <c r="V118" i="4" s="1"/>
  <c r="V119" i="4" s="1"/>
  <c r="V120" i="4" s="1"/>
  <c r="V121" i="4" s="1"/>
  <c r="V122" i="4" s="1"/>
  <c r="V123" i="4" s="1"/>
  <c r="V124" i="4" s="1"/>
  <c r="V125" i="4" s="1"/>
  <c r="V126" i="4" s="1"/>
  <c r="V127" i="4" s="1"/>
  <c r="V128" i="4" s="1"/>
  <c r="V129" i="4" s="1"/>
  <c r="V130" i="4" s="1"/>
  <c r="V131" i="4" s="1"/>
  <c r="V132" i="4" s="1"/>
  <c r="V133" i="4" s="1"/>
  <c r="V134" i="4" s="1"/>
  <c r="V135" i="4" s="1"/>
  <c r="V136" i="4" s="1"/>
  <c r="V137" i="4" s="1"/>
  <c r="V138" i="4" s="1"/>
  <c r="V139" i="4" s="1"/>
  <c r="V140" i="4" s="1"/>
  <c r="V141" i="4" s="1"/>
  <c r="V142" i="4" s="1"/>
  <c r="V143" i="4" s="1"/>
  <c r="V144" i="4" s="1"/>
  <c r="V145" i="4" s="1"/>
  <c r="V146" i="4" s="1"/>
  <c r="V147" i="4" s="1"/>
  <c r="V148" i="4" s="1"/>
  <c r="V149" i="4" s="1"/>
  <c r="V150" i="4" s="1"/>
  <c r="V151" i="4" s="1"/>
  <c r="V152" i="4" s="1"/>
  <c r="V153" i="4" s="1"/>
  <c r="V154" i="4" s="1"/>
  <c r="V155" i="4" s="1"/>
  <c r="V156" i="4" s="1"/>
  <c r="V157" i="4" s="1"/>
  <c r="V158" i="4" s="1"/>
  <c r="V159" i="4" s="1"/>
  <c r="V160" i="4" s="1"/>
  <c r="V161" i="4" s="1"/>
  <c r="V162" i="4" s="1"/>
  <c r="AY121" i="4"/>
  <c r="T124" i="4"/>
  <c r="J129" i="4"/>
  <c r="J138" i="4"/>
  <c r="O148" i="4"/>
  <c r="V165" i="4"/>
  <c r="V166" i="4" s="1"/>
  <c r="V167" i="4" s="1"/>
  <c r="V168" i="4" s="1"/>
  <c r="V169" i="4" s="1"/>
  <c r="V170" i="4" s="1"/>
  <c r="V171" i="4" s="1"/>
  <c r="V172" i="4" s="1"/>
  <c r="V173" i="4" s="1"/>
  <c r="V174" i="4" s="1"/>
  <c r="V175" i="4" s="1"/>
  <c r="V176" i="4" s="1"/>
  <c r="V177" i="4" s="1"/>
  <c r="V178" i="4" s="1"/>
  <c r="V179" i="4" s="1"/>
  <c r="V180" i="4" s="1"/>
  <c r="V181" i="4" s="1"/>
  <c r="V182" i="4" s="1"/>
  <c r="V183" i="4" s="1"/>
  <c r="V184" i="4" s="1"/>
  <c r="V185" i="4" s="1"/>
  <c r="V186" i="4" s="1"/>
  <c r="V187" i="4" s="1"/>
  <c r="V188" i="4" s="1"/>
  <c r="V189" i="4" s="1"/>
  <c r="V190" i="4" s="1"/>
  <c r="V191" i="4" s="1"/>
  <c r="V192" i="4" s="1"/>
  <c r="V193" i="4" s="1"/>
  <c r="V194" i="4" s="1"/>
  <c r="V195" i="4" s="1"/>
  <c r="V196" i="4" s="1"/>
  <c r="V197" i="4" s="1"/>
  <c r="V198" i="4" s="1"/>
  <c r="V199" i="4" s="1"/>
  <c r="V200" i="4" s="1"/>
  <c r="V201" i="4" s="1"/>
  <c r="V202" i="4" s="1"/>
  <c r="V203" i="4" s="1"/>
  <c r="V204" i="4" s="1"/>
  <c r="V205" i="4" s="1"/>
  <c r="V206" i="4" s="1"/>
  <c r="V207" i="4" s="1"/>
  <c r="V208" i="4" s="1"/>
  <c r="V209" i="4" s="1"/>
  <c r="V210" i="4" s="1"/>
  <c r="V211" i="4" s="1"/>
  <c r="V212" i="4" s="1"/>
  <c r="V213" i="4" s="1"/>
  <c r="V214" i="4" s="1"/>
  <c r="J168" i="4"/>
  <c r="AI168" i="4"/>
  <c r="AH172" i="4"/>
  <c r="AG189" i="4"/>
  <c r="AH189" i="4"/>
  <c r="AH194" i="4"/>
  <c r="AI210" i="4"/>
  <c r="K210" i="4"/>
  <c r="J210" i="4"/>
  <c r="Q210" i="4"/>
  <c r="P210" i="4"/>
  <c r="T210" i="4"/>
  <c r="N212" i="4"/>
  <c r="H212" i="4"/>
  <c r="AW212" i="4"/>
  <c r="AY212" i="4" s="1"/>
  <c r="BJ212" i="4"/>
  <c r="AY217" i="4"/>
  <c r="Z218" i="4"/>
  <c r="AA218" i="4"/>
  <c r="H232" i="4"/>
  <c r="AW232" i="4"/>
  <c r="AY232" i="4" s="1"/>
  <c r="N232" i="4"/>
  <c r="BJ232" i="4" s="1"/>
  <c r="AA233" i="4"/>
  <c r="I239" i="4"/>
  <c r="AX239" i="4"/>
  <c r="AY239" i="4" s="1"/>
  <c r="AX249" i="4"/>
  <c r="AY249" i="4" s="1"/>
  <c r="I249" i="4"/>
  <c r="J252" i="4"/>
  <c r="AZ252" i="4"/>
  <c r="G252" i="4"/>
  <c r="H253" i="4"/>
  <c r="AW253" i="4"/>
  <c r="AY253" i="4" s="1"/>
  <c r="BJ253" i="4"/>
  <c r="AH297" i="4"/>
  <c r="AG297" i="4"/>
  <c r="W212" i="4"/>
  <c r="BH213" i="4"/>
  <c r="P212" i="12"/>
  <c r="U163" i="10"/>
  <c r="T163" i="10" s="1"/>
  <c r="AX217" i="4"/>
  <c r="AI221" i="4"/>
  <c r="N223" i="4"/>
  <c r="BK223" i="4"/>
  <c r="I223" i="4"/>
  <c r="AX231" i="4"/>
  <c r="AY231" i="4" s="1"/>
  <c r="N238" i="4"/>
  <c r="I238" i="4"/>
  <c r="AX238" i="4"/>
  <c r="AY238" i="4" s="1"/>
  <c r="AY240" i="4"/>
  <c r="AX252" i="4"/>
  <c r="I252" i="4"/>
  <c r="Z253" i="4"/>
  <c r="P253" i="12"/>
  <c r="U204" i="10"/>
  <c r="T204" i="10" s="1"/>
  <c r="P258" i="4"/>
  <c r="BI258" i="4"/>
  <c r="BH258" i="4"/>
  <c r="AX259" i="4"/>
  <c r="BK259" i="4"/>
  <c r="I259" i="4"/>
  <c r="AY260" i="4"/>
  <c r="I267" i="4"/>
  <c r="AX267" i="4"/>
  <c r="T301" i="4"/>
  <c r="AI301" i="4"/>
  <c r="Q301" i="4"/>
  <c r="J301" i="4"/>
  <c r="U9" i="4"/>
  <c r="U10" i="4" s="1"/>
  <c r="U11" i="4" s="1"/>
  <c r="U12" i="4" s="1"/>
  <c r="U13" i="4" s="1"/>
  <c r="U14" i="4" s="1"/>
  <c r="U15" i="4" s="1"/>
  <c r="U16" i="4" s="1"/>
  <c r="U17" i="4" s="1"/>
  <c r="U18" i="4" s="1"/>
  <c r="U19" i="4" s="1"/>
  <c r="U20" i="4" s="1"/>
  <c r="U21" i="4" s="1"/>
  <c r="U22" i="4" s="1"/>
  <c r="U23" i="4" s="1"/>
  <c r="U24" i="4" s="1"/>
  <c r="U25" i="4" s="1"/>
  <c r="U26" i="4" s="1"/>
  <c r="U27" i="4" s="1"/>
  <c r="U28" i="4" s="1"/>
  <c r="U29" i="4" s="1"/>
  <c r="U30" i="4" s="1"/>
  <c r="U31" i="4" s="1"/>
  <c r="U32" i="4" s="1"/>
  <c r="U33" i="4" s="1"/>
  <c r="U34" i="4" s="1"/>
  <c r="U35" i="4" s="1"/>
  <c r="U36" i="4" s="1"/>
  <c r="U37" i="4" s="1"/>
  <c r="U38" i="4" s="1"/>
  <c r="U39" i="4" s="1"/>
  <c r="U40" i="4" s="1"/>
  <c r="U41" i="4" s="1"/>
  <c r="U42" i="4" s="1"/>
  <c r="U43" i="4" s="1"/>
  <c r="U44" i="4" s="1"/>
  <c r="U45" i="4" s="1"/>
  <c r="U46" i="4" s="1"/>
  <c r="U47" i="4" s="1"/>
  <c r="U48" i="4" s="1"/>
  <c r="U49" i="4" s="1"/>
  <c r="U50" i="4" s="1"/>
  <c r="U51" i="4" s="1"/>
  <c r="U52" i="4" s="1"/>
  <c r="U53" i="4" s="1"/>
  <c r="U54" i="4" s="1"/>
  <c r="U55" i="4" s="1"/>
  <c r="U56" i="4" s="1"/>
  <c r="U57" i="4" s="1"/>
  <c r="U58" i="4" s="1"/>
  <c r="K20" i="4"/>
  <c r="AI20" i="4"/>
  <c r="P43" i="4"/>
  <c r="AI67" i="4"/>
  <c r="P76" i="4"/>
  <c r="AI85" i="4"/>
  <c r="O85" i="4"/>
  <c r="AH99" i="4"/>
  <c r="AI104" i="4"/>
  <c r="AF119" i="4"/>
  <c r="P129" i="4"/>
  <c r="O155" i="4"/>
  <c r="K155" i="4"/>
  <c r="J155" i="4"/>
  <c r="P168" i="4"/>
  <c r="AG169" i="4"/>
  <c r="T179" i="4"/>
  <c r="H220" i="4"/>
  <c r="G227" i="4"/>
  <c r="Z230" i="4"/>
  <c r="AA230" i="4"/>
  <c r="I251" i="4"/>
  <c r="N251" i="4"/>
  <c r="AX251" i="4"/>
  <c r="AY251" i="4" s="1"/>
  <c r="Q253" i="12"/>
  <c r="Q258" i="4"/>
  <c r="AA257" i="5"/>
  <c r="Y257" i="5" s="1"/>
  <c r="BK260" i="4"/>
  <c r="I260" i="4"/>
  <c r="AX260" i="4"/>
  <c r="BJ264" i="4"/>
  <c r="AW264" i="4"/>
  <c r="AY264" i="4" s="1"/>
  <c r="N264" i="4"/>
  <c r="BK264" i="4" s="1"/>
  <c r="H264" i="4"/>
  <c r="BJ268" i="4"/>
  <c r="AH270" i="4"/>
  <c r="AG270" i="4"/>
  <c r="O285" i="12"/>
  <c r="O290" i="4"/>
  <c r="K301" i="4"/>
  <c r="K34" i="4"/>
  <c r="AI34" i="4"/>
  <c r="K37" i="4"/>
  <c r="AH56" i="4"/>
  <c r="J14" i="4"/>
  <c r="Q66" i="4"/>
  <c r="Q80" i="4"/>
  <c r="V11" i="4"/>
  <c r="V12" i="4" s="1"/>
  <c r="V13" i="4" s="1"/>
  <c r="V14" i="4" s="1"/>
  <c r="V15" i="4" s="1"/>
  <c r="V16" i="4" s="1"/>
  <c r="V17" i="4" s="1"/>
  <c r="V18" i="4" s="1"/>
  <c r="V19" i="4" s="1"/>
  <c r="V20" i="4" s="1"/>
  <c r="V21" i="4" s="1"/>
  <c r="V22" i="4" s="1"/>
  <c r="V23" i="4" s="1"/>
  <c r="V24" i="4" s="1"/>
  <c r="V25" i="4" s="1"/>
  <c r="V26" i="4" s="1"/>
  <c r="V27" i="4" s="1"/>
  <c r="V28" i="4" s="1"/>
  <c r="V29" i="4" s="1"/>
  <c r="V30" i="4" s="1"/>
  <c r="V31" i="4" s="1"/>
  <c r="V32" i="4" s="1"/>
  <c r="V33" i="4" s="1"/>
  <c r="V34" i="4" s="1"/>
  <c r="V35" i="4" s="1"/>
  <c r="V36" i="4" s="1"/>
  <c r="V37" i="4" s="1"/>
  <c r="V38" i="4" s="1"/>
  <c r="V39" i="4" s="1"/>
  <c r="V40" i="4" s="1"/>
  <c r="V41" i="4" s="1"/>
  <c r="V42" i="4" s="1"/>
  <c r="V43" i="4" s="1"/>
  <c r="V44" i="4" s="1"/>
  <c r="V45" i="4" s="1"/>
  <c r="V46" i="4" s="1"/>
  <c r="V47" i="4" s="1"/>
  <c r="V48" i="4" s="1"/>
  <c r="V49" i="4" s="1"/>
  <c r="V50" i="4" s="1"/>
  <c r="V51" i="4" s="1"/>
  <c r="V52" i="4" s="1"/>
  <c r="V53" i="4" s="1"/>
  <c r="V54" i="4" s="1"/>
  <c r="V55" i="4" s="1"/>
  <c r="V56" i="4" s="1"/>
  <c r="V57" i="4" s="1"/>
  <c r="V58" i="4" s="1"/>
  <c r="AI21" i="4"/>
  <c r="O21" i="4"/>
  <c r="T22" i="4"/>
  <c r="O22" i="4"/>
  <c r="K22" i="4"/>
  <c r="Q25" i="4"/>
  <c r="P25" i="4"/>
  <c r="J25" i="4"/>
  <c r="K41" i="4"/>
  <c r="AI41" i="4"/>
  <c r="K44" i="4"/>
  <c r="K62" i="4"/>
  <c r="AI99" i="4"/>
  <c r="O99" i="4"/>
  <c r="AI151" i="4"/>
  <c r="AG157" i="4"/>
  <c r="AF157" i="4"/>
  <c r="AI183" i="4"/>
  <c r="AH21" i="4"/>
  <c r="J22" i="4"/>
  <c r="K23" i="4"/>
  <c r="K25" i="4"/>
  <c r="T30" i="4"/>
  <c r="AG39" i="4"/>
  <c r="K42" i="4"/>
  <c r="AG43" i="4"/>
  <c r="O44" i="4"/>
  <c r="O46" i="4"/>
  <c r="T49" i="4"/>
  <c r="O60" i="4"/>
  <c r="P62" i="4"/>
  <c r="AI71" i="4"/>
  <c r="O71" i="4"/>
  <c r="O74" i="4"/>
  <c r="AI81" i="4"/>
  <c r="O88" i="4"/>
  <c r="P90" i="4"/>
  <c r="AG97" i="4"/>
  <c r="AF97" i="4"/>
  <c r="J99" i="4"/>
  <c r="P102" i="4"/>
  <c r="AI102" i="4"/>
  <c r="Q104" i="4"/>
  <c r="K110" i="4"/>
  <c r="J110" i="4"/>
  <c r="AI110" i="4"/>
  <c r="J112" i="4"/>
  <c r="P112" i="4"/>
  <c r="AF112" i="4"/>
  <c r="AI122" i="4"/>
  <c r="O122" i="4"/>
  <c r="Q126" i="4"/>
  <c r="AH152" i="4"/>
  <c r="AI155" i="4"/>
  <c r="J174" i="4"/>
  <c r="T174" i="4"/>
  <c r="O174" i="4"/>
  <c r="K174" i="4"/>
  <c r="AG18" i="4"/>
  <c r="J20" i="4"/>
  <c r="K21" i="4"/>
  <c r="P22" i="4"/>
  <c r="O23" i="4"/>
  <c r="O25" i="4"/>
  <c r="W33" i="4"/>
  <c r="O41" i="4"/>
  <c r="P42" i="4"/>
  <c r="Q43" i="4"/>
  <c r="Q44" i="4"/>
  <c r="AI44" i="4"/>
  <c r="W54" i="4"/>
  <c r="P60" i="4"/>
  <c r="AI60" i="4"/>
  <c r="Q62" i="4"/>
  <c r="AI62" i="4"/>
  <c r="AG69" i="4"/>
  <c r="AF69" i="4"/>
  <c r="J71" i="4"/>
  <c r="AH71" i="4"/>
  <c r="P74" i="4"/>
  <c r="AI74" i="4"/>
  <c r="Q76" i="4"/>
  <c r="AI76" i="4"/>
  <c r="AG83" i="4"/>
  <c r="AF83" i="4"/>
  <c r="J85" i="4"/>
  <c r="AH85" i="4"/>
  <c r="P88" i="4"/>
  <c r="AI88" i="4"/>
  <c r="Q90" i="4"/>
  <c r="AI90" i="4"/>
  <c r="AI94" i="4"/>
  <c r="K94" i="4"/>
  <c r="J94" i="4"/>
  <c r="Q97" i="4"/>
  <c r="P97" i="4"/>
  <c r="J97" i="4"/>
  <c r="W98" i="4"/>
  <c r="K99" i="4"/>
  <c r="Q102" i="4"/>
  <c r="O110" i="4"/>
  <c r="K112" i="4"/>
  <c r="AG112" i="4"/>
  <c r="J115" i="4"/>
  <c r="AI115" i="4"/>
  <c r="J122" i="4"/>
  <c r="AF122" i="4"/>
  <c r="AF128" i="4"/>
  <c r="Q131" i="4"/>
  <c r="P131" i="4"/>
  <c r="T131" i="4"/>
  <c r="AI131" i="4"/>
  <c r="O131" i="4"/>
  <c r="AH137" i="4"/>
  <c r="AI139" i="4"/>
  <c r="O139" i="4"/>
  <c r="K139" i="4"/>
  <c r="Q139" i="4"/>
  <c r="T143" i="4"/>
  <c r="O143" i="4"/>
  <c r="AG147" i="4"/>
  <c r="P155" i="4"/>
  <c r="AI172" i="4"/>
  <c r="P174" i="4"/>
  <c r="AI189" i="4"/>
  <c r="J206" i="4"/>
  <c r="T206" i="4"/>
  <c r="AI206" i="4"/>
  <c r="P206" i="4"/>
  <c r="O206" i="4"/>
  <c r="K206" i="4"/>
  <c r="I211" i="4"/>
  <c r="AX211" i="4"/>
  <c r="AX223" i="4"/>
  <c r="AY223" i="4" s="1"/>
  <c r="BK224" i="4"/>
  <c r="AZ227" i="4"/>
  <c r="J227" i="4"/>
  <c r="N228" i="4"/>
  <c r="AA231" i="4"/>
  <c r="Z231" i="4"/>
  <c r="AZ236" i="4"/>
  <c r="G236" i="4"/>
  <c r="AA240" i="4"/>
  <c r="AH245" i="4"/>
  <c r="Q242" i="12"/>
  <c r="AA246" i="5"/>
  <c r="Y246" i="5" s="1"/>
  <c r="BA247" i="4"/>
  <c r="N248" i="4"/>
  <c r="AW248" i="4"/>
  <c r="AY248" i="4" s="1"/>
  <c r="H248" i="4"/>
  <c r="N259" i="4"/>
  <c r="BJ259" i="4" s="1"/>
  <c r="AW259" i="4"/>
  <c r="H259" i="4"/>
  <c r="AX266" i="4"/>
  <c r="I266" i="4"/>
  <c r="G266" i="4" s="1"/>
  <c r="P285" i="12"/>
  <c r="U236" i="10"/>
  <c r="T236" i="10" s="1"/>
  <c r="BH290" i="4"/>
  <c r="BI290" i="4"/>
  <c r="P290" i="4"/>
  <c r="U115" i="4"/>
  <c r="U116" i="4" s="1"/>
  <c r="U117" i="4" s="1"/>
  <c r="U118" i="4" s="1"/>
  <c r="U119" i="4" s="1"/>
  <c r="U120" i="4" s="1"/>
  <c r="U121" i="4" s="1"/>
  <c r="U122" i="4" s="1"/>
  <c r="U123" i="4" s="1"/>
  <c r="U124" i="4" s="1"/>
  <c r="U125" i="4" s="1"/>
  <c r="U126" i="4" s="1"/>
  <c r="U127" i="4" s="1"/>
  <c r="U128" i="4" s="1"/>
  <c r="U129" i="4" s="1"/>
  <c r="U130" i="4" s="1"/>
  <c r="U131" i="4" s="1"/>
  <c r="U132" i="4" s="1"/>
  <c r="U133" i="4" s="1"/>
  <c r="U134" i="4" s="1"/>
  <c r="U135" i="4" s="1"/>
  <c r="U136" i="4" s="1"/>
  <c r="U137" i="4" s="1"/>
  <c r="U138" i="4" s="1"/>
  <c r="U139" i="4" s="1"/>
  <c r="U140" i="4" s="1"/>
  <c r="U141" i="4" s="1"/>
  <c r="U142" i="4" s="1"/>
  <c r="U143" i="4" s="1"/>
  <c r="U144" i="4" s="1"/>
  <c r="U145" i="4" s="1"/>
  <c r="U146" i="4" s="1"/>
  <c r="U147" i="4" s="1"/>
  <c r="U148" i="4" s="1"/>
  <c r="U149" i="4" s="1"/>
  <c r="U150" i="4" s="1"/>
  <c r="U151" i="4" s="1"/>
  <c r="U152" i="4" s="1"/>
  <c r="U153" i="4" s="1"/>
  <c r="U154" i="4" s="1"/>
  <c r="U155" i="4" s="1"/>
  <c r="U156" i="4" s="1"/>
  <c r="U157" i="4" s="1"/>
  <c r="U158" i="4" s="1"/>
  <c r="U159" i="4" s="1"/>
  <c r="U160" i="4" s="1"/>
  <c r="U161" i="4" s="1"/>
  <c r="U162" i="4" s="1"/>
  <c r="AI117" i="4"/>
  <c r="Q120" i="4"/>
  <c r="AY140" i="4"/>
  <c r="AI147" i="4"/>
  <c r="W170" i="4"/>
  <c r="W183" i="4"/>
  <c r="J184" i="4"/>
  <c r="AI184" i="4"/>
  <c r="Q184" i="4"/>
  <c r="P184" i="4"/>
  <c r="Q186" i="4"/>
  <c r="T186" i="4"/>
  <c r="AH200" i="4"/>
  <c r="AX219" i="4"/>
  <c r="I219" i="4"/>
  <c r="P215" i="12"/>
  <c r="U166" i="10"/>
  <c r="T166" i="10" s="1"/>
  <c r="BH220" i="4"/>
  <c r="AH220" i="4"/>
  <c r="AG220" i="4"/>
  <c r="BI220" i="4"/>
  <c r="BK221" i="4"/>
  <c r="W222" i="4"/>
  <c r="W239" i="4"/>
  <c r="AZ240" i="4"/>
  <c r="BH242" i="4"/>
  <c r="P249" i="12"/>
  <c r="U200" i="10"/>
  <c r="T200" i="10" s="1"/>
  <c r="AH254" i="4"/>
  <c r="BJ261" i="4"/>
  <c r="AH266" i="4"/>
  <c r="W271" i="4"/>
  <c r="P273" i="4"/>
  <c r="O273" i="4"/>
  <c r="AF274" i="4"/>
  <c r="P278" i="4"/>
  <c r="AI278" i="4"/>
  <c r="BG286" i="4"/>
  <c r="P300" i="12"/>
  <c r="U251" i="10"/>
  <c r="T251" i="10" s="1"/>
  <c r="BI305" i="4"/>
  <c r="P305" i="4"/>
  <c r="BX14" i="5"/>
  <c r="BI94" i="5"/>
  <c r="CC285" i="5"/>
  <c r="BU285" i="5"/>
  <c r="W193" i="4"/>
  <c r="O205" i="4"/>
  <c r="AI205" i="4"/>
  <c r="Q205" i="4"/>
  <c r="P205" i="4"/>
  <c r="N226" i="4"/>
  <c r="H226" i="4"/>
  <c r="AW226" i="4"/>
  <c r="AY226" i="4" s="1"/>
  <c r="BK237" i="4"/>
  <c r="N237" i="4"/>
  <c r="P235" i="12"/>
  <c r="U186" i="10"/>
  <c r="T186" i="10" s="1"/>
  <c r="BI240" i="4"/>
  <c r="BH240" i="4"/>
  <c r="BF244" i="4"/>
  <c r="BK261" i="4"/>
  <c r="N261" i="4"/>
  <c r="P258" i="12"/>
  <c r="U209" i="10"/>
  <c r="T209" i="10" s="1"/>
  <c r="BH263" i="4"/>
  <c r="H267" i="4"/>
  <c r="AW267" i="4"/>
  <c r="AY267" i="4" s="1"/>
  <c r="Q278" i="4"/>
  <c r="J284" i="4"/>
  <c r="AI284" i="4"/>
  <c r="T284" i="4"/>
  <c r="P283" i="12"/>
  <c r="U234" i="10"/>
  <c r="T234" i="10" s="1"/>
  <c r="BH288" i="4"/>
  <c r="P288" i="4"/>
  <c r="BI288" i="4"/>
  <c r="BH289" i="4"/>
  <c r="AF314" i="4"/>
  <c r="AA214" i="4"/>
  <c r="Z214" i="4"/>
  <c r="AF220" i="4"/>
  <c r="BK222" i="4"/>
  <c r="AH223" i="4"/>
  <c r="AG223" i="4"/>
  <c r="P222" i="12"/>
  <c r="U173" i="10"/>
  <c r="T173" i="10" s="1"/>
  <c r="P227" i="4"/>
  <c r="BI227" i="4"/>
  <c r="AI233" i="4"/>
  <c r="N235" i="4"/>
  <c r="BK235" i="4" s="1"/>
  <c r="AW235" i="4"/>
  <c r="BJ235" i="4"/>
  <c r="AY243" i="4"/>
  <c r="K244" i="4"/>
  <c r="G244" i="4"/>
  <c r="BA244" i="4"/>
  <c r="I261" i="4"/>
  <c r="P263" i="12"/>
  <c r="AN268" i="12" s="1"/>
  <c r="U214" i="10"/>
  <c r="T214" i="10" s="1"/>
  <c r="AH268" i="4"/>
  <c r="O271" i="12"/>
  <c r="O276" i="4"/>
  <c r="BF277" i="4"/>
  <c r="L277" i="4"/>
  <c r="J312" i="4"/>
  <c r="AI312" i="4"/>
  <c r="Q312" i="4"/>
  <c r="K312" i="4"/>
  <c r="T312" i="4"/>
  <c r="Q316" i="4"/>
  <c r="T316" i="4"/>
  <c r="AI316" i="4"/>
  <c r="J316" i="4"/>
  <c r="AY133" i="4"/>
  <c r="O136" i="4"/>
  <c r="J146" i="4"/>
  <c r="T146" i="4"/>
  <c r="AI146" i="4"/>
  <c r="O147" i="4"/>
  <c r="AF150" i="4"/>
  <c r="T154" i="4"/>
  <c r="P154" i="4"/>
  <c r="O154" i="4"/>
  <c r="K154" i="4"/>
  <c r="AG154" i="4"/>
  <c r="AI164" i="4"/>
  <c r="O164" i="4"/>
  <c r="Q182" i="4"/>
  <c r="T182" i="4"/>
  <c r="O182" i="4"/>
  <c r="K182" i="4"/>
  <c r="J182" i="4"/>
  <c r="AI182" i="4"/>
  <c r="O186" i="4"/>
  <c r="AI186" i="4"/>
  <c r="K205" i="4"/>
  <c r="AF207" i="4"/>
  <c r="N215" i="4"/>
  <c r="AW215" i="4"/>
  <c r="AY215" i="4" s="1"/>
  <c r="H215" i="4"/>
  <c r="AF229" i="4"/>
  <c r="BK230" i="4"/>
  <c r="AX230" i="4"/>
  <c r="AY230" i="4" s="1"/>
  <c r="I230" i="4"/>
  <c r="AG231" i="4"/>
  <c r="BK233" i="4"/>
  <c r="H235" i="4"/>
  <c r="AH237" i="4"/>
  <c r="W241" i="4"/>
  <c r="AY241" i="4"/>
  <c r="AH248" i="4"/>
  <c r="P251" i="12"/>
  <c r="U202" i="10"/>
  <c r="T202" i="10" s="1"/>
  <c r="BH256" i="4"/>
  <c r="BJ262" i="4"/>
  <c r="AZ272" i="4"/>
  <c r="Q273" i="4"/>
  <c r="AY280" i="4"/>
  <c r="AF284" i="4"/>
  <c r="L285" i="4"/>
  <c r="AH286" i="4"/>
  <c r="L287" i="4"/>
  <c r="BG287" i="4" s="1"/>
  <c r="AH291" i="4"/>
  <c r="K297" i="4"/>
  <c r="T297" i="4"/>
  <c r="Q297" i="4"/>
  <c r="J297" i="4"/>
  <c r="T299" i="4"/>
  <c r="K299" i="4"/>
  <c r="J299" i="4"/>
  <c r="Q299" i="4"/>
  <c r="AI299" i="4"/>
  <c r="L300" i="4"/>
  <c r="BF300" i="4" s="1"/>
  <c r="L301" i="4"/>
  <c r="BG301" i="4"/>
  <c r="P298" i="12"/>
  <c r="U249" i="10"/>
  <c r="T249" i="10" s="1"/>
  <c r="BI303" i="4"/>
  <c r="K316" i="4"/>
  <c r="CB281" i="5"/>
  <c r="CA281" i="5"/>
  <c r="W114" i="4"/>
  <c r="P136" i="4"/>
  <c r="P147" i="4"/>
  <c r="AI150" i="4"/>
  <c r="Q150" i="4"/>
  <c r="P150" i="4"/>
  <c r="O150" i="4"/>
  <c r="AY159" i="4"/>
  <c r="O166" i="4"/>
  <c r="K166" i="4"/>
  <c r="AG185" i="4"/>
  <c r="P202" i="4"/>
  <c r="O202" i="4"/>
  <c r="P207" i="12"/>
  <c r="U158" i="10"/>
  <c r="T158" i="10" s="1"/>
  <c r="BI212" i="4"/>
  <c r="BH212" i="4"/>
  <c r="AZ214" i="4"/>
  <c r="P218" i="12"/>
  <c r="U169" i="10"/>
  <c r="T169" i="10" s="1"/>
  <c r="BH223" i="4"/>
  <c r="BI223" i="4"/>
  <c r="I225" i="4"/>
  <c r="P228" i="12"/>
  <c r="U179" i="10"/>
  <c r="T179" i="10" s="1"/>
  <c r="BH233" i="4"/>
  <c r="P233" i="4"/>
  <c r="AX234" i="4"/>
  <c r="BK234" i="4"/>
  <c r="I234" i="4"/>
  <c r="I237" i="4"/>
  <c r="G237" i="4" s="1"/>
  <c r="L244" i="4"/>
  <c r="BJ255" i="4"/>
  <c r="AW255" i="4"/>
  <c r="AY255" i="4" s="1"/>
  <c r="AZ257" i="4"/>
  <c r="BF283" i="4"/>
  <c r="L283" i="4"/>
  <c r="AI289" i="4"/>
  <c r="K289" i="4"/>
  <c r="T289" i="4"/>
  <c r="Q289" i="4"/>
  <c r="L292" i="4"/>
  <c r="P288" i="12"/>
  <c r="U239" i="10"/>
  <c r="T239" i="10" s="1"/>
  <c r="BH293" i="4"/>
  <c r="P293" i="4"/>
  <c r="BI293" i="4"/>
  <c r="BG300" i="4"/>
  <c r="AY313" i="4"/>
  <c r="O311" i="12"/>
  <c r="BF316" i="4"/>
  <c r="O316" i="4"/>
  <c r="BI163" i="5"/>
  <c r="X164" i="4"/>
  <c r="W164" i="4" s="1"/>
  <c r="AU119" i="7"/>
  <c r="AT119" i="7"/>
  <c r="AS119" i="7"/>
  <c r="AN119" i="7"/>
  <c r="AQ119" i="7"/>
  <c r="AR119" i="7"/>
  <c r="AI185" i="4"/>
  <c r="Q185" i="4"/>
  <c r="P209" i="4"/>
  <c r="O209" i="4"/>
  <c r="AI209" i="4"/>
  <c r="Q209" i="4"/>
  <c r="G214" i="4"/>
  <c r="K214" i="4" s="1"/>
  <c r="P211" i="12"/>
  <c r="U162" i="10"/>
  <c r="T162" i="10" s="1"/>
  <c r="BH216" i="4"/>
  <c r="V219" i="4"/>
  <c r="V220" i="4" s="1"/>
  <c r="V221" i="4" s="1"/>
  <c r="V222" i="4" s="1"/>
  <c r="V223" i="4" s="1"/>
  <c r="V224" i="4" s="1"/>
  <c r="V225" i="4" s="1"/>
  <c r="V226" i="4" s="1"/>
  <c r="V227" i="4" s="1"/>
  <c r="V228" i="4" s="1"/>
  <c r="V229" i="4" s="1"/>
  <c r="V230" i="4" s="1"/>
  <c r="V231" i="4" s="1"/>
  <c r="V232" i="4" s="1"/>
  <c r="V233" i="4" s="1"/>
  <c r="V234" i="4" s="1"/>
  <c r="V235" i="4" s="1"/>
  <c r="V236" i="4" s="1"/>
  <c r="V237" i="4" s="1"/>
  <c r="V238" i="4" s="1"/>
  <c r="V239" i="4" s="1"/>
  <c r="V240" i="4" s="1"/>
  <c r="V241" i="4" s="1"/>
  <c r="V242" i="4" s="1"/>
  <c r="V243" i="4" s="1"/>
  <c r="V244" i="4" s="1"/>
  <c r="V245" i="4" s="1"/>
  <c r="V246" i="4" s="1"/>
  <c r="V247" i="4" s="1"/>
  <c r="V248" i="4" s="1"/>
  <c r="V249" i="4" s="1"/>
  <c r="V250" i="4" s="1"/>
  <c r="V251" i="4" s="1"/>
  <c r="V252" i="4" s="1"/>
  <c r="V253" i="4" s="1"/>
  <c r="V254" i="4" s="1"/>
  <c r="V255" i="4" s="1"/>
  <c r="V256" i="4" s="1"/>
  <c r="V257" i="4" s="1"/>
  <c r="V258" i="4" s="1"/>
  <c r="V259" i="4" s="1"/>
  <c r="V260" i="4" s="1"/>
  <c r="V261" i="4" s="1"/>
  <c r="V262" i="4" s="1"/>
  <c r="V263" i="4" s="1"/>
  <c r="V264" i="4" s="1"/>
  <c r="V265" i="4" s="1"/>
  <c r="V266" i="4" s="1"/>
  <c r="V267" i="4" s="1"/>
  <c r="H222" i="4"/>
  <c r="G225" i="4"/>
  <c r="P221" i="12"/>
  <c r="U172" i="10"/>
  <c r="T172" i="10" s="1"/>
  <c r="BI226" i="4"/>
  <c r="BH226" i="4"/>
  <c r="AW228" i="4"/>
  <c r="AY228" i="4" s="1"/>
  <c r="H228" i="4"/>
  <c r="P224" i="12"/>
  <c r="U175" i="10"/>
  <c r="T175" i="10" s="1"/>
  <c r="BI229" i="4"/>
  <c r="BH229" i="4"/>
  <c r="Q228" i="12"/>
  <c r="AA232" i="5"/>
  <c r="Y232" i="5" s="1"/>
  <c r="Q233" i="4"/>
  <c r="P237" i="12"/>
  <c r="U188" i="10"/>
  <c r="T188" i="10" s="1"/>
  <c r="I243" i="4"/>
  <c r="N243" i="4"/>
  <c r="BK243" i="4" s="1"/>
  <c r="P241" i="12"/>
  <c r="U192" i="10"/>
  <c r="T192" i="10" s="1"/>
  <c r="BH246" i="4"/>
  <c r="AZ255" i="4"/>
  <c r="G255" i="4"/>
  <c r="Z258" i="4"/>
  <c r="AA258" i="4"/>
  <c r="L258" i="4"/>
  <c r="BF258" i="4" s="1"/>
  <c r="P256" i="12"/>
  <c r="U207" i="10"/>
  <c r="T207" i="10" s="1"/>
  <c r="BI261" i="4"/>
  <c r="BH261" i="4"/>
  <c r="P265" i="12"/>
  <c r="U216" i="10"/>
  <c r="T216" i="10" s="1"/>
  <c r="BH270" i="4"/>
  <c r="BH275" i="4"/>
  <c r="O276" i="12"/>
  <c r="O281" i="4"/>
  <c r="BF281" i="4"/>
  <c r="BG283" i="4"/>
  <c r="P284" i="4"/>
  <c r="AF307" i="4"/>
  <c r="L311" i="4"/>
  <c r="P312" i="4"/>
  <c r="N211" i="4"/>
  <c r="BK211" i="4" s="1"/>
  <c r="G218" i="4"/>
  <c r="J218" i="4" s="1"/>
  <c r="AZ218" i="4"/>
  <c r="AA232" i="4"/>
  <c r="Z232" i="4"/>
  <c r="AY234" i="4"/>
  <c r="W236" i="4"/>
  <c r="Q239" i="12"/>
  <c r="AA243" i="5"/>
  <c r="Y243" i="5" s="1"/>
  <c r="Q244" i="4"/>
  <c r="P245" i="12"/>
  <c r="U196" i="10"/>
  <c r="T196" i="10" s="1"/>
  <c r="BI250" i="4"/>
  <c r="BH250" i="4"/>
  <c r="N252" i="4"/>
  <c r="AW252" i="4"/>
  <c r="AY252" i="4" s="1"/>
  <c r="P248" i="12"/>
  <c r="U199" i="10"/>
  <c r="T199" i="10" s="1"/>
  <c r="BH253" i="4"/>
  <c r="BA255" i="4"/>
  <c r="P252" i="12"/>
  <c r="U203" i="10"/>
  <c r="T203" i="10" s="1"/>
  <c r="BI257" i="4"/>
  <c r="BH257" i="4"/>
  <c r="H260" i="4"/>
  <c r="BJ260" i="4"/>
  <c r="BJ269" i="4"/>
  <c r="AW269" i="4"/>
  <c r="AY269" i="4" s="1"/>
  <c r="AZ271" i="4"/>
  <c r="G271" i="4"/>
  <c r="N272" i="4"/>
  <c r="O275" i="12"/>
  <c r="O280" i="4"/>
  <c r="P276" i="12"/>
  <c r="U227" i="10"/>
  <c r="T227" i="10" s="1"/>
  <c r="BH281" i="4"/>
  <c r="P281" i="4"/>
  <c r="P284" i="12"/>
  <c r="U235" i="10"/>
  <c r="T235" i="10" s="1"/>
  <c r="P289" i="4"/>
  <c r="P289" i="12"/>
  <c r="U240" i="10"/>
  <c r="T240" i="10" s="1"/>
  <c r="BH294" i="4"/>
  <c r="P294" i="4"/>
  <c r="BI294" i="4"/>
  <c r="J298" i="4"/>
  <c r="AI298" i="4"/>
  <c r="K298" i="4"/>
  <c r="Q298" i="4"/>
  <c r="BF313" i="4"/>
  <c r="L313" i="4"/>
  <c r="K318" i="4"/>
  <c r="J318" i="4"/>
  <c r="T318" i="4"/>
  <c r="AI318" i="4"/>
  <c r="Q318" i="4"/>
  <c r="BG290" i="4"/>
  <c r="P293" i="12"/>
  <c r="U244" i="10"/>
  <c r="T244" i="10" s="1"/>
  <c r="BI298" i="4"/>
  <c r="P298" i="4"/>
  <c r="BH298" i="4"/>
  <c r="O313" i="12"/>
  <c r="O318" i="4"/>
  <c r="BT259" i="5"/>
  <c r="BN259" i="5"/>
  <c r="BT309" i="5"/>
  <c r="BS309" i="5"/>
  <c r="CB309" i="5"/>
  <c r="CD310" i="5"/>
  <c r="BX310" i="5"/>
  <c r="Y311" i="4"/>
  <c r="P195" i="4"/>
  <c r="O195" i="4"/>
  <c r="AI195" i="4"/>
  <c r="Q195" i="4"/>
  <c r="AG199" i="4"/>
  <c r="AF199" i="4"/>
  <c r="AH201" i="4"/>
  <c r="U216" i="4"/>
  <c r="U217" i="4" s="1"/>
  <c r="U218" i="4" s="1"/>
  <c r="U219" i="4" s="1"/>
  <c r="U220" i="4" s="1"/>
  <c r="U221" i="4" s="1"/>
  <c r="U222" i="4" s="1"/>
  <c r="U223" i="4" s="1"/>
  <c r="U224" i="4" s="1"/>
  <c r="U225" i="4" s="1"/>
  <c r="U226" i="4" s="1"/>
  <c r="U227" i="4" s="1"/>
  <c r="U228" i="4" s="1"/>
  <c r="U229" i="4" s="1"/>
  <c r="U230" i="4" s="1"/>
  <c r="U231" i="4" s="1"/>
  <c r="U232" i="4" s="1"/>
  <c r="U233" i="4" s="1"/>
  <c r="U234" i="4" s="1"/>
  <c r="U235" i="4" s="1"/>
  <c r="U236" i="4" s="1"/>
  <c r="U237" i="4" s="1"/>
  <c r="U238" i="4" s="1"/>
  <c r="U239" i="4" s="1"/>
  <c r="U240" i="4" s="1"/>
  <c r="U241" i="4" s="1"/>
  <c r="U242" i="4" s="1"/>
  <c r="U243" i="4" s="1"/>
  <c r="U244" i="4" s="1"/>
  <c r="U245" i="4" s="1"/>
  <c r="U246" i="4" s="1"/>
  <c r="U247" i="4" s="1"/>
  <c r="U248" i="4" s="1"/>
  <c r="U249" i="4" s="1"/>
  <c r="U250" i="4" s="1"/>
  <c r="U251" i="4" s="1"/>
  <c r="U252" i="4" s="1"/>
  <c r="U253" i="4" s="1"/>
  <c r="U254" i="4" s="1"/>
  <c r="U255" i="4" s="1"/>
  <c r="U256" i="4" s="1"/>
  <c r="U257" i="4" s="1"/>
  <c r="U258" i="4" s="1"/>
  <c r="U259" i="4" s="1"/>
  <c r="U260" i="4" s="1"/>
  <c r="U261" i="4" s="1"/>
  <c r="U262" i="4" s="1"/>
  <c r="U263" i="4" s="1"/>
  <c r="U264" i="4" s="1"/>
  <c r="U265" i="4" s="1"/>
  <c r="U266" i="4" s="1"/>
  <c r="U267" i="4" s="1"/>
  <c r="AA224" i="4"/>
  <c r="Z224" i="4"/>
  <c r="N225" i="4"/>
  <c r="N227" i="4"/>
  <c r="AX242" i="4"/>
  <c r="AY242" i="4" s="1"/>
  <c r="I242" i="4"/>
  <c r="BK248" i="4"/>
  <c r="BA262" i="4"/>
  <c r="K262" i="4"/>
  <c r="N266" i="4"/>
  <c r="BK266" i="4" s="1"/>
  <c r="AW266" i="4"/>
  <c r="AY266" i="4" s="1"/>
  <c r="P262" i="12"/>
  <c r="U213" i="10"/>
  <c r="T213" i="10" s="1"/>
  <c r="BH267" i="4"/>
  <c r="BA269" i="4"/>
  <c r="K269" i="4"/>
  <c r="U270" i="4"/>
  <c r="U271" i="4" s="1"/>
  <c r="U272" i="4" s="1"/>
  <c r="U273" i="4" s="1"/>
  <c r="U274" i="4" s="1"/>
  <c r="U275" i="4" s="1"/>
  <c r="U276" i="4" s="1"/>
  <c r="U277" i="4" s="1"/>
  <c r="U278" i="4" s="1"/>
  <c r="U279" i="4" s="1"/>
  <c r="U280" i="4" s="1"/>
  <c r="U281" i="4" s="1"/>
  <c r="U282" i="4" s="1"/>
  <c r="U283" i="4" s="1"/>
  <c r="U284" i="4" s="1"/>
  <c r="U285" i="4" s="1"/>
  <c r="U286" i="4" s="1"/>
  <c r="U287" i="4" s="1"/>
  <c r="U288" i="4" s="1"/>
  <c r="U289" i="4" s="1"/>
  <c r="U290" i="4" s="1"/>
  <c r="U291" i="4" s="1"/>
  <c r="U292" i="4" s="1"/>
  <c r="U293" i="4" s="1"/>
  <c r="U294" i="4" s="1"/>
  <c r="U295" i="4" s="1"/>
  <c r="U296" i="4" s="1"/>
  <c r="U297" i="4" s="1"/>
  <c r="U298" i="4" s="1"/>
  <c r="U299" i="4" s="1"/>
  <c r="U300" i="4" s="1"/>
  <c r="U301" i="4" s="1"/>
  <c r="U302" i="4" s="1"/>
  <c r="U303" i="4" s="1"/>
  <c r="U304" i="4" s="1"/>
  <c r="U305" i="4" s="1"/>
  <c r="U306" i="4" s="1"/>
  <c r="U307" i="4" s="1"/>
  <c r="U308" i="4" s="1"/>
  <c r="U309" i="4" s="1"/>
  <c r="U310" i="4" s="1"/>
  <c r="U311" i="4" s="1"/>
  <c r="U312" i="4" s="1"/>
  <c r="U313" i="4" s="1"/>
  <c r="U314" i="4" s="1"/>
  <c r="U315" i="4" s="1"/>
  <c r="U316" i="4" s="1"/>
  <c r="U317" i="4" s="1"/>
  <c r="U318" i="4" s="1"/>
  <c r="U319" i="4" s="1"/>
  <c r="P266" i="12"/>
  <c r="U217" i="10"/>
  <c r="T217" i="10" s="1"/>
  <c r="BI271" i="4"/>
  <c r="AH272" i="4"/>
  <c r="P270" i="12"/>
  <c r="U221" i="10"/>
  <c r="T221" i="10" s="1"/>
  <c r="T287" i="4"/>
  <c r="AI287" i="4"/>
  <c r="Q287" i="4"/>
  <c r="BF288" i="4"/>
  <c r="Q309" i="4"/>
  <c r="T309" i="4"/>
  <c r="AH311" i="4"/>
  <c r="AG311" i="4"/>
  <c r="AG117" i="4"/>
  <c r="W137" i="4"/>
  <c r="AG138" i="4"/>
  <c r="Q144" i="4"/>
  <c r="T144" i="4"/>
  <c r="Q149" i="4"/>
  <c r="P149" i="4"/>
  <c r="AH151" i="4"/>
  <c r="AY174" i="4"/>
  <c r="AY179" i="4"/>
  <c r="P185" i="4"/>
  <c r="O187" i="4"/>
  <c r="T187" i="4"/>
  <c r="AY191" i="4"/>
  <c r="J195" i="4"/>
  <c r="Q201" i="4"/>
  <c r="T201" i="4"/>
  <c r="BJ213" i="4"/>
  <c r="V216" i="4"/>
  <c r="V217" i="4" s="1"/>
  <c r="V218" i="4" s="1"/>
  <c r="AZ217" i="4"/>
  <c r="BA221" i="4"/>
  <c r="K221" i="4"/>
  <c r="Q216" i="12"/>
  <c r="AA220" i="5"/>
  <c r="Y220" i="5" s="1"/>
  <c r="P217" i="12"/>
  <c r="U168" i="10"/>
  <c r="T168" i="10" s="1"/>
  <c r="BA233" i="4"/>
  <c r="K233" i="4"/>
  <c r="BJ236" i="4"/>
  <c r="N236" i="4"/>
  <c r="G247" i="4"/>
  <c r="AZ247" i="4"/>
  <c r="I250" i="4"/>
  <c r="BK250" i="4"/>
  <c r="AX250" i="4"/>
  <c r="P246" i="12"/>
  <c r="U197" i="10"/>
  <c r="T197" i="10" s="1"/>
  <c r="Q250" i="12"/>
  <c r="AA254" i="5"/>
  <c r="Y254" i="5" s="1"/>
  <c r="Q255" i="4"/>
  <c r="N263" i="4"/>
  <c r="H263" i="4"/>
  <c r="AW263" i="4"/>
  <c r="AY263" i="4" s="1"/>
  <c r="N267" i="4"/>
  <c r="V270" i="4"/>
  <c r="V271" i="4" s="1"/>
  <c r="V272" i="4" s="1"/>
  <c r="V273" i="4" s="1"/>
  <c r="V274" i="4" s="1"/>
  <c r="V275" i="4" s="1"/>
  <c r="V276" i="4" s="1"/>
  <c r="V277" i="4" s="1"/>
  <c r="V278" i="4" s="1"/>
  <c r="V279" i="4" s="1"/>
  <c r="V280" i="4" s="1"/>
  <c r="V281" i="4" s="1"/>
  <c r="V282" i="4" s="1"/>
  <c r="V283" i="4" s="1"/>
  <c r="V284" i="4" s="1"/>
  <c r="V285" i="4" s="1"/>
  <c r="V286" i="4" s="1"/>
  <c r="V287" i="4" s="1"/>
  <c r="V288" i="4" s="1"/>
  <c r="V289" i="4" s="1"/>
  <c r="V290" i="4" s="1"/>
  <c r="V291" i="4" s="1"/>
  <c r="V292" i="4" s="1"/>
  <c r="V293" i="4" s="1"/>
  <c r="V294" i="4" s="1"/>
  <c r="V295" i="4" s="1"/>
  <c r="V296" i="4" s="1"/>
  <c r="V297" i="4" s="1"/>
  <c r="V298" i="4" s="1"/>
  <c r="V299" i="4" s="1"/>
  <c r="V300" i="4" s="1"/>
  <c r="V301" i="4" s="1"/>
  <c r="V302" i="4" s="1"/>
  <c r="V303" i="4" s="1"/>
  <c r="V304" i="4" s="1"/>
  <c r="V305" i="4" s="1"/>
  <c r="V306" i="4" s="1"/>
  <c r="V307" i="4" s="1"/>
  <c r="V308" i="4" s="1"/>
  <c r="V309" i="4" s="1"/>
  <c r="V310" i="4" s="1"/>
  <c r="V311" i="4" s="1"/>
  <c r="V312" i="4" s="1"/>
  <c r="V313" i="4" s="1"/>
  <c r="V314" i="4" s="1"/>
  <c r="V315" i="4" s="1"/>
  <c r="V316" i="4" s="1"/>
  <c r="V317" i="4" s="1"/>
  <c r="V318" i="4" s="1"/>
  <c r="V319" i="4" s="1"/>
  <c r="AG273" i="4"/>
  <c r="P272" i="12"/>
  <c r="U223" i="10"/>
  <c r="T223" i="10" s="1"/>
  <c r="BI277" i="4"/>
  <c r="BH277" i="4"/>
  <c r="J287" i="4"/>
  <c r="BG288" i="4"/>
  <c r="O290" i="12"/>
  <c r="O295" i="4"/>
  <c r="BF297" i="4"/>
  <c r="L297" i="4"/>
  <c r="BG297" i="4" s="1"/>
  <c r="AF301" i="4"/>
  <c r="AG301" i="4"/>
  <c r="AH302" i="4"/>
  <c r="J309" i="4"/>
  <c r="AF313" i="4"/>
  <c r="AI313" i="4"/>
  <c r="K195" i="4"/>
  <c r="T209" i="4"/>
  <c r="AG210" i="4"/>
  <c r="AF210" i="4"/>
  <c r="AZ213" i="4"/>
  <c r="J213" i="4"/>
  <c r="W216" i="4"/>
  <c r="J221" i="4"/>
  <c r="J224" i="4"/>
  <c r="AZ224" i="4"/>
  <c r="BK225" i="4"/>
  <c r="AX227" i="4"/>
  <c r="AY227" i="4" s="1"/>
  <c r="AY237" i="4"/>
  <c r="P236" i="12"/>
  <c r="U187" i="10"/>
  <c r="T187" i="10" s="1"/>
  <c r="BI241" i="4"/>
  <c r="W246" i="4"/>
  <c r="BJ254" i="4"/>
  <c r="N256" i="4"/>
  <c r="H256" i="4"/>
  <c r="AW256" i="4"/>
  <c r="AY256" i="4" s="1"/>
  <c r="P260" i="12"/>
  <c r="U211" i="10"/>
  <c r="T211" i="10" s="1"/>
  <c r="BI265" i="4"/>
  <c r="BH265" i="4"/>
  <c r="P275" i="4"/>
  <c r="K287" i="4"/>
  <c r="K292" i="4"/>
  <c r="J292" i="4"/>
  <c r="AH292" i="4"/>
  <c r="L298" i="4"/>
  <c r="BG298" i="4" s="1"/>
  <c r="BF298" i="4"/>
  <c r="AY304" i="4"/>
  <c r="K309" i="4"/>
  <c r="O314" i="12"/>
  <c r="BG319" i="4"/>
  <c r="D8" i="5"/>
  <c r="E8" i="5" s="1"/>
  <c r="D9" i="5" s="1"/>
  <c r="E9" i="5" s="1"/>
  <c r="D10" i="5" s="1"/>
  <c r="E10" i="5" s="1"/>
  <c r="D11" i="5" s="1"/>
  <c r="E11" i="5" s="1"/>
  <c r="D12" i="5" s="1"/>
  <c r="E12" i="5" s="1"/>
  <c r="D13" i="5" s="1"/>
  <c r="E13" i="5" s="1"/>
  <c r="D14" i="5" s="1"/>
  <c r="E14" i="5" s="1"/>
  <c r="D15" i="5" s="1"/>
  <c r="E15" i="5" s="1"/>
  <c r="D16" i="5" s="1"/>
  <c r="E16" i="5" s="1"/>
  <c r="D17" i="5" s="1"/>
  <c r="E17" i="5" s="1"/>
  <c r="D18" i="5" s="1"/>
  <c r="E18" i="5" s="1"/>
  <c r="D19" i="5" s="1"/>
  <c r="E19" i="5" s="1"/>
  <c r="D20" i="5" s="1"/>
  <c r="E20" i="5" s="1"/>
  <c r="D21" i="5" s="1"/>
  <c r="E21" i="5" s="1"/>
  <c r="D22" i="5" s="1"/>
  <c r="E22" i="5" s="1"/>
  <c r="D23" i="5" s="1"/>
  <c r="E23" i="5" s="1"/>
  <c r="D24" i="5" s="1"/>
  <c r="E24" i="5" s="1"/>
  <c r="D25" i="5" s="1"/>
  <c r="E25" i="5" s="1"/>
  <c r="D26" i="5" s="1"/>
  <c r="E26" i="5" s="1"/>
  <c r="D27" i="5" s="1"/>
  <c r="E27" i="5" s="1"/>
  <c r="D28" i="5" s="1"/>
  <c r="E28" i="5" s="1"/>
  <c r="D29" i="5" s="1"/>
  <c r="E29" i="5" s="1"/>
  <c r="D30" i="5" s="1"/>
  <c r="E30" i="5" s="1"/>
  <c r="D31" i="5" s="1"/>
  <c r="E31" i="5" s="1"/>
  <c r="D32" i="5" s="1"/>
  <c r="E32" i="5" s="1"/>
  <c r="D33" i="5" s="1"/>
  <c r="E33" i="5" s="1"/>
  <c r="D34" i="5" s="1"/>
  <c r="E34" i="5" s="1"/>
  <c r="D35" i="5" s="1"/>
  <c r="E35" i="5" s="1"/>
  <c r="D36" i="5" s="1"/>
  <c r="E36" i="5" s="1"/>
  <c r="D37" i="5" s="1"/>
  <c r="E37" i="5" s="1"/>
  <c r="D38" i="5" s="1"/>
  <c r="E38" i="5" s="1"/>
  <c r="D39" i="5" s="1"/>
  <c r="E39" i="5" s="1"/>
  <c r="D40" i="5" s="1"/>
  <c r="E40" i="5" s="1"/>
  <c r="D41" i="5" s="1"/>
  <c r="E41" i="5" s="1"/>
  <c r="D42" i="5" s="1"/>
  <c r="E42" i="5" s="1"/>
  <c r="D43" i="5" s="1"/>
  <c r="E43" i="5" s="1"/>
  <c r="D44" i="5" s="1"/>
  <c r="E44" i="5" s="1"/>
  <c r="D45" i="5" s="1"/>
  <c r="E45" i="5" s="1"/>
  <c r="D46" i="5" s="1"/>
  <c r="E46" i="5" s="1"/>
  <c r="D47" i="5" s="1"/>
  <c r="E47" i="5" s="1"/>
  <c r="D48" i="5" s="1"/>
  <c r="E48" i="5" s="1"/>
  <c r="D49" i="5" s="1"/>
  <c r="E49" i="5" s="1"/>
  <c r="D50" i="5" s="1"/>
  <c r="E50" i="5" s="1"/>
  <c r="D51" i="5" s="1"/>
  <c r="E51" i="5" s="1"/>
  <c r="D52" i="5" s="1"/>
  <c r="E52" i="5" s="1"/>
  <c r="D53" i="5" s="1"/>
  <c r="E53" i="5" s="1"/>
  <c r="D54" i="5" s="1"/>
  <c r="E54" i="5" s="1"/>
  <c r="D55" i="5" s="1"/>
  <c r="E55" i="5" s="1"/>
  <c r="D56" i="5" s="1"/>
  <c r="E56" i="5" s="1"/>
  <c r="D57" i="5" s="1"/>
  <c r="E57" i="5" s="1"/>
  <c r="D58" i="5" s="1"/>
  <c r="E58" i="5" s="1"/>
  <c r="D59" i="5" s="1"/>
  <c r="E59" i="5" s="1"/>
  <c r="D60" i="5" s="1"/>
  <c r="E60" i="5" s="1"/>
  <c r="D61" i="5" s="1"/>
  <c r="E61" i="5" s="1"/>
  <c r="D62" i="5" s="1"/>
  <c r="E62" i="5" s="1"/>
  <c r="D63" i="5" s="1"/>
  <c r="E63" i="5" s="1"/>
  <c r="D64" i="5" s="1"/>
  <c r="E64" i="5" s="1"/>
  <c r="D65" i="5" s="1"/>
  <c r="E65" i="5" s="1"/>
  <c r="D66" i="5" s="1"/>
  <c r="E66" i="5" s="1"/>
  <c r="D67" i="5" s="1"/>
  <c r="E67" i="5" s="1"/>
  <c r="D68" i="5" s="1"/>
  <c r="E68" i="5" s="1"/>
  <c r="D69" i="5" s="1"/>
  <c r="E69" i="5" s="1"/>
  <c r="D70" i="5" s="1"/>
  <c r="E70" i="5" s="1"/>
  <c r="D71" i="5" s="1"/>
  <c r="E71" i="5" s="1"/>
  <c r="D72" i="5" s="1"/>
  <c r="E72" i="5" s="1"/>
  <c r="D73" i="5" s="1"/>
  <c r="E73" i="5" s="1"/>
  <c r="D74" i="5" s="1"/>
  <c r="E74" i="5" s="1"/>
  <c r="D75" i="5" s="1"/>
  <c r="E75" i="5" s="1"/>
  <c r="D76" i="5" s="1"/>
  <c r="E76" i="5" s="1"/>
  <c r="D77" i="5" s="1"/>
  <c r="E77" i="5" s="1"/>
  <c r="D78" i="5" s="1"/>
  <c r="E78" i="5" s="1"/>
  <c r="D79" i="5" s="1"/>
  <c r="E79" i="5" s="1"/>
  <c r="D80" i="5" s="1"/>
  <c r="E80" i="5" s="1"/>
  <c r="D81" i="5" s="1"/>
  <c r="E81" i="5" s="1"/>
  <c r="D82" i="5" s="1"/>
  <c r="E82" i="5" s="1"/>
  <c r="D83" i="5" s="1"/>
  <c r="E83" i="5" s="1"/>
  <c r="D84" i="5" s="1"/>
  <c r="E84" i="5" s="1"/>
  <c r="D85" i="5" s="1"/>
  <c r="E85" i="5" s="1"/>
  <c r="D86" i="5" s="1"/>
  <c r="E86" i="5" s="1"/>
  <c r="D87" i="5" s="1"/>
  <c r="E87" i="5" s="1"/>
  <c r="D88" i="5" s="1"/>
  <c r="E88" i="5" s="1"/>
  <c r="D89" i="5" s="1"/>
  <c r="E89" i="5" s="1"/>
  <c r="D90" i="5" s="1"/>
  <c r="E90" i="5" s="1"/>
  <c r="D91" i="5" s="1"/>
  <c r="E91" i="5" s="1"/>
  <c r="D92" i="5" s="1"/>
  <c r="E92" i="5" s="1"/>
  <c r="D93" i="5" s="1"/>
  <c r="E93" i="5" s="1"/>
  <c r="D94" i="5" s="1"/>
  <c r="E94" i="5" s="1"/>
  <c r="D95" i="5" s="1"/>
  <c r="E95" i="5" s="1"/>
  <c r="D96" i="5" s="1"/>
  <c r="E96" i="5" s="1"/>
  <c r="D97" i="5" s="1"/>
  <c r="E97" i="5" s="1"/>
  <c r="D98" i="5" s="1"/>
  <c r="E98" i="5" s="1"/>
  <c r="D99" i="5" s="1"/>
  <c r="E99" i="5" s="1"/>
  <c r="D100" i="5" s="1"/>
  <c r="E100" i="5" s="1"/>
  <c r="D101" i="5" s="1"/>
  <c r="E101" i="5" s="1"/>
  <c r="D102" i="5" s="1"/>
  <c r="E102" i="5" s="1"/>
  <c r="D103" i="5" s="1"/>
  <c r="E103" i="5" s="1"/>
  <c r="D104" i="5" s="1"/>
  <c r="E104" i="5" s="1"/>
  <c r="D105" i="5" s="1"/>
  <c r="E105" i="5" s="1"/>
  <c r="D106" i="5" s="1"/>
  <c r="E106" i="5" s="1"/>
  <c r="D107" i="5" s="1"/>
  <c r="E107" i="5" s="1"/>
  <c r="D108" i="5" s="1"/>
  <c r="E108" i="5" s="1"/>
  <c r="D109" i="5" s="1"/>
  <c r="E109" i="5" s="1"/>
  <c r="D110" i="5" s="1"/>
  <c r="E110" i="5" s="1"/>
  <c r="D111" i="5" s="1"/>
  <c r="E111" i="5" s="1"/>
  <c r="D112" i="5" s="1"/>
  <c r="E112" i="5" s="1"/>
  <c r="D113" i="5" s="1"/>
  <c r="E113" i="5" s="1"/>
  <c r="D114" i="5" s="1"/>
  <c r="E114" i="5" s="1"/>
  <c r="D115" i="5" s="1"/>
  <c r="E115" i="5" s="1"/>
  <c r="D116" i="5" s="1"/>
  <c r="E116" i="5" s="1"/>
  <c r="D117" i="5" s="1"/>
  <c r="E117" i="5" s="1"/>
  <c r="D118" i="5" s="1"/>
  <c r="E118" i="5" s="1"/>
  <c r="D119" i="5" s="1"/>
  <c r="E119" i="5" s="1"/>
  <c r="D120" i="5" s="1"/>
  <c r="E120" i="5" s="1"/>
  <c r="D121" i="5" s="1"/>
  <c r="E121" i="5" s="1"/>
  <c r="D122" i="5" s="1"/>
  <c r="E122" i="5" s="1"/>
  <c r="D123" i="5" s="1"/>
  <c r="E123" i="5" s="1"/>
  <c r="D124" i="5" s="1"/>
  <c r="E124" i="5" s="1"/>
  <c r="D125" i="5" s="1"/>
  <c r="E125" i="5" s="1"/>
  <c r="D126" i="5" s="1"/>
  <c r="E126" i="5" s="1"/>
  <c r="D127" i="5" s="1"/>
  <c r="E127" i="5" s="1"/>
  <c r="D128" i="5" s="1"/>
  <c r="E128" i="5" s="1"/>
  <c r="D129" i="5" s="1"/>
  <c r="E129" i="5" s="1"/>
  <c r="D130" i="5" s="1"/>
  <c r="E130" i="5" s="1"/>
  <c r="D131" i="5" s="1"/>
  <c r="E131" i="5" s="1"/>
  <c r="D132" i="5" s="1"/>
  <c r="E132" i="5" s="1"/>
  <c r="D133" i="5" s="1"/>
  <c r="E133" i="5" s="1"/>
  <c r="D134" i="5" s="1"/>
  <c r="E134" i="5" s="1"/>
  <c r="D135" i="5" s="1"/>
  <c r="E135" i="5" s="1"/>
  <c r="D136" i="5" s="1"/>
  <c r="E136" i="5" s="1"/>
  <c r="D137" i="5" s="1"/>
  <c r="E137" i="5" s="1"/>
  <c r="D138" i="5" s="1"/>
  <c r="E138" i="5" s="1"/>
  <c r="D139" i="5" s="1"/>
  <c r="E139" i="5" s="1"/>
  <c r="D140" i="5" s="1"/>
  <c r="E140" i="5" s="1"/>
  <c r="D141" i="5" s="1"/>
  <c r="E141" i="5" s="1"/>
  <c r="D142" i="5" s="1"/>
  <c r="E142" i="5" s="1"/>
  <c r="D143" i="5" s="1"/>
  <c r="E143" i="5" s="1"/>
  <c r="D144" i="5" s="1"/>
  <c r="E144" i="5" s="1"/>
  <c r="D145" i="5" s="1"/>
  <c r="E145" i="5" s="1"/>
  <c r="D146" i="5" s="1"/>
  <c r="E146" i="5" s="1"/>
  <c r="D147" i="5" s="1"/>
  <c r="E147" i="5" s="1"/>
  <c r="D148" i="5" s="1"/>
  <c r="E148" i="5" s="1"/>
  <c r="D149" i="5" s="1"/>
  <c r="E149" i="5" s="1"/>
  <c r="D150" i="5" s="1"/>
  <c r="E150" i="5" s="1"/>
  <c r="D151" i="5" s="1"/>
  <c r="E151" i="5" s="1"/>
  <c r="D152" i="5" s="1"/>
  <c r="E152" i="5" s="1"/>
  <c r="D153" i="5" s="1"/>
  <c r="E153" i="5" s="1"/>
  <c r="D154" i="5" s="1"/>
  <c r="E154" i="5" s="1"/>
  <c r="D155" i="5" s="1"/>
  <c r="E155" i="5" s="1"/>
  <c r="D156" i="5" s="1"/>
  <c r="E156" i="5" s="1"/>
  <c r="D157" i="5" s="1"/>
  <c r="E157" i="5" s="1"/>
  <c r="D158" i="5" s="1"/>
  <c r="E158" i="5" s="1"/>
  <c r="D159" i="5" s="1"/>
  <c r="E159" i="5" s="1"/>
  <c r="D160" i="5" s="1"/>
  <c r="E160" i="5" s="1"/>
  <c r="D161" i="5" s="1"/>
  <c r="E161" i="5" s="1"/>
  <c r="D162" i="5" s="1"/>
  <c r="E162" i="5" s="1"/>
  <c r="D163" i="5" s="1"/>
  <c r="E163" i="5" s="1"/>
  <c r="D164" i="5" s="1"/>
  <c r="E164" i="5" s="1"/>
  <c r="D165" i="5" s="1"/>
  <c r="E165" i="5" s="1"/>
  <c r="D166" i="5" s="1"/>
  <c r="E166" i="5" s="1"/>
  <c r="D167" i="5" s="1"/>
  <c r="E167" i="5" s="1"/>
  <c r="D168" i="5" s="1"/>
  <c r="E168" i="5" s="1"/>
  <c r="D169" i="5" s="1"/>
  <c r="E169" i="5" s="1"/>
  <c r="D170" i="5" s="1"/>
  <c r="E170" i="5" s="1"/>
  <c r="D171" i="5" s="1"/>
  <c r="E171" i="5" s="1"/>
  <c r="D172" i="5" s="1"/>
  <c r="E172" i="5" s="1"/>
  <c r="D173" i="5" s="1"/>
  <c r="E173" i="5" s="1"/>
  <c r="D174" i="5" s="1"/>
  <c r="E174" i="5" s="1"/>
  <c r="D175" i="5" s="1"/>
  <c r="E175" i="5" s="1"/>
  <c r="D176" i="5" s="1"/>
  <c r="E176" i="5" s="1"/>
  <c r="D177" i="5" s="1"/>
  <c r="E177" i="5" s="1"/>
  <c r="D178" i="5" s="1"/>
  <c r="E178" i="5" s="1"/>
  <c r="D179" i="5" s="1"/>
  <c r="E179" i="5" s="1"/>
  <c r="D180" i="5" s="1"/>
  <c r="E180" i="5" s="1"/>
  <c r="D181" i="5" s="1"/>
  <c r="E181" i="5" s="1"/>
  <c r="D182" i="5" s="1"/>
  <c r="E182" i="5" s="1"/>
  <c r="D183" i="5" s="1"/>
  <c r="E183" i="5" s="1"/>
  <c r="D184" i="5" s="1"/>
  <c r="E184" i="5" s="1"/>
  <c r="D185" i="5" s="1"/>
  <c r="E185" i="5" s="1"/>
  <c r="D186" i="5" s="1"/>
  <c r="E186" i="5" s="1"/>
  <c r="D187" i="5" s="1"/>
  <c r="E187" i="5" s="1"/>
  <c r="D188" i="5" s="1"/>
  <c r="E188" i="5" s="1"/>
  <c r="D189" i="5" s="1"/>
  <c r="E189" i="5" s="1"/>
  <c r="D190" i="5" s="1"/>
  <c r="E190" i="5" s="1"/>
  <c r="D191" i="5" s="1"/>
  <c r="E191" i="5" s="1"/>
  <c r="D192" i="5" s="1"/>
  <c r="E192" i="5" s="1"/>
  <c r="D193" i="5" s="1"/>
  <c r="E193" i="5" s="1"/>
  <c r="D194" i="5" s="1"/>
  <c r="E194" i="5" s="1"/>
  <c r="D195" i="5" s="1"/>
  <c r="E195" i="5" s="1"/>
  <c r="D196" i="5" s="1"/>
  <c r="E196" i="5" s="1"/>
  <c r="D197" i="5" s="1"/>
  <c r="E197" i="5" s="1"/>
  <c r="D198" i="5" s="1"/>
  <c r="E198" i="5" s="1"/>
  <c r="D199" i="5" s="1"/>
  <c r="E199" i="5" s="1"/>
  <c r="D200" i="5" s="1"/>
  <c r="E200" i="5" s="1"/>
  <c r="D201" i="5" s="1"/>
  <c r="E201" i="5" s="1"/>
  <c r="D202" i="5" s="1"/>
  <c r="E202" i="5" s="1"/>
  <c r="D203" i="5" s="1"/>
  <c r="E203" i="5" s="1"/>
  <c r="D204" i="5" s="1"/>
  <c r="E204" i="5" s="1"/>
  <c r="D205" i="5" s="1"/>
  <c r="E205" i="5" s="1"/>
  <c r="D206" i="5" s="1"/>
  <c r="E206" i="5" s="1"/>
  <c r="D207" i="5" s="1"/>
  <c r="E207" i="5" s="1"/>
  <c r="D208" i="5" s="1"/>
  <c r="E208" i="5" s="1"/>
  <c r="D209" i="5" s="1"/>
  <c r="E209" i="5" s="1"/>
  <c r="D210" i="5" s="1"/>
  <c r="E210" i="5" s="1"/>
  <c r="D211" i="5" s="1"/>
  <c r="E211" i="5" s="1"/>
  <c r="D212" i="5" s="1"/>
  <c r="E212" i="5" s="1"/>
  <c r="D213" i="5" s="1"/>
  <c r="E213" i="5" s="1"/>
  <c r="D214" i="5" s="1"/>
  <c r="E214" i="5" s="1"/>
  <c r="D215" i="5" s="1"/>
  <c r="E215" i="5" s="1"/>
  <c r="D216" i="5" s="1"/>
  <c r="E216" i="5" s="1"/>
  <c r="D217" i="5" s="1"/>
  <c r="E217" i="5" s="1"/>
  <c r="D218" i="5" s="1"/>
  <c r="E218" i="5" s="1"/>
  <c r="D219" i="5" s="1"/>
  <c r="E219" i="5" s="1"/>
  <c r="D220" i="5" s="1"/>
  <c r="E220" i="5" s="1"/>
  <c r="D221" i="5" s="1"/>
  <c r="E221" i="5" s="1"/>
  <c r="D222" i="5" s="1"/>
  <c r="E222" i="5" s="1"/>
  <c r="D223" i="5" s="1"/>
  <c r="E223" i="5" s="1"/>
  <c r="D224" i="5" s="1"/>
  <c r="E224" i="5" s="1"/>
  <c r="D225" i="5" s="1"/>
  <c r="E225" i="5" s="1"/>
  <c r="D226" i="5" s="1"/>
  <c r="E226" i="5" s="1"/>
  <c r="D227" i="5" s="1"/>
  <c r="E227" i="5" s="1"/>
  <c r="D228" i="5" s="1"/>
  <c r="E228" i="5" s="1"/>
  <c r="D229" i="5" s="1"/>
  <c r="E229" i="5" s="1"/>
  <c r="D230" i="5" s="1"/>
  <c r="E230" i="5" s="1"/>
  <c r="D231" i="5" s="1"/>
  <c r="E231" i="5" s="1"/>
  <c r="D232" i="5" s="1"/>
  <c r="E232" i="5" s="1"/>
  <c r="D233" i="5" s="1"/>
  <c r="E233" i="5" s="1"/>
  <c r="D234" i="5" s="1"/>
  <c r="E234" i="5" s="1"/>
  <c r="D235" i="5" s="1"/>
  <c r="E235" i="5" s="1"/>
  <c r="D236" i="5" s="1"/>
  <c r="E236" i="5" s="1"/>
  <c r="D237" i="5" s="1"/>
  <c r="E237" i="5" s="1"/>
  <c r="D238" i="5" s="1"/>
  <c r="E238" i="5" s="1"/>
  <c r="D239" i="5" s="1"/>
  <c r="E239" i="5" s="1"/>
  <c r="D240" i="5" s="1"/>
  <c r="E240" i="5" s="1"/>
  <c r="D241" i="5" s="1"/>
  <c r="E241" i="5" s="1"/>
  <c r="D242" i="5" s="1"/>
  <c r="E242" i="5" s="1"/>
  <c r="D243" i="5" s="1"/>
  <c r="E243" i="5" s="1"/>
  <c r="D244" i="5" s="1"/>
  <c r="E244" i="5" s="1"/>
  <c r="D245" i="5" s="1"/>
  <c r="E245" i="5" s="1"/>
  <c r="D246" i="5" s="1"/>
  <c r="E246" i="5" s="1"/>
  <c r="D247" i="5" s="1"/>
  <c r="E247" i="5" s="1"/>
  <c r="D248" i="5" s="1"/>
  <c r="E248" i="5" s="1"/>
  <c r="D249" i="5" s="1"/>
  <c r="E249" i="5" s="1"/>
  <c r="D250" i="5" s="1"/>
  <c r="E250" i="5" s="1"/>
  <c r="D251" i="5" s="1"/>
  <c r="E251" i="5" s="1"/>
  <c r="D252" i="5" s="1"/>
  <c r="E252" i="5" s="1"/>
  <c r="D253" i="5" s="1"/>
  <c r="E253" i="5" s="1"/>
  <c r="D254" i="5" s="1"/>
  <c r="E254" i="5" s="1"/>
  <c r="D255" i="5" s="1"/>
  <c r="E255" i="5" s="1"/>
  <c r="D256" i="5" s="1"/>
  <c r="E256" i="5" s="1"/>
  <c r="D257" i="5" s="1"/>
  <c r="E257" i="5" s="1"/>
  <c r="D258" i="5" s="1"/>
  <c r="E258" i="5" s="1"/>
  <c r="D259" i="5" s="1"/>
  <c r="E259" i="5" s="1"/>
  <c r="D260" i="5" s="1"/>
  <c r="E260" i="5" s="1"/>
  <c r="D261" i="5" s="1"/>
  <c r="E261" i="5" s="1"/>
  <c r="D262" i="5" s="1"/>
  <c r="E262" i="5" s="1"/>
  <c r="D263" i="5" s="1"/>
  <c r="E263" i="5" s="1"/>
  <c r="D264" i="5" s="1"/>
  <c r="E264" i="5" s="1"/>
  <c r="D265" i="5" s="1"/>
  <c r="E265" i="5" s="1"/>
  <c r="D266" i="5" s="1"/>
  <c r="E266" i="5" s="1"/>
  <c r="D267" i="5" s="1"/>
  <c r="E267" i="5" s="1"/>
  <c r="D268" i="5" s="1"/>
  <c r="E268" i="5" s="1"/>
  <c r="D269" i="5" s="1"/>
  <c r="E269" i="5" s="1"/>
  <c r="D270" i="5" s="1"/>
  <c r="E270" i="5" s="1"/>
  <c r="D271" i="5" s="1"/>
  <c r="E271" i="5" s="1"/>
  <c r="D272" i="5" s="1"/>
  <c r="E272" i="5" s="1"/>
  <c r="D273" i="5" s="1"/>
  <c r="E273" i="5" s="1"/>
  <c r="D274" i="5" s="1"/>
  <c r="E274" i="5" s="1"/>
  <c r="D275" i="5" s="1"/>
  <c r="E275" i="5" s="1"/>
  <c r="D276" i="5" s="1"/>
  <c r="E276" i="5" s="1"/>
  <c r="D277" i="5" s="1"/>
  <c r="E277" i="5" s="1"/>
  <c r="D278" i="5" s="1"/>
  <c r="E278" i="5" s="1"/>
  <c r="D279" i="5" s="1"/>
  <c r="E279" i="5" s="1"/>
  <c r="D280" i="5" s="1"/>
  <c r="E280" i="5" s="1"/>
  <c r="D281" i="5" s="1"/>
  <c r="E281" i="5" s="1"/>
  <c r="D282" i="5" s="1"/>
  <c r="E282" i="5" s="1"/>
  <c r="D283" i="5" s="1"/>
  <c r="E283" i="5" s="1"/>
  <c r="D284" i="5" s="1"/>
  <c r="E284" i="5" s="1"/>
  <c r="D285" i="5" s="1"/>
  <c r="E285" i="5" s="1"/>
  <c r="D286" i="5" s="1"/>
  <c r="E286" i="5" s="1"/>
  <c r="D287" i="5" s="1"/>
  <c r="E287" i="5" s="1"/>
  <c r="D288" i="5" s="1"/>
  <c r="E288" i="5" s="1"/>
  <c r="D289" i="5" s="1"/>
  <c r="E289" i="5" s="1"/>
  <c r="D290" i="5" s="1"/>
  <c r="E290" i="5" s="1"/>
  <c r="D291" i="5" s="1"/>
  <c r="E291" i="5" s="1"/>
  <c r="D292" i="5" s="1"/>
  <c r="E292" i="5" s="1"/>
  <c r="D293" i="5" s="1"/>
  <c r="E293" i="5" s="1"/>
  <c r="D294" i="5" s="1"/>
  <c r="E294" i="5" s="1"/>
  <c r="D295" i="5" s="1"/>
  <c r="E295" i="5" s="1"/>
  <c r="D296" i="5" s="1"/>
  <c r="E296" i="5" s="1"/>
  <c r="D297" i="5" s="1"/>
  <c r="E297" i="5" s="1"/>
  <c r="D298" i="5" s="1"/>
  <c r="E298" i="5" s="1"/>
  <c r="D299" i="5" s="1"/>
  <c r="E299" i="5" s="1"/>
  <c r="D300" i="5" s="1"/>
  <c r="E300" i="5" s="1"/>
  <c r="D301" i="5" s="1"/>
  <c r="E301" i="5" s="1"/>
  <c r="D302" i="5" s="1"/>
  <c r="E302" i="5" s="1"/>
  <c r="D303" i="5" s="1"/>
  <c r="E303" i="5" s="1"/>
  <c r="D304" i="5" s="1"/>
  <c r="E304" i="5" s="1"/>
  <c r="D305" i="5" s="1"/>
  <c r="E305" i="5" s="1"/>
  <c r="D306" i="5" s="1"/>
  <c r="E306" i="5" s="1"/>
  <c r="D307" i="5" s="1"/>
  <c r="E307" i="5" s="1"/>
  <c r="D308" i="5" s="1"/>
  <c r="E308" i="5" s="1"/>
  <c r="D309" i="5" s="1"/>
  <c r="E309" i="5" s="1"/>
  <c r="D310" i="5" s="1"/>
  <c r="E310" i="5" s="1"/>
  <c r="D311" i="5" s="1"/>
  <c r="E311" i="5" s="1"/>
  <c r="D312" i="5" s="1"/>
  <c r="E312" i="5" s="1"/>
  <c r="D313" i="5" s="1"/>
  <c r="E313" i="5" s="1"/>
  <c r="D314" i="5" s="1"/>
  <c r="E314" i="5" s="1"/>
  <c r="D315" i="5" s="1"/>
  <c r="E315" i="5" s="1"/>
  <c r="D316" i="5" s="1"/>
  <c r="E316" i="5" s="1"/>
  <c r="D317" i="5" s="1"/>
  <c r="E317" i="5" s="1"/>
  <c r="D318" i="5" s="1"/>
  <c r="E318" i="5" s="1"/>
  <c r="AG295" i="4"/>
  <c r="L302" i="4"/>
  <c r="AH305" i="4"/>
  <c r="Q308" i="4"/>
  <c r="AH309" i="4"/>
  <c r="P307" i="12"/>
  <c r="U258" i="10"/>
  <c r="T258" i="10" s="1"/>
  <c r="BI312" i="4"/>
  <c r="AG314" i="4"/>
  <c r="AG316" i="4"/>
  <c r="AY317" i="4"/>
  <c r="P314" i="12"/>
  <c r="U265" i="10"/>
  <c r="T265" i="10" s="1"/>
  <c r="BI319" i="4"/>
  <c r="BI24" i="5"/>
  <c r="BI58" i="5"/>
  <c r="Y86" i="5"/>
  <c r="BI90" i="5"/>
  <c r="Y94" i="5"/>
  <c r="CB271" i="5"/>
  <c r="BT271" i="5"/>
  <c r="BS271" i="5"/>
  <c r="A1" i="6"/>
  <c r="D1" i="6"/>
  <c r="O310" i="12"/>
  <c r="O315" i="4"/>
  <c r="P313" i="12"/>
  <c r="U264" i="10"/>
  <c r="T264" i="10" s="1"/>
  <c r="BI318" i="4"/>
  <c r="BX6" i="5"/>
  <c r="Y20" i="5"/>
  <c r="BX93" i="5"/>
  <c r="BX221" i="5"/>
  <c r="CD221" i="5"/>
  <c r="Y298" i="4"/>
  <c r="BX297" i="5"/>
  <c r="CB317" i="5"/>
  <c r="BT317" i="5"/>
  <c r="BF315" i="4"/>
  <c r="P318" i="4"/>
  <c r="BI126" i="5"/>
  <c r="Y179" i="5"/>
  <c r="AI181" i="4"/>
  <c r="J181" i="4"/>
  <c r="P206" i="12"/>
  <c r="U157" i="10"/>
  <c r="T157" i="10" s="1"/>
  <c r="AH211" i="4"/>
  <c r="AF214" i="4"/>
  <c r="AA228" i="4"/>
  <c r="Z228" i="4"/>
  <c r="AZ230" i="4"/>
  <c r="AZ231" i="4"/>
  <c r="J233" i="4"/>
  <c r="AZ233" i="4"/>
  <c r="AF237" i="4"/>
  <c r="G242" i="4"/>
  <c r="J242" i="4" s="1"/>
  <c r="AZ242" i="4"/>
  <c r="BK244" i="4"/>
  <c r="AA245" i="4"/>
  <c r="Z245" i="4"/>
  <c r="P243" i="12"/>
  <c r="U194" i="10"/>
  <c r="T194" i="10" s="1"/>
  <c r="BI248" i="4"/>
  <c r="AX256" i="4"/>
  <c r="I256" i="4"/>
  <c r="AH259" i="4"/>
  <c r="BK265" i="4"/>
  <c r="AX270" i="4"/>
  <c r="I270" i="4"/>
  <c r="AF272" i="4"/>
  <c r="Q274" i="4"/>
  <c r="P274" i="4"/>
  <c r="T274" i="4"/>
  <c r="Q302" i="4"/>
  <c r="AI302" i="4"/>
  <c r="P306" i="12"/>
  <c r="U257" i="10"/>
  <c r="T257" i="10" s="1"/>
  <c r="T313" i="4"/>
  <c r="J313" i="4"/>
  <c r="BG315" i="4"/>
  <c r="Y10" i="5"/>
  <c r="Y60" i="5"/>
  <c r="BI60" i="5"/>
  <c r="BI88" i="5"/>
  <c r="Y88" i="5"/>
  <c r="BX182" i="5"/>
  <c r="BS306" i="5"/>
  <c r="BS317" i="5"/>
  <c r="AF153" i="4"/>
  <c r="J156" i="4"/>
  <c r="J157" i="4"/>
  <c r="AG158" i="4"/>
  <c r="K181" i="4"/>
  <c r="J194" i="4"/>
  <c r="P219" i="12"/>
  <c r="U170" i="10"/>
  <c r="T170" i="10" s="1"/>
  <c r="AW225" i="4"/>
  <c r="AY225" i="4" s="1"/>
  <c r="BJ227" i="4"/>
  <c r="G229" i="4"/>
  <c r="BJ233" i="4"/>
  <c r="AH235" i="4"/>
  <c r="AZ239" i="4"/>
  <c r="G239" i="4"/>
  <c r="BA241" i="4"/>
  <c r="N245" i="4"/>
  <c r="AW245" i="4"/>
  <c r="AY245" i="4" s="1"/>
  <c r="BJ247" i="4"/>
  <c r="K258" i="4"/>
  <c r="AH261" i="4"/>
  <c r="I265" i="4"/>
  <c r="AH265" i="4"/>
  <c r="BJ271" i="4"/>
  <c r="P267" i="12"/>
  <c r="U218" i="10"/>
  <c r="T218" i="10" s="1"/>
  <c r="J274" i="4"/>
  <c r="AI274" i="4"/>
  <c r="J277" i="4"/>
  <c r="AI277" i="4"/>
  <c r="K277" i="4"/>
  <c r="T277" i="4"/>
  <c r="P275" i="12"/>
  <c r="U226" i="10"/>
  <c r="T226" i="10" s="1"/>
  <c r="BI280" i="4"/>
  <c r="P280" i="4"/>
  <c r="AF286" i="4"/>
  <c r="Q288" i="4"/>
  <c r="AI288" i="4"/>
  <c r="AG288" i="4"/>
  <c r="P292" i="12"/>
  <c r="U243" i="10"/>
  <c r="T243" i="10" s="1"/>
  <c r="BI297" i="4"/>
  <c r="L299" i="4"/>
  <c r="J302" i="4"/>
  <c r="AM298" i="12"/>
  <c r="R298" i="12"/>
  <c r="AJ298" i="12"/>
  <c r="BF306" i="4"/>
  <c r="L307" i="4"/>
  <c r="L308" i="4"/>
  <c r="BG308" i="4"/>
  <c r="P311" i="4"/>
  <c r="K313" i="4"/>
  <c r="T315" i="4"/>
  <c r="AI315" i="4"/>
  <c r="Q315" i="4"/>
  <c r="BH317" i="4"/>
  <c r="Y84" i="5"/>
  <c r="CA236" i="5"/>
  <c r="CB250" i="5"/>
  <c r="BT250" i="5"/>
  <c r="BS250" i="5"/>
  <c r="AA276" i="5"/>
  <c r="BI276" i="5"/>
  <c r="BT306" i="5"/>
  <c r="K156" i="4"/>
  <c r="K157" i="4"/>
  <c r="J158" i="4"/>
  <c r="J159" i="4"/>
  <c r="K160" i="4"/>
  <c r="W169" i="4"/>
  <c r="W176" i="4"/>
  <c r="AG179" i="4"/>
  <c r="O181" i="4"/>
  <c r="J192" i="4"/>
  <c r="J193" i="4"/>
  <c r="K194" i="4"/>
  <c r="AI194" i="4"/>
  <c r="J198" i="4"/>
  <c r="AI203" i="4"/>
  <c r="K203" i="4"/>
  <c r="J203" i="4"/>
  <c r="BH211" i="4"/>
  <c r="I215" i="4"/>
  <c r="AF217" i="4"/>
  <c r="J229" i="4"/>
  <c r="P225" i="12"/>
  <c r="U176" i="10"/>
  <c r="T176" i="10" s="1"/>
  <c r="AH233" i="4"/>
  <c r="AG234" i="4"/>
  <c r="P230" i="12"/>
  <c r="U181" i="10"/>
  <c r="T181" i="10" s="1"/>
  <c r="BI235" i="4"/>
  <c r="BH235" i="4"/>
  <c r="N239" i="4"/>
  <c r="N241" i="4"/>
  <c r="H241" i="4"/>
  <c r="AX244" i="4"/>
  <c r="AY244" i="4" s="1"/>
  <c r="P242" i="12"/>
  <c r="U193" i="10"/>
  <c r="T193" i="10" s="1"/>
  <c r="BJ257" i="4"/>
  <c r="J258" i="4"/>
  <c r="AG258" i="4"/>
  <c r="BK258" i="4"/>
  <c r="AX263" i="4"/>
  <c r="I263" i="4"/>
  <c r="Z264" i="4"/>
  <c r="AF265" i="4"/>
  <c r="K274" i="4"/>
  <c r="AY275" i="4"/>
  <c r="BF276" i="4"/>
  <c r="L279" i="4"/>
  <c r="BG279" i="4" s="1"/>
  <c r="L282" i="4"/>
  <c r="BG282" i="4"/>
  <c r="J288" i="4"/>
  <c r="J294" i="4"/>
  <c r="P297" i="4"/>
  <c r="K302" i="4"/>
  <c r="BF303" i="4"/>
  <c r="P299" i="12"/>
  <c r="U250" i="10"/>
  <c r="T250" i="10" s="1"/>
  <c r="P302" i="12"/>
  <c r="U253" i="10"/>
  <c r="T253" i="10" s="1"/>
  <c r="BH307" i="4"/>
  <c r="AY309" i="4"/>
  <c r="J315" i="4"/>
  <c r="AF315" i="4"/>
  <c r="BF319" i="4"/>
  <c r="BI31" i="5"/>
  <c r="BX81" i="5"/>
  <c r="BX140" i="5"/>
  <c r="CC250" i="5"/>
  <c r="BU250" i="5"/>
  <c r="AN141" i="7"/>
  <c r="AU141" i="7"/>
  <c r="AT141" i="7"/>
  <c r="AS141" i="7"/>
  <c r="AQ141" i="7"/>
  <c r="AY295" i="4"/>
  <c r="P297" i="12"/>
  <c r="U248" i="10"/>
  <c r="T248" i="10" s="1"/>
  <c r="BH302" i="4"/>
  <c r="P302" i="4"/>
  <c r="L312" i="4"/>
  <c r="BG312" i="4" s="1"/>
  <c r="Y46" i="5"/>
  <c r="BI46" i="5"/>
  <c r="CD233" i="5"/>
  <c r="BX233" i="5"/>
  <c r="CB303" i="5"/>
  <c r="BT303" i="5"/>
  <c r="BS303" i="5"/>
  <c r="A1" i="7"/>
  <c r="D1" i="7"/>
  <c r="K306" i="4"/>
  <c r="J306" i="4"/>
  <c r="P305" i="12"/>
  <c r="U256" i="10"/>
  <c r="T256" i="10" s="1"/>
  <c r="BI310" i="4"/>
  <c r="P310" i="12"/>
  <c r="U261" i="10"/>
  <c r="T261" i="10" s="1"/>
  <c r="BH315" i="4"/>
  <c r="AM286" i="12"/>
  <c r="AJ286" i="12"/>
  <c r="P291" i="12"/>
  <c r="U242" i="10"/>
  <c r="T242" i="10" s="1"/>
  <c r="BI296" i="4"/>
  <c r="O301" i="12"/>
  <c r="O306" i="4"/>
  <c r="BG306" i="4"/>
  <c r="J308" i="4"/>
  <c r="AG308" i="4"/>
  <c r="AF308" i="4"/>
  <c r="BG309" i="4"/>
  <c r="L309" i="4"/>
  <c r="BH312" i="4"/>
  <c r="P315" i="4"/>
  <c r="P312" i="12"/>
  <c r="U263" i="10"/>
  <c r="T263" i="10" s="1"/>
  <c r="BH319" i="4"/>
  <c r="Y14" i="5"/>
  <c r="BX28" i="5"/>
  <c r="BX95" i="5"/>
  <c r="BT289" i="5"/>
  <c r="BN289" i="5"/>
  <c r="BX289" i="5" s="1"/>
  <c r="AI188" i="4"/>
  <c r="J188" i="4"/>
  <c r="AI196" i="4"/>
  <c r="K196" i="4"/>
  <c r="J196" i="4"/>
  <c r="T207" i="4"/>
  <c r="AI207" i="4"/>
  <c r="P210" i="12"/>
  <c r="U161" i="10"/>
  <c r="T161" i="10" s="1"/>
  <c r="P214" i="12"/>
  <c r="U165" i="10"/>
  <c r="T165" i="10" s="1"/>
  <c r="BI219" i="4"/>
  <c r="BH219" i="4"/>
  <c r="P220" i="12"/>
  <c r="U171" i="10"/>
  <c r="T171" i="10" s="1"/>
  <c r="AH225" i="4"/>
  <c r="AF228" i="4"/>
  <c r="P239" i="12"/>
  <c r="U190" i="10"/>
  <c r="T190" i="10" s="1"/>
  <c r="AH273" i="4"/>
  <c r="P271" i="12"/>
  <c r="U222" i="10"/>
  <c r="T222" i="10" s="1"/>
  <c r="BI276" i="4"/>
  <c r="BF278" i="4"/>
  <c r="L278" i="4"/>
  <c r="AG281" i="4"/>
  <c r="BG284" i="4"/>
  <c r="J290" i="4"/>
  <c r="T290" i="4"/>
  <c r="P286" i="12"/>
  <c r="U237" i="10"/>
  <c r="T237" i="10" s="1"/>
  <c r="BI291" i="4"/>
  <c r="BF293" i="4"/>
  <c r="BG295" i="4"/>
  <c r="AI303" i="4"/>
  <c r="K303" i="4"/>
  <c r="T303" i="4"/>
  <c r="Q303" i="4"/>
  <c r="K308" i="4"/>
  <c r="P310" i="4"/>
  <c r="AF310" i="4"/>
  <c r="L314" i="4"/>
  <c r="BF314" i="4"/>
  <c r="BG316" i="4"/>
  <c r="BX10" i="5"/>
  <c r="BX20" i="5"/>
  <c r="BI110" i="5"/>
  <c r="BI138" i="5"/>
  <c r="CC284" i="5"/>
  <c r="BU284" i="5"/>
  <c r="BS284" i="5"/>
  <c r="BX242" i="5"/>
  <c r="CD242" i="5"/>
  <c r="Y243" i="4"/>
  <c r="W243" i="4" s="1"/>
  <c r="BT282" i="5"/>
  <c r="BN282" i="5"/>
  <c r="BX282" i="5" s="1"/>
  <c r="CB285" i="5"/>
  <c r="BT285" i="5"/>
  <c r="BS285" i="5"/>
  <c r="BX79" i="5"/>
  <c r="BX108" i="5"/>
  <c r="BI129" i="5"/>
  <c r="Y130" i="5"/>
  <c r="BX137" i="5"/>
  <c r="BI155" i="5"/>
  <c r="BX181" i="5"/>
  <c r="BX228" i="5"/>
  <c r="CD228" i="5"/>
  <c r="BU306" i="5"/>
  <c r="CC306" i="5"/>
  <c r="BI312" i="5"/>
  <c r="CC317" i="5"/>
  <c r="BU317" i="5"/>
  <c r="P296" i="12"/>
  <c r="U247" i="10"/>
  <c r="T247" i="10" s="1"/>
  <c r="AF302" i="4"/>
  <c r="P311" i="12"/>
  <c r="U262" i="10"/>
  <c r="T262" i="10" s="1"/>
  <c r="BH316" i="4"/>
  <c r="P316" i="4"/>
  <c r="BX34" i="5"/>
  <c r="BI86" i="5"/>
  <c r="BI104" i="5"/>
  <c r="BX125" i="5"/>
  <c r="BI148" i="5"/>
  <c r="Y175" i="5"/>
  <c r="BX189" i="5"/>
  <c r="BX200" i="5"/>
  <c r="CD238" i="5"/>
  <c r="BX259" i="5"/>
  <c r="BT262" i="5"/>
  <c r="BS262" i="5"/>
  <c r="CB262" i="5"/>
  <c r="BN295" i="5"/>
  <c r="CB304" i="5"/>
  <c r="BT304" i="5"/>
  <c r="BS304" i="5"/>
  <c r="CB315" i="5"/>
  <c r="BT315" i="5"/>
  <c r="BS315" i="5"/>
  <c r="BI144" i="5"/>
  <c r="BI175" i="5"/>
  <c r="CC253" i="5"/>
  <c r="BU253" i="5"/>
  <c r="BT279" i="5"/>
  <c r="CB279" i="5"/>
  <c r="BS279" i="5"/>
  <c r="CC304" i="5"/>
  <c r="BU304" i="5"/>
  <c r="BI313" i="5"/>
  <c r="X314" i="4"/>
  <c r="AN154" i="7"/>
  <c r="AQ154" i="7"/>
  <c r="AS154" i="7"/>
  <c r="AU154" i="7"/>
  <c r="N242" i="4"/>
  <c r="G243" i="4"/>
  <c r="AF244" i="4"/>
  <c r="AF251" i="4"/>
  <c r="AI296" i="4"/>
  <c r="K296" i="4"/>
  <c r="AJ291" i="12"/>
  <c r="AM291" i="12"/>
  <c r="R291" i="12"/>
  <c r="P301" i="4"/>
  <c r="BI301" i="4"/>
  <c r="T304" i="4"/>
  <c r="AI310" i="4"/>
  <c r="K310" i="4"/>
  <c r="AM305" i="12"/>
  <c r="R305" i="12"/>
  <c r="AJ305" i="12"/>
  <c r="BI9" i="5"/>
  <c r="Y23" i="5"/>
  <c r="BI27" i="5"/>
  <c r="Y33" i="5"/>
  <c r="BX62" i="5"/>
  <c r="BI100" i="5"/>
  <c r="BI136" i="5"/>
  <c r="BI151" i="5"/>
  <c r="Y152" i="5"/>
  <c r="BI176" i="5"/>
  <c r="Y176" i="5"/>
  <c r="CD235" i="5"/>
  <c r="BX235" i="5"/>
  <c r="CC251" i="5"/>
  <c r="BU251" i="5"/>
  <c r="BS253" i="5"/>
  <c r="BN283" i="5"/>
  <c r="BT283" i="5"/>
  <c r="BI287" i="5"/>
  <c r="BU301" i="5"/>
  <c r="BN301" i="5"/>
  <c r="CA314" i="5"/>
  <c r="CD314" i="5" s="1"/>
  <c r="CC318" i="5"/>
  <c r="BU318" i="5"/>
  <c r="BA247" i="12"/>
  <c r="BB247" i="12" s="1"/>
  <c r="AB252" i="4"/>
  <c r="AF252" i="4" s="1"/>
  <c r="AI255" i="7"/>
  <c r="AN255" i="7"/>
  <c r="P209" i="12"/>
  <c r="U160" i="10"/>
  <c r="T160" i="10" s="1"/>
  <c r="P216" i="12"/>
  <c r="U167" i="10"/>
  <c r="T167" i="10" s="1"/>
  <c r="P223" i="12"/>
  <c r="U174" i="10"/>
  <c r="T174" i="10" s="1"/>
  <c r="P229" i="12"/>
  <c r="U180" i="10"/>
  <c r="T180" i="10" s="1"/>
  <c r="P231" i="12"/>
  <c r="U182" i="10"/>
  <c r="T182" i="10" s="1"/>
  <c r="P236" i="4"/>
  <c r="BI236" i="4"/>
  <c r="BJ240" i="4"/>
  <c r="P250" i="12"/>
  <c r="U201" i="10"/>
  <c r="T201" i="10" s="1"/>
  <c r="AG255" i="4"/>
  <c r="P257" i="12"/>
  <c r="U208" i="10"/>
  <c r="T208" i="10" s="1"/>
  <c r="AG262" i="4"/>
  <c r="P264" i="12"/>
  <c r="U215" i="10"/>
  <c r="T215" i="10" s="1"/>
  <c r="AG269" i="4"/>
  <c r="BG281" i="4"/>
  <c r="P277" i="12"/>
  <c r="U228" i="10"/>
  <c r="T228" i="10" s="1"/>
  <c r="P278" i="12"/>
  <c r="U229" i="10"/>
  <c r="T229" i="10" s="1"/>
  <c r="BH283" i="4"/>
  <c r="P279" i="12"/>
  <c r="U230" i="10"/>
  <c r="T230" i="10" s="1"/>
  <c r="BI284" i="4"/>
  <c r="AH284" i="4"/>
  <c r="P281" i="12"/>
  <c r="U232" i="10"/>
  <c r="T232" i="10" s="1"/>
  <c r="BH286" i="4"/>
  <c r="BI286" i="4"/>
  <c r="J296" i="4"/>
  <c r="BF296" i="4"/>
  <c r="AH298" i="4"/>
  <c r="P295" i="12"/>
  <c r="U246" i="10"/>
  <c r="T246" i="10" s="1"/>
  <c r="BH300" i="4"/>
  <c r="BI300" i="4"/>
  <c r="P309" i="12"/>
  <c r="U260" i="10"/>
  <c r="T260" i="10" s="1"/>
  <c r="BH314" i="4"/>
  <c r="BI23" i="5"/>
  <c r="Y37" i="5"/>
  <c r="BI41" i="5"/>
  <c r="BX76" i="5"/>
  <c r="BI171" i="5"/>
  <c r="CD214" i="5"/>
  <c r="BX214" i="5"/>
  <c r="BI241" i="5"/>
  <c r="BN248" i="5"/>
  <c r="BS251" i="5"/>
  <c r="BT253" i="5"/>
  <c r="CB255" i="5"/>
  <c r="CA255" i="5"/>
  <c r="BT260" i="5"/>
  <c r="BN260" i="5"/>
  <c r="CC272" i="5"/>
  <c r="BU272" i="5"/>
  <c r="CB292" i="5"/>
  <c r="BT292" i="5"/>
  <c r="BS292" i="5"/>
  <c r="BS318" i="5"/>
  <c r="CD240" i="5"/>
  <c r="BX240" i="5"/>
  <c r="CA246" i="5"/>
  <c r="Y273" i="4"/>
  <c r="BX272" i="5"/>
  <c r="BU292" i="5"/>
  <c r="CC292" i="5"/>
  <c r="CB316" i="5"/>
  <c r="BT316" i="5"/>
  <c r="BX260" i="5"/>
  <c r="CD264" i="5"/>
  <c r="Y265" i="4"/>
  <c r="W265" i="4" s="1"/>
  <c r="BX264" i="5"/>
  <c r="BN270" i="5"/>
  <c r="BT270" i="5"/>
  <c r="BT290" i="5"/>
  <c r="BN290" i="5"/>
  <c r="BX290" i="5" s="1"/>
  <c r="CD298" i="5"/>
  <c r="BX298" i="5"/>
  <c r="BI299" i="5"/>
  <c r="AA299" i="5"/>
  <c r="CB305" i="5"/>
  <c r="BT305" i="5"/>
  <c r="CC316" i="5"/>
  <c r="BU316" i="5"/>
  <c r="AI130" i="7"/>
  <c r="AN130" i="7"/>
  <c r="BX136" i="5"/>
  <c r="BN249" i="5"/>
  <c r="BX249" i="5" s="1"/>
  <c r="BT249" i="5"/>
  <c r="CD277" i="5"/>
  <c r="BU280" i="5"/>
  <c r="CC280" i="5"/>
  <c r="BN296" i="5"/>
  <c r="CB302" i="5"/>
  <c r="BT302" i="5"/>
  <c r="BS302" i="5"/>
  <c r="CC305" i="5"/>
  <c r="BU305" i="5"/>
  <c r="BS316" i="5"/>
  <c r="AI171" i="7"/>
  <c r="AN171" i="7"/>
  <c r="AG307" i="4"/>
  <c r="P303" i="12"/>
  <c r="U254" i="10"/>
  <c r="T254" i="10" s="1"/>
  <c r="AF309" i="4"/>
  <c r="BF318" i="4"/>
  <c r="J319" i="4"/>
  <c r="AI319" i="4"/>
  <c r="BX23" i="5"/>
  <c r="BI79" i="5"/>
  <c r="Y89" i="5"/>
  <c r="BI101" i="5"/>
  <c r="BI108" i="5"/>
  <c r="BI124" i="5"/>
  <c r="BX196" i="5"/>
  <c r="CA247" i="5"/>
  <c r="BT278" i="5"/>
  <c r="BN278" i="5"/>
  <c r="BX278" i="5" s="1"/>
  <c r="BN284" i="5"/>
  <c r="BT284" i="5"/>
  <c r="Y291" i="4"/>
  <c r="BT293" i="5"/>
  <c r="CB293" i="5"/>
  <c r="BX296" i="5"/>
  <c r="BU298" i="5"/>
  <c r="BU302" i="5"/>
  <c r="BS305" i="5"/>
  <c r="BX307" i="5"/>
  <c r="AF230" i="4"/>
  <c r="BH236" i="4"/>
  <c r="P232" i="12"/>
  <c r="U183" i="10"/>
  <c r="T183" i="10" s="1"/>
  <c r="BJ238" i="4"/>
  <c r="P234" i="12"/>
  <c r="U185" i="10"/>
  <c r="T185" i="10" s="1"/>
  <c r="BH239" i="4"/>
  <c r="AG241" i="4"/>
  <c r="P244" i="12"/>
  <c r="U195" i="10"/>
  <c r="T195" i="10" s="1"/>
  <c r="BH249" i="4"/>
  <c r="N249" i="4"/>
  <c r="BK249" i="4" s="1"/>
  <c r="H249" i="4"/>
  <c r="J254" i="4"/>
  <c r="AI275" i="4"/>
  <c r="K275" i="4"/>
  <c r="R270" i="12"/>
  <c r="AM270" i="12"/>
  <c r="AJ270" i="12"/>
  <c r="BF290" i="4"/>
  <c r="J291" i="4"/>
  <c r="AI291" i="4"/>
  <c r="P290" i="12"/>
  <c r="U241" i="10"/>
  <c r="T241" i="10" s="1"/>
  <c r="BH295" i="4"/>
  <c r="P295" i="4"/>
  <c r="BF304" i="4"/>
  <c r="J305" i="4"/>
  <c r="AI305" i="4"/>
  <c r="BH308" i="4"/>
  <c r="P304" i="12"/>
  <c r="U255" i="10"/>
  <c r="T255" i="10" s="1"/>
  <c r="BH309" i="4"/>
  <c r="P309" i="4"/>
  <c r="AI317" i="4"/>
  <c r="K317" i="4"/>
  <c r="AM312" i="12"/>
  <c r="AJ312" i="12"/>
  <c r="R312" i="12"/>
  <c r="K319" i="4"/>
  <c r="BX37" i="5"/>
  <c r="Y93" i="5"/>
  <c r="BI97" i="5"/>
  <c r="BX105" i="5"/>
  <c r="Y121" i="5"/>
  <c r="Y150" i="5"/>
  <c r="BX176" i="5"/>
  <c r="BI177" i="5"/>
  <c r="Y186" i="5"/>
  <c r="CC252" i="5"/>
  <c r="BU252" i="5"/>
  <c r="BU254" i="5"/>
  <c r="CC254" i="5"/>
  <c r="CD263" i="5"/>
  <c r="AA275" i="5"/>
  <c r="BT288" i="5"/>
  <c r="BN288" i="5"/>
  <c r="BX288" i="5" s="1"/>
  <c r="BU293" i="5"/>
  <c r="CC293" i="5"/>
  <c r="AI124" i="7"/>
  <c r="AN124" i="7"/>
  <c r="BX252" i="5"/>
  <c r="CD252" i="5"/>
  <c r="CD254" i="5"/>
  <c r="BX254" i="5"/>
  <c r="X257" i="4"/>
  <c r="W257" i="4" s="1"/>
  <c r="BI256" i="5"/>
  <c r="BU258" i="5"/>
  <c r="BN258" i="5"/>
  <c r="Y279" i="4"/>
  <c r="CD293" i="5"/>
  <c r="BX293" i="5"/>
  <c r="CD311" i="5"/>
  <c r="Y312" i="4"/>
  <c r="R93" i="8"/>
  <c r="T93" i="8"/>
  <c r="S93" i="8"/>
  <c r="U92" i="8"/>
  <c r="Y93" i="8"/>
  <c r="AI192" i="7"/>
  <c r="AN223" i="7"/>
  <c r="AU223" i="7"/>
  <c r="AT223" i="7"/>
  <c r="AS223" i="7"/>
  <c r="AU291" i="7"/>
  <c r="AT291" i="7"/>
  <c r="AS291" i="7"/>
  <c r="AR291" i="7"/>
  <c r="P10" i="8"/>
  <c r="O10" i="8"/>
  <c r="P67" i="8"/>
  <c r="Q67" i="8"/>
  <c r="O67" i="8"/>
  <c r="BV165" i="20"/>
  <c r="BN165" i="20"/>
  <c r="BN166" i="20"/>
  <c r="Y207" i="5"/>
  <c r="CC247" i="5"/>
  <c r="BT261" i="5"/>
  <c r="BI265" i="5"/>
  <c r="CB268" i="5"/>
  <c r="CB276" i="5"/>
  <c r="CC277" i="5"/>
  <c r="BU279" i="5"/>
  <c r="CC287" i="5"/>
  <c r="CD288" i="5"/>
  <c r="AU130" i="7"/>
  <c r="AT130" i="7"/>
  <c r="AS130" i="7"/>
  <c r="AR130" i="7"/>
  <c r="AU151" i="7"/>
  <c r="AT151" i="7"/>
  <c r="AS151" i="7"/>
  <c r="AN151" i="7"/>
  <c r="AI177" i="7"/>
  <c r="AN177" i="7"/>
  <c r="AU255" i="7"/>
  <c r="AT255" i="7"/>
  <c r="AS255" i="7"/>
  <c r="AR255" i="7"/>
  <c r="AT279" i="7"/>
  <c r="AN279" i="7"/>
  <c r="AR279" i="7"/>
  <c r="AU279" i="7"/>
  <c r="AU298" i="7"/>
  <c r="AT298" i="7"/>
  <c r="AS298" i="7"/>
  <c r="AR298" i="7"/>
  <c r="AQ298" i="7"/>
  <c r="AN298" i="7"/>
  <c r="BI185" i="5"/>
  <c r="BI236" i="5"/>
  <c r="CB246" i="5"/>
  <c r="BT248" i="5"/>
  <c r="BS248" i="5"/>
  <c r="BU261" i="5"/>
  <c r="BI273" i="5"/>
  <c r="CB274" i="5"/>
  <c r="CB275" i="5"/>
  <c r="CC276" i="5"/>
  <c r="CD283" i="5"/>
  <c r="BI286" i="5"/>
  <c r="BT295" i="5"/>
  <c r="BS295" i="5"/>
  <c r="AN111" i="7"/>
  <c r="AU111" i="7"/>
  <c r="AQ111" i="7"/>
  <c r="AI226" i="7"/>
  <c r="AN226" i="7"/>
  <c r="AI243" i="7"/>
  <c r="AN243" i="7"/>
  <c r="AN249" i="7"/>
  <c r="Q43" i="8"/>
  <c r="P43" i="8"/>
  <c r="O43" i="8"/>
  <c r="Q154" i="8"/>
  <c r="P154" i="8"/>
  <c r="O154" i="8"/>
  <c r="T246" i="8"/>
  <c r="Y246" i="8"/>
  <c r="S246" i="8"/>
  <c r="R246" i="8"/>
  <c r="U245" i="8"/>
  <c r="P226" i="12"/>
  <c r="U177" i="10"/>
  <c r="T177" i="10" s="1"/>
  <c r="P233" i="12"/>
  <c r="U184" i="10"/>
  <c r="T184" i="10" s="1"/>
  <c r="P240" i="12"/>
  <c r="U191" i="10"/>
  <c r="T191" i="10" s="1"/>
  <c r="P247" i="12"/>
  <c r="U198" i="10"/>
  <c r="T198" i="10" s="1"/>
  <c r="P254" i="12"/>
  <c r="U205" i="10"/>
  <c r="T205" i="10" s="1"/>
  <c r="P261" i="12"/>
  <c r="U212" i="10"/>
  <c r="T212" i="10" s="1"/>
  <c r="P273" i="12"/>
  <c r="U224" i="10"/>
  <c r="T224" i="10" s="1"/>
  <c r="P280" i="12"/>
  <c r="U231" i="10"/>
  <c r="T231" i="10" s="1"/>
  <c r="P287" i="12"/>
  <c r="U238" i="10"/>
  <c r="T238" i="10" s="1"/>
  <c r="P294" i="12"/>
  <c r="U245" i="10"/>
  <c r="T245" i="10" s="1"/>
  <c r="P301" i="12"/>
  <c r="U252" i="10"/>
  <c r="T252" i="10" s="1"/>
  <c r="P308" i="12"/>
  <c r="U259" i="10"/>
  <c r="T259" i="10" s="1"/>
  <c r="CD232" i="5"/>
  <c r="CD239" i="5"/>
  <c r="CC246" i="5"/>
  <c r="BS261" i="5"/>
  <c r="CB266" i="5"/>
  <c r="CB267" i="5"/>
  <c r="BT269" i="5"/>
  <c r="BS269" i="5"/>
  <c r="CC274" i="5"/>
  <c r="CC275" i="5"/>
  <c r="BN277" i="5"/>
  <c r="BU278" i="5"/>
  <c r="CA280" i="5"/>
  <c r="BS291" i="5"/>
  <c r="AA298" i="5"/>
  <c r="AA310" i="5"/>
  <c r="CB314" i="5"/>
  <c r="AQ125" i="7"/>
  <c r="AN125" i="7"/>
  <c r="AS125" i="7"/>
  <c r="AU125" i="7"/>
  <c r="AR168" i="7"/>
  <c r="AN180" i="7"/>
  <c r="AU180" i="7"/>
  <c r="AT180" i="7"/>
  <c r="AS180" i="7"/>
  <c r="AU206" i="7"/>
  <c r="AT206" i="7"/>
  <c r="AS206" i="7"/>
  <c r="AR206" i="7"/>
  <c r="AN215" i="7"/>
  <c r="AI229" i="7"/>
  <c r="AN264" i="7"/>
  <c r="Q32" i="8"/>
  <c r="P32" i="8"/>
  <c r="O32" i="8"/>
  <c r="Q213" i="8"/>
  <c r="P213" i="8"/>
  <c r="O213" i="8"/>
  <c r="U213" i="8"/>
  <c r="BI146" i="5"/>
  <c r="BI154" i="5"/>
  <c r="BX175" i="5"/>
  <c r="BI199" i="5"/>
  <c r="BI213" i="5"/>
  <c r="CB257" i="5"/>
  <c r="BS258" i="5"/>
  <c r="BU271" i="5"/>
  <c r="BS301" i="5"/>
  <c r="CA312" i="5"/>
  <c r="CC314" i="5"/>
  <c r="BU315" i="5"/>
  <c r="AN157" i="7"/>
  <c r="AI157" i="7"/>
  <c r="AI160" i="7"/>
  <c r="AU172" i="7"/>
  <c r="AQ172" i="7"/>
  <c r="AN172" i="7"/>
  <c r="AS172" i="7"/>
  <c r="AI194" i="7"/>
  <c r="AN194" i="7"/>
  <c r="AN200" i="7"/>
  <c r="AR221" i="7"/>
  <c r="AN229" i="7"/>
  <c r="AU229" i="7"/>
  <c r="AT229" i="7"/>
  <c r="AS229" i="7"/>
  <c r="AR270" i="7"/>
  <c r="Q29" i="8"/>
  <c r="P29" i="8"/>
  <c r="Q92" i="8"/>
  <c r="P92" i="8"/>
  <c r="O92" i="8"/>
  <c r="CC257" i="5"/>
  <c r="CA272" i="5"/>
  <c r="CD272" i="5" s="1"/>
  <c r="BT281" i="5"/>
  <c r="BS281" i="5"/>
  <c r="CB287" i="5"/>
  <c r="CB300" i="5"/>
  <c r="BT301" i="5"/>
  <c r="BT308" i="5"/>
  <c r="BS308" i="5"/>
  <c r="AI165" i="7"/>
  <c r="AN165" i="7"/>
  <c r="AN168" i="7"/>
  <c r="AU168" i="7"/>
  <c r="AQ168" i="7"/>
  <c r="AT168" i="7"/>
  <c r="AI274" i="7"/>
  <c r="AN274" i="7"/>
  <c r="CD222" i="5"/>
  <c r="CD236" i="5"/>
  <c r="BX277" i="5"/>
  <c r="CC300" i="5"/>
  <c r="CB313" i="5"/>
  <c r="AU221" i="7"/>
  <c r="AQ221" i="7"/>
  <c r="AN221" i="7"/>
  <c r="AS221" i="7"/>
  <c r="AU249" i="7"/>
  <c r="AT249" i="7"/>
  <c r="AS249" i="7"/>
  <c r="AR249" i="7"/>
  <c r="AU270" i="7"/>
  <c r="AQ270" i="7"/>
  <c r="AN270" i="7"/>
  <c r="AS270" i="7"/>
  <c r="BX217" i="5"/>
  <c r="BX225" i="5"/>
  <c r="CD229" i="5"/>
  <c r="BI233" i="5"/>
  <c r="BI240" i="5"/>
  <c r="BS247" i="5"/>
  <c r="BT255" i="5"/>
  <c r="BS255" i="5"/>
  <c r="BT256" i="5"/>
  <c r="BN263" i="5"/>
  <c r="BX263" i="5" s="1"/>
  <c r="CB265" i="5"/>
  <c r="BX270" i="5"/>
  <c r="BS276" i="5"/>
  <c r="BX283" i="5"/>
  <c r="BS287" i="5"/>
  <c r="BT294" i="5"/>
  <c r="BS294" i="5"/>
  <c r="CA297" i="5"/>
  <c r="CD297" i="5" s="1"/>
  <c r="BS300" i="5"/>
  <c r="BN311" i="5"/>
  <c r="BX311" i="5" s="1"/>
  <c r="CC313" i="5"/>
  <c r="AN139" i="7"/>
  <c r="AU139" i="7"/>
  <c r="AQ139" i="7"/>
  <c r="AT139" i="7"/>
  <c r="AN291" i="7"/>
  <c r="O17" i="8"/>
  <c r="U108" i="8"/>
  <c r="T109" i="8"/>
  <c r="Y109" i="8"/>
  <c r="S109" i="8"/>
  <c r="BI174" i="5"/>
  <c r="BI182" i="5"/>
  <c r="CD243" i="5"/>
  <c r="BS246" i="5"/>
  <c r="BU257" i="5"/>
  <c r="BS268" i="5"/>
  <c r="CB273" i="5"/>
  <c r="BS274" i="5"/>
  <c r="BS275" i="5"/>
  <c r="CB286" i="5"/>
  <c r="BT287" i="5"/>
  <c r="BU294" i="5"/>
  <c r="CA296" i="5"/>
  <c r="CD296" i="5" s="1"/>
  <c r="CB299" i="5"/>
  <c r="BT300" i="5"/>
  <c r="BI302" i="5"/>
  <c r="BS313" i="5"/>
  <c r="BI315" i="5"/>
  <c r="AN116" i="7"/>
  <c r="AU186" i="7"/>
  <c r="AN186" i="7"/>
  <c r="AQ186" i="7"/>
  <c r="AT186" i="7"/>
  <c r="AU200" i="7"/>
  <c r="AT200" i="7"/>
  <c r="AS200" i="7"/>
  <c r="AR200" i="7"/>
  <c r="AU235" i="7"/>
  <c r="AN235" i="7"/>
  <c r="AQ235" i="7"/>
  <c r="AT235" i="7"/>
  <c r="AN283" i="7"/>
  <c r="AU283" i="7"/>
  <c r="AQ283" i="7"/>
  <c r="AT283" i="7"/>
  <c r="AN287" i="7"/>
  <c r="AU287" i="7"/>
  <c r="AT287" i="7"/>
  <c r="AS287" i="7"/>
  <c r="AU319" i="7"/>
  <c r="AR319" i="7"/>
  <c r="AQ319" i="7"/>
  <c r="AN319" i="7"/>
  <c r="AT319" i="7"/>
  <c r="P17" i="8"/>
  <c r="Y206" i="8"/>
  <c r="T206" i="8"/>
  <c r="S206" i="8"/>
  <c r="U205" i="8"/>
  <c r="R206" i="8"/>
  <c r="BX231" i="5"/>
  <c r="BX238" i="5"/>
  <c r="CA249" i="5"/>
  <c r="CD249" i="5" s="1"/>
  <c r="BS265" i="5"/>
  <c r="BS266" i="5"/>
  <c r="BS267" i="5"/>
  <c r="CA284" i="5"/>
  <c r="BU300" i="5"/>
  <c r="BI304" i="5"/>
  <c r="BT307" i="5"/>
  <c r="BT313" i="5"/>
  <c r="AN127" i="7"/>
  <c r="AU127" i="7"/>
  <c r="AT127" i="7"/>
  <c r="AS127" i="7"/>
  <c r="AQ166" i="7"/>
  <c r="AN166" i="7"/>
  <c r="AS166" i="7"/>
  <c r="AU166" i="7"/>
  <c r="AN174" i="7"/>
  <c r="AU174" i="7"/>
  <c r="AT174" i="7"/>
  <c r="AS174" i="7"/>
  <c r="AN217" i="7"/>
  <c r="AU217" i="7"/>
  <c r="AT217" i="7"/>
  <c r="AS217" i="7"/>
  <c r="AQ223" i="7"/>
  <c r="AI241" i="7"/>
  <c r="AN266" i="7"/>
  <c r="AU266" i="7"/>
  <c r="AT266" i="7"/>
  <c r="AS266" i="7"/>
  <c r="Q65" i="8"/>
  <c r="P65" i="8"/>
  <c r="O65" i="8"/>
  <c r="R109" i="8"/>
  <c r="S118" i="8"/>
  <c r="Y118" i="8"/>
  <c r="T118" i="8"/>
  <c r="R118" i="8"/>
  <c r="U117" i="8"/>
  <c r="BI112" i="5"/>
  <c r="BX119" i="5"/>
  <c r="BI143" i="5"/>
  <c r="BX164" i="5"/>
  <c r="BI188" i="5"/>
  <c r="BI196" i="5"/>
  <c r="Y206" i="5"/>
  <c r="BX209" i="5"/>
  <c r="BX245" i="5"/>
  <c r="BT254" i="5"/>
  <c r="BI258" i="5"/>
  <c r="CB261" i="5"/>
  <c r="CC264" i="5"/>
  <c r="BT265" i="5"/>
  <c r="BS273" i="5"/>
  <c r="CC279" i="5"/>
  <c r="BT280" i="5"/>
  <c r="BS280" i="5"/>
  <c r="BS286" i="5"/>
  <c r="BS299" i="5"/>
  <c r="BI301" i="5"/>
  <c r="BU307" i="5"/>
  <c r="BS312" i="5"/>
  <c r="BU313" i="5"/>
  <c r="AU145" i="7"/>
  <c r="AN145" i="7"/>
  <c r="AQ145" i="7"/>
  <c r="AT145" i="7"/>
  <c r="AI223" i="7"/>
  <c r="AR223" i="7"/>
  <c r="AQ291" i="7"/>
  <c r="Q74" i="8"/>
  <c r="P74" i="8"/>
  <c r="O74" i="8"/>
  <c r="Q304" i="8"/>
  <c r="O304" i="8"/>
  <c r="AN133" i="7"/>
  <c r="AR133" i="7"/>
  <c r="AI139" i="7"/>
  <c r="AI145" i="7"/>
  <c r="AR160" i="7"/>
  <c r="AI186" i="7"/>
  <c r="AU192" i="7"/>
  <c r="AT192" i="7"/>
  <c r="AS192" i="7"/>
  <c r="AQ192" i="7"/>
  <c r="AR203" i="7"/>
  <c r="AN209" i="7"/>
  <c r="AR209" i="7"/>
  <c r="AR215" i="7"/>
  <c r="AI235" i="7"/>
  <c r="AU241" i="7"/>
  <c r="AT241" i="7"/>
  <c r="AS241" i="7"/>
  <c r="AQ241" i="7"/>
  <c r="AR252" i="7"/>
  <c r="AN258" i="7"/>
  <c r="AR258" i="7"/>
  <c r="AR264" i="7"/>
  <c r="AI279" i="7"/>
  <c r="T65" i="8"/>
  <c r="Y65" i="8"/>
  <c r="S65" i="8"/>
  <c r="R65" i="8"/>
  <c r="U64" i="8"/>
  <c r="R79" i="8"/>
  <c r="Y79" i="8"/>
  <c r="T79" i="8"/>
  <c r="S79" i="8"/>
  <c r="U78" i="8"/>
  <c r="Q93" i="8"/>
  <c r="P93" i="8"/>
  <c r="O93" i="8"/>
  <c r="U159" i="8"/>
  <c r="S160" i="8"/>
  <c r="R160" i="8"/>
  <c r="Y160" i="8"/>
  <c r="T160" i="8"/>
  <c r="T165" i="8"/>
  <c r="S165" i="8"/>
  <c r="Y165" i="8"/>
  <c r="U164" i="8"/>
  <c r="R165" i="8"/>
  <c r="U246" i="8"/>
  <c r="T247" i="8"/>
  <c r="Y247" i="8"/>
  <c r="S247" i="8"/>
  <c r="AN113" i="7"/>
  <c r="AR113" i="7"/>
  <c r="AU116" i="7"/>
  <c r="AT116" i="7"/>
  <c r="AS116" i="7"/>
  <c r="AR116" i="7"/>
  <c r="AQ116" i="7"/>
  <c r="AU124" i="7"/>
  <c r="AT124" i="7"/>
  <c r="AR124" i="7"/>
  <c r="AN147" i="7"/>
  <c r="AR147" i="7"/>
  <c r="AR165" i="7"/>
  <c r="AU171" i="7"/>
  <c r="AT171" i="7"/>
  <c r="AS171" i="7"/>
  <c r="AQ171" i="7"/>
  <c r="AN173" i="7"/>
  <c r="AR182" i="7"/>
  <c r="AN188" i="7"/>
  <c r="AR188" i="7"/>
  <c r="AR194" i="7"/>
  <c r="AU220" i="7"/>
  <c r="AT220" i="7"/>
  <c r="AS220" i="7"/>
  <c r="AQ220" i="7"/>
  <c r="AN222" i="7"/>
  <c r="AR231" i="7"/>
  <c r="AN237" i="7"/>
  <c r="AR237" i="7"/>
  <c r="AR243" i="7"/>
  <c r="AU269" i="7"/>
  <c r="AT269" i="7"/>
  <c r="AS269" i="7"/>
  <c r="AQ269" i="7"/>
  <c r="AR274" i="7"/>
  <c r="AU274" i="7"/>
  <c r="AS274" i="7"/>
  <c r="D7" i="8"/>
  <c r="E7" i="8" s="1"/>
  <c r="D8" i="8" s="1"/>
  <c r="E8" i="8" s="1"/>
  <c r="D9" i="8" s="1"/>
  <c r="E9" i="8" s="1"/>
  <c r="D10" i="8" s="1"/>
  <c r="E10" i="8" s="1"/>
  <c r="D11" i="8" s="1"/>
  <c r="E11" i="8" s="1"/>
  <c r="D12" i="8" s="1"/>
  <c r="E12" i="8" s="1"/>
  <c r="D13" i="8" s="1"/>
  <c r="E13" i="8" s="1"/>
  <c r="D14" i="8" s="1"/>
  <c r="E14" i="8" s="1"/>
  <c r="D15" i="8" s="1"/>
  <c r="E15" i="8" s="1"/>
  <c r="D16" i="8" s="1"/>
  <c r="E16" i="8" s="1"/>
  <c r="D17" i="8" s="1"/>
  <c r="E17" i="8" s="1"/>
  <c r="D18" i="8" s="1"/>
  <c r="E18" i="8" s="1"/>
  <c r="D19" i="8" s="1"/>
  <c r="E19" i="8" s="1"/>
  <c r="D20" i="8" s="1"/>
  <c r="E20" i="8" s="1"/>
  <c r="D21" i="8" s="1"/>
  <c r="E21" i="8" s="1"/>
  <c r="D22" i="8" s="1"/>
  <c r="E22" i="8" s="1"/>
  <c r="D23" i="8" s="1"/>
  <c r="E23" i="8" s="1"/>
  <c r="D24" i="8" s="1"/>
  <c r="E24" i="8" s="1"/>
  <c r="D25" i="8" s="1"/>
  <c r="E25" i="8" s="1"/>
  <c r="D26" i="8" s="1"/>
  <c r="E26" i="8" s="1"/>
  <c r="D27" i="8" s="1"/>
  <c r="E27" i="8" s="1"/>
  <c r="D28" i="8" s="1"/>
  <c r="E28" i="8" s="1"/>
  <c r="D29" i="8" s="1"/>
  <c r="E29" i="8" s="1"/>
  <c r="D30" i="8" s="1"/>
  <c r="E30" i="8" s="1"/>
  <c r="D31" i="8" s="1"/>
  <c r="E31" i="8" s="1"/>
  <c r="D32" i="8" s="1"/>
  <c r="E32" i="8" s="1"/>
  <c r="D33" i="8" s="1"/>
  <c r="E33" i="8" s="1"/>
  <c r="D34" i="8" s="1"/>
  <c r="E34" i="8" s="1"/>
  <c r="D35" i="8" s="1"/>
  <c r="E35" i="8" s="1"/>
  <c r="D36" i="8" s="1"/>
  <c r="E36" i="8" s="1"/>
  <c r="D37" i="8" s="1"/>
  <c r="E37" i="8" s="1"/>
  <c r="D38" i="8" s="1"/>
  <c r="E38" i="8" s="1"/>
  <c r="D39" i="8" s="1"/>
  <c r="E39" i="8" s="1"/>
  <c r="D40" i="8" s="1"/>
  <c r="E40" i="8" s="1"/>
  <c r="D41" i="8" s="1"/>
  <c r="E41" i="8" s="1"/>
  <c r="D42" i="8" s="1"/>
  <c r="E42" i="8" s="1"/>
  <c r="D43" i="8" s="1"/>
  <c r="E43" i="8" s="1"/>
  <c r="D44" i="8" s="1"/>
  <c r="E44" i="8" s="1"/>
  <c r="D45" i="8" s="1"/>
  <c r="E45" i="8" s="1"/>
  <c r="D46" i="8" s="1"/>
  <c r="E46" i="8" s="1"/>
  <c r="D47" i="8" s="1"/>
  <c r="E47" i="8" s="1"/>
  <c r="D48" i="8" s="1"/>
  <c r="E48" i="8" s="1"/>
  <c r="D49" i="8" s="1"/>
  <c r="E49" i="8" s="1"/>
  <c r="D50" i="8" s="1"/>
  <c r="E50" i="8" s="1"/>
  <c r="D51" i="8" s="1"/>
  <c r="E51" i="8" s="1"/>
  <c r="D52" i="8" s="1"/>
  <c r="E52" i="8" s="1"/>
  <c r="D53" i="8" s="1"/>
  <c r="E53" i="8" s="1"/>
  <c r="D54" i="8" s="1"/>
  <c r="E54" i="8" s="1"/>
  <c r="D55" i="8" s="1"/>
  <c r="E55" i="8" s="1"/>
  <c r="D56" i="8" s="1"/>
  <c r="E56" i="8" s="1"/>
  <c r="D57" i="8" s="1"/>
  <c r="E57" i="8" s="1"/>
  <c r="D58" i="8" s="1"/>
  <c r="E58" i="8" s="1"/>
  <c r="D59" i="8" s="1"/>
  <c r="E59" i="8" s="1"/>
  <c r="D60" i="8" s="1"/>
  <c r="E60" i="8" s="1"/>
  <c r="D61" i="8" s="1"/>
  <c r="E61" i="8" s="1"/>
  <c r="D62" i="8" s="1"/>
  <c r="E62" i="8" s="1"/>
  <c r="D63" i="8" s="1"/>
  <c r="E63" i="8" s="1"/>
  <c r="D64" i="8" s="1"/>
  <c r="E64" i="8" s="1"/>
  <c r="D65" i="8" s="1"/>
  <c r="E65" i="8" s="1"/>
  <c r="D66" i="8" s="1"/>
  <c r="E66" i="8" s="1"/>
  <c r="D67" i="8" s="1"/>
  <c r="E67" i="8" s="1"/>
  <c r="D68" i="8" s="1"/>
  <c r="E68" i="8" s="1"/>
  <c r="D69" i="8" s="1"/>
  <c r="E69" i="8" s="1"/>
  <c r="D70" i="8" s="1"/>
  <c r="E70" i="8" s="1"/>
  <c r="D71" i="8" s="1"/>
  <c r="E71" i="8" s="1"/>
  <c r="D72" i="8" s="1"/>
  <c r="E72" i="8" s="1"/>
  <c r="D73" i="8" s="1"/>
  <c r="E73" i="8" s="1"/>
  <c r="D74" i="8" s="1"/>
  <c r="E74" i="8" s="1"/>
  <c r="D75" i="8" s="1"/>
  <c r="E75" i="8" s="1"/>
  <c r="D76" i="8" s="1"/>
  <c r="E76" i="8" s="1"/>
  <c r="D77" i="8" s="1"/>
  <c r="E77" i="8" s="1"/>
  <c r="D78" i="8" s="1"/>
  <c r="E78" i="8" s="1"/>
  <c r="D79" i="8" s="1"/>
  <c r="E79" i="8" s="1"/>
  <c r="D80" i="8" s="1"/>
  <c r="E80" i="8" s="1"/>
  <c r="D81" i="8" s="1"/>
  <c r="E81" i="8" s="1"/>
  <c r="D82" i="8" s="1"/>
  <c r="E82" i="8" s="1"/>
  <c r="D83" i="8" s="1"/>
  <c r="E83" i="8" s="1"/>
  <c r="D84" i="8" s="1"/>
  <c r="E84" i="8" s="1"/>
  <c r="D85" i="8" s="1"/>
  <c r="E85" i="8" s="1"/>
  <c r="D86" i="8" s="1"/>
  <c r="E86" i="8" s="1"/>
  <c r="D87" i="8" s="1"/>
  <c r="E87" i="8" s="1"/>
  <c r="D88" i="8" s="1"/>
  <c r="E88" i="8" s="1"/>
  <c r="D89" i="8" s="1"/>
  <c r="E89" i="8" s="1"/>
  <c r="D90" i="8" s="1"/>
  <c r="E90" i="8" s="1"/>
  <c r="D91" i="8" s="1"/>
  <c r="E91" i="8" s="1"/>
  <c r="D92" i="8" s="1"/>
  <c r="E92" i="8" s="1"/>
  <c r="D93" i="8" s="1"/>
  <c r="E93" i="8" s="1"/>
  <c r="D94" i="8" s="1"/>
  <c r="E94" i="8" s="1"/>
  <c r="D95" i="8" s="1"/>
  <c r="E95" i="8" s="1"/>
  <c r="D96" i="8" s="1"/>
  <c r="E96" i="8" s="1"/>
  <c r="D97" i="8" s="1"/>
  <c r="E97" i="8" s="1"/>
  <c r="D98" i="8" s="1"/>
  <c r="E98" i="8" s="1"/>
  <c r="D99" i="8" s="1"/>
  <c r="E99" i="8" s="1"/>
  <c r="D100" i="8" s="1"/>
  <c r="E100" i="8" s="1"/>
  <c r="D101" i="8" s="1"/>
  <c r="E101" i="8" s="1"/>
  <c r="D102" i="8" s="1"/>
  <c r="E102" i="8" s="1"/>
  <c r="D103" i="8" s="1"/>
  <c r="E103" i="8" s="1"/>
  <c r="D104" i="8" s="1"/>
  <c r="E104" i="8" s="1"/>
  <c r="D105" i="8" s="1"/>
  <c r="E105" i="8" s="1"/>
  <c r="D106" i="8" s="1"/>
  <c r="E106" i="8" s="1"/>
  <c r="D107" i="8" s="1"/>
  <c r="E107" i="8" s="1"/>
  <c r="D108" i="8" s="1"/>
  <c r="E108" i="8" s="1"/>
  <c r="D109" i="8" s="1"/>
  <c r="E109" i="8" s="1"/>
  <c r="D110" i="8" s="1"/>
  <c r="E110" i="8" s="1"/>
  <c r="D111" i="8" s="1"/>
  <c r="E111" i="8" s="1"/>
  <c r="D112" i="8" s="1"/>
  <c r="E112" i="8" s="1"/>
  <c r="D113" i="8" s="1"/>
  <c r="E113" i="8" s="1"/>
  <c r="D114" i="8" s="1"/>
  <c r="E114" i="8" s="1"/>
  <c r="D115" i="8" s="1"/>
  <c r="E115" i="8" s="1"/>
  <c r="D116" i="8" s="1"/>
  <c r="E116" i="8" s="1"/>
  <c r="D117" i="8" s="1"/>
  <c r="E117" i="8" s="1"/>
  <c r="D118" i="8" s="1"/>
  <c r="E118" i="8" s="1"/>
  <c r="D119" i="8" s="1"/>
  <c r="E119" i="8" s="1"/>
  <c r="D120" i="8" s="1"/>
  <c r="E120" i="8" s="1"/>
  <c r="D121" i="8" s="1"/>
  <c r="E121" i="8" s="1"/>
  <c r="D122" i="8" s="1"/>
  <c r="E122" i="8" s="1"/>
  <c r="D123" i="8" s="1"/>
  <c r="E123" i="8" s="1"/>
  <c r="D124" i="8" s="1"/>
  <c r="E124" i="8" s="1"/>
  <c r="D125" i="8" s="1"/>
  <c r="E125" i="8" s="1"/>
  <c r="D126" i="8" s="1"/>
  <c r="E126" i="8" s="1"/>
  <c r="D127" i="8" s="1"/>
  <c r="E127" i="8" s="1"/>
  <c r="D128" i="8" s="1"/>
  <c r="E128" i="8" s="1"/>
  <c r="D129" i="8" s="1"/>
  <c r="E129" i="8" s="1"/>
  <c r="D130" i="8" s="1"/>
  <c r="E130" i="8" s="1"/>
  <c r="D131" i="8" s="1"/>
  <c r="E131" i="8" s="1"/>
  <c r="D132" i="8" s="1"/>
  <c r="E132" i="8" s="1"/>
  <c r="D133" i="8" s="1"/>
  <c r="E133" i="8" s="1"/>
  <c r="D134" i="8" s="1"/>
  <c r="E134" i="8" s="1"/>
  <c r="D135" i="8" s="1"/>
  <c r="E135" i="8" s="1"/>
  <c r="D136" i="8" s="1"/>
  <c r="E136" i="8" s="1"/>
  <c r="D137" i="8" s="1"/>
  <c r="E137" i="8" s="1"/>
  <c r="D138" i="8" s="1"/>
  <c r="E138" i="8" s="1"/>
  <c r="D139" i="8" s="1"/>
  <c r="E139" i="8" s="1"/>
  <c r="D140" i="8" s="1"/>
  <c r="E140" i="8" s="1"/>
  <c r="D141" i="8" s="1"/>
  <c r="E141" i="8" s="1"/>
  <c r="D142" i="8" s="1"/>
  <c r="E142" i="8" s="1"/>
  <c r="D143" i="8" s="1"/>
  <c r="E143" i="8" s="1"/>
  <c r="D144" i="8" s="1"/>
  <c r="E144" i="8" s="1"/>
  <c r="D145" i="8" s="1"/>
  <c r="E145" i="8" s="1"/>
  <c r="D146" i="8" s="1"/>
  <c r="E146" i="8" s="1"/>
  <c r="D147" i="8" s="1"/>
  <c r="E147" i="8" s="1"/>
  <c r="D148" i="8" s="1"/>
  <c r="E148" i="8" s="1"/>
  <c r="D149" i="8" s="1"/>
  <c r="E149" i="8" s="1"/>
  <c r="D150" i="8" s="1"/>
  <c r="E150" i="8" s="1"/>
  <c r="D151" i="8" s="1"/>
  <c r="E151" i="8" s="1"/>
  <c r="D152" i="8" s="1"/>
  <c r="E152" i="8" s="1"/>
  <c r="D153" i="8" s="1"/>
  <c r="E153" i="8" s="1"/>
  <c r="D154" i="8" s="1"/>
  <c r="E154" i="8" s="1"/>
  <c r="D155" i="8" s="1"/>
  <c r="E155" i="8" s="1"/>
  <c r="D156" i="8" s="1"/>
  <c r="E156" i="8" s="1"/>
  <c r="D157" i="8" s="1"/>
  <c r="E157" i="8" s="1"/>
  <c r="D158" i="8" s="1"/>
  <c r="E158" i="8" s="1"/>
  <c r="D159" i="8" s="1"/>
  <c r="E159" i="8" s="1"/>
  <c r="D160" i="8" s="1"/>
  <c r="E160" i="8" s="1"/>
  <c r="D161" i="8" s="1"/>
  <c r="E161" i="8" s="1"/>
  <c r="D162" i="8" s="1"/>
  <c r="E162" i="8" s="1"/>
  <c r="D163" i="8" s="1"/>
  <c r="E163" i="8" s="1"/>
  <c r="D164" i="8" s="1"/>
  <c r="E164" i="8" s="1"/>
  <c r="D165" i="8" s="1"/>
  <c r="E165" i="8" s="1"/>
  <c r="D166" i="8" s="1"/>
  <c r="E166" i="8" s="1"/>
  <c r="D167" i="8" s="1"/>
  <c r="E167" i="8" s="1"/>
  <c r="D168" i="8" s="1"/>
  <c r="E168" i="8" s="1"/>
  <c r="D169" i="8" s="1"/>
  <c r="E169" i="8" s="1"/>
  <c r="D170" i="8" s="1"/>
  <c r="E170" i="8" s="1"/>
  <c r="D171" i="8" s="1"/>
  <c r="E171" i="8" s="1"/>
  <c r="D172" i="8" s="1"/>
  <c r="E172" i="8" s="1"/>
  <c r="D173" i="8" s="1"/>
  <c r="E173" i="8" s="1"/>
  <c r="D174" i="8" s="1"/>
  <c r="E174" i="8" s="1"/>
  <c r="D175" i="8" s="1"/>
  <c r="E175" i="8" s="1"/>
  <c r="D176" i="8" s="1"/>
  <c r="E176" i="8" s="1"/>
  <c r="D177" i="8" s="1"/>
  <c r="E177" i="8" s="1"/>
  <c r="D178" i="8" s="1"/>
  <c r="E178" i="8" s="1"/>
  <c r="D179" i="8" s="1"/>
  <c r="E179" i="8" s="1"/>
  <c r="D180" i="8" s="1"/>
  <c r="E180" i="8" s="1"/>
  <c r="D181" i="8" s="1"/>
  <c r="E181" i="8" s="1"/>
  <c r="D182" i="8" s="1"/>
  <c r="E182" i="8" s="1"/>
  <c r="D183" i="8" s="1"/>
  <c r="E183" i="8" s="1"/>
  <c r="D184" i="8" s="1"/>
  <c r="E184" i="8" s="1"/>
  <c r="D185" i="8" s="1"/>
  <c r="E185" i="8" s="1"/>
  <c r="D186" i="8" s="1"/>
  <c r="E186" i="8" s="1"/>
  <c r="D187" i="8" s="1"/>
  <c r="E187" i="8" s="1"/>
  <c r="D188" i="8" s="1"/>
  <c r="E188" i="8" s="1"/>
  <c r="D189" i="8" s="1"/>
  <c r="E189" i="8" s="1"/>
  <c r="D190" i="8" s="1"/>
  <c r="E190" i="8" s="1"/>
  <c r="D191" i="8" s="1"/>
  <c r="E191" i="8" s="1"/>
  <c r="D192" i="8" s="1"/>
  <c r="E192" i="8" s="1"/>
  <c r="D193" i="8" s="1"/>
  <c r="E193" i="8" s="1"/>
  <c r="D194" i="8" s="1"/>
  <c r="E194" i="8" s="1"/>
  <c r="D195" i="8" s="1"/>
  <c r="E195" i="8" s="1"/>
  <c r="D196" i="8" s="1"/>
  <c r="E196" i="8" s="1"/>
  <c r="D197" i="8" s="1"/>
  <c r="E197" i="8" s="1"/>
  <c r="D198" i="8" s="1"/>
  <c r="E198" i="8" s="1"/>
  <c r="D199" i="8" s="1"/>
  <c r="E199" i="8" s="1"/>
  <c r="D200" i="8" s="1"/>
  <c r="E200" i="8" s="1"/>
  <c r="D201" i="8" s="1"/>
  <c r="E201" i="8" s="1"/>
  <c r="D202" i="8" s="1"/>
  <c r="E202" i="8" s="1"/>
  <c r="D203" i="8" s="1"/>
  <c r="E203" i="8" s="1"/>
  <c r="D204" i="8" s="1"/>
  <c r="E204" i="8" s="1"/>
  <c r="D205" i="8" s="1"/>
  <c r="E205" i="8" s="1"/>
  <c r="D206" i="8" s="1"/>
  <c r="E206" i="8" s="1"/>
  <c r="D207" i="8" s="1"/>
  <c r="E207" i="8" s="1"/>
  <c r="D208" i="8" s="1"/>
  <c r="E208" i="8" s="1"/>
  <c r="D209" i="8" s="1"/>
  <c r="E209" i="8" s="1"/>
  <c r="D210" i="8" s="1"/>
  <c r="E210" i="8" s="1"/>
  <c r="D211" i="8" s="1"/>
  <c r="E211" i="8" s="1"/>
  <c r="D212" i="8" s="1"/>
  <c r="E212" i="8" s="1"/>
  <c r="D213" i="8" s="1"/>
  <c r="E213" i="8" s="1"/>
  <c r="D214" i="8" s="1"/>
  <c r="E214" i="8" s="1"/>
  <c r="D215" i="8" s="1"/>
  <c r="E215" i="8" s="1"/>
  <c r="D216" i="8" s="1"/>
  <c r="E216" i="8" s="1"/>
  <c r="D217" i="8" s="1"/>
  <c r="E217" i="8" s="1"/>
  <c r="D218" i="8" s="1"/>
  <c r="E218" i="8" s="1"/>
  <c r="D219" i="8" s="1"/>
  <c r="E219" i="8" s="1"/>
  <c r="D220" i="8" s="1"/>
  <c r="E220" i="8" s="1"/>
  <c r="D221" i="8" s="1"/>
  <c r="E221" i="8" s="1"/>
  <c r="D222" i="8" s="1"/>
  <c r="E222" i="8" s="1"/>
  <c r="D223" i="8" s="1"/>
  <c r="E223" i="8" s="1"/>
  <c r="D224" i="8" s="1"/>
  <c r="E224" i="8" s="1"/>
  <c r="D225" i="8" s="1"/>
  <c r="E225" i="8" s="1"/>
  <c r="D226" i="8" s="1"/>
  <c r="E226" i="8" s="1"/>
  <c r="D227" i="8" s="1"/>
  <c r="E227" i="8" s="1"/>
  <c r="D228" i="8" s="1"/>
  <c r="E228" i="8" s="1"/>
  <c r="D229" i="8" s="1"/>
  <c r="E229" i="8" s="1"/>
  <c r="D230" i="8" s="1"/>
  <c r="E230" i="8" s="1"/>
  <c r="D231" i="8" s="1"/>
  <c r="E231" i="8" s="1"/>
  <c r="D232" i="8" s="1"/>
  <c r="E232" i="8" s="1"/>
  <c r="D233" i="8" s="1"/>
  <c r="E233" i="8" s="1"/>
  <c r="D234" i="8" s="1"/>
  <c r="E234" i="8" s="1"/>
  <c r="D235" i="8" s="1"/>
  <c r="E235" i="8" s="1"/>
  <c r="D236" i="8" s="1"/>
  <c r="E236" i="8" s="1"/>
  <c r="D237" i="8" s="1"/>
  <c r="E237" i="8" s="1"/>
  <c r="D238" i="8" s="1"/>
  <c r="E238" i="8" s="1"/>
  <c r="D239" i="8" s="1"/>
  <c r="E239" i="8" s="1"/>
  <c r="D240" i="8" s="1"/>
  <c r="E240" i="8" s="1"/>
  <c r="D241" i="8" s="1"/>
  <c r="E241" i="8" s="1"/>
  <c r="D242" i="8" s="1"/>
  <c r="E242" i="8" s="1"/>
  <c r="D243" i="8" s="1"/>
  <c r="E243" i="8" s="1"/>
  <c r="D244" i="8" s="1"/>
  <c r="E244" i="8" s="1"/>
  <c r="D245" i="8" s="1"/>
  <c r="E245" i="8" s="1"/>
  <c r="D246" i="8" s="1"/>
  <c r="E246" i="8" s="1"/>
  <c r="D247" i="8" s="1"/>
  <c r="E247" i="8" s="1"/>
  <c r="D248" i="8" s="1"/>
  <c r="E248" i="8" s="1"/>
  <c r="D249" i="8" s="1"/>
  <c r="E249" i="8" s="1"/>
  <c r="D250" i="8" s="1"/>
  <c r="E250" i="8" s="1"/>
  <c r="D251" i="8" s="1"/>
  <c r="E251" i="8" s="1"/>
  <c r="D252" i="8" s="1"/>
  <c r="E252" i="8" s="1"/>
  <c r="D253" i="8" s="1"/>
  <c r="E253" i="8" s="1"/>
  <c r="D254" i="8" s="1"/>
  <c r="E254" i="8" s="1"/>
  <c r="D255" i="8" s="1"/>
  <c r="E255" i="8" s="1"/>
  <c r="D256" i="8" s="1"/>
  <c r="E256" i="8" s="1"/>
  <c r="D257" i="8" s="1"/>
  <c r="E257" i="8" s="1"/>
  <c r="D258" i="8" s="1"/>
  <c r="E258" i="8" s="1"/>
  <c r="D259" i="8" s="1"/>
  <c r="E259" i="8" s="1"/>
  <c r="D260" i="8" s="1"/>
  <c r="E260" i="8" s="1"/>
  <c r="D261" i="8" s="1"/>
  <c r="E261" i="8" s="1"/>
  <c r="D262" i="8" s="1"/>
  <c r="E262" i="8" s="1"/>
  <c r="D263" i="8" s="1"/>
  <c r="E263" i="8" s="1"/>
  <c r="D264" i="8" s="1"/>
  <c r="E264" i="8" s="1"/>
  <c r="D265" i="8" s="1"/>
  <c r="E265" i="8" s="1"/>
  <c r="D266" i="8" s="1"/>
  <c r="E266" i="8" s="1"/>
  <c r="D267" i="8" s="1"/>
  <c r="E267" i="8" s="1"/>
  <c r="D268" i="8" s="1"/>
  <c r="E268" i="8" s="1"/>
  <c r="D269" i="8" s="1"/>
  <c r="E269" i="8" s="1"/>
  <c r="D270" i="8" s="1"/>
  <c r="E270" i="8" s="1"/>
  <c r="D271" i="8" s="1"/>
  <c r="E271" i="8" s="1"/>
  <c r="D272" i="8" s="1"/>
  <c r="E272" i="8" s="1"/>
  <c r="D273" i="8" s="1"/>
  <c r="E273" i="8" s="1"/>
  <c r="D274" i="8" s="1"/>
  <c r="E274" i="8" s="1"/>
  <c r="D275" i="8" s="1"/>
  <c r="E275" i="8" s="1"/>
  <c r="D276" i="8" s="1"/>
  <c r="E276" i="8" s="1"/>
  <c r="D277" i="8" s="1"/>
  <c r="E277" i="8" s="1"/>
  <c r="D278" i="8" s="1"/>
  <c r="E278" i="8" s="1"/>
  <c r="D279" i="8" s="1"/>
  <c r="E279" i="8" s="1"/>
  <c r="D280" i="8" s="1"/>
  <c r="E280" i="8" s="1"/>
  <c r="D281" i="8" s="1"/>
  <c r="E281" i="8" s="1"/>
  <c r="D282" i="8" s="1"/>
  <c r="E282" i="8" s="1"/>
  <c r="D283" i="8" s="1"/>
  <c r="E283" i="8" s="1"/>
  <c r="D284" i="8" s="1"/>
  <c r="E284" i="8" s="1"/>
  <c r="D285" i="8" s="1"/>
  <c r="E285" i="8" s="1"/>
  <c r="D286" i="8" s="1"/>
  <c r="E286" i="8" s="1"/>
  <c r="D287" i="8" s="1"/>
  <c r="E287" i="8" s="1"/>
  <c r="D288" i="8" s="1"/>
  <c r="E288" i="8" s="1"/>
  <c r="D289" i="8" s="1"/>
  <c r="E289" i="8" s="1"/>
  <c r="D290" i="8" s="1"/>
  <c r="E290" i="8" s="1"/>
  <c r="D291" i="8" s="1"/>
  <c r="E291" i="8" s="1"/>
  <c r="D292" i="8" s="1"/>
  <c r="E292" i="8" s="1"/>
  <c r="D293" i="8" s="1"/>
  <c r="E293" i="8" s="1"/>
  <c r="D294" i="8" s="1"/>
  <c r="E294" i="8" s="1"/>
  <c r="D295" i="8" s="1"/>
  <c r="E295" i="8" s="1"/>
  <c r="D296" i="8" s="1"/>
  <c r="E296" i="8" s="1"/>
  <c r="D297" i="8" s="1"/>
  <c r="E297" i="8" s="1"/>
  <c r="D298" i="8" s="1"/>
  <c r="E298" i="8" s="1"/>
  <c r="D299" i="8" s="1"/>
  <c r="E299" i="8" s="1"/>
  <c r="D300" i="8" s="1"/>
  <c r="E300" i="8" s="1"/>
  <c r="D301" i="8" s="1"/>
  <c r="E301" i="8" s="1"/>
  <c r="D302" i="8" s="1"/>
  <c r="E302" i="8" s="1"/>
  <c r="D303" i="8" s="1"/>
  <c r="E303" i="8" s="1"/>
  <c r="D304" i="8" s="1"/>
  <c r="E304" i="8" s="1"/>
  <c r="D305" i="8" s="1"/>
  <c r="E305" i="8" s="1"/>
  <c r="D306" i="8" s="1"/>
  <c r="E306" i="8" s="1"/>
  <c r="D307" i="8" s="1"/>
  <c r="E307" i="8" s="1"/>
  <c r="D308" i="8" s="1"/>
  <c r="E308" i="8" s="1"/>
  <c r="D309" i="8" s="1"/>
  <c r="E309" i="8" s="1"/>
  <c r="D310" i="8" s="1"/>
  <c r="E310" i="8" s="1"/>
  <c r="D311" i="8" s="1"/>
  <c r="E311" i="8" s="1"/>
  <c r="D312" i="8" s="1"/>
  <c r="E312" i="8" s="1"/>
  <c r="D313" i="8" s="1"/>
  <c r="E313" i="8" s="1"/>
  <c r="D314" i="8" s="1"/>
  <c r="E314" i="8" s="1"/>
  <c r="D315" i="8" s="1"/>
  <c r="E315" i="8" s="1"/>
  <c r="D316" i="8" s="1"/>
  <c r="E316" i="8" s="1"/>
  <c r="D317" i="8" s="1"/>
  <c r="E317" i="8" s="1"/>
  <c r="D318" i="8" s="1"/>
  <c r="E318" i="8" s="1"/>
  <c r="A1" i="8"/>
  <c r="Y170" i="8"/>
  <c r="T170" i="8"/>
  <c r="S170" i="8"/>
  <c r="R170" i="8"/>
  <c r="U169" i="8"/>
  <c r="O212" i="8"/>
  <c r="U212" i="8"/>
  <c r="Q212" i="8"/>
  <c r="P212" i="8"/>
  <c r="AS113" i="7"/>
  <c r="AS124" i="7"/>
  <c r="AN126" i="7"/>
  <c r="AS147" i="7"/>
  <c r="AR153" i="7"/>
  <c r="AR159" i="7"/>
  <c r="AS165" i="7"/>
  <c r="AR171" i="7"/>
  <c r="AS182" i="7"/>
  <c r="AS188" i="7"/>
  <c r="AN193" i="7"/>
  <c r="AS194" i="7"/>
  <c r="AR214" i="7"/>
  <c r="AR220" i="7"/>
  <c r="AS231" i="7"/>
  <c r="AS237" i="7"/>
  <c r="AN242" i="7"/>
  <c r="AS243" i="7"/>
  <c r="AR263" i="7"/>
  <c r="AR269" i="7"/>
  <c r="AN271" i="7"/>
  <c r="AT274" i="7"/>
  <c r="AS295" i="7"/>
  <c r="AR299" i="7"/>
  <c r="AU299" i="7"/>
  <c r="AS299" i="7"/>
  <c r="AT303" i="7"/>
  <c r="AU303" i="7"/>
  <c r="AR303" i="7"/>
  <c r="AN311" i="7"/>
  <c r="AU311" i="7"/>
  <c r="AS311" i="7"/>
  <c r="Q23" i="8"/>
  <c r="P23" i="8"/>
  <c r="O23" i="8"/>
  <c r="Q83" i="8"/>
  <c r="P83" i="8"/>
  <c r="O83" i="8"/>
  <c r="T212" i="8"/>
  <c r="S212" i="8"/>
  <c r="R212" i="8"/>
  <c r="U211" i="8"/>
  <c r="Y212" i="8"/>
  <c r="AT113" i="7"/>
  <c r="AI118" i="7"/>
  <c r="AQ118" i="7"/>
  <c r="AR138" i="7"/>
  <c r="AU144" i="7"/>
  <c r="AT144" i="7"/>
  <c r="AS144" i="7"/>
  <c r="AQ144" i="7"/>
  <c r="AN146" i="7"/>
  <c r="AT147" i="7"/>
  <c r="AN152" i="7"/>
  <c r="AS153" i="7"/>
  <c r="AQ155" i="7"/>
  <c r="AS159" i="7"/>
  <c r="AR161" i="7"/>
  <c r="AT165" i="7"/>
  <c r="AQ167" i="7"/>
  <c r="AI179" i="7"/>
  <c r="AQ179" i="7"/>
  <c r="AT182" i="7"/>
  <c r="AU185" i="7"/>
  <c r="AT185" i="7"/>
  <c r="AS185" i="7"/>
  <c r="AQ185" i="7"/>
  <c r="AN187" i="7"/>
  <c r="AT188" i="7"/>
  <c r="AT194" i="7"/>
  <c r="AR196" i="7"/>
  <c r="AN202" i="7"/>
  <c r="AR202" i="7"/>
  <c r="AS214" i="7"/>
  <c r="AI228" i="7"/>
  <c r="AQ228" i="7"/>
  <c r="AT231" i="7"/>
  <c r="AU234" i="7"/>
  <c r="AT234" i="7"/>
  <c r="AS234" i="7"/>
  <c r="AQ234" i="7"/>
  <c r="AN236" i="7"/>
  <c r="AT237" i="7"/>
  <c r="AT243" i="7"/>
  <c r="AR245" i="7"/>
  <c r="AN251" i="7"/>
  <c r="AR251" i="7"/>
  <c r="AS263" i="7"/>
  <c r="AT295" i="7"/>
  <c r="AT299" i="7"/>
  <c r="AS303" i="7"/>
  <c r="AT307" i="7"/>
  <c r="AN307" i="7"/>
  <c r="AS307" i="7"/>
  <c r="AT311" i="7"/>
  <c r="Y8" i="8"/>
  <c r="R8" i="8"/>
  <c r="T8" i="8"/>
  <c r="Q12" i="8"/>
  <c r="P12" i="8"/>
  <c r="O12" i="8"/>
  <c r="O27" i="8"/>
  <c r="Q27" i="8"/>
  <c r="P27" i="8"/>
  <c r="R147" i="8"/>
  <c r="Y147" i="8"/>
  <c r="U146" i="8"/>
  <c r="T147" i="8"/>
  <c r="S147" i="8"/>
  <c r="R244" i="8"/>
  <c r="U243" i="8"/>
  <c r="Y244" i="8"/>
  <c r="S244" i="8"/>
  <c r="T277" i="8"/>
  <c r="S277" i="8"/>
  <c r="R277" i="8"/>
  <c r="U276" i="8"/>
  <c r="Y277" i="8"/>
  <c r="AN112" i="7"/>
  <c r="AU113" i="7"/>
  <c r="AN131" i="7"/>
  <c r="AQ134" i="7"/>
  <c r="AI136" i="7"/>
  <c r="AU147" i="7"/>
  <c r="AR155" i="7"/>
  <c r="AT159" i="7"/>
  <c r="AS161" i="7"/>
  <c r="AR167" i="7"/>
  <c r="AI173" i="7"/>
  <c r="AQ173" i="7"/>
  <c r="AR179" i="7"/>
  <c r="AU182" i="7"/>
  <c r="AU188" i="7"/>
  <c r="AN207" i="7"/>
  <c r="AQ210" i="7"/>
  <c r="AI212" i="7"/>
  <c r="AT214" i="7"/>
  <c r="AQ216" i="7"/>
  <c r="AI222" i="7"/>
  <c r="AQ222" i="7"/>
  <c r="AR228" i="7"/>
  <c r="AU231" i="7"/>
  <c r="AU237" i="7"/>
  <c r="AN256" i="7"/>
  <c r="AQ259" i="7"/>
  <c r="AI261" i="7"/>
  <c r="AT263" i="7"/>
  <c r="AQ265" i="7"/>
  <c r="AQ284" i="7"/>
  <c r="AU295" i="7"/>
  <c r="Y12" i="8"/>
  <c r="T12" i="8"/>
  <c r="S12" i="8"/>
  <c r="R12" i="8"/>
  <c r="U11" i="8"/>
  <c r="Q63" i="8"/>
  <c r="P63" i="8"/>
  <c r="Q110" i="8"/>
  <c r="P110" i="8"/>
  <c r="R199" i="8"/>
  <c r="Y199" i="8"/>
  <c r="U198" i="8"/>
  <c r="T199" i="8"/>
  <c r="P205" i="8"/>
  <c r="O205" i="8"/>
  <c r="Q205" i="8"/>
  <c r="AQ126" i="7"/>
  <c r="AR134" i="7"/>
  <c r="AQ140" i="7"/>
  <c r="AR173" i="7"/>
  <c r="AU199" i="7"/>
  <c r="AT199" i="7"/>
  <c r="AS199" i="7"/>
  <c r="AQ199" i="7"/>
  <c r="AR210" i="7"/>
  <c r="AR216" i="7"/>
  <c r="AR222" i="7"/>
  <c r="AU248" i="7"/>
  <c r="AT248" i="7"/>
  <c r="AS248" i="7"/>
  <c r="AQ248" i="7"/>
  <c r="AR259" i="7"/>
  <c r="AR265" i="7"/>
  <c r="AQ271" i="7"/>
  <c r="AR284" i="7"/>
  <c r="Q49" i="8"/>
  <c r="P49" i="8"/>
  <c r="O49" i="8"/>
  <c r="R117" i="8"/>
  <c r="Y117" i="8"/>
  <c r="U116" i="8"/>
  <c r="T117" i="8"/>
  <c r="S117" i="8"/>
  <c r="U152" i="8"/>
  <c r="Y153" i="8"/>
  <c r="T153" i="8"/>
  <c r="S153" i="8"/>
  <c r="R153" i="8"/>
  <c r="U204" i="8"/>
  <c r="T205" i="8"/>
  <c r="Y205" i="8"/>
  <c r="S205" i="8"/>
  <c r="R205" i="8"/>
  <c r="AR140" i="7"/>
  <c r="AU164" i="7"/>
  <c r="AT164" i="7"/>
  <c r="AS164" i="7"/>
  <c r="AQ164" i="7"/>
  <c r="AS173" i="7"/>
  <c r="AR193" i="7"/>
  <c r="AR199" i="7"/>
  <c r="AS210" i="7"/>
  <c r="AS216" i="7"/>
  <c r="AS222" i="7"/>
  <c r="AR242" i="7"/>
  <c r="AR248" i="7"/>
  <c r="AS259" i="7"/>
  <c r="AS265" i="7"/>
  <c r="AS271" i="7"/>
  <c r="AR278" i="7"/>
  <c r="AU278" i="7"/>
  <c r="AT278" i="7"/>
  <c r="AS278" i="7"/>
  <c r="AS284" i="7"/>
  <c r="AR288" i="7"/>
  <c r="AN288" i="7"/>
  <c r="AS288" i="7"/>
  <c r="Q82" i="8"/>
  <c r="P82" i="8"/>
  <c r="O82" i="8"/>
  <c r="P167" i="8"/>
  <c r="Q167" i="8"/>
  <c r="O167" i="8"/>
  <c r="Q290" i="8"/>
  <c r="P290" i="8"/>
  <c r="O290" i="8"/>
  <c r="AQ112" i="7"/>
  <c r="AN120" i="7"/>
  <c r="AR120" i="7"/>
  <c r="AU123" i="7"/>
  <c r="AT123" i="7"/>
  <c r="AS123" i="7"/>
  <c r="AR123" i="7"/>
  <c r="AQ123" i="7"/>
  <c r="AS126" i="7"/>
  <c r="AQ131" i="7"/>
  <c r="AT134" i="7"/>
  <c r="AS140" i="7"/>
  <c r="AR146" i="7"/>
  <c r="AR152" i="7"/>
  <c r="AU158" i="7"/>
  <c r="AT158" i="7"/>
  <c r="AS158" i="7"/>
  <c r="AQ158" i="7"/>
  <c r="AR164" i="7"/>
  <c r="AT173" i="7"/>
  <c r="AR175" i="7"/>
  <c r="AN181" i="7"/>
  <c r="AR181" i="7"/>
  <c r="AR187" i="7"/>
  <c r="AS193" i="7"/>
  <c r="AQ207" i="7"/>
  <c r="AT210" i="7"/>
  <c r="AU213" i="7"/>
  <c r="AT213" i="7"/>
  <c r="AS213" i="7"/>
  <c r="AQ213" i="7"/>
  <c r="AT216" i="7"/>
  <c r="AT222" i="7"/>
  <c r="AR224" i="7"/>
  <c r="AN230" i="7"/>
  <c r="AR230" i="7"/>
  <c r="AR236" i="7"/>
  <c r="AS242" i="7"/>
  <c r="AT259" i="7"/>
  <c r="AU262" i="7"/>
  <c r="AT262" i="7"/>
  <c r="AS262" i="7"/>
  <c r="AQ262" i="7"/>
  <c r="AT265" i="7"/>
  <c r="AT271" i="7"/>
  <c r="AU273" i="7"/>
  <c r="AT273" i="7"/>
  <c r="AS273" i="7"/>
  <c r="AR273" i="7"/>
  <c r="AQ273" i="7"/>
  <c r="AT282" i="7"/>
  <c r="AU282" i="7"/>
  <c r="AS282" i="7"/>
  <c r="AR282" i="7"/>
  <c r="AT284" i="7"/>
  <c r="AT286" i="7"/>
  <c r="AN286" i="7"/>
  <c r="AU286" i="7"/>
  <c r="AS286" i="7"/>
  <c r="AT288" i="7"/>
  <c r="AN290" i="7"/>
  <c r="AU290" i="7"/>
  <c r="AT290" i="7"/>
  <c r="AS290" i="7"/>
  <c r="AT300" i="7"/>
  <c r="AN300" i="7"/>
  <c r="AR300" i="7"/>
  <c r="AN304" i="7"/>
  <c r="AR304" i="7"/>
  <c r="Y22" i="8"/>
  <c r="T22" i="8"/>
  <c r="S22" i="8"/>
  <c r="U21" i="8"/>
  <c r="R22" i="8"/>
  <c r="Q59" i="8"/>
  <c r="P59" i="8"/>
  <c r="O59" i="8"/>
  <c r="T151" i="8"/>
  <c r="S151" i="8"/>
  <c r="Y151" i="8"/>
  <c r="U150" i="8"/>
  <c r="U166" i="8"/>
  <c r="R167" i="8"/>
  <c r="Y167" i="8"/>
  <c r="T167" i="8"/>
  <c r="S167" i="8"/>
  <c r="U260" i="8"/>
  <c r="Y261" i="8"/>
  <c r="R261" i="8"/>
  <c r="S261" i="8"/>
  <c r="AI117" i="7"/>
  <c r="AT126" i="7"/>
  <c r="AR131" i="7"/>
  <c r="AU134" i="7"/>
  <c r="AU137" i="7"/>
  <c r="AT137" i="7"/>
  <c r="AS137" i="7"/>
  <c r="AQ137" i="7"/>
  <c r="AT140" i="7"/>
  <c r="AN192" i="7"/>
  <c r="AT193" i="7"/>
  <c r="AI201" i="7"/>
  <c r="AR207" i="7"/>
  <c r="AU210" i="7"/>
  <c r="AR213" i="7"/>
  <c r="AU216" i="7"/>
  <c r="AS224" i="7"/>
  <c r="AS230" i="7"/>
  <c r="AS236" i="7"/>
  <c r="AN241" i="7"/>
  <c r="AT242" i="7"/>
  <c r="AI250" i="7"/>
  <c r="AR256" i="7"/>
  <c r="AU259" i="7"/>
  <c r="AR262" i="7"/>
  <c r="AU265" i="7"/>
  <c r="AU271" i="7"/>
  <c r="AU284" i="7"/>
  <c r="AU288" i="7"/>
  <c r="AR292" i="7"/>
  <c r="AN292" i="7"/>
  <c r="AS292" i="7"/>
  <c r="AU294" i="7"/>
  <c r="AT294" i="7"/>
  <c r="AS294" i="7"/>
  <c r="AR294" i="7"/>
  <c r="AS300" i="7"/>
  <c r="AS304" i="7"/>
  <c r="AR308" i="7"/>
  <c r="AS312" i="7"/>
  <c r="AR316" i="7"/>
  <c r="AT316" i="7"/>
  <c r="AS316" i="7"/>
  <c r="Y48" i="8"/>
  <c r="T48" i="8"/>
  <c r="S48" i="8"/>
  <c r="R48" i="8"/>
  <c r="S80" i="8"/>
  <c r="R80" i="8"/>
  <c r="Y80" i="8"/>
  <c r="T80" i="8"/>
  <c r="U79" i="8"/>
  <c r="O166" i="8"/>
  <c r="Q166" i="8"/>
  <c r="P166" i="8"/>
  <c r="R203" i="8"/>
  <c r="Y203" i="8"/>
  <c r="U202" i="8"/>
  <c r="T203" i="8"/>
  <c r="Q207" i="8"/>
  <c r="P207" i="8"/>
  <c r="O207" i="8"/>
  <c r="Q215" i="8"/>
  <c r="P215" i="8"/>
  <c r="O215" i="8"/>
  <c r="AU117" i="7"/>
  <c r="AT117" i="7"/>
  <c r="AR117" i="7"/>
  <c r="AT120" i="7"/>
  <c r="AI125" i="7"/>
  <c r="AS131" i="7"/>
  <c r="AR137" i="7"/>
  <c r="AU140" i="7"/>
  <c r="AR148" i="7"/>
  <c r="AT152" i="7"/>
  <c r="AI166" i="7"/>
  <c r="AI172" i="7"/>
  <c r="AT175" i="7"/>
  <c r="AU178" i="7"/>
  <c r="AT178" i="7"/>
  <c r="AS178" i="7"/>
  <c r="AQ178" i="7"/>
  <c r="AT181" i="7"/>
  <c r="AR189" i="7"/>
  <c r="AN195" i="7"/>
  <c r="AR195" i="7"/>
  <c r="AS207" i="7"/>
  <c r="AI221" i="7"/>
  <c r="AT224" i="7"/>
  <c r="AU227" i="7"/>
  <c r="AT227" i="7"/>
  <c r="AS227" i="7"/>
  <c r="AQ227" i="7"/>
  <c r="AT230" i="7"/>
  <c r="AR238" i="7"/>
  <c r="AN244" i="7"/>
  <c r="AR244" i="7"/>
  <c r="AI270" i="7"/>
  <c r="AQ275" i="7"/>
  <c r="AT296" i="7"/>
  <c r="AN296" i="7"/>
  <c r="AR296" i="7"/>
  <c r="AU300" i="7"/>
  <c r="AT304" i="7"/>
  <c r="O11" i="8"/>
  <c r="Q21" i="8"/>
  <c r="P21" i="8"/>
  <c r="Y34" i="8"/>
  <c r="T34" i="8"/>
  <c r="S34" i="8"/>
  <c r="R34" i="8"/>
  <c r="U33" i="8"/>
  <c r="Y114" i="8"/>
  <c r="S114" i="8"/>
  <c r="T114" i="8"/>
  <c r="R114" i="8"/>
  <c r="U113" i="8"/>
  <c r="P149" i="8"/>
  <c r="O149" i="8"/>
  <c r="Q149" i="8"/>
  <c r="Y198" i="8"/>
  <c r="T198" i="8"/>
  <c r="U197" i="8"/>
  <c r="AQ315" i="7"/>
  <c r="Q9" i="8"/>
  <c r="U10" i="8"/>
  <c r="Y11" i="8"/>
  <c r="R28" i="8"/>
  <c r="S29" i="8"/>
  <c r="R29" i="8"/>
  <c r="T38" i="8"/>
  <c r="Q42" i="8"/>
  <c r="T43" i="8"/>
  <c r="S43" i="8"/>
  <c r="R43" i="8"/>
  <c r="U55" i="8"/>
  <c r="T56" i="8"/>
  <c r="R63" i="8"/>
  <c r="U62" i="8"/>
  <c r="T77" i="8"/>
  <c r="R78" i="8"/>
  <c r="Q91" i="8"/>
  <c r="O109" i="8"/>
  <c r="Y110" i="8"/>
  <c r="S110" i="8"/>
  <c r="R110" i="8"/>
  <c r="U109" i="8"/>
  <c r="S112" i="8"/>
  <c r="Q115" i="8"/>
  <c r="P115" i="8"/>
  <c r="T135" i="8"/>
  <c r="U141" i="8"/>
  <c r="S142" i="8"/>
  <c r="Q145" i="8"/>
  <c r="U145" i="8"/>
  <c r="Y146" i="8"/>
  <c r="T148" i="8"/>
  <c r="Y148" i="8"/>
  <c r="S148" i="8"/>
  <c r="R148" i="8"/>
  <c r="U147" i="8"/>
  <c r="S162" i="8"/>
  <c r="Q195" i="8"/>
  <c r="O199" i="8"/>
  <c r="S200" i="8"/>
  <c r="Y200" i="8"/>
  <c r="T200" i="8"/>
  <c r="R200" i="8"/>
  <c r="P201" i="8"/>
  <c r="O201" i="8"/>
  <c r="U201" i="8"/>
  <c r="S202" i="8"/>
  <c r="O203" i="8"/>
  <c r="T204" i="8"/>
  <c r="Y204" i="8"/>
  <c r="T207" i="8"/>
  <c r="S207" i="8"/>
  <c r="O210" i="8"/>
  <c r="R233" i="8"/>
  <c r="Q247" i="8"/>
  <c r="P247" i="8"/>
  <c r="O247" i="8"/>
  <c r="P277" i="8"/>
  <c r="O277" i="8"/>
  <c r="P292" i="8"/>
  <c r="O292" i="8"/>
  <c r="Q292" i="8"/>
  <c r="AO2" i="12"/>
  <c r="AL2" i="12"/>
  <c r="R2" i="12"/>
  <c r="AT315" i="7"/>
  <c r="AN318" i="7"/>
  <c r="AS318" i="7"/>
  <c r="S10" i="8"/>
  <c r="R11" i="8"/>
  <c r="S21" i="8"/>
  <c r="P22" i="8"/>
  <c r="U28" i="8"/>
  <c r="T33" i="8"/>
  <c r="U41" i="8"/>
  <c r="T42" i="8"/>
  <c r="R49" i="8"/>
  <c r="U48" i="8"/>
  <c r="T63" i="8"/>
  <c r="R64" i="8"/>
  <c r="U66" i="8"/>
  <c r="Y67" i="8"/>
  <c r="S74" i="8"/>
  <c r="R74" i="8"/>
  <c r="R92" i="8"/>
  <c r="P95" i="8"/>
  <c r="O95" i="8"/>
  <c r="T108" i="8"/>
  <c r="Q117" i="8"/>
  <c r="S146" i="8"/>
  <c r="Y154" i="8"/>
  <c r="S154" i="8"/>
  <c r="R154" i="8"/>
  <c r="T154" i="8"/>
  <c r="T164" i="8"/>
  <c r="T202" i="8"/>
  <c r="P206" i="8"/>
  <c r="Q289" i="8"/>
  <c r="P289" i="8"/>
  <c r="O289" i="8"/>
  <c r="Y290" i="8"/>
  <c r="R290" i="8"/>
  <c r="Q313" i="8"/>
  <c r="P313" i="8"/>
  <c r="O313" i="8"/>
  <c r="AQ302" i="7"/>
  <c r="AQ306" i="7"/>
  <c r="AQ310" i="7"/>
  <c r="AT314" i="7"/>
  <c r="AN314" i="7"/>
  <c r="AR314" i="7"/>
  <c r="AT318" i="7"/>
  <c r="T10" i="8"/>
  <c r="S11" i="8"/>
  <c r="T21" i="8"/>
  <c r="T29" i="8"/>
  <c r="Y38" i="8"/>
  <c r="U42" i="8"/>
  <c r="U63" i="8"/>
  <c r="S64" i="8"/>
  <c r="Q66" i="8"/>
  <c r="P66" i="8"/>
  <c r="O66" i="8"/>
  <c r="U91" i="8"/>
  <c r="S92" i="8"/>
  <c r="U94" i="8"/>
  <c r="Y95" i="8"/>
  <c r="T97" i="8"/>
  <c r="Y97" i="8"/>
  <c r="S97" i="8"/>
  <c r="R97" i="8"/>
  <c r="U96" i="8"/>
  <c r="O98" i="8"/>
  <c r="Q98" i="8"/>
  <c r="P98" i="8"/>
  <c r="T123" i="8"/>
  <c r="S123" i="8"/>
  <c r="Y123" i="8"/>
  <c r="U124" i="8"/>
  <c r="T125" i="8"/>
  <c r="Q126" i="8"/>
  <c r="P126" i="8"/>
  <c r="R128" i="8"/>
  <c r="U127" i="8"/>
  <c r="Y142" i="8"/>
  <c r="T146" i="8"/>
  <c r="R171" i="8"/>
  <c r="T171" i="8"/>
  <c r="S172" i="8"/>
  <c r="R172" i="8"/>
  <c r="U171" i="8"/>
  <c r="U199" i="8"/>
  <c r="Q216" i="8"/>
  <c r="P216" i="8"/>
  <c r="AN114" i="7"/>
  <c r="AN121" i="7"/>
  <c r="AQ129" i="7"/>
  <c r="AQ136" i="7"/>
  <c r="AQ143" i="7"/>
  <c r="AQ150" i="7"/>
  <c r="AQ157" i="7"/>
  <c r="AQ163" i="7"/>
  <c r="AQ170" i="7"/>
  <c r="AQ177" i="7"/>
  <c r="AQ184" i="7"/>
  <c r="AQ191" i="7"/>
  <c r="AQ198" i="7"/>
  <c r="AQ205" i="7"/>
  <c r="AQ212" i="7"/>
  <c r="AQ219" i="7"/>
  <c r="AQ226" i="7"/>
  <c r="AQ233" i="7"/>
  <c r="AQ240" i="7"/>
  <c r="AQ247" i="7"/>
  <c r="AQ254" i="7"/>
  <c r="AQ261" i="7"/>
  <c r="AQ268" i="7"/>
  <c r="AQ277" i="7"/>
  <c r="AQ297" i="7"/>
  <c r="AS302" i="7"/>
  <c r="AS306" i="7"/>
  <c r="AR310" i="7"/>
  <c r="AS314" i="7"/>
  <c r="AU318" i="7"/>
  <c r="T11" i="8"/>
  <c r="P13" i="8"/>
  <c r="O18" i="8"/>
  <c r="P24" i="8"/>
  <c r="O24" i="8"/>
  <c r="Y32" i="8"/>
  <c r="Q35" i="8"/>
  <c r="P35" i="8"/>
  <c r="S49" i="8"/>
  <c r="T64" i="8"/>
  <c r="Y68" i="8"/>
  <c r="T68" i="8"/>
  <c r="S68" i="8"/>
  <c r="R82" i="8"/>
  <c r="P85" i="8"/>
  <c r="Q85" i="8"/>
  <c r="Q95" i="8"/>
  <c r="O96" i="8"/>
  <c r="O97" i="8"/>
  <c r="Y100" i="8"/>
  <c r="S100" i="8"/>
  <c r="Y112" i="8"/>
  <c r="Q119" i="8"/>
  <c r="P119" i="8"/>
  <c r="P123" i="8"/>
  <c r="P124" i="8"/>
  <c r="O125" i="8"/>
  <c r="Y126" i="8"/>
  <c r="S126" i="8"/>
  <c r="R126" i="8"/>
  <c r="T126" i="8"/>
  <c r="U125" i="8"/>
  <c r="Y135" i="8"/>
  <c r="Q157" i="8"/>
  <c r="P157" i="8"/>
  <c r="O171" i="8"/>
  <c r="S204" i="8"/>
  <c r="U215" i="8"/>
  <c r="R217" i="8"/>
  <c r="Y217" i="8"/>
  <c r="T217" i="8"/>
  <c r="S217" i="8"/>
  <c r="U216" i="8"/>
  <c r="T218" i="8"/>
  <c r="U217" i="8"/>
  <c r="Y220" i="8"/>
  <c r="R220" i="8"/>
  <c r="T221" i="8"/>
  <c r="S221" i="8"/>
  <c r="Y221" i="8"/>
  <c r="U222" i="8"/>
  <c r="T223" i="8"/>
  <c r="Q224" i="8"/>
  <c r="P224" i="8"/>
  <c r="R226" i="8"/>
  <c r="U225" i="8"/>
  <c r="Y240" i="8"/>
  <c r="T290" i="8"/>
  <c r="AI24" i="12"/>
  <c r="AG24" i="12"/>
  <c r="S24" i="12"/>
  <c r="AE24" i="12"/>
  <c r="AD24" i="12"/>
  <c r="AC24" i="12"/>
  <c r="AY20" i="12"/>
  <c r="AB24" i="12"/>
  <c r="AX20" i="12"/>
  <c r="W24" i="12"/>
  <c r="AT23" i="12"/>
  <c r="AH24" i="12"/>
  <c r="AF24" i="12"/>
  <c r="AA24" i="12"/>
  <c r="Z24" i="12"/>
  <c r="Y24" i="12"/>
  <c r="BD24" i="12"/>
  <c r="BC24" i="12"/>
  <c r="AS23" i="12"/>
  <c r="AQ115" i="7"/>
  <c r="AQ122" i="7"/>
  <c r="AQ281" i="7"/>
  <c r="AQ285" i="7"/>
  <c r="AQ289" i="7"/>
  <c r="AT293" i="7"/>
  <c r="AN293" i="7"/>
  <c r="AR293" i="7"/>
  <c r="AR297" i="7"/>
  <c r="AQ301" i="7"/>
  <c r="AT302" i="7"/>
  <c r="AT306" i="7"/>
  <c r="AS310" i="7"/>
  <c r="AU314" i="7"/>
  <c r="Y9" i="8"/>
  <c r="Q13" i="8"/>
  <c r="P14" i="8"/>
  <c r="P18" i="8"/>
  <c r="U24" i="8"/>
  <c r="Y25" i="8"/>
  <c r="R35" i="8"/>
  <c r="U34" i="8"/>
  <c r="O45" i="8"/>
  <c r="T49" i="8"/>
  <c r="R50" i="8"/>
  <c r="O51" i="8"/>
  <c r="U52" i="8"/>
  <c r="Y53" i="8"/>
  <c r="S60" i="8"/>
  <c r="R60" i="8"/>
  <c r="R66" i="8"/>
  <c r="R67" i="8"/>
  <c r="O68" i="8"/>
  <c r="P69" i="8"/>
  <c r="O69" i="8"/>
  <c r="U73" i="8"/>
  <c r="T74" i="8"/>
  <c r="S82" i="8"/>
  <c r="T84" i="8"/>
  <c r="S84" i="8"/>
  <c r="U84" i="8"/>
  <c r="S85" i="8"/>
  <c r="R85" i="8"/>
  <c r="O87" i="8"/>
  <c r="R95" i="8"/>
  <c r="P96" i="8"/>
  <c r="P97" i="8"/>
  <c r="P100" i="8"/>
  <c r="S104" i="8"/>
  <c r="U103" i="8"/>
  <c r="Y104" i="8"/>
  <c r="Q123" i="8"/>
  <c r="Q124" i="8"/>
  <c r="Q125" i="8"/>
  <c r="O126" i="8"/>
  <c r="O129" i="8"/>
  <c r="P171" i="8"/>
  <c r="P181" i="8"/>
  <c r="O181" i="8"/>
  <c r="Y207" i="8"/>
  <c r="O216" i="8"/>
  <c r="O217" i="8"/>
  <c r="P221" i="8"/>
  <c r="P222" i="8"/>
  <c r="O223" i="8"/>
  <c r="Y224" i="8"/>
  <c r="S224" i="8"/>
  <c r="R224" i="8"/>
  <c r="T224" i="8"/>
  <c r="U223" i="8"/>
  <c r="P251" i="8"/>
  <c r="Q251" i="8"/>
  <c r="O251" i="8"/>
  <c r="Y260" i="8"/>
  <c r="Q300" i="8"/>
  <c r="P300" i="8"/>
  <c r="O300" i="8"/>
  <c r="P307" i="8"/>
  <c r="Q307" i="8"/>
  <c r="O307" i="8"/>
  <c r="S311" i="8"/>
  <c r="R311" i="8"/>
  <c r="Y311" i="8"/>
  <c r="Y318" i="8"/>
  <c r="S318" i="8"/>
  <c r="R318" i="8"/>
  <c r="AR115" i="7"/>
  <c r="AR122" i="7"/>
  <c r="AQ128" i="7"/>
  <c r="AS177" i="7"/>
  <c r="AS184" i="7"/>
  <c r="AS191" i="7"/>
  <c r="AS198" i="7"/>
  <c r="AS205" i="7"/>
  <c r="AS212" i="7"/>
  <c r="AS219" i="7"/>
  <c r="AS226" i="7"/>
  <c r="AS233" i="7"/>
  <c r="AS240" i="7"/>
  <c r="AS247" i="7"/>
  <c r="AS254" i="7"/>
  <c r="AS261" i="7"/>
  <c r="AS268" i="7"/>
  <c r="AQ276" i="7"/>
  <c r="AS277" i="7"/>
  <c r="AS281" i="7"/>
  <c r="AS285" i="7"/>
  <c r="AR289" i="7"/>
  <c r="AS293" i="7"/>
  <c r="AS297" i="7"/>
  <c r="AR301" i="7"/>
  <c r="AU302" i="7"/>
  <c r="AU306" i="7"/>
  <c r="AU310" i="7"/>
  <c r="Q7" i="8"/>
  <c r="P7" i="8"/>
  <c r="Q14" i="8"/>
  <c r="U17" i="8"/>
  <c r="S18" i="8"/>
  <c r="U22" i="8"/>
  <c r="R23" i="8"/>
  <c r="Q24" i="8"/>
  <c r="O25" i="8"/>
  <c r="O31" i="8"/>
  <c r="O35" i="8"/>
  <c r="P45" i="8"/>
  <c r="U49" i="8"/>
  <c r="S50" i="8"/>
  <c r="P51" i="8"/>
  <c r="Q52" i="8"/>
  <c r="P52" i="8"/>
  <c r="O52" i="8"/>
  <c r="O53" i="8"/>
  <c r="O60" i="8"/>
  <c r="S66" i="8"/>
  <c r="S67" i="8"/>
  <c r="P68" i="8"/>
  <c r="P70" i="8"/>
  <c r="T82" i="8"/>
  <c r="P84" i="8"/>
  <c r="O85" i="8"/>
  <c r="Q87" i="8"/>
  <c r="S95" i="8"/>
  <c r="R96" i="8"/>
  <c r="Q100" i="8"/>
  <c r="O101" i="8"/>
  <c r="P103" i="8"/>
  <c r="O103" i="8"/>
  <c r="O119" i="8"/>
  <c r="R123" i="8"/>
  <c r="R125" i="8"/>
  <c r="S128" i="8"/>
  <c r="P129" i="8"/>
  <c r="U153" i="8"/>
  <c r="O157" i="8"/>
  <c r="S171" i="8"/>
  <c r="Q174" i="8"/>
  <c r="P174" i="8"/>
  <c r="O174" i="8"/>
  <c r="O180" i="8"/>
  <c r="Q180" i="8"/>
  <c r="U180" i="8"/>
  <c r="Y181" i="8"/>
  <c r="Y182" i="8"/>
  <c r="S182" i="8"/>
  <c r="R182" i="8"/>
  <c r="S186" i="8"/>
  <c r="Y186" i="8"/>
  <c r="R216" i="8"/>
  <c r="P217" i="8"/>
  <c r="Q221" i="8"/>
  <c r="Q222" i="8"/>
  <c r="Q223" i="8"/>
  <c r="O224" i="8"/>
  <c r="Y233" i="8"/>
  <c r="U250" i="8"/>
  <c r="Y251" i="8"/>
  <c r="R251" i="8"/>
  <c r="O254" i="8"/>
  <c r="P254" i="8"/>
  <c r="U266" i="8"/>
  <c r="Q266" i="8"/>
  <c r="Q286" i="8"/>
  <c r="P286" i="8"/>
  <c r="AT272" i="7"/>
  <c r="AN272" i="7"/>
  <c r="AR272" i="7"/>
  <c r="AR276" i="7"/>
  <c r="AT281" i="7"/>
  <c r="AT285" i="7"/>
  <c r="AS289" i="7"/>
  <c r="AU293" i="7"/>
  <c r="AT297" i="7"/>
  <c r="AQ309" i="7"/>
  <c r="AQ313" i="7"/>
  <c r="AU317" i="7"/>
  <c r="AT317" i="7"/>
  <c r="AQ317" i="7"/>
  <c r="Y10" i="8"/>
  <c r="S15" i="8"/>
  <c r="R15" i="8"/>
  <c r="T18" i="8"/>
  <c r="S23" i="8"/>
  <c r="R24" i="8"/>
  <c r="Q25" i="8"/>
  <c r="Y26" i="8"/>
  <c r="T26" i="8"/>
  <c r="S26" i="8"/>
  <c r="Y33" i="8"/>
  <c r="S35" i="8"/>
  <c r="Y43" i="8"/>
  <c r="T50" i="8"/>
  <c r="Q53" i="8"/>
  <c r="Y54" i="8"/>
  <c r="T54" i="8"/>
  <c r="S54" i="8"/>
  <c r="P60" i="8"/>
  <c r="Y63" i="8"/>
  <c r="T66" i="8"/>
  <c r="T67" i="8"/>
  <c r="Q69" i="8"/>
  <c r="Q70" i="8"/>
  <c r="T71" i="8"/>
  <c r="S71" i="8"/>
  <c r="R71" i="8"/>
  <c r="Q84" i="8"/>
  <c r="T85" i="8"/>
  <c r="T95" i="8"/>
  <c r="S96" i="8"/>
  <c r="R100" i="8"/>
  <c r="T102" i="8"/>
  <c r="S102" i="8"/>
  <c r="R102" i="8"/>
  <c r="U101" i="8"/>
  <c r="U122" i="8"/>
  <c r="S125" i="8"/>
  <c r="T128" i="8"/>
  <c r="Y140" i="8"/>
  <c r="S140" i="8"/>
  <c r="R140" i="8"/>
  <c r="S157" i="8"/>
  <c r="U170" i="8"/>
  <c r="T172" i="8"/>
  <c r="U173" i="8"/>
  <c r="Y174" i="8"/>
  <c r="Q178" i="8"/>
  <c r="P178" i="8"/>
  <c r="O178" i="8"/>
  <c r="Q181" i="8"/>
  <c r="Q189" i="8"/>
  <c r="P189" i="8"/>
  <c r="P191" i="8"/>
  <c r="O191" i="8"/>
  <c r="Q192" i="8"/>
  <c r="O192" i="8"/>
  <c r="Y202" i="8"/>
  <c r="S216" i="8"/>
  <c r="S220" i="8"/>
  <c r="R221" i="8"/>
  <c r="R223" i="8"/>
  <c r="U224" i="8"/>
  <c r="S226" i="8"/>
  <c r="O227" i="8"/>
  <c r="P250" i="8"/>
  <c r="O250" i="8"/>
  <c r="Q250" i="8"/>
  <c r="S251" i="8"/>
  <c r="S255" i="8"/>
  <c r="R255" i="8"/>
  <c r="Y255" i="8"/>
  <c r="P264" i="8"/>
  <c r="O264" i="8"/>
  <c r="U264" i="8"/>
  <c r="Y265" i="8"/>
  <c r="T265" i="8"/>
  <c r="Y266" i="8"/>
  <c r="T266" i="8"/>
  <c r="S266" i="8"/>
  <c r="R266" i="8"/>
  <c r="U265" i="8"/>
  <c r="Q269" i="8"/>
  <c r="P269" i="8"/>
  <c r="U269" i="8"/>
  <c r="O285" i="8"/>
  <c r="Q285" i="8"/>
  <c r="U289" i="8"/>
  <c r="S297" i="8"/>
  <c r="R297" i="8"/>
  <c r="Y297" i="8"/>
  <c r="T297" i="8"/>
  <c r="U296" i="8"/>
  <c r="T311" i="8"/>
  <c r="U38" i="8"/>
  <c r="Y39" i="8"/>
  <c r="S46" i="8"/>
  <c r="R46" i="8"/>
  <c r="P55" i="8"/>
  <c r="O55" i="8"/>
  <c r="R89" i="8"/>
  <c r="Y89" i="8"/>
  <c r="T89" i="8"/>
  <c r="S89" i="8"/>
  <c r="Q131" i="8"/>
  <c r="P131" i="8"/>
  <c r="T134" i="8"/>
  <c r="Y134" i="8"/>
  <c r="P135" i="8"/>
  <c r="O135" i="8"/>
  <c r="O138" i="8"/>
  <c r="Q138" i="8"/>
  <c r="P138" i="8"/>
  <c r="T162" i="8"/>
  <c r="U161" i="8"/>
  <c r="T176" i="8"/>
  <c r="S176" i="8"/>
  <c r="Y178" i="8"/>
  <c r="R178" i="8"/>
  <c r="O184" i="8"/>
  <c r="Q184" i="8"/>
  <c r="P184" i="8"/>
  <c r="R189" i="8"/>
  <c r="Y189" i="8"/>
  <c r="S189" i="8"/>
  <c r="U188" i="8"/>
  <c r="U190" i="8"/>
  <c r="R191" i="8"/>
  <c r="Y238" i="8"/>
  <c r="S238" i="8"/>
  <c r="R238" i="8"/>
  <c r="Q257" i="8"/>
  <c r="P257" i="8"/>
  <c r="Q262" i="8"/>
  <c r="P262" i="8"/>
  <c r="S269" i="8"/>
  <c r="R269" i="8"/>
  <c r="U274" i="8"/>
  <c r="T275" i="8"/>
  <c r="S275" i="8"/>
  <c r="Y275" i="8"/>
  <c r="S282" i="8"/>
  <c r="R282" i="8"/>
  <c r="U281" i="8"/>
  <c r="Y282" i="8"/>
  <c r="Q38" i="8"/>
  <c r="P38" i="8"/>
  <c r="O38" i="8"/>
  <c r="Q77" i="8"/>
  <c r="P77" i="8"/>
  <c r="Q106" i="8"/>
  <c r="P106" i="8"/>
  <c r="O112" i="8"/>
  <c r="Q112" i="8"/>
  <c r="Y136" i="8"/>
  <c r="T136" i="8"/>
  <c r="T137" i="8"/>
  <c r="S137" i="8"/>
  <c r="Y137" i="8"/>
  <c r="R137" i="8"/>
  <c r="U136" i="8"/>
  <c r="Q143" i="8"/>
  <c r="P143" i="8"/>
  <c r="P161" i="8"/>
  <c r="O161" i="8"/>
  <c r="P163" i="8"/>
  <c r="O163" i="8"/>
  <c r="P177" i="8"/>
  <c r="O177" i="8"/>
  <c r="S178" i="8"/>
  <c r="R184" i="8"/>
  <c r="U183" i="8"/>
  <c r="T193" i="8"/>
  <c r="S193" i="8"/>
  <c r="Y193" i="8"/>
  <c r="O236" i="8"/>
  <c r="Q236" i="8"/>
  <c r="P236" i="8"/>
  <c r="U249" i="8"/>
  <c r="Q249" i="8"/>
  <c r="P249" i="8"/>
  <c r="Q272" i="8"/>
  <c r="P272" i="8"/>
  <c r="R275" i="8"/>
  <c r="Q280" i="8"/>
  <c r="P280" i="8"/>
  <c r="O294" i="8"/>
  <c r="Q294" i="8"/>
  <c r="T305" i="8"/>
  <c r="S305" i="8"/>
  <c r="R305" i="8"/>
  <c r="U304" i="8"/>
  <c r="Q317" i="8"/>
  <c r="P317" i="8"/>
  <c r="O317" i="8"/>
  <c r="Y40" i="8"/>
  <c r="T40" i="8"/>
  <c r="S40" i="8"/>
  <c r="Q55" i="8"/>
  <c r="T57" i="8"/>
  <c r="S57" i="8"/>
  <c r="R57" i="8"/>
  <c r="R77" i="8"/>
  <c r="U76" i="8"/>
  <c r="S106" i="8"/>
  <c r="R106" i="8"/>
  <c r="U105" i="8"/>
  <c r="O131" i="8"/>
  <c r="Q135" i="8"/>
  <c r="O136" i="8"/>
  <c r="O137" i="8"/>
  <c r="P142" i="8"/>
  <c r="R143" i="8"/>
  <c r="T143" i="8"/>
  <c r="S143" i="8"/>
  <c r="U142" i="8"/>
  <c r="O159" i="8"/>
  <c r="U176" i="8"/>
  <c r="T177" i="8"/>
  <c r="S177" i="8"/>
  <c r="R177" i="8"/>
  <c r="T178" i="8"/>
  <c r="Q188" i="8"/>
  <c r="P188" i="8"/>
  <c r="T189" i="8"/>
  <c r="S191" i="8"/>
  <c r="R192" i="8"/>
  <c r="P196" i="8"/>
  <c r="O196" i="8"/>
  <c r="Q229" i="8"/>
  <c r="P229" i="8"/>
  <c r="T232" i="8"/>
  <c r="Y232" i="8"/>
  <c r="P233" i="8"/>
  <c r="O233" i="8"/>
  <c r="U235" i="8"/>
  <c r="Q235" i="8"/>
  <c r="Q241" i="8"/>
  <c r="U241" i="8"/>
  <c r="P241" i="8"/>
  <c r="R245" i="8"/>
  <c r="Y245" i="8"/>
  <c r="T249" i="8"/>
  <c r="S249" i="8"/>
  <c r="Y249" i="8"/>
  <c r="R249" i="8"/>
  <c r="U248" i="8"/>
  <c r="O257" i="8"/>
  <c r="O262" i="8"/>
  <c r="O263" i="8"/>
  <c r="Y296" i="8"/>
  <c r="T296" i="8"/>
  <c r="R39" i="8"/>
  <c r="P41" i="8"/>
  <c r="O41" i="8"/>
  <c r="U45" i="8"/>
  <c r="T46" i="8"/>
  <c r="R56" i="8"/>
  <c r="P111" i="8"/>
  <c r="O111" i="8"/>
  <c r="P136" i="8"/>
  <c r="P137" i="8"/>
  <c r="Q142" i="8"/>
  <c r="Q160" i="8"/>
  <c r="P160" i="8"/>
  <c r="O160" i="8"/>
  <c r="U187" i="8"/>
  <c r="Y188" i="8"/>
  <c r="T188" i="8"/>
  <c r="S188" i="8"/>
  <c r="T191" i="8"/>
  <c r="S192" i="8"/>
  <c r="U194" i="8"/>
  <c r="T195" i="8"/>
  <c r="S195" i="8"/>
  <c r="R195" i="8"/>
  <c r="O198" i="8"/>
  <c r="P198" i="8"/>
  <c r="U208" i="8"/>
  <c r="R209" i="8"/>
  <c r="Y234" i="8"/>
  <c r="T234" i="8"/>
  <c r="T235" i="8"/>
  <c r="S235" i="8"/>
  <c r="Y235" i="8"/>
  <c r="R235" i="8"/>
  <c r="U234" i="8"/>
  <c r="S241" i="8"/>
  <c r="R241" i="8"/>
  <c r="Y241" i="8"/>
  <c r="T241" i="8"/>
  <c r="U240" i="8"/>
  <c r="Q244" i="8"/>
  <c r="P244" i="8"/>
  <c r="O244" i="8"/>
  <c r="Y248" i="8"/>
  <c r="T248" i="8"/>
  <c r="U247" i="8"/>
  <c r="S248" i="8"/>
  <c r="U292" i="8"/>
  <c r="Y293" i="8"/>
  <c r="R293" i="8"/>
  <c r="T293" i="8"/>
  <c r="T263" i="8"/>
  <c r="S263" i="8"/>
  <c r="Q279" i="8"/>
  <c r="Y280" i="8"/>
  <c r="T280" i="8"/>
  <c r="S280" i="8"/>
  <c r="R280" i="8"/>
  <c r="R286" i="8"/>
  <c r="U285" i="8"/>
  <c r="R287" i="8"/>
  <c r="Y287" i="8"/>
  <c r="Q310" i="8"/>
  <c r="U315" i="8"/>
  <c r="P296" i="8"/>
  <c r="Q303" i="8"/>
  <c r="P303" i="8"/>
  <c r="O303" i="8"/>
  <c r="O311" i="8"/>
  <c r="S316" i="8"/>
  <c r="S317" i="8"/>
  <c r="T22" i="10"/>
  <c r="R272" i="8"/>
  <c r="U271" i="8"/>
  <c r="R273" i="8"/>
  <c r="Y273" i="8"/>
  <c r="T317" i="8"/>
  <c r="AB17" i="12"/>
  <c r="AX13" i="12"/>
  <c r="AI17" i="12"/>
  <c r="AC17" i="12"/>
  <c r="AS16" i="12"/>
  <c r="AA17" i="12"/>
  <c r="AY13" i="12"/>
  <c r="Z17" i="12"/>
  <c r="Y17" i="12"/>
  <c r="BC17" i="12"/>
  <c r="AH17" i="12"/>
  <c r="AG17" i="12"/>
  <c r="AF17" i="12"/>
  <c r="AE17" i="12"/>
  <c r="AD17" i="12"/>
  <c r="BD17" i="12"/>
  <c r="S17" i="12"/>
  <c r="Q120" i="8"/>
  <c r="P120" i="8"/>
  <c r="Q132" i="8"/>
  <c r="P132" i="8"/>
  <c r="R161" i="8"/>
  <c r="Y161" i="8"/>
  <c r="Y196" i="8"/>
  <c r="S196" i="8"/>
  <c r="R196" i="8"/>
  <c r="Q230" i="8"/>
  <c r="P230" i="8"/>
  <c r="Q258" i="8"/>
  <c r="P258" i="8"/>
  <c r="T272" i="8"/>
  <c r="Q282" i="8"/>
  <c r="U287" i="8"/>
  <c r="P297" i="8"/>
  <c r="T303" i="8"/>
  <c r="S304" i="8"/>
  <c r="P305" i="8"/>
  <c r="P306" i="8"/>
  <c r="O306" i="8"/>
  <c r="U306" i="8"/>
  <c r="Y307" i="8"/>
  <c r="Y316" i="8"/>
  <c r="A1" i="10"/>
  <c r="T151" i="10"/>
  <c r="Y86" i="8"/>
  <c r="S86" i="8"/>
  <c r="T179" i="8"/>
  <c r="S179" i="8"/>
  <c r="P219" i="8"/>
  <c r="O219" i="8"/>
  <c r="U229" i="8"/>
  <c r="U236" i="8"/>
  <c r="Y252" i="8"/>
  <c r="T252" i="8"/>
  <c r="S252" i="8"/>
  <c r="R252" i="8"/>
  <c r="R258" i="8"/>
  <c r="U257" i="8"/>
  <c r="R259" i="8"/>
  <c r="Y259" i="8"/>
  <c r="U272" i="8"/>
  <c r="S273" i="8"/>
  <c r="S283" i="8"/>
  <c r="R283" i="8"/>
  <c r="R288" i="8"/>
  <c r="T291" i="8"/>
  <c r="S291" i="8"/>
  <c r="U303" i="8"/>
  <c r="T304" i="8"/>
  <c r="Q314" i="8"/>
  <c r="P314" i="8"/>
  <c r="R121" i="8"/>
  <c r="Y121" i="8"/>
  <c r="R133" i="8"/>
  <c r="Y133" i="8"/>
  <c r="Y168" i="8"/>
  <c r="S168" i="8"/>
  <c r="R168" i="8"/>
  <c r="Q202" i="8"/>
  <c r="P202" i="8"/>
  <c r="R231" i="8"/>
  <c r="Y231" i="8"/>
  <c r="Y263" i="8"/>
  <c r="T273" i="8"/>
  <c r="Q275" i="8"/>
  <c r="P275" i="8"/>
  <c r="O275" i="8"/>
  <c r="Y286" i="8"/>
  <c r="S288" i="8"/>
  <c r="Y308" i="8"/>
  <c r="T308" i="8"/>
  <c r="S308" i="8"/>
  <c r="R308" i="8"/>
  <c r="R314" i="8"/>
  <c r="U313" i="8"/>
  <c r="R315" i="8"/>
  <c r="Y315" i="8"/>
  <c r="Y317" i="8"/>
  <c r="A1" i="9"/>
  <c r="Y294" i="8"/>
  <c r="T294" i="8"/>
  <c r="S294" i="8"/>
  <c r="R294" i="8"/>
  <c r="R300" i="8"/>
  <c r="U299" i="8"/>
  <c r="R301" i="8"/>
  <c r="Y301" i="8"/>
  <c r="T81" i="8"/>
  <c r="T86" i="8"/>
  <c r="S99" i="8"/>
  <c r="T107" i="8"/>
  <c r="U120" i="8"/>
  <c r="S121" i="8"/>
  <c r="U132" i="8"/>
  <c r="S133" i="8"/>
  <c r="T139" i="8"/>
  <c r="Q146" i="8"/>
  <c r="P146" i="8"/>
  <c r="T150" i="8"/>
  <c r="T168" i="8"/>
  <c r="R175" i="8"/>
  <c r="Y175" i="8"/>
  <c r="T185" i="8"/>
  <c r="S190" i="8"/>
  <c r="Y210" i="8"/>
  <c r="S210" i="8"/>
  <c r="R210" i="8"/>
  <c r="R214" i="8"/>
  <c r="T219" i="8"/>
  <c r="U230" i="8"/>
  <c r="S231" i="8"/>
  <c r="T237" i="8"/>
  <c r="T259" i="8"/>
  <c r="Q261" i="8"/>
  <c r="P261" i="8"/>
  <c r="O261" i="8"/>
  <c r="S276" i="8"/>
  <c r="P278" i="8"/>
  <c r="O278" i="8"/>
  <c r="U278" i="8"/>
  <c r="Y279" i="8"/>
  <c r="Y288" i="8"/>
  <c r="U307" i="8"/>
  <c r="U314" i="8"/>
  <c r="S315" i="8"/>
  <c r="T33" i="10"/>
  <c r="T6" i="10"/>
  <c r="T76" i="10"/>
  <c r="D9" i="11"/>
  <c r="E9" i="11" s="1"/>
  <c r="D10" i="11" s="1"/>
  <c r="E10" i="11" s="1"/>
  <c r="D11" i="11" s="1"/>
  <c r="E11" i="11" s="1"/>
  <c r="D12" i="11" s="1"/>
  <c r="E12" i="11" s="1"/>
  <c r="D13" i="11" s="1"/>
  <c r="E13" i="11" s="1"/>
  <c r="D14" i="11" s="1"/>
  <c r="E14" i="11" s="1"/>
  <c r="D15" i="11" s="1"/>
  <c r="E15" i="11" s="1"/>
  <c r="D16" i="11" s="1"/>
  <c r="E16" i="11" s="1"/>
  <c r="D17" i="11" s="1"/>
  <c r="E17" i="11" s="1"/>
  <c r="D18" i="11" s="1"/>
  <c r="E18" i="11" s="1"/>
  <c r="D19" i="11" s="1"/>
  <c r="E19" i="11" s="1"/>
  <c r="D20" i="11" s="1"/>
  <c r="E20" i="11" s="1"/>
  <c r="D21" i="11" s="1"/>
  <c r="E21" i="11" s="1"/>
  <c r="D22" i="11" s="1"/>
  <c r="E22" i="11" s="1"/>
  <c r="D23" i="11" s="1"/>
  <c r="E23" i="11" s="1"/>
  <c r="D24" i="11" s="1"/>
  <c r="E24" i="11" s="1"/>
  <c r="D25" i="11" s="1"/>
  <c r="E25" i="11" s="1"/>
  <c r="D26" i="11" s="1"/>
  <c r="E26" i="11" s="1"/>
  <c r="D27" i="11" s="1"/>
  <c r="E27" i="11" s="1"/>
  <c r="D28" i="11" s="1"/>
  <c r="E28" i="11" s="1"/>
  <c r="D29" i="11" s="1"/>
  <c r="E29" i="11" s="1"/>
  <c r="D30" i="11" s="1"/>
  <c r="E30" i="11" s="1"/>
  <c r="D31" i="11" s="1"/>
  <c r="E31" i="11" s="1"/>
  <c r="D32" i="11" s="1"/>
  <c r="E32" i="11" s="1"/>
  <c r="D33" i="11" s="1"/>
  <c r="E33" i="11" s="1"/>
  <c r="D34" i="11" s="1"/>
  <c r="E34" i="11" s="1"/>
  <c r="D35" i="11" s="1"/>
  <c r="E35" i="11" s="1"/>
  <c r="D36" i="11" s="1"/>
  <c r="E36" i="11" s="1"/>
  <c r="D37" i="11" s="1"/>
  <c r="E37" i="11" s="1"/>
  <c r="D38" i="11" s="1"/>
  <c r="E38" i="11" s="1"/>
  <c r="D39" i="11" s="1"/>
  <c r="E39" i="11" s="1"/>
  <c r="D40" i="11" s="1"/>
  <c r="E40" i="11" s="1"/>
  <c r="D41" i="11" s="1"/>
  <c r="E41" i="11" s="1"/>
  <c r="D42" i="11" s="1"/>
  <c r="E42" i="11" s="1"/>
  <c r="D43" i="11" s="1"/>
  <c r="E43" i="11" s="1"/>
  <c r="D44" i="11" s="1"/>
  <c r="E44" i="11" s="1"/>
  <c r="D45" i="11" s="1"/>
  <c r="E45" i="11" s="1"/>
  <c r="D46" i="11" s="1"/>
  <c r="E46" i="11" s="1"/>
  <c r="D47" i="11" s="1"/>
  <c r="E47" i="11" s="1"/>
  <c r="D48" i="11" s="1"/>
  <c r="E48" i="11" s="1"/>
  <c r="D49" i="11" s="1"/>
  <c r="E49" i="11" s="1"/>
  <c r="D50" i="11" s="1"/>
  <c r="E50" i="11" s="1"/>
  <c r="D51" i="11" s="1"/>
  <c r="E51" i="11" s="1"/>
  <c r="D52" i="11" s="1"/>
  <c r="E52" i="11" s="1"/>
  <c r="D53" i="11" s="1"/>
  <c r="E53" i="11" s="1"/>
  <c r="D54" i="11" s="1"/>
  <c r="E54" i="11" s="1"/>
  <c r="D55" i="11" s="1"/>
  <c r="E55" i="11" s="1"/>
  <c r="D56" i="11" s="1"/>
  <c r="E56" i="11" s="1"/>
  <c r="D57" i="11" s="1"/>
  <c r="E57" i="11" s="1"/>
  <c r="D58" i="11" s="1"/>
  <c r="E58" i="11" s="1"/>
  <c r="D59" i="11" s="1"/>
  <c r="E59" i="11" s="1"/>
  <c r="D60" i="11" s="1"/>
  <c r="E60" i="11" s="1"/>
  <c r="D61" i="11" s="1"/>
  <c r="E61" i="11" s="1"/>
  <c r="D62" i="11" s="1"/>
  <c r="E62" i="11" s="1"/>
  <c r="D63" i="11" s="1"/>
  <c r="E63" i="11" s="1"/>
  <c r="D64" i="11" s="1"/>
  <c r="E64" i="11" s="1"/>
  <c r="D65" i="11" s="1"/>
  <c r="E65" i="11" s="1"/>
  <c r="D66" i="11" s="1"/>
  <c r="E66" i="11" s="1"/>
  <c r="D67" i="11" s="1"/>
  <c r="E67" i="11" s="1"/>
  <c r="D68" i="11" s="1"/>
  <c r="E68" i="11" s="1"/>
  <c r="D69" i="11" s="1"/>
  <c r="E69" i="11" s="1"/>
  <c r="D70" i="11" s="1"/>
  <c r="E70" i="11" s="1"/>
  <c r="D71" i="11" s="1"/>
  <c r="E71" i="11" s="1"/>
  <c r="D72" i="11" s="1"/>
  <c r="E72" i="11" s="1"/>
  <c r="D73" i="11" s="1"/>
  <c r="E73" i="11" s="1"/>
  <c r="D74" i="11" s="1"/>
  <c r="E74" i="11" s="1"/>
  <c r="D75" i="11" s="1"/>
  <c r="E75" i="11" s="1"/>
  <c r="D76" i="11" s="1"/>
  <c r="E76" i="11" s="1"/>
  <c r="D77" i="11" s="1"/>
  <c r="E77" i="11" s="1"/>
  <c r="D78" i="11" s="1"/>
  <c r="E78" i="11" s="1"/>
  <c r="D79" i="11" s="1"/>
  <c r="E79" i="11" s="1"/>
  <c r="D80" i="11" s="1"/>
  <c r="E80" i="11" s="1"/>
  <c r="D81" i="11" s="1"/>
  <c r="E81" i="11" s="1"/>
  <c r="D82" i="11" s="1"/>
  <c r="E82" i="11" s="1"/>
  <c r="D83" i="11" s="1"/>
  <c r="E83" i="11" s="1"/>
  <c r="D84" i="11" s="1"/>
  <c r="E84" i="11" s="1"/>
  <c r="D85" i="11" s="1"/>
  <c r="E85" i="11" s="1"/>
  <c r="D86" i="11" s="1"/>
  <c r="E86" i="11" s="1"/>
  <c r="D87" i="11" s="1"/>
  <c r="E87" i="11" s="1"/>
  <c r="D88" i="11" s="1"/>
  <c r="E88" i="11" s="1"/>
  <c r="D89" i="11" s="1"/>
  <c r="E89" i="11" s="1"/>
  <c r="D90" i="11" s="1"/>
  <c r="E90" i="11" s="1"/>
  <c r="D91" i="11" s="1"/>
  <c r="E91" i="11" s="1"/>
  <c r="D92" i="11" s="1"/>
  <c r="E92" i="11" s="1"/>
  <c r="D93" i="11" s="1"/>
  <c r="E93" i="11" s="1"/>
  <c r="D94" i="11" s="1"/>
  <c r="E94" i="11" s="1"/>
  <c r="D95" i="11" s="1"/>
  <c r="E95" i="11" s="1"/>
  <c r="D96" i="11" s="1"/>
  <c r="E96" i="11" s="1"/>
  <c r="D97" i="11" s="1"/>
  <c r="E97" i="11" s="1"/>
  <c r="D98" i="11" s="1"/>
  <c r="E98" i="11" s="1"/>
  <c r="D99" i="11" s="1"/>
  <c r="E99" i="11" s="1"/>
  <c r="D100" i="11" s="1"/>
  <c r="E100" i="11" s="1"/>
  <c r="D101" i="11" s="1"/>
  <c r="E101" i="11" s="1"/>
  <c r="D102" i="11" s="1"/>
  <c r="E102" i="11" s="1"/>
  <c r="D103" i="11" s="1"/>
  <c r="E103" i="11" s="1"/>
  <c r="D104" i="11" s="1"/>
  <c r="E104" i="11" s="1"/>
  <c r="D105" i="11" s="1"/>
  <c r="E105" i="11" s="1"/>
  <c r="D106" i="11" s="1"/>
  <c r="E106" i="11" s="1"/>
  <c r="D107" i="11" s="1"/>
  <c r="E107" i="11" s="1"/>
  <c r="D108" i="11" s="1"/>
  <c r="E108" i="11" s="1"/>
  <c r="D109" i="11" s="1"/>
  <c r="E109" i="11" s="1"/>
  <c r="D110" i="11" s="1"/>
  <c r="E110" i="11" s="1"/>
  <c r="D111" i="11" s="1"/>
  <c r="E111" i="11" s="1"/>
  <c r="D112" i="11" s="1"/>
  <c r="E112" i="11" s="1"/>
  <c r="D113" i="11" s="1"/>
  <c r="E113" i="11" s="1"/>
  <c r="D114" i="11" s="1"/>
  <c r="E114" i="11" s="1"/>
  <c r="D115" i="11" s="1"/>
  <c r="E115" i="11" s="1"/>
  <c r="D116" i="11" s="1"/>
  <c r="E116" i="11" s="1"/>
  <c r="D117" i="11" s="1"/>
  <c r="E117" i="11" s="1"/>
  <c r="D118" i="11" s="1"/>
  <c r="E118" i="11" s="1"/>
  <c r="D119" i="11" s="1"/>
  <c r="E119" i="11" s="1"/>
  <c r="D120" i="11" s="1"/>
  <c r="E120" i="11" s="1"/>
  <c r="D121" i="11" s="1"/>
  <c r="E121" i="11" s="1"/>
  <c r="D122" i="11" s="1"/>
  <c r="E122" i="11" s="1"/>
  <c r="D123" i="11" s="1"/>
  <c r="E123" i="11" s="1"/>
  <c r="D124" i="11" s="1"/>
  <c r="E124" i="11" s="1"/>
  <c r="D125" i="11" s="1"/>
  <c r="E125" i="11" s="1"/>
  <c r="D126" i="11" s="1"/>
  <c r="E126" i="11" s="1"/>
  <c r="D127" i="11" s="1"/>
  <c r="E127" i="11" s="1"/>
  <c r="D128" i="11" s="1"/>
  <c r="E128" i="11" s="1"/>
  <c r="D129" i="11" s="1"/>
  <c r="E129" i="11" s="1"/>
  <c r="D130" i="11" s="1"/>
  <c r="E130" i="11" s="1"/>
  <c r="D131" i="11" s="1"/>
  <c r="E131" i="11" s="1"/>
  <c r="D132" i="11" s="1"/>
  <c r="E132" i="11" s="1"/>
  <c r="D133" i="11" s="1"/>
  <c r="E133" i="11" s="1"/>
  <c r="D134" i="11" s="1"/>
  <c r="E134" i="11" s="1"/>
  <c r="D135" i="11" s="1"/>
  <c r="E135" i="11" s="1"/>
  <c r="D136" i="11" s="1"/>
  <c r="E136" i="11" s="1"/>
  <c r="D137" i="11" s="1"/>
  <c r="E137" i="11" s="1"/>
  <c r="D138" i="11" s="1"/>
  <c r="E138" i="11" s="1"/>
  <c r="D139" i="11" s="1"/>
  <c r="E139" i="11" s="1"/>
  <c r="D140" i="11" s="1"/>
  <c r="E140" i="11" s="1"/>
  <c r="D141" i="11" s="1"/>
  <c r="E141" i="11" s="1"/>
  <c r="D142" i="11" s="1"/>
  <c r="E142" i="11" s="1"/>
  <c r="D143" i="11" s="1"/>
  <c r="E143" i="11" s="1"/>
  <c r="D144" i="11" s="1"/>
  <c r="E144" i="11" s="1"/>
  <c r="D145" i="11" s="1"/>
  <c r="E145" i="11" s="1"/>
  <c r="D146" i="11" s="1"/>
  <c r="E146" i="11" s="1"/>
  <c r="D147" i="11" s="1"/>
  <c r="E147" i="11" s="1"/>
  <c r="D148" i="11" s="1"/>
  <c r="E148" i="11" s="1"/>
  <c r="D149" i="11" s="1"/>
  <c r="E149" i="11" s="1"/>
  <c r="D150" i="11" s="1"/>
  <c r="E150" i="11" s="1"/>
  <c r="D151" i="11" s="1"/>
  <c r="E151" i="11" s="1"/>
  <c r="D152" i="11" s="1"/>
  <c r="E152" i="11" s="1"/>
  <c r="D153" i="11" s="1"/>
  <c r="E153" i="11" s="1"/>
  <c r="D154" i="11" s="1"/>
  <c r="E154" i="11" s="1"/>
  <c r="D155" i="11" s="1"/>
  <c r="E155" i="11" s="1"/>
  <c r="D156" i="11" s="1"/>
  <c r="E156" i="11" s="1"/>
  <c r="D157" i="11" s="1"/>
  <c r="E157" i="11" s="1"/>
  <c r="D158" i="11" s="1"/>
  <c r="E158" i="11" s="1"/>
  <c r="D159" i="11" s="1"/>
  <c r="E159" i="11" s="1"/>
  <c r="D160" i="11" s="1"/>
  <c r="E160" i="11" s="1"/>
  <c r="D161" i="11" s="1"/>
  <c r="E161" i="11" s="1"/>
  <c r="D162" i="11" s="1"/>
  <c r="E162" i="11" s="1"/>
  <c r="D163" i="11" s="1"/>
  <c r="E163" i="11" s="1"/>
  <c r="D164" i="11" s="1"/>
  <c r="E164" i="11" s="1"/>
  <c r="D165" i="11" s="1"/>
  <c r="E165" i="11" s="1"/>
  <c r="D166" i="11" s="1"/>
  <c r="E166" i="11" s="1"/>
  <c r="D167" i="11" s="1"/>
  <c r="E167" i="11" s="1"/>
  <c r="D168" i="11" s="1"/>
  <c r="E168" i="11" s="1"/>
  <c r="D169" i="11" s="1"/>
  <c r="E169" i="11" s="1"/>
  <c r="D170" i="11" s="1"/>
  <c r="E170" i="11" s="1"/>
  <c r="D171" i="11" s="1"/>
  <c r="E171" i="11" s="1"/>
  <c r="D172" i="11" s="1"/>
  <c r="E172" i="11" s="1"/>
  <c r="D173" i="11" s="1"/>
  <c r="E173" i="11" s="1"/>
  <c r="D174" i="11" s="1"/>
  <c r="E174" i="11" s="1"/>
  <c r="D175" i="11" s="1"/>
  <c r="E175" i="11" s="1"/>
  <c r="D176" i="11" s="1"/>
  <c r="E176" i="11" s="1"/>
  <c r="D177" i="11" s="1"/>
  <c r="E177" i="11" s="1"/>
  <c r="D178" i="11" s="1"/>
  <c r="E178" i="11" s="1"/>
  <c r="D179" i="11" s="1"/>
  <c r="E179" i="11" s="1"/>
  <c r="D180" i="11" s="1"/>
  <c r="E180" i="11" s="1"/>
  <c r="D181" i="11" s="1"/>
  <c r="E181" i="11" s="1"/>
  <c r="D182" i="11" s="1"/>
  <c r="E182" i="11" s="1"/>
  <c r="D183" i="11" s="1"/>
  <c r="E183" i="11" s="1"/>
  <c r="D184" i="11" s="1"/>
  <c r="E184" i="11" s="1"/>
  <c r="D185" i="11" s="1"/>
  <c r="E185" i="11" s="1"/>
  <c r="D186" i="11" s="1"/>
  <c r="E186" i="11" s="1"/>
  <c r="D187" i="11" s="1"/>
  <c r="E187" i="11" s="1"/>
  <c r="D188" i="11" s="1"/>
  <c r="E188" i="11" s="1"/>
  <c r="D189" i="11" s="1"/>
  <c r="E189" i="11" s="1"/>
  <c r="D190" i="11" s="1"/>
  <c r="E190" i="11" s="1"/>
  <c r="D191" i="11" s="1"/>
  <c r="E191" i="11" s="1"/>
  <c r="D192" i="11" s="1"/>
  <c r="E192" i="11" s="1"/>
  <c r="D193" i="11" s="1"/>
  <c r="E193" i="11" s="1"/>
  <c r="D194" i="11" s="1"/>
  <c r="E194" i="11" s="1"/>
  <c r="D195" i="11" s="1"/>
  <c r="E195" i="11" s="1"/>
  <c r="D196" i="11" s="1"/>
  <c r="E196" i="11" s="1"/>
  <c r="D197" i="11" s="1"/>
  <c r="E197" i="11" s="1"/>
  <c r="D198" i="11" s="1"/>
  <c r="E198" i="11" s="1"/>
  <c r="D199" i="11" s="1"/>
  <c r="E199" i="11" s="1"/>
  <c r="D200" i="11" s="1"/>
  <c r="E200" i="11" s="1"/>
  <c r="D201" i="11" s="1"/>
  <c r="E201" i="11" s="1"/>
  <c r="D202" i="11" s="1"/>
  <c r="E202" i="11" s="1"/>
  <c r="D203" i="11" s="1"/>
  <c r="E203" i="11" s="1"/>
  <c r="D204" i="11" s="1"/>
  <c r="E204" i="11" s="1"/>
  <c r="D205" i="11" s="1"/>
  <c r="E205" i="11" s="1"/>
  <c r="D206" i="11" s="1"/>
  <c r="E206" i="11" s="1"/>
  <c r="D207" i="11" s="1"/>
  <c r="E207" i="11" s="1"/>
  <c r="D208" i="11" s="1"/>
  <c r="E208" i="11" s="1"/>
  <c r="D209" i="11" s="1"/>
  <c r="E209" i="11" s="1"/>
  <c r="D210" i="11" s="1"/>
  <c r="E210" i="11" s="1"/>
  <c r="D211" i="11" s="1"/>
  <c r="E211" i="11" s="1"/>
  <c r="D212" i="11" s="1"/>
  <c r="E212" i="11" s="1"/>
  <c r="D213" i="11" s="1"/>
  <c r="E213" i="11" s="1"/>
  <c r="D214" i="11" s="1"/>
  <c r="E214" i="11" s="1"/>
  <c r="D215" i="11" s="1"/>
  <c r="E215" i="11" s="1"/>
  <c r="D216" i="11" s="1"/>
  <c r="E216" i="11" s="1"/>
  <c r="D217" i="11" s="1"/>
  <c r="E217" i="11" s="1"/>
  <c r="D218" i="11" s="1"/>
  <c r="E218" i="11" s="1"/>
  <c r="D219" i="11" s="1"/>
  <c r="E219" i="11" s="1"/>
  <c r="D220" i="11" s="1"/>
  <c r="E220" i="11" s="1"/>
  <c r="D221" i="11" s="1"/>
  <c r="E221" i="11" s="1"/>
  <c r="D222" i="11" s="1"/>
  <c r="E222" i="11" s="1"/>
  <c r="D223" i="11" s="1"/>
  <c r="E223" i="11" s="1"/>
  <c r="D224" i="11" s="1"/>
  <c r="E224" i="11" s="1"/>
  <c r="D225" i="11" s="1"/>
  <c r="E225" i="11" s="1"/>
  <c r="D226" i="11" s="1"/>
  <c r="E226" i="11" s="1"/>
  <c r="D227" i="11" s="1"/>
  <c r="E227" i="11" s="1"/>
  <c r="D228" i="11" s="1"/>
  <c r="E228" i="11" s="1"/>
  <c r="D229" i="11" s="1"/>
  <c r="E229" i="11" s="1"/>
  <c r="D230" i="11" s="1"/>
  <c r="E230" i="11" s="1"/>
  <c r="D231" i="11" s="1"/>
  <c r="E231" i="11" s="1"/>
  <c r="D232" i="11" s="1"/>
  <c r="E232" i="11" s="1"/>
  <c r="D233" i="11" s="1"/>
  <c r="E233" i="11" s="1"/>
  <c r="D234" i="11" s="1"/>
  <c r="E234" i="11" s="1"/>
  <c r="D235" i="11" s="1"/>
  <c r="E235" i="11" s="1"/>
  <c r="D236" i="11" s="1"/>
  <c r="E236" i="11" s="1"/>
  <c r="D237" i="11" s="1"/>
  <c r="E237" i="11" s="1"/>
  <c r="D238" i="11" s="1"/>
  <c r="E238" i="11" s="1"/>
  <c r="D239" i="11" s="1"/>
  <c r="E239" i="11" s="1"/>
  <c r="D240" i="11" s="1"/>
  <c r="E240" i="11" s="1"/>
  <c r="D241" i="11" s="1"/>
  <c r="E241" i="11" s="1"/>
  <c r="D242" i="11" s="1"/>
  <c r="E242" i="11" s="1"/>
  <c r="D243" i="11" s="1"/>
  <c r="E243" i="11" s="1"/>
  <c r="D244" i="11" s="1"/>
  <c r="E244" i="11" s="1"/>
  <c r="D245" i="11" s="1"/>
  <c r="E245" i="11" s="1"/>
  <c r="D246" i="11" s="1"/>
  <c r="E246" i="11" s="1"/>
  <c r="D247" i="11" s="1"/>
  <c r="E247" i="11" s="1"/>
  <c r="D248" i="11" s="1"/>
  <c r="E248" i="11" s="1"/>
  <c r="D249" i="11" s="1"/>
  <c r="E249" i="11" s="1"/>
  <c r="D250" i="11" s="1"/>
  <c r="E250" i="11" s="1"/>
  <c r="D251" i="11" s="1"/>
  <c r="E251" i="11" s="1"/>
  <c r="D252" i="11" s="1"/>
  <c r="E252" i="11" s="1"/>
  <c r="D253" i="11" s="1"/>
  <c r="E253" i="11" s="1"/>
  <c r="D254" i="11" s="1"/>
  <c r="E254" i="11" s="1"/>
  <c r="D255" i="11" s="1"/>
  <c r="E255" i="11" s="1"/>
  <c r="D256" i="11" s="1"/>
  <c r="E256" i="11" s="1"/>
  <c r="D257" i="11" s="1"/>
  <c r="E257" i="11" s="1"/>
  <c r="D258" i="11" s="1"/>
  <c r="E258" i="11" s="1"/>
  <c r="D259" i="11" s="1"/>
  <c r="E259" i="11" s="1"/>
  <c r="D260" i="11" s="1"/>
  <c r="E260" i="11" s="1"/>
  <c r="D261" i="11" s="1"/>
  <c r="E261" i="11" s="1"/>
  <c r="D262" i="11" s="1"/>
  <c r="E262" i="11" s="1"/>
  <c r="D263" i="11" s="1"/>
  <c r="E263" i="11" s="1"/>
  <c r="D264" i="11" s="1"/>
  <c r="E264" i="11" s="1"/>
  <c r="D265" i="11" s="1"/>
  <c r="E265" i="11" s="1"/>
  <c r="D266" i="11" s="1"/>
  <c r="E266" i="11" s="1"/>
  <c r="D267" i="11" s="1"/>
  <c r="E267" i="11" s="1"/>
  <c r="D268" i="11" s="1"/>
  <c r="E268" i="11" s="1"/>
  <c r="D269" i="11" s="1"/>
  <c r="E269" i="11" s="1"/>
  <c r="D270" i="11" s="1"/>
  <c r="E270" i="11" s="1"/>
  <c r="D271" i="11" s="1"/>
  <c r="E271" i="11" s="1"/>
  <c r="D272" i="11" s="1"/>
  <c r="E272" i="11" s="1"/>
  <c r="D273" i="11" s="1"/>
  <c r="E273" i="11" s="1"/>
  <c r="D274" i="11" s="1"/>
  <c r="E274" i="11" s="1"/>
  <c r="D275" i="11" s="1"/>
  <c r="E275" i="11" s="1"/>
  <c r="D276" i="11" s="1"/>
  <c r="E276" i="11" s="1"/>
  <c r="D277" i="11" s="1"/>
  <c r="E277" i="11" s="1"/>
  <c r="D278" i="11" s="1"/>
  <c r="E278" i="11" s="1"/>
  <c r="D279" i="11" s="1"/>
  <c r="E279" i="11" s="1"/>
  <c r="D280" i="11" s="1"/>
  <c r="E280" i="11" s="1"/>
  <c r="D281" i="11" s="1"/>
  <c r="E281" i="11" s="1"/>
  <c r="D282" i="11" s="1"/>
  <c r="E282" i="11" s="1"/>
  <c r="D283" i="11" s="1"/>
  <c r="E283" i="11" s="1"/>
  <c r="D284" i="11" s="1"/>
  <c r="E284" i="11" s="1"/>
  <c r="D285" i="11" s="1"/>
  <c r="E285" i="11" s="1"/>
  <c r="D286" i="11" s="1"/>
  <c r="E286" i="11" s="1"/>
  <c r="D287" i="11" s="1"/>
  <c r="E287" i="11" s="1"/>
  <c r="D288" i="11" s="1"/>
  <c r="E288" i="11" s="1"/>
  <c r="D289" i="11" s="1"/>
  <c r="E289" i="11" s="1"/>
  <c r="D290" i="11" s="1"/>
  <c r="E290" i="11" s="1"/>
  <c r="D291" i="11" s="1"/>
  <c r="E291" i="11" s="1"/>
  <c r="D292" i="11" s="1"/>
  <c r="E292" i="11" s="1"/>
  <c r="D293" i="11" s="1"/>
  <c r="E293" i="11" s="1"/>
  <c r="D294" i="11" s="1"/>
  <c r="E294" i="11" s="1"/>
  <c r="D295" i="11" s="1"/>
  <c r="E295" i="11" s="1"/>
  <c r="D296" i="11" s="1"/>
  <c r="E296" i="11" s="1"/>
  <c r="D297" i="11" s="1"/>
  <c r="E297" i="11" s="1"/>
  <c r="D298" i="11" s="1"/>
  <c r="E298" i="11" s="1"/>
  <c r="D299" i="11" s="1"/>
  <c r="E299" i="11" s="1"/>
  <c r="D300" i="11" s="1"/>
  <c r="E300" i="11" s="1"/>
  <c r="D301" i="11" s="1"/>
  <c r="E301" i="11" s="1"/>
  <c r="D302" i="11" s="1"/>
  <c r="E302" i="11" s="1"/>
  <c r="D303" i="11" s="1"/>
  <c r="E303" i="11" s="1"/>
  <c r="D304" i="11" s="1"/>
  <c r="E304" i="11" s="1"/>
  <c r="D305" i="11" s="1"/>
  <c r="E305" i="11" s="1"/>
  <c r="D306" i="11" s="1"/>
  <c r="E306" i="11" s="1"/>
  <c r="D307" i="11" s="1"/>
  <c r="E307" i="11" s="1"/>
  <c r="D308" i="11" s="1"/>
  <c r="E308" i="11" s="1"/>
  <c r="D309" i="11" s="1"/>
  <c r="E309" i="11" s="1"/>
  <c r="D310" i="11" s="1"/>
  <c r="E310" i="11" s="1"/>
  <c r="D311" i="11" s="1"/>
  <c r="E311" i="11" s="1"/>
  <c r="D312" i="11" s="1"/>
  <c r="E312" i="11" s="1"/>
  <c r="D313" i="11" s="1"/>
  <c r="E313" i="11" s="1"/>
  <c r="D314" i="11" s="1"/>
  <c r="E314" i="11" s="1"/>
  <c r="D315" i="11" s="1"/>
  <c r="E315" i="11" s="1"/>
  <c r="D316" i="11" s="1"/>
  <c r="E316" i="11" s="1"/>
  <c r="D317" i="11" s="1"/>
  <c r="E317" i="11" s="1"/>
  <c r="D318" i="11" s="1"/>
  <c r="E318" i="11" s="1"/>
  <c r="D319" i="11" s="1"/>
  <c r="E319" i="11" s="1"/>
  <c r="G238" i="11"/>
  <c r="X13" i="12"/>
  <c r="V13" i="12"/>
  <c r="AD11" i="12"/>
  <c r="BC11" i="12"/>
  <c r="W11" i="12"/>
  <c r="S11" i="12"/>
  <c r="AC11" i="12"/>
  <c r="AX7" i="12"/>
  <c r="AI11" i="12"/>
  <c r="AH11" i="12"/>
  <c r="AG11" i="12"/>
  <c r="AY7" i="12"/>
  <c r="BD11" i="12"/>
  <c r="AF11" i="12"/>
  <c r="AE11" i="12"/>
  <c r="AB11" i="12"/>
  <c r="AA11" i="12"/>
  <c r="Z11" i="12"/>
  <c r="Y11" i="12"/>
  <c r="AT10" i="12"/>
  <c r="T94" i="10"/>
  <c r="T146" i="10"/>
  <c r="T132" i="10"/>
  <c r="AS10" i="12"/>
  <c r="T7" i="12"/>
  <c r="T8" i="12" s="1"/>
  <c r="T9" i="12" s="1"/>
  <c r="T10" i="12" s="1"/>
  <c r="T11" i="12" s="1"/>
  <c r="T12" i="12" s="1"/>
  <c r="T13" i="12" s="1"/>
  <c r="T14" i="12" s="1"/>
  <c r="T15" i="12" s="1"/>
  <c r="T16" i="12" s="1"/>
  <c r="T17" i="12" s="1"/>
  <c r="T18" i="12" s="1"/>
  <c r="T19" i="12" s="1"/>
  <c r="T20" i="12" s="1"/>
  <c r="T21" i="12" s="1"/>
  <c r="T22" i="12" s="1"/>
  <c r="T23" i="12" s="1"/>
  <c r="T24" i="12" s="1"/>
  <c r="T25" i="12" s="1"/>
  <c r="T26" i="12" s="1"/>
  <c r="T27" i="12" s="1"/>
  <c r="T28" i="12" s="1"/>
  <c r="T29" i="12" s="1"/>
  <c r="T30" i="12" s="1"/>
  <c r="T31" i="12" s="1"/>
  <c r="T32" i="12" s="1"/>
  <c r="T33" i="12" s="1"/>
  <c r="T34" i="12" s="1"/>
  <c r="T35" i="12" s="1"/>
  <c r="T36" i="12" s="1"/>
  <c r="T37" i="12" s="1"/>
  <c r="T38" i="12" s="1"/>
  <c r="T39" i="12" s="1"/>
  <c r="T40" i="12" s="1"/>
  <c r="T41" i="12" s="1"/>
  <c r="T42" i="12" s="1"/>
  <c r="T43" i="12" s="1"/>
  <c r="T44" i="12" s="1"/>
  <c r="T45" i="12" s="1"/>
  <c r="T46" i="12" s="1"/>
  <c r="T47" i="12" s="1"/>
  <c r="T48" i="12" s="1"/>
  <c r="T49" i="12" s="1"/>
  <c r="T50" i="12" s="1"/>
  <c r="T51" i="12" s="1"/>
  <c r="T52" i="12" s="1"/>
  <c r="T53" i="12" s="1"/>
  <c r="AO12" i="12"/>
  <c r="W4" i="12"/>
  <c r="AE4" i="12"/>
  <c r="AD4" i="12"/>
  <c r="AB4" i="12"/>
  <c r="AS3" i="12"/>
  <c r="AA4" i="12"/>
  <c r="Z4" i="12"/>
  <c r="Y4" i="12"/>
  <c r="BD4" i="12"/>
  <c r="AI4" i="12"/>
  <c r="AH4" i="12"/>
  <c r="AG4" i="12"/>
  <c r="AF4" i="12"/>
  <c r="AC4" i="12"/>
  <c r="BC4" i="12"/>
  <c r="S4" i="12"/>
  <c r="AM6" i="12"/>
  <c r="R6" i="12"/>
  <c r="AJ6" i="12"/>
  <c r="V14" i="12"/>
  <c r="X14" i="12"/>
  <c r="AN3" i="12"/>
  <c r="R3" i="12"/>
  <c r="G295" i="11"/>
  <c r="AM8" i="12"/>
  <c r="R8" i="12"/>
  <c r="T108" i="10"/>
  <c r="AK3" i="12"/>
  <c r="AN6" i="12"/>
  <c r="T62" i="10"/>
  <c r="AM4" i="12"/>
  <c r="AM12" i="12"/>
  <c r="R12" i="12"/>
  <c r="AJ12" i="12"/>
  <c r="R15" i="12"/>
  <c r="AM15" i="12"/>
  <c r="AJ15" i="12"/>
  <c r="R33" i="12"/>
  <c r="AJ33" i="12"/>
  <c r="AM33" i="12"/>
  <c r="AN16" i="12"/>
  <c r="R16" i="12"/>
  <c r="AK16" i="12"/>
  <c r="AT3" i="12"/>
  <c r="AO16" i="12"/>
  <c r="AL16" i="12"/>
  <c r="AL29" i="12"/>
  <c r="AO29" i="12"/>
  <c r="R30" i="12"/>
  <c r="AM30" i="12"/>
  <c r="AJ30" i="12"/>
  <c r="U4" i="12"/>
  <c r="U5" i="12" s="1"/>
  <c r="U6" i="12" s="1"/>
  <c r="U7" i="12" s="1"/>
  <c r="U8" i="12" s="1"/>
  <c r="U9" i="12" s="1"/>
  <c r="U10" i="12" s="1"/>
  <c r="U11" i="12" s="1"/>
  <c r="U12" i="12" s="1"/>
  <c r="U13" i="12" s="1"/>
  <c r="U14" i="12" s="1"/>
  <c r="U15" i="12" s="1"/>
  <c r="U16" i="12" s="1"/>
  <c r="U17" i="12" s="1"/>
  <c r="U18" i="12" s="1"/>
  <c r="U19" i="12" s="1"/>
  <c r="U20" i="12" s="1"/>
  <c r="U21" i="12" s="1"/>
  <c r="U22" i="12" s="1"/>
  <c r="U23" i="12" s="1"/>
  <c r="U24" i="12" s="1"/>
  <c r="U25" i="12" s="1"/>
  <c r="U26" i="12" s="1"/>
  <c r="U27" i="12" s="1"/>
  <c r="U28" i="12" s="1"/>
  <c r="U29" i="12" s="1"/>
  <c r="U30" i="12" s="1"/>
  <c r="U31" i="12" s="1"/>
  <c r="U32" i="12" s="1"/>
  <c r="U33" i="12" s="1"/>
  <c r="U34" i="12" s="1"/>
  <c r="U35" i="12" s="1"/>
  <c r="U36" i="12" s="1"/>
  <c r="U37" i="12" s="1"/>
  <c r="U38" i="12" s="1"/>
  <c r="U39" i="12" s="1"/>
  <c r="U40" i="12" s="1"/>
  <c r="U41" i="12" s="1"/>
  <c r="U42" i="12" s="1"/>
  <c r="U43" i="12" s="1"/>
  <c r="U44" i="12" s="1"/>
  <c r="U45" i="12" s="1"/>
  <c r="U46" i="12" s="1"/>
  <c r="U47" i="12" s="1"/>
  <c r="U48" i="12" s="1"/>
  <c r="U49" i="12" s="1"/>
  <c r="U50" i="12" s="1"/>
  <c r="U51" i="12" s="1"/>
  <c r="U52" i="12" s="1"/>
  <c r="U53" i="12" s="1"/>
  <c r="AJ8" i="12"/>
  <c r="Z9" i="12"/>
  <c r="AT8" i="12"/>
  <c r="AH9" i="12"/>
  <c r="AG9" i="12"/>
  <c r="S9" i="12"/>
  <c r="AF9" i="12"/>
  <c r="AS8" i="12"/>
  <c r="AE9" i="12"/>
  <c r="AD9" i="12"/>
  <c r="AC9" i="12"/>
  <c r="AY5" i="12"/>
  <c r="Y9" i="12"/>
  <c r="W9" i="12"/>
  <c r="AX5" i="12"/>
  <c r="AO11" i="12"/>
  <c r="AN15" i="12"/>
  <c r="AA20" i="12"/>
  <c r="AI20" i="12"/>
  <c r="AH20" i="12"/>
  <c r="W20" i="12"/>
  <c r="S20" i="12"/>
  <c r="BC20" i="12"/>
  <c r="AG20" i="12"/>
  <c r="AD20" i="12"/>
  <c r="AS19" i="12"/>
  <c r="AT19" i="12"/>
  <c r="AF20" i="12"/>
  <c r="AE20" i="12"/>
  <c r="T90" i="10"/>
  <c r="G309" i="11"/>
  <c r="AA9" i="12"/>
  <c r="AO13" i="12"/>
  <c r="AL13" i="12"/>
  <c r="Y20" i="12"/>
  <c r="AH35" i="12"/>
  <c r="S35" i="12"/>
  <c r="AF35" i="12"/>
  <c r="AE35" i="12"/>
  <c r="AD35" i="12"/>
  <c r="AC35" i="12"/>
  <c r="BC35" i="12"/>
  <c r="Z35" i="12"/>
  <c r="Y35" i="12"/>
  <c r="W35" i="12"/>
  <c r="AY31" i="12"/>
  <c r="AT34" i="12"/>
  <c r="AX31" i="12"/>
  <c r="AI35" i="12"/>
  <c r="BD35" i="12"/>
  <c r="AG35" i="12"/>
  <c r="AN2" i="12"/>
  <c r="AK2" i="12"/>
  <c r="AH13" i="12"/>
  <c r="AB13" i="12"/>
  <c r="AX9" i="12"/>
  <c r="AA13" i="12"/>
  <c r="AF13" i="12"/>
  <c r="AT12" i="12"/>
  <c r="AE13" i="12"/>
  <c r="AS12" i="12"/>
  <c r="AD13" i="12"/>
  <c r="AY9" i="12"/>
  <c r="AC13" i="12"/>
  <c r="AI13" i="12"/>
  <c r="AG13" i="12"/>
  <c r="Z13" i="12"/>
  <c r="Y13" i="12"/>
  <c r="BD13" i="12"/>
  <c r="BC13" i="12"/>
  <c r="W13" i="12"/>
  <c r="AH21" i="12"/>
  <c r="AD21" i="12"/>
  <c r="AC21" i="12"/>
  <c r="AY17" i="12"/>
  <c r="AA21" i="12"/>
  <c r="Z21" i="12"/>
  <c r="Y21" i="12"/>
  <c r="S21" i="12"/>
  <c r="AI21" i="12"/>
  <c r="W21" i="12"/>
  <c r="BD21" i="12"/>
  <c r="BC21" i="12"/>
  <c r="AT20" i="12"/>
  <c r="AS20" i="12"/>
  <c r="Z40" i="12"/>
  <c r="AT39" i="12"/>
  <c r="BD40" i="12"/>
  <c r="Y40" i="12"/>
  <c r="AS39" i="12"/>
  <c r="AD40" i="12"/>
  <c r="AX36" i="12"/>
  <c r="AB40" i="12"/>
  <c r="W40" i="12"/>
  <c r="AF40" i="12"/>
  <c r="AY36" i="12"/>
  <c r="AH40" i="12"/>
  <c r="AG40" i="12"/>
  <c r="AE40" i="12"/>
  <c r="AC40" i="12"/>
  <c r="AA40" i="12"/>
  <c r="AO7" i="12"/>
  <c r="AL7" i="12"/>
  <c r="AL9" i="12"/>
  <c r="AL21" i="12"/>
  <c r="S40" i="12"/>
  <c r="R7" i="12"/>
  <c r="AO9" i="12"/>
  <c r="AJ20" i="12"/>
  <c r="AC28" i="12"/>
  <c r="BC28" i="12"/>
  <c r="AY24" i="12"/>
  <c r="AI28" i="12"/>
  <c r="AG28" i="12"/>
  <c r="AF28" i="12"/>
  <c r="AE28" i="12"/>
  <c r="AD28" i="12"/>
  <c r="AX24" i="12"/>
  <c r="AH28" i="12"/>
  <c r="BD28" i="12"/>
  <c r="Z28" i="12"/>
  <c r="W28" i="12"/>
  <c r="AM31" i="12"/>
  <c r="R31" i="12"/>
  <c r="AI38" i="12"/>
  <c r="AC38" i="12"/>
  <c r="AA38" i="12"/>
  <c r="AS37" i="12"/>
  <c r="Y38" i="12"/>
  <c r="AY34" i="12"/>
  <c r="W38" i="12"/>
  <c r="AX34" i="12"/>
  <c r="BD38" i="12"/>
  <c r="AT37" i="12"/>
  <c r="AG38" i="12"/>
  <c r="AF38" i="12"/>
  <c r="AD38" i="12"/>
  <c r="BC38" i="12"/>
  <c r="AB38" i="12"/>
  <c r="AI40" i="12"/>
  <c r="AM43" i="12"/>
  <c r="R43" i="12"/>
  <c r="AJ43" i="12"/>
  <c r="AL57" i="12"/>
  <c r="AO21" i="12"/>
  <c r="V28" i="12"/>
  <c r="X28" i="12"/>
  <c r="V38" i="12"/>
  <c r="X38" i="12"/>
  <c r="G261" i="11"/>
  <c r="G314" i="11"/>
  <c r="AO31" i="12"/>
  <c r="AL31" i="12"/>
  <c r="AM32" i="12"/>
  <c r="AJ32" i="12"/>
  <c r="R45" i="12"/>
  <c r="Z23" i="12"/>
  <c r="AT22" i="12"/>
  <c r="BC23" i="12"/>
  <c r="AI23" i="12"/>
  <c r="AH23" i="12"/>
  <c r="AG23" i="12"/>
  <c r="S23" i="12"/>
  <c r="AE23" i="12"/>
  <c r="AD23" i="12"/>
  <c r="BD23" i="12"/>
  <c r="AC23" i="12"/>
  <c r="AB23" i="12"/>
  <c r="W23" i="12"/>
  <c r="AX19" i="12"/>
  <c r="AS22" i="12"/>
  <c r="AO45" i="12"/>
  <c r="AL45" i="12"/>
  <c r="G277" i="11"/>
  <c r="R19" i="12"/>
  <c r="AM19" i="12"/>
  <c r="AJ19" i="12"/>
  <c r="V22" i="12"/>
  <c r="Y23" i="12"/>
  <c r="AL25" i="12"/>
  <c r="AO25" i="12"/>
  <c r="AA28" i="12"/>
  <c r="X39" i="12"/>
  <c r="BC40" i="12"/>
  <c r="AJ17" i="12"/>
  <c r="AM17" i="12"/>
  <c r="AA23" i="12"/>
  <c r="R29" i="12"/>
  <c r="W32" i="12"/>
  <c r="AC32" i="12"/>
  <c r="AA32" i="12"/>
  <c r="AS31" i="12"/>
  <c r="Y32" i="12"/>
  <c r="AX28" i="12"/>
  <c r="BD32" i="12"/>
  <c r="BC32" i="12"/>
  <c r="AF32" i="12"/>
  <c r="AE32" i="12"/>
  <c r="AD32" i="12"/>
  <c r="AB32" i="12"/>
  <c r="S32" i="12"/>
  <c r="AT31" i="12"/>
  <c r="AY28" i="12"/>
  <c r="G281" i="11"/>
  <c r="AM11" i="12"/>
  <c r="AJ11" i="12"/>
  <c r="W18" i="12"/>
  <c r="AE18" i="12"/>
  <c r="AD18" i="12"/>
  <c r="AF18" i="12"/>
  <c r="AC18" i="12"/>
  <c r="AT17" i="12"/>
  <c r="AB18" i="12"/>
  <c r="AS17" i="12"/>
  <c r="AY14" i="12"/>
  <c r="AA18" i="12"/>
  <c r="AX14" i="12"/>
  <c r="AO20" i="12"/>
  <c r="AL20" i="12"/>
  <c r="AF23" i="12"/>
  <c r="AJ31" i="12"/>
  <c r="Z32" i="12"/>
  <c r="BC46" i="12"/>
  <c r="W46" i="12"/>
  <c r="BD46" i="12"/>
  <c r="AI46" i="12"/>
  <c r="S46" i="12"/>
  <c r="AG46" i="12"/>
  <c r="AE46" i="12"/>
  <c r="AD46" i="12"/>
  <c r="AT45" i="12"/>
  <c r="AC46" i="12"/>
  <c r="AS45" i="12"/>
  <c r="AB46" i="12"/>
  <c r="Z46" i="12"/>
  <c r="AY42" i="12"/>
  <c r="AX42" i="12"/>
  <c r="AH46" i="12"/>
  <c r="AF46" i="12"/>
  <c r="AA46" i="12"/>
  <c r="Y46" i="12"/>
  <c r="AK32" i="12"/>
  <c r="AN32" i="12"/>
  <c r="AN33" i="12"/>
  <c r="AK33" i="12"/>
  <c r="AM34" i="12"/>
  <c r="R34" i="12"/>
  <c r="AF36" i="12"/>
  <c r="BD36" i="12"/>
  <c r="AB39" i="12"/>
  <c r="AC41" i="12"/>
  <c r="AN44" i="12"/>
  <c r="AK67" i="12"/>
  <c r="AL78" i="12"/>
  <c r="AO78" i="12"/>
  <c r="AC39" i="12"/>
  <c r="AE41" i="12"/>
  <c r="AO71" i="12"/>
  <c r="AL71" i="12"/>
  <c r="AJ36" i="12"/>
  <c r="AG39" i="12"/>
  <c r="AK80" i="12"/>
  <c r="AN80" i="12"/>
  <c r="R80" i="12"/>
  <c r="AL135" i="12"/>
  <c r="AO135" i="12"/>
  <c r="AE36" i="12"/>
  <c r="AG36" i="12"/>
  <c r="AD36" i="12"/>
  <c r="AB36" i="12"/>
  <c r="AA36" i="12"/>
  <c r="Z36" i="12"/>
  <c r="AT35" i="12"/>
  <c r="Y36" i="12"/>
  <c r="AS35" i="12"/>
  <c r="AH39" i="12"/>
  <c r="R44" i="12"/>
  <c r="AM54" i="12"/>
  <c r="R54" i="12"/>
  <c r="AJ54" i="12"/>
  <c r="AB55" i="12"/>
  <c r="AX51" i="12"/>
  <c r="AI55" i="12"/>
  <c r="AH55" i="12"/>
  <c r="S55" i="12"/>
  <c r="AC55" i="12"/>
  <c r="BD55" i="12"/>
  <c r="AT54" i="12"/>
  <c r="BC55" i="12"/>
  <c r="AG55" i="12"/>
  <c r="AS54" i="12"/>
  <c r="AF55" i="12"/>
  <c r="AE55" i="12"/>
  <c r="AD55" i="12"/>
  <c r="AA55" i="12"/>
  <c r="Z55" i="12"/>
  <c r="Y55" i="12"/>
  <c r="AY51" i="12"/>
  <c r="AA72" i="12"/>
  <c r="AI72" i="12"/>
  <c r="AH72" i="12"/>
  <c r="AE72" i="12"/>
  <c r="BD72" i="12"/>
  <c r="AG72" i="12"/>
  <c r="Z72" i="12"/>
  <c r="AF72" i="12"/>
  <c r="AD72" i="12"/>
  <c r="BC72" i="12"/>
  <c r="AC72" i="12"/>
  <c r="AB72" i="12"/>
  <c r="AY68" i="12"/>
  <c r="Y72" i="12"/>
  <c r="AX68" i="12"/>
  <c r="W72" i="12"/>
  <c r="S72" i="12"/>
  <c r="AS71" i="12"/>
  <c r="AF10" i="12"/>
  <c r="AF14" i="12"/>
  <c r="AH22" i="12"/>
  <c r="R25" i="12"/>
  <c r="AM26" i="12"/>
  <c r="AJ26" i="12"/>
  <c r="AM36" i="12"/>
  <c r="AJ37" i="12"/>
  <c r="AK38" i="12"/>
  <c r="R52" i="12"/>
  <c r="AA58" i="12"/>
  <c r="AC58" i="12"/>
  <c r="AB58" i="12"/>
  <c r="AT57" i="12"/>
  <c r="BD58" i="12"/>
  <c r="S58" i="12"/>
  <c r="AY54" i="12"/>
  <c r="AI58" i="12"/>
  <c r="AH58" i="12"/>
  <c r="BC58" i="12"/>
  <c r="AG58" i="12"/>
  <c r="AF58" i="12"/>
  <c r="AS57" i="12"/>
  <c r="AE58" i="12"/>
  <c r="AD58" i="12"/>
  <c r="Z58" i="12"/>
  <c r="Y58" i="12"/>
  <c r="AN61" i="12"/>
  <c r="AK61" i="12"/>
  <c r="AO64" i="12"/>
  <c r="AL64" i="12"/>
  <c r="G312" i="11"/>
  <c r="R5" i="12"/>
  <c r="AM5" i="12"/>
  <c r="AG10" i="12"/>
  <c r="AG14" i="12"/>
  <c r="AT21" i="12"/>
  <c r="AI22" i="12"/>
  <c r="AN26" i="12"/>
  <c r="AK26" i="12"/>
  <c r="AJ27" i="12"/>
  <c r="R27" i="12"/>
  <c r="AX35" i="12"/>
  <c r="S36" i="12"/>
  <c r="AM39" i="12"/>
  <c r="AJ39" i="12"/>
  <c r="AL43" i="12"/>
  <c r="AO43" i="12"/>
  <c r="AN46" i="12"/>
  <c r="AT71" i="12"/>
  <c r="AE104" i="12"/>
  <c r="AD104" i="12"/>
  <c r="AA104" i="12"/>
  <c r="Z104" i="12"/>
  <c r="AY100" i="12"/>
  <c r="Y104" i="12"/>
  <c r="AX100" i="12"/>
  <c r="W104" i="12"/>
  <c r="BD104" i="12"/>
  <c r="BC104" i="12"/>
  <c r="S104" i="12"/>
  <c r="AH104" i="12"/>
  <c r="AG104" i="12"/>
  <c r="AI104" i="12"/>
  <c r="AF104" i="12"/>
  <c r="AC104" i="12"/>
  <c r="AT103" i="12"/>
  <c r="AB104" i="12"/>
  <c r="G259" i="11"/>
  <c r="G266" i="11"/>
  <c r="G298" i="11"/>
  <c r="G305" i="11"/>
  <c r="AH10" i="12"/>
  <c r="AO37" i="12"/>
  <c r="AL37" i="12"/>
  <c r="AJ38" i="12"/>
  <c r="AM38" i="12"/>
  <c r="AD42" i="12"/>
  <c r="AC42" i="12"/>
  <c r="AY38" i="12"/>
  <c r="AE42" i="12"/>
  <c r="AA42" i="12"/>
  <c r="AS41" i="12"/>
  <c r="Y42" i="12"/>
  <c r="W42" i="12"/>
  <c r="AG42" i="12"/>
  <c r="W55" i="12"/>
  <c r="W58" i="12"/>
  <c r="AJ59" i="12"/>
  <c r="AM59" i="12"/>
  <c r="R59" i="12"/>
  <c r="R61" i="12"/>
  <c r="AK66" i="12"/>
  <c r="R66" i="12"/>
  <c r="BC83" i="12"/>
  <c r="W83" i="12"/>
  <c r="AA83" i="12"/>
  <c r="AX79" i="12"/>
  <c r="Z83" i="12"/>
  <c r="BD83" i="12"/>
  <c r="AI83" i="12"/>
  <c r="S83" i="12"/>
  <c r="AH83" i="12"/>
  <c r="AE83" i="12"/>
  <c r="AT82" i="12"/>
  <c r="AS82" i="12"/>
  <c r="AF83" i="12"/>
  <c r="AD83" i="12"/>
  <c r="AG83" i="12"/>
  <c r="AC83" i="12"/>
  <c r="AB83" i="12"/>
  <c r="Y83" i="12"/>
  <c r="AY79" i="12"/>
  <c r="AO105" i="12"/>
  <c r="AL105" i="12"/>
  <c r="AI10" i="12"/>
  <c r="AC10" i="12"/>
  <c r="AY6" i="12"/>
  <c r="AB10" i="12"/>
  <c r="AX6" i="12"/>
  <c r="BD10" i="12"/>
  <c r="AC14" i="12"/>
  <c r="AY10" i="12"/>
  <c r="W14" i="12"/>
  <c r="AI14" i="12"/>
  <c r="BC14" i="12"/>
  <c r="AE22" i="12"/>
  <c r="AC22" i="12"/>
  <c r="AA22" i="12"/>
  <c r="BD22" i="12"/>
  <c r="Y22" i="12"/>
  <c r="AS21" i="12"/>
  <c r="BC22" i="12"/>
  <c r="BD26" i="12"/>
  <c r="Y26" i="12"/>
  <c r="AA26" i="12"/>
  <c r="AS25" i="12"/>
  <c r="BC26" i="12"/>
  <c r="AI26" i="12"/>
  <c r="AH26" i="12"/>
  <c r="S26" i="12"/>
  <c r="Z37" i="12"/>
  <c r="AT36" i="12"/>
  <c r="AE37" i="12"/>
  <c r="AC37" i="12"/>
  <c r="AA37" i="12"/>
  <c r="Y37" i="12"/>
  <c r="BD37" i="12"/>
  <c r="W37" i="12"/>
  <c r="AN40" i="12"/>
  <c r="AK40" i="12"/>
  <c r="X42" i="12"/>
  <c r="V42" i="12"/>
  <c r="R68" i="12"/>
  <c r="AM68" i="12"/>
  <c r="R87" i="12"/>
  <c r="AM87" i="12"/>
  <c r="AJ87" i="12"/>
  <c r="AO38" i="12"/>
  <c r="AL38" i="12"/>
  <c r="AE39" i="12"/>
  <c r="AD39" i="12"/>
  <c r="AA39" i="12"/>
  <c r="AT38" i="12"/>
  <c r="Y39" i="12"/>
  <c r="AY35" i="12"/>
  <c r="W39" i="12"/>
  <c r="BD39" i="12"/>
  <c r="BC39" i="12"/>
  <c r="AO40" i="12"/>
  <c r="AL40" i="12"/>
  <c r="AI41" i="12"/>
  <c r="AH41" i="12"/>
  <c r="AD41" i="12"/>
  <c r="AB41" i="12"/>
  <c r="AS40" i="12"/>
  <c r="Z41" i="12"/>
  <c r="Y41" i="12"/>
  <c r="W41" i="12"/>
  <c r="AF41" i="12"/>
  <c r="AK52" i="12"/>
  <c r="AM92" i="12"/>
  <c r="AJ92" i="12"/>
  <c r="R92" i="12"/>
  <c r="W48" i="12"/>
  <c r="Y49" i="12"/>
  <c r="AN58" i="12"/>
  <c r="AO66" i="12"/>
  <c r="W76" i="12"/>
  <c r="R79" i="12"/>
  <c r="AE86" i="12"/>
  <c r="AO88" i="12"/>
  <c r="AL88" i="12"/>
  <c r="AA93" i="12"/>
  <c r="AM105" i="12"/>
  <c r="AJ105" i="12"/>
  <c r="R105" i="12"/>
  <c r="AT108" i="12"/>
  <c r="AN116" i="12"/>
  <c r="AK116" i="12"/>
  <c r="Z48" i="12"/>
  <c r="AS48" i="12"/>
  <c r="AB49" i="12"/>
  <c r="R56" i="12"/>
  <c r="AE76" i="12"/>
  <c r="Y84" i="12"/>
  <c r="AF76" i="12"/>
  <c r="AN82" i="12"/>
  <c r="R82" i="12"/>
  <c r="Z84" i="12"/>
  <c r="X106" i="12"/>
  <c r="AL42" i="12"/>
  <c r="AT47" i="12"/>
  <c r="AD48" i="12"/>
  <c r="AD49" i="12"/>
  <c r="AJ51" i="12"/>
  <c r="AJ56" i="12"/>
  <c r="AJ69" i="12"/>
  <c r="R69" i="12"/>
  <c r="AM69" i="12"/>
  <c r="AG76" i="12"/>
  <c r="R81" i="12"/>
  <c r="AC84" i="12"/>
  <c r="AM91" i="12"/>
  <c r="R91" i="12"/>
  <c r="AJ91" i="12"/>
  <c r="AL94" i="12"/>
  <c r="AO94" i="12"/>
  <c r="V96" i="12"/>
  <c r="X96" i="12"/>
  <c r="AJ100" i="12"/>
  <c r="AM100" i="12"/>
  <c r="R100" i="12"/>
  <c r="AD107" i="12"/>
  <c r="AC107" i="12"/>
  <c r="AY103" i="12"/>
  <c r="Z107" i="12"/>
  <c r="AT106" i="12"/>
  <c r="BD107" i="12"/>
  <c r="BC107" i="12"/>
  <c r="S107" i="12"/>
  <c r="AI107" i="12"/>
  <c r="AH107" i="12"/>
  <c r="AG107" i="12"/>
  <c r="AF107" i="12"/>
  <c r="AS106" i="12"/>
  <c r="AE107" i="12"/>
  <c r="AB107" i="12"/>
  <c r="Y107" i="12"/>
  <c r="AX103" i="12"/>
  <c r="AA107" i="12"/>
  <c r="W107" i="12"/>
  <c r="AE48" i="12"/>
  <c r="AE49" i="12"/>
  <c r="R50" i="12"/>
  <c r="R51" i="12"/>
  <c r="AK51" i="12"/>
  <c r="AM53" i="12"/>
  <c r="R53" i="12"/>
  <c r="AO54" i="12"/>
  <c r="AL62" i="12"/>
  <c r="AD73" i="12"/>
  <c r="AC73" i="12"/>
  <c r="AY69" i="12"/>
  <c r="Z73" i="12"/>
  <c r="AT72" i="12"/>
  <c r="W73" i="12"/>
  <c r="BC73" i="12"/>
  <c r="AH73" i="12"/>
  <c r="AI84" i="12"/>
  <c r="AJ86" i="12"/>
  <c r="AM86" i="12"/>
  <c r="AN91" i="12"/>
  <c r="AK91" i="12"/>
  <c r="BD94" i="12"/>
  <c r="Y94" i="12"/>
  <c r="AS93" i="12"/>
  <c r="BC94" i="12"/>
  <c r="AF94" i="12"/>
  <c r="AE94" i="12"/>
  <c r="AC94" i="12"/>
  <c r="AB94" i="12"/>
  <c r="Z94" i="12"/>
  <c r="W94" i="12"/>
  <c r="AY90" i="12"/>
  <c r="AD94" i="12"/>
  <c r="AA94" i="12"/>
  <c r="AX90" i="12"/>
  <c r="U108" i="12"/>
  <c r="U109" i="12" s="1"/>
  <c r="U110" i="12" s="1"/>
  <c r="U111" i="12" s="1"/>
  <c r="U112" i="12" s="1"/>
  <c r="U113" i="12" s="1"/>
  <c r="U114" i="12" s="1"/>
  <c r="U115" i="12" s="1"/>
  <c r="U116" i="12" s="1"/>
  <c r="U117" i="12" s="1"/>
  <c r="U118" i="12" s="1"/>
  <c r="U119" i="12" s="1"/>
  <c r="U120" i="12" s="1"/>
  <c r="U121" i="12" s="1"/>
  <c r="U122" i="12" s="1"/>
  <c r="U123" i="12" s="1"/>
  <c r="U124" i="12" s="1"/>
  <c r="U125" i="12" s="1"/>
  <c r="U126" i="12" s="1"/>
  <c r="U127" i="12" s="1"/>
  <c r="U128" i="12" s="1"/>
  <c r="U129" i="12" s="1"/>
  <c r="U130" i="12" s="1"/>
  <c r="U131" i="12" s="1"/>
  <c r="U132" i="12" s="1"/>
  <c r="U133" i="12" s="1"/>
  <c r="U134" i="12" s="1"/>
  <c r="U135" i="12" s="1"/>
  <c r="U136" i="12" s="1"/>
  <c r="U137" i="12" s="1"/>
  <c r="U138" i="12" s="1"/>
  <c r="U139" i="12" s="1"/>
  <c r="U140" i="12" s="1"/>
  <c r="U141" i="12" s="1"/>
  <c r="U142" i="12" s="1"/>
  <c r="U143" i="12" s="1"/>
  <c r="U144" i="12" s="1"/>
  <c r="U145" i="12" s="1"/>
  <c r="U146" i="12" s="1"/>
  <c r="U147" i="12" s="1"/>
  <c r="U148" i="12" s="1"/>
  <c r="U149" i="12" s="1"/>
  <c r="U150" i="12" s="1"/>
  <c r="U151" i="12" s="1"/>
  <c r="U152" i="12" s="1"/>
  <c r="U153" i="12" s="1"/>
  <c r="U154" i="12" s="1"/>
  <c r="U155" i="12" s="1"/>
  <c r="U156" i="12" s="1"/>
  <c r="U157" i="12" s="1"/>
  <c r="AM109" i="12"/>
  <c r="AJ109" i="12"/>
  <c r="R47" i="12"/>
  <c r="AF48" i="12"/>
  <c r="AF49" i="12"/>
  <c r="AM56" i="12"/>
  <c r="AM60" i="12"/>
  <c r="AJ60" i="12"/>
  <c r="AI62" i="12"/>
  <c r="AC62" i="12"/>
  <c r="AY58" i="12"/>
  <c r="BD62" i="12"/>
  <c r="Y62" i="12"/>
  <c r="AS61" i="12"/>
  <c r="AF62" i="12"/>
  <c r="AE62" i="12"/>
  <c r="AT61" i="12"/>
  <c r="AJ84" i="12"/>
  <c r="AO100" i="12"/>
  <c r="AL100" i="12"/>
  <c r="AG112" i="12"/>
  <c r="S112" i="12"/>
  <c r="AF112" i="12"/>
  <c r="AC112" i="12"/>
  <c r="AY108" i="12"/>
  <c r="Y112" i="12"/>
  <c r="W112" i="12"/>
  <c r="BD112" i="12"/>
  <c r="BC112" i="12"/>
  <c r="AI112" i="12"/>
  <c r="AE112" i="12"/>
  <c r="AS111" i="12"/>
  <c r="AD112" i="12"/>
  <c r="AA112" i="12"/>
  <c r="AT111" i="12"/>
  <c r="AH112" i="12"/>
  <c r="AB112" i="12"/>
  <c r="Z112" i="12"/>
  <c r="R145" i="12"/>
  <c r="AM145" i="12"/>
  <c r="AJ145" i="12"/>
  <c r="AG49" i="12"/>
  <c r="AN56" i="12"/>
  <c r="S62" i="12"/>
  <c r="AM63" i="12"/>
  <c r="R63" i="12"/>
  <c r="AE74" i="12"/>
  <c r="BD74" i="12"/>
  <c r="Y74" i="12"/>
  <c r="AS73" i="12"/>
  <c r="BC74" i="12"/>
  <c r="AI74" i="12"/>
  <c r="AD74" i="12"/>
  <c r="AC74" i="12"/>
  <c r="AY70" i="12"/>
  <c r="AM75" i="12"/>
  <c r="R75" i="12"/>
  <c r="AO75" i="12"/>
  <c r="AK76" i="12"/>
  <c r="R77" i="12"/>
  <c r="AJ77" i="12"/>
  <c r="AX80" i="12"/>
  <c r="AM84" i="12"/>
  <c r="AM95" i="12"/>
  <c r="R95" i="12"/>
  <c r="AJ103" i="12"/>
  <c r="R103" i="12"/>
  <c r="AM103" i="12"/>
  <c r="AB48" i="12"/>
  <c r="AX44" i="12"/>
  <c r="AA48" i="12"/>
  <c r="AH48" i="12"/>
  <c r="AH49" i="12"/>
  <c r="R65" i="12"/>
  <c r="AJ65" i="12"/>
  <c r="AM65" i="12"/>
  <c r="AJ70" i="12"/>
  <c r="R70" i="12"/>
  <c r="X74" i="12"/>
  <c r="V74" i="12"/>
  <c r="W86" i="12"/>
  <c r="AC86" i="12"/>
  <c r="AT85" i="12"/>
  <c r="AB86" i="12"/>
  <c r="AS85" i="12"/>
  <c r="BD86" i="12"/>
  <c r="AY82" i="12"/>
  <c r="AG86" i="12"/>
  <c r="AI86" i="12"/>
  <c r="AH86" i="12"/>
  <c r="Z86" i="12"/>
  <c r="Y86" i="12"/>
  <c r="BC86" i="12"/>
  <c r="AJ89" i="12"/>
  <c r="AM89" i="12"/>
  <c r="R89" i="12"/>
  <c r="AK92" i="12"/>
  <c r="R97" i="12"/>
  <c r="AH109" i="12"/>
  <c r="AG109" i="12"/>
  <c r="S109" i="12"/>
  <c r="AD109" i="12"/>
  <c r="AB109" i="12"/>
  <c r="AX105" i="12"/>
  <c r="AA109" i="12"/>
  <c r="Z109" i="12"/>
  <c r="Y109" i="12"/>
  <c r="W109" i="12"/>
  <c r="BD109" i="12"/>
  <c r="BC109" i="12"/>
  <c r="AI109" i="12"/>
  <c r="AE109" i="12"/>
  <c r="AC109" i="12"/>
  <c r="AC110" i="12"/>
  <c r="AY106" i="12"/>
  <c r="AB110" i="12"/>
  <c r="AX106" i="12"/>
  <c r="BD110" i="12"/>
  <c r="Y110" i="12"/>
  <c r="AS109" i="12"/>
  <c r="AG110" i="12"/>
  <c r="AF110" i="12"/>
  <c r="AT109" i="12"/>
  <c r="AE110" i="12"/>
  <c r="AD110" i="12"/>
  <c r="AA110" i="12"/>
  <c r="Z110" i="12"/>
  <c r="W110" i="12"/>
  <c r="AI110" i="12"/>
  <c r="AY44" i="12"/>
  <c r="AX45" i="12"/>
  <c r="AJ47" i="12"/>
  <c r="S48" i="12"/>
  <c r="AI48" i="12"/>
  <c r="S49" i="12"/>
  <c r="AI49" i="12"/>
  <c r="AJ55" i="12"/>
  <c r="R60" i="12"/>
  <c r="AO63" i="12"/>
  <c r="R64" i="12"/>
  <c r="AN64" i="12"/>
  <c r="AN65" i="12"/>
  <c r="AM70" i="12"/>
  <c r="AO76" i="12"/>
  <c r="S86" i="12"/>
  <c r="AE90" i="12"/>
  <c r="AD90" i="12"/>
  <c r="AA90" i="12"/>
  <c r="AT89" i="12"/>
  <c r="Z90" i="12"/>
  <c r="AS89" i="12"/>
  <c r="BD90" i="12"/>
  <c r="BC90" i="12"/>
  <c r="AG90" i="12"/>
  <c r="AY86" i="12"/>
  <c r="AI90" i="12"/>
  <c r="Y90" i="12"/>
  <c r="AX86" i="12"/>
  <c r="AO93" i="12"/>
  <c r="AL93" i="12"/>
  <c r="AM104" i="12"/>
  <c r="AJ104" i="12"/>
  <c r="AF109" i="12"/>
  <c r="S110" i="12"/>
  <c r="R71" i="12"/>
  <c r="AM71" i="12"/>
  <c r="AJ71" i="12"/>
  <c r="AI76" i="12"/>
  <c r="AC76" i="12"/>
  <c r="AY72" i="12"/>
  <c r="AB76" i="12"/>
  <c r="AX72" i="12"/>
  <c r="BD76" i="12"/>
  <c r="Y76" i="12"/>
  <c r="AS75" i="12"/>
  <c r="AA76" i="12"/>
  <c r="Z76" i="12"/>
  <c r="S76" i="12"/>
  <c r="AG84" i="12"/>
  <c r="S84" i="12"/>
  <c r="AF84" i="12"/>
  <c r="AB84" i="12"/>
  <c r="AA84" i="12"/>
  <c r="BD84" i="12"/>
  <c r="AH84" i="12"/>
  <c r="AS83" i="12"/>
  <c r="AE84" i="12"/>
  <c r="AD84" i="12"/>
  <c r="AD93" i="12"/>
  <c r="AC93" i="12"/>
  <c r="AY89" i="12"/>
  <c r="AE93" i="12"/>
  <c r="AB93" i="12"/>
  <c r="AT92" i="12"/>
  <c r="Y93" i="12"/>
  <c r="W93" i="12"/>
  <c r="BC93" i="12"/>
  <c r="AI93" i="12"/>
  <c r="S93" i="12"/>
  <c r="AH93" i="12"/>
  <c r="BD93" i="12"/>
  <c r="AL97" i="12"/>
  <c r="AO97" i="12"/>
  <c r="AN113" i="12"/>
  <c r="AK113" i="12"/>
  <c r="BD48" i="12"/>
  <c r="AM49" i="12"/>
  <c r="BD49" i="12"/>
  <c r="AM50" i="12"/>
  <c r="AL58" i="12"/>
  <c r="Z62" i="12"/>
  <c r="AB73" i="12"/>
  <c r="Z74" i="12"/>
  <c r="R78" i="12"/>
  <c r="AM79" i="12"/>
  <c r="R85" i="12"/>
  <c r="AA86" i="12"/>
  <c r="V90" i="12"/>
  <c r="AH110" i="12"/>
  <c r="AK128" i="12"/>
  <c r="R128" i="12"/>
  <c r="AN128" i="12"/>
  <c r="AO127" i="12"/>
  <c r="AL127" i="12"/>
  <c r="R127" i="12"/>
  <c r="AM150" i="12"/>
  <c r="R150" i="12"/>
  <c r="AJ150" i="12"/>
  <c r="AO99" i="12"/>
  <c r="AL99" i="12"/>
  <c r="R88" i="12"/>
  <c r="AM88" i="12"/>
  <c r="AJ117" i="12"/>
  <c r="R117" i="12"/>
  <c r="AM117" i="12"/>
  <c r="AN68" i="12"/>
  <c r="AK68" i="12"/>
  <c r="AN88" i="12"/>
  <c r="AK88" i="12"/>
  <c r="AC96" i="12"/>
  <c r="AY92" i="12"/>
  <c r="AB96" i="12"/>
  <c r="AX92" i="12"/>
  <c r="AH96" i="12"/>
  <c r="AG96" i="12"/>
  <c r="AE96" i="12"/>
  <c r="AD96" i="12"/>
  <c r="AT95" i="12"/>
  <c r="Z96" i="12"/>
  <c r="Y96" i="12"/>
  <c r="W96" i="12"/>
  <c r="AN126" i="12"/>
  <c r="W118" i="12"/>
  <c r="AE118" i="12"/>
  <c r="AD118" i="12"/>
  <c r="AA118" i="12"/>
  <c r="BC118" i="12"/>
  <c r="AI118" i="12"/>
  <c r="AH118" i="12"/>
  <c r="AT117" i="12"/>
  <c r="AG118" i="12"/>
  <c r="AS117" i="12"/>
  <c r="AY114" i="12"/>
  <c r="AF118" i="12"/>
  <c r="AX114" i="12"/>
  <c r="AC118" i="12"/>
  <c r="AB118" i="12"/>
  <c r="Z118" i="12"/>
  <c r="Y118" i="12"/>
  <c r="S118" i="12"/>
  <c r="AN120" i="12"/>
  <c r="AK120" i="12"/>
  <c r="AN105" i="12"/>
  <c r="AK105" i="12"/>
  <c r="AM122" i="12"/>
  <c r="R122" i="12"/>
  <c r="AJ122" i="12"/>
  <c r="AM141" i="12"/>
  <c r="AJ141" i="12"/>
  <c r="R141" i="12"/>
  <c r="BC129" i="12"/>
  <c r="AI129" i="12"/>
  <c r="AH129" i="12"/>
  <c r="AG129" i="12"/>
  <c r="S129" i="12"/>
  <c r="AF129" i="12"/>
  <c r="AE129" i="12"/>
  <c r="AC129" i="12"/>
  <c r="AB129" i="12"/>
  <c r="AX125" i="12"/>
  <c r="AD129" i="12"/>
  <c r="AA129" i="12"/>
  <c r="Z129" i="12"/>
  <c r="Y129" i="12"/>
  <c r="BD129" i="12"/>
  <c r="W129" i="12"/>
  <c r="AT128" i="12"/>
  <c r="AY125" i="12"/>
  <c r="AS128" i="12"/>
  <c r="R57" i="12"/>
  <c r="AO65" i="12"/>
  <c r="AL65" i="12"/>
  <c r="AO83" i="12"/>
  <c r="AO84" i="12"/>
  <c r="AO114" i="12"/>
  <c r="AL114" i="12"/>
  <c r="R114" i="12"/>
  <c r="R67" i="12"/>
  <c r="AO79" i="12"/>
  <c r="AL79" i="12"/>
  <c r="AA96" i="12"/>
  <c r="AI106" i="12"/>
  <c r="AH106" i="12"/>
  <c r="AE106" i="12"/>
  <c r="BC106" i="12"/>
  <c r="AG106" i="12"/>
  <c r="AF106" i="12"/>
  <c r="AD106" i="12"/>
  <c r="AC106" i="12"/>
  <c r="AT105" i="12"/>
  <c r="AB106" i="12"/>
  <c r="AS105" i="12"/>
  <c r="AA106" i="12"/>
  <c r="Z106" i="12"/>
  <c r="AY102" i="12"/>
  <c r="Y106" i="12"/>
  <c r="AX102" i="12"/>
  <c r="W106" i="12"/>
  <c r="AO110" i="12"/>
  <c r="AL110" i="12"/>
  <c r="AO126" i="12"/>
  <c r="V163" i="12"/>
  <c r="X163" i="12"/>
  <c r="AJ94" i="12"/>
  <c r="AL96" i="12"/>
  <c r="AM101" i="12"/>
  <c r="AO107" i="12"/>
  <c r="AO113" i="12"/>
  <c r="AL113" i="12"/>
  <c r="Y115" i="12"/>
  <c r="AM120" i="12"/>
  <c r="AA121" i="12"/>
  <c r="Z124" i="12"/>
  <c r="AM134" i="12"/>
  <c r="AJ134" i="12"/>
  <c r="R134" i="12"/>
  <c r="R142" i="12"/>
  <c r="AN145" i="12"/>
  <c r="AK145" i="12"/>
  <c r="W101" i="12"/>
  <c r="R113" i="12"/>
  <c r="Z115" i="12"/>
  <c r="R120" i="12"/>
  <c r="AB121" i="12"/>
  <c r="AA124" i="12"/>
  <c r="AK169" i="12"/>
  <c r="AN169" i="12"/>
  <c r="AM123" i="12"/>
  <c r="AN154" i="12"/>
  <c r="R154" i="12"/>
  <c r="AL169" i="12"/>
  <c r="AO169" i="12"/>
  <c r="R99" i="12"/>
  <c r="Y101" i="12"/>
  <c r="AL109" i="12"/>
  <c r="AC115" i="12"/>
  <c r="AG121" i="12"/>
  <c r="AG124" i="12"/>
  <c r="AM131" i="12"/>
  <c r="AJ131" i="12"/>
  <c r="R131" i="12"/>
  <c r="AN136" i="12"/>
  <c r="AK136" i="12"/>
  <c r="AM138" i="12"/>
  <c r="AJ138" i="12"/>
  <c r="R138" i="12"/>
  <c r="AA146" i="12"/>
  <c r="Z146" i="12"/>
  <c r="AT145" i="12"/>
  <c r="W146" i="12"/>
  <c r="BC146" i="12"/>
  <c r="AH146" i="12"/>
  <c r="AG146" i="12"/>
  <c r="AF146" i="12"/>
  <c r="AS145" i="12"/>
  <c r="AE146" i="12"/>
  <c r="AY142" i="12"/>
  <c r="AD146" i="12"/>
  <c r="AX142" i="12"/>
  <c r="AC146" i="12"/>
  <c r="AB146" i="12"/>
  <c r="Y146" i="12"/>
  <c r="R169" i="12"/>
  <c r="V172" i="12"/>
  <c r="X172" i="12"/>
  <c r="AO199" i="12"/>
  <c r="AL199" i="12"/>
  <c r="R98" i="12"/>
  <c r="Z101" i="12"/>
  <c r="AS114" i="12"/>
  <c r="R116" i="12"/>
  <c r="R119" i="12"/>
  <c r="AM119" i="12"/>
  <c r="AJ119" i="12"/>
  <c r="AH121" i="12"/>
  <c r="BC121" i="12"/>
  <c r="AN131" i="12"/>
  <c r="AK131" i="12"/>
  <c r="AN138" i="12"/>
  <c r="AK138" i="12"/>
  <c r="R139" i="12"/>
  <c r="S146" i="12"/>
  <c r="V166" i="12"/>
  <c r="AN102" i="12"/>
  <c r="AK102" i="12"/>
  <c r="AF115" i="12"/>
  <c r="AE115" i="12"/>
  <c r="AB115" i="12"/>
  <c r="AX111" i="12"/>
  <c r="AG115" i="12"/>
  <c r="AS120" i="12"/>
  <c r="AI121" i="12"/>
  <c r="R123" i="12"/>
  <c r="R133" i="12"/>
  <c r="AL138" i="12"/>
  <c r="AO138" i="12"/>
  <c r="AS100" i="12"/>
  <c r="AC101" i="12"/>
  <c r="R108" i="12"/>
  <c r="AH115" i="12"/>
  <c r="AK119" i="12"/>
  <c r="AK154" i="12"/>
  <c r="AK98" i="12"/>
  <c r="AT100" i="12"/>
  <c r="R102" i="12"/>
  <c r="AE121" i="12"/>
  <c r="AD121" i="12"/>
  <c r="AC121" i="12"/>
  <c r="AY117" i="12"/>
  <c r="Z121" i="12"/>
  <c r="AT120" i="12"/>
  <c r="AJ125" i="12"/>
  <c r="AK129" i="12"/>
  <c r="AF101" i="12"/>
  <c r="AE101" i="12"/>
  <c r="AB101" i="12"/>
  <c r="AX97" i="12"/>
  <c r="AG101" i="12"/>
  <c r="S115" i="12"/>
  <c r="AJ115" i="12"/>
  <c r="BD115" i="12"/>
  <c r="S121" i="12"/>
  <c r="AI124" i="12"/>
  <c r="AE124" i="12"/>
  <c r="AD124" i="12"/>
  <c r="AC124" i="12"/>
  <c r="AY120" i="12"/>
  <c r="AB124" i="12"/>
  <c r="AX120" i="12"/>
  <c r="BD124" i="12"/>
  <c r="Y124" i="12"/>
  <c r="AS123" i="12"/>
  <c r="AL142" i="12"/>
  <c r="AH101" i="12"/>
  <c r="AL102" i="12"/>
  <c r="AO108" i="12"/>
  <c r="R111" i="12"/>
  <c r="AJ111" i="12"/>
  <c r="S124" i="12"/>
  <c r="AO125" i="12"/>
  <c r="AO130" i="12"/>
  <c r="AL130" i="12"/>
  <c r="V143" i="12"/>
  <c r="AJ162" i="12"/>
  <c r="R162" i="12"/>
  <c r="AM162" i="12"/>
  <c r="AI101" i="12"/>
  <c r="BC101" i="12"/>
  <c r="R125" i="12"/>
  <c r="R126" i="12"/>
  <c r="R130" i="12"/>
  <c r="W132" i="12"/>
  <c r="AI132" i="12"/>
  <c r="AH132" i="12"/>
  <c r="AG132" i="12"/>
  <c r="S132" i="12"/>
  <c r="AF132" i="12"/>
  <c r="AE132" i="12"/>
  <c r="AD132" i="12"/>
  <c r="AB132" i="12"/>
  <c r="AX128" i="12"/>
  <c r="AA132" i="12"/>
  <c r="AD137" i="12"/>
  <c r="AC137" i="12"/>
  <c r="Z137" i="12"/>
  <c r="AA137" i="12"/>
  <c r="W137" i="12"/>
  <c r="BD137" i="12"/>
  <c r="BC137" i="12"/>
  <c r="S137" i="12"/>
  <c r="AH137" i="12"/>
  <c r="AG137" i="12"/>
  <c r="AC140" i="12"/>
  <c r="AY136" i="12"/>
  <c r="AB140" i="12"/>
  <c r="AX136" i="12"/>
  <c r="BD140" i="12"/>
  <c r="Y140" i="12"/>
  <c r="AS139" i="12"/>
  <c r="S140" i="12"/>
  <c r="BC140" i="12"/>
  <c r="AI140" i="12"/>
  <c r="AH140" i="12"/>
  <c r="AG140" i="12"/>
  <c r="AF140" i="12"/>
  <c r="AT139" i="12"/>
  <c r="AE140" i="12"/>
  <c r="AD140" i="12"/>
  <c r="AA140" i="12"/>
  <c r="U162" i="12"/>
  <c r="U163" i="12" s="1"/>
  <c r="U164" i="12" s="1"/>
  <c r="U165" i="12" s="1"/>
  <c r="U166" i="12" s="1"/>
  <c r="U167" i="12" s="1"/>
  <c r="U168" i="12" s="1"/>
  <c r="U169" i="12" s="1"/>
  <c r="U170" i="12" s="1"/>
  <c r="U171" i="12" s="1"/>
  <c r="U172" i="12" s="1"/>
  <c r="U173" i="12" s="1"/>
  <c r="U174" i="12" s="1"/>
  <c r="U175" i="12" s="1"/>
  <c r="U176" i="12" s="1"/>
  <c r="U177" i="12" s="1"/>
  <c r="U178" i="12" s="1"/>
  <c r="U179" i="12" s="1"/>
  <c r="U180" i="12" s="1"/>
  <c r="U181" i="12" s="1"/>
  <c r="U182" i="12" s="1"/>
  <c r="U183" i="12" s="1"/>
  <c r="U184" i="12" s="1"/>
  <c r="U185" i="12" s="1"/>
  <c r="U186" i="12" s="1"/>
  <c r="U187" i="12" s="1"/>
  <c r="U188" i="12" s="1"/>
  <c r="U189" i="12" s="1"/>
  <c r="U190" i="12" s="1"/>
  <c r="U191" i="12" s="1"/>
  <c r="U192" i="12" s="1"/>
  <c r="U193" i="12" s="1"/>
  <c r="U194" i="12" s="1"/>
  <c r="U195" i="12" s="1"/>
  <c r="U196" i="12" s="1"/>
  <c r="U197" i="12" s="1"/>
  <c r="U198" i="12" s="1"/>
  <c r="U199" i="12" s="1"/>
  <c r="U200" i="12" s="1"/>
  <c r="U201" i="12" s="1"/>
  <c r="U202" i="12" s="1"/>
  <c r="U203" i="12" s="1"/>
  <c r="U204" i="12" s="1"/>
  <c r="U205" i="12" s="1"/>
  <c r="U206" i="12" s="1"/>
  <c r="U207" i="12" s="1"/>
  <c r="U208" i="12" s="1"/>
  <c r="U209" i="12" s="1"/>
  <c r="AO179" i="12"/>
  <c r="AL179" i="12"/>
  <c r="R179" i="12"/>
  <c r="AK130" i="12"/>
  <c r="AJ133" i="12"/>
  <c r="Y143" i="12"/>
  <c r="AM149" i="12"/>
  <c r="AJ149" i="12"/>
  <c r="AY149" i="12"/>
  <c r="AF152" i="12"/>
  <c r="AA153" i="12"/>
  <c r="AL154" i="12"/>
  <c r="W157" i="12"/>
  <c r="W163" i="12"/>
  <c r="AI165" i="12"/>
  <c r="AH165" i="12"/>
  <c r="AG165" i="12"/>
  <c r="S165" i="12"/>
  <c r="AF165" i="12"/>
  <c r="AE165" i="12"/>
  <c r="AD165" i="12"/>
  <c r="AC165" i="12"/>
  <c r="AY161" i="12"/>
  <c r="Z165" i="12"/>
  <c r="AT164" i="12"/>
  <c r="BC165" i="12"/>
  <c r="W166" i="12"/>
  <c r="AO170" i="12"/>
  <c r="AL170" i="12"/>
  <c r="AI172" i="12"/>
  <c r="AK133" i="12"/>
  <c r="Z143" i="12"/>
  <c r="Y151" i="12"/>
  <c r="AB153" i="12"/>
  <c r="Y157" i="12"/>
  <c r="AJ159" i="12"/>
  <c r="R159" i="12"/>
  <c r="AL180" i="12"/>
  <c r="AO180" i="12"/>
  <c r="R195" i="12"/>
  <c r="AM195" i="12"/>
  <c r="AJ195" i="12"/>
  <c r="AA151" i="12"/>
  <c r="AC153" i="12"/>
  <c r="AM164" i="12"/>
  <c r="AJ164" i="12"/>
  <c r="AM167" i="12"/>
  <c r="AJ167" i="12"/>
  <c r="R167" i="12"/>
  <c r="R180" i="12"/>
  <c r="AN195" i="12"/>
  <c r="AK195" i="12"/>
  <c r="AM133" i="12"/>
  <c r="R135" i="12"/>
  <c r="AD143" i="12"/>
  <c r="R149" i="12"/>
  <c r="AB151" i="12"/>
  <c r="AE153" i="12"/>
  <c r="AJ155" i="12"/>
  <c r="AG157" i="12"/>
  <c r="AH163" i="12"/>
  <c r="AN164" i="12"/>
  <c r="AK164" i="12"/>
  <c r="Y165" i="12"/>
  <c r="AM188" i="12"/>
  <c r="R188" i="12"/>
  <c r="AJ188" i="12"/>
  <c r="AN189" i="12"/>
  <c r="AK189" i="12"/>
  <c r="R136" i="12"/>
  <c r="AJ136" i="12"/>
  <c r="AN141" i="12"/>
  <c r="AS142" i="12"/>
  <c r="AE143" i="12"/>
  <c r="AX147" i="12"/>
  <c r="AK149" i="12"/>
  <c r="AE151" i="12"/>
  <c r="AF153" i="12"/>
  <c r="BD153" i="12"/>
  <c r="AA165" i="12"/>
  <c r="AX168" i="12"/>
  <c r="AY139" i="12"/>
  <c r="AO141" i="12"/>
  <c r="AT142" i="12"/>
  <c r="AF143" i="12"/>
  <c r="R144" i="12"/>
  <c r="R148" i="12"/>
  <c r="AL149" i="12"/>
  <c r="AF151" i="12"/>
  <c r="AE152" i="12"/>
  <c r="AC152" i="12"/>
  <c r="BD152" i="12"/>
  <c r="Y152" i="12"/>
  <c r="AS151" i="12"/>
  <c r="BC152" i="12"/>
  <c r="AI152" i="12"/>
  <c r="AI153" i="12"/>
  <c r="AL156" i="12"/>
  <c r="AM161" i="12"/>
  <c r="AJ161" i="12"/>
  <c r="R161" i="12"/>
  <c r="R164" i="12"/>
  <c r="AB171" i="12"/>
  <c r="AX167" i="12"/>
  <c r="AA171" i="12"/>
  <c r="AG171" i="12"/>
  <c r="AF171" i="12"/>
  <c r="AE171" i="12"/>
  <c r="AD171" i="12"/>
  <c r="AT170" i="12"/>
  <c r="AC171" i="12"/>
  <c r="AS170" i="12"/>
  <c r="Z171" i="12"/>
  <c r="Y171" i="12"/>
  <c r="W171" i="12"/>
  <c r="BD171" i="12"/>
  <c r="AD187" i="12"/>
  <c r="AC187" i="12"/>
  <c r="AY183" i="12"/>
  <c r="AG187" i="12"/>
  <c r="AF187" i="12"/>
  <c r="AE187" i="12"/>
  <c r="Z187" i="12"/>
  <c r="AI187" i="12"/>
  <c r="AH187" i="12"/>
  <c r="AB187" i="12"/>
  <c r="AA187" i="12"/>
  <c r="BD187" i="12"/>
  <c r="Y187" i="12"/>
  <c r="AX183" i="12"/>
  <c r="BC187" i="12"/>
  <c r="W187" i="12"/>
  <c r="AG143" i="12"/>
  <c r="AM144" i="12"/>
  <c r="AJ147" i="12"/>
  <c r="R147" i="12"/>
  <c r="AS150" i="12"/>
  <c r="AG151" i="12"/>
  <c r="S152" i="12"/>
  <c r="R155" i="12"/>
  <c r="AO155" i="12"/>
  <c r="AN158" i="12"/>
  <c r="AK158" i="12"/>
  <c r="AN161" i="12"/>
  <c r="AK161" i="12"/>
  <c r="S171" i="12"/>
  <c r="S187" i="12"/>
  <c r="AK135" i="12"/>
  <c r="AO143" i="12"/>
  <c r="AL143" i="12"/>
  <c r="AH151" i="12"/>
  <c r="AK156" i="12"/>
  <c r="R156" i="12"/>
  <c r="AN156" i="12"/>
  <c r="AO158" i="12"/>
  <c r="AL158" i="12"/>
  <c r="AO161" i="12"/>
  <c r="AL161" i="12"/>
  <c r="AB143" i="12"/>
  <c r="AX139" i="12"/>
  <c r="AA143" i="12"/>
  <c r="BC143" i="12"/>
  <c r="AI143" i="12"/>
  <c r="BD143" i="12"/>
  <c r="AI151" i="12"/>
  <c r="AH157" i="12"/>
  <c r="AF157" i="12"/>
  <c r="AE157" i="12"/>
  <c r="AD157" i="12"/>
  <c r="AC157" i="12"/>
  <c r="AB157" i="12"/>
  <c r="AX153" i="12"/>
  <c r="AA157" i="12"/>
  <c r="BC157" i="12"/>
  <c r="R158" i="12"/>
  <c r="AF163" i="12"/>
  <c r="AE163" i="12"/>
  <c r="AD163" i="12"/>
  <c r="AC163" i="12"/>
  <c r="AY159" i="12"/>
  <c r="AB163" i="12"/>
  <c r="AX159" i="12"/>
  <c r="AA163" i="12"/>
  <c r="Z163" i="12"/>
  <c r="AT162" i="12"/>
  <c r="BD163" i="12"/>
  <c r="Y163" i="12"/>
  <c r="AS162" i="12"/>
  <c r="R183" i="12"/>
  <c r="AT186" i="12"/>
  <c r="AN146" i="12"/>
  <c r="AK146" i="12"/>
  <c r="AD151" i="12"/>
  <c r="AC151" i="12"/>
  <c r="AY147" i="12"/>
  <c r="Z151" i="12"/>
  <c r="AT150" i="12"/>
  <c r="BD151" i="12"/>
  <c r="Z153" i="12"/>
  <c r="AT152" i="12"/>
  <c r="BC153" i="12"/>
  <c r="AH153" i="12"/>
  <c r="AG153" i="12"/>
  <c r="S153" i="12"/>
  <c r="AD153" i="12"/>
  <c r="T159" i="12"/>
  <c r="T160" i="12" s="1"/>
  <c r="T161" i="12" s="1"/>
  <c r="T162" i="12" s="1"/>
  <c r="T163" i="12" s="1"/>
  <c r="T164" i="12" s="1"/>
  <c r="T165" i="12" s="1"/>
  <c r="T166" i="12" s="1"/>
  <c r="T167" i="12" s="1"/>
  <c r="T168" i="12" s="1"/>
  <c r="T169" i="12" s="1"/>
  <c r="T170" i="12" s="1"/>
  <c r="T171" i="12" s="1"/>
  <c r="T172" i="12" s="1"/>
  <c r="T173" i="12" s="1"/>
  <c r="T174" i="12" s="1"/>
  <c r="T175" i="12" s="1"/>
  <c r="T176" i="12" s="1"/>
  <c r="T177" i="12" s="1"/>
  <c r="T178" i="12" s="1"/>
  <c r="T179" i="12" s="1"/>
  <c r="T180" i="12" s="1"/>
  <c r="T181" i="12" s="1"/>
  <c r="T182" i="12" s="1"/>
  <c r="T183" i="12" s="1"/>
  <c r="T184" i="12" s="1"/>
  <c r="T185" i="12" s="1"/>
  <c r="T186" i="12" s="1"/>
  <c r="T187" i="12" s="1"/>
  <c r="T188" i="12" s="1"/>
  <c r="T189" i="12" s="1"/>
  <c r="T190" i="12" s="1"/>
  <c r="T191" i="12" s="1"/>
  <c r="T192" i="12" s="1"/>
  <c r="T193" i="12" s="1"/>
  <c r="T194" i="12" s="1"/>
  <c r="T195" i="12" s="1"/>
  <c r="T196" i="12" s="1"/>
  <c r="T197" i="12" s="1"/>
  <c r="T198" i="12" s="1"/>
  <c r="T199" i="12" s="1"/>
  <c r="T200" i="12" s="1"/>
  <c r="T201" i="12" s="1"/>
  <c r="T202" i="12" s="1"/>
  <c r="T203" i="12" s="1"/>
  <c r="T204" i="12" s="1"/>
  <c r="T205" i="12" s="1"/>
  <c r="T206" i="12" s="1"/>
  <c r="T207" i="12" s="1"/>
  <c r="T208" i="12" s="1"/>
  <c r="T209" i="12" s="1"/>
  <c r="AN168" i="12"/>
  <c r="AK168" i="12"/>
  <c r="R168" i="12"/>
  <c r="AM147" i="12"/>
  <c r="S151" i="12"/>
  <c r="Z152" i="12"/>
  <c r="AO153" i="12"/>
  <c r="AS156" i="12"/>
  <c r="AM159" i="12"/>
  <c r="BC166" i="12"/>
  <c r="AE166" i="12"/>
  <c r="AD166" i="12"/>
  <c r="AC166" i="12"/>
  <c r="AY162" i="12"/>
  <c r="AB166" i="12"/>
  <c r="AX162" i="12"/>
  <c r="AA166" i="12"/>
  <c r="Z166" i="12"/>
  <c r="AT165" i="12"/>
  <c r="Y166" i="12"/>
  <c r="AS165" i="12"/>
  <c r="BD166" i="12"/>
  <c r="AI166" i="12"/>
  <c r="AO168" i="12"/>
  <c r="AL168" i="12"/>
  <c r="W172" i="12"/>
  <c r="AG172" i="12"/>
  <c r="AF172" i="12"/>
  <c r="AE172" i="12"/>
  <c r="AD172" i="12"/>
  <c r="AC172" i="12"/>
  <c r="AT171" i="12"/>
  <c r="AB172" i="12"/>
  <c r="AS171" i="12"/>
  <c r="AA172" i="12"/>
  <c r="Z172" i="12"/>
  <c r="Y172" i="12"/>
  <c r="AL183" i="12"/>
  <c r="AJ198" i="12"/>
  <c r="R198" i="12"/>
  <c r="AN199" i="12"/>
  <c r="AK199" i="12"/>
  <c r="AL157" i="12"/>
  <c r="W160" i="12"/>
  <c r="AK160" i="12"/>
  <c r="AJ163" i="12"/>
  <c r="AK171" i="12"/>
  <c r="AM172" i="12"/>
  <c r="W173" i="12"/>
  <c r="AM173" i="12"/>
  <c r="W174" i="12"/>
  <c r="W176" i="12"/>
  <c r="AB177" i="12"/>
  <c r="AG185" i="12"/>
  <c r="Z186" i="12"/>
  <c r="BC186" i="12"/>
  <c r="AJ194" i="12"/>
  <c r="AM194" i="12"/>
  <c r="R194" i="12"/>
  <c r="Z203" i="12"/>
  <c r="AT202" i="12"/>
  <c r="BD203" i="12"/>
  <c r="Y203" i="12"/>
  <c r="AS202" i="12"/>
  <c r="AH203" i="12"/>
  <c r="AG203" i="12"/>
  <c r="S203" i="12"/>
  <c r="AD203" i="12"/>
  <c r="W203" i="12"/>
  <c r="AI203" i="12"/>
  <c r="AC203" i="12"/>
  <c r="AY199" i="12"/>
  <c r="AT159" i="12"/>
  <c r="Z160" i="12"/>
  <c r="AM163" i="12"/>
  <c r="Z173" i="12"/>
  <c r="AB174" i="12"/>
  <c r="Z176" i="12"/>
  <c r="AE177" i="12"/>
  <c r="AJ178" i="12"/>
  <c r="AG186" i="12"/>
  <c r="AL190" i="12"/>
  <c r="AL201" i="12"/>
  <c r="R201" i="12"/>
  <c r="AA160" i="12"/>
  <c r="AA173" i="12"/>
  <c r="AC174" i="12"/>
  <c r="AS175" i="12"/>
  <c r="AB176" i="12"/>
  <c r="AM177" i="12"/>
  <c r="AJ177" i="12"/>
  <c r="AF177" i="12"/>
  <c r="R178" i="12"/>
  <c r="AK178" i="12"/>
  <c r="R182" i="12"/>
  <c r="AE184" i="12"/>
  <c r="AD184" i="12"/>
  <c r="BC184" i="12"/>
  <c r="AC184" i="12"/>
  <c r="AB184" i="12"/>
  <c r="AT183" i="12"/>
  <c r="AA184" i="12"/>
  <c r="AS183" i="12"/>
  <c r="AY180" i="12"/>
  <c r="AL185" i="12"/>
  <c r="AL191" i="12"/>
  <c r="AO191" i="12"/>
  <c r="AA203" i="12"/>
  <c r="AB160" i="12"/>
  <c r="AS172" i="12"/>
  <c r="AB173" i="12"/>
  <c r="AS173" i="12"/>
  <c r="AD174" i="12"/>
  <c r="AT175" i="12"/>
  <c r="AC176" i="12"/>
  <c r="AG177" i="12"/>
  <c r="AK182" i="12"/>
  <c r="R191" i="12"/>
  <c r="R200" i="12"/>
  <c r="AB203" i="12"/>
  <c r="AY156" i="12"/>
  <c r="AC160" i="12"/>
  <c r="AT172" i="12"/>
  <c r="AE174" i="12"/>
  <c r="AF176" i="12"/>
  <c r="AH177" i="12"/>
  <c r="Z185" i="12"/>
  <c r="AT184" i="12"/>
  <c r="BD185" i="12"/>
  <c r="Y185" i="12"/>
  <c r="AS184" i="12"/>
  <c r="AF185" i="12"/>
  <c r="AE185" i="12"/>
  <c r="AX181" i="12"/>
  <c r="AD185" i="12"/>
  <c r="AA185" i="12"/>
  <c r="AO193" i="12"/>
  <c r="AL193" i="12"/>
  <c r="AN200" i="12"/>
  <c r="AK200" i="12"/>
  <c r="AE203" i="12"/>
  <c r="AD160" i="12"/>
  <c r="AF173" i="12"/>
  <c r="AE173" i="12"/>
  <c r="AD173" i="12"/>
  <c r="AF174" i="12"/>
  <c r="AG176" i="12"/>
  <c r="Z177" i="12"/>
  <c r="AT176" i="12"/>
  <c r="BD177" i="12"/>
  <c r="Y177" i="12"/>
  <c r="AS176" i="12"/>
  <c r="AI177" i="12"/>
  <c r="AK190" i="12"/>
  <c r="R190" i="12"/>
  <c r="AF203" i="12"/>
  <c r="AE160" i="12"/>
  <c r="AX170" i="12"/>
  <c r="AG173" i="12"/>
  <c r="AY173" i="12"/>
  <c r="S177" i="12"/>
  <c r="AK177" i="12"/>
  <c r="R181" i="12"/>
  <c r="AG192" i="12"/>
  <c r="S192" i="12"/>
  <c r="AF192" i="12"/>
  <c r="AC192" i="12"/>
  <c r="BC192" i="12"/>
  <c r="AI192" i="12"/>
  <c r="AE192" i="12"/>
  <c r="AS191" i="12"/>
  <c r="AB192" i="12"/>
  <c r="AA192" i="12"/>
  <c r="Z192" i="12"/>
  <c r="AY188" i="12"/>
  <c r="Y192" i="12"/>
  <c r="AX188" i="12"/>
  <c r="AN196" i="12"/>
  <c r="AK196" i="12"/>
  <c r="AF160" i="12"/>
  <c r="R170" i="12"/>
  <c r="AH173" i="12"/>
  <c r="AA174" i="12"/>
  <c r="Z174" i="12"/>
  <c r="AT173" i="12"/>
  <c r="AH174" i="12"/>
  <c r="AE176" i="12"/>
  <c r="AD176" i="12"/>
  <c r="AA176" i="12"/>
  <c r="AI176" i="12"/>
  <c r="AI186" i="12"/>
  <c r="AH186" i="12"/>
  <c r="W186" i="12"/>
  <c r="AF186" i="12"/>
  <c r="AE186" i="12"/>
  <c r="AD186" i="12"/>
  <c r="AA186" i="12"/>
  <c r="S160" i="12"/>
  <c r="AY172" i="12"/>
  <c r="S173" i="12"/>
  <c r="AI173" i="12"/>
  <c r="S174" i="12"/>
  <c r="AI174" i="12"/>
  <c r="R175" i="12"/>
  <c r="S176" i="12"/>
  <c r="BC176" i="12"/>
  <c r="W185" i="12"/>
  <c r="S186" i="12"/>
  <c r="AJ189" i="12"/>
  <c r="R189" i="12"/>
  <c r="R196" i="12"/>
  <c r="AX199" i="12"/>
  <c r="R204" i="12"/>
  <c r="AM199" i="12"/>
  <c r="AJ199" i="12"/>
  <c r="R199" i="12"/>
  <c r="R202" i="12"/>
  <c r="AO205" i="12"/>
  <c r="AL205" i="12"/>
  <c r="AN191" i="12"/>
  <c r="AJ203" i="12"/>
  <c r="R205" i="12"/>
  <c r="AJ197" i="12"/>
  <c r="R197" i="12"/>
  <c r="AL203" i="12"/>
  <c r="R193" i="12"/>
  <c r="T267" i="12"/>
  <c r="T268" i="12" s="1"/>
  <c r="T269" i="12" s="1"/>
  <c r="T270" i="12" s="1"/>
  <c r="T271" i="12" s="1"/>
  <c r="T272" i="12" s="1"/>
  <c r="T273" i="12" s="1"/>
  <c r="T274" i="12" s="1"/>
  <c r="T275" i="12" s="1"/>
  <c r="T276" i="12" s="1"/>
  <c r="T277" i="12" s="1"/>
  <c r="T278" i="12" s="1"/>
  <c r="T279" i="12" s="1"/>
  <c r="T280" i="12" s="1"/>
  <c r="T281" i="12" s="1"/>
  <c r="T282" i="12" s="1"/>
  <c r="T283" i="12" s="1"/>
  <c r="T284" i="12" s="1"/>
  <c r="T285" i="12" s="1"/>
  <c r="T286" i="12" s="1"/>
  <c r="T287" i="12" s="1"/>
  <c r="T288" i="12" s="1"/>
  <c r="T289" i="12" s="1"/>
  <c r="T290" i="12" s="1"/>
  <c r="T291" i="12" s="1"/>
  <c r="T292" i="12" s="1"/>
  <c r="T293" i="12" s="1"/>
  <c r="T294" i="12" s="1"/>
  <c r="T295" i="12" s="1"/>
  <c r="T296" i="12" s="1"/>
  <c r="T297" i="12" s="1"/>
  <c r="T298" i="12" s="1"/>
  <c r="T299" i="12" s="1"/>
  <c r="T300" i="12" s="1"/>
  <c r="T301" i="12" s="1"/>
  <c r="T302" i="12" s="1"/>
  <c r="T303" i="12" s="1"/>
  <c r="T304" i="12" s="1"/>
  <c r="T305" i="12" s="1"/>
  <c r="T306" i="12" s="1"/>
  <c r="T307" i="12" s="1"/>
  <c r="T308" i="12" s="1"/>
  <c r="T309" i="12" s="1"/>
  <c r="T310" i="12" s="1"/>
  <c r="T311" i="12" s="1"/>
  <c r="T312" i="12" s="1"/>
  <c r="T313" i="12" s="1"/>
  <c r="T314" i="12" s="1"/>
  <c r="AK185" i="12"/>
  <c r="AM197" i="12"/>
  <c r="AO290" i="12"/>
  <c r="AL290" i="12"/>
  <c r="AO293" i="12"/>
  <c r="AL293" i="12"/>
  <c r="BD268" i="12"/>
  <c r="AW268" i="12" s="1"/>
  <c r="AF268" i="12"/>
  <c r="AE268" i="12"/>
  <c r="AD268" i="12"/>
  <c r="AO296" i="12"/>
  <c r="AK269" i="12"/>
  <c r="AL270" i="12"/>
  <c r="AO270" i="12"/>
  <c r="R269" i="12"/>
  <c r="AL284" i="12"/>
  <c r="AO284" i="12"/>
  <c r="AO305" i="12"/>
  <c r="AL305" i="12"/>
  <c r="AB268" i="12"/>
  <c r="AC268" i="12"/>
  <c r="BV190" i="20"/>
  <c r="BN190" i="20"/>
  <c r="BN191" i="20"/>
  <c r="AL297" i="12"/>
  <c r="G10" i="17"/>
  <c r="G8" i="17"/>
  <c r="G7" i="17"/>
  <c r="F30" i="17"/>
  <c r="AO307" i="12"/>
  <c r="AL307" i="12"/>
  <c r="AO311" i="12"/>
  <c r="AL311" i="12"/>
  <c r="AO299" i="12"/>
  <c r="AL312" i="12"/>
  <c r="AO312" i="12"/>
  <c r="AL279" i="12"/>
  <c r="AL275" i="12"/>
  <c r="AL276" i="12"/>
  <c r="AO310" i="12"/>
  <c r="BB49" i="20"/>
  <c r="N49" i="20"/>
  <c r="CH6" i="20"/>
  <c r="CG6" i="20"/>
  <c r="G19" i="17"/>
  <c r="M7" i="17" s="1"/>
  <c r="G18" i="17"/>
  <c r="G17" i="17"/>
  <c r="F36" i="17"/>
  <c r="G20" i="17"/>
  <c r="BB60" i="20"/>
  <c r="J60" i="20"/>
  <c r="CH62" i="20"/>
  <c r="BO191" i="20"/>
  <c r="BW190" i="20"/>
  <c r="BO190" i="20"/>
  <c r="BV204" i="20"/>
  <c r="BN204" i="20"/>
  <c r="CH53" i="20"/>
  <c r="F13" i="16"/>
  <c r="J13" i="16" s="1"/>
  <c r="E14" i="16"/>
  <c r="G13" i="16"/>
  <c r="K13" i="16" s="1"/>
  <c r="CG49" i="20"/>
  <c r="CH54" i="20"/>
  <c r="L6" i="16"/>
  <c r="N19" i="20"/>
  <c r="N48" i="20"/>
  <c r="BB48" i="20"/>
  <c r="CH45" i="20"/>
  <c r="CG45" i="20"/>
  <c r="N8" i="20"/>
  <c r="CH9" i="20"/>
  <c r="AO309" i="12"/>
  <c r="CH36" i="20"/>
  <c r="AO314" i="12"/>
  <c r="AL314" i="12"/>
  <c r="N10" i="20"/>
  <c r="N7" i="20"/>
  <c r="N23" i="20"/>
  <c r="N5" i="20"/>
  <c r="N26" i="20"/>
  <c r="N18" i="20"/>
  <c r="BB5" i="20"/>
  <c r="N25" i="20"/>
  <c r="N21" i="20"/>
  <c r="N14" i="20"/>
  <c r="BH33" i="20"/>
  <c r="N44" i="20"/>
  <c r="BB44" i="20"/>
  <c r="CG57" i="20"/>
  <c r="CH37" i="20"/>
  <c r="N60" i="20"/>
  <c r="N61" i="20" s="1"/>
  <c r="N62" i="20" s="1"/>
  <c r="N63" i="20" s="1"/>
  <c r="N64" i="20" s="1"/>
  <c r="N65" i="20" s="1"/>
  <c r="N66" i="20" s="1"/>
  <c r="N67" i="20" s="1"/>
  <c r="N68" i="20" s="1"/>
  <c r="N69" i="20" s="1"/>
  <c r="N70" i="20" s="1"/>
  <c r="N71" i="20" s="1"/>
  <c r="N72" i="20" s="1"/>
  <c r="N73" i="20" s="1"/>
  <c r="N74" i="20" s="1"/>
  <c r="N75" i="20" s="1"/>
  <c r="N76" i="20" s="1"/>
  <c r="N77" i="20" s="1"/>
  <c r="N78" i="20" s="1"/>
  <c r="N79" i="20" s="1"/>
  <c r="N80" i="20" s="1"/>
  <c r="N81" i="20" s="1"/>
  <c r="N82" i="20" s="1"/>
  <c r="N83" i="20" s="1"/>
  <c r="N84" i="20" s="1"/>
  <c r="N85" i="20" s="1"/>
  <c r="N86" i="20" s="1"/>
  <c r="N87" i="20" s="1"/>
  <c r="N88" i="20" s="1"/>
  <c r="N89" i="20" s="1"/>
  <c r="N90" i="20" s="1"/>
  <c r="N91" i="20" s="1"/>
  <c r="N92" i="20" s="1"/>
  <c r="N93" i="20" s="1"/>
  <c r="N94" i="20" s="1"/>
  <c r="N95" i="20" s="1"/>
  <c r="N96" i="20" s="1"/>
  <c r="N97" i="20" s="1"/>
  <c r="N98" i="20" s="1"/>
  <c r="N99" i="20" s="1"/>
  <c r="N100" i="20" s="1"/>
  <c r="N101" i="20" s="1"/>
  <c r="N102" i="20" s="1"/>
  <c r="N103" i="20" s="1"/>
  <c r="N104" i="20" s="1"/>
  <c r="N105" i="20" s="1"/>
  <c r="N106" i="20" s="1"/>
  <c r="N107" i="20" s="1"/>
  <c r="N108" i="20" s="1"/>
  <c r="BB72" i="20"/>
  <c r="J72" i="20"/>
  <c r="N17" i="20"/>
  <c r="N6" i="20"/>
  <c r="N27" i="20"/>
  <c r="CH33" i="20"/>
  <c r="CH69" i="20"/>
  <c r="CG69" i="20"/>
  <c r="CH12" i="20"/>
  <c r="CG12" i="20"/>
  <c r="N15" i="20"/>
  <c r="BB40" i="20"/>
  <c r="CG42" i="20"/>
  <c r="CG60" i="20"/>
  <c r="N11" i="20"/>
  <c r="BB11" i="20"/>
  <c r="CG24" i="20"/>
  <c r="CH24" i="20"/>
  <c r="CH39" i="20"/>
  <c r="J64" i="20"/>
  <c r="N29" i="20"/>
  <c r="CH61" i="20"/>
  <c r="CG61" i="20"/>
  <c r="BB59" i="20"/>
  <c r="J59" i="20"/>
  <c r="CH23" i="20"/>
  <c r="BB39" i="20"/>
  <c r="N39" i="20"/>
  <c r="CH46" i="20"/>
  <c r="CG73" i="20"/>
  <c r="CH73" i="20"/>
  <c r="CG98" i="20"/>
  <c r="CH98" i="20"/>
  <c r="N12" i="20"/>
  <c r="N22" i="20"/>
  <c r="CH27" i="20"/>
  <c r="CG30" i="20"/>
  <c r="CH34" i="20"/>
  <c r="CG50" i="20"/>
  <c r="F8" i="16"/>
  <c r="CH74" i="20"/>
  <c r="BF120" i="20"/>
  <c r="BB120" i="20"/>
  <c r="CG10" i="20"/>
  <c r="CG20" i="20"/>
  <c r="CG51" i="20"/>
  <c r="CG108" i="20"/>
  <c r="BB144" i="20"/>
  <c r="J144" i="20"/>
  <c r="CG31" i="20"/>
  <c r="CG41" i="20"/>
  <c r="CH48" i="20"/>
  <c r="CG48" i="20"/>
  <c r="J80" i="20"/>
  <c r="BB80" i="20"/>
  <c r="BB140" i="20"/>
  <c r="J140" i="20"/>
  <c r="BB145" i="20"/>
  <c r="J145" i="20"/>
  <c r="BB34" i="20"/>
  <c r="N34" i="20"/>
  <c r="CG38" i="20"/>
  <c r="CH38" i="20"/>
  <c r="CH44" i="20"/>
  <c r="CG67" i="20"/>
  <c r="CH94" i="20"/>
  <c r="CG106" i="20"/>
  <c r="N13" i="20"/>
  <c r="N24" i="20"/>
  <c r="BB51" i="20"/>
  <c r="N51" i="20"/>
  <c r="CH87" i="20"/>
  <c r="CH21" i="20"/>
  <c r="CG25" i="20"/>
  <c r="N28" i="20"/>
  <c r="CH52" i="20"/>
  <c r="CH56" i="20"/>
  <c r="CH64" i="20"/>
  <c r="CG75" i="20"/>
  <c r="CH83" i="20"/>
  <c r="CG83" i="20"/>
  <c r="N31" i="20"/>
  <c r="BH65" i="20"/>
  <c r="CH88" i="20"/>
  <c r="CG88" i="20"/>
  <c r="CG70" i="20"/>
  <c r="CH92" i="20"/>
  <c r="CH81" i="20"/>
  <c r="CG84" i="20"/>
  <c r="CH96" i="20"/>
  <c r="N47" i="20"/>
  <c r="J67" i="20"/>
  <c r="CG78" i="20"/>
  <c r="BF112" i="20"/>
  <c r="BB112" i="20"/>
  <c r="BV171" i="20"/>
  <c r="BN172" i="20"/>
  <c r="BN171" i="20"/>
  <c r="CH7" i="20"/>
  <c r="N9" i="20"/>
  <c r="N20" i="20"/>
  <c r="BB54" i="20"/>
  <c r="N54" i="20"/>
  <c r="CG63" i="20"/>
  <c r="BH66" i="20"/>
  <c r="CH68" i="20"/>
  <c r="CH71" i="20"/>
  <c r="CG102" i="20"/>
  <c r="CH102" i="20"/>
  <c r="CH105" i="20"/>
  <c r="CH107" i="20"/>
  <c r="CG107" i="20"/>
  <c r="CH89" i="20"/>
  <c r="BN167" i="20"/>
  <c r="BN168" i="20"/>
  <c r="BV185" i="20"/>
  <c r="BN186" i="20"/>
  <c r="BN185" i="20"/>
  <c r="CG55" i="20"/>
  <c r="CH85" i="20"/>
  <c r="BB157" i="20"/>
  <c r="J157" i="20"/>
  <c r="BO167" i="20"/>
  <c r="BO168" i="20"/>
  <c r="BW167" i="20"/>
  <c r="BQ183" i="20"/>
  <c r="BI183" i="20"/>
  <c r="BB183" i="20"/>
  <c r="BV196" i="20"/>
  <c r="BN196" i="20"/>
  <c r="BN197" i="20"/>
  <c r="BN198" i="20"/>
  <c r="BN199" i="20"/>
  <c r="BV198" i="20"/>
  <c r="N32" i="20"/>
  <c r="N52" i="20"/>
  <c r="CH59" i="20"/>
  <c r="J68" i="20"/>
  <c r="BB68" i="20"/>
  <c r="BB73" i="20"/>
  <c r="BB74" i="20"/>
  <c r="J74" i="20"/>
  <c r="J82" i="20"/>
  <c r="BB82" i="20"/>
  <c r="CH90" i="20"/>
  <c r="CH104" i="20"/>
  <c r="BN176" i="20"/>
  <c r="BV176" i="20"/>
  <c r="BQ194" i="20"/>
  <c r="BB194" i="20"/>
  <c r="BI194" i="20"/>
  <c r="CH99" i="20"/>
  <c r="CG99" i="20"/>
  <c r="CG26" i="20"/>
  <c r="CH72" i="20"/>
  <c r="CG101" i="20"/>
  <c r="BN181" i="20"/>
  <c r="BV180" i="20"/>
  <c r="BO172" i="20"/>
  <c r="BW171" i="20"/>
  <c r="BQ175" i="20"/>
  <c r="BB175" i="20"/>
  <c r="BV177" i="20"/>
  <c r="BN177" i="20"/>
  <c r="BN178" i="20"/>
  <c r="BO186" i="20"/>
  <c r="BW185" i="20"/>
  <c r="BI181" i="20"/>
  <c r="BB181" i="20"/>
  <c r="BO200" i="20"/>
  <c r="BO201" i="20"/>
  <c r="BW200" i="20"/>
  <c r="BY87" i="20"/>
  <c r="CA87" i="20" s="1"/>
  <c r="CG87" i="20" s="1"/>
  <c r="G87" i="20"/>
  <c r="BB87" i="20" s="1"/>
  <c r="CH91" i="20"/>
  <c r="BB114" i="20"/>
  <c r="BI161" i="20"/>
  <c r="BB161" i="20"/>
  <c r="N38" i="20"/>
  <c r="J83" i="20"/>
  <c r="BQ170" i="20"/>
  <c r="BO181" i="20"/>
  <c r="BW181" i="20"/>
  <c r="BI203" i="20"/>
  <c r="BB203" i="20"/>
  <c r="BQ203" i="20"/>
  <c r="BI184" i="20"/>
  <c r="CH103" i="20"/>
  <c r="BV179" i="20"/>
  <c r="BI164" i="20"/>
  <c r="BI163" i="20"/>
  <c r="BB163" i="20"/>
  <c r="BO176" i="20"/>
  <c r="BI182" i="20"/>
  <c r="BI195" i="20"/>
  <c r="BQ199" i="20"/>
  <c r="BI199" i="20"/>
  <c r="BB199" i="20"/>
  <c r="BH50" i="20"/>
  <c r="G84" i="20"/>
  <c r="CH100" i="20"/>
  <c r="BF133" i="20"/>
  <c r="J142" i="20"/>
  <c r="BB165" i="20"/>
  <c r="BQ165" i="20"/>
  <c r="BN180" i="20"/>
  <c r="BW189" i="20"/>
  <c r="BN195" i="20"/>
  <c r="BV195" i="20"/>
  <c r="BI204" i="20"/>
  <c r="BO204" i="20"/>
  <c r="CG86" i="20"/>
  <c r="CH93" i="20"/>
  <c r="CG93" i="20"/>
  <c r="BF135" i="20"/>
  <c r="BO163" i="20"/>
  <c r="BW163" i="20"/>
  <c r="BI176" i="20"/>
  <c r="BQ180" i="20"/>
  <c r="BI180" i="20"/>
  <c r="BB180" i="20"/>
  <c r="BW182" i="20"/>
  <c r="BO182" i="20"/>
  <c r="BO183" i="20"/>
  <c r="BN200" i="20"/>
  <c r="BV199" i="20"/>
  <c r="BB205" i="20"/>
  <c r="BB206" i="20"/>
  <c r="BB153" i="20"/>
  <c r="BN162" i="20"/>
  <c r="BN169" i="20"/>
  <c r="BI172" i="20"/>
  <c r="BI186" i="20"/>
  <c r="BI191" i="20"/>
  <c r="BB200" i="20"/>
  <c r="BB147" i="20"/>
  <c r="BB176" i="20"/>
  <c r="BB195" i="20"/>
  <c r="BB171" i="20"/>
  <c r="BN173" i="20"/>
  <c r="BO178" i="20"/>
  <c r="BB185" i="20"/>
  <c r="BN187" i="20"/>
  <c r="BB190" i="20"/>
  <c r="BN192" i="20"/>
  <c r="BO197" i="20"/>
  <c r="BB204" i="20"/>
  <c r="BI168" i="20"/>
  <c r="BQ201" i="20"/>
  <c r="BN163" i="20"/>
  <c r="BB109" i="20"/>
  <c r="BB111" i="20"/>
  <c r="BB113" i="20"/>
  <c r="BB115" i="20"/>
  <c r="BB117" i="20"/>
  <c r="BB119" i="20"/>
  <c r="BB121" i="20"/>
  <c r="BB123" i="20"/>
  <c r="BB125" i="20"/>
  <c r="BB127" i="20"/>
  <c r="BB182" i="20"/>
  <c r="BB201" i="20"/>
  <c r="AK268" i="12" l="1"/>
  <c r="AX272" i="4"/>
  <c r="AY272" i="4" s="1"/>
  <c r="I272" i="4"/>
  <c r="AH268" i="12"/>
  <c r="AG268" i="12"/>
  <c r="BC268" i="12"/>
  <c r="AY268" i="12" s="1"/>
  <c r="AI268" i="12"/>
  <c r="AA243" i="4"/>
  <c r="Z243" i="4"/>
  <c r="Z265" i="4"/>
  <c r="AA265" i="4"/>
  <c r="AI257" i="4"/>
  <c r="P257" i="4"/>
  <c r="J257" i="4"/>
  <c r="P266" i="4"/>
  <c r="AI266" i="4"/>
  <c r="J266" i="4"/>
  <c r="P237" i="4"/>
  <c r="AI237" i="4"/>
  <c r="J237" i="4"/>
  <c r="X174" i="12"/>
  <c r="V174" i="12"/>
  <c r="BC191" i="12"/>
  <c r="W191" i="12"/>
  <c r="AH191" i="12"/>
  <c r="AC191" i="12"/>
  <c r="AA191" i="12"/>
  <c r="Y191" i="12"/>
  <c r="AY187" i="12"/>
  <c r="AX187" i="12"/>
  <c r="S191" i="12"/>
  <c r="BD191" i="12"/>
  <c r="AG191" i="12"/>
  <c r="AF191" i="12"/>
  <c r="AE191" i="12"/>
  <c r="AD191" i="12"/>
  <c r="AB191" i="12"/>
  <c r="AT190" i="12"/>
  <c r="Z191" i="12"/>
  <c r="AS190" i="12"/>
  <c r="AI191" i="12"/>
  <c r="W144" i="12"/>
  <c r="AG144" i="12"/>
  <c r="S144" i="12"/>
  <c r="Z144" i="12"/>
  <c r="AI144" i="12"/>
  <c r="BD144" i="12"/>
  <c r="AH144" i="12"/>
  <c r="AY140" i="12"/>
  <c r="BC144" i="12"/>
  <c r="AF144" i="12"/>
  <c r="AX140" i="12"/>
  <c r="AE144" i="12"/>
  <c r="AT143" i="12"/>
  <c r="AD144" i="12"/>
  <c r="AS143" i="12"/>
  <c r="AC144" i="12"/>
  <c r="AB144" i="12"/>
  <c r="Y144" i="12"/>
  <c r="AA144" i="12"/>
  <c r="BD126" i="12"/>
  <c r="Y126" i="12"/>
  <c r="AS125" i="12"/>
  <c r="AI126" i="12"/>
  <c r="AH126" i="12"/>
  <c r="AG126" i="12"/>
  <c r="S126" i="12"/>
  <c r="AF126" i="12"/>
  <c r="AC126" i="12"/>
  <c r="AY122" i="12"/>
  <c r="AE126" i="12"/>
  <c r="AX122" i="12"/>
  <c r="AD126" i="12"/>
  <c r="BC126" i="12"/>
  <c r="AB126" i="12"/>
  <c r="AA126" i="12"/>
  <c r="Z126" i="12"/>
  <c r="W126" i="12"/>
  <c r="AT125" i="12"/>
  <c r="X129" i="12"/>
  <c r="V129" i="12"/>
  <c r="V86" i="12"/>
  <c r="X86" i="12"/>
  <c r="AG68" i="12"/>
  <c r="S68" i="12"/>
  <c r="AA68" i="12"/>
  <c r="Z68" i="12"/>
  <c r="AT67" i="12"/>
  <c r="W68" i="12"/>
  <c r="AY64" i="12"/>
  <c r="AX64" i="12"/>
  <c r="AI68" i="12"/>
  <c r="AS67" i="12"/>
  <c r="AE68" i="12"/>
  <c r="BD68" i="12"/>
  <c r="AD68" i="12"/>
  <c r="BC68" i="12"/>
  <c r="AC68" i="12"/>
  <c r="AB68" i="12"/>
  <c r="Y68" i="12"/>
  <c r="AH68" i="12"/>
  <c r="AF68" i="12"/>
  <c r="V151" i="12"/>
  <c r="X151" i="12"/>
  <c r="AD125" i="12"/>
  <c r="Z125" i="12"/>
  <c r="AT124" i="12"/>
  <c r="BD125" i="12"/>
  <c r="Y125" i="12"/>
  <c r="AS124" i="12"/>
  <c r="BC125" i="12"/>
  <c r="W125" i="12"/>
  <c r="AH125" i="12"/>
  <c r="AI125" i="12"/>
  <c r="AG125" i="12"/>
  <c r="AF125" i="12"/>
  <c r="AE125" i="12"/>
  <c r="AC125" i="12"/>
  <c r="AY121" i="12"/>
  <c r="AB125" i="12"/>
  <c r="AX121" i="12"/>
  <c r="AA125" i="12"/>
  <c r="S125" i="12"/>
  <c r="Z123" i="12"/>
  <c r="AT122" i="12"/>
  <c r="AI123" i="12"/>
  <c r="AH123" i="12"/>
  <c r="AG123" i="12"/>
  <c r="S123" i="12"/>
  <c r="AD123" i="12"/>
  <c r="BC123" i="12"/>
  <c r="AB123" i="12"/>
  <c r="AA123" i="12"/>
  <c r="Y123" i="12"/>
  <c r="W123" i="12"/>
  <c r="AS122" i="12"/>
  <c r="AY119" i="12"/>
  <c r="AX119" i="12"/>
  <c r="AE123" i="12"/>
  <c r="AF123" i="12"/>
  <c r="AC123" i="12"/>
  <c r="BD123" i="12"/>
  <c r="AA120" i="12"/>
  <c r="AI120" i="12"/>
  <c r="AH120" i="12"/>
  <c r="AE120" i="12"/>
  <c r="BD120" i="12"/>
  <c r="AF120" i="12"/>
  <c r="BC120" i="12"/>
  <c r="AD120" i="12"/>
  <c r="AC120" i="12"/>
  <c r="AB120" i="12"/>
  <c r="Z120" i="12"/>
  <c r="Y120" i="12"/>
  <c r="W120" i="12"/>
  <c r="S120" i="12"/>
  <c r="AY116" i="12"/>
  <c r="AX116" i="12"/>
  <c r="AT119" i="12"/>
  <c r="AG120" i="12"/>
  <c r="AS119" i="12"/>
  <c r="V118" i="12"/>
  <c r="X118" i="12"/>
  <c r="BD78" i="12"/>
  <c r="Y78" i="12"/>
  <c r="AS77" i="12"/>
  <c r="AG78" i="12"/>
  <c r="S78" i="12"/>
  <c r="AF78" i="12"/>
  <c r="AC78" i="12"/>
  <c r="AY74" i="12"/>
  <c r="AA78" i="12"/>
  <c r="AX74" i="12"/>
  <c r="Z78" i="12"/>
  <c r="AI78" i="12"/>
  <c r="AH78" i="12"/>
  <c r="AE78" i="12"/>
  <c r="AD78" i="12"/>
  <c r="BC78" i="12"/>
  <c r="AB78" i="12"/>
  <c r="AT77" i="12"/>
  <c r="W78" i="12"/>
  <c r="AH65" i="12"/>
  <c r="AB65" i="12"/>
  <c r="AX61" i="12"/>
  <c r="AA65" i="12"/>
  <c r="BC65" i="12"/>
  <c r="AD65" i="12"/>
  <c r="S65" i="12"/>
  <c r="AS64" i="12"/>
  <c r="AI65" i="12"/>
  <c r="AG65" i="12"/>
  <c r="AF65" i="12"/>
  <c r="AY61" i="12"/>
  <c r="AE65" i="12"/>
  <c r="BD65" i="12"/>
  <c r="AC65" i="12"/>
  <c r="Z65" i="12"/>
  <c r="Y65" i="12"/>
  <c r="W65" i="12"/>
  <c r="AT64" i="12"/>
  <c r="AD77" i="12"/>
  <c r="BC77" i="12"/>
  <c r="W77" i="12"/>
  <c r="AH77" i="12"/>
  <c r="AC77" i="12"/>
  <c r="AT76" i="12"/>
  <c r="S77" i="12"/>
  <c r="AS76" i="12"/>
  <c r="AY73" i="12"/>
  <c r="AX73" i="12"/>
  <c r="AI77" i="12"/>
  <c r="AG77" i="12"/>
  <c r="AF77" i="12"/>
  <c r="BD77" i="12"/>
  <c r="AE77" i="12"/>
  <c r="AB77" i="12"/>
  <c r="Y77" i="12"/>
  <c r="AA77" i="12"/>
  <c r="Z77" i="12"/>
  <c r="AD63" i="12"/>
  <c r="BC63" i="12"/>
  <c r="W63" i="12"/>
  <c r="AH63" i="12"/>
  <c r="S63" i="12"/>
  <c r="AE63" i="12"/>
  <c r="AY59" i="12"/>
  <c r="AS62" i="12"/>
  <c r="AI63" i="12"/>
  <c r="AG63" i="12"/>
  <c r="AF63" i="12"/>
  <c r="BD63" i="12"/>
  <c r="AC63" i="12"/>
  <c r="Z63" i="12"/>
  <c r="AT62" i="12"/>
  <c r="AB63" i="12"/>
  <c r="Y63" i="12"/>
  <c r="AX59" i="12"/>
  <c r="AA63" i="12"/>
  <c r="AC82" i="12"/>
  <c r="AB82" i="12"/>
  <c r="AH82" i="12"/>
  <c r="AG82" i="12"/>
  <c r="AD82" i="12"/>
  <c r="AT81" i="12"/>
  <c r="AX78" i="12"/>
  <c r="AS81" i="12"/>
  <c r="AI82" i="12"/>
  <c r="AE82" i="12"/>
  <c r="AA82" i="12"/>
  <c r="BD82" i="12"/>
  <c r="Z82" i="12"/>
  <c r="BC82" i="12"/>
  <c r="Y82" i="12"/>
  <c r="W82" i="12"/>
  <c r="S82" i="12"/>
  <c r="AF82" i="12"/>
  <c r="AY78" i="12"/>
  <c r="X72" i="12"/>
  <c r="V72" i="12"/>
  <c r="AF19" i="12"/>
  <c r="Z19" i="12"/>
  <c r="AT18" i="12"/>
  <c r="BD19" i="12"/>
  <c r="Y19" i="12"/>
  <c r="AS18" i="12"/>
  <c r="S19" i="12"/>
  <c r="BC19" i="12"/>
  <c r="AI19" i="12"/>
  <c r="AH19" i="12"/>
  <c r="AD19" i="12"/>
  <c r="AY15" i="12"/>
  <c r="AA19" i="12"/>
  <c r="AG19" i="12"/>
  <c r="AE19" i="12"/>
  <c r="AC19" i="12"/>
  <c r="AX15" i="12"/>
  <c r="AB19" i="12"/>
  <c r="W19" i="12"/>
  <c r="Q2" i="8"/>
  <c r="W1" i="8" a="1"/>
  <c r="W1" i="8" s="1"/>
  <c r="L1" i="8"/>
  <c r="L2" i="8"/>
  <c r="G1" i="8"/>
  <c r="Y2" i="8"/>
  <c r="K2" i="8"/>
  <c r="T1" i="8"/>
  <c r="H2" i="8"/>
  <c r="N1" i="8"/>
  <c r="X2" i="8"/>
  <c r="G2" i="8"/>
  <c r="M1" i="8"/>
  <c r="U2" i="8"/>
  <c r="I1" i="8"/>
  <c r="T2" i="8"/>
  <c r="H1" i="8"/>
  <c r="S2" i="8"/>
  <c r="V1" i="8" a="1"/>
  <c r="V1" i="8" s="1"/>
  <c r="R2" i="8"/>
  <c r="P2" i="8"/>
  <c r="U1" i="8" a="1"/>
  <c r="U1" i="8" s="1"/>
  <c r="O2" i="8"/>
  <c r="S1" i="8"/>
  <c r="J2" i="8"/>
  <c r="P1" i="8"/>
  <c r="N2" i="8"/>
  <c r="M2" i="8"/>
  <c r="I2" i="8"/>
  <c r="Y1" i="8"/>
  <c r="X1" i="8" a="1"/>
  <c r="X1" i="8" s="1"/>
  <c r="R1" i="8"/>
  <c r="Q1" i="8"/>
  <c r="O1" i="8"/>
  <c r="K1" i="8"/>
  <c r="W2" i="8"/>
  <c r="V2" i="8"/>
  <c r="J1" i="8"/>
  <c r="CD273" i="5"/>
  <c r="BX273" i="5"/>
  <c r="Y274" i="4"/>
  <c r="BX275" i="5"/>
  <c r="CD275" i="5"/>
  <c r="Y276" i="4"/>
  <c r="AK277" i="12"/>
  <c r="AN277" i="12"/>
  <c r="J243" i="4"/>
  <c r="AI243" i="4"/>
  <c r="AI229" i="4"/>
  <c r="P229" i="4"/>
  <c r="CD306" i="5"/>
  <c r="Y307" i="4"/>
  <c r="BX306" i="5"/>
  <c r="AN313" i="12"/>
  <c r="AK313" i="12"/>
  <c r="AA246" i="4"/>
  <c r="Z246" i="4"/>
  <c r="BA250" i="4"/>
  <c r="AK217" i="12"/>
  <c r="AN217" i="12"/>
  <c r="AN289" i="12"/>
  <c r="AK289" i="12"/>
  <c r="AI271" i="4"/>
  <c r="P242" i="4"/>
  <c r="BA234" i="4"/>
  <c r="L214" i="4"/>
  <c r="BF214" i="4" s="1"/>
  <c r="AK258" i="12"/>
  <c r="AN258" i="12"/>
  <c r="AZ248" i="4"/>
  <c r="J248" i="4"/>
  <c r="G248" i="4"/>
  <c r="Q223" i="12"/>
  <c r="AA227" i="5"/>
  <c r="Y227" i="5" s="1"/>
  <c r="AK274" i="12"/>
  <c r="AN274" i="12"/>
  <c r="Q224" i="12"/>
  <c r="AA228" i="5"/>
  <c r="Y228" i="5" s="1"/>
  <c r="Q229" i="4"/>
  <c r="BJ229" i="4"/>
  <c r="L234" i="4"/>
  <c r="BF234" i="4" s="1"/>
  <c r="BA245" i="4"/>
  <c r="G219" i="4"/>
  <c r="J219" i="4"/>
  <c r="AZ219" i="4"/>
  <c r="K271" i="4"/>
  <c r="BA271" i="4"/>
  <c r="BA226" i="4"/>
  <c r="CD274" i="5"/>
  <c r="BX274" i="5"/>
  <c r="Y275" i="4"/>
  <c r="AN294" i="12"/>
  <c r="AK294" i="12"/>
  <c r="AN240" i="12"/>
  <c r="AK240" i="12"/>
  <c r="AK244" i="12"/>
  <c r="AN244" i="12"/>
  <c r="AK231" i="12"/>
  <c r="AN231" i="12"/>
  <c r="Q237" i="12"/>
  <c r="AA241" i="5"/>
  <c r="Y241" i="5" s="1"/>
  <c r="BJ242" i="4"/>
  <c r="Q242" i="4"/>
  <c r="AK302" i="12"/>
  <c r="AN302" i="12"/>
  <c r="AD298" i="12"/>
  <c r="AC298" i="12"/>
  <c r="AY294" i="12"/>
  <c r="AB298" i="12"/>
  <c r="AX294" i="12"/>
  <c r="BC298" i="12"/>
  <c r="W298" i="12"/>
  <c r="Z298" i="12"/>
  <c r="Y298" i="12"/>
  <c r="S298" i="12"/>
  <c r="AT297" i="12"/>
  <c r="AS297" i="12"/>
  <c r="AH298" i="12"/>
  <c r="AG298" i="12"/>
  <c r="BD298" i="12"/>
  <c r="AI298" i="12"/>
  <c r="AF298" i="12"/>
  <c r="AE298" i="12"/>
  <c r="AA298" i="12"/>
  <c r="K265" i="4"/>
  <c r="G265" i="4"/>
  <c r="BA265" i="4"/>
  <c r="O297" i="12"/>
  <c r="O302" i="4"/>
  <c r="BF302" i="4"/>
  <c r="L213" i="4"/>
  <c r="BF213" i="4"/>
  <c r="G263" i="4"/>
  <c r="AZ263" i="4"/>
  <c r="J263" i="4"/>
  <c r="P271" i="4"/>
  <c r="J271" i="4"/>
  <c r="BG302" i="4"/>
  <c r="AN256" i="12"/>
  <c r="AK256" i="12"/>
  <c r="AN221" i="12"/>
  <c r="AK221" i="12"/>
  <c r="AM311" i="12"/>
  <c r="AJ311" i="12"/>
  <c r="R311" i="12"/>
  <c r="O278" i="12"/>
  <c r="O283" i="4"/>
  <c r="O296" i="12"/>
  <c r="BF301" i="4"/>
  <c r="O301" i="4"/>
  <c r="K230" i="4"/>
  <c r="BA230" i="4"/>
  <c r="L230" i="4" s="1"/>
  <c r="G230" i="4"/>
  <c r="AN263" i="12"/>
  <c r="AK263" i="12"/>
  <c r="Q256" i="12"/>
  <c r="AA260" i="5"/>
  <c r="Y260" i="5" s="1"/>
  <c r="G226" i="4"/>
  <c r="K226" i="4" s="1"/>
  <c r="AZ226" i="4"/>
  <c r="BA259" i="4"/>
  <c r="BA238" i="4"/>
  <c r="K238" i="4"/>
  <c r="G238" i="4"/>
  <c r="AA212" i="4"/>
  <c r="Z212" i="4"/>
  <c r="BA249" i="4"/>
  <c r="BA229" i="4"/>
  <c r="K229" i="4"/>
  <c r="AY270" i="4"/>
  <c r="Q214" i="12"/>
  <c r="AA218" i="5"/>
  <c r="Y218" i="5" s="1"/>
  <c r="BK219" i="4"/>
  <c r="Q219" i="4"/>
  <c r="AI269" i="4"/>
  <c r="P269" i="4"/>
  <c r="AN238" i="12"/>
  <c r="AK238" i="12"/>
  <c r="Q211" i="12"/>
  <c r="AA215" i="5"/>
  <c r="Y215" i="5" s="1"/>
  <c r="R288" i="12"/>
  <c r="AJ288" i="12"/>
  <c r="AM288" i="12"/>
  <c r="V93" i="12"/>
  <c r="X93" i="12"/>
  <c r="AH81" i="12"/>
  <c r="AG81" i="12"/>
  <c r="Y81" i="12"/>
  <c r="AI81" i="12"/>
  <c r="AF81" i="12"/>
  <c r="AC81" i="12"/>
  <c r="AX77" i="12"/>
  <c r="BD81" i="12"/>
  <c r="AE81" i="12"/>
  <c r="AS80" i="12"/>
  <c r="BC81" i="12"/>
  <c r="AD81" i="12"/>
  <c r="W81" i="12"/>
  <c r="AA81" i="12"/>
  <c r="Z81" i="12"/>
  <c r="S81" i="12"/>
  <c r="AT80" i="12"/>
  <c r="AB81" i="12"/>
  <c r="AY77" i="12"/>
  <c r="BX269" i="5"/>
  <c r="Y270" i="4"/>
  <c r="W270" i="4" s="1"/>
  <c r="CD269" i="5"/>
  <c r="BX302" i="5"/>
  <c r="Y303" i="4"/>
  <c r="CD302" i="5"/>
  <c r="AN296" i="12"/>
  <c r="AK296" i="12"/>
  <c r="R310" i="12"/>
  <c r="AM310" i="12"/>
  <c r="AJ310" i="12"/>
  <c r="AK314" i="12"/>
  <c r="AN314" i="12"/>
  <c r="AJ290" i="12"/>
  <c r="AM290" i="12"/>
  <c r="R290" i="12"/>
  <c r="Q258" i="12"/>
  <c r="AA262" i="5"/>
  <c r="Y262" i="5" s="1"/>
  <c r="Q263" i="4"/>
  <c r="BJ263" i="4"/>
  <c r="BK263" i="4"/>
  <c r="L247" i="4"/>
  <c r="O308" i="12"/>
  <c r="O313" i="4"/>
  <c r="BG313" i="4"/>
  <c r="BF271" i="4"/>
  <c r="L271" i="4"/>
  <c r="AN237" i="12"/>
  <c r="AK237" i="12"/>
  <c r="AI225" i="4"/>
  <c r="P225" i="4"/>
  <c r="J225" i="4"/>
  <c r="O282" i="12"/>
  <c r="BF287" i="4"/>
  <c r="O287" i="4"/>
  <c r="Q221" i="12"/>
  <c r="AA225" i="5"/>
  <c r="Y225" i="5" s="1"/>
  <c r="Q226" i="4"/>
  <c r="Q243" i="12"/>
  <c r="AA247" i="5"/>
  <c r="Y247" i="5" s="1"/>
  <c r="Q248" i="4"/>
  <c r="L227" i="4"/>
  <c r="BF227" i="4" s="1"/>
  <c r="BA260" i="4"/>
  <c r="Q233" i="12"/>
  <c r="AA237" i="5"/>
  <c r="Y237" i="5" s="1"/>
  <c r="Q238" i="4"/>
  <c r="BK238" i="4"/>
  <c r="G270" i="4"/>
  <c r="J270" i="4" s="1"/>
  <c r="AZ270" i="4"/>
  <c r="Q213" i="12"/>
  <c r="AA217" i="5"/>
  <c r="Y217" i="5" s="1"/>
  <c r="Q218" i="4"/>
  <c r="L269" i="4"/>
  <c r="BF269" i="4" s="1"/>
  <c r="G234" i="4"/>
  <c r="R300" i="12"/>
  <c r="AM300" i="12"/>
  <c r="AJ300" i="12"/>
  <c r="BA216" i="4"/>
  <c r="K216" i="4"/>
  <c r="X160" i="12"/>
  <c r="V160" i="12"/>
  <c r="BD135" i="12"/>
  <c r="Y135" i="12"/>
  <c r="AS134" i="12"/>
  <c r="Z135" i="12"/>
  <c r="W135" i="12"/>
  <c r="BC135" i="12"/>
  <c r="AI135" i="12"/>
  <c r="AH135" i="12"/>
  <c r="S135" i="12"/>
  <c r="AG135" i="12"/>
  <c r="AY131" i="12"/>
  <c r="AE135" i="12"/>
  <c r="AD135" i="12"/>
  <c r="AF135" i="12"/>
  <c r="AX131" i="12"/>
  <c r="AC135" i="12"/>
  <c r="AB135" i="12"/>
  <c r="AT134" i="12"/>
  <c r="AA135" i="12"/>
  <c r="AF195" i="12"/>
  <c r="AE195" i="12"/>
  <c r="AB195" i="12"/>
  <c r="AX191" i="12"/>
  <c r="AC195" i="12"/>
  <c r="Z195" i="12"/>
  <c r="W195" i="12"/>
  <c r="BC195" i="12"/>
  <c r="AI195" i="12"/>
  <c r="AH195" i="12"/>
  <c r="AG195" i="12"/>
  <c r="AD195" i="12"/>
  <c r="AA195" i="12"/>
  <c r="BD195" i="12"/>
  <c r="Y195" i="12"/>
  <c r="AY191" i="12"/>
  <c r="AT194" i="12"/>
  <c r="S195" i="12"/>
  <c r="AS194" i="12"/>
  <c r="AH127" i="12"/>
  <c r="AD127" i="12"/>
  <c r="AC127" i="12"/>
  <c r="AY123" i="12"/>
  <c r="AB127" i="12"/>
  <c r="AX123" i="12"/>
  <c r="AA127" i="12"/>
  <c r="BD127" i="12"/>
  <c r="Y127" i="12"/>
  <c r="BC127" i="12"/>
  <c r="AI127" i="12"/>
  <c r="AG127" i="12"/>
  <c r="AF127" i="12"/>
  <c r="AE127" i="12"/>
  <c r="Z127" i="12"/>
  <c r="W127" i="12"/>
  <c r="S127" i="12"/>
  <c r="AT126" i="12"/>
  <c r="AS126" i="12"/>
  <c r="Z75" i="12"/>
  <c r="AT74" i="12"/>
  <c r="AH75" i="12"/>
  <c r="AG75" i="12"/>
  <c r="S75" i="12"/>
  <c r="AD75" i="12"/>
  <c r="AX71" i="12"/>
  <c r="AE75" i="12"/>
  <c r="W75" i="12"/>
  <c r="AS74" i="12"/>
  <c r="AI75" i="12"/>
  <c r="AF75" i="12"/>
  <c r="AC75" i="12"/>
  <c r="Y75" i="12"/>
  <c r="AB75" i="12"/>
  <c r="AY71" i="12"/>
  <c r="AA75" i="12"/>
  <c r="BD75" i="12"/>
  <c r="BC75" i="12"/>
  <c r="AC66" i="12"/>
  <c r="AY62" i="12"/>
  <c r="W66" i="12"/>
  <c r="AG66" i="12"/>
  <c r="S66" i="12"/>
  <c r="AA66" i="12"/>
  <c r="AX62" i="12"/>
  <c r="Z66" i="12"/>
  <c r="AS65" i="12"/>
  <c r="AI66" i="12"/>
  <c r="AH66" i="12"/>
  <c r="AF66" i="12"/>
  <c r="BD66" i="12"/>
  <c r="AE66" i="12"/>
  <c r="BC66" i="12"/>
  <c r="AD66" i="12"/>
  <c r="AB66" i="12"/>
  <c r="Y66" i="12"/>
  <c r="AT65" i="12"/>
  <c r="AC52" i="12"/>
  <c r="Z52" i="12"/>
  <c r="AS51" i="12"/>
  <c r="Y52" i="12"/>
  <c r="AI52" i="12"/>
  <c r="BD52" i="12"/>
  <c r="AG52" i="12"/>
  <c r="AF52" i="12"/>
  <c r="AE52" i="12"/>
  <c r="AY48" i="12"/>
  <c r="AD52" i="12"/>
  <c r="AX48" i="12"/>
  <c r="AB52" i="12"/>
  <c r="AA52" i="12"/>
  <c r="W52" i="12"/>
  <c r="S52" i="12"/>
  <c r="AH52" i="12"/>
  <c r="AT51" i="12"/>
  <c r="BC52" i="12"/>
  <c r="AG16" i="12"/>
  <c r="S16" i="12"/>
  <c r="AA16" i="12"/>
  <c r="Z16" i="12"/>
  <c r="AT15" i="12"/>
  <c r="Y16" i="12"/>
  <c r="W16" i="12"/>
  <c r="BD16" i="12"/>
  <c r="AF16" i="12"/>
  <c r="AS15" i="12"/>
  <c r="AI16" i="12"/>
  <c r="AH16" i="12"/>
  <c r="AE16" i="12"/>
  <c r="AD16" i="12"/>
  <c r="BC16" i="12"/>
  <c r="AC16" i="12"/>
  <c r="AB16" i="12"/>
  <c r="AY12" i="12"/>
  <c r="AX12" i="12"/>
  <c r="A1" i="11"/>
  <c r="CD268" i="5"/>
  <c r="BX268" i="5"/>
  <c r="Y269" i="4"/>
  <c r="W269" i="4" s="1"/>
  <c r="BX281" i="5"/>
  <c r="CD281" i="5"/>
  <c r="Y282" i="4"/>
  <c r="BX301" i="5"/>
  <c r="CD301" i="5"/>
  <c r="Y302" i="4"/>
  <c r="AK287" i="12"/>
  <c r="AN287" i="12"/>
  <c r="AN233" i="12"/>
  <c r="AK233" i="12"/>
  <c r="AN229" i="12"/>
  <c r="AK229" i="12"/>
  <c r="BX315" i="5"/>
  <c r="CD315" i="5"/>
  <c r="Y316" i="4"/>
  <c r="AN271" i="12"/>
  <c r="AK271" i="12"/>
  <c r="AN214" i="12"/>
  <c r="AK214" i="12"/>
  <c r="AK299" i="12"/>
  <c r="AN299" i="12"/>
  <c r="AZ241" i="4"/>
  <c r="G241" i="4"/>
  <c r="J241" i="4" s="1"/>
  <c r="BA215" i="4"/>
  <c r="AK275" i="12"/>
  <c r="AN275" i="12"/>
  <c r="AI247" i="4"/>
  <c r="AK266" i="12"/>
  <c r="AN266" i="12"/>
  <c r="BA242" i="4"/>
  <c r="K242" i="4"/>
  <c r="AN284" i="12"/>
  <c r="AK284" i="12"/>
  <c r="AA236" i="4"/>
  <c r="Z236" i="4"/>
  <c r="O253" i="12"/>
  <c r="O258" i="4"/>
  <c r="AZ222" i="4"/>
  <c r="G222" i="4"/>
  <c r="O295" i="12"/>
  <c r="O300" i="4"/>
  <c r="AN251" i="12"/>
  <c r="AK251" i="12"/>
  <c r="BA261" i="4"/>
  <c r="K261" i="4"/>
  <c r="G261" i="4"/>
  <c r="Q261" i="4" s="1"/>
  <c r="AN222" i="12"/>
  <c r="AK222" i="12"/>
  <c r="AN300" i="12"/>
  <c r="AK300" i="12"/>
  <c r="K247" i="4"/>
  <c r="AZ212" i="4"/>
  <c r="J212" i="4"/>
  <c r="G212" i="4"/>
  <c r="Q265" i="12"/>
  <c r="AA269" i="5"/>
  <c r="Y269" i="5" s="1"/>
  <c r="BK270" i="4"/>
  <c r="P218" i="4"/>
  <c r="BA218" i="4"/>
  <c r="K218" i="4"/>
  <c r="L266" i="4"/>
  <c r="AI213" i="4"/>
  <c r="AI254" i="4"/>
  <c r="K254" i="4"/>
  <c r="AA102" i="12"/>
  <c r="Z102" i="12"/>
  <c r="AT101" i="12"/>
  <c r="W102" i="12"/>
  <c r="S102" i="12"/>
  <c r="BD102" i="12"/>
  <c r="AI102" i="12"/>
  <c r="BC102" i="12"/>
  <c r="AH102" i="12"/>
  <c r="AG102" i="12"/>
  <c r="AF102" i="12"/>
  <c r="AS101" i="12"/>
  <c r="AE102" i="12"/>
  <c r="AC102" i="12"/>
  <c r="AX98" i="12"/>
  <c r="AB102" i="12"/>
  <c r="AY98" i="12"/>
  <c r="Y102" i="12"/>
  <c r="AD102" i="12"/>
  <c r="BC97" i="12"/>
  <c r="W97" i="12"/>
  <c r="AI97" i="12"/>
  <c r="S97" i="12"/>
  <c r="BD97" i="12"/>
  <c r="AH97" i="12"/>
  <c r="AF97" i="12"/>
  <c r="AE97" i="12"/>
  <c r="AC97" i="12"/>
  <c r="AS96" i="12"/>
  <c r="AB97" i="12"/>
  <c r="Z97" i="12"/>
  <c r="Y97" i="12"/>
  <c r="AD97" i="12"/>
  <c r="AT96" i="12"/>
  <c r="AY93" i="12"/>
  <c r="AX93" i="12"/>
  <c r="AG97" i="12"/>
  <c r="AA97" i="12"/>
  <c r="CD255" i="5"/>
  <c r="BX255" i="5"/>
  <c r="Y256" i="4"/>
  <c r="W256" i="4" s="1"/>
  <c r="AN304" i="12"/>
  <c r="AK304" i="12"/>
  <c r="AN264" i="12"/>
  <c r="AK264" i="12"/>
  <c r="CD285" i="5"/>
  <c r="BX285" i="5"/>
  <c r="Y286" i="4"/>
  <c r="AK310" i="12"/>
  <c r="AN310" i="12"/>
  <c r="BA263" i="4"/>
  <c r="K263" i="4"/>
  <c r="Q236" i="12"/>
  <c r="AA240" i="5"/>
  <c r="Y240" i="5" s="1"/>
  <c r="Q241" i="4"/>
  <c r="BJ241" i="4"/>
  <c r="O294" i="12"/>
  <c r="O299" i="4"/>
  <c r="BG299" i="4"/>
  <c r="AK219" i="12"/>
  <c r="AN219" i="12"/>
  <c r="AN243" i="12"/>
  <c r="AK243" i="12"/>
  <c r="F95" i="15"/>
  <c r="AC91" i="15"/>
  <c r="G91" i="15"/>
  <c r="V90" i="15"/>
  <c r="H89" i="15"/>
  <c r="S91" i="15"/>
  <c r="AA90" i="15"/>
  <c r="Q91" i="15"/>
  <c r="Y90" i="15"/>
  <c r="H91" i="15"/>
  <c r="S90" i="15"/>
  <c r="F91" i="15"/>
  <c r="R90" i="15"/>
  <c r="E91" i="15"/>
  <c r="Q90" i="15"/>
  <c r="AB91" i="15"/>
  <c r="C91" i="15"/>
  <c r="Z91" i="15"/>
  <c r="Y91" i="15"/>
  <c r="AD90" i="15"/>
  <c r="H95" i="15"/>
  <c r="AC90" i="15"/>
  <c r="T90" i="15"/>
  <c r="AD91" i="15"/>
  <c r="AA91" i="15"/>
  <c r="G95" i="15"/>
  <c r="V91" i="15"/>
  <c r="G89" i="15"/>
  <c r="E95" i="15"/>
  <c r="U91" i="15"/>
  <c r="F89" i="15"/>
  <c r="D95" i="15"/>
  <c r="T91" i="15"/>
  <c r="E89" i="15"/>
  <c r="C95" i="15"/>
  <c r="R91" i="15"/>
  <c r="D89" i="15"/>
  <c r="C89" i="15"/>
  <c r="D91" i="15"/>
  <c r="AB90" i="15"/>
  <c r="Z90" i="15"/>
  <c r="U90" i="15"/>
  <c r="AT2" i="6"/>
  <c r="AF2" i="6"/>
  <c r="R2" i="6"/>
  <c r="AT1" i="6"/>
  <c r="F96" i="15" s="1"/>
  <c r="AF1" i="6"/>
  <c r="R1" i="6"/>
  <c r="H90" i="15" s="1"/>
  <c r="AU2" i="6"/>
  <c r="AE2" i="6"/>
  <c r="P2" i="6"/>
  <c r="AQ1" i="6"/>
  <c r="C96" i="15" s="1"/>
  <c r="AB1" i="6"/>
  <c r="M1" i="6"/>
  <c r="C90" i="15" s="1"/>
  <c r="AS2" i="6"/>
  <c r="AD2" i="6"/>
  <c r="O2" i="6"/>
  <c r="AP1" i="6"/>
  <c r="H94" i="15" s="1"/>
  <c r="AA1" i="6"/>
  <c r="L1" i="6"/>
  <c r="AR2" i="6"/>
  <c r="AC2" i="6"/>
  <c r="N2" i="6"/>
  <c r="AO1" i="6"/>
  <c r="G94" i="15" s="1"/>
  <c r="Z1" i="6"/>
  <c r="K1" i="6"/>
  <c r="AM2" i="6"/>
  <c r="U2" i="6"/>
  <c r="AR1" i="6"/>
  <c r="D96" i="15" s="1"/>
  <c r="W1" i="6"/>
  <c r="G92" i="15" s="1"/>
  <c r="AL2" i="6"/>
  <c r="T2" i="6"/>
  <c r="AN1" i="6"/>
  <c r="F94" i="15" s="1"/>
  <c r="V1" i="6"/>
  <c r="F92" i="15" s="1"/>
  <c r="AK2" i="6"/>
  <c r="S2" i="6"/>
  <c r="AM1" i="6"/>
  <c r="E94" i="15" s="1"/>
  <c r="U1" i="6"/>
  <c r="E92" i="15" s="1"/>
  <c r="AJ2" i="6"/>
  <c r="Q2" i="6"/>
  <c r="AL1" i="6"/>
  <c r="D94" i="15" s="1"/>
  <c r="T1" i="6"/>
  <c r="D92" i="15" s="1"/>
  <c r="AI2" i="6"/>
  <c r="M2" i="6"/>
  <c r="AK1" i="6"/>
  <c r="C94" i="15" s="1"/>
  <c r="S1" i="6"/>
  <c r="C92" i="15" s="1"/>
  <c r="AH2" i="6"/>
  <c r="L2" i="6"/>
  <c r="AJ1" i="6"/>
  <c r="Q1" i="6"/>
  <c r="G90" i="15" s="1"/>
  <c r="AG2" i="6"/>
  <c r="K2" i="6"/>
  <c r="AI1" i="6"/>
  <c r="P1" i="6"/>
  <c r="F90" i="15" s="1"/>
  <c r="AB2" i="6"/>
  <c r="J2" i="6"/>
  <c r="AH1" i="6"/>
  <c r="O1" i="6"/>
  <c r="E90" i="15" s="1"/>
  <c r="AA2" i="6"/>
  <c r="I2" i="6"/>
  <c r="AG1" i="6"/>
  <c r="N1" i="6"/>
  <c r="D90" i="15" s="1"/>
  <c r="AV2" i="6"/>
  <c r="Z2" i="6"/>
  <c r="H2" i="6"/>
  <c r="AE1" i="6"/>
  <c r="J1" i="6"/>
  <c r="W2" i="6"/>
  <c r="V2" i="6"/>
  <c r="G2" i="6"/>
  <c r="AV1" i="6"/>
  <c r="H96" i="15" s="1"/>
  <c r="AU1" i="6"/>
  <c r="G96" i="15" s="1"/>
  <c r="AS1" i="6"/>
  <c r="E96" i="15" s="1"/>
  <c r="AD1" i="6"/>
  <c r="AC1" i="6"/>
  <c r="AQ2" i="6"/>
  <c r="Y1" i="6"/>
  <c r="AP2" i="6"/>
  <c r="X1" i="6"/>
  <c r="H92" i="15" s="1"/>
  <c r="Y2" i="6"/>
  <c r="G1" i="6"/>
  <c r="AO2" i="6"/>
  <c r="AN2" i="6"/>
  <c r="X2" i="6"/>
  <c r="I1" i="6"/>
  <c r="H1" i="6"/>
  <c r="A1" i="5"/>
  <c r="AN236" i="12"/>
  <c r="AK236" i="12"/>
  <c r="J247" i="4"/>
  <c r="BK242" i="4"/>
  <c r="R313" i="12"/>
  <c r="AM313" i="12"/>
  <c r="AJ313" i="12"/>
  <c r="AN248" i="12"/>
  <c r="AK248" i="12"/>
  <c r="AN207" i="12"/>
  <c r="AK207" i="12"/>
  <c r="O280" i="12"/>
  <c r="O285" i="4"/>
  <c r="BG285" i="4"/>
  <c r="BG244" i="4"/>
  <c r="AN283" i="12"/>
  <c r="AK283" i="12"/>
  <c r="BK241" i="4"/>
  <c r="P254" i="4"/>
  <c r="BG247" i="4"/>
  <c r="AI227" i="4"/>
  <c r="BA239" i="4"/>
  <c r="K239" i="4"/>
  <c r="Q207" i="12"/>
  <c r="AA211" i="5"/>
  <c r="Y211" i="5" s="1"/>
  <c r="O284" i="12"/>
  <c r="O289" i="4"/>
  <c r="BF289" i="4"/>
  <c r="AZ216" i="4"/>
  <c r="J216" i="4"/>
  <c r="G216" i="4"/>
  <c r="O289" i="12"/>
  <c r="O294" i="4"/>
  <c r="BF294" i="4"/>
  <c r="L254" i="4"/>
  <c r="BG224" i="4"/>
  <c r="X173" i="12"/>
  <c r="V173" i="12"/>
  <c r="Z149" i="12"/>
  <c r="AT148" i="12"/>
  <c r="BD149" i="12"/>
  <c r="Y149" i="12"/>
  <c r="AS148" i="12"/>
  <c r="AB149" i="12"/>
  <c r="AX145" i="12"/>
  <c r="AA149" i="12"/>
  <c r="W149" i="12"/>
  <c r="S149" i="12"/>
  <c r="AI149" i="12"/>
  <c r="BC149" i="12"/>
  <c r="AH149" i="12"/>
  <c r="AG149" i="12"/>
  <c r="AF149" i="12"/>
  <c r="AY145" i="12"/>
  <c r="AE149" i="12"/>
  <c r="AD149" i="12"/>
  <c r="AC149" i="12"/>
  <c r="AI147" i="12"/>
  <c r="AF147" i="12"/>
  <c r="S147" i="12"/>
  <c r="BD147" i="12"/>
  <c r="AH147" i="12"/>
  <c r="BC147" i="12"/>
  <c r="AG147" i="12"/>
  <c r="AE147" i="12"/>
  <c r="AY143" i="12"/>
  <c r="AD147" i="12"/>
  <c r="AT146" i="12"/>
  <c r="AX143" i="12"/>
  <c r="AC147" i="12"/>
  <c r="AS146" i="12"/>
  <c r="AB147" i="12"/>
  <c r="AA147" i="12"/>
  <c r="Z147" i="12"/>
  <c r="Y147" i="12"/>
  <c r="W147" i="12"/>
  <c r="BD188" i="12"/>
  <c r="Y188" i="12"/>
  <c r="AS187" i="12"/>
  <c r="BC188" i="12"/>
  <c r="W188" i="12"/>
  <c r="AI188" i="12"/>
  <c r="S188" i="12"/>
  <c r="AH188" i="12"/>
  <c r="AG188" i="12"/>
  <c r="AF188" i="12"/>
  <c r="AC188" i="12"/>
  <c r="AY184" i="12"/>
  <c r="AE188" i="12"/>
  <c r="AX184" i="12"/>
  <c r="AD188" i="12"/>
  <c r="AB188" i="12"/>
  <c r="AA188" i="12"/>
  <c r="Z188" i="12"/>
  <c r="AT187" i="12"/>
  <c r="BD138" i="12"/>
  <c r="Y138" i="12"/>
  <c r="AS137" i="12"/>
  <c r="BC138" i="12"/>
  <c r="AI138" i="12"/>
  <c r="AE138" i="12"/>
  <c r="AT137" i="12"/>
  <c r="AC138" i="12"/>
  <c r="AB138" i="12"/>
  <c r="AA138" i="12"/>
  <c r="Z138" i="12"/>
  <c r="W138" i="12"/>
  <c r="S138" i="12"/>
  <c r="AX134" i="12"/>
  <c r="AH138" i="12"/>
  <c r="AG138" i="12"/>
  <c r="AF138" i="12"/>
  <c r="AD138" i="12"/>
  <c r="AY134" i="12"/>
  <c r="W114" i="12"/>
  <c r="AG114" i="12"/>
  <c r="S114" i="12"/>
  <c r="BD114" i="12"/>
  <c r="AH114" i="12"/>
  <c r="AY110" i="12"/>
  <c r="BC114" i="12"/>
  <c r="AF114" i="12"/>
  <c r="AX110" i="12"/>
  <c r="AE114" i="12"/>
  <c r="AT113" i="12"/>
  <c r="AD114" i="12"/>
  <c r="AS113" i="12"/>
  <c r="AC114" i="12"/>
  <c r="AB114" i="12"/>
  <c r="AA114" i="12"/>
  <c r="Z114" i="12"/>
  <c r="Y114" i="12"/>
  <c r="AI114" i="12"/>
  <c r="W56" i="12"/>
  <c r="AG56" i="12"/>
  <c r="AF56" i="12"/>
  <c r="AA56" i="12"/>
  <c r="AS55" i="12"/>
  <c r="Z56" i="12"/>
  <c r="AY52" i="12"/>
  <c r="AX52" i="12"/>
  <c r="S56" i="12"/>
  <c r="AI56" i="12"/>
  <c r="BD56" i="12"/>
  <c r="AH56" i="12"/>
  <c r="AT55" i="12"/>
  <c r="AC56" i="12"/>
  <c r="Y56" i="12"/>
  <c r="BC56" i="12"/>
  <c r="AE56" i="12"/>
  <c r="AD56" i="12"/>
  <c r="AB56" i="12"/>
  <c r="AH79" i="12"/>
  <c r="AB79" i="12"/>
  <c r="AX75" i="12"/>
  <c r="AA79" i="12"/>
  <c r="BC79" i="12"/>
  <c r="AI79" i="12"/>
  <c r="AT78" i="12"/>
  <c r="AC79" i="12"/>
  <c r="AG79" i="12"/>
  <c r="AF79" i="12"/>
  <c r="AE79" i="12"/>
  <c r="BD79" i="12"/>
  <c r="AD79" i="12"/>
  <c r="Z79" i="12"/>
  <c r="Y79" i="12"/>
  <c r="W79" i="12"/>
  <c r="AS78" i="12"/>
  <c r="AY75" i="12"/>
  <c r="S79" i="12"/>
  <c r="Z61" i="12"/>
  <c r="AT60" i="12"/>
  <c r="AH61" i="12"/>
  <c r="AC61" i="12"/>
  <c r="AB61" i="12"/>
  <c r="AI61" i="12"/>
  <c r="BD61" i="12"/>
  <c r="AF61" i="12"/>
  <c r="BC61" i="12"/>
  <c r="AE61" i="12"/>
  <c r="AY57" i="12"/>
  <c r="AD61" i="12"/>
  <c r="AX57" i="12"/>
  <c r="AA61" i="12"/>
  <c r="Y61" i="12"/>
  <c r="W61" i="12"/>
  <c r="AG61" i="12"/>
  <c r="AS60" i="12"/>
  <c r="S61" i="12"/>
  <c r="AC45" i="12"/>
  <c r="AY41" i="12"/>
  <c r="AB45" i="12"/>
  <c r="AX41" i="12"/>
  <c r="AH45" i="12"/>
  <c r="AF45" i="12"/>
  <c r="AD45" i="12"/>
  <c r="AT44" i="12"/>
  <c r="AA45" i="12"/>
  <c r="AS44" i="12"/>
  <c r="Z45" i="12"/>
  <c r="Y45" i="12"/>
  <c r="BC45" i="12"/>
  <c r="AI45" i="12"/>
  <c r="AG45" i="12"/>
  <c r="BD45" i="12"/>
  <c r="W45" i="12"/>
  <c r="S45" i="12"/>
  <c r="AE45" i="12"/>
  <c r="BD43" i="12"/>
  <c r="Y43" i="12"/>
  <c r="AS42" i="12"/>
  <c r="BC43" i="12"/>
  <c r="AF43" i="12"/>
  <c r="AD43" i="12"/>
  <c r="AT42" i="12"/>
  <c r="AB43" i="12"/>
  <c r="AA43" i="12"/>
  <c r="Z43" i="12"/>
  <c r="W43" i="12"/>
  <c r="AH43" i="12"/>
  <c r="S43" i="12"/>
  <c r="AI43" i="12"/>
  <c r="AG43" i="12"/>
  <c r="AY39" i="12"/>
  <c r="AE43" i="12"/>
  <c r="AC43" i="12"/>
  <c r="AX39" i="12"/>
  <c r="AE8" i="12"/>
  <c r="BD8" i="12"/>
  <c r="Y8" i="12"/>
  <c r="AS7" i="12"/>
  <c r="BC8" i="12"/>
  <c r="AB8" i="12"/>
  <c r="AA8" i="12"/>
  <c r="Z8" i="12"/>
  <c r="W8" i="12"/>
  <c r="AH8" i="12"/>
  <c r="AD8" i="12"/>
  <c r="AC8" i="12"/>
  <c r="S8" i="12"/>
  <c r="AT7" i="12"/>
  <c r="AY4" i="12"/>
  <c r="AX4" i="12"/>
  <c r="AI8" i="12"/>
  <c r="AG8" i="12"/>
  <c r="AF8" i="12"/>
  <c r="BX246" i="5"/>
  <c r="CD246" i="5"/>
  <c r="Y247" i="4"/>
  <c r="W247" i="4" s="1"/>
  <c r="BX258" i="5"/>
  <c r="CD258" i="5"/>
  <c r="Y259" i="4"/>
  <c r="W259" i="4" s="1"/>
  <c r="AN280" i="12"/>
  <c r="AK280" i="12"/>
  <c r="AK226" i="12"/>
  <c r="AN226" i="12"/>
  <c r="AC270" i="12"/>
  <c r="BC270" i="12"/>
  <c r="AF270" i="12"/>
  <c r="AE270" i="12"/>
  <c r="AT269" i="12"/>
  <c r="AD270" i="12"/>
  <c r="AS269" i="12"/>
  <c r="Z270" i="12"/>
  <c r="Y270" i="12"/>
  <c r="W270" i="12"/>
  <c r="S270" i="12"/>
  <c r="AI270" i="12"/>
  <c r="AH270" i="12"/>
  <c r="AG270" i="12"/>
  <c r="BD270" i="12"/>
  <c r="AB270" i="12"/>
  <c r="AA270" i="12"/>
  <c r="AN234" i="12"/>
  <c r="AK234" i="12"/>
  <c r="AN281" i="12"/>
  <c r="AK281" i="12"/>
  <c r="AN210" i="12"/>
  <c r="AK210" i="12"/>
  <c r="AJ301" i="12"/>
  <c r="R301" i="12"/>
  <c r="AM301" i="12"/>
  <c r="Q234" i="12"/>
  <c r="AA238" i="5"/>
  <c r="Y238" i="5" s="1"/>
  <c r="BJ239" i="4"/>
  <c r="Q239" i="4"/>
  <c r="BF299" i="4"/>
  <c r="K270" i="4"/>
  <c r="BA270" i="4"/>
  <c r="L217" i="4"/>
  <c r="BF285" i="4"/>
  <c r="AI244" i="4"/>
  <c r="P244" i="4"/>
  <c r="J244" i="4"/>
  <c r="AK285" i="12"/>
  <c r="AN285" i="12"/>
  <c r="Q247" i="4"/>
  <c r="AZ220" i="4"/>
  <c r="J220" i="4"/>
  <c r="G220" i="4"/>
  <c r="BA223" i="4"/>
  <c r="K223" i="4"/>
  <c r="G223" i="4"/>
  <c r="BK239" i="4"/>
  <c r="O279" i="12"/>
  <c r="O284" i="4"/>
  <c r="AN259" i="12"/>
  <c r="AK259" i="12"/>
  <c r="Q212" i="12"/>
  <c r="AA216" i="5"/>
  <c r="Y216" i="5" s="1"/>
  <c r="BJ217" i="4"/>
  <c r="Q217" i="4"/>
  <c r="Q269" i="4"/>
  <c r="AN227" i="12"/>
  <c r="AK227" i="12"/>
  <c r="AK255" i="12"/>
  <c r="AN255" i="12"/>
  <c r="BA235" i="4"/>
  <c r="O299" i="12"/>
  <c r="O304" i="4"/>
  <c r="Q235" i="12"/>
  <c r="AA239" i="5"/>
  <c r="Y239" i="5" s="1"/>
  <c r="W162" i="12"/>
  <c r="AI162" i="12"/>
  <c r="AH162" i="12"/>
  <c r="AG162" i="12"/>
  <c r="S162" i="12"/>
  <c r="AF162" i="12"/>
  <c r="AE162" i="12"/>
  <c r="AD162" i="12"/>
  <c r="AA162" i="12"/>
  <c r="AY158" i="12"/>
  <c r="AX158" i="12"/>
  <c r="AC162" i="12"/>
  <c r="AB162" i="12"/>
  <c r="Z162" i="12"/>
  <c r="Y162" i="12"/>
  <c r="AT161" i="12"/>
  <c r="AS161" i="12"/>
  <c r="BD162" i="12"/>
  <c r="BC162" i="12"/>
  <c r="AB99" i="12"/>
  <c r="AX95" i="12"/>
  <c r="AA99" i="12"/>
  <c r="BC99" i="12"/>
  <c r="Z99" i="12"/>
  <c r="Y99" i="12"/>
  <c r="W99" i="12"/>
  <c r="S99" i="12"/>
  <c r="BD99" i="12"/>
  <c r="AI99" i="12"/>
  <c r="AG99" i="12"/>
  <c r="AF99" i="12"/>
  <c r="AT98" i="12"/>
  <c r="AD99" i="12"/>
  <c r="AC99" i="12"/>
  <c r="AS98" i="12"/>
  <c r="AY95" i="12"/>
  <c r="AH99" i="12"/>
  <c r="AE99" i="12"/>
  <c r="AI197" i="12"/>
  <c r="AF197" i="12"/>
  <c r="BC197" i="12"/>
  <c r="AG197" i="12"/>
  <c r="AE197" i="12"/>
  <c r="AY193" i="12"/>
  <c r="AD197" i="12"/>
  <c r="AT196" i="12"/>
  <c r="AX193" i="12"/>
  <c r="AC197" i="12"/>
  <c r="AS196" i="12"/>
  <c r="Z197" i="12"/>
  <c r="AA197" i="12"/>
  <c r="Y197" i="12"/>
  <c r="W197" i="12"/>
  <c r="S197" i="12"/>
  <c r="BD197" i="12"/>
  <c r="AH197" i="12"/>
  <c r="AB197" i="12"/>
  <c r="BC159" i="12"/>
  <c r="W159" i="12"/>
  <c r="AI159" i="12"/>
  <c r="AH159" i="12"/>
  <c r="AG159" i="12"/>
  <c r="S159" i="12"/>
  <c r="AF159" i="12"/>
  <c r="AE159" i="12"/>
  <c r="AB159" i="12"/>
  <c r="AX155" i="12"/>
  <c r="AD159" i="12"/>
  <c r="AC159" i="12"/>
  <c r="AA159" i="12"/>
  <c r="Z159" i="12"/>
  <c r="AT158" i="12"/>
  <c r="Y159" i="12"/>
  <c r="AS158" i="12"/>
  <c r="BD159" i="12"/>
  <c r="AY155" i="12"/>
  <c r="AG142" i="12"/>
  <c r="S142" i="12"/>
  <c r="AF142" i="12"/>
  <c r="AC142" i="12"/>
  <c r="AY138" i="12"/>
  <c r="BC142" i="12"/>
  <c r="AI142" i="12"/>
  <c r="AX138" i="12"/>
  <c r="AE142" i="12"/>
  <c r="AS141" i="12"/>
  <c r="AD142" i="12"/>
  <c r="AB142" i="12"/>
  <c r="AA142" i="12"/>
  <c r="Z142" i="12"/>
  <c r="Y142" i="12"/>
  <c r="W142" i="12"/>
  <c r="AT141" i="12"/>
  <c r="AH142" i="12"/>
  <c r="BD142" i="12"/>
  <c r="V84" i="12"/>
  <c r="X84" i="12"/>
  <c r="CD312" i="5"/>
  <c r="BX312" i="5"/>
  <c r="Y313" i="4"/>
  <c r="CD313" i="5"/>
  <c r="Y314" i="4"/>
  <c r="BX313" i="5"/>
  <c r="BX247" i="5"/>
  <c r="CD247" i="5"/>
  <c r="Y248" i="4"/>
  <c r="W248" i="4" s="1"/>
  <c r="BX261" i="5"/>
  <c r="CD261" i="5"/>
  <c r="Y262" i="4"/>
  <c r="W262" i="4" s="1"/>
  <c r="AN223" i="12"/>
  <c r="AK223" i="12"/>
  <c r="W291" i="12"/>
  <c r="AI291" i="12"/>
  <c r="AE291" i="12"/>
  <c r="BD291" i="12"/>
  <c r="AF291" i="12"/>
  <c r="AT290" i="12"/>
  <c r="AX287" i="12"/>
  <c r="BC291" i="12"/>
  <c r="AD291" i="12"/>
  <c r="AS290" i="12"/>
  <c r="AC291" i="12"/>
  <c r="AB291" i="12"/>
  <c r="AA291" i="12"/>
  <c r="Z291" i="12"/>
  <c r="Y291" i="12"/>
  <c r="S291" i="12"/>
  <c r="AH291" i="12"/>
  <c r="AG291" i="12"/>
  <c r="AY287" i="12"/>
  <c r="BX304" i="5"/>
  <c r="Y305" i="4"/>
  <c r="CD304" i="5"/>
  <c r="AK239" i="12"/>
  <c r="AN239" i="12"/>
  <c r="O307" i="12"/>
  <c r="O312" i="4"/>
  <c r="CD271" i="5"/>
  <c r="BX271" i="5"/>
  <c r="Y272" i="4"/>
  <c r="W272" i="4" s="1"/>
  <c r="AJ314" i="12"/>
  <c r="AM314" i="12"/>
  <c r="R314" i="12"/>
  <c r="BG269" i="4"/>
  <c r="Q222" i="12"/>
  <c r="AA226" i="5"/>
  <c r="Y226" i="5" s="1"/>
  <c r="Q227" i="4"/>
  <c r="AZ260" i="4"/>
  <c r="J260" i="4"/>
  <c r="G260" i="4"/>
  <c r="Q247" i="12"/>
  <c r="AA251" i="5"/>
  <c r="Y251" i="5" s="1"/>
  <c r="Q252" i="4"/>
  <c r="BJ252" i="4"/>
  <c r="AJ276" i="12"/>
  <c r="R276" i="12"/>
  <c r="AM276" i="12"/>
  <c r="AI255" i="4"/>
  <c r="P255" i="4"/>
  <c r="J255" i="4"/>
  <c r="AK228" i="12"/>
  <c r="AN228" i="12"/>
  <c r="Q217" i="12"/>
  <c r="AA221" i="5"/>
  <c r="Y221" i="5" s="1"/>
  <c r="BJ222" i="4"/>
  <c r="Q222" i="4"/>
  <c r="AN249" i="12"/>
  <c r="AK249" i="12"/>
  <c r="AN215" i="12"/>
  <c r="AK215" i="12"/>
  <c r="BA266" i="4"/>
  <c r="K266" i="4"/>
  <c r="BA211" i="4"/>
  <c r="AM285" i="12"/>
  <c r="AJ285" i="12"/>
  <c r="R285" i="12"/>
  <c r="BA217" i="4"/>
  <c r="G217" i="4"/>
  <c r="K217" i="4"/>
  <c r="AZ250" i="4"/>
  <c r="J250" i="4"/>
  <c r="G250" i="4"/>
  <c r="K250" i="4" s="1"/>
  <c r="AN213" i="12"/>
  <c r="AK213" i="12"/>
  <c r="AN282" i="12"/>
  <c r="AK282" i="12"/>
  <c r="Y6" i="5"/>
  <c r="BI6" i="5"/>
  <c r="W100" i="12"/>
  <c r="AG100" i="12"/>
  <c r="S100" i="12"/>
  <c r="AE100" i="12"/>
  <c r="AT99" i="12"/>
  <c r="AD100" i="12"/>
  <c r="AS99" i="12"/>
  <c r="AY96" i="12"/>
  <c r="AC100" i="12"/>
  <c r="AB100" i="12"/>
  <c r="AA100" i="12"/>
  <c r="Z100" i="12"/>
  <c r="Y100" i="12"/>
  <c r="AF100" i="12"/>
  <c r="AX96" i="12"/>
  <c r="BD100" i="12"/>
  <c r="BC100" i="12"/>
  <c r="AI100" i="12"/>
  <c r="AH100" i="12"/>
  <c r="X46" i="12"/>
  <c r="V46" i="12"/>
  <c r="AH189" i="12"/>
  <c r="AG189" i="12"/>
  <c r="S189" i="12"/>
  <c r="Z189" i="12"/>
  <c r="BD189" i="12"/>
  <c r="AX185" i="12"/>
  <c r="BC189" i="12"/>
  <c r="AI189" i="12"/>
  <c r="AD189" i="12"/>
  <c r="AT188" i="12"/>
  <c r="AY185" i="12"/>
  <c r="AF189" i="12"/>
  <c r="AE189" i="12"/>
  <c r="AC189" i="12"/>
  <c r="AB189" i="12"/>
  <c r="AA189" i="12"/>
  <c r="Y189" i="12"/>
  <c r="AS188" i="12"/>
  <c r="W189" i="12"/>
  <c r="AI201" i="12"/>
  <c r="AD201" i="12"/>
  <c r="AC201" i="12"/>
  <c r="AY197" i="12"/>
  <c r="Z201" i="12"/>
  <c r="AT200" i="12"/>
  <c r="BC201" i="12"/>
  <c r="AG201" i="12"/>
  <c r="AF201" i="12"/>
  <c r="AE201" i="12"/>
  <c r="AX197" i="12"/>
  <c r="AB201" i="12"/>
  <c r="AH201" i="12"/>
  <c r="AA201" i="12"/>
  <c r="Y201" i="12"/>
  <c r="W201" i="12"/>
  <c r="S201" i="12"/>
  <c r="AS200" i="12"/>
  <c r="BD201" i="12"/>
  <c r="AG170" i="12"/>
  <c r="S170" i="12"/>
  <c r="AF170" i="12"/>
  <c r="AH170" i="12"/>
  <c r="AE170" i="12"/>
  <c r="AD170" i="12"/>
  <c r="AT169" i="12"/>
  <c r="AC170" i="12"/>
  <c r="AS169" i="12"/>
  <c r="AB170" i="12"/>
  <c r="AA170" i="12"/>
  <c r="Z170" i="12"/>
  <c r="Y170" i="12"/>
  <c r="W170" i="12"/>
  <c r="AY166" i="12"/>
  <c r="BC170" i="12"/>
  <c r="AX166" i="12"/>
  <c r="AI170" i="12"/>
  <c r="BD170" i="12"/>
  <c r="AE60" i="12"/>
  <c r="BD60" i="12"/>
  <c r="Y60" i="12"/>
  <c r="AS59" i="12"/>
  <c r="AA60" i="12"/>
  <c r="AX56" i="12"/>
  <c r="Z60" i="12"/>
  <c r="BC60" i="12"/>
  <c r="AI60" i="12"/>
  <c r="AT59" i="12"/>
  <c r="AH60" i="12"/>
  <c r="AG60" i="12"/>
  <c r="AF60" i="12"/>
  <c r="AD60" i="12"/>
  <c r="AC60" i="12"/>
  <c r="W60" i="12"/>
  <c r="AY56" i="12"/>
  <c r="S60" i="12"/>
  <c r="AB60" i="12"/>
  <c r="AI89" i="12"/>
  <c r="AC89" i="12"/>
  <c r="AB89" i="12"/>
  <c r="AT88" i="12"/>
  <c r="W89" i="12"/>
  <c r="BD89" i="12"/>
  <c r="AG89" i="12"/>
  <c r="AY85" i="12"/>
  <c r="S89" i="12"/>
  <c r="AH89" i="12"/>
  <c r="AF89" i="12"/>
  <c r="AX85" i="12"/>
  <c r="AS88" i="12"/>
  <c r="AE89" i="12"/>
  <c r="Z89" i="12"/>
  <c r="BC89" i="12"/>
  <c r="AD89" i="12"/>
  <c r="AA89" i="12"/>
  <c r="Y89" i="12"/>
  <c r="BC53" i="12"/>
  <c r="Y53" i="12"/>
  <c r="W53" i="12"/>
  <c r="AG53" i="12"/>
  <c r="S53" i="12"/>
  <c r="AY49" i="12"/>
  <c r="AI53" i="12"/>
  <c r="AX49" i="12"/>
  <c r="BD53" i="12"/>
  <c r="AH53" i="12"/>
  <c r="AF53" i="12"/>
  <c r="AE53" i="12"/>
  <c r="AT52" i="12"/>
  <c r="AD53" i="12"/>
  <c r="AS52" i="12"/>
  <c r="AA53" i="12"/>
  <c r="AC53" i="12"/>
  <c r="AB53" i="12"/>
  <c r="Z53" i="12"/>
  <c r="AD59" i="12"/>
  <c r="AA59" i="12"/>
  <c r="AS58" i="12"/>
  <c r="Z59" i="12"/>
  <c r="AY55" i="12"/>
  <c r="BC59" i="12"/>
  <c r="AE59" i="12"/>
  <c r="AB59" i="12"/>
  <c r="Y59" i="12"/>
  <c r="W59" i="12"/>
  <c r="AX55" i="12"/>
  <c r="S59" i="12"/>
  <c r="AG59" i="12"/>
  <c r="AC59" i="12"/>
  <c r="BD59" i="12"/>
  <c r="AI59" i="12"/>
  <c r="AT58" i="12"/>
  <c r="AH59" i="12"/>
  <c r="AF59" i="12"/>
  <c r="M29" i="17"/>
  <c r="N29" i="17" s="1"/>
  <c r="AH269" i="12"/>
  <c r="AD269" i="12"/>
  <c r="AC269" i="12"/>
  <c r="AB269" i="12"/>
  <c r="Y269" i="12"/>
  <c r="W269" i="12"/>
  <c r="S269" i="12"/>
  <c r="AI269" i="12"/>
  <c r="AG269" i="12"/>
  <c r="AE269" i="12"/>
  <c r="Z269" i="12"/>
  <c r="BD269" i="12"/>
  <c r="BC269" i="12"/>
  <c r="AF269" i="12"/>
  <c r="AA269" i="12"/>
  <c r="AD205" i="12"/>
  <c r="AC205" i="12"/>
  <c r="AY201" i="12"/>
  <c r="AA205" i="12"/>
  <c r="BC205" i="12"/>
  <c r="W205" i="12"/>
  <c r="AH205" i="12"/>
  <c r="BD205" i="12"/>
  <c r="AB205" i="12"/>
  <c r="Z205" i="12"/>
  <c r="Y205" i="12"/>
  <c r="S205" i="12"/>
  <c r="AX201" i="12"/>
  <c r="AT204" i="12"/>
  <c r="AI205" i="12"/>
  <c r="AG205" i="12"/>
  <c r="AS204" i="12"/>
  <c r="AF205" i="12"/>
  <c r="AE205" i="12"/>
  <c r="V186" i="12"/>
  <c r="X186" i="12"/>
  <c r="AE198" i="12"/>
  <c r="AD198" i="12"/>
  <c r="AA198" i="12"/>
  <c r="W198" i="12"/>
  <c r="BC198" i="12"/>
  <c r="S198" i="12"/>
  <c r="AI198" i="12"/>
  <c r="AH198" i="12"/>
  <c r="AG198" i="12"/>
  <c r="AB198" i="12"/>
  <c r="AX194" i="12"/>
  <c r="AF198" i="12"/>
  <c r="AC198" i="12"/>
  <c r="Z198" i="12"/>
  <c r="Y198" i="12"/>
  <c r="BD198" i="12"/>
  <c r="AT197" i="12"/>
  <c r="AS197" i="12"/>
  <c r="AY194" i="12"/>
  <c r="X153" i="12"/>
  <c r="V153" i="12"/>
  <c r="BD180" i="12"/>
  <c r="Y180" i="12"/>
  <c r="AS179" i="12"/>
  <c r="BC180" i="12"/>
  <c r="AI180" i="12"/>
  <c r="AG180" i="12"/>
  <c r="AF180" i="12"/>
  <c r="AE180" i="12"/>
  <c r="AT179" i="12"/>
  <c r="AD180" i="12"/>
  <c r="AY176" i="12"/>
  <c r="AC180" i="12"/>
  <c r="AX176" i="12"/>
  <c r="AB180" i="12"/>
  <c r="AA180" i="12"/>
  <c r="Z180" i="12"/>
  <c r="W180" i="12"/>
  <c r="AH180" i="12"/>
  <c r="S180" i="12"/>
  <c r="X137" i="12"/>
  <c r="V137" i="12"/>
  <c r="X132" i="12"/>
  <c r="V132" i="12"/>
  <c r="AF119" i="12"/>
  <c r="Z119" i="12"/>
  <c r="AT118" i="12"/>
  <c r="BD119" i="12"/>
  <c r="Y119" i="12"/>
  <c r="AS118" i="12"/>
  <c r="W119" i="12"/>
  <c r="S119" i="12"/>
  <c r="AI119" i="12"/>
  <c r="AH119" i="12"/>
  <c r="AY115" i="12"/>
  <c r="BC119" i="12"/>
  <c r="AG119" i="12"/>
  <c r="AX115" i="12"/>
  <c r="AE119" i="12"/>
  <c r="AD119" i="12"/>
  <c r="AC119" i="12"/>
  <c r="AA119" i="12"/>
  <c r="AB119" i="12"/>
  <c r="AI154" i="12"/>
  <c r="AG154" i="12"/>
  <c r="S154" i="12"/>
  <c r="AC154" i="12"/>
  <c r="AY150" i="12"/>
  <c r="AB154" i="12"/>
  <c r="AX150" i="12"/>
  <c r="BD154" i="12"/>
  <c r="Y154" i="12"/>
  <c r="AS153" i="12"/>
  <c r="BC154" i="12"/>
  <c r="AF154" i="12"/>
  <c r="AE154" i="12"/>
  <c r="AD154" i="12"/>
  <c r="AA154" i="12"/>
  <c r="Z154" i="12"/>
  <c r="W154" i="12"/>
  <c r="AT153" i="12"/>
  <c r="AH154" i="12"/>
  <c r="AD134" i="12"/>
  <c r="AA134" i="12"/>
  <c r="Y134" i="12"/>
  <c r="AS133" i="12"/>
  <c r="BD134" i="12"/>
  <c r="W134" i="12"/>
  <c r="BC134" i="12"/>
  <c r="AI134" i="12"/>
  <c r="AG134" i="12"/>
  <c r="AF134" i="12"/>
  <c r="AY130" i="12"/>
  <c r="AH134" i="12"/>
  <c r="AX130" i="12"/>
  <c r="AE134" i="12"/>
  <c r="AC134" i="12"/>
  <c r="AB134" i="12"/>
  <c r="Z134" i="12"/>
  <c r="S134" i="12"/>
  <c r="AT133" i="12"/>
  <c r="AC128" i="12"/>
  <c r="AY124" i="12"/>
  <c r="BD128" i="12"/>
  <c r="Y128" i="12"/>
  <c r="AS127" i="12"/>
  <c r="BC128" i="12"/>
  <c r="W128" i="12"/>
  <c r="AH128" i="12"/>
  <c r="AG128" i="12"/>
  <c r="S128" i="12"/>
  <c r="AI128" i="12"/>
  <c r="AF128" i="12"/>
  <c r="AE128" i="12"/>
  <c r="AD128" i="12"/>
  <c r="AB128" i="12"/>
  <c r="AA128" i="12"/>
  <c r="Z128" i="12"/>
  <c r="AT127" i="12"/>
  <c r="AX124" i="12"/>
  <c r="AF71" i="12"/>
  <c r="Z71" i="12"/>
  <c r="AT70" i="12"/>
  <c r="BD71" i="12"/>
  <c r="Y71" i="12"/>
  <c r="AS70" i="12"/>
  <c r="AC71" i="12"/>
  <c r="AB71" i="12"/>
  <c r="AI71" i="12"/>
  <c r="AH71" i="12"/>
  <c r="AY67" i="12"/>
  <c r="AG71" i="12"/>
  <c r="AX67" i="12"/>
  <c r="AE71" i="12"/>
  <c r="BC71" i="12"/>
  <c r="AD71" i="12"/>
  <c r="AA71" i="12"/>
  <c r="S71" i="12"/>
  <c r="W71" i="12"/>
  <c r="AI103" i="12"/>
  <c r="AF103" i="12"/>
  <c r="Z103" i="12"/>
  <c r="Y103" i="12"/>
  <c r="W103" i="12"/>
  <c r="S103" i="12"/>
  <c r="BD103" i="12"/>
  <c r="BC103" i="12"/>
  <c r="AH103" i="12"/>
  <c r="AE103" i="12"/>
  <c r="AD103" i="12"/>
  <c r="AT102" i="12"/>
  <c r="AY99" i="12"/>
  <c r="AC103" i="12"/>
  <c r="AB103" i="12"/>
  <c r="AS102" i="12"/>
  <c r="AG103" i="12"/>
  <c r="AA103" i="12"/>
  <c r="AX99" i="12"/>
  <c r="AF145" i="12"/>
  <c r="AE145" i="12"/>
  <c r="AB145" i="12"/>
  <c r="AX141" i="12"/>
  <c r="AC145" i="12"/>
  <c r="AA145" i="12"/>
  <c r="Z145" i="12"/>
  <c r="Y145" i="12"/>
  <c r="W145" i="12"/>
  <c r="BD145" i="12"/>
  <c r="S145" i="12"/>
  <c r="BC145" i="12"/>
  <c r="AI145" i="12"/>
  <c r="AY141" i="12"/>
  <c r="AT144" i="12"/>
  <c r="AS144" i="12"/>
  <c r="AH145" i="12"/>
  <c r="AG145" i="12"/>
  <c r="AD145" i="12"/>
  <c r="AF33" i="12"/>
  <c r="AA33" i="12"/>
  <c r="AS32" i="12"/>
  <c r="Y33" i="12"/>
  <c r="AX29" i="12"/>
  <c r="BD33" i="12"/>
  <c r="W33" i="12"/>
  <c r="BC33" i="12"/>
  <c r="AI33" i="12"/>
  <c r="AG33" i="12"/>
  <c r="AE33" i="12"/>
  <c r="AD33" i="12"/>
  <c r="AC33" i="12"/>
  <c r="Z33" i="12"/>
  <c r="AT32" i="12"/>
  <c r="AY29" i="12"/>
  <c r="AH33" i="12"/>
  <c r="AB33" i="12"/>
  <c r="S33" i="12"/>
  <c r="AG2" i="12"/>
  <c r="S2" i="12"/>
  <c r="AA2" i="12"/>
  <c r="Z2" i="12"/>
  <c r="W2" i="12"/>
  <c r="AD2" i="12"/>
  <c r="AI2" i="12"/>
  <c r="AH2" i="12"/>
  <c r="AF2" i="12"/>
  <c r="AE2" i="12"/>
  <c r="BD2" i="12"/>
  <c r="AC2" i="12"/>
  <c r="BC2" i="12"/>
  <c r="AB2" i="12"/>
  <c r="Y2" i="12"/>
  <c r="CD300" i="5"/>
  <c r="BX300" i="5"/>
  <c r="Y301" i="4"/>
  <c r="AK273" i="12"/>
  <c r="AN273" i="12"/>
  <c r="BX248" i="5"/>
  <c r="Y249" i="4"/>
  <c r="W249" i="4" s="1"/>
  <c r="CD248" i="5"/>
  <c r="AK257" i="12"/>
  <c r="AN257" i="12"/>
  <c r="O309" i="12"/>
  <c r="O314" i="4"/>
  <c r="BG314" i="4"/>
  <c r="AK312" i="12"/>
  <c r="AN312" i="12"/>
  <c r="Q231" i="12"/>
  <c r="AA235" i="5"/>
  <c r="Y235" i="5" s="1"/>
  <c r="Q236" i="4"/>
  <c r="BK236" i="4"/>
  <c r="BK227" i="4"/>
  <c r="AK276" i="12"/>
  <c r="AN276" i="12"/>
  <c r="L255" i="4"/>
  <c r="BF255" i="4" s="1"/>
  <c r="G215" i="4"/>
  <c r="J215" i="4" s="1"/>
  <c r="AZ215" i="4"/>
  <c r="BA219" i="4"/>
  <c r="K219" i="4"/>
  <c r="Q218" i="12"/>
  <c r="Q223" i="4"/>
  <c r="BJ223" i="4"/>
  <c r="AA222" i="5"/>
  <c r="Y222" i="5" s="1"/>
  <c r="BK217" i="4"/>
  <c r="AL264" i="12"/>
  <c r="Q219" i="12"/>
  <c r="AA223" i="5"/>
  <c r="Y223" i="5" s="1"/>
  <c r="BJ224" i="4"/>
  <c r="Q224" i="4"/>
  <c r="AY250" i="4"/>
  <c r="O281" i="12"/>
  <c r="O286" i="4"/>
  <c r="Q209" i="12"/>
  <c r="AA213" i="5"/>
  <c r="Y213" i="5" s="1"/>
  <c r="BJ214" i="4"/>
  <c r="Q214" i="4"/>
  <c r="BG214" i="4"/>
  <c r="BA240" i="4"/>
  <c r="K240" i="4"/>
  <c r="G240" i="4"/>
  <c r="AD155" i="12"/>
  <c r="AB155" i="12"/>
  <c r="Z155" i="12"/>
  <c r="BC155" i="12"/>
  <c r="W155" i="12"/>
  <c r="AH155" i="12"/>
  <c r="Y155" i="12"/>
  <c r="S155" i="12"/>
  <c r="AY151" i="12"/>
  <c r="AT154" i="12"/>
  <c r="AX151" i="12"/>
  <c r="AS154" i="12"/>
  <c r="AI155" i="12"/>
  <c r="AG155" i="12"/>
  <c r="AF155" i="12"/>
  <c r="BD155" i="12"/>
  <c r="AE155" i="12"/>
  <c r="AC155" i="12"/>
  <c r="AA155" i="12"/>
  <c r="BC29" i="12"/>
  <c r="AI29" i="12"/>
  <c r="AG29" i="12"/>
  <c r="AE29" i="12"/>
  <c r="AD29" i="12"/>
  <c r="AC29" i="12"/>
  <c r="AB29" i="12"/>
  <c r="AT28" i="12"/>
  <c r="AH29" i="12"/>
  <c r="AF29" i="12"/>
  <c r="AA29" i="12"/>
  <c r="Y29" i="12"/>
  <c r="W29" i="12"/>
  <c r="S29" i="12"/>
  <c r="BD29" i="12"/>
  <c r="AY25" i="12"/>
  <c r="AX25" i="12"/>
  <c r="AS28" i="12"/>
  <c r="Z29" i="12"/>
  <c r="X4" i="12"/>
  <c r="V4" i="12"/>
  <c r="BD156" i="12"/>
  <c r="Y156" i="12"/>
  <c r="AS155" i="12"/>
  <c r="W156" i="12"/>
  <c r="AI156" i="12"/>
  <c r="AG156" i="12"/>
  <c r="S156" i="12"/>
  <c r="AF156" i="12"/>
  <c r="AC156" i="12"/>
  <c r="AY152" i="12"/>
  <c r="AT155" i="12"/>
  <c r="AH156" i="12"/>
  <c r="AE156" i="12"/>
  <c r="AD156" i="12"/>
  <c r="BC156" i="12"/>
  <c r="AB156" i="12"/>
  <c r="AA156" i="12"/>
  <c r="Z156" i="12"/>
  <c r="AX152" i="12"/>
  <c r="AA196" i="12"/>
  <c r="Z196" i="12"/>
  <c r="AT195" i="12"/>
  <c r="W196" i="12"/>
  <c r="BC196" i="12"/>
  <c r="AH196" i="12"/>
  <c r="AF196" i="12"/>
  <c r="AS195" i="12"/>
  <c r="AD196" i="12"/>
  <c r="AX192" i="12"/>
  <c r="AC196" i="12"/>
  <c r="AB196" i="12"/>
  <c r="Y196" i="12"/>
  <c r="BD196" i="12"/>
  <c r="AY192" i="12"/>
  <c r="AI196" i="12"/>
  <c r="AG196" i="12"/>
  <c r="AE196" i="12"/>
  <c r="S196" i="12"/>
  <c r="BC67" i="12"/>
  <c r="AF67" i="12"/>
  <c r="AE67" i="12"/>
  <c r="AB67" i="12"/>
  <c r="AX63" i="12"/>
  <c r="BD67" i="12"/>
  <c r="AH67" i="12"/>
  <c r="AT66" i="12"/>
  <c r="AG67" i="12"/>
  <c r="AS66" i="12"/>
  <c r="Y67" i="12"/>
  <c r="AY63" i="12"/>
  <c r="AD67" i="12"/>
  <c r="AC67" i="12"/>
  <c r="AA67" i="12"/>
  <c r="Z67" i="12"/>
  <c r="W67" i="12"/>
  <c r="S67" i="12"/>
  <c r="AI67" i="12"/>
  <c r="BC141" i="12"/>
  <c r="W141" i="12"/>
  <c r="AH141" i="12"/>
  <c r="AC141" i="12"/>
  <c r="AA141" i="12"/>
  <c r="Z141" i="12"/>
  <c r="Y141" i="12"/>
  <c r="S141" i="12"/>
  <c r="AI141" i="12"/>
  <c r="BD141" i="12"/>
  <c r="AG141" i="12"/>
  <c r="AY137" i="12"/>
  <c r="AX137" i="12"/>
  <c r="AT140" i="12"/>
  <c r="AS140" i="12"/>
  <c r="AF141" i="12"/>
  <c r="AE141" i="12"/>
  <c r="AD141" i="12"/>
  <c r="AB141" i="12"/>
  <c r="BD64" i="12"/>
  <c r="Y64" i="12"/>
  <c r="AS63" i="12"/>
  <c r="AG64" i="12"/>
  <c r="S64" i="12"/>
  <c r="AF64" i="12"/>
  <c r="AC64" i="12"/>
  <c r="AB64" i="12"/>
  <c r="AA64" i="12"/>
  <c r="AI64" i="12"/>
  <c r="AH64" i="12"/>
  <c r="AE64" i="12"/>
  <c r="AD64" i="12"/>
  <c r="AY60" i="12"/>
  <c r="W64" i="12"/>
  <c r="AT63" i="12"/>
  <c r="Z64" i="12"/>
  <c r="BC64" i="12"/>
  <c r="AX60" i="12"/>
  <c r="AB69" i="12"/>
  <c r="AX65" i="12"/>
  <c r="AI69" i="12"/>
  <c r="AF69" i="12"/>
  <c r="AE69" i="12"/>
  <c r="AS68" i="12"/>
  <c r="AD69" i="12"/>
  <c r="AY65" i="12"/>
  <c r="Z69" i="12"/>
  <c r="Y69" i="12"/>
  <c r="W69" i="12"/>
  <c r="S69" i="12"/>
  <c r="AT68" i="12"/>
  <c r="BC69" i="12"/>
  <c r="AC69" i="12"/>
  <c r="AA69" i="12"/>
  <c r="BD69" i="12"/>
  <c r="AH69" i="12"/>
  <c r="AG69" i="12"/>
  <c r="M5" i="17"/>
  <c r="V192" i="12"/>
  <c r="X192" i="12"/>
  <c r="AA182" i="12"/>
  <c r="AD182" i="12"/>
  <c r="AY178" i="12"/>
  <c r="AC182" i="12"/>
  <c r="AX178" i="12"/>
  <c r="Y182" i="12"/>
  <c r="AS181" i="12"/>
  <c r="W182" i="12"/>
  <c r="S182" i="12"/>
  <c r="AI182" i="12"/>
  <c r="BD182" i="12"/>
  <c r="AH182" i="12"/>
  <c r="BC182" i="12"/>
  <c r="AG182" i="12"/>
  <c r="AT181" i="12"/>
  <c r="AF182" i="12"/>
  <c r="AE182" i="12"/>
  <c r="AB182" i="12"/>
  <c r="Z182" i="12"/>
  <c r="V203" i="12"/>
  <c r="X203" i="12"/>
  <c r="AI183" i="12"/>
  <c r="AC183" i="12"/>
  <c r="AB183" i="12"/>
  <c r="AT182" i="12"/>
  <c r="Y183" i="12"/>
  <c r="AH183" i="12"/>
  <c r="AS182" i="12"/>
  <c r="AG183" i="12"/>
  <c r="BD183" i="12"/>
  <c r="AF183" i="12"/>
  <c r="BC183" i="12"/>
  <c r="AE183" i="12"/>
  <c r="AD183" i="12"/>
  <c r="AA183" i="12"/>
  <c r="Z183" i="12"/>
  <c r="W183" i="12"/>
  <c r="S183" i="12"/>
  <c r="AY179" i="12"/>
  <c r="AX179" i="12"/>
  <c r="AC158" i="12"/>
  <c r="AY154" i="12"/>
  <c r="AA158" i="12"/>
  <c r="Z158" i="12"/>
  <c r="AT157" i="12"/>
  <c r="BD158" i="12"/>
  <c r="Y158" i="12"/>
  <c r="AS157" i="12"/>
  <c r="BC158" i="12"/>
  <c r="W158" i="12"/>
  <c r="AG158" i="12"/>
  <c r="S158" i="12"/>
  <c r="AX154" i="12"/>
  <c r="AI158" i="12"/>
  <c r="AH158" i="12"/>
  <c r="AF158" i="12"/>
  <c r="AD158" i="12"/>
  <c r="AE158" i="12"/>
  <c r="AB158" i="12"/>
  <c r="V187" i="12"/>
  <c r="X187" i="12"/>
  <c r="AH167" i="12"/>
  <c r="AG167" i="12"/>
  <c r="S167" i="12"/>
  <c r="AC167" i="12"/>
  <c r="AT166" i="12"/>
  <c r="AB167" i="12"/>
  <c r="AS166" i="12"/>
  <c r="AA167" i="12"/>
  <c r="Z167" i="12"/>
  <c r="Y167" i="12"/>
  <c r="W167" i="12"/>
  <c r="BC167" i="12"/>
  <c r="AI167" i="12"/>
  <c r="AY163" i="12"/>
  <c r="AF167" i="12"/>
  <c r="AX163" i="12"/>
  <c r="AE167" i="12"/>
  <c r="AD167" i="12"/>
  <c r="BD167" i="12"/>
  <c r="BD108" i="12"/>
  <c r="Y108" i="12"/>
  <c r="AS107" i="12"/>
  <c r="BC108" i="12"/>
  <c r="AI108" i="12"/>
  <c r="W108" i="12"/>
  <c r="S108" i="12"/>
  <c r="AH108" i="12"/>
  <c r="AG108" i="12"/>
  <c r="AF108" i="12"/>
  <c r="AD108" i="12"/>
  <c r="AC108" i="12"/>
  <c r="AY104" i="12"/>
  <c r="AT107" i="12"/>
  <c r="AE108" i="12"/>
  <c r="Z108" i="12"/>
  <c r="AB108" i="12"/>
  <c r="AA108" i="12"/>
  <c r="AX104" i="12"/>
  <c r="AA116" i="12"/>
  <c r="Z116" i="12"/>
  <c r="AT115" i="12"/>
  <c r="W116" i="12"/>
  <c r="Y116" i="12"/>
  <c r="S116" i="12"/>
  <c r="BD116" i="12"/>
  <c r="AI116" i="12"/>
  <c r="BC116" i="12"/>
  <c r="AH116" i="12"/>
  <c r="AF116" i="12"/>
  <c r="AS115" i="12"/>
  <c r="AE116" i="12"/>
  <c r="AY112" i="12"/>
  <c r="AC116" i="12"/>
  <c r="AG116" i="12"/>
  <c r="AD116" i="12"/>
  <c r="AB116" i="12"/>
  <c r="AX112" i="12"/>
  <c r="AE122" i="12"/>
  <c r="Z122" i="12"/>
  <c r="AT121" i="12"/>
  <c r="BD122" i="12"/>
  <c r="Y122" i="12"/>
  <c r="AS121" i="12"/>
  <c r="BC122" i="12"/>
  <c r="AI122" i="12"/>
  <c r="AG122" i="12"/>
  <c r="AF122" i="12"/>
  <c r="AD122" i="12"/>
  <c r="AY118" i="12"/>
  <c r="AC122" i="12"/>
  <c r="AX118" i="12"/>
  <c r="AB122" i="12"/>
  <c r="AA122" i="12"/>
  <c r="W122" i="12"/>
  <c r="S122" i="12"/>
  <c r="AH122" i="12"/>
  <c r="AI117" i="12"/>
  <c r="AF117" i="12"/>
  <c r="AC117" i="12"/>
  <c r="AS116" i="12"/>
  <c r="AB117" i="12"/>
  <c r="AA117" i="12"/>
  <c r="Z117" i="12"/>
  <c r="Y117" i="12"/>
  <c r="W117" i="12"/>
  <c r="BD117" i="12"/>
  <c r="AH117" i="12"/>
  <c r="AE117" i="12"/>
  <c r="AY113" i="12"/>
  <c r="AD117" i="12"/>
  <c r="S117" i="12"/>
  <c r="BC117" i="12"/>
  <c r="AT116" i="12"/>
  <c r="AG117" i="12"/>
  <c r="AX113" i="12"/>
  <c r="X76" i="12"/>
  <c r="V76" i="12"/>
  <c r="X110" i="12"/>
  <c r="V110" i="12"/>
  <c r="X104" i="12"/>
  <c r="V104" i="12"/>
  <c r="AF5" i="12"/>
  <c r="Z5" i="12"/>
  <c r="AT4" i="12"/>
  <c r="BD5" i="12"/>
  <c r="Y5" i="12"/>
  <c r="AS4" i="12"/>
  <c r="BC5" i="12"/>
  <c r="AI5" i="12"/>
  <c r="AH5" i="12"/>
  <c r="AG5" i="12"/>
  <c r="AE5" i="12"/>
  <c r="W5" i="12"/>
  <c r="AD5" i="12"/>
  <c r="AC5" i="12"/>
  <c r="AB5" i="12"/>
  <c r="AA5" i="12"/>
  <c r="S5" i="12"/>
  <c r="AG54" i="12"/>
  <c r="S54" i="12"/>
  <c r="BD54" i="12"/>
  <c r="W54" i="12"/>
  <c r="BC54" i="12"/>
  <c r="AE54" i="12"/>
  <c r="AC54" i="12"/>
  <c r="AA54" i="12"/>
  <c r="Z54" i="12"/>
  <c r="Y54" i="12"/>
  <c r="AY50" i="12"/>
  <c r="AF54" i="12"/>
  <c r="AT53" i="12"/>
  <c r="AI54" i="12"/>
  <c r="AH54" i="12"/>
  <c r="AD54" i="12"/>
  <c r="AB54" i="12"/>
  <c r="AS53" i="12"/>
  <c r="AX50" i="12"/>
  <c r="AB3" i="12"/>
  <c r="AI3" i="12"/>
  <c r="Z3" i="12"/>
  <c r="Y3" i="12"/>
  <c r="W3" i="12"/>
  <c r="AF3" i="12"/>
  <c r="AG3" i="12"/>
  <c r="AE3" i="12"/>
  <c r="BD3" i="12"/>
  <c r="AD3" i="12"/>
  <c r="BC3" i="12"/>
  <c r="AC3" i="12"/>
  <c r="AA3" i="12"/>
  <c r="S3" i="12"/>
  <c r="AS2" i="12"/>
  <c r="AT2" i="12"/>
  <c r="AH3" i="12"/>
  <c r="AK232" i="12"/>
  <c r="AN232" i="12"/>
  <c r="AK309" i="12"/>
  <c r="AN309" i="12"/>
  <c r="AN216" i="12"/>
  <c r="AK216" i="12"/>
  <c r="AN286" i="12"/>
  <c r="AK286" i="12"/>
  <c r="AN305" i="12"/>
  <c r="AK305" i="12"/>
  <c r="AN292" i="12"/>
  <c r="AK292" i="12"/>
  <c r="Q240" i="12"/>
  <c r="AA244" i="5"/>
  <c r="Y244" i="5" s="1"/>
  <c r="BJ245" i="4"/>
  <c r="AN206" i="12"/>
  <c r="AK206" i="12"/>
  <c r="AK260" i="12"/>
  <c r="AN260" i="12"/>
  <c r="Q220" i="12"/>
  <c r="AA224" i="5"/>
  <c r="Y224" i="5" s="1"/>
  <c r="BJ225" i="4"/>
  <c r="Q225" i="4"/>
  <c r="L218" i="4"/>
  <c r="BF218" i="4" s="1"/>
  <c r="AN211" i="12"/>
  <c r="AK211" i="12"/>
  <c r="AK288" i="12"/>
  <c r="AN288" i="12"/>
  <c r="K225" i="4"/>
  <c r="BA225" i="4"/>
  <c r="Z241" i="4"/>
  <c r="AA241" i="4"/>
  <c r="O272" i="12"/>
  <c r="O277" i="4"/>
  <c r="BG277" i="4"/>
  <c r="L240" i="4"/>
  <c r="BF240" i="4"/>
  <c r="Q246" i="12"/>
  <c r="AA250" i="5"/>
  <c r="Y250" i="5" s="1"/>
  <c r="Q251" i="4"/>
  <c r="BJ251" i="4"/>
  <c r="AN253" i="12"/>
  <c r="AK253" i="12"/>
  <c r="Q227" i="12"/>
  <c r="AA231" i="5"/>
  <c r="Y231" i="5" s="1"/>
  <c r="BK232" i="4"/>
  <c r="Q249" i="12"/>
  <c r="AA253" i="5"/>
  <c r="Y253" i="5" s="1"/>
  <c r="Q254" i="4"/>
  <c r="BJ218" i="4"/>
  <c r="Q213" i="4"/>
  <c r="AM283" i="12"/>
  <c r="R283" i="12"/>
  <c r="AJ283" i="12"/>
  <c r="BK228" i="4"/>
  <c r="BA236" i="4"/>
  <c r="L236" i="4" s="1"/>
  <c r="K236" i="4"/>
  <c r="X11" i="12"/>
  <c r="V11" i="12"/>
  <c r="V17" i="12"/>
  <c r="X17" i="12"/>
  <c r="X24" i="12"/>
  <c r="V24" i="12"/>
  <c r="CD299" i="5"/>
  <c r="Y300" i="4"/>
  <c r="BX299" i="5"/>
  <c r="BX267" i="5"/>
  <c r="CD267" i="5"/>
  <c r="Y268" i="4"/>
  <c r="W268" i="4" s="1"/>
  <c r="CD294" i="5"/>
  <c r="Y295" i="4"/>
  <c r="BX294" i="5"/>
  <c r="AK261" i="12"/>
  <c r="AN261" i="12"/>
  <c r="AA257" i="4"/>
  <c r="Z257" i="4"/>
  <c r="BD312" i="12"/>
  <c r="Y312" i="12"/>
  <c r="AS311" i="12"/>
  <c r="BC312" i="12"/>
  <c r="W312" i="12"/>
  <c r="AH312" i="12"/>
  <c r="AG312" i="12"/>
  <c r="S312" i="12"/>
  <c r="AF312" i="12"/>
  <c r="AI312" i="12"/>
  <c r="AE312" i="12"/>
  <c r="AC312" i="12"/>
  <c r="AB312" i="12"/>
  <c r="Z312" i="12"/>
  <c r="AD312" i="12"/>
  <c r="AA312" i="12"/>
  <c r="AY308" i="12"/>
  <c r="AX308" i="12"/>
  <c r="AT311" i="12"/>
  <c r="AN303" i="12"/>
  <c r="AK303" i="12"/>
  <c r="CD251" i="5"/>
  <c r="BX251" i="5"/>
  <c r="Y252" i="4"/>
  <c r="W252" i="4" s="1"/>
  <c r="AN279" i="12"/>
  <c r="AK279" i="12"/>
  <c r="BX253" i="5"/>
  <c r="CD253" i="5"/>
  <c r="Y254" i="4"/>
  <c r="W254" i="4" s="1"/>
  <c r="AN230" i="12"/>
  <c r="AK230" i="12"/>
  <c r="AI242" i="4"/>
  <c r="AN307" i="12"/>
  <c r="AK307" i="12"/>
  <c r="L224" i="4"/>
  <c r="BF224" i="4"/>
  <c r="AN272" i="12"/>
  <c r="AK272" i="12"/>
  <c r="AN293" i="12"/>
  <c r="AK293" i="12"/>
  <c r="R275" i="12"/>
  <c r="AJ275" i="12"/>
  <c r="AM275" i="12"/>
  <c r="AI218" i="4"/>
  <c r="AN224" i="12"/>
  <c r="AK224" i="12"/>
  <c r="P214" i="4"/>
  <c r="AI214" i="4"/>
  <c r="O287" i="12"/>
  <c r="O292" i="4"/>
  <c r="BG292" i="4"/>
  <c r="Q210" i="12"/>
  <c r="AO253" i="12" s="1"/>
  <c r="AA214" i="5"/>
  <c r="Y214" i="5" s="1"/>
  <c r="BK215" i="4"/>
  <c r="BJ215" i="4"/>
  <c r="AK235" i="12"/>
  <c r="AN235" i="12"/>
  <c r="AZ259" i="4"/>
  <c r="G259" i="4"/>
  <c r="Q259" i="4" s="1"/>
  <c r="K251" i="4"/>
  <c r="BA251" i="4"/>
  <c r="G251" i="4"/>
  <c r="BK254" i="4"/>
  <c r="BK212" i="4"/>
  <c r="Z250" i="4"/>
  <c r="AA250" i="4"/>
  <c r="BF245" i="4"/>
  <c r="L245" i="4"/>
  <c r="P213" i="4"/>
  <c r="BA228" i="4"/>
  <c r="K228" i="4"/>
  <c r="AI262" i="4"/>
  <c r="P262" i="4"/>
  <c r="AI136" i="12"/>
  <c r="AH136" i="12"/>
  <c r="Z136" i="12"/>
  <c r="AY132" i="12"/>
  <c r="W136" i="12"/>
  <c r="AX132" i="12"/>
  <c r="BD136" i="12"/>
  <c r="S136" i="12"/>
  <c r="BC136" i="12"/>
  <c r="AG136" i="12"/>
  <c r="AE136" i="12"/>
  <c r="AD136" i="12"/>
  <c r="AF136" i="12"/>
  <c r="AC136" i="12"/>
  <c r="AB136" i="12"/>
  <c r="AT135" i="12"/>
  <c r="AA136" i="12"/>
  <c r="AS135" i="12"/>
  <c r="Y136" i="12"/>
  <c r="X109" i="12"/>
  <c r="V109" i="12"/>
  <c r="V55" i="12"/>
  <c r="X55" i="12"/>
  <c r="M6" i="17"/>
  <c r="N6" i="17" s="1"/>
  <c r="AB131" i="12"/>
  <c r="AX127" i="12"/>
  <c r="Z131" i="12"/>
  <c r="AT130" i="12"/>
  <c r="BD131" i="12"/>
  <c r="Y131" i="12"/>
  <c r="AS130" i="12"/>
  <c r="BC131" i="12"/>
  <c r="W131" i="12"/>
  <c r="AI131" i="12"/>
  <c r="AG131" i="12"/>
  <c r="S131" i="12"/>
  <c r="AF131" i="12"/>
  <c r="AE131" i="12"/>
  <c r="AD131" i="12"/>
  <c r="AC131" i="12"/>
  <c r="AA131" i="12"/>
  <c r="AY127" i="12"/>
  <c r="AH131" i="12"/>
  <c r="CD286" i="5"/>
  <c r="BX286" i="5"/>
  <c r="Y287" i="4"/>
  <c r="BX266" i="5"/>
  <c r="CD266" i="5"/>
  <c r="Y267" i="4"/>
  <c r="W267" i="4" s="1"/>
  <c r="BX291" i="5"/>
  <c r="CD291" i="5"/>
  <c r="Y292" i="4"/>
  <c r="AK250" i="12"/>
  <c r="AN250" i="12"/>
  <c r="AK209" i="12"/>
  <c r="AN209" i="12"/>
  <c r="BX279" i="5"/>
  <c r="CD279" i="5"/>
  <c r="Y280" i="4"/>
  <c r="AK291" i="12"/>
  <c r="AN291" i="12"/>
  <c r="AN297" i="12"/>
  <c r="AK297" i="12"/>
  <c r="AI239" i="4"/>
  <c r="P239" i="4"/>
  <c r="J239" i="4"/>
  <c r="O293" i="12"/>
  <c r="O298" i="4"/>
  <c r="G256" i="4"/>
  <c r="J256" i="4"/>
  <c r="AZ256" i="4"/>
  <c r="AN262" i="12"/>
  <c r="AK262" i="12"/>
  <c r="Q206" i="12"/>
  <c r="AA210" i="5"/>
  <c r="Y210" i="5" s="1"/>
  <c r="BJ211" i="4"/>
  <c r="AN265" i="12"/>
  <c r="AK265" i="12"/>
  <c r="J228" i="4"/>
  <c r="AZ228" i="4"/>
  <c r="G228" i="4"/>
  <c r="Q228" i="4" s="1"/>
  <c r="G211" i="4"/>
  <c r="Q211" i="4" s="1"/>
  <c r="BF292" i="4"/>
  <c r="AY235" i="4"/>
  <c r="AA239" i="4"/>
  <c r="Z239" i="4"/>
  <c r="AI236" i="4"/>
  <c r="J236" i="4"/>
  <c r="BK251" i="4"/>
  <c r="BK252" i="4"/>
  <c r="G232" i="4"/>
  <c r="AZ232" i="4"/>
  <c r="J232" i="4"/>
  <c r="BA253" i="4"/>
  <c r="K253" i="4"/>
  <c r="K212" i="4"/>
  <c r="BA212" i="4"/>
  <c r="BK245" i="4"/>
  <c r="AO208" i="12"/>
  <c r="AL208" i="12"/>
  <c r="BG213" i="4"/>
  <c r="Q241" i="12"/>
  <c r="AA245" i="5"/>
  <c r="Y245" i="5" s="1"/>
  <c r="BJ246" i="4"/>
  <c r="Q246" i="4"/>
  <c r="J262" i="4"/>
  <c r="G245" i="4"/>
  <c r="Q245" i="4" s="1"/>
  <c r="BA264" i="4"/>
  <c r="BA268" i="4"/>
  <c r="G268" i="4"/>
  <c r="K268" i="4" s="1"/>
  <c r="AG47" i="12"/>
  <c r="S47" i="12"/>
  <c r="AF47" i="12"/>
  <c r="AX43" i="12"/>
  <c r="BC47" i="12"/>
  <c r="AI47" i="12"/>
  <c r="AH47" i="12"/>
  <c r="AE47" i="12"/>
  <c r="AD47" i="12"/>
  <c r="AT46" i="12"/>
  <c r="AC47" i="12"/>
  <c r="AS46" i="12"/>
  <c r="AA47" i="12"/>
  <c r="AB47" i="12"/>
  <c r="Z47" i="12"/>
  <c r="Y47" i="12"/>
  <c r="W47" i="12"/>
  <c r="AY43" i="12"/>
  <c r="BD47" i="12"/>
  <c r="V9" i="12"/>
  <c r="X9" i="12"/>
  <c r="AI204" i="12"/>
  <c r="AH204" i="12"/>
  <c r="AC204" i="12"/>
  <c r="AY200" i="12"/>
  <c r="AB204" i="12"/>
  <c r="AX200" i="12"/>
  <c r="BD204" i="12"/>
  <c r="Y204" i="12"/>
  <c r="AS203" i="12"/>
  <c r="AG204" i="12"/>
  <c r="BC204" i="12"/>
  <c r="AF204" i="12"/>
  <c r="AD204" i="12"/>
  <c r="AA204" i="12"/>
  <c r="Z204" i="12"/>
  <c r="S204" i="12"/>
  <c r="AT203" i="12"/>
  <c r="AE204" i="12"/>
  <c r="W204" i="12"/>
  <c r="V115" i="12"/>
  <c r="X115" i="12"/>
  <c r="AB113" i="12"/>
  <c r="AX109" i="12"/>
  <c r="AA113" i="12"/>
  <c r="BC113" i="12"/>
  <c r="AD113" i="12"/>
  <c r="AC113" i="12"/>
  <c r="Z113" i="12"/>
  <c r="Y113" i="12"/>
  <c r="W113" i="12"/>
  <c r="BD113" i="12"/>
  <c r="AI113" i="12"/>
  <c r="AH113" i="12"/>
  <c r="AF113" i="12"/>
  <c r="AT112" i="12"/>
  <c r="S113" i="12"/>
  <c r="AG113" i="12"/>
  <c r="AY109" i="12"/>
  <c r="AS112" i="12"/>
  <c r="AE113" i="12"/>
  <c r="X62" i="12"/>
  <c r="V62" i="12"/>
  <c r="AC190" i="12"/>
  <c r="AY186" i="12"/>
  <c r="AB190" i="12"/>
  <c r="AX186" i="12"/>
  <c r="Y190" i="12"/>
  <c r="W190" i="12"/>
  <c r="BD190" i="12"/>
  <c r="BC190" i="12"/>
  <c r="AI190" i="12"/>
  <c r="S190" i="12"/>
  <c r="AH190" i="12"/>
  <c r="AE190" i="12"/>
  <c r="AS189" i="12"/>
  <c r="AG190" i="12"/>
  <c r="AF190" i="12"/>
  <c r="AT189" i="12"/>
  <c r="AD190" i="12"/>
  <c r="AA190" i="12"/>
  <c r="Z190" i="12"/>
  <c r="X171" i="12"/>
  <c r="V171" i="12"/>
  <c r="AH51" i="12"/>
  <c r="AC51" i="12"/>
  <c r="AB51" i="12"/>
  <c r="AT50" i="12"/>
  <c r="BD51" i="12"/>
  <c r="W51" i="12"/>
  <c r="Z51" i="12"/>
  <c r="S51" i="12"/>
  <c r="AY47" i="12"/>
  <c r="AX47" i="12"/>
  <c r="AI51" i="12"/>
  <c r="BC51" i="12"/>
  <c r="AG51" i="12"/>
  <c r="AD51" i="12"/>
  <c r="AF51" i="12"/>
  <c r="AA51" i="12"/>
  <c r="Y51" i="12"/>
  <c r="AS50" i="12"/>
  <c r="AE51" i="12"/>
  <c r="X83" i="12"/>
  <c r="V83" i="12"/>
  <c r="AD25" i="12"/>
  <c r="AB25" i="12"/>
  <c r="AX21" i="12"/>
  <c r="Z25" i="12"/>
  <c r="AT24" i="12"/>
  <c r="BD25" i="12"/>
  <c r="Y25" i="12"/>
  <c r="AS24" i="12"/>
  <c r="BC25" i="12"/>
  <c r="W25" i="12"/>
  <c r="AY21" i="12"/>
  <c r="S25" i="12"/>
  <c r="AI25" i="12"/>
  <c r="AG25" i="12"/>
  <c r="AF25" i="12"/>
  <c r="AA25" i="12"/>
  <c r="AH25" i="12"/>
  <c r="AE25" i="12"/>
  <c r="AC25" i="12"/>
  <c r="AC80" i="12"/>
  <c r="AY76" i="12"/>
  <c r="W80" i="12"/>
  <c r="AG80" i="12"/>
  <c r="S80" i="12"/>
  <c r="Z80" i="12"/>
  <c r="Y80" i="12"/>
  <c r="BD80" i="12"/>
  <c r="BC80" i="12"/>
  <c r="AF80" i="12"/>
  <c r="AE80" i="12"/>
  <c r="AD80" i="12"/>
  <c r="AB80" i="12"/>
  <c r="AA80" i="12"/>
  <c r="AI80" i="12"/>
  <c r="AT79" i="12"/>
  <c r="AS79" i="12"/>
  <c r="AH80" i="12"/>
  <c r="AX76" i="12"/>
  <c r="AB31" i="12"/>
  <c r="AX27" i="12"/>
  <c r="AE31" i="12"/>
  <c r="AC31" i="12"/>
  <c r="Z31" i="12"/>
  <c r="AS30" i="12"/>
  <c r="Y31" i="12"/>
  <c r="AY27" i="12"/>
  <c r="BD31" i="12"/>
  <c r="W31" i="12"/>
  <c r="AH31" i="12"/>
  <c r="AG31" i="12"/>
  <c r="BC31" i="12"/>
  <c r="AF31" i="12"/>
  <c r="AD31" i="12"/>
  <c r="S31" i="12"/>
  <c r="AT30" i="12"/>
  <c r="AI31" i="12"/>
  <c r="AA31" i="12"/>
  <c r="X176" i="12"/>
  <c r="V176" i="12"/>
  <c r="V124" i="12"/>
  <c r="X124" i="12"/>
  <c r="W70" i="12"/>
  <c r="AE70" i="12"/>
  <c r="AD70" i="12"/>
  <c r="AA70" i="12"/>
  <c r="S70" i="12"/>
  <c r="AC70" i="12"/>
  <c r="AT69" i="12"/>
  <c r="AI70" i="12"/>
  <c r="AS69" i="12"/>
  <c r="AH70" i="12"/>
  <c r="AG70" i="12"/>
  <c r="BD70" i="12"/>
  <c r="AF70" i="12"/>
  <c r="BC70" i="12"/>
  <c r="AB70" i="12"/>
  <c r="AY66" i="12"/>
  <c r="Z70" i="12"/>
  <c r="AX66" i="12"/>
  <c r="Y70" i="12"/>
  <c r="X112" i="12"/>
  <c r="V112" i="12"/>
  <c r="X107" i="12"/>
  <c r="V107" i="12"/>
  <c r="AH44" i="12"/>
  <c r="AG44" i="12"/>
  <c r="S44" i="12"/>
  <c r="AI44" i="12"/>
  <c r="AE44" i="12"/>
  <c r="AC44" i="12"/>
  <c r="AS43" i="12"/>
  <c r="AB44" i="12"/>
  <c r="AA44" i="12"/>
  <c r="Z44" i="12"/>
  <c r="BD44" i="12"/>
  <c r="AX40" i="12"/>
  <c r="AF44" i="12"/>
  <c r="AY40" i="12"/>
  <c r="AD44" i="12"/>
  <c r="Y44" i="12"/>
  <c r="W44" i="12"/>
  <c r="BC44" i="12"/>
  <c r="AT43" i="12"/>
  <c r="AG30" i="12"/>
  <c r="S30" i="12"/>
  <c r="AH30" i="12"/>
  <c r="AE30" i="12"/>
  <c r="AC30" i="12"/>
  <c r="AB30" i="12"/>
  <c r="AT29" i="12"/>
  <c r="AA30" i="12"/>
  <c r="AS29" i="12"/>
  <c r="Z30" i="12"/>
  <c r="AY26" i="12"/>
  <c r="AI30" i="12"/>
  <c r="AF30" i="12"/>
  <c r="AD30" i="12"/>
  <c r="BD30" i="12"/>
  <c r="Y30" i="12"/>
  <c r="W30" i="12"/>
  <c r="AX26" i="12"/>
  <c r="BC30" i="12"/>
  <c r="AI175" i="12"/>
  <c r="BC175" i="12"/>
  <c r="AH175" i="12"/>
  <c r="AY171" i="12"/>
  <c r="AG175" i="12"/>
  <c r="AX171" i="12"/>
  <c r="AF175" i="12"/>
  <c r="AE175" i="12"/>
  <c r="AD175" i="12"/>
  <c r="AC175" i="12"/>
  <c r="AB175" i="12"/>
  <c r="AT174" i="12"/>
  <c r="AA175" i="12"/>
  <c r="AS174" i="12"/>
  <c r="Z175" i="12"/>
  <c r="Y175" i="12"/>
  <c r="BD175" i="12"/>
  <c r="W175" i="12"/>
  <c r="S175" i="12"/>
  <c r="AA164" i="12"/>
  <c r="Z164" i="12"/>
  <c r="AT163" i="12"/>
  <c r="BD164" i="12"/>
  <c r="Y164" i="12"/>
  <c r="AS163" i="12"/>
  <c r="BC164" i="12"/>
  <c r="W164" i="12"/>
  <c r="AI164" i="12"/>
  <c r="AH164" i="12"/>
  <c r="AE164" i="12"/>
  <c r="AF164" i="12"/>
  <c r="AD164" i="12"/>
  <c r="AY160" i="12"/>
  <c r="AC164" i="12"/>
  <c r="AX160" i="12"/>
  <c r="AB164" i="12"/>
  <c r="S164" i="12"/>
  <c r="AG164" i="12"/>
  <c r="V165" i="12"/>
  <c r="X165" i="12"/>
  <c r="V140" i="12"/>
  <c r="X140" i="12"/>
  <c r="X146" i="12"/>
  <c r="V146" i="12"/>
  <c r="AG98" i="12"/>
  <c r="S98" i="12"/>
  <c r="AF98" i="12"/>
  <c r="AC98" i="12"/>
  <c r="W98" i="12"/>
  <c r="AX94" i="12"/>
  <c r="BD98" i="12"/>
  <c r="BC98" i="12"/>
  <c r="AI98" i="12"/>
  <c r="AH98" i="12"/>
  <c r="AT97" i="12"/>
  <c r="AE98" i="12"/>
  <c r="AS97" i="12"/>
  <c r="AB98" i="12"/>
  <c r="AA98" i="12"/>
  <c r="AD98" i="12"/>
  <c r="Y98" i="12"/>
  <c r="AY94" i="12"/>
  <c r="Z98" i="12"/>
  <c r="AA88" i="12"/>
  <c r="Z88" i="12"/>
  <c r="AT87" i="12"/>
  <c r="AD88" i="12"/>
  <c r="AS87" i="12"/>
  <c r="AC88" i="12"/>
  <c r="BD88" i="12"/>
  <c r="AH88" i="12"/>
  <c r="Y88" i="12"/>
  <c r="AY84" i="12"/>
  <c r="AX84" i="12"/>
  <c r="AI88" i="12"/>
  <c r="AG88" i="12"/>
  <c r="AF88" i="12"/>
  <c r="AE88" i="12"/>
  <c r="AB88" i="12"/>
  <c r="W88" i="12"/>
  <c r="BC88" i="12"/>
  <c r="S88" i="12"/>
  <c r="V48" i="12"/>
  <c r="X48" i="12"/>
  <c r="AI92" i="12"/>
  <c r="AH92" i="12"/>
  <c r="AD92" i="12"/>
  <c r="AC92" i="12"/>
  <c r="AT91" i="12"/>
  <c r="Z92" i="12"/>
  <c r="W92" i="12"/>
  <c r="BC92" i="12"/>
  <c r="AG92" i="12"/>
  <c r="AF92" i="12"/>
  <c r="AY88" i="12"/>
  <c r="S92" i="12"/>
  <c r="AE92" i="12"/>
  <c r="AB92" i="12"/>
  <c r="AA92" i="12"/>
  <c r="Y92" i="12"/>
  <c r="BD92" i="12"/>
  <c r="AS91" i="12"/>
  <c r="AX88" i="12"/>
  <c r="AF87" i="12"/>
  <c r="AE87" i="12"/>
  <c r="AB87" i="12"/>
  <c r="AT86" i="12"/>
  <c r="AA87" i="12"/>
  <c r="AS86" i="12"/>
  <c r="BD87" i="12"/>
  <c r="AH87" i="12"/>
  <c r="AG87" i="12"/>
  <c r="BC87" i="12"/>
  <c r="AD87" i="12"/>
  <c r="W87" i="12"/>
  <c r="AI87" i="12"/>
  <c r="AC87" i="12"/>
  <c r="Z87" i="12"/>
  <c r="Y87" i="12"/>
  <c r="S87" i="12"/>
  <c r="AY83" i="12"/>
  <c r="AX83" i="12"/>
  <c r="V36" i="12"/>
  <c r="X36" i="12"/>
  <c r="V58" i="12"/>
  <c r="X58" i="12"/>
  <c r="O4" i="9"/>
  <c r="M3" i="9"/>
  <c r="K2" i="9"/>
  <c r="I1" i="9"/>
  <c r="J4" i="9"/>
  <c r="H3" i="9"/>
  <c r="R1" i="9"/>
  <c r="I4" i="9"/>
  <c r="G3" i="9"/>
  <c r="Q1" i="9"/>
  <c r="H4" i="9"/>
  <c r="R2" i="9"/>
  <c r="P1" i="9"/>
  <c r="L4" i="9"/>
  <c r="O2" i="9"/>
  <c r="H1" i="9"/>
  <c r="K4" i="9"/>
  <c r="N2" i="9"/>
  <c r="G1" i="9"/>
  <c r="G4" i="9"/>
  <c r="M2" i="9"/>
  <c r="R3" i="9"/>
  <c r="L2" i="9"/>
  <c r="Q3" i="9"/>
  <c r="J2" i="9"/>
  <c r="P3" i="9"/>
  <c r="I2" i="9"/>
  <c r="O3" i="9"/>
  <c r="H2" i="9"/>
  <c r="R4" i="9"/>
  <c r="K3" i="9"/>
  <c r="N1" i="9"/>
  <c r="Q4" i="9"/>
  <c r="J3" i="9"/>
  <c r="M1" i="9"/>
  <c r="N4" i="9"/>
  <c r="Q2" i="9"/>
  <c r="K1" i="9"/>
  <c r="P4" i="9"/>
  <c r="M4" i="9"/>
  <c r="N3" i="9"/>
  <c r="L3" i="9"/>
  <c r="I3" i="9"/>
  <c r="P2" i="9"/>
  <c r="G2" i="9"/>
  <c r="O1" i="9"/>
  <c r="L1" i="9"/>
  <c r="J1" i="9"/>
  <c r="H2" i="10"/>
  <c r="I1" i="10"/>
  <c r="S2" i="10"/>
  <c r="T1" i="10"/>
  <c r="R2" i="10"/>
  <c r="S1" i="10"/>
  <c r="N2" i="10"/>
  <c r="L1" i="10"/>
  <c r="M2" i="10"/>
  <c r="K1" i="10"/>
  <c r="L2" i="10"/>
  <c r="J1" i="10"/>
  <c r="K2" i="10"/>
  <c r="H1" i="10"/>
  <c r="I2" i="10"/>
  <c r="G2" i="10"/>
  <c r="U1" i="10"/>
  <c r="R1" i="10"/>
  <c r="U2" i="10"/>
  <c r="Q1" i="10"/>
  <c r="T2" i="10"/>
  <c r="Q2" i="10"/>
  <c r="P2" i="10"/>
  <c r="O2" i="10"/>
  <c r="J2" i="10"/>
  <c r="O1" i="10"/>
  <c r="N1" i="10"/>
  <c r="M1" i="10"/>
  <c r="P1" i="10"/>
  <c r="G1" i="10"/>
  <c r="CD280" i="5"/>
  <c r="BX280" i="5"/>
  <c r="Y281" i="4"/>
  <c r="CD265" i="5"/>
  <c r="BX265" i="5"/>
  <c r="Y266" i="4"/>
  <c r="W266" i="4" s="1"/>
  <c r="CD287" i="5"/>
  <c r="BX287" i="5"/>
  <c r="Y288" i="4"/>
  <c r="BX308" i="5"/>
  <c r="CD308" i="5"/>
  <c r="Y309" i="4"/>
  <c r="AN308" i="12"/>
  <c r="AK308" i="12"/>
  <c r="AK254" i="12"/>
  <c r="AN254" i="12"/>
  <c r="BX295" i="5"/>
  <c r="Y296" i="4"/>
  <c r="CD295" i="5"/>
  <c r="G249" i="4"/>
  <c r="K249" i="4" s="1"/>
  <c r="AZ249" i="4"/>
  <c r="J249" i="4"/>
  <c r="BF312" i="4"/>
  <c r="CD262" i="5"/>
  <c r="BX262" i="5"/>
  <c r="Y263" i="4"/>
  <c r="W263" i="4" s="1"/>
  <c r="O304" i="12"/>
  <c r="BF309" i="4"/>
  <c r="O309" i="4"/>
  <c r="O277" i="12"/>
  <c r="BF282" i="4"/>
  <c r="O282" i="4"/>
  <c r="P247" i="4"/>
  <c r="O303" i="12"/>
  <c r="O308" i="4"/>
  <c r="BF308" i="4"/>
  <c r="L239" i="4"/>
  <c r="BF239" i="4"/>
  <c r="AN306" i="12"/>
  <c r="AK306" i="12"/>
  <c r="BG258" i="4"/>
  <c r="L233" i="4"/>
  <c r="BG233" i="4" s="1"/>
  <c r="Q251" i="12"/>
  <c r="AA255" i="5"/>
  <c r="Y255" i="5" s="1"/>
  <c r="Q256" i="4"/>
  <c r="BK256" i="4"/>
  <c r="BJ256" i="4"/>
  <c r="AN246" i="12"/>
  <c r="AK246" i="12"/>
  <c r="BJ228" i="4"/>
  <c r="L221" i="4"/>
  <c r="BG221" i="4" s="1"/>
  <c r="AN252" i="12"/>
  <c r="AK252" i="12"/>
  <c r="AK245" i="12"/>
  <c r="AN245" i="12"/>
  <c r="AK241" i="12"/>
  <c r="AN241" i="12"/>
  <c r="G235" i="4"/>
  <c r="J235" i="4"/>
  <c r="AZ235" i="4"/>
  <c r="R271" i="12"/>
  <c r="AM271" i="12"/>
  <c r="AJ271" i="12"/>
  <c r="Q230" i="12"/>
  <c r="AA234" i="5"/>
  <c r="Y234" i="5" s="1"/>
  <c r="Q235" i="4"/>
  <c r="AZ267" i="4"/>
  <c r="G267" i="4"/>
  <c r="J267" i="4"/>
  <c r="Q232" i="12"/>
  <c r="AA236" i="5"/>
  <c r="Y236" i="5" s="1"/>
  <c r="BJ237" i="4"/>
  <c r="Q237" i="4"/>
  <c r="AY259" i="4"/>
  <c r="AZ264" i="4"/>
  <c r="G264" i="4"/>
  <c r="BA252" i="4"/>
  <c r="K252" i="4"/>
  <c r="AZ253" i="4"/>
  <c r="G253" i="4"/>
  <c r="J253" i="4"/>
  <c r="BA231" i="4"/>
  <c r="G231" i="4"/>
  <c r="AI224" i="4"/>
  <c r="P224" i="4"/>
  <c r="Q215" i="12"/>
  <c r="AL225" i="12" s="1"/>
  <c r="AA219" i="5"/>
  <c r="Y219" i="5" s="1"/>
  <c r="Q220" i="4"/>
  <c r="K213" i="4"/>
  <c r="AN208" i="12"/>
  <c r="AK208" i="12"/>
  <c r="K246" i="4"/>
  <c r="BA246" i="4"/>
  <c r="G246" i="4"/>
  <c r="Q266" i="12"/>
  <c r="AA270" i="5"/>
  <c r="Y270" i="5" s="1"/>
  <c r="Q271" i="4"/>
  <c r="BG227" i="4"/>
  <c r="L262" i="4"/>
  <c r="BF262" i="4"/>
  <c r="K220" i="4"/>
  <c r="BA220" i="4"/>
  <c r="Q263" i="12"/>
  <c r="AO264" i="12" s="1"/>
  <c r="AA267" i="5"/>
  <c r="Y267" i="5" s="1"/>
  <c r="Q268" i="4"/>
  <c r="AA150" i="12"/>
  <c r="AI150" i="12"/>
  <c r="AH150" i="12"/>
  <c r="AE150" i="12"/>
  <c r="AF150" i="12"/>
  <c r="AT149" i="12"/>
  <c r="AD150" i="12"/>
  <c r="AS149" i="12"/>
  <c r="AC150" i="12"/>
  <c r="AY146" i="12"/>
  <c r="AB150" i="12"/>
  <c r="AX146" i="12"/>
  <c r="Z150" i="12"/>
  <c r="Y150" i="12"/>
  <c r="W150" i="12"/>
  <c r="S150" i="12"/>
  <c r="BD150" i="12"/>
  <c r="BC150" i="12"/>
  <c r="AG150" i="12"/>
  <c r="W194" i="12"/>
  <c r="AG194" i="12"/>
  <c r="S194" i="12"/>
  <c r="Z194" i="12"/>
  <c r="AI194" i="12"/>
  <c r="BD194" i="12"/>
  <c r="AH194" i="12"/>
  <c r="AD194" i="12"/>
  <c r="AS193" i="12"/>
  <c r="AY190" i="12"/>
  <c r="AF194" i="12"/>
  <c r="AX190" i="12"/>
  <c r="AE194" i="12"/>
  <c r="AC194" i="12"/>
  <c r="AB194" i="12"/>
  <c r="AA194" i="12"/>
  <c r="BC194" i="12"/>
  <c r="Y194" i="12"/>
  <c r="AT193" i="12"/>
  <c r="AC168" i="12"/>
  <c r="AB168" i="12"/>
  <c r="AD168" i="12"/>
  <c r="AT167" i="12"/>
  <c r="AA168" i="12"/>
  <c r="AS167" i="12"/>
  <c r="Z168" i="12"/>
  <c r="Y168" i="12"/>
  <c r="W168" i="12"/>
  <c r="AY164" i="12"/>
  <c r="BD168" i="12"/>
  <c r="AX164" i="12"/>
  <c r="BC168" i="12"/>
  <c r="AI168" i="12"/>
  <c r="S168" i="12"/>
  <c r="AH168" i="12"/>
  <c r="AG168" i="12"/>
  <c r="AF168" i="12"/>
  <c r="AE168" i="12"/>
  <c r="X152" i="12"/>
  <c r="V152" i="12"/>
  <c r="BC169" i="12"/>
  <c r="W169" i="12"/>
  <c r="AE169" i="12"/>
  <c r="AD169" i="12"/>
  <c r="AT168" i="12"/>
  <c r="AY165" i="12"/>
  <c r="AC169" i="12"/>
  <c r="AS168" i="12"/>
  <c r="AX165" i="12"/>
  <c r="AB169" i="12"/>
  <c r="AA169" i="12"/>
  <c r="Z169" i="12"/>
  <c r="Y169" i="12"/>
  <c r="BD169" i="12"/>
  <c r="AI169" i="12"/>
  <c r="S169" i="12"/>
  <c r="AH169" i="12"/>
  <c r="AG169" i="12"/>
  <c r="AF169" i="12"/>
  <c r="X32" i="12"/>
  <c r="V32" i="12"/>
  <c r="AB193" i="12"/>
  <c r="AX189" i="12"/>
  <c r="AA193" i="12"/>
  <c r="BC193" i="12"/>
  <c r="BD193" i="12"/>
  <c r="AI193" i="12"/>
  <c r="AG193" i="12"/>
  <c r="AF193" i="12"/>
  <c r="AT192" i="12"/>
  <c r="AE193" i="12"/>
  <c r="AS192" i="12"/>
  <c r="AD193" i="12"/>
  <c r="Y193" i="12"/>
  <c r="W193" i="12"/>
  <c r="S193" i="12"/>
  <c r="AY189" i="12"/>
  <c r="AH193" i="12"/>
  <c r="AC193" i="12"/>
  <c r="Z193" i="12"/>
  <c r="G14" i="16"/>
  <c r="K14" i="16" s="1"/>
  <c r="F14" i="16"/>
  <c r="J14" i="16" s="1"/>
  <c r="V49" i="12"/>
  <c r="X49" i="12"/>
  <c r="AH95" i="12"/>
  <c r="AG95" i="12"/>
  <c r="S95" i="12"/>
  <c r="AI95" i="12"/>
  <c r="AF95" i="12"/>
  <c r="AD95" i="12"/>
  <c r="AT94" i="12"/>
  <c r="AC95" i="12"/>
  <c r="AS94" i="12"/>
  <c r="AA95" i="12"/>
  <c r="Z95" i="12"/>
  <c r="W95" i="12"/>
  <c r="BC95" i="12"/>
  <c r="BD95" i="12"/>
  <c r="AY91" i="12"/>
  <c r="AX91" i="12"/>
  <c r="AB95" i="12"/>
  <c r="AE95" i="12"/>
  <c r="Y95" i="12"/>
  <c r="M8" i="17"/>
  <c r="N8" i="17" s="1"/>
  <c r="AH181" i="12"/>
  <c r="AG181" i="12"/>
  <c r="S181" i="12"/>
  <c r="AD181" i="12"/>
  <c r="BD181" i="12"/>
  <c r="BC181" i="12"/>
  <c r="AI181" i="12"/>
  <c r="AF181" i="12"/>
  <c r="AT180" i="12"/>
  <c r="AE181" i="12"/>
  <c r="AS180" i="12"/>
  <c r="AY177" i="12"/>
  <c r="AC181" i="12"/>
  <c r="AX177" i="12"/>
  <c r="AB181" i="12"/>
  <c r="AA181" i="12"/>
  <c r="Z181" i="12"/>
  <c r="Y181" i="12"/>
  <c r="W181" i="12"/>
  <c r="AI178" i="12"/>
  <c r="AH178" i="12"/>
  <c r="AE178" i="12"/>
  <c r="Z178" i="12"/>
  <c r="Y178" i="12"/>
  <c r="AY174" i="12"/>
  <c r="W178" i="12"/>
  <c r="AX174" i="12"/>
  <c r="S178" i="12"/>
  <c r="BD178" i="12"/>
  <c r="BC178" i="12"/>
  <c r="AG178" i="12"/>
  <c r="AF178" i="12"/>
  <c r="AD178" i="12"/>
  <c r="AT177" i="12"/>
  <c r="AA178" i="12"/>
  <c r="AS177" i="12"/>
  <c r="AC178" i="12"/>
  <c r="AB178" i="12"/>
  <c r="BD50" i="12"/>
  <c r="AF50" i="12"/>
  <c r="AE50" i="12"/>
  <c r="Z50" i="12"/>
  <c r="AY46" i="12"/>
  <c r="S50" i="12"/>
  <c r="AX46" i="12"/>
  <c r="BC50" i="12"/>
  <c r="AI50" i="12"/>
  <c r="AH50" i="12"/>
  <c r="AG50" i="12"/>
  <c r="AD50" i="12"/>
  <c r="AB50" i="12"/>
  <c r="AS49" i="12"/>
  <c r="AC50" i="12"/>
  <c r="AA50" i="12"/>
  <c r="Y50" i="12"/>
  <c r="W50" i="12"/>
  <c r="AT49" i="12"/>
  <c r="BC15" i="12"/>
  <c r="AF15" i="12"/>
  <c r="AE15" i="12"/>
  <c r="S15" i="12"/>
  <c r="BD15" i="12"/>
  <c r="AI15" i="12"/>
  <c r="AD15" i="12"/>
  <c r="AT14" i="12"/>
  <c r="AA15" i="12"/>
  <c r="AH15" i="12"/>
  <c r="AG15" i="12"/>
  <c r="AC15" i="12"/>
  <c r="AB15" i="12"/>
  <c r="Z15" i="12"/>
  <c r="Y15" i="12"/>
  <c r="W15" i="12"/>
  <c r="AS14" i="12"/>
  <c r="AY11" i="12"/>
  <c r="AX11" i="12"/>
  <c r="J84" i="20"/>
  <c r="BB84" i="20"/>
  <c r="AE202" i="12"/>
  <c r="AD202" i="12"/>
  <c r="BD202" i="12"/>
  <c r="Y202" i="12"/>
  <c r="AS201" i="12"/>
  <c r="BC202" i="12"/>
  <c r="AI202" i="12"/>
  <c r="AB202" i="12"/>
  <c r="AA202" i="12"/>
  <c r="Z202" i="12"/>
  <c r="S202" i="12"/>
  <c r="AY198" i="12"/>
  <c r="AH202" i="12"/>
  <c r="AX198" i="12"/>
  <c r="AG202" i="12"/>
  <c r="AT201" i="12"/>
  <c r="AF202" i="12"/>
  <c r="AC202" i="12"/>
  <c r="W202" i="12"/>
  <c r="V177" i="12"/>
  <c r="X177" i="12"/>
  <c r="AI200" i="12"/>
  <c r="AH200" i="12"/>
  <c r="AE200" i="12"/>
  <c r="AD200" i="12"/>
  <c r="AT199" i="12"/>
  <c r="AB200" i="12"/>
  <c r="AY196" i="12"/>
  <c r="Z200" i="12"/>
  <c r="Y200" i="12"/>
  <c r="W200" i="12"/>
  <c r="AA200" i="12"/>
  <c r="BD200" i="12"/>
  <c r="S200" i="12"/>
  <c r="AX196" i="12"/>
  <c r="BC200" i="12"/>
  <c r="AS199" i="12"/>
  <c r="AF200" i="12"/>
  <c r="AC200" i="12"/>
  <c r="AG200" i="12"/>
  <c r="AB161" i="12"/>
  <c r="AX157" i="12"/>
  <c r="AA161" i="12"/>
  <c r="Z161" i="12"/>
  <c r="AT160" i="12"/>
  <c r="BD161" i="12"/>
  <c r="Y161" i="12"/>
  <c r="AS160" i="12"/>
  <c r="BC161" i="12"/>
  <c r="W161" i="12"/>
  <c r="AI161" i="12"/>
  <c r="AF161" i="12"/>
  <c r="AC161" i="12"/>
  <c r="AY157" i="12"/>
  <c r="S161" i="12"/>
  <c r="AH161" i="12"/>
  <c r="AG161" i="12"/>
  <c r="AE161" i="12"/>
  <c r="AD161" i="12"/>
  <c r="AE148" i="12"/>
  <c r="AD148" i="12"/>
  <c r="AA148" i="12"/>
  <c r="W148" i="12"/>
  <c r="BD148" i="12"/>
  <c r="BC148" i="12"/>
  <c r="S148" i="12"/>
  <c r="AI148" i="12"/>
  <c r="AH148" i="12"/>
  <c r="AG148" i="12"/>
  <c r="AF148" i="12"/>
  <c r="AT147" i="12"/>
  <c r="AC148" i="12"/>
  <c r="AS147" i="12"/>
  <c r="AY144" i="12"/>
  <c r="AB148" i="12"/>
  <c r="AX144" i="12"/>
  <c r="Z148" i="12"/>
  <c r="Y148" i="12"/>
  <c r="AD179" i="12"/>
  <c r="AC179" i="12"/>
  <c r="AY175" i="12"/>
  <c r="Z179" i="12"/>
  <c r="AT178" i="12"/>
  <c r="AE179" i="12"/>
  <c r="AB179" i="12"/>
  <c r="AA179" i="12"/>
  <c r="AX175" i="12"/>
  <c r="Y179" i="12"/>
  <c r="W179" i="12"/>
  <c r="BD179" i="12"/>
  <c r="BC179" i="12"/>
  <c r="S179" i="12"/>
  <c r="AI179" i="12"/>
  <c r="AS178" i="12"/>
  <c r="AH179" i="12"/>
  <c r="AG179" i="12"/>
  <c r="AF179" i="12"/>
  <c r="AG130" i="12"/>
  <c r="S130" i="12"/>
  <c r="AD130" i="12"/>
  <c r="AC130" i="12"/>
  <c r="AY126" i="12"/>
  <c r="AB130" i="12"/>
  <c r="AX126" i="12"/>
  <c r="AA130" i="12"/>
  <c r="Z130" i="12"/>
  <c r="AT129" i="12"/>
  <c r="BC130" i="12"/>
  <c r="W130" i="12"/>
  <c r="AI130" i="12"/>
  <c r="AH130" i="12"/>
  <c r="AF130" i="12"/>
  <c r="AE130" i="12"/>
  <c r="Y130" i="12"/>
  <c r="AS129" i="12"/>
  <c r="BD130" i="12"/>
  <c r="BC111" i="12"/>
  <c r="W111" i="12"/>
  <c r="AH111" i="12"/>
  <c r="S111" i="12"/>
  <c r="AI111" i="12"/>
  <c r="BD111" i="12"/>
  <c r="AG111" i="12"/>
  <c r="AF111" i="12"/>
  <c r="AT110" i="12"/>
  <c r="AY107" i="12"/>
  <c r="AE111" i="12"/>
  <c r="AS110" i="12"/>
  <c r="AX107" i="12"/>
  <c r="AD111" i="12"/>
  <c r="AC111" i="12"/>
  <c r="AA111" i="12"/>
  <c r="Z111" i="12"/>
  <c r="AB111" i="12"/>
  <c r="Y111" i="12"/>
  <c r="AH139" i="12"/>
  <c r="AG139" i="12"/>
  <c r="S139" i="12"/>
  <c r="AD139" i="12"/>
  <c r="BC139" i="12"/>
  <c r="AI139" i="12"/>
  <c r="AF139" i="12"/>
  <c r="AT138" i="12"/>
  <c r="AE139" i="12"/>
  <c r="AS138" i="12"/>
  <c r="AC139" i="12"/>
  <c r="AB139" i="12"/>
  <c r="AA139" i="12"/>
  <c r="AY135" i="12"/>
  <c r="Z139" i="12"/>
  <c r="Y139" i="12"/>
  <c r="W139" i="12"/>
  <c r="AX135" i="12"/>
  <c r="BD139" i="12"/>
  <c r="AF57" i="12"/>
  <c r="AE57" i="12"/>
  <c r="AD57" i="12"/>
  <c r="Y57" i="12"/>
  <c r="AX53" i="12"/>
  <c r="BC57" i="12"/>
  <c r="AI57" i="12"/>
  <c r="AT56" i="12"/>
  <c r="AG57" i="12"/>
  <c r="AC57" i="12"/>
  <c r="AB57" i="12"/>
  <c r="AA57" i="12"/>
  <c r="Z57" i="12"/>
  <c r="W57" i="12"/>
  <c r="AY53" i="12"/>
  <c r="S57" i="12"/>
  <c r="BD57" i="12"/>
  <c r="AS56" i="12"/>
  <c r="AH57" i="12"/>
  <c r="AB85" i="12"/>
  <c r="AX81" i="12"/>
  <c r="AA85" i="12"/>
  <c r="AC85" i="12"/>
  <c r="AS84" i="12"/>
  <c r="Z85" i="12"/>
  <c r="BD85" i="12"/>
  <c r="BC85" i="12"/>
  <c r="AG85" i="12"/>
  <c r="AI85" i="12"/>
  <c r="Y85" i="12"/>
  <c r="AT84" i="12"/>
  <c r="AY81" i="12"/>
  <c r="AH85" i="12"/>
  <c r="AF85" i="12"/>
  <c r="AE85" i="12"/>
  <c r="S85" i="12"/>
  <c r="AD85" i="12"/>
  <c r="W85" i="12"/>
  <c r="Z91" i="12"/>
  <c r="AT90" i="12"/>
  <c r="BD91" i="12"/>
  <c r="Y91" i="12"/>
  <c r="AS90" i="12"/>
  <c r="AD91" i="12"/>
  <c r="AC91" i="12"/>
  <c r="AH91" i="12"/>
  <c r="AI91" i="12"/>
  <c r="AA91" i="12"/>
  <c r="W91" i="12"/>
  <c r="AF91" i="12"/>
  <c r="AE91" i="12"/>
  <c r="AB91" i="12"/>
  <c r="BC91" i="12"/>
  <c r="S91" i="12"/>
  <c r="AY87" i="12"/>
  <c r="AX87" i="12"/>
  <c r="AG91" i="12"/>
  <c r="Z105" i="12"/>
  <c r="AT104" i="12"/>
  <c r="BD105" i="12"/>
  <c r="Y105" i="12"/>
  <c r="AS104" i="12"/>
  <c r="AE105" i="12"/>
  <c r="AD105" i="12"/>
  <c r="AC105" i="12"/>
  <c r="AB105" i="12"/>
  <c r="AY101" i="12"/>
  <c r="AA105" i="12"/>
  <c r="AX101" i="12"/>
  <c r="W105" i="12"/>
  <c r="S105" i="12"/>
  <c r="BC105" i="12"/>
  <c r="AI105" i="12"/>
  <c r="AF105" i="12"/>
  <c r="AH105" i="12"/>
  <c r="AG105" i="12"/>
  <c r="X26" i="12"/>
  <c r="V26" i="12"/>
  <c r="AA34" i="12"/>
  <c r="AY30" i="12"/>
  <c r="BC34" i="12"/>
  <c r="AI34" i="12"/>
  <c r="AH34" i="12"/>
  <c r="S34" i="12"/>
  <c r="AG34" i="12"/>
  <c r="AF34" i="12"/>
  <c r="AD34" i="12"/>
  <c r="AC34" i="12"/>
  <c r="BD34" i="12"/>
  <c r="AB34" i="12"/>
  <c r="Z34" i="12"/>
  <c r="W34" i="12"/>
  <c r="AT33" i="12"/>
  <c r="AS33" i="12"/>
  <c r="AX30" i="12"/>
  <c r="AE34" i="12"/>
  <c r="Y34" i="12"/>
  <c r="X23" i="12"/>
  <c r="V23" i="12"/>
  <c r="AD7" i="12"/>
  <c r="AC7" i="12"/>
  <c r="AY3" i="12"/>
  <c r="W7" i="12"/>
  <c r="AE7" i="12"/>
  <c r="AT6" i="12"/>
  <c r="BD7" i="12"/>
  <c r="AG7" i="12"/>
  <c r="BC7" i="12"/>
  <c r="AF7" i="12"/>
  <c r="AB7" i="12"/>
  <c r="AA7" i="12"/>
  <c r="Z7" i="12"/>
  <c r="Y7" i="12"/>
  <c r="S7" i="12"/>
  <c r="AX3" i="12"/>
  <c r="AS6" i="12"/>
  <c r="AI7" i="12"/>
  <c r="AH7" i="12"/>
  <c r="V21" i="12"/>
  <c r="X21" i="12"/>
  <c r="V35" i="12"/>
  <c r="X35" i="12"/>
  <c r="BD12" i="12"/>
  <c r="Y12" i="12"/>
  <c r="AS11" i="12"/>
  <c r="AG12" i="12"/>
  <c r="S12" i="12"/>
  <c r="AF12" i="12"/>
  <c r="AB12" i="12"/>
  <c r="AA12" i="12"/>
  <c r="Z12" i="12"/>
  <c r="BC12" i="12"/>
  <c r="AI12" i="12"/>
  <c r="AH12" i="12"/>
  <c r="AY8" i="12"/>
  <c r="AE12" i="12"/>
  <c r="AX8" i="12"/>
  <c r="AD12" i="12"/>
  <c r="AC12" i="12"/>
  <c r="W12" i="12"/>
  <c r="AT11" i="12"/>
  <c r="Q244" i="12"/>
  <c r="AA248" i="5"/>
  <c r="Y248" i="5" s="1"/>
  <c r="BJ249" i="4"/>
  <c r="Q249" i="4"/>
  <c r="BX305" i="5"/>
  <c r="CD305" i="5"/>
  <c r="Y306" i="4"/>
  <c r="BX318" i="5"/>
  <c r="Y319" i="4"/>
  <c r="CD318" i="5"/>
  <c r="AN295" i="12"/>
  <c r="AK295" i="12"/>
  <c r="AN278" i="12"/>
  <c r="AK278" i="12"/>
  <c r="CD284" i="5"/>
  <c r="BX284" i="5"/>
  <c r="Y285" i="4"/>
  <c r="AU2" i="7"/>
  <c r="AG2" i="7"/>
  <c r="S2" i="7"/>
  <c r="E77" i="15" s="1"/>
  <c r="AT1" i="7"/>
  <c r="AF1" i="7"/>
  <c r="R1" i="7"/>
  <c r="AT2" i="7"/>
  <c r="AF2" i="7"/>
  <c r="R2" i="7"/>
  <c r="AS1" i="7"/>
  <c r="AE1" i="7"/>
  <c r="G75" i="15" s="1"/>
  <c r="Q1" i="7"/>
  <c r="AS2" i="7"/>
  <c r="AE2" i="7"/>
  <c r="H75" i="15" s="1"/>
  <c r="Q2" i="7"/>
  <c r="AR1" i="7"/>
  <c r="AD1" i="7"/>
  <c r="J75" i="15" s="1"/>
  <c r="P1" i="7"/>
  <c r="G80" i="15" s="1"/>
  <c r="AR2" i="7"/>
  <c r="AD2" i="7"/>
  <c r="K75" i="15" s="1"/>
  <c r="P2" i="7"/>
  <c r="H80" i="15" s="1"/>
  <c r="AQ1" i="7"/>
  <c r="AC1" i="7"/>
  <c r="O1" i="7"/>
  <c r="J80" i="15" s="1"/>
  <c r="AN2" i="7"/>
  <c r="E81" i="15" s="1"/>
  <c r="V2" i="7"/>
  <c r="AO1" i="7"/>
  <c r="J81" i="15" s="1"/>
  <c r="W1" i="7"/>
  <c r="AL2" i="7"/>
  <c r="T2" i="7"/>
  <c r="K77" i="15" s="1"/>
  <c r="AM1" i="7"/>
  <c r="U1" i="7"/>
  <c r="G77" i="15" s="1"/>
  <c r="AI2" i="7"/>
  <c r="E79" i="15" s="1"/>
  <c r="M2" i="7"/>
  <c r="AJ1" i="7"/>
  <c r="J79" i="15" s="1"/>
  <c r="N1" i="7"/>
  <c r="AH2" i="7"/>
  <c r="L2" i="7"/>
  <c r="AI1" i="7"/>
  <c r="D79" i="15" s="1"/>
  <c r="M1" i="7"/>
  <c r="AC2" i="7"/>
  <c r="E75" i="15" s="1"/>
  <c r="K2" i="7"/>
  <c r="H78" i="15" s="1"/>
  <c r="AH1" i="7"/>
  <c r="L1" i="7"/>
  <c r="O2" i="7"/>
  <c r="K80" i="15" s="1"/>
  <c r="Z1" i="7"/>
  <c r="G76" i="15" s="1"/>
  <c r="AQ2" i="7"/>
  <c r="N2" i="7"/>
  <c r="E80" i="15" s="1"/>
  <c r="Y1" i="7"/>
  <c r="J76" i="15" s="1"/>
  <c r="AP2" i="7"/>
  <c r="H81" i="15" s="1"/>
  <c r="J2" i="7"/>
  <c r="K78" i="15" s="1"/>
  <c r="X1" i="7"/>
  <c r="D76" i="15" s="1"/>
  <c r="AO2" i="7"/>
  <c r="K81" i="15" s="1"/>
  <c r="I2" i="7"/>
  <c r="E78" i="15" s="1"/>
  <c r="V1" i="7"/>
  <c r="AM2" i="7"/>
  <c r="H2" i="7"/>
  <c r="T1" i="7"/>
  <c r="J77" i="15" s="1"/>
  <c r="AK2" i="7"/>
  <c r="H79" i="15" s="1"/>
  <c r="G2" i="7"/>
  <c r="S1" i="7"/>
  <c r="AJ2" i="7"/>
  <c r="K79" i="15" s="1"/>
  <c r="AU1" i="7"/>
  <c r="K1" i="7"/>
  <c r="G78" i="15" s="1"/>
  <c r="AB2" i="7"/>
  <c r="AP1" i="7"/>
  <c r="G81" i="15" s="1"/>
  <c r="J1" i="7"/>
  <c r="J78" i="15" s="1"/>
  <c r="AA2" i="7"/>
  <c r="AN1" i="7"/>
  <c r="D81" i="15" s="1"/>
  <c r="I1" i="7"/>
  <c r="Z2" i="7"/>
  <c r="H76" i="15" s="1"/>
  <c r="AL1" i="7"/>
  <c r="H1" i="7"/>
  <c r="Y2" i="7"/>
  <c r="K76" i="15" s="1"/>
  <c r="X2" i="7"/>
  <c r="E76" i="15" s="1"/>
  <c r="W2" i="7"/>
  <c r="U2" i="7"/>
  <c r="H77" i="15" s="1"/>
  <c r="AK1" i="7"/>
  <c r="G79" i="15" s="1"/>
  <c r="AG1" i="7"/>
  <c r="AB1" i="7"/>
  <c r="AA1" i="7"/>
  <c r="G1" i="7"/>
  <c r="O274" i="12"/>
  <c r="O279" i="4"/>
  <c r="BF279" i="4"/>
  <c r="CD250" i="5"/>
  <c r="BX250" i="5"/>
  <c r="Y251" i="4"/>
  <c r="W251" i="4" s="1"/>
  <c r="O302" i="12"/>
  <c r="O307" i="4"/>
  <c r="BG307" i="4"/>
  <c r="AN267" i="12"/>
  <c r="AK267" i="12"/>
  <c r="BA256" i="4"/>
  <c r="K256" i="4"/>
  <c r="BF307" i="4"/>
  <c r="Q262" i="12"/>
  <c r="AA266" i="5"/>
  <c r="Y266" i="5" s="1"/>
  <c r="Q267" i="4"/>
  <c r="BJ267" i="4"/>
  <c r="AN270" i="12"/>
  <c r="AK270" i="12"/>
  <c r="Q261" i="12"/>
  <c r="Q266" i="4"/>
  <c r="AA265" i="5"/>
  <c r="Y265" i="5" s="1"/>
  <c r="BJ266" i="4"/>
  <c r="Q267" i="12"/>
  <c r="AA271" i="5"/>
  <c r="Y271" i="5" s="1"/>
  <c r="BJ272" i="4"/>
  <c r="O306" i="12"/>
  <c r="O311" i="4"/>
  <c r="BG311" i="4"/>
  <c r="Q238" i="12"/>
  <c r="AL260" i="12" s="1"/>
  <c r="AA242" i="5"/>
  <c r="Y242" i="5" s="1"/>
  <c r="Q243" i="4"/>
  <c r="BJ243" i="4"/>
  <c r="O239" i="12"/>
  <c r="O244" i="4"/>
  <c r="AA222" i="4"/>
  <c r="Z222" i="4"/>
  <c r="Q254" i="12"/>
  <c r="AA258" i="5"/>
  <c r="Y258" i="5" s="1"/>
  <c r="Q259" i="12"/>
  <c r="AA263" i="5"/>
  <c r="Y263" i="5" s="1"/>
  <c r="BA267" i="4"/>
  <c r="P252" i="4"/>
  <c r="AI252" i="4"/>
  <c r="BK229" i="4"/>
  <c r="AA242" i="4"/>
  <c r="Z242" i="4"/>
  <c r="Q252" i="12"/>
  <c r="AA256" i="5"/>
  <c r="Y256" i="5" s="1"/>
  <c r="Q257" i="4"/>
  <c r="BJ219" i="4"/>
  <c r="K227" i="4"/>
  <c r="J214" i="4"/>
  <c r="A1" i="4"/>
  <c r="Z199" i="12"/>
  <c r="AT198" i="12"/>
  <c r="BD199" i="12"/>
  <c r="Y199" i="12"/>
  <c r="AS198" i="12"/>
  <c r="AB199" i="12"/>
  <c r="AX195" i="12"/>
  <c r="S199" i="12"/>
  <c r="AI199" i="12"/>
  <c r="AF199" i="12"/>
  <c r="AH199" i="12"/>
  <c r="AG199" i="12"/>
  <c r="AE199" i="12"/>
  <c r="AD199" i="12"/>
  <c r="AC199" i="12"/>
  <c r="AA199" i="12"/>
  <c r="AY195" i="12"/>
  <c r="BC199" i="12"/>
  <c r="W199" i="12"/>
  <c r="V121" i="12"/>
  <c r="X121" i="12"/>
  <c r="AF133" i="12"/>
  <c r="AD133" i="12"/>
  <c r="AC133" i="12"/>
  <c r="AY129" i="12"/>
  <c r="AB133" i="12"/>
  <c r="AX129" i="12"/>
  <c r="AA133" i="12"/>
  <c r="Z133" i="12"/>
  <c r="AT132" i="12"/>
  <c r="BD133" i="12"/>
  <c r="Y133" i="12"/>
  <c r="AS132" i="12"/>
  <c r="W133" i="12"/>
  <c r="S133" i="12"/>
  <c r="BC133" i="12"/>
  <c r="AI133" i="12"/>
  <c r="AH133" i="12"/>
  <c r="AE133" i="12"/>
  <c r="AG133" i="12"/>
  <c r="AH27" i="12"/>
  <c r="Y27" i="12"/>
  <c r="BD27" i="12"/>
  <c r="W27" i="12"/>
  <c r="AI27" i="12"/>
  <c r="S27" i="12"/>
  <c r="AY23" i="12"/>
  <c r="AG27" i="12"/>
  <c r="AX23" i="12"/>
  <c r="AF27" i="12"/>
  <c r="AT26" i="12"/>
  <c r="AS26" i="12"/>
  <c r="AE27" i="12"/>
  <c r="AC27" i="12"/>
  <c r="BC27" i="12"/>
  <c r="AB27" i="12"/>
  <c r="AD27" i="12"/>
  <c r="AA27" i="12"/>
  <c r="Z27" i="12"/>
  <c r="X40" i="12"/>
  <c r="V40" i="12"/>
  <c r="X20" i="12"/>
  <c r="V20" i="12"/>
  <c r="AA6" i="12"/>
  <c r="AI6" i="12"/>
  <c r="AH6" i="12"/>
  <c r="S6" i="12"/>
  <c r="BD6" i="12"/>
  <c r="AB6" i="12"/>
  <c r="AX2" i="12"/>
  <c r="AG6" i="12"/>
  <c r="AF6" i="12"/>
  <c r="AE6" i="12"/>
  <c r="AD6" i="12"/>
  <c r="BC6" i="12"/>
  <c r="AC6" i="12"/>
  <c r="Z6" i="12"/>
  <c r="Y6" i="12"/>
  <c r="W6" i="12"/>
  <c r="AT5" i="12"/>
  <c r="AY2" i="12"/>
  <c r="AS5" i="12"/>
  <c r="BX276" i="5"/>
  <c r="Y277" i="4"/>
  <c r="CD276" i="5"/>
  <c r="AN301" i="12"/>
  <c r="AK301" i="12"/>
  <c r="AK247" i="12"/>
  <c r="AN247" i="12"/>
  <c r="AN290" i="12"/>
  <c r="AK290" i="12"/>
  <c r="CD316" i="5"/>
  <c r="BX316" i="5"/>
  <c r="Y317" i="4"/>
  <c r="BX292" i="5"/>
  <c r="Y293" i="4"/>
  <c r="CD292" i="5"/>
  <c r="BD305" i="12"/>
  <c r="Y305" i="12"/>
  <c r="AS304" i="12"/>
  <c r="Z305" i="12"/>
  <c r="W305" i="12"/>
  <c r="BC305" i="12"/>
  <c r="AH305" i="12"/>
  <c r="S305" i="12"/>
  <c r="AG305" i="12"/>
  <c r="AD305" i="12"/>
  <c r="AI305" i="12"/>
  <c r="AF305" i="12"/>
  <c r="AE305" i="12"/>
  <c r="AB305" i="12"/>
  <c r="AY301" i="12"/>
  <c r="AA305" i="12"/>
  <c r="AX301" i="12"/>
  <c r="AT304" i="12"/>
  <c r="AC305" i="12"/>
  <c r="AK311" i="12"/>
  <c r="AN311" i="12"/>
  <c r="O273" i="12"/>
  <c r="O278" i="4"/>
  <c r="BG278" i="4"/>
  <c r="AN220" i="12"/>
  <c r="AK220" i="12"/>
  <c r="R286" i="12"/>
  <c r="BX303" i="5"/>
  <c r="CD303" i="5"/>
  <c r="Y304" i="4"/>
  <c r="AN242" i="12"/>
  <c r="AK242" i="12"/>
  <c r="AK225" i="12"/>
  <c r="AN225" i="12"/>
  <c r="BX317" i="5"/>
  <c r="CD317" i="5"/>
  <c r="Y318" i="4"/>
  <c r="L231" i="4"/>
  <c r="AA216" i="4"/>
  <c r="Z216" i="4"/>
  <c r="O292" i="12"/>
  <c r="O297" i="4"/>
  <c r="BX309" i="5"/>
  <c r="CD309" i="5"/>
  <c r="Y310" i="4"/>
  <c r="BK272" i="4"/>
  <c r="K255" i="4"/>
  <c r="BF311" i="4"/>
  <c r="K243" i="4"/>
  <c r="BA243" i="4"/>
  <c r="K237" i="4"/>
  <c r="BA237" i="4"/>
  <c r="AK218" i="12"/>
  <c r="AN218" i="12"/>
  <c r="AK298" i="12"/>
  <c r="AN298" i="12"/>
  <c r="BJ226" i="4"/>
  <c r="AA271" i="4"/>
  <c r="Z271" i="4"/>
  <c r="BJ248" i="4"/>
  <c r="BK267" i="4"/>
  <c r="AK212" i="12"/>
  <c r="AN212" i="12"/>
  <c r="BF252" i="4"/>
  <c r="L252" i="4"/>
  <c r="K257" i="4"/>
  <c r="BA257" i="4"/>
  <c r="AY219" i="4"/>
  <c r="P243" i="4"/>
  <c r="BK226" i="4"/>
  <c r="BA222" i="4"/>
  <c r="K222" i="4"/>
  <c r="AL248" i="12"/>
  <c r="BK268" i="4"/>
  <c r="AL268" i="12" l="1"/>
  <c r="AO268" i="12"/>
  <c r="G272" i="4"/>
  <c r="BA272" i="4"/>
  <c r="L272" i="4" s="1"/>
  <c r="G93" i="15"/>
  <c r="D93" i="15"/>
  <c r="H93" i="15"/>
  <c r="F93" i="15"/>
  <c r="O225" i="12"/>
  <c r="O230" i="4"/>
  <c r="BF230" i="4"/>
  <c r="O231" i="12"/>
  <c r="O236" i="4"/>
  <c r="BF236" i="4"/>
  <c r="AH286" i="12"/>
  <c r="AG286" i="12"/>
  <c r="S286" i="12"/>
  <c r="AB286" i="12"/>
  <c r="AX282" i="12"/>
  <c r="Y286" i="12"/>
  <c r="W286" i="12"/>
  <c r="AY282" i="12"/>
  <c r="BD286" i="12"/>
  <c r="BC286" i="12"/>
  <c r="AI286" i="12"/>
  <c r="AD286" i="12"/>
  <c r="AF286" i="12"/>
  <c r="AT285" i="12"/>
  <c r="AE286" i="12"/>
  <c r="AS285" i="12"/>
  <c r="AC286" i="12"/>
  <c r="AA286" i="12"/>
  <c r="Z286" i="12"/>
  <c r="X200" i="12"/>
  <c r="V200" i="12"/>
  <c r="X178" i="12"/>
  <c r="V178" i="12"/>
  <c r="X193" i="12"/>
  <c r="V193" i="12"/>
  <c r="X168" i="12"/>
  <c r="V168" i="12"/>
  <c r="AI264" i="4"/>
  <c r="P264" i="4"/>
  <c r="V98" i="12"/>
  <c r="X98" i="12"/>
  <c r="L228" i="4"/>
  <c r="BF228" i="4" s="1"/>
  <c r="L251" i="4"/>
  <c r="BG251" i="4" s="1"/>
  <c r="AO249" i="12"/>
  <c r="AL249" i="12"/>
  <c r="V3" i="12"/>
  <c r="X3" i="12"/>
  <c r="V156" i="12"/>
  <c r="X156" i="12"/>
  <c r="X29" i="12"/>
  <c r="V29" i="12"/>
  <c r="AL209" i="12"/>
  <c r="AO209" i="12"/>
  <c r="AO218" i="12"/>
  <c r="AL218" i="12"/>
  <c r="X198" i="12"/>
  <c r="V198" i="12"/>
  <c r="X170" i="12"/>
  <c r="V170" i="12"/>
  <c r="AL222" i="12"/>
  <c r="AO222" i="12"/>
  <c r="X159" i="12"/>
  <c r="V159" i="12"/>
  <c r="X8" i="12"/>
  <c r="V8" i="12"/>
  <c r="X79" i="12"/>
  <c r="V79" i="12"/>
  <c r="R289" i="12"/>
  <c r="AM289" i="12"/>
  <c r="AJ289" i="12"/>
  <c r="W91" i="15"/>
  <c r="AJ294" i="12"/>
  <c r="R294" i="12"/>
  <c r="AM294" i="12"/>
  <c r="X16" i="12"/>
  <c r="V16" i="12"/>
  <c r="AO258" i="12"/>
  <c r="AL258" i="12"/>
  <c r="AO256" i="12"/>
  <c r="AL256" i="12"/>
  <c r="O247" i="12"/>
  <c r="O252" i="4"/>
  <c r="V6" i="12"/>
  <c r="X6" i="12"/>
  <c r="Q264" i="4"/>
  <c r="J264" i="4"/>
  <c r="AO230" i="12"/>
  <c r="AL230" i="12"/>
  <c r="O234" i="12"/>
  <c r="O239" i="4"/>
  <c r="BF232" i="4"/>
  <c r="L232" i="4"/>
  <c r="AM293" i="12"/>
  <c r="R293" i="12"/>
  <c r="AJ293" i="12"/>
  <c r="V103" i="12"/>
  <c r="X103" i="12"/>
  <c r="X205" i="12"/>
  <c r="V205" i="12"/>
  <c r="L250" i="4"/>
  <c r="BF250" i="4"/>
  <c r="BG266" i="4"/>
  <c r="AI223" i="4"/>
  <c r="J223" i="4"/>
  <c r="P223" i="4"/>
  <c r="AO228" i="12"/>
  <c r="X56" i="12"/>
  <c r="V56" i="12"/>
  <c r="AI216" i="4"/>
  <c r="T216" i="4"/>
  <c r="T217" i="4" s="1"/>
  <c r="T218" i="4" s="1"/>
  <c r="T219" i="4" s="1"/>
  <c r="T220" i="4" s="1"/>
  <c r="T221" i="4" s="1"/>
  <c r="P216" i="4"/>
  <c r="AH313" i="12"/>
  <c r="AG313" i="12"/>
  <c r="S313" i="12"/>
  <c r="AF313" i="12"/>
  <c r="AE313" i="12"/>
  <c r="AC313" i="12"/>
  <c r="AY309" i="12"/>
  <c r="AB313" i="12"/>
  <c r="AX309" i="12"/>
  <c r="AA313" i="12"/>
  <c r="AD313" i="12"/>
  <c r="BD313" i="12"/>
  <c r="Z313" i="12"/>
  <c r="BC313" i="12"/>
  <c r="Y313" i="12"/>
  <c r="W313" i="12"/>
  <c r="AI313" i="12"/>
  <c r="AT312" i="12"/>
  <c r="AS312" i="12"/>
  <c r="Q270" i="4"/>
  <c r="BG261" i="4"/>
  <c r="L261" i="4"/>
  <c r="O266" i="12"/>
  <c r="O271" i="4"/>
  <c r="AB290" i="12"/>
  <c r="AX286" i="12"/>
  <c r="AA290" i="12"/>
  <c r="Z290" i="12"/>
  <c r="Y290" i="12"/>
  <c r="W290" i="12"/>
  <c r="S290" i="12"/>
  <c r="BD290" i="12"/>
  <c r="AI290" i="12"/>
  <c r="AG290" i="12"/>
  <c r="AF290" i="12"/>
  <c r="AY286" i="12"/>
  <c r="BC290" i="12"/>
  <c r="AT289" i="12"/>
  <c r="AH290" i="12"/>
  <c r="AS289" i="12"/>
  <c r="AD290" i="12"/>
  <c r="AE290" i="12"/>
  <c r="AC290" i="12"/>
  <c r="Z270" i="4"/>
  <c r="AA270" i="4"/>
  <c r="AO211" i="12"/>
  <c r="AL211" i="12"/>
  <c r="X298" i="12"/>
  <c r="V298" i="12"/>
  <c r="X19" i="12"/>
  <c r="V19" i="12"/>
  <c r="X63" i="12"/>
  <c r="V63" i="12"/>
  <c r="X191" i="12"/>
  <c r="V191" i="12"/>
  <c r="AM297" i="12"/>
  <c r="AJ297" i="12"/>
  <c r="R297" i="12"/>
  <c r="AO237" i="12"/>
  <c r="AL237" i="12"/>
  <c r="BG271" i="4"/>
  <c r="BG255" i="4"/>
  <c r="X78" i="12"/>
  <c r="V78" i="12"/>
  <c r="V144" i="12"/>
  <c r="X144" i="12"/>
  <c r="AL215" i="12"/>
  <c r="AO215" i="12"/>
  <c r="L264" i="4"/>
  <c r="BF264" i="4"/>
  <c r="R272" i="12"/>
  <c r="AJ272" i="12"/>
  <c r="AM272" i="12"/>
  <c r="V100" i="12"/>
  <c r="X100" i="12"/>
  <c r="AL250" i="12"/>
  <c r="V162" i="12"/>
  <c r="X162" i="12"/>
  <c r="AA259" i="4"/>
  <c r="Z259" i="4"/>
  <c r="AO213" i="12"/>
  <c r="AL213" i="12"/>
  <c r="AL243" i="12"/>
  <c r="AO243" i="12"/>
  <c r="AO260" i="12"/>
  <c r="AO259" i="12"/>
  <c r="AL259" i="12"/>
  <c r="AO262" i="12"/>
  <c r="AL262" i="12"/>
  <c r="R274" i="12"/>
  <c r="AJ274" i="12"/>
  <c r="AM274" i="12"/>
  <c r="X95" i="12"/>
  <c r="V95" i="12"/>
  <c r="V194" i="12"/>
  <c r="X194" i="12"/>
  <c r="O257" i="12"/>
  <c r="O262" i="4"/>
  <c r="J259" i="4"/>
  <c r="AA252" i="4"/>
  <c r="Z252" i="4"/>
  <c r="V54" i="12"/>
  <c r="X54" i="12"/>
  <c r="AO242" i="12"/>
  <c r="AL231" i="12"/>
  <c r="AO231" i="12"/>
  <c r="AI217" i="4"/>
  <c r="P217" i="4"/>
  <c r="J217" i="4"/>
  <c r="AA276" i="12"/>
  <c r="BD276" i="12"/>
  <c r="BC276" i="12"/>
  <c r="AI276" i="12"/>
  <c r="S276" i="12"/>
  <c r="AY272" i="12"/>
  <c r="AH276" i="12"/>
  <c r="AX272" i="12"/>
  <c r="AG276" i="12"/>
  <c r="AF276" i="12"/>
  <c r="AE276" i="12"/>
  <c r="AD276" i="12"/>
  <c r="Z276" i="12"/>
  <c r="AT275" i="12"/>
  <c r="AC276" i="12"/>
  <c r="AS275" i="12"/>
  <c r="AB276" i="12"/>
  <c r="Y276" i="12"/>
  <c r="W276" i="12"/>
  <c r="AO250" i="12"/>
  <c r="BG223" i="4"/>
  <c r="L223" i="4"/>
  <c r="O212" i="12"/>
  <c r="O217" i="4"/>
  <c r="L216" i="4"/>
  <c r="BF216" i="4"/>
  <c r="AE91" i="15"/>
  <c r="BF270" i="4"/>
  <c r="L270" i="4"/>
  <c r="P230" i="4"/>
  <c r="AI230" i="4"/>
  <c r="Q230" i="4"/>
  <c r="J230" i="4"/>
  <c r="BG265" i="4"/>
  <c r="L265" i="4"/>
  <c r="X68" i="12"/>
  <c r="V68" i="12"/>
  <c r="BG220" i="4"/>
  <c r="L237" i="4"/>
  <c r="O226" i="12"/>
  <c r="O231" i="4"/>
  <c r="X25" i="12"/>
  <c r="V25" i="12"/>
  <c r="AI232" i="4"/>
  <c r="K232" i="4"/>
  <c r="P232" i="4"/>
  <c r="AL242" i="12"/>
  <c r="AL228" i="12"/>
  <c r="Z256" i="4"/>
  <c r="AA256" i="4"/>
  <c r="BF231" i="4"/>
  <c r="AM306" i="12"/>
  <c r="R306" i="12"/>
  <c r="AJ306" i="12"/>
  <c r="L249" i="4"/>
  <c r="BG249" i="4" s="1"/>
  <c r="BF249" i="4"/>
  <c r="AO241" i="12"/>
  <c r="AL241" i="12"/>
  <c r="L243" i="4"/>
  <c r="BG243" i="4" s="1"/>
  <c r="V199" i="12"/>
  <c r="X199" i="12"/>
  <c r="AL244" i="12"/>
  <c r="AO244" i="12"/>
  <c r="V7" i="12"/>
  <c r="X7" i="12"/>
  <c r="X57" i="12"/>
  <c r="V57" i="12"/>
  <c r="BC271" i="12"/>
  <c r="AG271" i="12"/>
  <c r="S271" i="12"/>
  <c r="AH271" i="12"/>
  <c r="AF271" i="12"/>
  <c r="AE271" i="12"/>
  <c r="AB271" i="12"/>
  <c r="AA271" i="12"/>
  <c r="Z271" i="12"/>
  <c r="AC271" i="12"/>
  <c r="Y271" i="12"/>
  <c r="W271" i="12"/>
  <c r="AT270" i="12"/>
  <c r="BD271" i="12"/>
  <c r="AS270" i="12"/>
  <c r="AI271" i="12"/>
  <c r="AD271" i="12"/>
  <c r="R303" i="12"/>
  <c r="AJ303" i="12"/>
  <c r="AM303" i="12"/>
  <c r="AI249" i="4"/>
  <c r="P249" i="4"/>
  <c r="AA266" i="4"/>
  <c r="Z266" i="4"/>
  <c r="V70" i="12"/>
  <c r="X70" i="12"/>
  <c r="V80" i="12"/>
  <c r="X80" i="12"/>
  <c r="X190" i="12"/>
  <c r="V190" i="12"/>
  <c r="AL245" i="12"/>
  <c r="AO257" i="12"/>
  <c r="BF259" i="4"/>
  <c r="L259" i="4"/>
  <c r="O219" i="12"/>
  <c r="O224" i="4"/>
  <c r="AO227" i="12"/>
  <c r="AL227" i="12"/>
  <c r="V117" i="12"/>
  <c r="X117" i="12"/>
  <c r="V2" i="12"/>
  <c r="X2" i="12"/>
  <c r="X134" i="12"/>
  <c r="V134" i="12"/>
  <c r="V201" i="12"/>
  <c r="X201" i="12"/>
  <c r="BG217" i="4"/>
  <c r="AC314" i="12"/>
  <c r="AY310" i="12"/>
  <c r="AB314" i="12"/>
  <c r="AA314" i="12"/>
  <c r="Z314" i="12"/>
  <c r="AT313" i="12"/>
  <c r="W314" i="12"/>
  <c r="BD314" i="12"/>
  <c r="AI314" i="12"/>
  <c r="AH314" i="12"/>
  <c r="AF314" i="12"/>
  <c r="AE314" i="12"/>
  <c r="BC314" i="12"/>
  <c r="AD314" i="12"/>
  <c r="Y314" i="12"/>
  <c r="AX310" i="12"/>
  <c r="S314" i="12"/>
  <c r="AG314" i="12"/>
  <c r="AS313" i="12"/>
  <c r="AI220" i="4"/>
  <c r="P220" i="4"/>
  <c r="BF217" i="4"/>
  <c r="X188" i="12"/>
  <c r="V188" i="12"/>
  <c r="AL236" i="12"/>
  <c r="AO236" i="12"/>
  <c r="AL265" i="12"/>
  <c r="AO265" i="12"/>
  <c r="P238" i="4"/>
  <c r="AI238" i="4"/>
  <c r="J238" i="4"/>
  <c r="BG230" i="4"/>
  <c r="AI265" i="4"/>
  <c r="J265" i="4"/>
  <c r="Q265" i="4"/>
  <c r="P265" i="4"/>
  <c r="L219" i="4"/>
  <c r="X77" i="12"/>
  <c r="V77" i="12"/>
  <c r="BG267" i="4"/>
  <c r="O216" i="12"/>
  <c r="O221" i="4"/>
  <c r="O2" i="4" s="1"/>
  <c r="C53" i="15" s="1"/>
  <c r="E105" i="15" s="1"/>
  <c r="BF221" i="4"/>
  <c r="BF2" i="4" s="1"/>
  <c r="D78" i="15"/>
  <c r="E16" i="3"/>
  <c r="X31" i="12"/>
  <c r="V31" i="12"/>
  <c r="P259" i="4"/>
  <c r="AI259" i="4"/>
  <c r="AM287" i="12"/>
  <c r="R287" i="12"/>
  <c r="AJ287" i="12"/>
  <c r="Q232" i="4"/>
  <c r="AO220" i="12"/>
  <c r="AL220" i="12"/>
  <c r="AM281" i="12"/>
  <c r="AJ281" i="12"/>
  <c r="R281" i="12"/>
  <c r="R273" i="12"/>
  <c r="AM273" i="12"/>
  <c r="AJ273" i="12"/>
  <c r="X305" i="12"/>
  <c r="V305" i="12"/>
  <c r="V133" i="12"/>
  <c r="X133" i="12"/>
  <c r="X12" i="12"/>
  <c r="V12" i="12"/>
  <c r="V105" i="12"/>
  <c r="X105" i="12"/>
  <c r="X130" i="12"/>
  <c r="V130" i="12"/>
  <c r="L235" i="4"/>
  <c r="V47" i="12"/>
  <c r="X47" i="12"/>
  <c r="AO245" i="12"/>
  <c r="X131" i="12"/>
  <c r="V131" i="12"/>
  <c r="X136" i="12"/>
  <c r="V136" i="12"/>
  <c r="AL257" i="12"/>
  <c r="X312" i="12"/>
  <c r="V312" i="12"/>
  <c r="BG236" i="4"/>
  <c r="L225" i="4"/>
  <c r="X5" i="12"/>
  <c r="V5" i="12"/>
  <c r="AI240" i="4"/>
  <c r="J240" i="4"/>
  <c r="P240" i="4"/>
  <c r="BG219" i="4"/>
  <c r="X145" i="12"/>
  <c r="V145" i="12"/>
  <c r="AO255" i="12"/>
  <c r="BG270" i="4"/>
  <c r="AA247" i="4"/>
  <c r="Z247" i="4"/>
  <c r="X43" i="12"/>
  <c r="V43" i="12"/>
  <c r="X45" i="12"/>
  <c r="V45" i="12"/>
  <c r="I91" i="15"/>
  <c r="C93" i="15"/>
  <c r="AI212" i="4"/>
  <c r="P212" i="4"/>
  <c r="AM295" i="12"/>
  <c r="R295" i="12"/>
  <c r="AJ295" i="12"/>
  <c r="X52" i="12"/>
  <c r="V52" i="12"/>
  <c r="X127" i="12"/>
  <c r="V127" i="12"/>
  <c r="AI270" i="4"/>
  <c r="P270" i="4"/>
  <c r="AO221" i="12"/>
  <c r="AL221" i="12"/>
  <c r="AM308" i="12"/>
  <c r="AJ308" i="12"/>
  <c r="R308" i="12"/>
  <c r="AL239" i="12"/>
  <c r="AL223" i="12"/>
  <c r="AO223" i="12"/>
  <c r="X125" i="12"/>
  <c r="V125" i="12"/>
  <c r="AI219" i="4"/>
  <c r="P219" i="4"/>
  <c r="AI248" i="4"/>
  <c r="P248" i="4"/>
  <c r="K248" i="4"/>
  <c r="AO252" i="12"/>
  <c r="AL252" i="12"/>
  <c r="AL254" i="12"/>
  <c r="AO254" i="12"/>
  <c r="BG256" i="4"/>
  <c r="X169" i="12"/>
  <c r="V169" i="12"/>
  <c r="AI231" i="4"/>
  <c r="P231" i="4"/>
  <c r="J231" i="4"/>
  <c r="Q231" i="4"/>
  <c r="V88" i="12"/>
  <c r="X88" i="12"/>
  <c r="X113" i="12"/>
  <c r="V113" i="12"/>
  <c r="AA267" i="4"/>
  <c r="Z267" i="4"/>
  <c r="X122" i="12"/>
  <c r="V122" i="12"/>
  <c r="V183" i="12"/>
  <c r="X183" i="12"/>
  <c r="V291" i="12"/>
  <c r="X291" i="12"/>
  <c r="X97" i="12"/>
  <c r="V97" i="12"/>
  <c r="O261" i="12"/>
  <c r="O266" i="4"/>
  <c r="P222" i="4"/>
  <c r="AI222" i="4"/>
  <c r="AO216" i="12"/>
  <c r="V81" i="12"/>
  <c r="X81" i="12"/>
  <c r="L238" i="4"/>
  <c r="AO239" i="12"/>
  <c r="AO248" i="12"/>
  <c r="AO267" i="12"/>
  <c r="AL267" i="12"/>
  <c r="D75" i="15"/>
  <c r="E19" i="3"/>
  <c r="X161" i="12"/>
  <c r="V161" i="12"/>
  <c r="AL266" i="12"/>
  <c r="AO266" i="12"/>
  <c r="BG231" i="4"/>
  <c r="AI235" i="4"/>
  <c r="P235" i="4"/>
  <c r="V30" i="12"/>
  <c r="X30" i="12"/>
  <c r="AL206" i="12"/>
  <c r="AO206" i="12"/>
  <c r="O240" i="12"/>
  <c r="O245" i="4"/>
  <c r="Q215" i="4"/>
  <c r="X182" i="12"/>
  <c r="V182" i="12"/>
  <c r="X67" i="12"/>
  <c r="V67" i="12"/>
  <c r="BG240" i="4"/>
  <c r="AL219" i="12"/>
  <c r="AO219" i="12"/>
  <c r="X128" i="12"/>
  <c r="V128" i="12"/>
  <c r="X60" i="12"/>
  <c r="V60" i="12"/>
  <c r="AL253" i="12"/>
  <c r="Z272" i="4"/>
  <c r="AA272" i="4"/>
  <c r="Q240" i="4"/>
  <c r="X138" i="12"/>
  <c r="V138" i="12"/>
  <c r="Q212" i="4"/>
  <c r="CA3" i="5"/>
  <c r="BM3" i="5"/>
  <c r="AY3" i="5"/>
  <c r="AK3" i="5"/>
  <c r="W3" i="5"/>
  <c r="I3" i="5"/>
  <c r="BS2" i="5"/>
  <c r="BE2" i="5"/>
  <c r="AQ2" i="5"/>
  <c r="AC2" i="5"/>
  <c r="O2" i="5"/>
  <c r="BY1" i="5"/>
  <c r="BK1" i="5"/>
  <c r="AW1" i="5"/>
  <c r="G43" i="15" s="1"/>
  <c r="AI1" i="5"/>
  <c r="H41" i="15" s="1"/>
  <c r="U1" i="5"/>
  <c r="G1" i="5"/>
  <c r="C39" i="15" s="1"/>
  <c r="BU3" i="5"/>
  <c r="BG3" i="5"/>
  <c r="AS3" i="5"/>
  <c r="AE3" i="5"/>
  <c r="Q3" i="5"/>
  <c r="CA2" i="5"/>
  <c r="BM2" i="5"/>
  <c r="AY2" i="5"/>
  <c r="AK2" i="5"/>
  <c r="W2" i="5"/>
  <c r="I2" i="5"/>
  <c r="BS1" i="5"/>
  <c r="I92" i="15" s="1"/>
  <c r="BE1" i="5"/>
  <c r="AQ1" i="5"/>
  <c r="I41" i="15" s="1"/>
  <c r="AC1" i="5"/>
  <c r="E41" i="15" s="1"/>
  <c r="O1" i="5"/>
  <c r="F39" i="15" s="1"/>
  <c r="BT3" i="5"/>
  <c r="BF3" i="5"/>
  <c r="AR3" i="5"/>
  <c r="G9" i="15" s="1"/>
  <c r="AD3" i="5"/>
  <c r="P3" i="5"/>
  <c r="BZ2" i="5"/>
  <c r="BL2" i="5"/>
  <c r="AX2" i="5"/>
  <c r="AJ2" i="5"/>
  <c r="V2" i="5"/>
  <c r="H2" i="5"/>
  <c r="BR1" i="5"/>
  <c r="BD1" i="5"/>
  <c r="AP1" i="5"/>
  <c r="AB1" i="5"/>
  <c r="C41" i="15" s="1"/>
  <c r="N1" i="5"/>
  <c r="BX3" i="5"/>
  <c r="BE3" i="5"/>
  <c r="AN3" i="5"/>
  <c r="V3" i="5"/>
  <c r="CC2" i="5"/>
  <c r="BJ2" i="5"/>
  <c r="AS2" i="5"/>
  <c r="J2" i="5"/>
  <c r="BO1" i="5"/>
  <c r="AX1" i="5"/>
  <c r="D43" i="15" s="1"/>
  <c r="AF1" i="5"/>
  <c r="G41" i="15" s="1"/>
  <c r="M1" i="5"/>
  <c r="BW3" i="5"/>
  <c r="BD3" i="5"/>
  <c r="AM3" i="5"/>
  <c r="U3" i="5"/>
  <c r="CB2" i="5"/>
  <c r="BI2" i="5"/>
  <c r="AR2" i="5"/>
  <c r="Z2" i="5"/>
  <c r="G2" i="5"/>
  <c r="BN1" i="5"/>
  <c r="AV1" i="5"/>
  <c r="AE1" i="5"/>
  <c r="L1" i="5"/>
  <c r="D39" i="15" s="1"/>
  <c r="BQ3" i="5"/>
  <c r="AZ3" i="5"/>
  <c r="AH3" i="5"/>
  <c r="O3" i="5"/>
  <c r="BV2" i="5"/>
  <c r="BD2" i="5"/>
  <c r="AM2" i="5"/>
  <c r="T2" i="5"/>
  <c r="CA1" i="5"/>
  <c r="BI1" i="5"/>
  <c r="AR1" i="5"/>
  <c r="H1" i="5"/>
  <c r="E39" i="15" s="1"/>
  <c r="BP3" i="5"/>
  <c r="AX3" i="5"/>
  <c r="AG3" i="5"/>
  <c r="N3" i="5"/>
  <c r="BU2" i="5"/>
  <c r="BC2" i="5"/>
  <c r="AL2" i="5"/>
  <c r="S2" i="5"/>
  <c r="BZ1" i="5"/>
  <c r="BH1" i="5"/>
  <c r="I43" i="15" s="1"/>
  <c r="AO1" i="5"/>
  <c r="X1" i="5"/>
  <c r="I39" i="15" s="1"/>
  <c r="BN3" i="5"/>
  <c r="AV3" i="5"/>
  <c r="AC3" i="5"/>
  <c r="L3" i="5"/>
  <c r="BR2" i="5"/>
  <c r="BA2" i="5"/>
  <c r="AH2" i="5"/>
  <c r="Q2" i="5"/>
  <c r="BW1" i="5"/>
  <c r="BF1" i="5"/>
  <c r="AM1" i="5"/>
  <c r="V1" i="5"/>
  <c r="BR3" i="5"/>
  <c r="AP3" i="5"/>
  <c r="M3" i="5"/>
  <c r="BK2" i="5"/>
  <c r="AG2" i="5"/>
  <c r="CD1" i="5"/>
  <c r="BB1" i="5"/>
  <c r="BO3" i="5"/>
  <c r="AO3" i="5"/>
  <c r="K3" i="5"/>
  <c r="BH2" i="5"/>
  <c r="AF2" i="5"/>
  <c r="CC1" i="5"/>
  <c r="BA1" i="5"/>
  <c r="Z1" i="5"/>
  <c r="J39" i="15" s="1"/>
  <c r="BL3" i="5"/>
  <c r="AL3" i="5"/>
  <c r="J3" i="5"/>
  <c r="BG2" i="5"/>
  <c r="AE2" i="5"/>
  <c r="CB1" i="5"/>
  <c r="AZ1" i="5"/>
  <c r="H43" i="15" s="1"/>
  <c r="W1" i="5"/>
  <c r="BK3" i="5"/>
  <c r="AJ3" i="5"/>
  <c r="H3" i="5"/>
  <c r="BF2" i="5"/>
  <c r="AD2" i="5"/>
  <c r="BX1" i="5"/>
  <c r="AY1" i="5"/>
  <c r="F43" i="15" s="1"/>
  <c r="T1" i="5"/>
  <c r="BJ3" i="5"/>
  <c r="AI3" i="5"/>
  <c r="G3" i="5"/>
  <c r="BB2" i="5"/>
  <c r="AB2" i="5"/>
  <c r="BV1" i="5"/>
  <c r="AU1" i="5"/>
  <c r="S1" i="5"/>
  <c r="BI3" i="5"/>
  <c r="G10" i="15" s="1"/>
  <c r="AF3" i="5"/>
  <c r="CD2" i="5"/>
  <c r="AZ2" i="5"/>
  <c r="BU1" i="5"/>
  <c r="AT1" i="5"/>
  <c r="E43" i="15" s="1"/>
  <c r="R1" i="5"/>
  <c r="BH3" i="5"/>
  <c r="AB3" i="5"/>
  <c r="BY2" i="5"/>
  <c r="AW2" i="5"/>
  <c r="X2" i="5"/>
  <c r="BT1" i="5"/>
  <c r="AS1" i="5"/>
  <c r="C43" i="15" s="1"/>
  <c r="Q1" i="5"/>
  <c r="CD3" i="5"/>
  <c r="BC3" i="5"/>
  <c r="BX2" i="5"/>
  <c r="AV2" i="5"/>
  <c r="U2" i="5"/>
  <c r="BQ1" i="5"/>
  <c r="AN1" i="5"/>
  <c r="P1" i="5"/>
  <c r="H39" i="15" s="1"/>
  <c r="CC3" i="5"/>
  <c r="BB3" i="5"/>
  <c r="Z3" i="5"/>
  <c r="BW2" i="5"/>
  <c r="AU2" i="5"/>
  <c r="R2" i="5"/>
  <c r="BP1" i="5"/>
  <c r="AL1" i="5"/>
  <c r="K1" i="5"/>
  <c r="G39" i="15" s="1"/>
  <c r="CB3" i="5"/>
  <c r="BA3" i="5"/>
  <c r="BT2" i="5"/>
  <c r="AT2" i="5"/>
  <c r="P2" i="5"/>
  <c r="BM1" i="5"/>
  <c r="AK1" i="5"/>
  <c r="J1" i="5"/>
  <c r="BV3" i="5"/>
  <c r="AT3" i="5"/>
  <c r="S3" i="5"/>
  <c r="BO2" i="5"/>
  <c r="AN2" i="5"/>
  <c r="L2" i="5"/>
  <c r="BG1" i="5"/>
  <c r="AG1" i="5"/>
  <c r="D41" i="15" s="1"/>
  <c r="BQ2" i="5"/>
  <c r="AD1" i="5"/>
  <c r="BP2" i="5"/>
  <c r="I1" i="5"/>
  <c r="BN2" i="5"/>
  <c r="AP2" i="5"/>
  <c r="AO2" i="5"/>
  <c r="BZ3" i="5"/>
  <c r="AI2" i="5"/>
  <c r="BY3" i="5"/>
  <c r="N2" i="5"/>
  <c r="BS3" i="5"/>
  <c r="M2" i="5"/>
  <c r="AW3" i="5"/>
  <c r="K2" i="5"/>
  <c r="AU3" i="5"/>
  <c r="BL1" i="5"/>
  <c r="AQ3" i="5"/>
  <c r="BJ1" i="5"/>
  <c r="X3" i="5"/>
  <c r="T3" i="5"/>
  <c r="R3" i="5"/>
  <c r="BC1" i="5"/>
  <c r="AJ1" i="5"/>
  <c r="AH1" i="5"/>
  <c r="F41" i="15" s="1"/>
  <c r="W90" i="15"/>
  <c r="BF266" i="4"/>
  <c r="L212" i="4"/>
  <c r="J222" i="4"/>
  <c r="Z269" i="4"/>
  <c r="AA269" i="4"/>
  <c r="V66" i="12"/>
  <c r="X66" i="12"/>
  <c r="AL216" i="12"/>
  <c r="K259" i="4"/>
  <c r="K245" i="4"/>
  <c r="BG262" i="4"/>
  <c r="X126" i="12"/>
  <c r="V126" i="12"/>
  <c r="BM2" i="4"/>
  <c r="AY2" i="4"/>
  <c r="AK2" i="4"/>
  <c r="W2" i="4"/>
  <c r="I2" i="4"/>
  <c r="D114" i="15" s="1"/>
  <c r="BC1" i="4"/>
  <c r="J53" i="15" s="1"/>
  <c r="D107" i="15" s="1"/>
  <c r="BI2" i="4"/>
  <c r="AU2" i="4"/>
  <c r="AG2" i="4"/>
  <c r="S2" i="4"/>
  <c r="BL2" i="4"/>
  <c r="AV2" i="4"/>
  <c r="AE2" i="4"/>
  <c r="BH1" i="4"/>
  <c r="AS1" i="4" a="1"/>
  <c r="AS1" i="4" s="1"/>
  <c r="AL1" i="4" a="1"/>
  <c r="AL1" i="4" s="1"/>
  <c r="AA1" i="4"/>
  <c r="M1" i="4"/>
  <c r="BK2" i="4"/>
  <c r="AT2" i="4"/>
  <c r="AD2" i="4"/>
  <c r="N2" i="4"/>
  <c r="Z1" i="4"/>
  <c r="BJ2" i="4"/>
  <c r="AC2" i="4"/>
  <c r="AK1" i="4" a="1"/>
  <c r="AK1" i="4" s="1"/>
  <c r="AA2" i="4"/>
  <c r="AQ1" i="4" a="1"/>
  <c r="AQ1" i="4" s="1"/>
  <c r="BL1" i="4"/>
  <c r="BK1" i="4"/>
  <c r="L1" i="4"/>
  <c r="AS2" i="4"/>
  <c r="M2" i="4"/>
  <c r="AR1" i="4" a="1"/>
  <c r="AR1" i="4" s="1"/>
  <c r="Y1" i="4"/>
  <c r="AQ2" i="4"/>
  <c r="K2" i="4"/>
  <c r="AJ1" i="4" a="1"/>
  <c r="AJ1" i="4" s="1"/>
  <c r="F14" i="15" s="1"/>
  <c r="BH2" i="4"/>
  <c r="AR2" i="4"/>
  <c r="AB2" i="4"/>
  <c r="G11" i="15" s="1"/>
  <c r="L2" i="4"/>
  <c r="BE1" i="4"/>
  <c r="L53" i="15" s="1"/>
  <c r="D110" i="15" s="1"/>
  <c r="X1" i="4"/>
  <c r="W1" i="4"/>
  <c r="BG2" i="4"/>
  <c r="BD1" i="4"/>
  <c r="K53" i="15" s="1"/>
  <c r="C110" i="15" s="1"/>
  <c r="I1" i="4"/>
  <c r="D113" i="15" s="1"/>
  <c r="AP2" i="4"/>
  <c r="G15" i="15" s="1"/>
  <c r="Z2" i="4"/>
  <c r="J2" i="4"/>
  <c r="BB1" i="4"/>
  <c r="I53" i="15" s="1"/>
  <c r="C107" i="15" s="1"/>
  <c r="V1" i="4"/>
  <c r="H1" i="4"/>
  <c r="C113" i="15" s="1"/>
  <c r="BE2" i="4"/>
  <c r="L54" i="15" s="1"/>
  <c r="D111" i="15" s="1"/>
  <c r="AO2" i="4"/>
  <c r="Y2" i="4"/>
  <c r="H2" i="4"/>
  <c r="C114" i="15" s="1"/>
  <c r="BA1" i="4"/>
  <c r="H53" i="15" s="1"/>
  <c r="D104" i="15" s="1"/>
  <c r="AP1" i="4" a="1"/>
  <c r="AP1" i="4" s="1"/>
  <c r="F15" i="15" s="1"/>
  <c r="U1" i="4"/>
  <c r="G1" i="4"/>
  <c r="BN1" i="4"/>
  <c r="F12" i="15" s="1"/>
  <c r="S1" i="4"/>
  <c r="BB2" i="4"/>
  <c r="I54" i="15" s="1"/>
  <c r="C108" i="15" s="1"/>
  <c r="U2" i="4"/>
  <c r="AX1" i="4"/>
  <c r="R1" i="4"/>
  <c r="AJ2" i="4"/>
  <c r="G14" i="15" s="1"/>
  <c r="AE1" i="4"/>
  <c r="BD2" i="4"/>
  <c r="K54" i="15" s="1"/>
  <c r="C111" i="15" s="1"/>
  <c r="AN2" i="4"/>
  <c r="X2" i="4"/>
  <c r="G2" i="4"/>
  <c r="AZ1" i="4"/>
  <c r="G53" i="15" s="1"/>
  <c r="C104" i="15" s="1"/>
  <c r="AH1" i="4"/>
  <c r="BC2" i="4"/>
  <c r="J54" i="15" s="1"/>
  <c r="D108" i="15" s="1"/>
  <c r="AM2" i="4"/>
  <c r="V2" i="4"/>
  <c r="AY1" i="4"/>
  <c r="AO1" i="4" a="1"/>
  <c r="AO1" i="4" s="1"/>
  <c r="AG1" i="4"/>
  <c r="AW1" i="4"/>
  <c r="AI2" i="4"/>
  <c r="AL2" i="4"/>
  <c r="BM1" i="4"/>
  <c r="AF1" i="4"/>
  <c r="BA2" i="4"/>
  <c r="H54" i="15" s="1"/>
  <c r="D105" i="15" s="1"/>
  <c r="AN1" i="4" a="1"/>
  <c r="AN1" i="4" s="1"/>
  <c r="AZ2" i="4"/>
  <c r="G54" i="15" s="1"/>
  <c r="C105" i="15" s="1"/>
  <c r="R2" i="4"/>
  <c r="AV1" i="4"/>
  <c r="AD1" i="4"/>
  <c r="AH2" i="4"/>
  <c r="AF2" i="4"/>
  <c r="Q2" i="4"/>
  <c r="E53" i="15" s="1"/>
  <c r="E111" i="15" s="1"/>
  <c r="BI1" i="4"/>
  <c r="P2" i="4"/>
  <c r="D53" i="15" s="1"/>
  <c r="E108" i="15" s="1"/>
  <c r="C2" i="3"/>
  <c r="BJ1" i="4"/>
  <c r="AC1" i="4"/>
  <c r="AU1" i="4"/>
  <c r="AM1" i="4" a="1"/>
  <c r="AM1" i="4" s="1"/>
  <c r="AB1" i="4"/>
  <c r="F11" i="15" s="1"/>
  <c r="AT1" i="4"/>
  <c r="BN2" i="4"/>
  <c r="G12" i="15" s="1"/>
  <c r="AX2" i="4"/>
  <c r="AW2" i="4"/>
  <c r="N1" i="4"/>
  <c r="AL238" i="12"/>
  <c r="AO238" i="12"/>
  <c r="X158" i="12"/>
  <c r="V158" i="12"/>
  <c r="L220" i="4"/>
  <c r="AJ284" i="12"/>
  <c r="R284" i="12"/>
  <c r="AM284" i="12"/>
  <c r="X27" i="12"/>
  <c r="V27" i="12"/>
  <c r="D80" i="15"/>
  <c r="E17" i="3"/>
  <c r="X91" i="12"/>
  <c r="V91" i="12"/>
  <c r="X139" i="12"/>
  <c r="V139" i="12"/>
  <c r="AI246" i="4"/>
  <c r="P246" i="4"/>
  <c r="J246" i="4"/>
  <c r="K231" i="4"/>
  <c r="AL251" i="12"/>
  <c r="AO251" i="12"/>
  <c r="AJ277" i="12"/>
  <c r="R277" i="12"/>
  <c r="AM277" i="12"/>
  <c r="AI268" i="4"/>
  <c r="T268" i="4"/>
  <c r="T269" i="4" s="1"/>
  <c r="T270" i="4" s="1"/>
  <c r="T271" i="4" s="1"/>
  <c r="T272" i="4" s="1"/>
  <c r="P268" i="4"/>
  <c r="J268" i="4"/>
  <c r="AI283" i="12"/>
  <c r="AH283" i="12"/>
  <c r="AC283" i="12"/>
  <c r="AY279" i="12"/>
  <c r="Y283" i="12"/>
  <c r="W283" i="12"/>
  <c r="S283" i="12"/>
  <c r="BD283" i="12"/>
  <c r="BC283" i="12"/>
  <c r="AG283" i="12"/>
  <c r="AX279" i="12"/>
  <c r="AD283" i="12"/>
  <c r="AF283" i="12"/>
  <c r="AS282" i="12"/>
  <c r="AE283" i="12"/>
  <c r="AB283" i="12"/>
  <c r="AA283" i="12"/>
  <c r="Z283" i="12"/>
  <c r="AT282" i="12"/>
  <c r="L242" i="4"/>
  <c r="BG242" i="4" s="1"/>
  <c r="X167" i="12"/>
  <c r="V167" i="12"/>
  <c r="AO226" i="12"/>
  <c r="T215" i="4"/>
  <c r="AI215" i="4"/>
  <c r="P215" i="4"/>
  <c r="R309" i="12"/>
  <c r="AM309" i="12"/>
  <c r="AJ309" i="12"/>
  <c r="V71" i="12"/>
  <c r="X71" i="12"/>
  <c r="X180" i="12"/>
  <c r="V180" i="12"/>
  <c r="AO247" i="12"/>
  <c r="AL247" i="12"/>
  <c r="X99" i="12"/>
  <c r="V99" i="12"/>
  <c r="AJ280" i="12"/>
  <c r="AM280" i="12"/>
  <c r="R280" i="12"/>
  <c r="E93" i="15"/>
  <c r="L222" i="4"/>
  <c r="AM282" i="12"/>
  <c r="AJ282" i="12"/>
  <c r="R282" i="12"/>
  <c r="O242" i="12"/>
  <c r="O247" i="4"/>
  <c r="AI310" i="12"/>
  <c r="AG310" i="12"/>
  <c r="S310" i="12"/>
  <c r="AF310" i="12"/>
  <c r="AD310" i="12"/>
  <c r="AC310" i="12"/>
  <c r="AY306" i="12"/>
  <c r="AB310" i="12"/>
  <c r="AX306" i="12"/>
  <c r="AH310" i="12"/>
  <c r="BD310" i="12"/>
  <c r="AA310" i="12"/>
  <c r="BC310" i="12"/>
  <c r="Z310" i="12"/>
  <c r="W310" i="12"/>
  <c r="AE310" i="12"/>
  <c r="AT309" i="12"/>
  <c r="Y310" i="12"/>
  <c r="AS309" i="12"/>
  <c r="BG259" i="4"/>
  <c r="AM296" i="12"/>
  <c r="AJ296" i="12"/>
  <c r="R296" i="12"/>
  <c r="BG245" i="4"/>
  <c r="L248" i="4"/>
  <c r="BF248" i="4"/>
  <c r="V33" i="12"/>
  <c r="X33" i="12"/>
  <c r="BG222" i="4"/>
  <c r="X202" i="12"/>
  <c r="V202" i="12"/>
  <c r="X15" i="12"/>
  <c r="V15" i="12"/>
  <c r="X150" i="12"/>
  <c r="V150" i="12"/>
  <c r="L246" i="4"/>
  <c r="BG246" i="4"/>
  <c r="AL232" i="12"/>
  <c r="AO232" i="12"/>
  <c r="BF233" i="4"/>
  <c r="X164" i="12"/>
  <c r="V164" i="12"/>
  <c r="L268" i="4"/>
  <c r="X116" i="12"/>
  <c r="V116" i="12"/>
  <c r="AL226" i="12"/>
  <c r="X189" i="12"/>
  <c r="V189" i="12"/>
  <c r="BD285" i="12"/>
  <c r="Y285" i="12"/>
  <c r="AS284" i="12"/>
  <c r="BC285" i="12"/>
  <c r="AG285" i="12"/>
  <c r="S285" i="12"/>
  <c r="AY281" i="12"/>
  <c r="AX281" i="12"/>
  <c r="AI285" i="12"/>
  <c r="AH285" i="12"/>
  <c r="AF285" i="12"/>
  <c r="AT284" i="12"/>
  <c r="AE285" i="12"/>
  <c r="AD285" i="12"/>
  <c r="AC285" i="12"/>
  <c r="Z285" i="12"/>
  <c r="AB285" i="12"/>
  <c r="W285" i="12"/>
  <c r="AA285" i="12"/>
  <c r="AL217" i="12"/>
  <c r="AO217" i="12"/>
  <c r="AI260" i="4"/>
  <c r="Q260" i="4"/>
  <c r="P260" i="4"/>
  <c r="V197" i="12"/>
  <c r="X197" i="12"/>
  <c r="AO235" i="12"/>
  <c r="AL235" i="12"/>
  <c r="AO212" i="12"/>
  <c r="AL212" i="12"/>
  <c r="V61" i="12"/>
  <c r="X61" i="12"/>
  <c r="AO207" i="12"/>
  <c r="AL207" i="12"/>
  <c r="BG218" i="4"/>
  <c r="X195" i="12"/>
  <c r="V195" i="12"/>
  <c r="V135" i="12"/>
  <c r="X135" i="12"/>
  <c r="AO233" i="12"/>
  <c r="AL233" i="12"/>
  <c r="BF247" i="4"/>
  <c r="L226" i="4"/>
  <c r="BF226" i="4"/>
  <c r="X65" i="12"/>
  <c r="V65" i="12"/>
  <c r="X34" i="12"/>
  <c r="V34" i="12"/>
  <c r="L215" i="4"/>
  <c r="R239" i="12"/>
  <c r="V87" i="12"/>
  <c r="X87" i="12"/>
  <c r="X64" i="12"/>
  <c r="V64" i="12"/>
  <c r="O250" i="12"/>
  <c r="O255" i="4"/>
  <c r="X154" i="12"/>
  <c r="V154" i="12"/>
  <c r="V119" i="12"/>
  <c r="X119" i="12"/>
  <c r="X269" i="12"/>
  <c r="V269" i="12"/>
  <c r="X53" i="12"/>
  <c r="V53" i="12"/>
  <c r="Z262" i="4"/>
  <c r="AA262" i="4"/>
  <c r="O249" i="12"/>
  <c r="O254" i="4"/>
  <c r="BF254" i="4"/>
  <c r="X102" i="12"/>
  <c r="V102" i="12"/>
  <c r="R253" i="12"/>
  <c r="K215" i="4"/>
  <c r="K2" i="11"/>
  <c r="J2" i="11"/>
  <c r="J1" i="11" a="1"/>
  <c r="J1" i="11" s="1"/>
  <c r="I1" i="11" a="1"/>
  <c r="I1" i="11" s="1"/>
  <c r="G1" i="11" a="1"/>
  <c r="G1" i="11" s="1"/>
  <c r="H1" i="11" a="1"/>
  <c r="H1" i="11" s="1"/>
  <c r="H2" i="11"/>
  <c r="G2" i="11"/>
  <c r="I2" i="11"/>
  <c r="K1" i="11" a="1"/>
  <c r="K1" i="11" s="1"/>
  <c r="AH300" i="12"/>
  <c r="AG300" i="12"/>
  <c r="S300" i="12"/>
  <c r="AF300" i="12"/>
  <c r="AE300" i="12"/>
  <c r="AB300" i="12"/>
  <c r="AX296" i="12"/>
  <c r="AA300" i="12"/>
  <c r="AT299" i="12"/>
  <c r="AS299" i="12"/>
  <c r="AI300" i="12"/>
  <c r="AY296" i="12"/>
  <c r="BD300" i="12"/>
  <c r="AC300" i="12"/>
  <c r="BC300" i="12"/>
  <c r="Z300" i="12"/>
  <c r="Y300" i="12"/>
  <c r="AD300" i="12"/>
  <c r="W300" i="12"/>
  <c r="K260" i="4"/>
  <c r="AO214" i="12"/>
  <c r="AL214" i="12"/>
  <c r="AI226" i="4"/>
  <c r="P226" i="4"/>
  <c r="AJ278" i="12"/>
  <c r="R278" i="12"/>
  <c r="AM278" i="12"/>
  <c r="L263" i="4"/>
  <c r="O229" i="12"/>
  <c r="O234" i="4"/>
  <c r="BG250" i="4"/>
  <c r="N7" i="17"/>
  <c r="X92" i="12"/>
  <c r="V92" i="12"/>
  <c r="AA268" i="4"/>
  <c r="Z268" i="4"/>
  <c r="AL255" i="12"/>
  <c r="V148" i="12"/>
  <c r="X148" i="12"/>
  <c r="AI253" i="4"/>
  <c r="Q253" i="4"/>
  <c r="P253" i="4"/>
  <c r="O228" i="12"/>
  <c r="O233" i="4"/>
  <c r="O267" i="12"/>
  <c r="O272" i="4"/>
  <c r="O1" i="4" s="1"/>
  <c r="C52" i="15" s="1"/>
  <c r="E104" i="15" s="1"/>
  <c r="AL261" i="12"/>
  <c r="AO261" i="12"/>
  <c r="AJ302" i="12"/>
  <c r="R302" i="12"/>
  <c r="AM302" i="12"/>
  <c r="D77" i="15"/>
  <c r="E18" i="3"/>
  <c r="V181" i="12"/>
  <c r="X181" i="12"/>
  <c r="L253" i="4"/>
  <c r="BF253" i="4"/>
  <c r="AI267" i="4"/>
  <c r="P267" i="4"/>
  <c r="AM304" i="12"/>
  <c r="AJ304" i="12"/>
  <c r="R304" i="12"/>
  <c r="X44" i="12"/>
  <c r="V44" i="12"/>
  <c r="K264" i="4"/>
  <c r="L256" i="4"/>
  <c r="AO210" i="12"/>
  <c r="AL210" i="12"/>
  <c r="AO246" i="12"/>
  <c r="AL246" i="12"/>
  <c r="X196" i="12"/>
  <c r="V196" i="12"/>
  <c r="X155" i="12"/>
  <c r="V155" i="12"/>
  <c r="V89" i="12"/>
  <c r="X89" i="12"/>
  <c r="L260" i="4"/>
  <c r="BF260" i="4"/>
  <c r="AM307" i="12"/>
  <c r="AJ307" i="12"/>
  <c r="R307" i="12"/>
  <c r="AM299" i="12"/>
  <c r="AJ299" i="12"/>
  <c r="R299" i="12"/>
  <c r="AO234" i="12"/>
  <c r="AL234" i="12"/>
  <c r="V149" i="12"/>
  <c r="X149" i="12"/>
  <c r="BG254" i="4"/>
  <c r="BG239" i="4"/>
  <c r="AO229" i="12"/>
  <c r="AI234" i="4"/>
  <c r="P234" i="4"/>
  <c r="J234" i="4"/>
  <c r="Q234" i="4"/>
  <c r="J226" i="4"/>
  <c r="AD311" i="12"/>
  <c r="AB311" i="12"/>
  <c r="AA311" i="12"/>
  <c r="BD311" i="12"/>
  <c r="Y311" i="12"/>
  <c r="AS310" i="12"/>
  <c r="BC311" i="12"/>
  <c r="W311" i="12"/>
  <c r="AI311" i="12"/>
  <c r="AH311" i="12"/>
  <c r="AG311" i="12"/>
  <c r="AF311" i="12"/>
  <c r="AC311" i="12"/>
  <c r="Z311" i="12"/>
  <c r="AX307" i="12"/>
  <c r="AE311" i="12"/>
  <c r="S311" i="12"/>
  <c r="AY307" i="12"/>
  <c r="AT310" i="12"/>
  <c r="AI263" i="4"/>
  <c r="P263" i="4"/>
  <c r="V75" i="12"/>
  <c r="X75" i="12"/>
  <c r="BC288" i="12"/>
  <c r="W288" i="12"/>
  <c r="AF288" i="12"/>
  <c r="S288" i="12"/>
  <c r="AY284" i="12"/>
  <c r="AI288" i="12"/>
  <c r="AX284" i="12"/>
  <c r="BD288" i="12"/>
  <c r="AH288" i="12"/>
  <c r="AG288" i="12"/>
  <c r="AT287" i="12"/>
  <c r="AE288" i="12"/>
  <c r="AS287" i="12"/>
  <c r="AD288" i="12"/>
  <c r="AC288" i="12"/>
  <c r="AB288" i="12"/>
  <c r="Z288" i="12"/>
  <c r="Y288" i="12"/>
  <c r="AA288" i="12"/>
  <c r="O209" i="12"/>
  <c r="O214" i="4"/>
  <c r="X82" i="12"/>
  <c r="V82" i="12"/>
  <c r="Z251" i="4"/>
  <c r="AA251" i="4"/>
  <c r="X85" i="12"/>
  <c r="V85" i="12"/>
  <c r="X111" i="12"/>
  <c r="V111" i="12"/>
  <c r="X179" i="12"/>
  <c r="V179" i="12"/>
  <c r="V50" i="12"/>
  <c r="X50" i="12"/>
  <c r="L267" i="4"/>
  <c r="BF267" i="4"/>
  <c r="Z263" i="4"/>
  <c r="AA263" i="4"/>
  <c r="X204" i="12"/>
  <c r="V204" i="12"/>
  <c r="P245" i="4"/>
  <c r="AI245" i="4"/>
  <c r="J245" i="4"/>
  <c r="AI211" i="4"/>
  <c r="T211" i="4"/>
  <c r="T212" i="4" s="1"/>
  <c r="T213" i="4" s="1"/>
  <c r="T214" i="4" s="1"/>
  <c r="P211" i="4"/>
  <c r="J211" i="4"/>
  <c r="AF275" i="12"/>
  <c r="AA275" i="12"/>
  <c r="BD275" i="12"/>
  <c r="AY271" i="12"/>
  <c r="BC275" i="12"/>
  <c r="AX271" i="12"/>
  <c r="AI275" i="12"/>
  <c r="S275" i="12"/>
  <c r="AH275" i="12"/>
  <c r="AG275" i="12"/>
  <c r="AE275" i="12"/>
  <c r="AD275" i="12"/>
  <c r="AT274" i="12"/>
  <c r="AC275" i="12"/>
  <c r="AB275" i="12"/>
  <c r="AS274" i="12"/>
  <c r="Y275" i="12"/>
  <c r="Z275" i="12"/>
  <c r="W275" i="12"/>
  <c r="Z254" i="4"/>
  <c r="AA254" i="4"/>
  <c r="O213" i="12"/>
  <c r="O218" i="4"/>
  <c r="AO240" i="12"/>
  <c r="AL240" i="12"/>
  <c r="V69" i="12"/>
  <c r="X69" i="12"/>
  <c r="X141" i="12"/>
  <c r="V141" i="12"/>
  <c r="AA249" i="4"/>
  <c r="Z249" i="4"/>
  <c r="V59" i="12"/>
  <c r="X59" i="12"/>
  <c r="L211" i="4"/>
  <c r="BG235" i="4"/>
  <c r="V114" i="12"/>
  <c r="X114" i="12"/>
  <c r="I89" i="15"/>
  <c r="AL229" i="12"/>
  <c r="AI241" i="4"/>
  <c r="P241" i="4"/>
  <c r="K241" i="4"/>
  <c r="BG257" i="4"/>
  <c r="R292" i="12"/>
  <c r="AM292" i="12"/>
  <c r="AJ292" i="12"/>
  <c r="K267" i="4"/>
  <c r="AO263" i="12"/>
  <c r="AL263" i="12"/>
  <c r="BG252" i="4"/>
  <c r="V175" i="12"/>
  <c r="X175" i="12"/>
  <c r="X51" i="12"/>
  <c r="V51" i="12"/>
  <c r="BG253" i="4"/>
  <c r="AI228" i="4"/>
  <c r="P228" i="4"/>
  <c r="AI256" i="4"/>
  <c r="P256" i="4"/>
  <c r="AI251" i="4"/>
  <c r="J251" i="4"/>
  <c r="P251" i="4"/>
  <c r="L257" i="4"/>
  <c r="O235" i="12"/>
  <c r="O240" i="4"/>
  <c r="X108" i="12"/>
  <c r="V108" i="12"/>
  <c r="AI250" i="4"/>
  <c r="P250" i="4"/>
  <c r="Q250" i="4"/>
  <c r="K211" i="4"/>
  <c r="Z248" i="4"/>
  <c r="AA248" i="4"/>
  <c r="X142" i="12"/>
  <c r="V142" i="12"/>
  <c r="K235" i="4"/>
  <c r="AM279" i="12"/>
  <c r="AJ279" i="12"/>
  <c r="R279" i="12"/>
  <c r="AC301" i="12"/>
  <c r="AY297" i="12"/>
  <c r="AB301" i="12"/>
  <c r="AX297" i="12"/>
  <c r="AA301" i="12"/>
  <c r="Z301" i="12"/>
  <c r="AT300" i="12"/>
  <c r="W301" i="12"/>
  <c r="AS300" i="12"/>
  <c r="AI301" i="12"/>
  <c r="AH301" i="12"/>
  <c r="AG301" i="12"/>
  <c r="AF301" i="12"/>
  <c r="BD301" i="12"/>
  <c r="AE301" i="12"/>
  <c r="Y301" i="12"/>
  <c r="AD301" i="12"/>
  <c r="S301" i="12"/>
  <c r="BC301" i="12"/>
  <c r="X270" i="12"/>
  <c r="V270" i="12"/>
  <c r="V147" i="12"/>
  <c r="X147" i="12"/>
  <c r="AE90" i="15"/>
  <c r="AO225" i="12"/>
  <c r="AI261" i="4"/>
  <c r="P261" i="4"/>
  <c r="J261" i="4"/>
  <c r="L241" i="4"/>
  <c r="BF241" i="4" s="1"/>
  <c r="O264" i="12"/>
  <c r="O269" i="4"/>
  <c r="O222" i="12"/>
  <c r="O227" i="4"/>
  <c r="Q216" i="4"/>
  <c r="BG229" i="4"/>
  <c r="L229" i="4"/>
  <c r="O208" i="12"/>
  <c r="O213" i="4"/>
  <c r="BG234" i="4"/>
  <c r="V123" i="12"/>
  <c r="X123" i="12"/>
  <c r="BG226" i="4"/>
  <c r="AO224" i="12"/>
  <c r="AL224" i="12"/>
  <c r="K234" i="4"/>
  <c r="V120" i="12"/>
  <c r="X120" i="12"/>
  <c r="AJ268" i="12" l="1"/>
  <c r="AM268" i="12"/>
  <c r="T273" i="4"/>
  <c r="T2" i="4" s="1"/>
  <c r="BG272" i="4"/>
  <c r="BG1" i="4" s="1"/>
  <c r="BF272" i="4"/>
  <c r="BF1" i="4" s="1"/>
  <c r="J272" i="4"/>
  <c r="J1" i="4" s="1"/>
  <c r="P272" i="4"/>
  <c r="P1" i="4" s="1"/>
  <c r="D52" i="15" s="1"/>
  <c r="E107" i="15" s="1"/>
  <c r="Q272" i="4"/>
  <c r="Q1" i="4" s="1"/>
  <c r="E52" i="15" s="1"/>
  <c r="E110" i="15" s="1"/>
  <c r="AI272" i="4"/>
  <c r="AI1" i="4" s="1"/>
  <c r="K272" i="4"/>
  <c r="K1" i="4" s="1"/>
  <c r="AF90" i="15"/>
  <c r="H61" i="15"/>
  <c r="T222" i="4"/>
  <c r="T223" i="4" s="1"/>
  <c r="T224" i="4" s="1"/>
  <c r="T225" i="4" s="1"/>
  <c r="T226" i="4" s="1"/>
  <c r="T227" i="4" s="1"/>
  <c r="T228" i="4" s="1"/>
  <c r="T229" i="4" s="1"/>
  <c r="T230" i="4" s="1"/>
  <c r="T231" i="4" s="1"/>
  <c r="T232" i="4" s="1"/>
  <c r="T233" i="4" s="1"/>
  <c r="T234" i="4" s="1"/>
  <c r="T235" i="4" s="1"/>
  <c r="T236" i="4" s="1"/>
  <c r="T237" i="4" s="1"/>
  <c r="T238" i="4" s="1"/>
  <c r="T239" i="4" s="1"/>
  <c r="T240" i="4" s="1"/>
  <c r="T241" i="4" s="1"/>
  <c r="T242" i="4" s="1"/>
  <c r="T243" i="4" s="1"/>
  <c r="T244" i="4" s="1"/>
  <c r="T245" i="4" s="1"/>
  <c r="T246" i="4" s="1"/>
  <c r="T247" i="4" s="1"/>
  <c r="T248" i="4" s="1"/>
  <c r="T249" i="4" s="1"/>
  <c r="T250" i="4" s="1"/>
  <c r="T251" i="4" s="1"/>
  <c r="T252" i="4" s="1"/>
  <c r="T253" i="4" s="1"/>
  <c r="T254" i="4" s="1"/>
  <c r="T255" i="4" s="1"/>
  <c r="T256" i="4" s="1"/>
  <c r="T257" i="4" s="1"/>
  <c r="T258" i="4" s="1"/>
  <c r="T259" i="4" s="1"/>
  <c r="T260" i="4" s="1"/>
  <c r="T261" i="4" s="1"/>
  <c r="T262" i="4" s="1"/>
  <c r="T263" i="4" s="1"/>
  <c r="T264" i="4" s="1"/>
  <c r="T265" i="4" s="1"/>
  <c r="T266" i="4" s="1"/>
  <c r="T267" i="4" s="1"/>
  <c r="O258" i="12"/>
  <c r="O263" i="4"/>
  <c r="O210" i="12"/>
  <c r="O215" i="4"/>
  <c r="X285" i="12"/>
  <c r="V285" i="12"/>
  <c r="R242" i="12"/>
  <c r="AM242" i="12"/>
  <c r="AD284" i="12"/>
  <c r="AC284" i="12"/>
  <c r="AY280" i="12"/>
  <c r="BC284" i="12"/>
  <c r="AF284" i="12"/>
  <c r="AE284" i="12"/>
  <c r="AB284" i="12"/>
  <c r="AA284" i="12"/>
  <c r="Z284" i="12"/>
  <c r="Y284" i="12"/>
  <c r="W284" i="12"/>
  <c r="S284" i="12"/>
  <c r="AX280" i="12"/>
  <c r="BD284" i="12"/>
  <c r="AI284" i="12"/>
  <c r="AT283" i="12"/>
  <c r="AS283" i="12"/>
  <c r="AG284" i="12"/>
  <c r="AH284" i="12"/>
  <c r="D63" i="15"/>
  <c r="C63" i="15"/>
  <c r="O254" i="12"/>
  <c r="O259" i="4"/>
  <c r="AA293" i="12"/>
  <c r="Z293" i="12"/>
  <c r="AT292" i="12"/>
  <c r="BD293" i="12"/>
  <c r="Y293" i="12"/>
  <c r="AS292" i="12"/>
  <c r="AI293" i="12"/>
  <c r="AH293" i="12"/>
  <c r="AF293" i="12"/>
  <c r="BC293" i="12"/>
  <c r="AE293" i="12"/>
  <c r="AD293" i="12"/>
  <c r="AC293" i="12"/>
  <c r="AB293" i="12"/>
  <c r="W293" i="12"/>
  <c r="S293" i="12"/>
  <c r="AY289" i="12"/>
  <c r="AX289" i="12"/>
  <c r="AG293" i="12"/>
  <c r="O246" i="12"/>
  <c r="O251" i="4"/>
  <c r="BF251" i="4"/>
  <c r="BF215" i="4"/>
  <c r="R213" i="12"/>
  <c r="AE295" i="12"/>
  <c r="AD295" i="12"/>
  <c r="AC295" i="12"/>
  <c r="AY291" i="12"/>
  <c r="BD295" i="12"/>
  <c r="Y295" i="12"/>
  <c r="AS294" i="12"/>
  <c r="BC295" i="12"/>
  <c r="S295" i="12"/>
  <c r="AT294" i="12"/>
  <c r="AX291" i="12"/>
  <c r="AI295" i="12"/>
  <c r="AH295" i="12"/>
  <c r="AG295" i="12"/>
  <c r="AB295" i="12"/>
  <c r="AA295" i="12"/>
  <c r="AF295" i="12"/>
  <c r="Z295" i="12"/>
  <c r="W295" i="12"/>
  <c r="AJ222" i="12"/>
  <c r="R222" i="12"/>
  <c r="O206" i="12"/>
  <c r="O211" i="4"/>
  <c r="BF211" i="4"/>
  <c r="R219" i="12"/>
  <c r="V301" i="12"/>
  <c r="X301" i="12"/>
  <c r="BC302" i="12"/>
  <c r="W302" i="12"/>
  <c r="AI302" i="12"/>
  <c r="AF302" i="12"/>
  <c r="AE302" i="12"/>
  <c r="AS301" i="12"/>
  <c r="AX298" i="12"/>
  <c r="AH302" i="12"/>
  <c r="AG302" i="12"/>
  <c r="AD302" i="12"/>
  <c r="AC302" i="12"/>
  <c r="AB302" i="12"/>
  <c r="BD302" i="12"/>
  <c r="AA302" i="12"/>
  <c r="Y302" i="12"/>
  <c r="S302" i="12"/>
  <c r="AT301" i="12"/>
  <c r="Z302" i="12"/>
  <c r="AY298" i="12"/>
  <c r="O207" i="12"/>
  <c r="O212" i="4"/>
  <c r="R240" i="12"/>
  <c r="R261" i="12"/>
  <c r="AC287" i="12"/>
  <c r="AY283" i="12"/>
  <c r="AB287" i="12"/>
  <c r="AX283" i="12"/>
  <c r="W287" i="12"/>
  <c r="AE287" i="12"/>
  <c r="AD287" i="12"/>
  <c r="AA287" i="12"/>
  <c r="Z287" i="12"/>
  <c r="Y287" i="12"/>
  <c r="BD287" i="12"/>
  <c r="AI287" i="12"/>
  <c r="AG287" i="12"/>
  <c r="AT286" i="12"/>
  <c r="AF287" i="12"/>
  <c r="AS286" i="12"/>
  <c r="S287" i="12"/>
  <c r="BC287" i="12"/>
  <c r="AH287" i="12"/>
  <c r="R212" i="12"/>
  <c r="AM212" i="12"/>
  <c r="R266" i="12"/>
  <c r="X286" i="12"/>
  <c r="V286" i="12"/>
  <c r="AE277" i="12"/>
  <c r="BD277" i="12"/>
  <c r="BC277" i="12"/>
  <c r="AI277" i="12"/>
  <c r="S277" i="12"/>
  <c r="AY273" i="12"/>
  <c r="AH277" i="12"/>
  <c r="AX273" i="12"/>
  <c r="AG277" i="12"/>
  <c r="AF277" i="12"/>
  <c r="AD277" i="12"/>
  <c r="AC277" i="12"/>
  <c r="Z277" i="12"/>
  <c r="Y277" i="12"/>
  <c r="W277" i="12"/>
  <c r="AT276" i="12"/>
  <c r="AS276" i="12"/>
  <c r="AB277" i="12"/>
  <c r="AA277" i="12"/>
  <c r="AI306" i="12"/>
  <c r="AH306" i="12"/>
  <c r="Y306" i="12"/>
  <c r="W306" i="12"/>
  <c r="AY302" i="12"/>
  <c r="BD306" i="12"/>
  <c r="AG306" i="12"/>
  <c r="AF306" i="12"/>
  <c r="AC306" i="12"/>
  <c r="AT305" i="12"/>
  <c r="BC306" i="12"/>
  <c r="S306" i="12"/>
  <c r="AS305" i="12"/>
  <c r="AE306" i="12"/>
  <c r="AD306" i="12"/>
  <c r="AB306" i="12"/>
  <c r="AX302" i="12"/>
  <c r="AA306" i="12"/>
  <c r="Z306" i="12"/>
  <c r="R257" i="12"/>
  <c r="O251" i="12"/>
  <c r="O256" i="4"/>
  <c r="BF263" i="4"/>
  <c r="BG215" i="4"/>
  <c r="R247" i="12"/>
  <c r="AM247" i="12"/>
  <c r="R250" i="12"/>
  <c r="Z282" i="12"/>
  <c r="AT281" i="12"/>
  <c r="BD282" i="12"/>
  <c r="Y282" i="12"/>
  <c r="AS281" i="12"/>
  <c r="AH282" i="12"/>
  <c r="S282" i="12"/>
  <c r="BC282" i="12"/>
  <c r="AI282" i="12"/>
  <c r="AG282" i="12"/>
  <c r="AF282" i="12"/>
  <c r="AE282" i="12"/>
  <c r="AY278" i="12"/>
  <c r="AD282" i="12"/>
  <c r="AX278" i="12"/>
  <c r="AC282" i="12"/>
  <c r="AB282" i="12"/>
  <c r="AA282" i="12"/>
  <c r="W282" i="12"/>
  <c r="F63" i="15"/>
  <c r="AF292" i="12"/>
  <c r="AE292" i="12"/>
  <c r="AD292" i="12"/>
  <c r="Z292" i="12"/>
  <c r="AT291" i="12"/>
  <c r="W292" i="12"/>
  <c r="S292" i="12"/>
  <c r="AY288" i="12"/>
  <c r="AS291" i="12"/>
  <c r="AX288" i="12"/>
  <c r="BD292" i="12"/>
  <c r="AI292" i="12"/>
  <c r="BC292" i="12"/>
  <c r="AH292" i="12"/>
  <c r="AC292" i="12"/>
  <c r="AB292" i="12"/>
  <c r="AA292" i="12"/>
  <c r="Y292" i="12"/>
  <c r="AG292" i="12"/>
  <c r="AB304" i="12"/>
  <c r="AX300" i="12"/>
  <c r="AA304" i="12"/>
  <c r="Z304" i="12"/>
  <c r="AT303" i="12"/>
  <c r="Y304" i="12"/>
  <c r="AS303" i="12"/>
  <c r="AI304" i="12"/>
  <c r="AF304" i="12"/>
  <c r="AH304" i="12"/>
  <c r="AG304" i="12"/>
  <c r="AE304" i="12"/>
  <c r="AD304" i="12"/>
  <c r="AC304" i="12"/>
  <c r="BD304" i="12"/>
  <c r="BC304" i="12"/>
  <c r="W304" i="12"/>
  <c r="S304" i="12"/>
  <c r="AY300" i="12"/>
  <c r="R249" i="12"/>
  <c r="O243" i="12"/>
  <c r="O248" i="4"/>
  <c r="BG248" i="4"/>
  <c r="O215" i="12"/>
  <c r="AJ242" i="12" s="1"/>
  <c r="O220" i="4"/>
  <c r="BF212" i="4"/>
  <c r="O214" i="12"/>
  <c r="O219" i="4"/>
  <c r="O260" i="12"/>
  <c r="O265" i="4"/>
  <c r="BF265" i="4"/>
  <c r="O218" i="12"/>
  <c r="O223" i="4"/>
  <c r="BF223" i="4"/>
  <c r="O256" i="12"/>
  <c r="O261" i="4"/>
  <c r="BF261" i="4"/>
  <c r="O227" i="12"/>
  <c r="O232" i="4"/>
  <c r="BG232" i="4"/>
  <c r="AD307" i="12"/>
  <c r="AC307" i="12"/>
  <c r="Z307" i="12"/>
  <c r="Y307" i="12"/>
  <c r="W307" i="12"/>
  <c r="BC307" i="12"/>
  <c r="AI307" i="12"/>
  <c r="S307" i="12"/>
  <c r="AF307" i="12"/>
  <c r="AT306" i="12"/>
  <c r="AH307" i="12"/>
  <c r="AG307" i="12"/>
  <c r="AE307" i="12"/>
  <c r="AB307" i="12"/>
  <c r="AS306" i="12"/>
  <c r="AA307" i="12"/>
  <c r="BD307" i="12"/>
  <c r="AX303" i="12"/>
  <c r="AY303" i="12"/>
  <c r="G61" i="15"/>
  <c r="AH253" i="12"/>
  <c r="AC253" i="12"/>
  <c r="AY249" i="12"/>
  <c r="AI253" i="12"/>
  <c r="AE253" i="12"/>
  <c r="AT252" i="12"/>
  <c r="AD253" i="12"/>
  <c r="BC253" i="12"/>
  <c r="AS252" i="12"/>
  <c r="AB253" i="12"/>
  <c r="BD253" i="12"/>
  <c r="AX249" i="12"/>
  <c r="AG253" i="12"/>
  <c r="AF253" i="12"/>
  <c r="O263" i="12"/>
  <c r="AM266" i="12" s="1"/>
  <c r="O268" i="4"/>
  <c r="BF268" i="4"/>
  <c r="E63" i="15"/>
  <c r="O232" i="12"/>
  <c r="O237" i="4"/>
  <c r="BF237" i="4"/>
  <c r="O259" i="12"/>
  <c r="O264" i="4"/>
  <c r="BG268" i="4"/>
  <c r="X283" i="12"/>
  <c r="V283" i="12"/>
  <c r="X314" i="12"/>
  <c r="V314" i="12"/>
  <c r="BG237" i="4"/>
  <c r="O211" i="12"/>
  <c r="AM240" i="12" s="1"/>
  <c r="O216" i="4"/>
  <c r="AG289" i="12"/>
  <c r="S289" i="12"/>
  <c r="AF289" i="12"/>
  <c r="AA289" i="12"/>
  <c r="W289" i="12"/>
  <c r="BD289" i="12"/>
  <c r="AY285" i="12"/>
  <c r="BC289" i="12"/>
  <c r="AI289" i="12"/>
  <c r="AX285" i="12"/>
  <c r="AH289" i="12"/>
  <c r="AT288" i="12"/>
  <c r="AD289" i="12"/>
  <c r="AC289" i="12"/>
  <c r="Y289" i="12"/>
  <c r="Z289" i="12"/>
  <c r="AS288" i="12"/>
  <c r="AE289" i="12"/>
  <c r="AB289" i="12"/>
  <c r="BG211" i="4"/>
  <c r="O255" i="12"/>
  <c r="O260" i="4"/>
  <c r="R264" i="12"/>
  <c r="AJ264" i="12"/>
  <c r="D61" i="15"/>
  <c r="O236" i="12"/>
  <c r="O241" i="4"/>
  <c r="BG241" i="4"/>
  <c r="BG212" i="4"/>
  <c r="O221" i="12"/>
  <c r="O226" i="4"/>
  <c r="BF220" i="4"/>
  <c r="F61" i="15"/>
  <c r="F6" i="15"/>
  <c r="E8" i="3"/>
  <c r="BF219" i="4"/>
  <c r="AG303" i="12"/>
  <c r="S303" i="12"/>
  <c r="AF303" i="12"/>
  <c r="AE303" i="12"/>
  <c r="AD303" i="12"/>
  <c r="AA303" i="12"/>
  <c r="Z303" i="12"/>
  <c r="AT302" i="12"/>
  <c r="AX299" i="12"/>
  <c r="AI303" i="12"/>
  <c r="AH303" i="12"/>
  <c r="AC303" i="12"/>
  <c r="BD303" i="12"/>
  <c r="AB303" i="12"/>
  <c r="BC303" i="12"/>
  <c r="Y303" i="12"/>
  <c r="AS302" i="12"/>
  <c r="W303" i="12"/>
  <c r="AY299" i="12"/>
  <c r="W274" i="12"/>
  <c r="AF274" i="12"/>
  <c r="AX270" i="12"/>
  <c r="BD274" i="12"/>
  <c r="BC274" i="12"/>
  <c r="AI274" i="12"/>
  <c r="S274" i="12"/>
  <c r="AH274" i="12"/>
  <c r="AG274" i="12"/>
  <c r="AE274" i="12"/>
  <c r="AD274" i="12"/>
  <c r="AT273" i="12"/>
  <c r="AC274" i="12"/>
  <c r="AS273" i="12"/>
  <c r="AB274" i="12"/>
  <c r="AA274" i="12"/>
  <c r="AY270" i="12"/>
  <c r="Z274" i="12"/>
  <c r="Y274" i="12"/>
  <c r="X310" i="12"/>
  <c r="V310" i="12"/>
  <c r="V275" i="12"/>
  <c r="X275" i="12"/>
  <c r="BG264" i="4"/>
  <c r="Z296" i="12"/>
  <c r="AT295" i="12"/>
  <c r="BD296" i="12"/>
  <c r="Y296" i="12"/>
  <c r="AS295" i="12"/>
  <c r="BC296" i="12"/>
  <c r="AH296" i="12"/>
  <c r="AG296" i="12"/>
  <c r="S296" i="12"/>
  <c r="AI296" i="12"/>
  <c r="AF296" i="12"/>
  <c r="AE296" i="12"/>
  <c r="AD296" i="12"/>
  <c r="AC296" i="12"/>
  <c r="AB296" i="12"/>
  <c r="W296" i="12"/>
  <c r="AY292" i="12"/>
  <c r="AX292" i="12"/>
  <c r="AA296" i="12"/>
  <c r="O217" i="12"/>
  <c r="O222" i="4"/>
  <c r="C61" i="15"/>
  <c r="BG263" i="4"/>
  <c r="I93" i="15"/>
  <c r="O238" i="12"/>
  <c r="BF243" i="4"/>
  <c r="O243" i="4"/>
  <c r="AF91" i="15"/>
  <c r="I95" i="15"/>
  <c r="F65" i="15"/>
  <c r="AE278" i="12"/>
  <c r="Z278" i="12"/>
  <c r="AT277" i="12"/>
  <c r="BD278" i="12"/>
  <c r="BC278" i="12"/>
  <c r="AI278" i="12"/>
  <c r="S278" i="12"/>
  <c r="AH278" i="12"/>
  <c r="AY274" i="12"/>
  <c r="AG278" i="12"/>
  <c r="AX274" i="12"/>
  <c r="AF278" i="12"/>
  <c r="AD278" i="12"/>
  <c r="AA278" i="12"/>
  <c r="AS277" i="12"/>
  <c r="AC278" i="12"/>
  <c r="Y278" i="12"/>
  <c r="W278" i="12"/>
  <c r="AB278" i="12"/>
  <c r="Z279" i="12"/>
  <c r="AT278" i="12"/>
  <c r="AI279" i="12"/>
  <c r="W279" i="12"/>
  <c r="BD279" i="12"/>
  <c r="S279" i="12"/>
  <c r="BC279" i="12"/>
  <c r="AH279" i="12"/>
  <c r="AG279" i="12"/>
  <c r="AY275" i="12"/>
  <c r="AF279" i="12"/>
  <c r="AX275" i="12"/>
  <c r="AE279" i="12"/>
  <c r="AB279" i="12"/>
  <c r="AS278" i="12"/>
  <c r="AD279" i="12"/>
  <c r="AC279" i="12"/>
  <c r="AA279" i="12"/>
  <c r="Y279" i="12"/>
  <c r="R209" i="12"/>
  <c r="AM209" i="12"/>
  <c r="AJ209" i="12"/>
  <c r="O241" i="12"/>
  <c r="O246" i="4"/>
  <c r="BF246" i="4"/>
  <c r="BF222" i="4"/>
  <c r="D10" i="15"/>
  <c r="D9" i="15"/>
  <c r="D8" i="15"/>
  <c r="P4" i="15"/>
  <c r="M5" i="14"/>
  <c r="G18" i="14" s="1"/>
  <c r="D7" i="15"/>
  <c r="E5" i="3"/>
  <c r="E10" i="3"/>
  <c r="E7" i="3"/>
  <c r="E20" i="3"/>
  <c r="E6" i="3"/>
  <c r="E21" i="3"/>
  <c r="G6" i="15"/>
  <c r="E9" i="3"/>
  <c r="F8" i="15"/>
  <c r="E67" i="15"/>
  <c r="V276" i="12"/>
  <c r="X276" i="12"/>
  <c r="R234" i="12"/>
  <c r="O233" i="12"/>
  <c r="O238" i="4"/>
  <c r="BF238" i="4"/>
  <c r="X271" i="12"/>
  <c r="V271" i="12"/>
  <c r="R231" i="12"/>
  <c r="E65" i="15"/>
  <c r="BF256" i="4"/>
  <c r="F7" i="15"/>
  <c r="C67" i="15"/>
  <c r="R216" i="12"/>
  <c r="AB308" i="12"/>
  <c r="BD308" i="12"/>
  <c r="Y308" i="12"/>
  <c r="AS307" i="12"/>
  <c r="BC308" i="12"/>
  <c r="AD308" i="12"/>
  <c r="AC308" i="12"/>
  <c r="AA308" i="12"/>
  <c r="Z308" i="12"/>
  <c r="W308" i="12"/>
  <c r="AH308" i="12"/>
  <c r="AI308" i="12"/>
  <c r="AF308" i="12"/>
  <c r="AX304" i="12"/>
  <c r="AE308" i="12"/>
  <c r="AG308" i="12"/>
  <c r="S308" i="12"/>
  <c r="AY304" i="12"/>
  <c r="AT307" i="12"/>
  <c r="O262" i="12"/>
  <c r="O267" i="4"/>
  <c r="H63" i="15"/>
  <c r="C65" i="15"/>
  <c r="X288" i="12"/>
  <c r="V288" i="12"/>
  <c r="BD299" i="12"/>
  <c r="Y299" i="12"/>
  <c r="AS298" i="12"/>
  <c r="BC299" i="12"/>
  <c r="W299" i="12"/>
  <c r="AG299" i="12"/>
  <c r="S299" i="12"/>
  <c r="AF299" i="12"/>
  <c r="Z299" i="12"/>
  <c r="AT298" i="12"/>
  <c r="AI299" i="12"/>
  <c r="AE299" i="12"/>
  <c r="AY295" i="12"/>
  <c r="AD299" i="12"/>
  <c r="AX295" i="12"/>
  <c r="AC299" i="12"/>
  <c r="AH299" i="12"/>
  <c r="AB299" i="12"/>
  <c r="AA299" i="12"/>
  <c r="E61" i="15"/>
  <c r="I94" i="15"/>
  <c r="E15" i="3"/>
  <c r="J41" i="15"/>
  <c r="F9" i="15"/>
  <c r="E12" i="3"/>
  <c r="I90" i="15"/>
  <c r="E14" i="3"/>
  <c r="BG238" i="4"/>
  <c r="O230" i="12"/>
  <c r="O235" i="4"/>
  <c r="AB273" i="12"/>
  <c r="AX269" i="12"/>
  <c r="W273" i="12"/>
  <c r="BC273" i="12"/>
  <c r="AI273" i="12"/>
  <c r="S273" i="12"/>
  <c r="AH273" i="12"/>
  <c r="AG273" i="12"/>
  <c r="AF273" i="12"/>
  <c r="AE273" i="12"/>
  <c r="AD273" i="12"/>
  <c r="AT272" i="12"/>
  <c r="AC273" i="12"/>
  <c r="AS272" i="12"/>
  <c r="AA273" i="12"/>
  <c r="BD273" i="12"/>
  <c r="AY269" i="12"/>
  <c r="Z273" i="12"/>
  <c r="Y273" i="12"/>
  <c r="V290" i="12"/>
  <c r="X290" i="12"/>
  <c r="X313" i="12"/>
  <c r="V313" i="12"/>
  <c r="R226" i="12"/>
  <c r="O223" i="12"/>
  <c r="O228" i="4"/>
  <c r="O237" i="12"/>
  <c r="O242" i="4"/>
  <c r="BF242" i="4"/>
  <c r="R267" i="12"/>
  <c r="R235" i="12"/>
  <c r="O252" i="12"/>
  <c r="O257" i="4"/>
  <c r="BF257" i="4"/>
  <c r="D67" i="15"/>
  <c r="G7" i="15"/>
  <c r="J43" i="15"/>
  <c r="F10" i="15"/>
  <c r="E13" i="3"/>
  <c r="O220" i="12"/>
  <c r="O225" i="4"/>
  <c r="BF225" i="4"/>
  <c r="BF235" i="4"/>
  <c r="AE281" i="12"/>
  <c r="AD281" i="12"/>
  <c r="BD281" i="12"/>
  <c r="Y281" i="12"/>
  <c r="AS280" i="12"/>
  <c r="AF281" i="12"/>
  <c r="AC281" i="12"/>
  <c r="AB281" i="12"/>
  <c r="AA281" i="12"/>
  <c r="Z281" i="12"/>
  <c r="AY277" i="12"/>
  <c r="AX277" i="12"/>
  <c r="W281" i="12"/>
  <c r="S281" i="12"/>
  <c r="BC281" i="12"/>
  <c r="AI281" i="12"/>
  <c r="AH281" i="12"/>
  <c r="AT280" i="12"/>
  <c r="AG281" i="12"/>
  <c r="O244" i="12"/>
  <c r="O249" i="4"/>
  <c r="BG228" i="4"/>
  <c r="AI297" i="12"/>
  <c r="AH297" i="12"/>
  <c r="AG297" i="12"/>
  <c r="S297" i="12"/>
  <c r="AC297" i="12"/>
  <c r="AY293" i="12"/>
  <c r="AB297" i="12"/>
  <c r="AX293" i="12"/>
  <c r="BD297" i="12"/>
  <c r="AE297" i="12"/>
  <c r="BC297" i="12"/>
  <c r="AD297" i="12"/>
  <c r="AA297" i="12"/>
  <c r="Z297" i="12"/>
  <c r="Y297" i="12"/>
  <c r="W297" i="12"/>
  <c r="AT296" i="12"/>
  <c r="AS296" i="12"/>
  <c r="AF297" i="12"/>
  <c r="O245" i="12"/>
  <c r="O250" i="4"/>
  <c r="AI294" i="12"/>
  <c r="AH294" i="12"/>
  <c r="AD294" i="12"/>
  <c r="AC294" i="12"/>
  <c r="Z294" i="12"/>
  <c r="Y294" i="12"/>
  <c r="W294" i="12"/>
  <c r="S294" i="12"/>
  <c r="AT293" i="12"/>
  <c r="AS293" i="12"/>
  <c r="AG294" i="12"/>
  <c r="AF294" i="12"/>
  <c r="AY290" i="12"/>
  <c r="BD294" i="12"/>
  <c r="BC294" i="12"/>
  <c r="AX290" i="12"/>
  <c r="AB294" i="12"/>
  <c r="AE294" i="12"/>
  <c r="AA294" i="12"/>
  <c r="F67" i="15"/>
  <c r="G8" i="15"/>
  <c r="X311" i="12"/>
  <c r="V311" i="12"/>
  <c r="BC309" i="12"/>
  <c r="W309" i="12"/>
  <c r="AI309" i="12"/>
  <c r="AH309" i="12"/>
  <c r="AG309" i="12"/>
  <c r="S309" i="12"/>
  <c r="AT308" i="12"/>
  <c r="AS308" i="12"/>
  <c r="AE309" i="12"/>
  <c r="AY305" i="12"/>
  <c r="AD309" i="12"/>
  <c r="AX305" i="12"/>
  <c r="AA309" i="12"/>
  <c r="BD309" i="12"/>
  <c r="AF309" i="12"/>
  <c r="AC309" i="12"/>
  <c r="AB309" i="12"/>
  <c r="Y309" i="12"/>
  <c r="Z309" i="12"/>
  <c r="AI280" i="12"/>
  <c r="AD280" i="12"/>
  <c r="Z280" i="12"/>
  <c r="Y280" i="12"/>
  <c r="W280" i="12"/>
  <c r="AY276" i="12"/>
  <c r="S280" i="12"/>
  <c r="AX276" i="12"/>
  <c r="BD280" i="12"/>
  <c r="AH280" i="12"/>
  <c r="AE280" i="12"/>
  <c r="AT279" i="12"/>
  <c r="AF280" i="12"/>
  <c r="AC280" i="12"/>
  <c r="AS279" i="12"/>
  <c r="AB280" i="12"/>
  <c r="AA280" i="12"/>
  <c r="BC280" i="12"/>
  <c r="AG280" i="12"/>
  <c r="AJ208" i="12"/>
  <c r="R208" i="12"/>
  <c r="AM208" i="12"/>
  <c r="BG260" i="4"/>
  <c r="R228" i="12"/>
  <c r="AE239" i="12"/>
  <c r="AD239" i="12"/>
  <c r="AF239" i="12"/>
  <c r="AB239" i="12"/>
  <c r="BD239" i="12"/>
  <c r="BC239" i="12"/>
  <c r="AT238" i="12"/>
  <c r="AS238" i="12"/>
  <c r="AI239" i="12"/>
  <c r="AG239" i="12"/>
  <c r="AX235" i="12"/>
  <c r="AC239" i="12"/>
  <c r="AY235" i="12"/>
  <c r="AH239" i="12"/>
  <c r="H65" i="15"/>
  <c r="D65" i="15"/>
  <c r="O224" i="12"/>
  <c r="O229" i="4"/>
  <c r="BF229" i="4"/>
  <c r="O248" i="12"/>
  <c r="O253" i="4"/>
  <c r="R229" i="12"/>
  <c r="V300" i="12"/>
  <c r="X300" i="12"/>
  <c r="BG216" i="4"/>
  <c r="BG225" i="4"/>
  <c r="O265" i="12"/>
  <c r="O270" i="4"/>
  <c r="AG272" i="12"/>
  <c r="S272" i="12"/>
  <c r="AB272" i="12"/>
  <c r="AI272" i="12"/>
  <c r="AH272" i="12"/>
  <c r="AF272" i="12"/>
  <c r="AC272" i="12"/>
  <c r="AS271" i="12"/>
  <c r="AA272" i="12"/>
  <c r="Z272" i="12"/>
  <c r="AE272" i="12"/>
  <c r="AD272" i="12"/>
  <c r="Y272" i="12"/>
  <c r="W272" i="12"/>
  <c r="BD272" i="12"/>
  <c r="AT271" i="12"/>
  <c r="BC272" i="12"/>
  <c r="R225" i="12"/>
  <c r="I96" i="15" l="1"/>
  <c r="G63" i="15"/>
  <c r="G65" i="15"/>
  <c r="T1" i="4"/>
  <c r="R227" i="12"/>
  <c r="AM227" i="12"/>
  <c r="AJ227" i="12"/>
  <c r="AE247" i="12"/>
  <c r="AH247" i="12"/>
  <c r="AG247" i="12"/>
  <c r="AT246" i="12"/>
  <c r="AF247" i="12"/>
  <c r="BD247" i="12"/>
  <c r="AD247" i="12"/>
  <c r="BC247" i="12"/>
  <c r="AC247" i="12"/>
  <c r="AB247" i="12"/>
  <c r="AY243" i="12"/>
  <c r="AI247" i="12"/>
  <c r="AX243" i="12"/>
  <c r="AS246" i="12"/>
  <c r="X302" i="12"/>
  <c r="V302" i="12"/>
  <c r="AM231" i="12"/>
  <c r="AM244" i="12"/>
  <c r="AJ244" i="12"/>
  <c r="R244" i="12"/>
  <c r="AI231" i="12"/>
  <c r="AC231" i="12"/>
  <c r="AY227" i="12"/>
  <c r="AB231" i="12"/>
  <c r="AX227" i="12"/>
  <c r="BD231" i="12"/>
  <c r="AF231" i="12"/>
  <c r="AT230" i="12"/>
  <c r="AH231" i="12"/>
  <c r="AE231" i="12"/>
  <c r="BC231" i="12"/>
  <c r="AD231" i="12"/>
  <c r="AS230" i="12"/>
  <c r="AG231" i="12"/>
  <c r="X296" i="12"/>
  <c r="V296" i="12"/>
  <c r="R255" i="12"/>
  <c r="AM255" i="12"/>
  <c r="AJ255" i="12"/>
  <c r="AJ256" i="12"/>
  <c r="AM256" i="12"/>
  <c r="R256" i="12"/>
  <c r="AM243" i="12"/>
  <c r="AJ243" i="12"/>
  <c r="R243" i="12"/>
  <c r="X282" i="12"/>
  <c r="V282" i="12"/>
  <c r="AJ215" i="12"/>
  <c r="AM215" i="12"/>
  <c r="R215" i="12"/>
  <c r="X284" i="12"/>
  <c r="V284" i="12"/>
  <c r="AJ229" i="12"/>
  <c r="X309" i="12"/>
  <c r="V309" i="12"/>
  <c r="AM223" i="12"/>
  <c r="R223" i="12"/>
  <c r="AJ223" i="12"/>
  <c r="R230" i="12"/>
  <c r="AM230" i="12"/>
  <c r="AJ230" i="12"/>
  <c r="X308" i="12"/>
  <c r="V308" i="12"/>
  <c r="AJ231" i="12"/>
  <c r="X307" i="12"/>
  <c r="V307" i="12"/>
  <c r="AM249" i="12"/>
  <c r="AM261" i="12"/>
  <c r="AM254" i="12"/>
  <c r="R254" i="12"/>
  <c r="AJ254" i="12"/>
  <c r="V277" i="12"/>
  <c r="X277" i="12"/>
  <c r="V278" i="12"/>
  <c r="X278" i="12"/>
  <c r="X306" i="12"/>
  <c r="V306" i="12"/>
  <c r="AM226" i="12"/>
  <c r="R259" i="12"/>
  <c r="AM259" i="12"/>
  <c r="AJ259" i="12"/>
  <c r="AT248" i="12"/>
  <c r="AI249" i="12"/>
  <c r="AB249" i="12"/>
  <c r="BD249" i="12"/>
  <c r="BC249" i="12"/>
  <c r="AY245" i="12"/>
  <c r="AX245" i="12"/>
  <c r="AS248" i="12"/>
  <c r="AF249" i="12"/>
  <c r="AD249" i="12"/>
  <c r="AC249" i="12"/>
  <c r="Y249" i="12"/>
  <c r="W249" i="12"/>
  <c r="AH249" i="12"/>
  <c r="AG249" i="12"/>
  <c r="AE249" i="12"/>
  <c r="AM251" i="12"/>
  <c r="AJ251" i="12"/>
  <c r="R251" i="12"/>
  <c r="AE261" i="12"/>
  <c r="AD261" i="12"/>
  <c r="BD261" i="12"/>
  <c r="AW261" i="12" s="1"/>
  <c r="AI261" i="12"/>
  <c r="BC261" i="12"/>
  <c r="AY261" i="12" s="1"/>
  <c r="AH261" i="12"/>
  <c r="AY257" i="12"/>
  <c r="AG261" i="12"/>
  <c r="AT260" i="12"/>
  <c r="AX257" i="12"/>
  <c r="AF261" i="12"/>
  <c r="AS260" i="12"/>
  <c r="AC261" i="12"/>
  <c r="AB261" i="12"/>
  <c r="AJ219" i="12"/>
  <c r="AJ213" i="12"/>
  <c r="X299" i="12"/>
  <c r="V299" i="12"/>
  <c r="E113" i="15"/>
  <c r="F79" i="15"/>
  <c r="C112" i="15"/>
  <c r="I77" i="15"/>
  <c r="C76" i="15"/>
  <c r="E66" i="15"/>
  <c r="E42" i="15"/>
  <c r="F40" i="15"/>
  <c r="G38" i="15"/>
  <c r="Q25" i="15"/>
  <c r="D106" i="15"/>
  <c r="D109" i="15"/>
  <c r="D103" i="15"/>
  <c r="C78" i="15"/>
  <c r="I42" i="15"/>
  <c r="I40" i="15"/>
  <c r="I38" i="15"/>
  <c r="Q30" i="15"/>
  <c r="C109" i="15"/>
  <c r="C103" i="15"/>
  <c r="I81" i="15"/>
  <c r="I75" i="15"/>
  <c r="H42" i="15"/>
  <c r="H40" i="15"/>
  <c r="H38" i="15"/>
  <c r="C30" i="15"/>
  <c r="C25" i="15"/>
  <c r="C21" i="15"/>
  <c r="I79" i="15"/>
  <c r="G42" i="15"/>
  <c r="G40" i="15"/>
  <c r="F38" i="15"/>
  <c r="Q24" i="15"/>
  <c r="F81" i="15"/>
  <c r="F75" i="15"/>
  <c r="D42" i="15"/>
  <c r="D40" i="15"/>
  <c r="D38" i="15"/>
  <c r="C29" i="15"/>
  <c r="C24" i="15"/>
  <c r="C81" i="15"/>
  <c r="C77" i="15"/>
  <c r="C64" i="15"/>
  <c r="C60" i="15"/>
  <c r="Q32" i="15"/>
  <c r="Q23" i="15"/>
  <c r="D4" i="15"/>
  <c r="D112" i="15"/>
  <c r="C106" i="15"/>
  <c r="I80" i="15"/>
  <c r="C75" i="15"/>
  <c r="D12" i="15"/>
  <c r="I78" i="15"/>
  <c r="C80" i="15"/>
  <c r="H11" i="15"/>
  <c r="E6" i="15"/>
  <c r="C22" i="15"/>
  <c r="D6" i="15"/>
  <c r="C79" i="15"/>
  <c r="E60" i="15"/>
  <c r="J42" i="15"/>
  <c r="Q21" i="15"/>
  <c r="E11" i="15"/>
  <c r="P5" i="15"/>
  <c r="D20" i="15" s="1"/>
  <c r="F42" i="15"/>
  <c r="Q20" i="15"/>
  <c r="D11" i="15"/>
  <c r="C42" i="15"/>
  <c r="J38" i="15"/>
  <c r="C20" i="15"/>
  <c r="F78" i="15"/>
  <c r="G66" i="15"/>
  <c r="E38" i="15"/>
  <c r="Q26" i="15"/>
  <c r="C66" i="15"/>
  <c r="C38" i="15"/>
  <c r="C32" i="15"/>
  <c r="C26" i="15"/>
  <c r="F80" i="15"/>
  <c r="C62" i="15"/>
  <c r="F77" i="15"/>
  <c r="Q29" i="15"/>
  <c r="P7" i="15"/>
  <c r="F76" i="15"/>
  <c r="J40" i="15"/>
  <c r="P6" i="15"/>
  <c r="E64" i="15"/>
  <c r="E40" i="15"/>
  <c r="E62" i="15"/>
  <c r="C40" i="15"/>
  <c r="Q22" i="15"/>
  <c r="I11" i="15"/>
  <c r="C23" i="15"/>
  <c r="I76" i="15"/>
  <c r="AJ225" i="12"/>
  <c r="BD225" i="12"/>
  <c r="AH225" i="12"/>
  <c r="AG225" i="12"/>
  <c r="BC225" i="12"/>
  <c r="AF225" i="12"/>
  <c r="AT224" i="12"/>
  <c r="AY221" i="12"/>
  <c r="AD225" i="12"/>
  <c r="AS224" i="12"/>
  <c r="AE225" i="12"/>
  <c r="AX221" i="12"/>
  <c r="AI225" i="12"/>
  <c r="AC225" i="12"/>
  <c r="AB225" i="12"/>
  <c r="AE229" i="12"/>
  <c r="BD229" i="12"/>
  <c r="AS228" i="12"/>
  <c r="BC229" i="12"/>
  <c r="AY225" i="12"/>
  <c r="AX225" i="12"/>
  <c r="AI229" i="12"/>
  <c r="AH229" i="12"/>
  <c r="AD229" i="12"/>
  <c r="AG229" i="12"/>
  <c r="AF229" i="12"/>
  <c r="AC229" i="12"/>
  <c r="AT228" i="12"/>
  <c r="AB229" i="12"/>
  <c r="AM225" i="12"/>
  <c r="AM229" i="12"/>
  <c r="AJ226" i="12"/>
  <c r="AM217" i="12"/>
  <c r="AJ217" i="12"/>
  <c r="R217" i="12"/>
  <c r="W222" i="12" s="1"/>
  <c r="AM221" i="12"/>
  <c r="AJ221" i="12"/>
  <c r="R221" i="12"/>
  <c r="AJ218" i="12"/>
  <c r="AM218" i="12"/>
  <c r="R218" i="12"/>
  <c r="AJ249" i="12"/>
  <c r="AM257" i="12"/>
  <c r="AJ261" i="12"/>
  <c r="BD219" i="12"/>
  <c r="AS218" i="12"/>
  <c r="AI219" i="12"/>
  <c r="AH219" i="12"/>
  <c r="AY215" i="12"/>
  <c r="BC219" i="12"/>
  <c r="AG219" i="12"/>
  <c r="AD219" i="12"/>
  <c r="AC219" i="12"/>
  <c r="AE219" i="12"/>
  <c r="AX215" i="12"/>
  <c r="AT218" i="12"/>
  <c r="AF219" i="12"/>
  <c r="AB219" i="12"/>
  <c r="AM213" i="12"/>
  <c r="R210" i="12"/>
  <c r="AM210" i="12"/>
  <c r="AJ210" i="12"/>
  <c r="AM239" i="12"/>
  <c r="AM253" i="12"/>
  <c r="AJ239" i="12"/>
  <c r="AJ253" i="12"/>
  <c r="V294" i="12"/>
  <c r="X294" i="12"/>
  <c r="AJ247" i="12"/>
  <c r="X293" i="12"/>
  <c r="V293" i="12"/>
  <c r="AM237" i="12"/>
  <c r="AJ237" i="12"/>
  <c r="R237" i="12"/>
  <c r="AM228" i="12"/>
  <c r="AM252" i="12"/>
  <c r="AJ252" i="12"/>
  <c r="R252" i="12"/>
  <c r="AF226" i="12"/>
  <c r="BC226" i="12"/>
  <c r="AG226" i="12"/>
  <c r="AI226" i="12"/>
  <c r="AT225" i="12"/>
  <c r="AH226" i="12"/>
  <c r="AS225" i="12"/>
  <c r="AC226" i="12"/>
  <c r="AE226" i="12"/>
  <c r="AD226" i="12"/>
  <c r="AY222" i="12"/>
  <c r="AB226" i="12"/>
  <c r="AX222" i="12"/>
  <c r="BD226" i="12"/>
  <c r="AC216" i="12"/>
  <c r="AF216" i="12"/>
  <c r="AE216" i="12"/>
  <c r="AB216" i="12"/>
  <c r="AX212" i="12"/>
  <c r="AS215" i="12"/>
  <c r="AI216" i="12"/>
  <c r="AH216" i="12"/>
  <c r="AG216" i="12"/>
  <c r="AD216" i="12"/>
  <c r="BD216" i="12"/>
  <c r="BC216" i="12"/>
  <c r="AY212" i="12"/>
  <c r="AT215" i="12"/>
  <c r="AB257" i="12"/>
  <c r="AX253" i="12"/>
  <c r="AI257" i="12"/>
  <c r="BD257" i="12"/>
  <c r="AW257" i="12" s="1"/>
  <c r="AH257" i="12"/>
  <c r="BC257" i="12"/>
  <c r="AG257" i="12"/>
  <c r="AF257" i="12"/>
  <c r="AE257" i="12"/>
  <c r="AT256" i="12"/>
  <c r="AD257" i="12"/>
  <c r="AS256" i="12"/>
  <c r="AC257" i="12"/>
  <c r="AY253" i="12"/>
  <c r="AJ240" i="12"/>
  <c r="AM219" i="12"/>
  <c r="AF213" i="12"/>
  <c r="AE213" i="12"/>
  <c r="AC213" i="12"/>
  <c r="AY209" i="12"/>
  <c r="AT212" i="12"/>
  <c r="BD213" i="12"/>
  <c r="Y213" i="12"/>
  <c r="AS212" i="12"/>
  <c r="AX209" i="12"/>
  <c r="AI213" i="12"/>
  <c r="AH213" i="12"/>
  <c r="AG213" i="12"/>
  <c r="AD213" i="12"/>
  <c r="BC213" i="12"/>
  <c r="AB213" i="12"/>
  <c r="X274" i="12"/>
  <c r="V274" i="12"/>
  <c r="AD228" i="12"/>
  <c r="AC228" i="12"/>
  <c r="AG228" i="12"/>
  <c r="AT227" i="12"/>
  <c r="AS227" i="12"/>
  <c r="AH228" i="12"/>
  <c r="AE228" i="12"/>
  <c r="AB228" i="12"/>
  <c r="BD228" i="12"/>
  <c r="BC228" i="12"/>
  <c r="AY224" i="12"/>
  <c r="AX224" i="12"/>
  <c r="AI228" i="12"/>
  <c r="AF228" i="12"/>
  <c r="AM235" i="12"/>
  <c r="AJ216" i="12"/>
  <c r="AM241" i="12"/>
  <c r="R241" i="12"/>
  <c r="AJ241" i="12"/>
  <c r="X289" i="12"/>
  <c r="V289" i="12"/>
  <c r="AM232" i="12"/>
  <c r="AJ232" i="12"/>
  <c r="R232" i="12"/>
  <c r="V304" i="12"/>
  <c r="X304" i="12"/>
  <c r="AJ257" i="12"/>
  <c r="AI266" i="12"/>
  <c r="AH266" i="12"/>
  <c r="AG266" i="12"/>
  <c r="AC266" i="12"/>
  <c r="AB266" i="12"/>
  <c r="AF266" i="12"/>
  <c r="AE266" i="12"/>
  <c r="AD266" i="12"/>
  <c r="BD266" i="12"/>
  <c r="AW266" i="12" s="1"/>
  <c r="BC266" i="12"/>
  <c r="AY266" i="12" s="1"/>
  <c r="AT265" i="12"/>
  <c r="AS265" i="12"/>
  <c r="R258" i="12"/>
  <c r="AM258" i="12"/>
  <c r="AJ258" i="12"/>
  <c r="AJ263" i="12"/>
  <c r="AM263" i="12"/>
  <c r="R263" i="12"/>
  <c r="Y264" i="12" s="1"/>
  <c r="AM262" i="12"/>
  <c r="AJ262" i="12"/>
  <c r="R262" i="12"/>
  <c r="AD242" i="12"/>
  <c r="AC242" i="12"/>
  <c r="AY238" i="12"/>
  <c r="AF242" i="12"/>
  <c r="AB242" i="12"/>
  <c r="AS241" i="12"/>
  <c r="BD242" i="12"/>
  <c r="BC242" i="12"/>
  <c r="AI242" i="12"/>
  <c r="AG242" i="12"/>
  <c r="AT241" i="12"/>
  <c r="AH242" i="12"/>
  <c r="AX238" i="12"/>
  <c r="AE242" i="12"/>
  <c r="AJ228" i="12"/>
  <c r="R245" i="12"/>
  <c r="AJ245" i="12"/>
  <c r="AM245" i="12"/>
  <c r="X281" i="12"/>
  <c r="V281" i="12"/>
  <c r="AC235" i="12"/>
  <c r="AY231" i="12"/>
  <c r="AI235" i="12"/>
  <c r="AT234" i="12"/>
  <c r="AS234" i="12"/>
  <c r="AG235" i="12"/>
  <c r="AF235" i="12"/>
  <c r="AX231" i="12"/>
  <c r="BD235" i="12"/>
  <c r="AE235" i="12"/>
  <c r="AD235" i="12"/>
  <c r="AB235" i="12"/>
  <c r="BC235" i="12"/>
  <c r="AH235" i="12"/>
  <c r="AM216" i="12"/>
  <c r="AM233" i="12"/>
  <c r="R233" i="12"/>
  <c r="AJ233" i="12"/>
  <c r="AJ260" i="12"/>
  <c r="R260" i="12"/>
  <c r="AM260" i="12"/>
  <c r="AJ266" i="12"/>
  <c r="AF240" i="12"/>
  <c r="AT239" i="12"/>
  <c r="BD240" i="12"/>
  <c r="AS239" i="12"/>
  <c r="BC240" i="12"/>
  <c r="AI240" i="12"/>
  <c r="AH240" i="12"/>
  <c r="AG240" i="12"/>
  <c r="AX236" i="12"/>
  <c r="AE240" i="12"/>
  <c r="AB240" i="12"/>
  <c r="AD240" i="12"/>
  <c r="AC240" i="12"/>
  <c r="AY236" i="12"/>
  <c r="AJ265" i="12"/>
  <c r="AM265" i="12"/>
  <c r="R265" i="12"/>
  <c r="AJ238" i="12"/>
  <c r="R238" i="12"/>
  <c r="AM238" i="12"/>
  <c r="X287" i="12"/>
  <c r="V287" i="12"/>
  <c r="AJ235" i="12"/>
  <c r="AM234" i="12"/>
  <c r="R236" i="12"/>
  <c r="W240" i="12" s="1"/>
  <c r="AM236" i="12"/>
  <c r="AJ236" i="12"/>
  <c r="V292" i="12"/>
  <c r="X292" i="12"/>
  <c r="AI250" i="12"/>
  <c r="AD250" i="12"/>
  <c r="AB250" i="12"/>
  <c r="AS249" i="12"/>
  <c r="AY246" i="12"/>
  <c r="BD250" i="12"/>
  <c r="AX246" i="12"/>
  <c r="AT249" i="12"/>
  <c r="AH250" i="12"/>
  <c r="AG250" i="12"/>
  <c r="AF250" i="12"/>
  <c r="BC250" i="12"/>
  <c r="AE250" i="12"/>
  <c r="AC250" i="12"/>
  <c r="Y250" i="12"/>
  <c r="W250" i="12"/>
  <c r="AM206" i="12"/>
  <c r="AJ206" i="12"/>
  <c r="R206" i="12"/>
  <c r="X295" i="12"/>
  <c r="V295" i="12"/>
  <c r="AD267" i="12"/>
  <c r="AH267" i="12"/>
  <c r="AG267" i="12"/>
  <c r="AF267" i="12"/>
  <c r="AS266" i="12"/>
  <c r="AI267" i="12"/>
  <c r="AE267" i="12"/>
  <c r="BD267" i="12"/>
  <c r="AW267" i="12" s="1"/>
  <c r="AC267" i="12"/>
  <c r="BC267" i="12"/>
  <c r="AY267" i="12" s="1"/>
  <c r="AB267" i="12"/>
  <c r="AT266" i="12"/>
  <c r="AM264" i="12"/>
  <c r="AJ248" i="12"/>
  <c r="AM248" i="12"/>
  <c r="R248" i="12"/>
  <c r="AM224" i="12"/>
  <c r="AJ224" i="12"/>
  <c r="R224" i="12"/>
  <c r="X297" i="12"/>
  <c r="V297" i="12"/>
  <c r="AM267" i="12"/>
  <c r="V273" i="12"/>
  <c r="X273" i="12"/>
  <c r="AH234" i="12"/>
  <c r="AB234" i="12"/>
  <c r="AX230" i="12"/>
  <c r="BD234" i="12"/>
  <c r="BC234" i="12"/>
  <c r="AI234" i="12"/>
  <c r="AE234" i="12"/>
  <c r="AS233" i="12"/>
  <c r="AT233" i="12"/>
  <c r="AG234" i="12"/>
  <c r="AC234" i="12"/>
  <c r="AY230" i="12"/>
  <c r="AF234" i="12"/>
  <c r="AD234" i="12"/>
  <c r="BC209" i="12"/>
  <c r="AI209" i="12"/>
  <c r="AF209" i="12"/>
  <c r="AE209" i="12"/>
  <c r="AB209" i="12"/>
  <c r="AX205" i="12"/>
  <c r="Y209" i="12"/>
  <c r="AY205" i="12"/>
  <c r="AS208" i="12"/>
  <c r="AD209" i="12"/>
  <c r="BD209" i="12"/>
  <c r="AH209" i="12"/>
  <c r="AT208" i="12"/>
  <c r="AG209" i="12"/>
  <c r="AC209" i="12"/>
  <c r="V279" i="12"/>
  <c r="X279" i="12"/>
  <c r="X303" i="12"/>
  <c r="V303" i="12"/>
  <c r="AM211" i="12"/>
  <c r="AJ211" i="12"/>
  <c r="R211" i="12"/>
  <c r="AM214" i="12"/>
  <c r="AJ214" i="12"/>
  <c r="R214" i="12"/>
  <c r="AJ250" i="12"/>
  <c r="W212" i="12"/>
  <c r="AH212" i="12"/>
  <c r="AE212" i="12"/>
  <c r="AD212" i="12"/>
  <c r="AS211" i="12"/>
  <c r="AY208" i="12"/>
  <c r="AX208" i="12"/>
  <c r="AI212" i="12"/>
  <c r="AG212" i="12"/>
  <c r="AF212" i="12"/>
  <c r="AC212" i="12"/>
  <c r="Y212" i="12"/>
  <c r="BD212" i="12"/>
  <c r="BC212" i="12"/>
  <c r="AT211" i="12"/>
  <c r="AB212" i="12"/>
  <c r="R207" i="12"/>
  <c r="W209" i="12" s="1"/>
  <c r="AM207" i="12"/>
  <c r="AJ207" i="12"/>
  <c r="AM222" i="12"/>
  <c r="R246" i="12"/>
  <c r="AM246" i="12"/>
  <c r="AJ246" i="12"/>
  <c r="B18" i="14"/>
  <c r="C18" i="14" s="1"/>
  <c r="G17" i="14"/>
  <c r="E18" i="14"/>
  <c r="AE264" i="12"/>
  <c r="BD264" i="12"/>
  <c r="AW264" i="12" s="1"/>
  <c r="AH264" i="12"/>
  <c r="AG264" i="12"/>
  <c r="AT263" i="12"/>
  <c r="AS263" i="12"/>
  <c r="AI264" i="12"/>
  <c r="AF264" i="12"/>
  <c r="BC264" i="12"/>
  <c r="AY264" i="12" s="1"/>
  <c r="AD264" i="12"/>
  <c r="AC264" i="12"/>
  <c r="AB264" i="12"/>
  <c r="X272" i="12"/>
  <c r="V272" i="12"/>
  <c r="AC208" i="12"/>
  <c r="AY204" i="12"/>
  <c r="AB208" i="12"/>
  <c r="AX204" i="12"/>
  <c r="AT207" i="12"/>
  <c r="AG208" i="12"/>
  <c r="AS207" i="12"/>
  <c r="AF208" i="12"/>
  <c r="BD208" i="12"/>
  <c r="BC208" i="12"/>
  <c r="AI208" i="12"/>
  <c r="AH208" i="12"/>
  <c r="AE208" i="12"/>
  <c r="AD208" i="12"/>
  <c r="V280" i="12"/>
  <c r="X280" i="12"/>
  <c r="R220" i="12"/>
  <c r="AJ220" i="12"/>
  <c r="AM220" i="12"/>
  <c r="AJ267" i="12"/>
  <c r="AJ234" i="12"/>
  <c r="AM250" i="12"/>
  <c r="AJ212" i="12"/>
  <c r="BC222" i="12"/>
  <c r="AD222" i="12"/>
  <c r="AC222" i="12"/>
  <c r="AY218" i="12"/>
  <c r="BD222" i="12"/>
  <c r="AI222" i="12"/>
  <c r="AX218" i="12"/>
  <c r="AG222" i="12"/>
  <c r="AT221" i="12"/>
  <c r="AB222" i="12"/>
  <c r="AF222" i="12"/>
  <c r="AS221" i="12"/>
  <c r="AH222" i="12"/>
  <c r="AE222" i="12"/>
  <c r="W219" i="12" l="1"/>
  <c r="R22" i="15"/>
  <c r="D26" i="15"/>
  <c r="R20" i="15"/>
  <c r="D30" i="15"/>
  <c r="D21" i="15"/>
  <c r="R29" i="15"/>
  <c r="R30" i="15"/>
  <c r="R26" i="15"/>
  <c r="D25" i="15"/>
  <c r="D22" i="15"/>
  <c r="R21" i="15"/>
  <c r="W264" i="12"/>
  <c r="W267" i="12"/>
  <c r="W231" i="12"/>
  <c r="Y267" i="12"/>
  <c r="Y216" i="12"/>
  <c r="Y240" i="12"/>
  <c r="W266" i="12"/>
  <c r="Y268" i="12"/>
  <c r="W268" i="12"/>
  <c r="Y266" i="12"/>
  <c r="Y261" i="12"/>
  <c r="Y219" i="12"/>
  <c r="D32" i="15"/>
  <c r="D29" i="15"/>
  <c r="AC254" i="12"/>
  <c r="AY250" i="12"/>
  <c r="BC254" i="12"/>
  <c r="W254" i="12"/>
  <c r="AI254" i="12"/>
  <c r="AF254" i="12"/>
  <c r="AS253" i="12"/>
  <c r="AE254" i="12"/>
  <c r="AD254" i="12"/>
  <c r="Y254" i="12"/>
  <c r="AT253" i="12"/>
  <c r="AX250" i="12"/>
  <c r="BD254" i="12"/>
  <c r="AH254" i="12"/>
  <c r="AG254" i="12"/>
  <c r="AB254" i="12"/>
  <c r="W257" i="12"/>
  <c r="W229" i="12"/>
  <c r="BC236" i="12"/>
  <c r="AF236" i="12"/>
  <c r="AE236" i="12"/>
  <c r="AG236" i="12"/>
  <c r="AC236" i="12"/>
  <c r="AB236" i="12"/>
  <c r="Y236" i="12"/>
  <c r="AS235" i="12"/>
  <c r="AH236" i="12"/>
  <c r="AD236" i="12"/>
  <c r="AY232" i="12"/>
  <c r="AX232" i="12"/>
  <c r="BD236" i="12"/>
  <c r="AT235" i="12"/>
  <c r="AI236" i="12"/>
  <c r="W236" i="12"/>
  <c r="Y239" i="12"/>
  <c r="W239" i="12"/>
  <c r="Y257" i="12"/>
  <c r="AT262" i="12"/>
  <c r="AI263" i="12"/>
  <c r="AH263" i="12"/>
  <c r="BC263" i="12"/>
  <c r="AY263" i="12" s="1"/>
  <c r="AE263" i="12"/>
  <c r="AS262" i="12"/>
  <c r="AD263" i="12"/>
  <c r="AC263" i="12"/>
  <c r="AB263" i="12"/>
  <c r="Y263" i="12"/>
  <c r="W263" i="12"/>
  <c r="AG263" i="12"/>
  <c r="S263" i="12"/>
  <c r="AA263" i="12" s="1"/>
  <c r="AF263" i="12"/>
  <c r="BD263" i="12"/>
  <c r="AW263" i="12" s="1"/>
  <c r="AD232" i="12"/>
  <c r="BC232" i="12"/>
  <c r="W232" i="12"/>
  <c r="Y232" i="12"/>
  <c r="AG232" i="12"/>
  <c r="AY228" i="12"/>
  <c r="AF232" i="12"/>
  <c r="AX228" i="12"/>
  <c r="BD232" i="12"/>
  <c r="AE232" i="12"/>
  <c r="AC232" i="12"/>
  <c r="AS231" i="12"/>
  <c r="AI232" i="12"/>
  <c r="AT231" i="12"/>
  <c r="AH232" i="12"/>
  <c r="AB232" i="12"/>
  <c r="AC221" i="12"/>
  <c r="AY217" i="12"/>
  <c r="AF221" i="12"/>
  <c r="AE221" i="12"/>
  <c r="AG221" i="12"/>
  <c r="AD221" i="12"/>
  <c r="W221" i="12"/>
  <c r="AI221" i="12"/>
  <c r="AH221" i="12"/>
  <c r="AB221" i="12"/>
  <c r="Y221" i="12"/>
  <c r="AT220" i="12"/>
  <c r="BC221" i="12"/>
  <c r="BD221" i="12"/>
  <c r="AX217" i="12"/>
  <c r="AS220" i="12"/>
  <c r="Y225" i="12"/>
  <c r="W261" i="12"/>
  <c r="AG256" i="12"/>
  <c r="AB256" i="12"/>
  <c r="AX252" i="12"/>
  <c r="AF256" i="12"/>
  <c r="AT255" i="12"/>
  <c r="AY252" i="12"/>
  <c r="AE256" i="12"/>
  <c r="AS255" i="12"/>
  <c r="AD256" i="12"/>
  <c r="AC256" i="12"/>
  <c r="Y256" i="12"/>
  <c r="W256" i="12"/>
  <c r="BD256" i="12"/>
  <c r="AW256" i="12" s="1"/>
  <c r="AI256" i="12"/>
  <c r="BC256" i="12"/>
  <c r="AH256" i="12"/>
  <c r="Y208" i="12"/>
  <c r="AH220" i="12"/>
  <c r="AG220" i="12"/>
  <c r="AF220" i="12"/>
  <c r="Y220" i="12"/>
  <c r="W220" i="12"/>
  <c r="BD220" i="12"/>
  <c r="AD220" i="12"/>
  <c r="AE220" i="12"/>
  <c r="AC220" i="12"/>
  <c r="AB220" i="12"/>
  <c r="AT219" i="12"/>
  <c r="AS219" i="12"/>
  <c r="BC220" i="12"/>
  <c r="AX216" i="12"/>
  <c r="AI220" i="12"/>
  <c r="AY216" i="12"/>
  <c r="AB224" i="12"/>
  <c r="AX220" i="12"/>
  <c r="Y224" i="12"/>
  <c r="AY220" i="12"/>
  <c r="AC224" i="12"/>
  <c r="W224" i="12"/>
  <c r="AG224" i="12"/>
  <c r="AI224" i="12"/>
  <c r="AH224" i="12"/>
  <c r="AF224" i="12"/>
  <c r="AE224" i="12"/>
  <c r="AD224" i="12"/>
  <c r="BD224" i="12"/>
  <c r="AS223" i="12"/>
  <c r="BC224" i="12"/>
  <c r="AT223" i="12"/>
  <c r="BD206" i="12"/>
  <c r="Y206" i="12"/>
  <c r="AS205" i="12"/>
  <c r="BC206" i="12"/>
  <c r="AG206" i="12"/>
  <c r="S206" i="12"/>
  <c r="AF206" i="12"/>
  <c r="AC206" i="12"/>
  <c r="AY202" i="12"/>
  <c r="AB206" i="12"/>
  <c r="AX202" i="12"/>
  <c r="Z206" i="12"/>
  <c r="AT205" i="12"/>
  <c r="AI206" i="12"/>
  <c r="AH206" i="12"/>
  <c r="AE206" i="12"/>
  <c r="AD206" i="12"/>
  <c r="W206" i="12"/>
  <c r="AG237" i="12"/>
  <c r="AT236" i="12"/>
  <c r="BC237" i="12"/>
  <c r="AI237" i="12"/>
  <c r="AH237" i="12"/>
  <c r="AY233" i="12"/>
  <c r="AD237" i="12"/>
  <c r="AX233" i="12"/>
  <c r="AF237" i="12"/>
  <c r="AE237" i="12"/>
  <c r="AC237" i="12"/>
  <c r="BD237" i="12"/>
  <c r="AS236" i="12"/>
  <c r="AB237" i="12"/>
  <c r="Y237" i="12"/>
  <c r="W237" i="12"/>
  <c r="AG210" i="12"/>
  <c r="S210" i="12"/>
  <c r="AA210" i="12" s="1"/>
  <c r="AF210" i="12"/>
  <c r="AD210" i="12"/>
  <c r="Z210" i="12"/>
  <c r="AT209" i="12"/>
  <c r="W210" i="12"/>
  <c r="AS209" i="12"/>
  <c r="AY206" i="12"/>
  <c r="AE210" i="12"/>
  <c r="AI210" i="12"/>
  <c r="AH210" i="12"/>
  <c r="AX206" i="12"/>
  <c r="AC210" i="12"/>
  <c r="AB210" i="12"/>
  <c r="Y210" i="12"/>
  <c r="BD210" i="12"/>
  <c r="BC210" i="12"/>
  <c r="R23" i="15"/>
  <c r="AF259" i="12"/>
  <c r="AT258" i="12"/>
  <c r="AD259" i="12"/>
  <c r="AC259" i="12"/>
  <c r="AB259" i="12"/>
  <c r="Y259" i="12"/>
  <c r="W259" i="12"/>
  <c r="BD259" i="12"/>
  <c r="AW259" i="12" s="1"/>
  <c r="AI259" i="12"/>
  <c r="AE259" i="12"/>
  <c r="AS258" i="12"/>
  <c r="BC259" i="12"/>
  <c r="AY259" i="12" s="1"/>
  <c r="AH259" i="12"/>
  <c r="AG259" i="12"/>
  <c r="AY255" i="12"/>
  <c r="AX255" i="12"/>
  <c r="BC255" i="12"/>
  <c r="AG255" i="12"/>
  <c r="AF255" i="12"/>
  <c r="AB255" i="12"/>
  <c r="Y255" i="12"/>
  <c r="AI255" i="12"/>
  <c r="AE255" i="12"/>
  <c r="AD255" i="12"/>
  <c r="AC255" i="12"/>
  <c r="W255" i="12"/>
  <c r="AT254" i="12"/>
  <c r="AY251" i="12"/>
  <c r="BD255" i="12"/>
  <c r="AS254" i="12"/>
  <c r="AX251" i="12"/>
  <c r="AH255" i="12"/>
  <c r="W234" i="12"/>
  <c r="W208" i="12"/>
  <c r="W228" i="12"/>
  <c r="W216" i="12"/>
  <c r="Q31" i="15"/>
  <c r="C31" i="15"/>
  <c r="D31" i="15" s="1"/>
  <c r="R31" i="15" s="1"/>
  <c r="AI215" i="12"/>
  <c r="AG215" i="12"/>
  <c r="AD215" i="12"/>
  <c r="AC215" i="12"/>
  <c r="AY211" i="12"/>
  <c r="AT214" i="12"/>
  <c r="AH215" i="12"/>
  <c r="AF215" i="12"/>
  <c r="AE215" i="12"/>
  <c r="BD215" i="12"/>
  <c r="AB215" i="12"/>
  <c r="BC215" i="12"/>
  <c r="W215" i="12"/>
  <c r="AS214" i="12"/>
  <c r="Y215" i="12"/>
  <c r="AX211" i="12"/>
  <c r="W235" i="12"/>
  <c r="AE262" i="12"/>
  <c r="AT261" i="12"/>
  <c r="BD262" i="12"/>
  <c r="AW262" i="12" s="1"/>
  <c r="Y262" i="12"/>
  <c r="AS261" i="12"/>
  <c r="W262" i="12"/>
  <c r="BC262" i="12"/>
  <c r="AY262" i="12" s="1"/>
  <c r="AI262" i="12"/>
  <c r="AH262" i="12"/>
  <c r="AY258" i="12"/>
  <c r="AF262" i="12"/>
  <c r="AD262" i="12"/>
  <c r="AX258" i="12"/>
  <c r="AG262" i="12"/>
  <c r="AC262" i="12"/>
  <c r="AB262" i="12"/>
  <c r="G16" i="14"/>
  <c r="B17" i="14"/>
  <c r="E17" i="14" s="1"/>
  <c r="AI260" i="12"/>
  <c r="AF260" i="12"/>
  <c r="AE260" i="12"/>
  <c r="AY256" i="12"/>
  <c r="AD260" i="12"/>
  <c r="AT259" i="12"/>
  <c r="AX256" i="12"/>
  <c r="AC260" i="12"/>
  <c r="AS259" i="12"/>
  <c r="AB260" i="12"/>
  <c r="Y260" i="12"/>
  <c r="AG260" i="12"/>
  <c r="BC260" i="12"/>
  <c r="AY260" i="12" s="1"/>
  <c r="BD260" i="12"/>
  <c r="AW260" i="12" s="1"/>
  <c r="AH260" i="12"/>
  <c r="W260" i="12"/>
  <c r="W242" i="12"/>
  <c r="Y228" i="12"/>
  <c r="W213" i="12"/>
  <c r="BD217" i="12"/>
  <c r="AD217" i="12"/>
  <c r="AC217" i="12"/>
  <c r="AS216" i="12"/>
  <c r="W217" i="12"/>
  <c r="AH217" i="12"/>
  <c r="AI217" i="12"/>
  <c r="AG217" i="12"/>
  <c r="AF217" i="12"/>
  <c r="AE217" i="12"/>
  <c r="AB217" i="12"/>
  <c r="BC217" i="12"/>
  <c r="Y217" i="12"/>
  <c r="AY213" i="12"/>
  <c r="AT216" i="12"/>
  <c r="AX213" i="12"/>
  <c r="E14" i="15"/>
  <c r="C14" i="15"/>
  <c r="I14" i="15"/>
  <c r="H14" i="15"/>
  <c r="D14" i="15"/>
  <c r="D23" i="15"/>
  <c r="W244" i="12"/>
  <c r="AD244" i="12"/>
  <c r="BD244" i="12"/>
  <c r="AB244" i="12"/>
  <c r="AY240" i="12"/>
  <c r="BC244" i="12"/>
  <c r="AG244" i="12"/>
  <c r="AT243" i="12"/>
  <c r="AI244" i="12"/>
  <c r="AX240" i="12"/>
  <c r="AH244" i="12"/>
  <c r="AE244" i="12"/>
  <c r="AS243" i="12"/>
  <c r="AF244" i="12"/>
  <c r="AC244" i="12"/>
  <c r="Y244" i="12"/>
  <c r="Y231" i="12"/>
  <c r="AF245" i="12"/>
  <c r="AB245" i="12"/>
  <c r="AT244" i="12"/>
  <c r="BC245" i="12"/>
  <c r="AY241" i="12"/>
  <c r="AX241" i="12"/>
  <c r="AI245" i="12"/>
  <c r="BD245" i="12"/>
  <c r="AG245" i="12"/>
  <c r="AS244" i="12"/>
  <c r="AD245" i="12"/>
  <c r="AC245" i="12"/>
  <c r="W245" i="12"/>
  <c r="AH245" i="12"/>
  <c r="AE245" i="12"/>
  <c r="Y245" i="12"/>
  <c r="Y242" i="12"/>
  <c r="W225" i="12"/>
  <c r="C15" i="15"/>
  <c r="I15" i="15"/>
  <c r="H15" i="15"/>
  <c r="E15" i="15"/>
  <c r="D15" i="15"/>
  <c r="W247" i="12"/>
  <c r="Y247" i="12"/>
  <c r="AG223" i="12"/>
  <c r="AB223" i="12"/>
  <c r="AT222" i="12"/>
  <c r="AS222" i="12"/>
  <c r="AY219" i="12"/>
  <c r="W223" i="12"/>
  <c r="AH223" i="12"/>
  <c r="AF223" i="12"/>
  <c r="AC223" i="12"/>
  <c r="AI223" i="12"/>
  <c r="AE223" i="12"/>
  <c r="AD223" i="12"/>
  <c r="AX219" i="12"/>
  <c r="Y223" i="12"/>
  <c r="BD223" i="12"/>
  <c r="BC223" i="12"/>
  <c r="AH207" i="12"/>
  <c r="AG207" i="12"/>
  <c r="S207" i="12"/>
  <c r="AE207" i="12"/>
  <c r="AB207" i="12"/>
  <c r="AX203" i="12"/>
  <c r="BC207" i="12"/>
  <c r="Z207" i="12"/>
  <c r="Y207" i="12"/>
  <c r="W207" i="12"/>
  <c r="AT206" i="12"/>
  <c r="AS206" i="12"/>
  <c r="AI207" i="12"/>
  <c r="BD207" i="12"/>
  <c r="AF207" i="12"/>
  <c r="AD207" i="12"/>
  <c r="AC207" i="12"/>
  <c r="AY203" i="12"/>
  <c r="Y235" i="12"/>
  <c r="Y229" i="12"/>
  <c r="AE248" i="12"/>
  <c r="AT247" i="12"/>
  <c r="BC248" i="12"/>
  <c r="AI248" i="12"/>
  <c r="AG248" i="12"/>
  <c r="AD248" i="12"/>
  <c r="AB248" i="12"/>
  <c r="Y248" i="12"/>
  <c r="W248" i="12"/>
  <c r="AS247" i="12"/>
  <c r="AH248" i="12"/>
  <c r="AY244" i="12"/>
  <c r="AF248" i="12"/>
  <c r="AX244" i="12"/>
  <c r="AC248" i="12"/>
  <c r="BD248" i="12"/>
  <c r="Y234" i="12"/>
  <c r="AB238" i="12"/>
  <c r="AX234" i="12"/>
  <c r="AI238" i="12"/>
  <c r="Y238" i="12"/>
  <c r="W238" i="12"/>
  <c r="AF238" i="12"/>
  <c r="AY234" i="12"/>
  <c r="AS237" i="12"/>
  <c r="AH238" i="12"/>
  <c r="AG238" i="12"/>
  <c r="AE238" i="12"/>
  <c r="AD238" i="12"/>
  <c r="BD238" i="12"/>
  <c r="BC238" i="12"/>
  <c r="AC238" i="12"/>
  <c r="AT237" i="12"/>
  <c r="W258" i="12"/>
  <c r="AF258" i="12"/>
  <c r="AE258" i="12"/>
  <c r="Y258" i="12"/>
  <c r="BD258" i="12"/>
  <c r="AW258" i="12" s="1"/>
  <c r="AI258" i="12"/>
  <c r="AY254" i="12"/>
  <c r="BC258" i="12"/>
  <c r="AH258" i="12"/>
  <c r="AT257" i="12"/>
  <c r="AX254" i="12"/>
  <c r="AC258" i="12"/>
  <c r="AG258" i="12"/>
  <c r="AD258" i="12"/>
  <c r="AB258" i="12"/>
  <c r="AS257" i="12"/>
  <c r="D24" i="15"/>
  <c r="R24" i="15"/>
  <c r="AD251" i="12"/>
  <c r="BD251" i="12"/>
  <c r="Y251" i="12"/>
  <c r="AS250" i="12"/>
  <c r="AE251" i="12"/>
  <c r="AT250" i="12"/>
  <c r="W251" i="12"/>
  <c r="AY247" i="12"/>
  <c r="AH251" i="12"/>
  <c r="BC251" i="12"/>
  <c r="AF251" i="12"/>
  <c r="AC251" i="12"/>
  <c r="AB251" i="12"/>
  <c r="AX247" i="12"/>
  <c r="AI251" i="12"/>
  <c r="AG251" i="12"/>
  <c r="Y253" i="12"/>
  <c r="W253" i="12"/>
  <c r="AT213" i="12"/>
  <c r="BC214" i="12"/>
  <c r="AI214" i="12"/>
  <c r="AH214" i="12"/>
  <c r="AE214" i="12"/>
  <c r="AY210" i="12"/>
  <c r="AX210" i="12"/>
  <c r="AG214" i="12"/>
  <c r="AF214" i="12"/>
  <c r="AD214" i="12"/>
  <c r="BD214" i="12"/>
  <c r="AC214" i="12"/>
  <c r="W214" i="12"/>
  <c r="AB214" i="12"/>
  <c r="AS213" i="12"/>
  <c r="Y214" i="12"/>
  <c r="BD233" i="12"/>
  <c r="Y233" i="12"/>
  <c r="AS232" i="12"/>
  <c r="AG233" i="12"/>
  <c r="AF233" i="12"/>
  <c r="AE233" i="12"/>
  <c r="AD233" i="12"/>
  <c r="BC233" i="12"/>
  <c r="AB233" i="12"/>
  <c r="W233" i="12"/>
  <c r="AY229" i="12"/>
  <c r="AI233" i="12"/>
  <c r="AT232" i="12"/>
  <c r="AX229" i="12"/>
  <c r="AH233" i="12"/>
  <c r="AC233" i="12"/>
  <c r="AI241" i="12"/>
  <c r="AH241" i="12"/>
  <c r="BD241" i="12"/>
  <c r="AE241" i="12"/>
  <c r="AT240" i="12"/>
  <c r="AX237" i="12"/>
  <c r="AG241" i="12"/>
  <c r="AF241" i="12"/>
  <c r="AD241" i="12"/>
  <c r="AC241" i="12"/>
  <c r="AB241" i="12"/>
  <c r="W241" i="12"/>
  <c r="AS240" i="12"/>
  <c r="BC241" i="12"/>
  <c r="AY237" i="12"/>
  <c r="Y241" i="12"/>
  <c r="BD252" i="12"/>
  <c r="Y252" i="12"/>
  <c r="AS251" i="12"/>
  <c r="AH252" i="12"/>
  <c r="AF252" i="12"/>
  <c r="AC252" i="12"/>
  <c r="AG252" i="12"/>
  <c r="BC252" i="12"/>
  <c r="AD252" i="12"/>
  <c r="AX248" i="12"/>
  <c r="W252" i="12"/>
  <c r="AT251" i="12"/>
  <c r="AI252" i="12"/>
  <c r="AE252" i="12"/>
  <c r="AB252" i="12"/>
  <c r="AY248" i="12"/>
  <c r="AD218" i="12"/>
  <c r="BC218" i="12"/>
  <c r="AF218" i="12"/>
  <c r="AT217" i="12"/>
  <c r="AE218" i="12"/>
  <c r="AS217" i="12"/>
  <c r="AB218" i="12"/>
  <c r="Y218" i="12"/>
  <c r="AY214" i="12"/>
  <c r="AX214" i="12"/>
  <c r="AI218" i="12"/>
  <c r="AH218" i="12"/>
  <c r="AG218" i="12"/>
  <c r="AC218" i="12"/>
  <c r="BD218" i="12"/>
  <c r="W218" i="12"/>
  <c r="Y222" i="12"/>
  <c r="D18" i="14"/>
  <c r="F18" i="14" s="1"/>
  <c r="C17" i="14"/>
  <c r="Y246" i="12"/>
  <c r="AH246" i="12"/>
  <c r="AG246" i="12"/>
  <c r="AY242" i="12"/>
  <c r="W246" i="12"/>
  <c r="AT245" i="12"/>
  <c r="BC246" i="12"/>
  <c r="AE246" i="12"/>
  <c r="AC246" i="12"/>
  <c r="AB246" i="12"/>
  <c r="AX242" i="12"/>
  <c r="BD246" i="12"/>
  <c r="AI246" i="12"/>
  <c r="AF246" i="12"/>
  <c r="AD246" i="12"/>
  <c r="AS245" i="12"/>
  <c r="AB211" i="12"/>
  <c r="AX207" i="12"/>
  <c r="BD211" i="12"/>
  <c r="Y211" i="12"/>
  <c r="AS210" i="12"/>
  <c r="AI211" i="12"/>
  <c r="AF211" i="12"/>
  <c r="S211" i="12"/>
  <c r="AA211" i="12" s="1"/>
  <c r="AT210" i="12"/>
  <c r="AY207" i="12"/>
  <c r="AH211" i="12"/>
  <c r="AG211" i="12"/>
  <c r="AE211" i="12"/>
  <c r="Z211" i="12"/>
  <c r="AD211" i="12"/>
  <c r="AC211" i="12"/>
  <c r="W211" i="12"/>
  <c r="BC211" i="12"/>
  <c r="AT264" i="12"/>
  <c r="BD265" i="12"/>
  <c r="AW265" i="12" s="1"/>
  <c r="W265" i="12"/>
  <c r="BC265" i="12"/>
  <c r="AY265" i="12" s="1"/>
  <c r="AF265" i="12"/>
  <c r="AE265" i="12"/>
  <c r="AI265" i="12"/>
  <c r="AH265" i="12"/>
  <c r="AG265" i="12"/>
  <c r="AD265" i="12"/>
  <c r="AC265" i="12"/>
  <c r="AB265" i="12"/>
  <c r="Y265" i="12"/>
  <c r="AS264" i="12"/>
  <c r="Y226" i="12"/>
  <c r="R25" i="15"/>
  <c r="R32" i="15"/>
  <c r="AT229" i="12"/>
  <c r="AH230" i="12"/>
  <c r="AG230" i="12"/>
  <c r="AF230" i="12"/>
  <c r="AS229" i="12"/>
  <c r="AE230" i="12"/>
  <c r="AB230" i="12"/>
  <c r="AX226" i="12"/>
  <c r="AI230" i="12"/>
  <c r="AD230" i="12"/>
  <c r="Y230" i="12"/>
  <c r="AY226" i="12"/>
  <c r="AC230" i="12"/>
  <c r="W230" i="12"/>
  <c r="BD230" i="12"/>
  <c r="BC230" i="12"/>
  <c r="AB243" i="12"/>
  <c r="AF243" i="12"/>
  <c r="Y243" i="12"/>
  <c r="AS242" i="12"/>
  <c r="AY239" i="12"/>
  <c r="BC243" i="12"/>
  <c r="AH243" i="12"/>
  <c r="AT242" i="12"/>
  <c r="AG243" i="12"/>
  <c r="AE243" i="12"/>
  <c r="AD243" i="12"/>
  <c r="AI243" i="12"/>
  <c r="AC243" i="12"/>
  <c r="AX239" i="12"/>
  <c r="W243" i="12"/>
  <c r="BD243" i="12"/>
  <c r="W226" i="12"/>
  <c r="G62" i="15"/>
  <c r="G64" i="15"/>
  <c r="G60" i="15"/>
  <c r="E106" i="15"/>
  <c r="E103" i="15"/>
  <c r="E109" i="15"/>
  <c r="AH227" i="12"/>
  <c r="AG227" i="12"/>
  <c r="AD227" i="12"/>
  <c r="AI227" i="12"/>
  <c r="AF227" i="12"/>
  <c r="BC227" i="12"/>
  <c r="AC227" i="12"/>
  <c r="Y227" i="12"/>
  <c r="AE227" i="12"/>
  <c r="AB227" i="12"/>
  <c r="AY223" i="12"/>
  <c r="AX223" i="12"/>
  <c r="AT226" i="12"/>
  <c r="W227" i="12"/>
  <c r="AS226" i="12"/>
  <c r="BD227" i="12"/>
  <c r="H6" i="15" l="1"/>
  <c r="Z263" i="12"/>
  <c r="X207" i="12"/>
  <c r="V207" i="12"/>
  <c r="S208" i="12"/>
  <c r="X206" i="12"/>
  <c r="V206" i="12"/>
  <c r="P14" i="14"/>
  <c r="Q14" i="14" s="1"/>
  <c r="P82" i="14" s="1"/>
  <c r="H18" i="14"/>
  <c r="B16" i="14"/>
  <c r="E16" i="14" s="1"/>
  <c r="G15" i="14"/>
  <c r="AA207" i="12"/>
  <c r="X210" i="12"/>
  <c r="V210" i="12"/>
  <c r="X263" i="12"/>
  <c r="V263" i="12"/>
  <c r="S264" i="12"/>
  <c r="AA206" i="12"/>
  <c r="V211" i="12"/>
  <c r="X211" i="12"/>
  <c r="S212" i="12"/>
  <c r="C16" i="14"/>
  <c r="D17" i="14"/>
  <c r="F17" i="14" s="1"/>
  <c r="K18" i="14" l="1"/>
  <c r="J18" i="14"/>
  <c r="I18" i="14"/>
  <c r="P13" i="14"/>
  <c r="Q13" i="14" s="1"/>
  <c r="H82" i="14" s="1"/>
  <c r="H17" i="14"/>
  <c r="C15" i="14"/>
  <c r="D16" i="14"/>
  <c r="F16" i="14" s="1"/>
  <c r="N37" i="14"/>
  <c r="M37" i="14"/>
  <c r="H37" i="14"/>
  <c r="V208" i="12"/>
  <c r="X208" i="12"/>
  <c r="Z208" i="12"/>
  <c r="AA208" i="12"/>
  <c r="S209" i="12"/>
  <c r="X264" i="12"/>
  <c r="V264" i="12"/>
  <c r="Z264" i="12"/>
  <c r="AA264" i="12"/>
  <c r="S265" i="12"/>
  <c r="B15" i="14"/>
  <c r="E15" i="14" s="1"/>
  <c r="G14" i="14"/>
  <c r="V212" i="12"/>
  <c r="X212" i="12"/>
  <c r="Z212" i="12"/>
  <c r="AA212" i="12"/>
  <c r="S213" i="12"/>
  <c r="L18" i="14" l="1"/>
  <c r="H16" i="14"/>
  <c r="P12" i="14"/>
  <c r="Q12" i="14" s="1"/>
  <c r="V213" i="12"/>
  <c r="X213" i="12"/>
  <c r="AA213" i="12"/>
  <c r="Z213" i="12"/>
  <c r="S214" i="12"/>
  <c r="L37" i="14"/>
  <c r="Q37" i="14"/>
  <c r="P37" i="14"/>
  <c r="O37" i="14"/>
  <c r="H64" i="14"/>
  <c r="K37" i="14"/>
  <c r="I37" i="14"/>
  <c r="J37" i="14"/>
  <c r="G13" i="14"/>
  <c r="B14" i="14"/>
  <c r="E14" i="14" s="1"/>
  <c r="V265" i="12"/>
  <c r="X265" i="12"/>
  <c r="S266" i="12"/>
  <c r="Z265" i="12"/>
  <c r="AA265" i="12"/>
  <c r="D15" i="14"/>
  <c r="F15" i="14" s="1"/>
  <c r="C14" i="14"/>
  <c r="H36" i="14"/>
  <c r="N36" i="14"/>
  <c r="M36" i="14"/>
  <c r="K17" i="14"/>
  <c r="I17" i="14"/>
  <c r="J17" i="14"/>
  <c r="X209" i="12"/>
  <c r="V209" i="12"/>
  <c r="AA209" i="12"/>
  <c r="Z209" i="12"/>
  <c r="P11" i="14" l="1"/>
  <c r="Q11" i="14" s="1"/>
  <c r="H15" i="14"/>
  <c r="J64" i="14"/>
  <c r="N64" i="14"/>
  <c r="L64" i="14"/>
  <c r="I64" i="14"/>
  <c r="H79" i="14"/>
  <c r="K64" i="14"/>
  <c r="L40" i="14"/>
  <c r="L42" i="14"/>
  <c r="J42" i="14"/>
  <c r="J40" i="14"/>
  <c r="H63" i="14"/>
  <c r="Q36" i="14"/>
  <c r="P36" i="14"/>
  <c r="O36" i="14"/>
  <c r="K36" i="14"/>
  <c r="L41" i="14" s="1"/>
  <c r="J36" i="14"/>
  <c r="N41" i="14" s="1"/>
  <c r="I36" i="14"/>
  <c r="J41" i="14" s="1"/>
  <c r="L36" i="14"/>
  <c r="D14" i="14"/>
  <c r="F14" i="14" s="1"/>
  <c r="C13" i="14"/>
  <c r="G12" i="14"/>
  <c r="B13" i="14"/>
  <c r="E13" i="14" s="1"/>
  <c r="X266" i="12"/>
  <c r="V266" i="12"/>
  <c r="S267" i="12"/>
  <c r="S268" i="12" s="1"/>
  <c r="AA266" i="12"/>
  <c r="Z266" i="12"/>
  <c r="X214" i="12"/>
  <c r="V214" i="12"/>
  <c r="AA214" i="12"/>
  <c r="Z214" i="12"/>
  <c r="S215" i="12"/>
  <c r="L17" i="14"/>
  <c r="N42" i="14"/>
  <c r="N40" i="14"/>
  <c r="M35" i="14"/>
  <c r="I16" i="14"/>
  <c r="H35" i="14"/>
  <c r="N35" i="14"/>
  <c r="J16" i="14"/>
  <c r="K16" i="14"/>
  <c r="L16" i="14" l="1"/>
  <c r="Z268" i="12"/>
  <c r="AA268" i="12"/>
  <c r="X268" i="12"/>
  <c r="V268" i="12"/>
  <c r="G11" i="14"/>
  <c r="B12" i="14"/>
  <c r="E12" i="14" s="1"/>
  <c r="C12" i="14"/>
  <c r="D13" i="14"/>
  <c r="F13" i="14" s="1"/>
  <c r="H14" i="14"/>
  <c r="P10" i="14"/>
  <c r="Q10" i="14" s="1"/>
  <c r="P79" i="14"/>
  <c r="N79" i="14"/>
  <c r="Q79" i="14"/>
  <c r="R79" i="14" s="1"/>
  <c r="P83" i="14" s="1"/>
  <c r="O79" i="14"/>
  <c r="H98" i="14"/>
  <c r="M79" i="14"/>
  <c r="L79" i="14"/>
  <c r="K79" i="14"/>
  <c r="I79" i="14"/>
  <c r="J79" i="14"/>
  <c r="J35" i="14"/>
  <c r="I35" i="14"/>
  <c r="Q35" i="14"/>
  <c r="P35" i="14"/>
  <c r="O35" i="14"/>
  <c r="K35" i="14"/>
  <c r="L35" i="14"/>
  <c r="H62" i="14"/>
  <c r="M64" i="14"/>
  <c r="V215" i="12"/>
  <c r="X215" i="12"/>
  <c r="S216" i="12"/>
  <c r="Z215" i="12"/>
  <c r="AA215" i="12"/>
  <c r="N34" i="14"/>
  <c r="I15" i="14"/>
  <c r="M34" i="14"/>
  <c r="K15" i="14"/>
  <c r="J15" i="14"/>
  <c r="H34" i="14"/>
  <c r="X267" i="12"/>
  <c r="V267" i="12"/>
  <c r="AA267" i="12"/>
  <c r="Z267" i="12"/>
  <c r="N63" i="14"/>
  <c r="L63" i="14"/>
  <c r="K63" i="14"/>
  <c r="J63" i="14"/>
  <c r="I63" i="14"/>
  <c r="H78" i="14"/>
  <c r="I6" i="15" l="1"/>
  <c r="P9" i="14"/>
  <c r="Q9" i="14" s="1"/>
  <c r="H13" i="14"/>
  <c r="H113" i="14"/>
  <c r="J98" i="14"/>
  <c r="K98" i="14"/>
  <c r="I98" i="14"/>
  <c r="H77" i="14"/>
  <c r="J62" i="14"/>
  <c r="N62" i="14"/>
  <c r="L62" i="14"/>
  <c r="K62" i="14"/>
  <c r="I62" i="14"/>
  <c r="H61" i="14"/>
  <c r="I34" i="14"/>
  <c r="Q34" i="14"/>
  <c r="O34" i="14"/>
  <c r="L34" i="14"/>
  <c r="P34" i="14"/>
  <c r="K34" i="14"/>
  <c r="J34" i="14"/>
  <c r="L15" i="14"/>
  <c r="N33" i="14"/>
  <c r="M33" i="14"/>
  <c r="H33" i="14"/>
  <c r="K14" i="14"/>
  <c r="J14" i="14"/>
  <c r="I14" i="14"/>
  <c r="N78" i="14"/>
  <c r="N83" i="14" s="1"/>
  <c r="H97" i="14"/>
  <c r="Q78" i="14"/>
  <c r="R78" i="14" s="1"/>
  <c r="H83" i="14" s="1"/>
  <c r="K78" i="14"/>
  <c r="M83" i="14" s="1"/>
  <c r="S78" i="14"/>
  <c r="P78" i="14"/>
  <c r="O78" i="14"/>
  <c r="O83" i="14" s="1"/>
  <c r="M78" i="14"/>
  <c r="L83" i="14" s="1"/>
  <c r="L78" i="14"/>
  <c r="J83" i="14" s="1"/>
  <c r="J78" i="14"/>
  <c r="I83" i="14" s="1"/>
  <c r="I78" i="14"/>
  <c r="K83" i="14" s="1"/>
  <c r="C11" i="14"/>
  <c r="D12" i="14"/>
  <c r="F12" i="14" s="1"/>
  <c r="X216" i="12"/>
  <c r="V216" i="12"/>
  <c r="AA216" i="12"/>
  <c r="Z216" i="12"/>
  <c r="S217" i="12"/>
  <c r="B11" i="14"/>
  <c r="E11" i="14" s="1"/>
  <c r="G10" i="14"/>
  <c r="M63" i="14"/>
  <c r="P8" i="14" l="1"/>
  <c r="Q8" i="14" s="1"/>
  <c r="H12" i="14"/>
  <c r="B10" i="14"/>
  <c r="E10" i="14" s="1"/>
  <c r="G9" i="14"/>
  <c r="B9" i="14" s="1"/>
  <c r="J33" i="14"/>
  <c r="L33" i="14"/>
  <c r="K33" i="14"/>
  <c r="I33" i="14"/>
  <c r="H60" i="14"/>
  <c r="P33" i="14"/>
  <c r="Q33" i="14"/>
  <c r="O33" i="14"/>
  <c r="M62" i="14"/>
  <c r="L77" i="14"/>
  <c r="O77" i="14"/>
  <c r="N77" i="14"/>
  <c r="H96" i="14"/>
  <c r="J77" i="14"/>
  <c r="I77" i="14"/>
  <c r="S77" i="14"/>
  <c r="Q77" i="14"/>
  <c r="R77" i="14" s="1"/>
  <c r="P77" i="14"/>
  <c r="M77" i="14"/>
  <c r="K77" i="14"/>
  <c r="H112" i="14"/>
  <c r="K97" i="14"/>
  <c r="J97" i="14"/>
  <c r="I97" i="14"/>
  <c r="K113" i="14"/>
  <c r="J113" i="14"/>
  <c r="H128" i="14"/>
  <c r="I113" i="14"/>
  <c r="C10" i="14"/>
  <c r="D11" i="14"/>
  <c r="F11" i="14" s="1"/>
  <c r="L14" i="14"/>
  <c r="L61" i="14"/>
  <c r="K61" i="14"/>
  <c r="J61" i="14"/>
  <c r="I61" i="14"/>
  <c r="H76" i="14"/>
  <c r="N61" i="14"/>
  <c r="H32" i="14"/>
  <c r="K13" i="14"/>
  <c r="J13" i="14"/>
  <c r="N32" i="14"/>
  <c r="M32" i="14"/>
  <c r="I13" i="14"/>
  <c r="X217" i="12"/>
  <c r="V217" i="12"/>
  <c r="Z217" i="12"/>
  <c r="AA217" i="12"/>
  <c r="S218" i="12"/>
  <c r="E9" i="14" l="1"/>
  <c r="J128" i="14"/>
  <c r="I128" i="14"/>
  <c r="L13" i="14"/>
  <c r="P7" i="14"/>
  <c r="Q7" i="14" s="1"/>
  <c r="H11" i="14"/>
  <c r="H75" i="14"/>
  <c r="J60" i="14"/>
  <c r="L60" i="14"/>
  <c r="K60" i="14"/>
  <c r="N60" i="14"/>
  <c r="I60" i="14"/>
  <c r="H127" i="14"/>
  <c r="K112" i="14"/>
  <c r="J112" i="14"/>
  <c r="I112" i="14"/>
  <c r="H59" i="14"/>
  <c r="O32" i="14"/>
  <c r="Q32" i="14"/>
  <c r="P32" i="14"/>
  <c r="L32" i="14"/>
  <c r="K32" i="14"/>
  <c r="I32" i="14"/>
  <c r="J32" i="14"/>
  <c r="V218" i="12"/>
  <c r="X218" i="12"/>
  <c r="S219" i="12"/>
  <c r="AA218" i="12"/>
  <c r="Z218" i="12"/>
  <c r="D10" i="14"/>
  <c r="F10" i="14" s="1"/>
  <c r="C9" i="14"/>
  <c r="D9" i="14" s="1"/>
  <c r="M61" i="14"/>
  <c r="H95" i="14"/>
  <c r="J76" i="14"/>
  <c r="L76" i="14"/>
  <c r="K76" i="14"/>
  <c r="S76" i="14"/>
  <c r="Q76" i="14"/>
  <c r="R76" i="14" s="1"/>
  <c r="P76" i="14"/>
  <c r="O76" i="14"/>
  <c r="N76" i="14"/>
  <c r="M76" i="14"/>
  <c r="I76" i="14"/>
  <c r="M113" i="14"/>
  <c r="L113" i="14"/>
  <c r="K127" i="14"/>
  <c r="N128" i="14"/>
  <c r="L128" i="14"/>
  <c r="K96" i="14"/>
  <c r="H111" i="14"/>
  <c r="J96" i="14"/>
  <c r="I96" i="14"/>
  <c r="K12" i="14"/>
  <c r="J12" i="14"/>
  <c r="I12" i="14"/>
  <c r="N31" i="14"/>
  <c r="M31" i="14"/>
  <c r="H31" i="14"/>
  <c r="F9" i="14" l="1"/>
  <c r="P5" i="14" s="1"/>
  <c r="Q5" i="14" s="1"/>
  <c r="I127" i="14"/>
  <c r="J127" i="14"/>
  <c r="P6" i="14"/>
  <c r="Q6" i="14" s="1"/>
  <c r="H10" i="14"/>
  <c r="L12" i="14"/>
  <c r="J59" i="14"/>
  <c r="H74" i="14"/>
  <c r="I59" i="14"/>
  <c r="N59" i="14"/>
  <c r="K59" i="14"/>
  <c r="L59" i="14"/>
  <c r="K126" i="14"/>
  <c r="N127" i="14"/>
  <c r="L127" i="14"/>
  <c r="L112" i="14"/>
  <c r="M112" i="14"/>
  <c r="H126" i="14"/>
  <c r="K111" i="14"/>
  <c r="J111" i="14"/>
  <c r="I111" i="14"/>
  <c r="M60" i="14"/>
  <c r="V219" i="12"/>
  <c r="X219" i="12"/>
  <c r="AA219" i="12"/>
  <c r="Z219" i="12"/>
  <c r="S220" i="12"/>
  <c r="Q127" i="14"/>
  <c r="W127" i="14" s="1"/>
  <c r="R128" i="14"/>
  <c r="X128" i="14" s="1"/>
  <c r="P128" i="14"/>
  <c r="V128" i="14" s="1"/>
  <c r="O128" i="14"/>
  <c r="U128" i="14" s="1"/>
  <c r="I75" i="14"/>
  <c r="Q75" i="14"/>
  <c r="R75" i="14" s="1"/>
  <c r="O75" i="14"/>
  <c r="N75" i="14"/>
  <c r="M75" i="14"/>
  <c r="L75" i="14"/>
  <c r="K75" i="14"/>
  <c r="J75" i="14"/>
  <c r="H94" i="14"/>
  <c r="S75" i="14"/>
  <c r="P75" i="14"/>
  <c r="P31" i="14"/>
  <c r="K31" i="14"/>
  <c r="Q31" i="14"/>
  <c r="O31" i="14"/>
  <c r="L31" i="14"/>
  <c r="J31" i="14"/>
  <c r="H58" i="14"/>
  <c r="I31" i="14"/>
  <c r="H110" i="14"/>
  <c r="J95" i="14"/>
  <c r="K95" i="14"/>
  <c r="I95" i="14"/>
  <c r="J11" i="14"/>
  <c r="H30" i="14"/>
  <c r="K11" i="14"/>
  <c r="N30" i="14"/>
  <c r="I11" i="14"/>
  <c r="M30" i="14"/>
  <c r="H9" i="14" l="1"/>
  <c r="J126" i="14"/>
  <c r="I126" i="14"/>
  <c r="L11" i="14"/>
  <c r="I110" i="14"/>
  <c r="K110" i="14"/>
  <c r="J110" i="14"/>
  <c r="H125" i="14"/>
  <c r="K94" i="14"/>
  <c r="J94" i="14"/>
  <c r="I94" i="14"/>
  <c r="H109" i="14"/>
  <c r="M59" i="14"/>
  <c r="L111" i="14"/>
  <c r="M111" i="14"/>
  <c r="X220" i="12"/>
  <c r="V220" i="12"/>
  <c r="S221" i="12"/>
  <c r="AA220" i="12"/>
  <c r="Z220" i="12"/>
  <c r="H93" i="14"/>
  <c r="S74" i="14"/>
  <c r="N74" i="14"/>
  <c r="I74" i="14"/>
  <c r="Q74" i="14"/>
  <c r="R74" i="14" s="1"/>
  <c r="M74" i="14"/>
  <c r="L74" i="14"/>
  <c r="K74" i="14"/>
  <c r="J74" i="14"/>
  <c r="P74" i="14"/>
  <c r="O74" i="14"/>
  <c r="J58" i="14"/>
  <c r="N58" i="14"/>
  <c r="K58" i="14"/>
  <c r="I58" i="14"/>
  <c r="L58" i="14"/>
  <c r="H73" i="14"/>
  <c r="N126" i="14"/>
  <c r="L126" i="14"/>
  <c r="K125" i="14"/>
  <c r="H29" i="14"/>
  <c r="I10" i="14"/>
  <c r="N29" i="14"/>
  <c r="M29" i="14"/>
  <c r="K10" i="14"/>
  <c r="J10" i="14"/>
  <c r="Q126" i="14"/>
  <c r="W126" i="14" s="1"/>
  <c r="R127" i="14"/>
  <c r="X127" i="14" s="1"/>
  <c r="P127" i="14"/>
  <c r="V127" i="14" s="1"/>
  <c r="O127" i="14"/>
  <c r="U127" i="14" s="1"/>
  <c r="H57" i="14"/>
  <c r="L30" i="14"/>
  <c r="K30" i="14"/>
  <c r="J30" i="14"/>
  <c r="I30" i="14"/>
  <c r="Q30" i="14"/>
  <c r="P30" i="14"/>
  <c r="O30" i="14"/>
  <c r="J9" i="14" l="1"/>
  <c r="I9" i="14"/>
  <c r="N28" i="14"/>
  <c r="M28" i="14"/>
  <c r="K9" i="14"/>
  <c r="H28" i="14"/>
  <c r="I125" i="14"/>
  <c r="J125" i="14"/>
  <c r="Q73" i="14"/>
  <c r="R73" i="14" s="1"/>
  <c r="P73" i="14"/>
  <c r="K73" i="14"/>
  <c r="S73" i="14"/>
  <c r="O73" i="14"/>
  <c r="N73" i="14"/>
  <c r="M73" i="14"/>
  <c r="L73" i="14"/>
  <c r="J73" i="14"/>
  <c r="I73" i="14"/>
  <c r="H92" i="14"/>
  <c r="I109" i="14"/>
  <c r="H124" i="14"/>
  <c r="J109" i="14"/>
  <c r="K109" i="14"/>
  <c r="L10" i="14"/>
  <c r="Q29" i="14"/>
  <c r="H56" i="14"/>
  <c r="O29" i="14"/>
  <c r="P29" i="14"/>
  <c r="L29" i="14"/>
  <c r="K29" i="14"/>
  <c r="J29" i="14"/>
  <c r="I29" i="14"/>
  <c r="L9" i="14"/>
  <c r="M58" i="14"/>
  <c r="I93" i="14"/>
  <c r="H108" i="14"/>
  <c r="K93" i="14"/>
  <c r="J93" i="14"/>
  <c r="K124" i="14"/>
  <c r="N125" i="14"/>
  <c r="L125" i="14"/>
  <c r="Q125" i="14"/>
  <c r="W125" i="14" s="1"/>
  <c r="R126" i="14"/>
  <c r="X126" i="14" s="1"/>
  <c r="P126" i="14"/>
  <c r="V126" i="14" s="1"/>
  <c r="O126" i="14"/>
  <c r="U126" i="14" s="1"/>
  <c r="H72" i="14"/>
  <c r="N57" i="14"/>
  <c r="L57" i="14"/>
  <c r="J57" i="14"/>
  <c r="K57" i="14"/>
  <c r="I57" i="14"/>
  <c r="X221" i="12"/>
  <c r="V221" i="12"/>
  <c r="S222" i="12"/>
  <c r="AA221" i="12"/>
  <c r="Z221" i="12"/>
  <c r="L110" i="14"/>
  <c r="M110" i="14"/>
  <c r="O28" i="14" l="1"/>
  <c r="L28" i="14"/>
  <c r="K28" i="14"/>
  <c r="I28" i="14"/>
  <c r="H55" i="14"/>
  <c r="P28" i="14"/>
  <c r="J28" i="14"/>
  <c r="Q28" i="14"/>
  <c r="I124" i="14"/>
  <c r="J124" i="14"/>
  <c r="P72" i="14"/>
  <c r="N72" i="14"/>
  <c r="M72" i="14"/>
  <c r="H91" i="14"/>
  <c r="L72" i="14"/>
  <c r="K72" i="14"/>
  <c r="J72" i="14"/>
  <c r="I72" i="14"/>
  <c r="S72" i="14"/>
  <c r="Q72" i="14"/>
  <c r="R72" i="14" s="1"/>
  <c r="O72" i="14"/>
  <c r="Q124" i="14"/>
  <c r="W124" i="14" s="1"/>
  <c r="P125" i="14"/>
  <c r="V125" i="14" s="1"/>
  <c r="R125" i="14"/>
  <c r="X125" i="14" s="1"/>
  <c r="O125" i="14"/>
  <c r="U125" i="14" s="1"/>
  <c r="H107" i="14"/>
  <c r="K92" i="14"/>
  <c r="J92" i="14"/>
  <c r="I92" i="14"/>
  <c r="M57" i="14"/>
  <c r="J56" i="14"/>
  <c r="N56" i="14"/>
  <c r="L56" i="14"/>
  <c r="K56" i="14"/>
  <c r="H71" i="14"/>
  <c r="I56" i="14"/>
  <c r="X222" i="12"/>
  <c r="V222" i="12"/>
  <c r="Z222" i="12"/>
  <c r="AA222" i="12"/>
  <c r="S223" i="12"/>
  <c r="J108" i="14"/>
  <c r="K108" i="14"/>
  <c r="I108" i="14"/>
  <c r="H123" i="14"/>
  <c r="K123" i="14"/>
  <c r="N124" i="14"/>
  <c r="L124" i="14"/>
  <c r="M109" i="14"/>
  <c r="L109" i="14"/>
  <c r="H70" i="14" l="1"/>
  <c r="N55" i="14"/>
  <c r="K55" i="14"/>
  <c r="J55" i="14"/>
  <c r="I55" i="14"/>
  <c r="J123" i="14"/>
  <c r="I123" i="14"/>
  <c r="M56" i="14"/>
  <c r="H106" i="14"/>
  <c r="J91" i="14"/>
  <c r="K91" i="14"/>
  <c r="I91" i="14"/>
  <c r="Q123" i="14"/>
  <c r="W123" i="14" s="1"/>
  <c r="O124" i="14"/>
  <c r="U124" i="14" s="1"/>
  <c r="R124" i="14"/>
  <c r="X124" i="14" s="1"/>
  <c r="P124" i="14"/>
  <c r="V124" i="14" s="1"/>
  <c r="V223" i="12"/>
  <c r="X223" i="12"/>
  <c r="S224" i="12"/>
  <c r="Z223" i="12"/>
  <c r="AA223" i="12"/>
  <c r="K107" i="14"/>
  <c r="H122" i="14"/>
  <c r="J107" i="14"/>
  <c r="I107" i="14"/>
  <c r="N123" i="14"/>
  <c r="L123" i="14"/>
  <c r="K122" i="14"/>
  <c r="M108" i="14"/>
  <c r="L108" i="14"/>
  <c r="N71" i="14"/>
  <c r="K71" i="14"/>
  <c r="J71" i="14"/>
  <c r="H90" i="14"/>
  <c r="S71" i="14"/>
  <c r="Q71" i="14"/>
  <c r="R71" i="14" s="1"/>
  <c r="P71" i="14"/>
  <c r="O71" i="14"/>
  <c r="L71" i="14"/>
  <c r="M71" i="14"/>
  <c r="I71" i="14"/>
  <c r="M55" i="14" l="1"/>
  <c r="I70" i="14"/>
  <c r="Q70" i="14"/>
  <c r="R70" i="14" s="1"/>
  <c r="P70" i="14"/>
  <c r="O70" i="14"/>
  <c r="N70" i="14"/>
  <c r="M70" i="14"/>
  <c r="L70" i="14"/>
  <c r="H89" i="14"/>
  <c r="K70" i="14"/>
  <c r="J70" i="14"/>
  <c r="S70" i="14"/>
  <c r="J122" i="14"/>
  <c r="I122" i="14"/>
  <c r="Q122" i="14"/>
  <c r="W122" i="14" s="1"/>
  <c r="O123" i="14"/>
  <c r="U123" i="14" s="1"/>
  <c r="R123" i="14"/>
  <c r="X123" i="14" s="1"/>
  <c r="P123" i="14"/>
  <c r="V123" i="14" s="1"/>
  <c r="L107" i="14"/>
  <c r="M107" i="14"/>
  <c r="L122" i="14"/>
  <c r="K121" i="14"/>
  <c r="N122" i="14"/>
  <c r="H121" i="14"/>
  <c r="K106" i="14"/>
  <c r="I106" i="14"/>
  <c r="J106" i="14"/>
  <c r="H105" i="14"/>
  <c r="K90" i="14"/>
  <c r="J90" i="14"/>
  <c r="I90" i="14"/>
  <c r="X224" i="12"/>
  <c r="V224" i="12"/>
  <c r="S225" i="12"/>
  <c r="Z224" i="12"/>
  <c r="AA224" i="12"/>
  <c r="J89" i="14" l="1"/>
  <c r="I89" i="14"/>
  <c r="H104" i="14"/>
  <c r="K89" i="14"/>
  <c r="I121" i="14"/>
  <c r="J121" i="14"/>
  <c r="I105" i="14"/>
  <c r="J105" i="14"/>
  <c r="H120" i="14"/>
  <c r="K105" i="14"/>
  <c r="L106" i="14"/>
  <c r="M106" i="14"/>
  <c r="Q121" i="14"/>
  <c r="W121" i="14" s="1"/>
  <c r="R122" i="14"/>
  <c r="X122" i="14" s="1"/>
  <c r="P122" i="14"/>
  <c r="V122" i="14" s="1"/>
  <c r="O122" i="14"/>
  <c r="U122" i="14" s="1"/>
  <c r="K120" i="14"/>
  <c r="N121" i="14"/>
  <c r="L121" i="14"/>
  <c r="X225" i="12"/>
  <c r="V225" i="12"/>
  <c r="AA225" i="12"/>
  <c r="Z225" i="12"/>
  <c r="S226" i="12"/>
  <c r="H119" i="14" l="1"/>
  <c r="K104" i="14"/>
  <c r="I104" i="14"/>
  <c r="J104" i="14"/>
  <c r="I120" i="14"/>
  <c r="J120" i="14"/>
  <c r="Q120" i="14"/>
  <c r="W120" i="14" s="1"/>
  <c r="R121" i="14"/>
  <c r="X121" i="14" s="1"/>
  <c r="P121" i="14"/>
  <c r="V121" i="14" s="1"/>
  <c r="O121" i="14"/>
  <c r="U121" i="14" s="1"/>
  <c r="K119" i="14"/>
  <c r="N120" i="14"/>
  <c r="L120" i="14"/>
  <c r="L105" i="14"/>
  <c r="M105" i="14"/>
  <c r="V226" i="12"/>
  <c r="X226" i="12"/>
  <c r="AA226" i="12"/>
  <c r="Z226" i="12"/>
  <c r="S227" i="12"/>
  <c r="J119" i="14" l="1"/>
  <c r="I119" i="14"/>
  <c r="L119" i="14"/>
  <c r="N119" i="14"/>
  <c r="P119" i="14" s="1"/>
  <c r="M104" i="14"/>
  <c r="L104" i="14"/>
  <c r="Q119" i="14"/>
  <c r="W119" i="14" s="1"/>
  <c r="R120" i="14"/>
  <c r="X120" i="14" s="1"/>
  <c r="P120" i="14"/>
  <c r="V120" i="14" s="1"/>
  <c r="O120" i="14"/>
  <c r="U120" i="14" s="1"/>
  <c r="X227" i="12"/>
  <c r="V227" i="12"/>
  <c r="S228" i="12"/>
  <c r="Z227" i="12"/>
  <c r="AA227" i="12"/>
  <c r="V119" i="14" l="1"/>
  <c r="O119" i="14"/>
  <c r="U119" i="14" s="1"/>
  <c r="R119" i="14"/>
  <c r="X119" i="14" s="1"/>
  <c r="V228" i="12"/>
  <c r="X228" i="12"/>
  <c r="Z228" i="12"/>
  <c r="S229" i="12"/>
  <c r="AA228" i="12"/>
  <c r="X229" i="12" l="1"/>
  <c r="V229" i="12"/>
  <c r="AA229" i="12"/>
  <c r="Z229" i="12"/>
  <c r="S230" i="12"/>
  <c r="X230" i="12" l="1"/>
  <c r="V230" i="12"/>
  <c r="S231" i="12"/>
  <c r="AA230" i="12"/>
  <c r="Z230" i="12"/>
  <c r="V231" i="12" l="1"/>
  <c r="X231" i="12"/>
  <c r="AA231" i="12"/>
  <c r="Z231" i="12"/>
  <c r="S232" i="12"/>
  <c r="X232" i="12" l="1"/>
  <c r="V232" i="12"/>
  <c r="Z232" i="12"/>
  <c r="AA232" i="12"/>
  <c r="S233" i="12"/>
  <c r="X233" i="12" l="1"/>
  <c r="V233" i="12"/>
  <c r="S234" i="12"/>
  <c r="AA233" i="12"/>
  <c r="Z233" i="12"/>
  <c r="V234" i="12" l="1"/>
  <c r="X234" i="12"/>
  <c r="AA234" i="12"/>
  <c r="Z234" i="12"/>
  <c r="S235" i="12"/>
  <c r="V235" i="12" l="1"/>
  <c r="X235" i="12"/>
  <c r="AA235" i="12"/>
  <c r="Z235" i="12"/>
  <c r="S236" i="12"/>
  <c r="X236" i="12" l="1"/>
  <c r="V236" i="12"/>
  <c r="AA236" i="12"/>
  <c r="Z236" i="12"/>
  <c r="S237" i="12"/>
  <c r="V237" i="12" l="1"/>
  <c r="X237" i="12"/>
  <c r="Z237" i="12"/>
  <c r="S238" i="12"/>
  <c r="AA237" i="12"/>
  <c r="V238" i="12" l="1"/>
  <c r="X238" i="12"/>
  <c r="S239" i="12"/>
  <c r="AA238" i="12"/>
  <c r="Z238" i="12"/>
  <c r="X239" i="12" l="1"/>
  <c r="V239" i="12"/>
  <c r="AA239" i="12"/>
  <c r="Z239" i="12"/>
  <c r="S240" i="12"/>
  <c r="X240" i="12" l="1"/>
  <c r="V240" i="12"/>
  <c r="Z240" i="12"/>
  <c r="AA240" i="12"/>
  <c r="S241" i="12"/>
  <c r="X241" i="12" l="1"/>
  <c r="V241" i="12"/>
  <c r="S242" i="12"/>
  <c r="Z241" i="12"/>
  <c r="AA241" i="12"/>
  <c r="V242" i="12" l="1"/>
  <c r="X242" i="12"/>
  <c r="AA242" i="12"/>
  <c r="Z242" i="12"/>
  <c r="S243" i="12"/>
  <c r="X243" i="12" l="1"/>
  <c r="V243" i="12"/>
  <c r="S244" i="12"/>
  <c r="Z243" i="12"/>
  <c r="AA243" i="12"/>
  <c r="X244" i="12" l="1"/>
  <c r="V244" i="12"/>
  <c r="AA244" i="12"/>
  <c r="Z244" i="12"/>
  <c r="S245" i="12"/>
  <c r="V245" i="12" l="1"/>
  <c r="X245" i="12"/>
  <c r="Z245" i="12"/>
  <c r="AA245" i="12"/>
  <c r="S246" i="12"/>
  <c r="X246" i="12" l="1"/>
  <c r="V246" i="12"/>
  <c r="S247" i="12"/>
  <c r="AA246" i="12"/>
  <c r="Z246" i="12"/>
  <c r="V247" i="12" l="1"/>
  <c r="X247" i="12"/>
  <c r="AA247" i="12"/>
  <c r="Z247" i="12"/>
  <c r="S248" i="12"/>
  <c r="X248" i="12" l="1"/>
  <c r="V248" i="12"/>
  <c r="S249" i="12"/>
  <c r="AA248" i="12"/>
  <c r="Z248" i="12"/>
  <c r="X249" i="12" l="1"/>
  <c r="V249" i="12"/>
  <c r="AA249" i="12"/>
  <c r="S250" i="12"/>
  <c r="Z249" i="12"/>
  <c r="V250" i="12" l="1"/>
  <c r="X250" i="12"/>
  <c r="Z250" i="12"/>
  <c r="AA250" i="12"/>
  <c r="S251" i="12"/>
  <c r="V251" i="12" l="1"/>
  <c r="X251" i="12"/>
  <c r="AA251" i="12"/>
  <c r="Z251" i="12"/>
  <c r="S252" i="12"/>
  <c r="X252" i="12" l="1"/>
  <c r="V252" i="12"/>
  <c r="S253" i="12"/>
  <c r="Z252" i="12"/>
  <c r="AA252" i="12"/>
  <c r="V253" i="12" l="1"/>
  <c r="X253" i="12"/>
  <c r="AA253" i="12"/>
  <c r="Z253" i="12"/>
  <c r="S254" i="12"/>
  <c r="X254" i="12" l="1"/>
  <c r="V254" i="12"/>
  <c r="S255" i="12"/>
  <c r="Z254" i="12"/>
  <c r="AA254" i="12"/>
  <c r="X255" i="12" l="1"/>
  <c r="V255" i="12"/>
  <c r="AA255" i="12"/>
  <c r="S256" i="12"/>
  <c r="Z255" i="12"/>
  <c r="X256" i="12" l="1"/>
  <c r="V256" i="12"/>
  <c r="S257" i="12"/>
  <c r="Z256" i="12"/>
  <c r="AA256" i="12"/>
  <c r="V257" i="12" l="1"/>
  <c r="X257" i="12"/>
  <c r="AA257" i="12"/>
  <c r="Z257" i="12"/>
  <c r="S258" i="12"/>
  <c r="X258" i="12" l="1"/>
  <c r="V258" i="12"/>
  <c r="AA258" i="12"/>
  <c r="Z258" i="12"/>
  <c r="S259" i="12"/>
  <c r="X259" i="12" l="1"/>
  <c r="V259" i="12"/>
  <c r="AA259" i="12"/>
  <c r="Z259" i="12"/>
  <c r="S260" i="12"/>
  <c r="V260" i="12" l="1"/>
  <c r="X260" i="12"/>
  <c r="S261" i="12"/>
  <c r="AA260" i="12"/>
  <c r="Z260" i="12"/>
  <c r="V261" i="12" l="1"/>
  <c r="X261" i="12"/>
  <c r="AA261" i="12"/>
  <c r="Z261" i="12"/>
  <c r="S262" i="12"/>
  <c r="X262" i="12" l="1"/>
  <c r="V262" i="12"/>
  <c r="Z262" i="12"/>
  <c r="AA262" i="12"/>
  <c r="S79" i="14"/>
  <c r="Q83" i="14" s="1"/>
  <c r="E11" i="3"/>
  <c r="Y3" i="5"/>
  <c r="Y2" i="5"/>
  <c r="Y1" i="5"/>
  <c r="AA1" i="5"/>
  <c r="AA3" i="5"/>
  <c r="AA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Piyush Choudhary</author>
    <author>Purnashree Murali - Vendor</author>
    <author>None</author>
  </authors>
  <commentList>
    <comment ref="AJ213" authorId="0" shapeId="0" xr:uid="{00000000-0006-0000-0300-000001000000}">
      <text>
        <r>
          <rPr>
            <sz val="11"/>
            <color theme="1"/>
            <rFont val="Calibri"/>
            <family val="2"/>
            <scheme val="minor"/>
          </rPr>
          <t xml:space="preserve">Piyush Choudhary :
Data Issue in Amplitude, issue started Jan 22, amplified post Jan 27
</t>
        </r>
      </text>
    </comment>
    <comment ref="AB214" authorId="0" shapeId="0" xr:uid="{00000000-0006-0000-0300-000002000000}">
      <text>
        <r>
          <rPr>
            <sz val="11"/>
            <color theme="1"/>
            <rFont val="Calibri"/>
            <family val="2"/>
            <scheme val="minor"/>
          </rPr>
          <t>Piyush Choudhary :
Amplitude Data Issue: Issue started Jan 22, amplified post Jan 27</t>
        </r>
      </text>
    </comment>
    <comment ref="AJ214" authorId="0" shapeId="0" xr:uid="{00000000-0006-0000-0300-000003000000}">
      <text>
        <r>
          <rPr>
            <sz val="11"/>
            <color theme="1"/>
            <rFont val="Calibri"/>
            <family val="2"/>
            <scheme val="minor"/>
          </rPr>
          <t>Piyush Choudhary :
Amplitud Data Issue: Started Jan 22, amplified post Jan 27</t>
        </r>
      </text>
    </comment>
    <comment ref="AB215" authorId="0" shapeId="0" xr:uid="{00000000-0006-0000-0300-000004000000}">
      <text>
        <r>
          <rPr>
            <sz val="11"/>
            <color theme="1"/>
            <rFont val="Calibri"/>
            <family val="2"/>
            <scheme val="minor"/>
          </rPr>
          <t>Piyush Choudhary :
Amplitude Data Issue (Starting 22nd Jan, Amplified Post Jan 27th)</t>
        </r>
      </text>
    </comment>
    <comment ref="G231" authorId="1" shapeId="0" xr:uid="{00000000-0006-0000-0300-000005000000}">
      <text>
        <r>
          <rPr>
            <sz val="11"/>
            <color theme="1"/>
            <rFont val="Calibri"/>
            <family val="2"/>
            <scheme val="minor"/>
          </rPr>
          <t>Purnashree M :
Installs affected by NiFi data issue: Organic, Paid and Owned installs affected due to one day of no reporting in week 17</t>
        </r>
      </text>
    </comment>
    <comment ref="AJ231" authorId="1" shapeId="0" xr:uid="{00000000-0006-0000-0300-000006000000}">
      <text>
        <r>
          <rPr>
            <sz val="11"/>
            <color theme="1"/>
            <rFont val="Calibri"/>
            <family val="2"/>
            <scheme val="minor"/>
          </rPr>
          <t>Purnashree Murali - Vendor:
7D-RR affected by NiFi data issue: Dates affected: 5/22-5/30</t>
        </r>
      </text>
    </comment>
    <comment ref="G232" authorId="2" shapeId="0" xr:uid="{00000000-0006-0000-0300-000007000000}">
      <text>
        <r>
          <rPr>
            <sz val="11"/>
            <color theme="1"/>
            <rFont val="Calibri"/>
            <family val="2"/>
            <scheme val="minor"/>
          </rPr>
          <t>Piyush Choudhary :
Installs affected by NiFi data issue. Dates affected: 5/22-5/30
Organic, Owned, paid - all are affected</t>
        </r>
      </text>
    </comment>
    <comment ref="AB232" authorId="2" shapeId="0" xr:uid="{00000000-0006-0000-0300-000008000000}">
      <text>
        <r>
          <rPr>
            <sz val="11"/>
            <color theme="1"/>
            <rFont val="Calibri"/>
            <family val="2"/>
            <scheme val="minor"/>
          </rPr>
          <t xml:space="preserve">Piyush Choudhary :
WAU affected by NiFi data issue: Dates affected: 5/22-5/30
</t>
        </r>
      </text>
    </comment>
    <comment ref="AF232" authorId="1" shapeId="0" xr:uid="{00000000-0006-0000-0300-000009000000}">
      <text>
        <r>
          <rPr>
            <sz val="11"/>
            <color theme="1"/>
            <rFont val="Calibri"/>
            <family val="2"/>
            <scheme val="minor"/>
          </rPr>
          <t>Purnashree M :
Significant rise in App_session_per_user is attributed to the underreporting of WAU</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Anirban Saha - Vendor</author>
    <author>Riya Ghosh - Vendor</author>
  </authors>
  <commentList>
    <comment ref="F29" authorId="0" shapeId="0" xr:uid="{00000000-0006-0000-0400-000001000000}">
      <text>
        <r>
          <rPr>
            <sz val="11"/>
            <color theme="1"/>
            <rFont val="Calibri"/>
            <family val="2"/>
            <scheme val="minor"/>
          </rPr>
          <t>Author:
The Source is changed to Amplitude to report the Hallway numbers</t>
        </r>
      </text>
    </comment>
    <comment ref="F33" authorId="0" shapeId="0" xr:uid="{00000000-0006-0000-0400-000002000000}">
      <text>
        <r>
          <rPr>
            <sz val="11"/>
            <color theme="1"/>
            <rFont val="Calibri"/>
            <family val="2"/>
            <scheme val="minor"/>
          </rPr>
          <t>Author:
Data is from Amplitude</t>
        </r>
      </text>
    </comment>
    <comment ref="F81" authorId="0" shapeId="0" xr:uid="{00000000-0006-0000-0400-000003000000}">
      <text>
        <r>
          <rPr>
            <sz val="11"/>
            <color theme="1"/>
            <rFont val="Calibri"/>
            <family val="2"/>
            <scheme val="minor"/>
          </rPr>
          <t>Author:
The Source is changed to Amplitude to report the Hallway numbers</t>
        </r>
      </text>
    </comment>
    <comment ref="F85" authorId="0" shapeId="0" xr:uid="{00000000-0006-0000-0400-000004000000}">
      <text>
        <r>
          <rPr>
            <sz val="11"/>
            <color theme="1"/>
            <rFont val="Calibri"/>
            <family val="2"/>
            <scheme val="minor"/>
          </rPr>
          <t>Author:
Data is from Amplitude</t>
        </r>
      </text>
    </comment>
    <comment ref="L197" authorId="1" shapeId="0" xr:uid="{00000000-0006-0000-0400-000005000000}">
      <text>
        <r>
          <rPr>
            <sz val="11"/>
            <color theme="1"/>
            <rFont val="Calibri"/>
            <family val="2"/>
            <scheme val="minor"/>
          </rPr>
          <t>Anirban Saha - Vendor:
Glance has been introduced under Inmobi starting WK36</t>
        </r>
      </text>
    </comment>
    <comment ref="BK204" authorId="2" shapeId="0" xr:uid="{00000000-0006-0000-0400-000006000000}">
      <text>
        <r>
          <rPr>
            <sz val="11"/>
            <color theme="1"/>
            <rFont val="Calibri"/>
            <family val="2"/>
            <scheme val="minor"/>
          </rPr>
          <t>Riya Ghosh - Vendor:
Data Source changed from AppsFlyer to Adobe</t>
        </r>
      </text>
    </comment>
    <comment ref="BK216" authorId="2" shapeId="0" xr:uid="{00000000-0006-0000-0400-000007000000}">
      <text>
        <r>
          <rPr>
            <sz val="11"/>
            <color theme="1"/>
            <rFont val="Calibri"/>
            <family val="2"/>
            <scheme val="minor"/>
          </rPr>
          <t>Riya Ghosh - Vendor:
Data source changed from Adobe to AppsFlyer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Anirban Saha - Vendor</author>
  </authors>
  <commentList>
    <comment ref="L165" authorId="0" shapeId="0" xr:uid="{00000000-0006-0000-0600-000001000000}">
      <text>
        <r>
          <rPr>
            <sz val="11"/>
            <color theme="1"/>
            <rFont val="Calibri"/>
            <family val="2"/>
            <scheme val="minor"/>
          </rPr>
          <t xml:space="preserve">Anirban Saha - Vendor:
Source changed to Omniture
</t>
        </r>
      </text>
    </comment>
    <comment ref="M165" authorId="0" shapeId="0" xr:uid="{00000000-0006-0000-0600-000002000000}">
      <text>
        <r>
          <rPr>
            <sz val="11"/>
            <color theme="1"/>
            <rFont val="Calibri"/>
            <family val="2"/>
            <scheme val="minor"/>
          </rPr>
          <t xml:space="preserve">Anirban Saha - Vendor:
Source changed to Omniture
</t>
        </r>
      </text>
    </comment>
    <comment ref="O165" authorId="0" shapeId="0" xr:uid="{00000000-0006-0000-0600-000003000000}">
      <text>
        <r>
          <rPr>
            <sz val="11"/>
            <color theme="1"/>
            <rFont val="Calibri"/>
            <family val="2"/>
            <scheme val="minor"/>
          </rPr>
          <t xml:space="preserve">Anirban Saha - Vendor:
Source changed to Omniture
</t>
        </r>
      </text>
    </comment>
    <comment ref="P165" authorId="0" shapeId="0" xr:uid="{00000000-0006-0000-0600-000004000000}">
      <text>
        <r>
          <rPr>
            <sz val="11"/>
            <color theme="1"/>
            <rFont val="Calibri"/>
            <family val="2"/>
            <scheme val="minor"/>
          </rPr>
          <t>Anirban Saha - Vendor:
Source changed to Omniture</t>
        </r>
      </text>
    </comment>
    <comment ref="AC232" authorId="0" shapeId="0" xr:uid="{00000000-0006-0000-0600-000005000000}">
      <text>
        <r>
          <rPr>
            <sz val="11"/>
            <color theme="1"/>
            <rFont val="Calibri"/>
            <family val="2"/>
            <scheme val="minor"/>
          </rPr>
          <t>Anirban Saha - Vendor:
WAU affected by NiFi data issue: Dates affected: 5/22-5/30</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Anirban Saha - Vendor</author>
  </authors>
  <commentList>
    <comment ref="G231" authorId="0" shapeId="0" xr:uid="{00000000-0006-0000-0700-000001000000}">
      <text>
        <r>
          <rPr>
            <sz val="11"/>
            <color theme="1"/>
            <rFont val="Calibri"/>
            <family val="2"/>
            <scheme val="minor"/>
          </rPr>
          <t>Anirban Saha - Vendor:
App Active User affected by NiFi data issue: Dates affected: 5/22-5/30</t>
        </r>
      </text>
    </comment>
    <comment ref="K231" authorId="0" shapeId="0" xr:uid="{00000000-0006-0000-0700-000002000000}">
      <text>
        <r>
          <rPr>
            <sz val="11"/>
            <color theme="1"/>
            <rFont val="Calibri"/>
            <family val="2"/>
            <scheme val="minor"/>
          </rPr>
          <t>Anirban Saha - Vendor:
App Dormant Users increased due to underreporting of Active users affected by NiFi data issue. 
Dates affected: 5/22-5/30</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Anirban Saha - Vendor</author>
    <author>Piyush Choudhary</author>
    <author>Divya Gunjan - Vendor</author>
    <author>Piyush Choudhary - Vendor</author>
    <author>Author</author>
  </authors>
  <commentList>
    <comment ref="W5" authorId="0" shapeId="0" xr:uid="{00000000-0006-0000-1300-000001000000}">
      <text>
        <r>
          <rPr>
            <sz val="11"/>
            <color theme="1"/>
            <rFont val="Calibri"/>
            <family val="2"/>
            <scheme val="minor"/>
          </rPr>
          <t>Anirban Saha - Vendor:
Amplitude is having a data issue, to report AU for iOS, we have estimated the value based on historical share of platforms. Value from Amplitude is 26%.</t>
        </r>
      </text>
    </comment>
    <comment ref="AG5" authorId="0" shapeId="0" xr:uid="{00000000-0006-0000-1300-000002000000}">
      <text>
        <r>
          <rPr>
            <sz val="11"/>
            <color theme="1"/>
            <rFont val="Calibri"/>
            <family val="2"/>
            <scheme val="minor"/>
          </rPr>
          <t>Anirban Saha - Vendor:
Amplitude is having a data issue, to report AU for iOS, we have estimated the value based on historical share of platforms. Amplitude wrongly reporting 52%</t>
        </r>
      </text>
    </comment>
    <comment ref="R10" authorId="1" shapeId="0" xr:uid="{00000000-0006-0000-1300-000003000000}">
      <text>
        <r>
          <rPr>
            <sz val="11"/>
            <color theme="1"/>
            <rFont val="Calibri"/>
            <family val="2"/>
            <scheme val="minor"/>
          </rPr>
          <t>Piyush Choudhary :
Revenue from WK6 onwards is from COIM.
In Customer Segmentation, it is from COIM since WK7, and not WK6.</t>
        </r>
      </text>
    </comment>
    <comment ref="AI91" authorId="2" shapeId="0" xr:uid="{00000000-0006-0000-1300-000004000000}">
      <text>
        <r>
          <rPr>
            <sz val="11"/>
            <color theme="1"/>
            <rFont val="Calibri"/>
            <family val="2"/>
            <scheme val="minor"/>
          </rPr>
          <t xml:space="preserve">Divya Gunjan - Vendor:
Data Source switched to Amplitude so no need to subtract 10% anymore.
</t>
        </r>
      </text>
    </comment>
    <comment ref="AG105" authorId="0" shapeId="0" xr:uid="{00000000-0006-0000-1300-000005000000}">
      <text>
        <r>
          <rPr>
            <sz val="11"/>
            <color theme="1"/>
            <rFont val="Calibri"/>
            <family val="2"/>
            <scheme val="minor"/>
          </rPr>
          <t>Anirban Saha - Vendor:
Amplitude is having a data issue, to report AU for iOS, we have estimated the value based on historical share of platforms. Value from Amplitude is 64%</t>
        </r>
      </text>
    </comment>
    <comment ref="W106" authorId="2" shapeId="0" xr:uid="{00000000-0006-0000-1300-000006000000}">
      <text>
        <r>
          <rPr>
            <sz val="11"/>
            <color theme="1"/>
            <rFont val="Calibri"/>
            <family val="2"/>
            <scheme val="minor"/>
          </rPr>
          <t xml:space="preserve">Divya Gunjan - Vendor:
Amplitude is having a data issue, to report AU for iOS, we have estimated the value based on historical share of platforms. Value from Amplitude is 39% </t>
        </r>
      </text>
    </comment>
    <comment ref="AG106" authorId="0" shapeId="0" xr:uid="{00000000-0006-0000-1300-000007000000}">
      <text>
        <r>
          <rPr>
            <sz val="11"/>
            <color theme="1"/>
            <rFont val="Calibri"/>
            <family val="2"/>
            <scheme val="minor"/>
          </rPr>
          <t xml:space="preserve">Anirban Saha - Vendor:
Amplitude wrongly reporting 52% due to teck stack issue </t>
        </r>
      </text>
    </comment>
    <comment ref="W107" authorId="2" shapeId="0" xr:uid="{00000000-0006-0000-1300-000008000000}">
      <text>
        <r>
          <rPr>
            <sz val="11"/>
            <color theme="1"/>
            <rFont val="Calibri"/>
            <family val="2"/>
            <scheme val="minor"/>
          </rPr>
          <t>Divya Gunjan - Vendor:
Value from Amplitude is 26%.</t>
        </r>
      </text>
    </comment>
    <comment ref="AG107" authorId="0" shapeId="0" xr:uid="{00000000-0006-0000-1300-000009000000}">
      <text>
        <r>
          <rPr>
            <sz val="11"/>
            <color theme="1"/>
            <rFont val="Calibri"/>
            <family val="2"/>
            <scheme val="minor"/>
          </rPr>
          <t xml:space="preserve">Anirban Saha - Vendor:
Amplitude wrongly reporting 49% due to teck stack issue </t>
        </r>
      </text>
    </comment>
    <comment ref="W108" authorId="2" shapeId="0" xr:uid="{00000000-0006-0000-1300-00000A000000}">
      <text>
        <r>
          <rPr>
            <sz val="11"/>
            <color theme="1"/>
            <rFont val="Calibri"/>
            <family val="2"/>
            <scheme val="minor"/>
          </rPr>
          <t>Divya Gunjan - Vendor:
Value from Amplitude is 2%.</t>
        </r>
      </text>
    </comment>
    <comment ref="AG108" authorId="0" shapeId="0" xr:uid="{00000000-0006-0000-1300-00000B000000}">
      <text>
        <r>
          <rPr>
            <sz val="11"/>
            <color theme="1"/>
            <rFont val="Calibri"/>
            <family val="2"/>
            <scheme val="minor"/>
          </rPr>
          <t>Anirban Saha - Vendor:
Amplitude wrongly reporting 43% due to teck stack issue</t>
        </r>
      </text>
    </comment>
    <comment ref="G139" authorId="3" shapeId="0" xr:uid="{00000000-0006-0000-1300-00000C000000}">
      <text>
        <r>
          <rPr>
            <sz val="11"/>
            <color theme="1"/>
            <rFont val="Calibri"/>
            <family val="2"/>
            <scheme val="minor"/>
          </rPr>
          <t xml:space="preserve">Piyush Choudhary - Vendor:
Installs taken from Beacon from WK31 onwards due to AF data issue (CHANGE WAS MADE IN WK51)
</t>
        </r>
      </text>
    </comment>
    <comment ref="AI143" authorId="3" shapeId="0" xr:uid="{00000000-0006-0000-1300-00000D000000}">
      <text>
        <r>
          <rPr>
            <sz val="11"/>
            <color theme="1"/>
            <rFont val="Calibri"/>
            <family val="2"/>
            <scheme val="minor"/>
          </rPr>
          <t>Piyush Choudhary - Vendor:
Beacon RR shifted the benchmark, themodification is done from wk35 onwards to be consistent with pre-glass benchmark
Same adjustment (-10ppt) needs to be done at platform level. The adjusted values are being reported in weekly deck</t>
        </r>
      </text>
    </comment>
    <comment ref="G195" authorId="4" shapeId="0" xr:uid="{00000000-0006-0000-1300-00000E000000}">
      <text>
        <r>
          <rPr>
            <sz val="11"/>
            <color theme="1"/>
            <rFont val="Calibri"/>
            <family val="2"/>
            <scheme val="minor"/>
          </rPr>
          <t>Author:
Installs for 01 and 02 Oct saw declines for IOS because IOS v20.39 Installs are not getting registered in Appsflyer</t>
        </r>
      </text>
    </comment>
  </commentList>
</comments>
</file>

<file path=xl/sharedStrings.xml><?xml version="1.0" encoding="utf-8"?>
<sst xmlns="http://schemas.openxmlformats.org/spreadsheetml/2006/main" count="1963" uniqueCount="1013">
  <si>
    <t>Change ID</t>
  </si>
  <si>
    <t>Name</t>
  </si>
  <si>
    <t>Description</t>
  </si>
  <si>
    <t>Done Date</t>
  </si>
  <si>
    <t>Notes</t>
  </si>
  <si>
    <t>Change the file location</t>
  </si>
  <si>
    <t xml:space="preserve">Currently the master file is not in a secure location. Only a copy should be shared in the weely deck file. master should be kept in a separate location with limited access to just mobile marketing. </t>
  </si>
  <si>
    <t>Do you mean we need to keep the collated file in PPT Automated folder?</t>
  </si>
  <si>
    <t>0A</t>
  </si>
  <si>
    <t xml:space="preserve">Several versions and tables of collated file exist. Need to decide on best way to collate. </t>
  </si>
  <si>
    <t xml:space="preserve">Clean up data set formatting: </t>
  </si>
  <si>
    <t>Unhide all columns, and clean up, be careful not to remove old data that might be useful. 
Remove Blank rows, columns and move data around so newest row is at the very bottom of the sheet</t>
  </si>
  <si>
    <t>There will some columns which will be blank for recent times as the inputs for those column are not available for present times. For e.g. installs from Tapjoy / Liftoff etc</t>
  </si>
  <si>
    <t>Remove Blank Rows and Columns</t>
  </si>
  <si>
    <t xml:space="preserve">Remove rows that are blank and columns, remove extra column titles. This will allow for easier utilization of the excel file. </t>
  </si>
  <si>
    <t xml:space="preserve">Re-order data to decending order (newest week is at the bottom of the sheet) </t>
  </si>
  <si>
    <t xml:space="preserve">Wide to long format is "Ideal" however, LOE may not be worth the benefit. But note there are many benefits from this format. </t>
  </si>
  <si>
    <t xml:space="preserve">Newest week should be added to the bottom of the sheet. </t>
  </si>
  <si>
    <t xml:space="preserve">Some data will need to be on secondary tables, this data should deffinitely follow tidy data principles. (other strategies for data base design could also be implemented here. I'm open to ideas. But in the end, the data should be easily put into a tableau dashboard, or pivot table. </t>
  </si>
  <si>
    <t>I'm not sure it will be practicle to transform the overall metrics sheet from Wide to Long, However, the smaller pages should be Long not wide. See here for examples: https://byuidatascience.github.io/python4ds/tidy-data.html</t>
  </si>
  <si>
    <t>We need to list out which all data need to be present in the secondary table. From your POV I believe Installs to be surely present split by Week/Month and Channel</t>
  </si>
  <si>
    <t>TIDY DATA: WIDE TO LONG FORMAT</t>
  </si>
  <si>
    <t xml:space="preserve">Change column names to match "Col Name Deffinitions" tab. </t>
  </si>
  <si>
    <t xml:space="preserve">Create some light insights. </t>
  </si>
  <si>
    <t xml:space="preserve">Create pivot tables using the data with some common views that illustrates the weekly report but on a extended timeline (high level, not every detail needed) --- depending on how this works out, this may take place of the tableau dashboard. </t>
  </si>
  <si>
    <t xml:space="preserve">Decided that we will include a link to the event tracker instead in order to keep this project moving. </t>
  </si>
  <si>
    <t xml:space="preserve">Connecting all the sheets in excel for continuity. (this can be done after piping is complete) </t>
  </si>
  <si>
    <t xml:space="preserve">Not sure what the best way is to do this, it may be that we add some of the over KPIs to the overall metrics sheet, or we connect using fiscal week as UID. </t>
  </si>
  <si>
    <t xml:space="preserve">Can be completed after Piping. (John can take up) </t>
  </si>
  <si>
    <t xml:space="preserve">Ensure all automation pipelines are connected and working properly. </t>
  </si>
  <si>
    <t>To accommodate the provison of Source in collated file</t>
  </si>
  <si>
    <t xml:space="preserve">Update: it was decided we will include a link to the event tracker. </t>
  </si>
  <si>
    <t>There has been lot of source changes, and we need to think on how best we can mention them in collated to avoid any future confusion</t>
  </si>
  <si>
    <t>Restrict the formula driven columns so as to avoid any manuall update hampering the formula logic</t>
  </si>
  <si>
    <t>Have to check the possibility of Airflow to update the collated file if it is restricted for some of the columns</t>
  </si>
  <si>
    <t xml:space="preserve">Location (Sheet Name) </t>
  </si>
  <si>
    <t xml:space="preserve">Data Source (include link when applicable) </t>
  </si>
  <si>
    <t>Purpose or description</t>
  </si>
  <si>
    <t xml:space="preserve"> notes </t>
  </si>
  <si>
    <t>Primary KPIs</t>
  </si>
  <si>
    <t>UID_FiscalYR_FiscalWk</t>
  </si>
  <si>
    <t>Fiscal_Year</t>
  </si>
  <si>
    <t>Net New</t>
  </si>
  <si>
    <t>Formatting Keys</t>
  </si>
  <si>
    <t>Fiscal_Week</t>
  </si>
  <si>
    <t>*All</t>
  </si>
  <si>
    <t>Further breakout exists</t>
  </si>
  <si>
    <t>Calendar_Week_Start</t>
  </si>
  <si>
    <t>Calendar_Week_End</t>
  </si>
  <si>
    <t>Anirban QC for all column headings</t>
  </si>
  <si>
    <t>Installs_All</t>
  </si>
  <si>
    <t xml:space="preserve">Remove any extra spaces in the name (except for owned breakdown slide) </t>
  </si>
  <si>
    <t>Installs_iOS</t>
  </si>
  <si>
    <t>App_Orders_All vs. App_Order_All</t>
  </si>
  <si>
    <t>Installs_AND</t>
  </si>
  <si>
    <t>App_Order_All vs. Total_App_Orders</t>
  </si>
  <si>
    <t>Installs_Organic_All</t>
  </si>
  <si>
    <t>Installs_Organic_iOS</t>
  </si>
  <si>
    <t>Installs_Organic_AND</t>
  </si>
  <si>
    <t>Installs_Owned_All</t>
  </si>
  <si>
    <t>Installs_Owned_iOS</t>
  </si>
  <si>
    <t>Installs_Owned_AND</t>
  </si>
  <si>
    <t>Installs_Paid_All</t>
  </si>
  <si>
    <t>Installs_Paid_iOS</t>
  </si>
  <si>
    <t>Installs_Paid_And</t>
  </si>
  <si>
    <t>Installs_Paid_Atributed_All</t>
  </si>
  <si>
    <t>Installs_Paid_Atributed_iOS</t>
  </si>
  <si>
    <t>Installs_Paid_Atributed_And</t>
  </si>
  <si>
    <t>Installs_Paid_Unatributed_All</t>
  </si>
  <si>
    <t>Installs_Paid_Unatributed_iOS</t>
  </si>
  <si>
    <t>Installs_Paid_Unatributed_And</t>
  </si>
  <si>
    <t>Installs_Forecast_All</t>
  </si>
  <si>
    <t>Installs_Forecast_Organic</t>
  </si>
  <si>
    <t>Installs_Forecast_Owned</t>
  </si>
  <si>
    <t>Installs_Forecast_Paid_All</t>
  </si>
  <si>
    <t>Installs_Forecast_Paid_Atributed</t>
  </si>
  <si>
    <t>Installs_Forecast_Paid_Unatributed</t>
  </si>
  <si>
    <t>rWeb_WAU_All</t>
  </si>
  <si>
    <t>rWeb_Orders_All</t>
  </si>
  <si>
    <t>rWeb_Revenue_All</t>
  </si>
  <si>
    <t>rWeb_Visits_All</t>
  </si>
  <si>
    <t>rWeb_Session/User_All</t>
  </si>
  <si>
    <t>rWeb_Conversion Rate_All</t>
  </si>
  <si>
    <t>rWeb_AOV_All</t>
  </si>
  <si>
    <t>App_WAU_All</t>
  </si>
  <si>
    <t>App_Orders</t>
  </si>
  <si>
    <t>App_Revenue_DUPLICATE EXCLUE</t>
  </si>
  <si>
    <t>App_Visits</t>
  </si>
  <si>
    <t>App_Session/User</t>
  </si>
  <si>
    <t>App_Conversion Rate</t>
  </si>
  <si>
    <t>App_AOV</t>
  </si>
  <si>
    <t>mWeb_WAU</t>
  </si>
  <si>
    <t>mWeb_Orders</t>
  </si>
  <si>
    <t>mWeb_Revenue</t>
  </si>
  <si>
    <t>mWeb_Visits</t>
  </si>
  <si>
    <t>mWeb_Session/User</t>
  </si>
  <si>
    <t>mWeb_Conversion Rate</t>
  </si>
  <si>
    <t>mWeb_AOV</t>
  </si>
  <si>
    <t>Desktop_WAU</t>
  </si>
  <si>
    <t>Desktop_Orders</t>
  </si>
  <si>
    <t>Desktop_Revenue</t>
  </si>
  <si>
    <t>Desktop_Visits</t>
  </si>
  <si>
    <t>Desktop_Session/User</t>
  </si>
  <si>
    <t>Desktop_Conversion Rate</t>
  </si>
  <si>
    <t>Desktop_AOV</t>
  </si>
  <si>
    <t>App_Customers_All</t>
  </si>
  <si>
    <t>App_Customers_Repeat</t>
  </si>
  <si>
    <t>App_Customers_Reactivated</t>
  </si>
  <si>
    <t>App_Customers_New</t>
  </si>
  <si>
    <t>App_Orders_All</t>
  </si>
  <si>
    <t>App_Orders_Repeat</t>
  </si>
  <si>
    <t>App_Orders_Reactivated</t>
  </si>
  <si>
    <t>App_Orders_New</t>
  </si>
  <si>
    <t>App_Revenue_All</t>
  </si>
  <si>
    <t>App_Revenue_Repeate</t>
  </si>
  <si>
    <t>App_Revenue_Reactivated</t>
  </si>
  <si>
    <t>App_Revenue_New</t>
  </si>
  <si>
    <t>App_RetentionRate_7D_Forecast</t>
  </si>
  <si>
    <t>App_RetentionRate_7D_All</t>
  </si>
  <si>
    <t>App_RetentionRate_7D_ NewUser</t>
  </si>
  <si>
    <t>App_RetentionRate_7D_ReturningUser</t>
  </si>
  <si>
    <t>App_RetentionRate_30D_All</t>
  </si>
  <si>
    <t>App_RetenionRate_30D_Forecast</t>
  </si>
  <si>
    <t>App_RetentionRate_30D_ NewUser</t>
  </si>
  <si>
    <t>App_RetentionRate_30D_ReturningUser</t>
  </si>
  <si>
    <t xml:space="preserve">App_WAU_New </t>
  </si>
  <si>
    <t>Same as weekly installs</t>
  </si>
  <si>
    <t>App_WAU_Current</t>
  </si>
  <si>
    <t xml:space="preserve">&lt;&lt;Why is RR repeat and WAU current? Can the naming convention be aligned or is there a reason they are different? </t>
  </si>
  <si>
    <t>App_WAU_Reactivated</t>
  </si>
  <si>
    <t>App_WAU_Dormant_All</t>
  </si>
  <si>
    <t>App_WAU_New_Dormant</t>
  </si>
  <si>
    <t>App_WAU_Current_Dormant</t>
  </si>
  <si>
    <t>App_WAU_Reactivated_Dormant</t>
  </si>
  <si>
    <t>Owned Breakdown</t>
  </si>
  <si>
    <t>paid Breakdown By Partner</t>
  </si>
  <si>
    <t>Week</t>
  </si>
  <si>
    <t>S.No.</t>
  </si>
  <si>
    <t>Sheet</t>
  </si>
  <si>
    <t>Status</t>
  </si>
  <si>
    <t>Overall Metrics</t>
  </si>
  <si>
    <t>Attr. + Misatr. = Paid Overall</t>
  </si>
  <si>
    <t>Android: Org + Owned + Paid = Installs</t>
  </si>
  <si>
    <t>iOS: Org + Owned + Paid = Installs</t>
  </si>
  <si>
    <t>WoW Install Variance</t>
  </si>
  <si>
    <t>YoY Install Variance</t>
  </si>
  <si>
    <t>All Spend Equals sum of Android and iOS</t>
  </si>
  <si>
    <t>Channel &amp; Campaign Metrics</t>
  </si>
  <si>
    <t>Misattr. figures match on Overall Metrics and Channel &amp; Campaign Sheet</t>
  </si>
  <si>
    <t>WoW MAI Spend Variance</t>
  </si>
  <si>
    <t>WoW CPI Variance</t>
  </si>
  <si>
    <t>WoW MAE Spend Variance</t>
  </si>
  <si>
    <t>WoW CPA Variance</t>
  </si>
  <si>
    <t>Glass Metrics</t>
  </si>
  <si>
    <t>App Orders - WoW Variation</t>
  </si>
  <si>
    <t>App GMV - WoW Variation</t>
  </si>
  <si>
    <t>App Visits - WoW Variation</t>
  </si>
  <si>
    <t>App WAU - WoW Variation</t>
  </si>
  <si>
    <t>Lifecycle (Glass)</t>
  </si>
  <si>
    <t>Make sure WAU is close to active users in this sheet.</t>
  </si>
  <si>
    <t>Customer Segmentation</t>
  </si>
  <si>
    <t>Customers count in Glass Metrics should match with Customer Segmentation</t>
  </si>
  <si>
    <t>WoW</t>
  </si>
  <si>
    <t>YoY</t>
  </si>
  <si>
    <t>Primary Source</t>
  </si>
  <si>
    <t>(AppsFlyer)</t>
  </si>
  <si>
    <t>(Derived)</t>
  </si>
  <si>
    <t>(Linked)</t>
  </si>
  <si>
    <t>(PubW)</t>
  </si>
  <si>
    <t>(Linked - Amplitude)</t>
  </si>
  <si>
    <t>(Linked - SOL_V)</t>
  </si>
  <si>
    <t>(Linked - Adobe)</t>
  </si>
  <si>
    <t>(Amplitude)</t>
  </si>
  <si>
    <t>(Omniture)</t>
  </si>
  <si>
    <t>Secondary Source</t>
  </si>
  <si>
    <t>(ST360)</t>
  </si>
  <si>
    <t>(Adjusted)</t>
  </si>
  <si>
    <t>Fiscal_Quarter</t>
  </si>
  <si>
    <t>Week_UID</t>
  </si>
  <si>
    <t>Installs_
AND</t>
  </si>
  <si>
    <t>Installs_
iOS</t>
  </si>
  <si>
    <t>Installs_AND_Share</t>
  </si>
  <si>
    <t>Installs_iOS_Share</t>
  </si>
  <si>
    <t>Installs_
Organic_All</t>
  </si>
  <si>
    <t>Installs_
Owned_All</t>
  </si>
  <si>
    <t>Installs_
Organic_Share</t>
  </si>
  <si>
    <t>Installs_
Owned_Share</t>
  </si>
  <si>
    <t>Installs_Paid_Share</t>
  </si>
  <si>
    <t>Installs_
Forecast_All</t>
  </si>
  <si>
    <t>Installs_Plan_All_Rev</t>
  </si>
  <si>
    <t>Installs_Actual_All_YTD</t>
  </si>
  <si>
    <t>Installs_Forecast_All_YTD</t>
  </si>
  <si>
    <t>Installs_Plan_All_YTD_Rev</t>
  </si>
  <si>
    <t>Spend_All</t>
  </si>
  <si>
    <t>Spend_Paid_MAI</t>
  </si>
  <si>
    <t>Spend_Paid_MAE</t>
  </si>
  <si>
    <t>Spend_AND</t>
  </si>
  <si>
    <t>Spend_iOS</t>
  </si>
  <si>
    <t>App_Visits_All</t>
  </si>
  <si>
    <t>App_Session_per_User</t>
  </si>
  <si>
    <t>App_
CvR_All</t>
  </si>
  <si>
    <t>App_
AOV_All</t>
  </si>
  <si>
    <t>Growth_
Index</t>
  </si>
  <si>
    <t>App_7D_RR_All</t>
  </si>
  <si>
    <t>App_7D_RR_iOS</t>
  </si>
  <si>
    <t>App_7D_RR_AND</t>
  </si>
  <si>
    <t>7D_RR_iOS_Installs</t>
  </si>
  <si>
    <t>7D_RR_AND_Installs</t>
  </si>
  <si>
    <t>App_7D_RR_All_Estimate</t>
  </si>
  <si>
    <t>App_30D_RR_All</t>
  </si>
  <si>
    <t>App_30D_RR_iOS</t>
  </si>
  <si>
    <t>App_30D_RR_AND</t>
  </si>
  <si>
    <t>App_30D_RR_All_Estimate</t>
  </si>
  <si>
    <t>Installs_Paid_MAI_Attributed_AND</t>
  </si>
  <si>
    <t>Installs_Paid_MAI_Attributed_iOS</t>
  </si>
  <si>
    <t>Installs_Paid_MAI_Attributed_All</t>
  </si>
  <si>
    <t>Installs_Paid_MAI_Misattributed_AND</t>
  </si>
  <si>
    <t>Installs_Paid_MAI_Misattributed_iOS</t>
  </si>
  <si>
    <t>Installs_Paid_MAI_Misattributed_All</t>
  </si>
  <si>
    <t>Installs_
Organic_AND</t>
  </si>
  <si>
    <t>Installs_
Organic_iOS</t>
  </si>
  <si>
    <t>Installs_
Owned_AND</t>
  </si>
  <si>
    <t>Installs_
Owned_iOS</t>
  </si>
  <si>
    <t>Installs_Paid_AND</t>
  </si>
  <si>
    <t>Installs_Organic_AND_Share</t>
  </si>
  <si>
    <t>Installs_Organic_iOS_Share</t>
  </si>
  <si>
    <t>Installs_Owned_AND_Share</t>
  </si>
  <si>
    <t>Installs_Owned_iOS_Share</t>
  </si>
  <si>
    <t>Installs_Paid_AND_Share</t>
  </si>
  <si>
    <t>Installs_Paid_iOS_Share</t>
  </si>
  <si>
    <t>InStore_
Sessions_iOS</t>
  </si>
  <si>
    <t>InStore_
Sessions_AND</t>
  </si>
  <si>
    <t>InStore_
Sessions_ALL</t>
  </si>
  <si>
    <t>Abs Diff WoW</t>
  </si>
  <si>
    <t>Installs_Paid_MAI_Facebook</t>
  </si>
  <si>
    <t>Installs_Paid_MAI_Google</t>
  </si>
  <si>
    <t>Installs_Paid_MAI_TikTok</t>
  </si>
  <si>
    <t>Installs_Paid_MAI_DigitalTurbine</t>
  </si>
  <si>
    <t>Installs_Paid_MAI_ASA</t>
  </si>
  <si>
    <t>Installs_Paid_MAI_InMobi</t>
  </si>
  <si>
    <t>Installs_Paid_MAI_Criterio</t>
  </si>
  <si>
    <t>Installs_Paid_MAI_Appia</t>
  </si>
  <si>
    <t>Installs_Paid_MAI_IronSource</t>
  </si>
  <si>
    <t>Installs_Paid_MAI_TMobile</t>
  </si>
  <si>
    <t>Installs_Paid_MAI_Microsoft</t>
  </si>
  <si>
    <t>Installs_Paid_MAI_Perform</t>
  </si>
  <si>
    <t>Installs_Paid_MAI_Liftoff</t>
  </si>
  <si>
    <t>Installs_Paid_MAI_Snapchat</t>
  </si>
  <si>
    <t>Installs_Paid_MAI_Reddit</t>
  </si>
  <si>
    <t>Installs_Paid_MAI_Rokt</t>
  </si>
  <si>
    <t>Installs_Paid_MAI_AdTheorent</t>
  </si>
  <si>
    <t>Installs_Paid_MAI_Unitygv_int</t>
  </si>
  <si>
    <t>Installs_Paid_MAI_Misattributed</t>
  </si>
  <si>
    <t>Installs_Paid_MAI_Attributed</t>
  </si>
  <si>
    <t>Installs_
Paid_All</t>
  </si>
  <si>
    <t>Spend_Paid_MAI_Facebook</t>
  </si>
  <si>
    <t>Spend_Paid_MAI_Google</t>
  </si>
  <si>
    <t>Spend_Paid_MAI_TikTok</t>
  </si>
  <si>
    <t>Spend_Paid_MAI_DigitalTurbine</t>
  </si>
  <si>
    <t>Spend_Paid_MAI_ASA</t>
  </si>
  <si>
    <t>Spend_Paid_MAI_InMobi</t>
  </si>
  <si>
    <t>Spend_Paid_MAI_IronSource</t>
  </si>
  <si>
    <t>Spend_Paid_MAI_TMobile</t>
  </si>
  <si>
    <t>Spend_Paid_MAI_Microsoft</t>
  </si>
  <si>
    <t>Spend_Paid_MAI_Perform</t>
  </si>
  <si>
    <t>Spend_Paid_MAI_Liftoff</t>
  </si>
  <si>
    <t>Spend_Paid_MAI_Snapchat</t>
  </si>
  <si>
    <t>Spend_Paid_MAI_Reddit</t>
  </si>
  <si>
    <t>Spend_Paid_MAI_Rokt</t>
  </si>
  <si>
    <t>Spend_Paid_MAI_AdTheorent</t>
  </si>
  <si>
    <t>Spend_Paid_MAI_Unitygv_int</t>
  </si>
  <si>
    <t>CPI_
Facebook</t>
  </si>
  <si>
    <t>CPI_
Google</t>
  </si>
  <si>
    <t>CPI_
TikTok</t>
  </si>
  <si>
    <t>CPI_
DigitalTurbine</t>
  </si>
  <si>
    <t>CPI_
ASA</t>
  </si>
  <si>
    <t>CPI_
InMobi</t>
  </si>
  <si>
    <t>CPI_
IronSource</t>
  </si>
  <si>
    <t>CPI_
TMobile</t>
  </si>
  <si>
    <t>CPI_
Microsoft</t>
  </si>
  <si>
    <t>CPI_
Perform</t>
  </si>
  <si>
    <t>CPI_
Liftoff</t>
  </si>
  <si>
    <t>CPI_
Snapchat</t>
  </si>
  <si>
    <t>CPI_
Reddit</t>
  </si>
  <si>
    <t>CPI_
Rokt</t>
  </si>
  <si>
    <t>CPI_
AdTheorent</t>
  </si>
  <si>
    <t>CPI_Unitygv_int</t>
  </si>
  <si>
    <t>CPI_All</t>
  </si>
  <si>
    <t>Session_Paid_MAE_Facebook</t>
  </si>
  <si>
    <t>Session_Paid_MAE_Google</t>
  </si>
  <si>
    <t>Session_Paid_MAE_Perform</t>
  </si>
  <si>
    <t>Session_Paid_MAE_Liftoff</t>
  </si>
  <si>
    <t>Session_Paid_MAE_All</t>
  </si>
  <si>
    <t>Spend_Paid_MAE_Facebook</t>
  </si>
  <si>
    <t>Spend_Paid_MAE_Google</t>
  </si>
  <si>
    <t>Spend_Paid_MAE_Perform</t>
  </si>
  <si>
    <t>Spend_Paid_MAE_Liftoff</t>
  </si>
  <si>
    <t>Spend_Paid_MAE_All</t>
  </si>
  <si>
    <t>CPA_
Facebook</t>
  </si>
  <si>
    <t>CPA_
Google</t>
  </si>
  <si>
    <t>CPA_
Perform</t>
  </si>
  <si>
    <t>CPA_
Liftoff</t>
  </si>
  <si>
    <t>CPA_All</t>
  </si>
  <si>
    <t>Reactivated_Users_
Paid_MAE_Facebook</t>
  </si>
  <si>
    <t>Reactivated_Users_Paid_MAE_Google</t>
  </si>
  <si>
    <t>Reactivated_Users_Paid_MAE_All</t>
  </si>
  <si>
    <t>CPU_
Facebook</t>
  </si>
  <si>
    <t>CPU_Google</t>
  </si>
  <si>
    <t>CPU_All</t>
  </si>
  <si>
    <t>-</t>
  </si>
  <si>
    <t>AF</t>
  </si>
  <si>
    <t>Spend File</t>
  </si>
  <si>
    <t>Derived</t>
  </si>
  <si>
    <t>Users</t>
  </si>
  <si>
    <t>Sessions</t>
  </si>
  <si>
    <t>Spend</t>
  </si>
  <si>
    <t>Revenue</t>
  </si>
  <si>
    <t>CPU</t>
  </si>
  <si>
    <t>CPA</t>
  </si>
  <si>
    <t>7 Days - ROAS</t>
  </si>
  <si>
    <t>Google - Android</t>
  </si>
  <si>
    <t>Meta - Android</t>
  </si>
  <si>
    <t>Google- iOS</t>
  </si>
  <si>
    <t>Calendar_
Week_Start</t>
  </si>
  <si>
    <t>Predictive Churn Cohort</t>
  </si>
  <si>
    <t>Low Activity Cohort</t>
  </si>
  <si>
    <t>(SOL_V)</t>
  </si>
  <si>
    <t>SOL_V</t>
  </si>
  <si>
    <t>SO/Omniture</t>
  </si>
  <si>
    <t>(ST360 / Omniture)</t>
  </si>
  <si>
    <t>App_Order_
AND</t>
  </si>
  <si>
    <t>App_Order_
iOS</t>
  </si>
  <si>
    <t>App_Order_
All</t>
  </si>
  <si>
    <t>Desktop_
Order</t>
  </si>
  <si>
    <t>mWeb_
Order</t>
  </si>
  <si>
    <t>App_Revenue_
AND</t>
  </si>
  <si>
    <t>App_Revenue_
iOS</t>
  </si>
  <si>
    <t>App_Revenue_
All</t>
  </si>
  <si>
    <t>Desktop_
Revenue</t>
  </si>
  <si>
    <t>mWeb_
Revenue</t>
  </si>
  <si>
    <t>App_Visits_
AND</t>
  </si>
  <si>
    <t>App_Visits_
iOS</t>
  </si>
  <si>
    <t>Desktop_Visit</t>
  </si>
  <si>
    <t>mWeb_Visit</t>
  </si>
  <si>
    <t>App_Customer_AND</t>
  </si>
  <si>
    <t>App_Customer_iOS</t>
  </si>
  <si>
    <t>App_Customer_All</t>
  </si>
  <si>
    <t>Desktop_
Customer</t>
  </si>
  <si>
    <t>mWeb_
Customer</t>
  </si>
  <si>
    <t>App_WAU_
AND</t>
  </si>
  <si>
    <t>App_WAU_
iOS</t>
  </si>
  <si>
    <t>Desktop_
WAU</t>
  </si>
  <si>
    <t>mWeb_
WAU</t>
  </si>
  <si>
    <t>App_MTD_
MAU</t>
  </si>
  <si>
    <t>App_CvR_
AND</t>
  </si>
  <si>
    <t>App_CvR_
iOS</t>
  </si>
  <si>
    <t>App_CvR_
All</t>
  </si>
  <si>
    <t>Desktop_
CvR</t>
  </si>
  <si>
    <t>mWeb_
CvR</t>
  </si>
  <si>
    <t>App_AOV_
AND</t>
  </si>
  <si>
    <t>App_AOV_
iOS</t>
  </si>
  <si>
    <t>App_AOV_All</t>
  </si>
  <si>
    <t>mWeb_
AOV</t>
  </si>
  <si>
    <t>App_GMV_AND_Share</t>
  </si>
  <si>
    <t>App_GMV_iOS_Share</t>
  </si>
  <si>
    <t>App_GMV_Share</t>
  </si>
  <si>
    <t>Desktop_GMV_Share</t>
  </si>
  <si>
    <t>mWeb_GMV_Share</t>
  </si>
  <si>
    <t>Source</t>
  </si>
  <si>
    <t>App_Active_
Users_All</t>
  </si>
  <si>
    <t>App_New_
Active_Users</t>
  </si>
  <si>
    <t>App_Current_Active_Users</t>
  </si>
  <si>
    <t>App_Reactivated_Active_Users</t>
  </si>
  <si>
    <t>App_Dormant_
Users_All</t>
  </si>
  <si>
    <t>App_New_
Dormant_Users</t>
  </si>
  <si>
    <t>App_Current_
Dormant_Users</t>
  </si>
  <si>
    <t>App_Reactivated_
Dormant_Users</t>
  </si>
  <si>
    <t>App_New_Active_Users_Share</t>
  </si>
  <si>
    <t>App_Current_Active_Users_Share</t>
  </si>
  <si>
    <t>App_Reactivated_
Active_Users_Share</t>
  </si>
  <si>
    <t>App_New_Dormant_Users_Share</t>
  </si>
  <si>
    <t>App_Current_Dormant_Users_Share</t>
  </si>
  <si>
    <t>App_Reactivated_
Dormant_Users_Share</t>
  </si>
  <si>
    <t>Gross_RR</t>
  </si>
  <si>
    <t>NURR</t>
  </si>
  <si>
    <t>CURR</t>
  </si>
  <si>
    <t>RURR</t>
  </si>
  <si>
    <t>NGI</t>
  </si>
  <si>
    <t>Share</t>
  </si>
  <si>
    <t>App_Repeat_
Customers</t>
  </si>
  <si>
    <t>App_Reactivated_Customers</t>
  </si>
  <si>
    <t>App_New_
Customers</t>
  </si>
  <si>
    <t>App_
Customers_All</t>
  </si>
  <si>
    <t>App_Repeat_Orders</t>
  </si>
  <si>
    <t>App_Reactivated_Orders</t>
  </si>
  <si>
    <t>App_New_
Orders</t>
  </si>
  <si>
    <t>App_Orders_
All</t>
  </si>
  <si>
    <t>App_Repeat_
Revenue</t>
  </si>
  <si>
    <t>App_Reactivated_
Revenue</t>
  </si>
  <si>
    <t>App_New_
Revenue</t>
  </si>
  <si>
    <t>App_
Revenue_All</t>
  </si>
  <si>
    <t>mWeb_Custom_Banner_aka_sticky_banner</t>
  </si>
  <si>
    <t>Purchase_History_Bottom_
Sheet_App_Nudge</t>
  </si>
  <si>
    <t>gec_tx_
sms</t>
  </si>
  <si>
    <t>Emails
(All_campaigns)</t>
  </si>
  <si>
    <t>App_Landing_Page
(App_LP+Walmart_App+SandG)</t>
  </si>
  <si>
    <t>Order_
Confirmation</t>
  </si>
  <si>
    <t>Walmart_Plus_Onboarding</t>
  </si>
  <si>
    <t>Walmart_Fuel</t>
  </si>
  <si>
    <t>Site_
Footer</t>
  </si>
  <si>
    <t>Mobile_Web_App_Banner</t>
  </si>
  <si>
    <t>gec_tx_
email</t>
  </si>
  <si>
    <t>OG_Transactional_banner</t>
  </si>
  <si>
    <t>Tracked_
Installs</t>
  </si>
  <si>
    <t>Non_Tracked_Installs</t>
  </si>
  <si>
    <t>7D_RR_iOS_Users</t>
  </si>
  <si>
    <t>7D_RR_AND_Users</t>
  </si>
  <si>
    <t>Installs_Organic_Forecast</t>
  </si>
  <si>
    <t>Installs_Owned_Forecast</t>
  </si>
  <si>
    <t>Installs_Paid_Forecast</t>
  </si>
  <si>
    <t>Installs_Organic_Plan_Rev</t>
  </si>
  <si>
    <t>Installs_Owned_Plan_Rev</t>
  </si>
  <si>
    <t>Installs_Paid_Plan_Rev</t>
  </si>
  <si>
    <t>Installs_Actuall_All_YTD</t>
  </si>
  <si>
    <t>Installs_Plan_
All_YTD_Rev</t>
  </si>
  <si>
    <t>Installs_Actual_YTD_vs_Forecast_YTD</t>
  </si>
  <si>
    <t>Installs_Actual_QTD_vs_Forecast_QTD</t>
  </si>
  <si>
    <t>Installs_Actual_YTD_vs_Rev_Plan_YTD</t>
  </si>
  <si>
    <t>Installs_Actual_QTD_vs_Rev_Plan_QTD</t>
  </si>
  <si>
    <t>Installs_Actual_YTD_to_Install_Forecast</t>
  </si>
  <si>
    <t>Installs_Actual_YTD_to_Install_Plan_Rev</t>
  </si>
  <si>
    <t>Installs_Organic_
Actual_vs_Forecast</t>
  </si>
  <si>
    <t>Installs_Owned_
Actual_vs_Forecast</t>
  </si>
  <si>
    <t>Installs_Paid_
Actual_vs_Forecast</t>
  </si>
  <si>
    <t>Installs_All_
Actual_vs_Forecast</t>
  </si>
  <si>
    <t>Installs_Organic_
Actual_vs_Rev_Plan</t>
  </si>
  <si>
    <t>Installs_Owned_
Actual_vs_Rev_Plan</t>
  </si>
  <si>
    <t>Installs_Paid_
Actual_vs_Rev_Plan</t>
  </si>
  <si>
    <t>Installs_All_
Actual_vs_Rev_Plan</t>
  </si>
  <si>
    <t>Installs_Organic_Actual_YTD_vs_
Forecast_YTD</t>
  </si>
  <si>
    <t>Installs_Owned_Actual_YTD_vs_Forecast_YTD</t>
  </si>
  <si>
    <t>Installs_Paid_
Actual_YTD_vs_Forecast_YTD</t>
  </si>
  <si>
    <t>Installs_Organic_Actual_YTD_vs_
Rev_Plan_YTD</t>
  </si>
  <si>
    <t>Installs_Owned_Actual_YTD_vs_Rev_Plan_YTD</t>
  </si>
  <si>
    <t>Installs_Paid_
Actual_YTD_vs_Rev_Plan_YTD</t>
  </si>
  <si>
    <t>App_7D_RR_
Forecast</t>
  </si>
  <si>
    <t>App_7D_RR_Actual_vs_
Forecast</t>
  </si>
  <si>
    <t>App_7D_RR_
Actual_YTD_vs_Forecast_YTD</t>
  </si>
  <si>
    <t>App_7D_RR_
Actual_QTD_vs_Forecast_QTD</t>
  </si>
  <si>
    <t>App_30D_RR_
Forecast</t>
  </si>
  <si>
    <t>App_30D_RR_Actual_vs_
Forecast</t>
  </si>
  <si>
    <t>App_30D_RR_
Actual_YTD_vs_Forecast_YTD</t>
  </si>
  <si>
    <t>App_30D_RR_
Actual_QTD_vs_Forecast_QTD</t>
  </si>
  <si>
    <t>App_WAU_
Forecast</t>
  </si>
  <si>
    <t>App_WAU_
All</t>
  </si>
  <si>
    <t>App_WAU_Actual_vs_Forecast</t>
  </si>
  <si>
    <t>App_WAU_
Actual_YTD_vs_Forecast_YTD</t>
  </si>
  <si>
    <t>App_WAU_
Actual_QTD_vs_Forecast_QTD</t>
  </si>
  <si>
    <t>Column_Name</t>
  </si>
  <si>
    <t>Definition</t>
  </si>
  <si>
    <t xml:space="preserve"> The financial year in which the data is recorded for accounting and reporting purposes.</t>
  </si>
  <si>
    <t xml:space="preserve"> The specific week within a fiscal year for financial reporting and analysis.</t>
  </si>
  <si>
    <t xml:space="preserve"> A three-month period within a fiscal year, often used for financial reporting purposes.</t>
  </si>
  <si>
    <t xml:space="preserve">Terms: </t>
  </si>
  <si>
    <t xml:space="preserve"> The beginning date of a calendar week.</t>
  </si>
  <si>
    <t>_All</t>
  </si>
  <si>
    <t xml:space="preserve">indicates that all sub groups of that metrics are included. For example: RR_All, includes the average retention rates both iOS and Android. </t>
  </si>
  <si>
    <t xml:space="preserve"> The ending date of a calendar week.</t>
  </si>
  <si>
    <t>Installs vs Download</t>
  </si>
  <si>
    <t xml:space="preserve"> Unique identifier for a specific week in a dataset.</t>
  </si>
  <si>
    <t>MAI</t>
  </si>
  <si>
    <t xml:space="preserve"> Mobile App Install - Used synomously with Paid Installs and represents the installs acquired through paid channels. </t>
  </si>
  <si>
    <t xml:space="preserve"> Total number of app installations across all platforms or devices.</t>
  </si>
  <si>
    <t>MAE</t>
  </si>
  <si>
    <t xml:space="preserve">Mobile App Engagement. Synonymous with paid app engagement. </t>
  </si>
  <si>
    <t xml:space="preserve"> Number of app installations specifically on Android devices.</t>
  </si>
  <si>
    <t>Owned</t>
  </si>
  <si>
    <t xml:space="preserve"> Installs tracked back to a Walmart owned channel (Exp Website, Email, SMS, In store) </t>
  </si>
  <si>
    <t xml:space="preserve"> Number of app installations specifically on iOS devices.</t>
  </si>
  <si>
    <t>Organic</t>
  </si>
  <si>
    <t xml:space="preserve"> App installs not tracked</t>
  </si>
  <si>
    <t xml:space="preserve"> Proportion of app installations on Android devices relative to the total installations.</t>
  </si>
  <si>
    <t xml:space="preserve">Paid installs Used: </t>
  </si>
  <si>
    <t xml:space="preserve">Used synomously with MAI  Mobile App Install and represents the installs acquired through paid channels. </t>
  </si>
  <si>
    <t xml:space="preserve"> Proportion of app installations on iOS devices relative to the total installations.</t>
  </si>
  <si>
    <t>RR</t>
  </si>
  <si>
    <t xml:space="preserve"> Retention Rates. </t>
  </si>
  <si>
    <t xml:space="preserve"> Total number of organic app installations across all platforms or devices.</t>
  </si>
  <si>
    <t>CPI</t>
  </si>
  <si>
    <t>Cost per install</t>
  </si>
  <si>
    <t xml:space="preserve"> Total number of app installations from owned campaigns across all platforms or devices.</t>
  </si>
  <si>
    <t xml:space="preserve"> Total number of paid app installations across all platforms or devices.</t>
  </si>
  <si>
    <t>Installs_Organic_Share</t>
  </si>
  <si>
    <t xml:space="preserve"> Proportion of organic app installations relative to the total installations.</t>
  </si>
  <si>
    <t>Installs_Owned_Share</t>
  </si>
  <si>
    <t xml:space="preserve"> Proportion of app installations from owned campaigns relative to the total installations.</t>
  </si>
  <si>
    <t xml:space="preserve"> Proportion of paid app installations relative to the total installations.</t>
  </si>
  <si>
    <t xml:space="preserve"> Predicted or planned total number of app installations across all platforms.</t>
  </si>
  <si>
    <t xml:space="preserve"> Predicted or planned total number of app installations across all platforms. (Revised figures)</t>
  </si>
  <si>
    <t xml:space="preserve"> Actual total number of app installations year-to-date across all platforms.</t>
  </si>
  <si>
    <t xml:space="preserve"> Predicted or planned total number of app installations year-to-date across all platforms.</t>
  </si>
  <si>
    <t xml:space="preserve"> Predicted or planned total number of app installations year-to-date across all platforms. (Revised figures)</t>
  </si>
  <si>
    <t xml:space="preserve"> Total expenses from paid campaigns associated with app installations across all platforms.</t>
  </si>
  <si>
    <t xml:space="preserve"> Total expenses from paid campaigns associated with app installations (new user acquisition) across all platforms.</t>
  </si>
  <si>
    <t xml:space="preserve"> Total expenses from paid campaigns associated with user re-engagement across all platforms.</t>
  </si>
  <si>
    <t xml:space="preserve"> Total expenses from paid campaigns associated with app installations across all Android devices.</t>
  </si>
  <si>
    <t xml:space="preserve"> Total expenses from paid campaigns associated with app installations across all iOS devices.</t>
  </si>
  <si>
    <t xml:space="preserve"> Weekly Active Users (WAU) for the mobile application across all platforms.</t>
  </si>
  <si>
    <t xml:space="preserve"> Total number of orders placed through the mobile application across all platforms.</t>
  </si>
  <si>
    <t xml:space="preserve"> Total revenue generated by the mobile application across all platforms.</t>
  </si>
  <si>
    <t xml:space="preserve"> Total number of visits with the mobile application across all platforms.</t>
  </si>
  <si>
    <t xml:space="preserve"> Average number of sessions or interactions per user within the mobile application.</t>
  </si>
  <si>
    <t>App_CvR_All</t>
  </si>
  <si>
    <t xml:space="preserve"> Conversion Rate (CvR) for the mobile application, representing the percentage of users who made an order relative to the number of visits in the app.</t>
  </si>
  <si>
    <t xml:space="preserve"> Average Order Value (AOV) for the mobile application, indicating the average amount spent per order.</t>
  </si>
  <si>
    <t>Growth_Index</t>
  </si>
  <si>
    <t xml:space="preserve"> Index representing the growth performance of the mobile application.</t>
  </si>
  <si>
    <t xml:space="preserve"> 7-day retention rate for the mobile application across all platforms.</t>
  </si>
  <si>
    <t xml:space="preserve"> 7-day retention rate specifically for iOS users of the mobile application.</t>
  </si>
  <si>
    <t xml:space="preserve"> 7-day retention rate specifically for Android users of the mobile application.</t>
  </si>
  <si>
    <t>New iOS app installers for the month</t>
  </si>
  <si>
    <t>New Android app installers for the month</t>
  </si>
  <si>
    <t xml:space="preserve"> Estimated 7-day retention rate for the mobile application across all platforms.</t>
  </si>
  <si>
    <t xml:space="preserve"> 30-day retention rate for the mobile application across all platforms.</t>
  </si>
  <si>
    <t xml:space="preserve"> 30-day retention rate specifically for iOS users of the mobile application.</t>
  </si>
  <si>
    <t xml:space="preserve"> 30-day retention rate specifically for Android users of the mobile application.</t>
  </si>
  <si>
    <t xml:space="preserve"> Estimated 30-day retention rate for the mobile application across all platforms.</t>
  </si>
  <si>
    <t xml:space="preserve"> Number of Android app installations attributed to paid marketing efforts.</t>
  </si>
  <si>
    <t xml:space="preserve"> Number of iOS app installations attributed to paid marketing efforts.</t>
  </si>
  <si>
    <t xml:space="preserve"> Number of total app installations attributed to paid marketing efforts across all platforms.</t>
  </si>
  <si>
    <t xml:space="preserve"> Number of Android app installations from paid misattributed campaigns.</t>
  </si>
  <si>
    <t xml:space="preserve"> Number of iOS app installations from paid misattributed campaigns.</t>
  </si>
  <si>
    <t xml:space="preserve"> Number of total app installations from paid misattributed campaigns across all platforms.</t>
  </si>
  <si>
    <t xml:space="preserve"> Number of organic app installations on Android devices.</t>
  </si>
  <si>
    <t xml:space="preserve"> Number of organic app installations on iOS devices.</t>
  </si>
  <si>
    <t xml:space="preserve"> Number of app installations from owned campaigns on Android devices.</t>
  </si>
  <si>
    <t xml:space="preserve"> Number of app installations from owned campaigns on iOS devices.</t>
  </si>
  <si>
    <t xml:space="preserve"> Number of paid app installations on Android devices.</t>
  </si>
  <si>
    <t xml:space="preserve"> Number of paid app installations on iOS devices.</t>
  </si>
  <si>
    <t xml:space="preserve"> Proportion of organic app installations on Android devices relative to the total installations.</t>
  </si>
  <si>
    <t xml:space="preserve"> Proportion of organic app installations on iOS devices relative to the total installations.</t>
  </si>
  <si>
    <t xml:space="preserve"> Proportion of app installations from owned campaigns on Android devices relative to the total installations.</t>
  </si>
  <si>
    <t xml:space="preserve"> Proportion of app installations from owned campaigns on iOS devices relative to the total installations.</t>
  </si>
  <si>
    <t xml:space="preserve"> Proportion of paid app installations on Android devices relative to the total installations.</t>
  </si>
  <si>
    <t xml:space="preserve"> Proportion of paid app installations on iOS devices relative to the total installations.</t>
  </si>
  <si>
    <t xml:space="preserve"> Number of app installations attributed to paid campaigns on Facebook.</t>
  </si>
  <si>
    <t xml:space="preserve"> Number of app installations attributed to paid campaigns on Google.</t>
  </si>
  <si>
    <t xml:space="preserve"> Number of app installations attributed to paid campaigns on TikTok.</t>
  </si>
  <si>
    <t xml:space="preserve"> Number of app installations attributed to paid campaigns on DigitalTurbine.</t>
  </si>
  <si>
    <t xml:space="preserve"> Number of app installations attributed to paid campaigns on ASA (Apple Search Ads).</t>
  </si>
  <si>
    <t xml:space="preserve"> Number of app installations attributed to paid campaigns on InMobi.</t>
  </si>
  <si>
    <t xml:space="preserve"> Number of app installations attributed to paid campaigns on Criterio.</t>
  </si>
  <si>
    <t xml:space="preserve"> Number of app installations attributed to paid campaigns on Appia.</t>
  </si>
  <si>
    <t xml:space="preserve"> Number of app installations attributed to paid campaigns on IronSource.</t>
  </si>
  <si>
    <t xml:space="preserve"> Number of app installations attributed to paid campaigns on T-Mobile.</t>
  </si>
  <si>
    <t xml:space="preserve"> Number of app installations attributed to paid campaigns on Microsoft.</t>
  </si>
  <si>
    <t xml:space="preserve"> Number of app installations attributed to paid campaigns on Perform.</t>
  </si>
  <si>
    <t xml:space="preserve"> Number of app installations attributed to paid campaigns on Liftoff.</t>
  </si>
  <si>
    <t xml:space="preserve"> Number of app installations attributed to paid campaigns on Snapchat.</t>
  </si>
  <si>
    <t xml:space="preserve"> Number of app installations attributed to paid campaigns on Reddit.</t>
  </si>
  <si>
    <t xml:space="preserve"> Number of misattributed app installations due to paid campaigns.</t>
  </si>
  <si>
    <t xml:space="preserve"> Number of correctly attributed app installations due to paid campaigns.</t>
  </si>
  <si>
    <t xml:space="preserve"> Expenses related to paid campaigns for app installations on Facebook.</t>
  </si>
  <si>
    <t xml:space="preserve"> Expenses related to paid campaigns for app installations on Google.</t>
  </si>
  <si>
    <t xml:space="preserve"> Expenses related to paid campaigns for app installations on TikTok.</t>
  </si>
  <si>
    <t xml:space="preserve"> Expenses related to paid campaigns for app installations on DigitalTurbine.</t>
  </si>
  <si>
    <t xml:space="preserve"> Expenses related to paid campaigns for app installations on ASA (Apple Search Ads).</t>
  </si>
  <si>
    <t xml:space="preserve"> Expenses related to paid campaigns for app installations on InMobi.</t>
  </si>
  <si>
    <t xml:space="preserve"> Expenses related to paid campaigns for app installations on IronSource.</t>
  </si>
  <si>
    <t xml:space="preserve"> Expenses related to paid campaigns for app installations on T-Mobile.</t>
  </si>
  <si>
    <t xml:space="preserve"> Expenses related to paid campaigns for app installations on Microsoft.</t>
  </si>
  <si>
    <t xml:space="preserve"> Expenses related to paid campaigns for app installations on Perform.</t>
  </si>
  <si>
    <t xml:space="preserve"> Expenses related to paid campaigns for app installations on Liftoff.</t>
  </si>
  <si>
    <t xml:space="preserve"> Expenses related to paid campaigns for app installations on Snapchat.</t>
  </si>
  <si>
    <t xml:space="preserve"> Expenses related to paid campaigns for app installations on Reddit.</t>
  </si>
  <si>
    <t>CPI_Facebook</t>
  </si>
  <si>
    <t xml:space="preserve"> Cost Per Install (CPI) for app installations attributed to Facebook paid campaigns.</t>
  </si>
  <si>
    <t>CPI_Google</t>
  </si>
  <si>
    <t xml:space="preserve"> Cost Per Install (CPI) for app installations attributed to Google paid campaigns.</t>
  </si>
  <si>
    <t>CPI_TikTok</t>
  </si>
  <si>
    <t xml:space="preserve"> Cost Per Install (CPI) for app installations attributed to TikTok paid campaigns.</t>
  </si>
  <si>
    <t>CPI_DigitalTurbine</t>
  </si>
  <si>
    <t xml:space="preserve"> Cost Per Install (CPI) for app installations attributed to DigitalTurbine paid campaigns.</t>
  </si>
  <si>
    <t>CPI_ASA</t>
  </si>
  <si>
    <t xml:space="preserve"> Cost Per Install (CPI) for app installations attributed to ASA (Apple Search Ads) paid campaigns.</t>
  </si>
  <si>
    <t>CPI_InMobi</t>
  </si>
  <si>
    <t xml:space="preserve"> Cost Per Install (CPI) for app installations attributed to InMobi paid campaigns.</t>
  </si>
  <si>
    <t>CPI_IronSource</t>
  </si>
  <si>
    <t xml:space="preserve"> Cost Per Install (CPI) for app installations attributed to IronSource paid campaigns.</t>
  </si>
  <si>
    <t>CPI_TMobile</t>
  </si>
  <si>
    <t xml:space="preserve"> Cost Per Install (CPI) for app installations attributed to T-Mobile paid campaigns.</t>
  </si>
  <si>
    <t>CPI_Microsoft</t>
  </si>
  <si>
    <t xml:space="preserve"> Cost Per Install (CPI) for app installations attributed to Microsoft paid campaigns.</t>
  </si>
  <si>
    <t>CPI_Perform</t>
  </si>
  <si>
    <t xml:space="preserve"> Cost Per Install (CPI) for app installations attributed to Perform paid campaigns.</t>
  </si>
  <si>
    <t>CPI_Liftoff</t>
  </si>
  <si>
    <t xml:space="preserve"> Cost Per Install (CPI) for app installations attributed to Liftoff paid campaigns.</t>
  </si>
  <si>
    <t>CPI_Snapchat</t>
  </si>
  <si>
    <t xml:space="preserve"> Cost Per Install (CPI) for app installations attributed to Snapchat paid campaigns.</t>
  </si>
  <si>
    <t>CPI_Reddit</t>
  </si>
  <si>
    <t xml:space="preserve"> Cost Per Install (CPI) for app installations attributed to Reddit paid campaigns.</t>
  </si>
  <si>
    <t xml:space="preserve"> Overall Cost Per Install (CPI) across all paid campaigns.</t>
  </si>
  <si>
    <t xml:space="preserve"> Number of re-engagement sessions attributed to paid MAE campaigns on Facebook for the mobile app.</t>
  </si>
  <si>
    <t xml:space="preserve"> Number of re-engagement sessions attributed to paid MAE campaigns on Google for the mobile app.</t>
  </si>
  <si>
    <t xml:space="preserve"> Number of re-engagement sessions attributed to paid MAE campaigns on Perform for the mobile app.</t>
  </si>
  <si>
    <t xml:space="preserve"> Number of re-engagement sessions attributed to paid MAE campaigns on Liftoff for the mobile app.</t>
  </si>
  <si>
    <t xml:space="preserve"> Total number of re-engagement sessions attributed to paid MAE campaigns across all channels.</t>
  </si>
  <si>
    <t xml:space="preserve"> Expenses related to paid MAE campaigns for re-engagement sessions on Facebook for the mobile app.</t>
  </si>
  <si>
    <t xml:space="preserve"> Expenses related to paid MAE campaigns for re-engagement sessions on Google for the mobile app.</t>
  </si>
  <si>
    <t xml:space="preserve"> Expenses related to paid MAE campaigns for re-engagement sessions on Perform for the mobile app.</t>
  </si>
  <si>
    <t xml:space="preserve"> Expenses related to paid MAE campaigns for re-engagement sessions on Liftoff for the mobile app.</t>
  </si>
  <si>
    <t xml:space="preserve"> Total expenses related to paid MAE campaigns for re-engagement sessions across all channels.</t>
  </si>
  <si>
    <t>CPA_Facebook</t>
  </si>
  <si>
    <t xml:space="preserve"> Cost Per Acquisition (CPA) for re-engagement sessions attributed to Facebook paid MAE campaigns for the mobile app.</t>
  </si>
  <si>
    <t>CPA_Google</t>
  </si>
  <si>
    <t xml:space="preserve"> Cost Per Acquisition (CPA) for re-engagement sessions attributed to Google paid MAE campaigns for the mobile app.</t>
  </si>
  <si>
    <t>CPA_Perform</t>
  </si>
  <si>
    <t xml:space="preserve"> Cost Per Acquisition (CPA) for re-engagement sessions attributed to Perform paid MAE campaigns for the mobile app.</t>
  </si>
  <si>
    <t>CPA_Liftoff</t>
  </si>
  <si>
    <t xml:space="preserve"> Cost Per Acquisition (CPA) for re-engagement sessions attributed to Liftoff paid MAE campaigns for the mobile app.</t>
  </si>
  <si>
    <t xml:space="preserve"> Overall Cost Per Acquisition (CPA) for re-engagement sessions across all paid MAE campaigns for the mobile app.</t>
  </si>
  <si>
    <t xml:space="preserve"> Cost Per Reactivated User (CPU) for re-engaged users attributed to Facebook paid MAE campaigns for the mobile app.</t>
  </si>
  <si>
    <t xml:space="preserve"> Cost Per Reactivated User (CPU) for re-engaged users attributed to Google paid MAE campaigns for the mobile app.</t>
  </si>
  <si>
    <t xml:space="preserve"> Overall Cost Per Reactivated USer (CPU) for re-engaged users across all paid MAE campaigns for the mobile app.</t>
  </si>
  <si>
    <t>App_Order_AND</t>
  </si>
  <si>
    <t xml:space="preserve"> Total number of orders placed through the mobile application on Android devices.</t>
  </si>
  <si>
    <t>App_Order_iOS</t>
  </si>
  <si>
    <t xml:space="preserve"> Total number of orders placed through the mobile application on iOS devices.</t>
  </si>
  <si>
    <t>App_Order_All</t>
  </si>
  <si>
    <t>Desktop_Order</t>
  </si>
  <si>
    <t xml:space="preserve"> Total number of orders placed through the desktop version of the application.</t>
  </si>
  <si>
    <t>mWeb_Order</t>
  </si>
  <si>
    <t xml:space="preserve"> Total number of orders placed through the mobile web version of the application.</t>
  </si>
  <si>
    <t>App_Revenue_AND</t>
  </si>
  <si>
    <t xml:space="preserve"> Total revenue generated by the mobile application on Android devices.</t>
  </si>
  <si>
    <t>App_Revenue_iOS</t>
  </si>
  <si>
    <t xml:space="preserve"> Total revenue generated by the mobile application on iOS devices.</t>
  </si>
  <si>
    <t xml:space="preserve"> Total revenue generated by the desktop version of the application.</t>
  </si>
  <si>
    <t xml:space="preserve"> Total revenue generated by the mobile web version of the application.</t>
  </si>
  <si>
    <t>App_Visits_AND</t>
  </si>
  <si>
    <t xml:space="preserve"> Total number of visits or interactions with the mobile application on Android devices.</t>
  </si>
  <si>
    <t>App_Visits_iOS</t>
  </si>
  <si>
    <t xml:space="preserve"> Total number of visits or interactions with the mobile application on iOS devices.</t>
  </si>
  <si>
    <t xml:space="preserve"> Total number of visits or interactions on the desktop version of the application.</t>
  </si>
  <si>
    <t xml:space="preserve"> Total number of visits or interactions on the mobile web version of the application.</t>
  </si>
  <si>
    <t xml:space="preserve"> Number of customers using the mobile application on Android devices.</t>
  </si>
  <si>
    <t xml:space="preserve"> Number of customers using the mobile application on iOS devices.</t>
  </si>
  <si>
    <t xml:space="preserve"> Number of customers using the mobile application across all platforms.</t>
  </si>
  <si>
    <t>Desktop_Customer</t>
  </si>
  <si>
    <t xml:space="preserve"> Number of customers using the desktop version of the application.</t>
  </si>
  <si>
    <t>mWeb_Customer</t>
  </si>
  <si>
    <t xml:space="preserve"> Number of customers using the mobile web version of the application.</t>
  </si>
  <si>
    <t>App_WAU_AND</t>
  </si>
  <si>
    <t xml:space="preserve"> Weekly Active Users (WAU) for the mobile application on Android devices.</t>
  </si>
  <si>
    <t>App_WAU_iOS</t>
  </si>
  <si>
    <t xml:space="preserve"> Weekly Active Users (WAU) for the mobile application on iOS devices.</t>
  </si>
  <si>
    <t>Total Weekly Active Users (WAU) for the mobile app across all platforms.</t>
  </si>
  <si>
    <t>Total Weekly Active Users (WAU) for the desktop version of the app.</t>
  </si>
  <si>
    <t>Total Weekly Active Users (WAU) for the mobile web version of the app.</t>
  </si>
  <si>
    <t>App_MTD_MAU</t>
  </si>
  <si>
    <t>Total Active Users for the mobile app across all platforms from the starting of the month to the ending date of the reporting week.</t>
  </si>
  <si>
    <t>App_CvR_AND</t>
  </si>
  <si>
    <t xml:space="preserve"> Conversion Rate (CvR) for the mobile application on Android devices.</t>
  </si>
  <si>
    <t>App_CvR_iOS</t>
  </si>
  <si>
    <t xml:space="preserve"> Conversion Rate (CvR) for the mobile application on iOS devices.</t>
  </si>
  <si>
    <t>Desktop_CvR</t>
  </si>
  <si>
    <t xml:space="preserve"> Conversion Rate (CvR) for the desktop version of the application.</t>
  </si>
  <si>
    <t>mWeb_CvR</t>
  </si>
  <si>
    <t xml:space="preserve"> Conversion Rate (CvR) for the mobile web version of the application.</t>
  </si>
  <si>
    <t>App_AOV_AND</t>
  </si>
  <si>
    <t xml:space="preserve"> Average Order Value (AOV) for the mobile application on Android devices.</t>
  </si>
  <si>
    <t>App_AOV_iOS</t>
  </si>
  <si>
    <t xml:space="preserve"> Average Order Value (AOV) for the mobile application on iOS devices.</t>
  </si>
  <si>
    <t xml:space="preserve"> Average Order Value (AOV) for the desktop version of the application.</t>
  </si>
  <si>
    <t xml:space="preserve"> Average Order Value (AOV) for the mobile web version of the application.</t>
  </si>
  <si>
    <t xml:space="preserve"> Proportion of Gross Merchandise Value (GMV) generated by the mobile application on Android devices relative to the total GMV.</t>
  </si>
  <si>
    <t xml:space="preserve"> Proportion of Gross Merchandise Value (GMV) generated by the mobile application on iOS devices relative to the total GMV.</t>
  </si>
  <si>
    <t xml:space="preserve"> Proportion of Gross Merchandise Value (GMV) generated by the mobile application across all platforms relative to the total GMV.</t>
  </si>
  <si>
    <t xml:space="preserve"> Proportion of Gross Merchandise Value (GMV) generated by the desktop version of the application relative to the total GMV.</t>
  </si>
  <si>
    <t xml:space="preserve"> Proportion of Gross Merchandise Value (GMV) generated by the mobile web version of the application relative to the total GMV.</t>
  </si>
  <si>
    <t>App_Active_Users_All</t>
  </si>
  <si>
    <t xml:space="preserve"> Number of active users on the mobile app.</t>
  </si>
  <si>
    <t>App_New_Active_Users</t>
  </si>
  <si>
    <t xml:space="preserve"> Number of new active users (not including reinstalls) who installed app in reporting month.​</t>
  </si>
  <si>
    <t xml:space="preserve"> Number of Users active for the month before reporting month and active in reporting month.​</t>
  </si>
  <si>
    <t xml:space="preserve"> Number of Users not active in the month before reporting month but reactivated in reporting month.​</t>
  </si>
  <si>
    <t>App_Dormant_Users_All</t>
  </si>
  <si>
    <t xml:space="preserve"> Number of Users who are active in the last month but haven’t had any session this month.​</t>
  </si>
  <si>
    <t>App_New_Dormant_Users</t>
  </si>
  <si>
    <t xml:space="preserve"> Number of new dormant users on the mobile app.</t>
  </si>
  <si>
    <t>App_Current_Dormant_Users</t>
  </si>
  <si>
    <t xml:space="preserve"> Number of current dormant users on the mobile app.</t>
  </si>
  <si>
    <t>App_Reactivated_Dormant_Users</t>
  </si>
  <si>
    <t xml:space="preserve"> Number of reactivated dormant users on the mobile app.</t>
  </si>
  <si>
    <t xml:space="preserve"> Proportion of new active users relative to total active users.</t>
  </si>
  <si>
    <t xml:space="preserve"> Proportion of current active users relative to total active users.</t>
  </si>
  <si>
    <t>App_Reactivated_Active_Users_Share</t>
  </si>
  <si>
    <t xml:space="preserve"> Proportion of reactivated active users relative to total active users.</t>
  </si>
  <si>
    <t xml:space="preserve"> Proportion of new dormant users relative to total dormant users.</t>
  </si>
  <si>
    <t xml:space="preserve"> Proportion of current dormant users relative to total dormant users.</t>
  </si>
  <si>
    <t>App_Reactivated_Dormant_Users_Share</t>
  </si>
  <si>
    <t xml:space="preserve"> Proportion of reactivated dormant users relative to total dormant users.</t>
  </si>
  <si>
    <t xml:space="preserve"> Gross retention rate, indicating the percentage of customers retained over a specific period.</t>
  </si>
  <si>
    <t xml:space="preserve"> Net user retention rate, representing the percentage of users retained after accounting for churn.</t>
  </si>
  <si>
    <t xml:space="preserve"> Current user retention rate, indicating the percentage of current users retained.</t>
  </si>
  <si>
    <t xml:space="preserve"> Reactivated user retention rate, representing the percentage of reactivated users retained.</t>
  </si>
  <si>
    <t xml:space="preserve"> Net growth index, measuring the growth of active users after accounting for churn and reactivation.</t>
  </si>
  <si>
    <t>App_Repeat_Customers</t>
  </si>
  <si>
    <t xml:space="preserve"> Number of customers who repeatedly make purchases through the mobile app.</t>
  </si>
  <si>
    <t xml:space="preserve"> Number of customers who were reactivated and made purchases through the mobile app.</t>
  </si>
  <si>
    <t>App_New_Customers</t>
  </si>
  <si>
    <t xml:space="preserve"> Number of new customers who made their first purchase through the mobile app.</t>
  </si>
  <si>
    <t xml:space="preserve"> Total number of customers who made purchases through the mobile app.</t>
  </si>
  <si>
    <t xml:space="preserve"> Number of repeat orders placed through the mobile app.</t>
  </si>
  <si>
    <t xml:space="preserve"> Number of reactivated customer orders placed through the mobile app.</t>
  </si>
  <si>
    <t>App_New_Orders</t>
  </si>
  <si>
    <t xml:space="preserve"> Number of new customer orders placed through the mobile app.</t>
  </si>
  <si>
    <t>App_Repeat_Revenue</t>
  </si>
  <si>
    <t xml:space="preserve"> Revenue generated from repeat customer purchases through the mobile app.</t>
  </si>
  <si>
    <t>App_Reactivated_Revenue</t>
  </si>
  <si>
    <t xml:space="preserve"> Revenue generated from reactivated customer purchases through the mobile app.</t>
  </si>
  <si>
    <t>App_New_Revenue</t>
  </si>
  <si>
    <t xml:space="preserve"> Revenue generated from new customer purchases through the mobile app.</t>
  </si>
  <si>
    <t xml:space="preserve"> Predicted or planned organic app installations.</t>
  </si>
  <si>
    <t xml:space="preserve"> Predicted or planned owned app installations.</t>
  </si>
  <si>
    <t xml:space="preserve"> Predicted or planned paid app installations.</t>
  </si>
  <si>
    <t xml:space="preserve"> Predicted or planned organic app installations. (Revised figures)</t>
  </si>
  <si>
    <t xml:space="preserve"> Predicted or planned owned app installations. (Revised figures)</t>
  </si>
  <si>
    <t xml:space="preserve"> Predicted or planned paid app installations. (Revised figures)</t>
  </si>
  <si>
    <t xml:space="preserve"> Total number of app installations year-to-date across all platforms.</t>
  </si>
  <si>
    <t xml:space="preserve"> Comparison between actual year-to-date app installations and forecasted year-to-date installations.</t>
  </si>
  <si>
    <t xml:space="preserve"> Comparison between actual quarter-to-date app installations and forecasted quarter-to-date installations.</t>
  </si>
  <si>
    <t xml:space="preserve"> Comparison between actual year-to-date app installations and revised forecast year-to-date installations.</t>
  </si>
  <si>
    <t xml:space="preserve"> Comparison between actual quarter-to-date app installations and revised forecast quarter-to-date installations.</t>
  </si>
  <si>
    <t xml:space="preserve"> Comparison between actual year-to-date app installations and total forecasted installations.</t>
  </si>
  <si>
    <t xml:space="preserve"> Comparison between actual year-to-date app installations and total revised forecast installations.</t>
  </si>
  <si>
    <t>Installs_Organic_Actual_vs_Forecast</t>
  </si>
  <si>
    <t xml:space="preserve"> Comparison between actual organic app installations and forecasted installations.</t>
  </si>
  <si>
    <t>Installs_Owned_Actual_vs_Forecast</t>
  </si>
  <si>
    <t xml:space="preserve"> Comparison between actual owned app installations and forecasted installations.</t>
  </si>
  <si>
    <t>Installs_Paid_Actual_vs_Forecast</t>
  </si>
  <si>
    <t xml:space="preserve"> Comparison between actual paid app installations and forecasted installations.</t>
  </si>
  <si>
    <t>Installs_All_Actual_vs_Forecast</t>
  </si>
  <si>
    <t xml:space="preserve"> Comparison between actual total app installations and forecasted installations.</t>
  </si>
  <si>
    <t>Installs_Organic_Actual_vs_Rev_Plan</t>
  </si>
  <si>
    <t xml:space="preserve"> Comparison between actual organic app installations and revised forecast installations. </t>
  </si>
  <si>
    <t>Installs_Owned_Actual_vs_Rev_Plan</t>
  </si>
  <si>
    <t xml:space="preserve"> Comparison between actual owned app installations and revised forecast installations.</t>
  </si>
  <si>
    <t>Installs_Paid_Actual_vs_Rev_Plan</t>
  </si>
  <si>
    <t xml:space="preserve"> Comparison between actual paid app installations and revised forecast installations.</t>
  </si>
  <si>
    <t>Installs_All_Actual_vs_Rev_Plan</t>
  </si>
  <si>
    <t xml:space="preserve"> Comparison between actual total app installations and revised forecast installations.</t>
  </si>
  <si>
    <t>Installs_Organic_Actual_YTD_vs_Forecast_YTD</t>
  </si>
  <si>
    <t xml:space="preserve"> Comparison between actual and forecasted organic app installations year-to-date.</t>
  </si>
  <si>
    <t xml:space="preserve"> Comparison between actual and forecasted app installations from owned campaigns year-to-date.</t>
  </si>
  <si>
    <t>Installs_Paid_Actual_YTD_vs_Forecast_YTD</t>
  </si>
  <si>
    <t xml:space="preserve"> Comparison between actual and forecasted app installations from paid attributed campaigns year-to-date.</t>
  </si>
  <si>
    <t>Installs_Organic_Actual_YTD_vs_Rev_Plan_YTD</t>
  </si>
  <si>
    <t xml:space="preserve"> Comparison between actual and revised forecast organic app installations year-to-date.</t>
  </si>
  <si>
    <t xml:space="preserve"> Comparison between actual and revised forecast app installations from owned campaigns year-to-date.</t>
  </si>
  <si>
    <t>Installs_Paid_Actual_YTD_vs_Rev_Plan_YTD</t>
  </si>
  <si>
    <t xml:space="preserve"> Comparison between actual and revised forecast app installations from paid attributed campaigns year-to-date.</t>
  </si>
  <si>
    <t>App_7D_RR_Forecast</t>
  </si>
  <si>
    <t xml:space="preserve"> Predicted or planned 7-day user retention rate (RR) on the mobile app.</t>
  </si>
  <si>
    <t>App_7D_RR_Actual_vs_Forecast</t>
  </si>
  <si>
    <t>Comparison between Actual and Forecasted 7-day retention rates.</t>
  </si>
  <si>
    <t>App_7D_RR_Actual_YTD_vs_Forecast_YTD</t>
  </si>
  <si>
    <t>Comparison between Actual year-to-date 7-day retention rate and forecasted year-to-date 7-day retention rates.</t>
  </si>
  <si>
    <t>App_7D_RR_Actual_QTD_vs_Forecast_QTD</t>
  </si>
  <si>
    <t>Comparison between Actual quarter-to-date 7-day retention rate and forecasted quarter-to-date 7-day retention rates.</t>
  </si>
  <si>
    <t>App_30D_RR_Forecast</t>
  </si>
  <si>
    <t xml:space="preserve"> Predicted or planned 30-day user retention rate (RR) on the mobile app.</t>
  </si>
  <si>
    <t>App_30D_RR_Actual_vs_Forecast</t>
  </si>
  <si>
    <t>Comparison between Actual and Forecasted 30-day retention rates.</t>
  </si>
  <si>
    <t>App_30D_RR_Actual_YTD_vs_Forecast_YTD</t>
  </si>
  <si>
    <t>Comparison between Actual year-to-date 30-day retention rate and forecasted year-to-date 7-day retention rates.</t>
  </si>
  <si>
    <t>App_30D_RR_Actual_QTD_vs_Forecast_QTD</t>
  </si>
  <si>
    <t>Comparison between Actual quarter-to-date 30-day retention rate and forecasted quarter-to-date 7-day retention rates.</t>
  </si>
  <si>
    <t>App_WAU_Forecast</t>
  </si>
  <si>
    <t xml:space="preserve"> Predicted or planned number of weekly active users on the mobile app.</t>
  </si>
  <si>
    <t xml:space="preserve"> Total number of weekly active users (WAU) on the mobile app across all platforms.</t>
  </si>
  <si>
    <t xml:space="preserve"> Comparison between actual and forecasted weekly active users on the mobile app.</t>
  </si>
  <si>
    <t>App_WAU_Actual_YTD_vs_Forecast_YTD</t>
  </si>
  <si>
    <t xml:space="preserve"> Comparison between actual and forecasted weekly active users (MAU) year-to-date.</t>
  </si>
  <si>
    <t>App_WAU_Actual_QTD_vs_Forecast_QTD</t>
  </si>
  <si>
    <t xml:space="preserve"> Comparison between actual and forecasted weekly active users (MAU) quarter-to-date.</t>
  </si>
  <si>
    <t>Automated Weekly Charts</t>
  </si>
  <si>
    <t>Mapping</t>
  </si>
  <si>
    <t>Current Week:</t>
  </si>
  <si>
    <t xml:space="preserve">columns for calculation </t>
  </si>
  <si>
    <t>Overall Installs</t>
  </si>
  <si>
    <t>please ignore</t>
  </si>
  <si>
    <t>This Year</t>
  </si>
  <si>
    <t>Last Year</t>
  </si>
  <si>
    <t>Forecast</t>
  </si>
  <si>
    <t>YoY Change</t>
  </si>
  <si>
    <t>Installs Split</t>
  </si>
  <si>
    <t>Paid</t>
  </si>
  <si>
    <t>Owned Installs</t>
  </si>
  <si>
    <t>App LP</t>
  </si>
  <si>
    <t>App Nudge</t>
  </si>
  <si>
    <t>SMS</t>
  </si>
  <si>
    <t>Sticky Banner</t>
  </si>
  <si>
    <t>Others</t>
  </si>
  <si>
    <t>Total</t>
  </si>
  <si>
    <t>Paid Installs</t>
  </si>
  <si>
    <t>Google</t>
  </si>
  <si>
    <t>Meta</t>
  </si>
  <si>
    <t>ASA</t>
  </si>
  <si>
    <t>inMobi</t>
  </si>
  <si>
    <t>IronSource</t>
  </si>
  <si>
    <t>T-Mobile</t>
  </si>
  <si>
    <t>Unity</t>
  </si>
  <si>
    <t>Attributed</t>
  </si>
  <si>
    <t>Misattributed</t>
  </si>
  <si>
    <t>Iron Source</t>
  </si>
  <si>
    <t>MAE Slide</t>
  </si>
  <si>
    <t>WAU/MTD_MAU</t>
  </si>
  <si>
    <t>vs Forecast</t>
  </si>
  <si>
    <t>WAU Segmentation</t>
  </si>
  <si>
    <t>Current Users</t>
  </si>
  <si>
    <t>Reactivated Users</t>
  </si>
  <si>
    <t>Inactive Users</t>
  </si>
  <si>
    <t>New Users</t>
  </si>
  <si>
    <t>Curr</t>
  </si>
  <si>
    <t>Re</t>
  </si>
  <si>
    <t>Inact</t>
  </si>
  <si>
    <t>New</t>
  </si>
  <si>
    <t>Automated Weekly KPIs table:</t>
  </si>
  <si>
    <t>Note: Every week in FY26 will be compared YoY with it's FY25 + 1 week</t>
  </si>
  <si>
    <t>Table: Key Mobile App Metrics </t>
  </si>
  <si>
    <t>Key Mobile App Metrics </t>
  </si>
  <si>
    <t>Actuals</t>
  </si>
  <si>
    <t>QTD v. Forecast</t>
  </si>
  <si>
    <t>YTD v. Forecast</t>
  </si>
  <si>
    <t>Last Week:</t>
  </si>
  <si>
    <t>User Acquisition</t>
  </si>
  <si>
    <t>Total Installs</t>
  </si>
  <si>
    <t>4 Weeks ago:</t>
  </si>
  <si>
    <t>   Android</t>
  </si>
  <si>
    <t>LY Current Week:</t>
  </si>
  <si>
    <t xml:space="preserve">   iOS</t>
  </si>
  <si>
    <t>MAI Spend</t>
  </si>
  <si>
    <t>notes:</t>
  </si>
  <si>
    <t>Cost Per Install</t>
  </si>
  <si>
    <t>This is to be updated every first weekly report of the Month</t>
  </si>
  <si>
    <t>User Engagement</t>
  </si>
  <si>
    <t>WAUs</t>
  </si>
  <si>
    <t>MAU needs be be manually updated at end of every month, everything else is dervied, please don't change formulas.</t>
  </si>
  <si>
    <t>In-Store Sessions*</t>
  </si>
  <si>
    <t>Text color formatting needs to be done</t>
  </si>
  <si>
    <t>MAU (Feb)</t>
  </si>
  <si>
    <t>64.3M</t>
  </si>
  <si>
    <t>New User Retention</t>
  </si>
  <si>
    <t>Table: Owned Installs</t>
  </si>
  <si>
    <t>Install Source</t>
  </si>
  <si>
    <t>Weekly Installs</t>
  </si>
  <si>
    <t>WoW Change</t>
  </si>
  <si>
    <t xml:space="preserve"> Order Ready for Pickup SMS </t>
  </si>
  <si>
    <t>Manually input campaign whose install counts not availble in collated, please refer totalcombo.</t>
  </si>
  <si>
    <t xml:space="preserve"> Sticky (m-Web) Banner  </t>
  </si>
  <si>
    <t>Please manually adjust count of "Other" campaigns every week.</t>
  </si>
  <si>
    <t xml:space="preserve">  App Landing Page**  </t>
  </si>
  <si>
    <t>Sort in descending order before using it on weekly slide</t>
  </si>
  <si>
    <t xml:space="preserve">  Email*  </t>
  </si>
  <si>
    <t xml:space="preserve">   WMT FUEL   </t>
  </si>
  <si>
    <t xml:space="preserve">  Purchase History App Nudge  </t>
  </si>
  <si>
    <t xml:space="preserve">    Walmart Plus Onboarding    </t>
  </si>
  <si>
    <t xml:space="preserve">  Order Confirmation  </t>
  </si>
  <si>
    <t xml:space="preserve">  autocarecenter  </t>
  </si>
  <si>
    <t>Needs manual input for installs, insert last week's "autocarecenter" installs in the box here:</t>
  </si>
  <si>
    <t xml:space="preserve">  Store WiFi****</t>
  </si>
  <si>
    <t>Needs manual input for installs, insert last week's "Store WiFi" installs in the box here:</t>
  </si>
  <si>
    <t xml:space="preserve">   Walmart.com Site Footer   </t>
  </si>
  <si>
    <t>Needs manual input for WoW, insert last week's "Others" count in the box here:</t>
  </si>
  <si>
    <t xml:space="preserve">  Total  </t>
  </si>
  <si>
    <t>Table: Paid Installs</t>
  </si>
  <si>
    <t>Weekly</t>
  </si>
  <si>
    <t>KPI</t>
  </si>
  <si>
    <t>Installs</t>
  </si>
  <si>
    <t>Fully automated, just populate Channel and Campaign metrics</t>
  </si>
  <si>
    <t>(+/- WoW)</t>
  </si>
  <si>
    <t>Do not change formulas</t>
  </si>
  <si>
    <t>organic</t>
  </si>
  <si>
    <t>owned</t>
  </si>
  <si>
    <t>paid</t>
  </si>
  <si>
    <t>org</t>
  </si>
  <si>
    <t>wow</t>
  </si>
  <si>
    <t>and</t>
  </si>
  <si>
    <t>ios</t>
  </si>
  <si>
    <t>yoy</t>
  </si>
  <si>
    <t>referenced below, do not delete</t>
  </si>
  <si>
    <t>And</t>
  </si>
  <si>
    <t>iOS</t>
  </si>
  <si>
    <t>Installs from Source</t>
  </si>
  <si>
    <t>Organic Installs</t>
  </si>
  <si>
    <t>Fully automated, just populate overall metrics sheet</t>
  </si>
  <si>
    <t>Can be directly copied to weekly slide 2,</t>
  </si>
  <si>
    <t>Color formatting needs to be manually done as conditional formatting doesn’t work with text</t>
  </si>
  <si>
    <t>Comparative Performance:</t>
  </si>
  <si>
    <t>Comparative Performance</t>
  </si>
  <si>
    <t>App</t>
  </si>
  <si>
    <t>mWeb</t>
  </si>
  <si>
    <t>Desktop</t>
  </si>
  <si>
    <t>Unique Visitors </t>
  </si>
  <si>
    <t>Customers </t>
  </si>
  <si>
    <t>Unique Visits
(Sessions)</t>
  </si>
  <si>
    <t>Orders</t>
  </si>
  <si>
    <t>Conversion Rate</t>
  </si>
  <si>
    <t>GMV</t>
  </si>
  <si>
    <t>AOV</t>
  </si>
  <si>
    <t>MAE - Audience &amp; Partner Level Performance</t>
  </si>
  <si>
    <t>Platform</t>
  </si>
  <si>
    <t>Android</t>
  </si>
  <si>
    <t>Media Source</t>
  </si>
  <si>
    <t>Google + Meta</t>
  </si>
  <si>
    <t>Audience</t>
  </si>
  <si>
    <t>Predictive Churn</t>
  </si>
  <si>
    <t>Low Activity</t>
  </si>
  <si>
    <t>WEEK</t>
  </si>
  <si>
    <t>REVENUE</t>
  </si>
  <si>
    <t>TOTAL</t>
  </si>
  <si>
    <t>SPEND</t>
  </si>
  <si>
    <t>ROAS</t>
  </si>
  <si>
    <t>Penultimate Week</t>
  </si>
  <si>
    <t>Latest Week</t>
  </si>
  <si>
    <t>Sessions*</t>
  </si>
  <si>
    <t>Retargeted Users</t>
  </si>
  <si>
    <t>TW</t>
  </si>
  <si>
    <t>LW</t>
  </si>
  <si>
    <t>Sessions *</t>
  </si>
  <si>
    <t>Re-installs</t>
  </si>
  <si>
    <t>Adobe</t>
  </si>
  <si>
    <t>Amplitude</t>
  </si>
  <si>
    <t>% Difference</t>
  </si>
  <si>
    <t>Est. Amplitude using average % difference</t>
  </si>
  <si>
    <t>WAU</t>
  </si>
  <si>
    <t>Avg Difference</t>
  </si>
  <si>
    <t>Amplitue + est</t>
  </si>
  <si>
    <t>Avg</t>
  </si>
  <si>
    <t>Feb</t>
  </si>
  <si>
    <t>Diff.</t>
  </si>
  <si>
    <t>Column Labels</t>
  </si>
  <si>
    <t>Row Labels</t>
  </si>
  <si>
    <t>Q1</t>
  </si>
  <si>
    <t>Q2</t>
  </si>
  <si>
    <t>Q3</t>
  </si>
  <si>
    <t>Q4</t>
  </si>
  <si>
    <t>Grand Total</t>
  </si>
  <si>
    <t>Sum of Installs_
Forecast_All</t>
  </si>
  <si>
    <t>Sum of Installs_All</t>
  </si>
  <si>
    <t>Total Sum of Installs_
Forecast_All</t>
  </si>
  <si>
    <t>Total Sum of Installs_All</t>
  </si>
  <si>
    <t>Sum of mWeb_
Order</t>
  </si>
  <si>
    <t>Category</t>
  </si>
  <si>
    <t>YTD Installs Actual</t>
  </si>
  <si>
    <t>YTD Installs Forecast</t>
  </si>
  <si>
    <t>Visits</t>
  </si>
  <si>
    <t>7-day Retention Rate (Ampitude)</t>
  </si>
  <si>
    <t>30-day Retention rates Amplitude)</t>
  </si>
  <si>
    <t>Retention Rate</t>
  </si>
  <si>
    <t>Retention rate</t>
  </si>
  <si>
    <t>Retention rates (Hallway - 0 day)</t>
  </si>
  <si>
    <t>Growth Index</t>
  </si>
  <si>
    <t>Attributed Paid Installs</t>
  </si>
  <si>
    <t>Unattributed Paid Installs</t>
  </si>
  <si>
    <t>UPO</t>
  </si>
  <si>
    <t>(Amp)</t>
  </si>
  <si>
    <t>(SO)</t>
  </si>
  <si>
    <t>(Beacon)</t>
  </si>
  <si>
    <t>7 Day</t>
  </si>
  <si>
    <t>7 Day - iOS</t>
  </si>
  <si>
    <t>7 Day - Android</t>
  </si>
  <si>
    <t>iOS Installs</t>
  </si>
  <si>
    <t>Android Installs</t>
  </si>
  <si>
    <t>7 Day Estimate</t>
  </si>
  <si>
    <t>7 Day - GM</t>
  </si>
  <si>
    <t>7 Day - OPD</t>
  </si>
  <si>
    <t>7 Day - either</t>
  </si>
  <si>
    <t>7 Day - Dual</t>
  </si>
  <si>
    <t>30 Day</t>
  </si>
  <si>
    <t>30 Day - iOS</t>
  </si>
  <si>
    <t>30 Day - Android</t>
  </si>
  <si>
    <t>30 Day Estimate</t>
  </si>
  <si>
    <t>GM</t>
  </si>
  <si>
    <t>OPD</t>
  </si>
  <si>
    <t>Either</t>
  </si>
  <si>
    <t>Dual</t>
  </si>
  <si>
    <t>3 Day</t>
  </si>
  <si>
    <t>3 Day - GM</t>
  </si>
  <si>
    <t>3 Day - OPD</t>
  </si>
  <si>
    <t>3 Day - either</t>
  </si>
  <si>
    <t>3 Day - Dual</t>
  </si>
  <si>
    <t>1 Day</t>
  </si>
  <si>
    <t>Total Attributed</t>
  </si>
  <si>
    <t>Total Unattributed</t>
  </si>
  <si>
    <t>Android%</t>
  </si>
  <si>
    <t>iOS%</t>
  </si>
  <si>
    <t>ID</t>
  </si>
  <si>
    <t>Installs_Android</t>
  </si>
  <si>
    <t>Weekly Highlights (events)</t>
  </si>
  <si>
    <t>Data Issues</t>
  </si>
  <si>
    <t>Android %</t>
  </si>
  <si>
    <t>iOS %</t>
  </si>
  <si>
    <t>  Others ​</t>
  </si>
  <si>
    <t xml:space="preserve"> </t>
  </si>
  <si>
    <t>WK1</t>
  </si>
  <si>
    <t>WK2</t>
  </si>
  <si>
    <t>WK3</t>
  </si>
  <si>
    <t>WK4</t>
  </si>
  <si>
    <t>MTD Active Users</t>
  </si>
  <si>
    <t>  Others</t>
  </si>
  <si>
    <t>Apple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</si>
</sst>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3" formatCode="_ * #,##0.00_ ;_ * \-#,##0.00_ ;_ * &quot;-&quot;??_ ;_ @_ "/>
    <numFmt numFmtId="164" formatCode="&quot;$&quot;#,##0_);[Red]\(&quot;$&quot;#,##0\)"/>
    <numFmt numFmtId="165" formatCode="&quot;$&quot;#,##0.00_);[Red]\(&quot;$&quot;#,##0.00\)"/>
    <numFmt numFmtId="166" formatCode="_(&quot;$&quot;* #,##0.00_);_(&quot;$&quot;* \(#,##0.00\);_(&quot;$&quot;* &quot;-&quot;??_);_(@_)"/>
    <numFmt numFmtId="167" formatCode="_(* #,##0_);_(* \(#,##0\);_(* &quot;-&quot;??_);_(@_)"/>
    <numFmt numFmtId="168" formatCode="_(&quot;$&quot;* #,##0_);_(&quot;$&quot;* \(#,##0\);_(&quot;$&quot;* &quot;-&quot;??_);_(@_)"/>
    <numFmt numFmtId="169" formatCode="0.0%"/>
    <numFmt numFmtId="170" formatCode="&quot;$&quot;#,##0"/>
    <numFmt numFmtId="171" formatCode="&quot;$&quot;#,##0.00"/>
    <numFmt numFmtId="172" formatCode="&quot;$&quot;#,##0.0"/>
    <numFmt numFmtId="173" formatCode="#.##,,&quot;M&quot;"/>
    <numFmt numFmtId="174" formatCode="#.#,&quot;K&quot;"/>
    <numFmt numFmtId="175" formatCode="#,&quot;K&quot;"/>
    <numFmt numFmtId="176" formatCode="#.#,,&quot;M&quot;"/>
    <numFmt numFmtId="177" formatCode="&quot;$&quot;#,&quot;K&quot;"/>
    <numFmt numFmtId="178" formatCode="&quot;$&quot;#.#,&quot;K&quot;"/>
    <numFmt numFmtId="179" formatCode="&quot;$&quot;#,##0.0_);[Red]\(&quot;$&quot;#,##0.0\)"/>
  </numFmts>
  <fonts count="72">
    <font>
      <sz val="11"/>
      <color theme="1"/>
      <name val="Calibri"/>
      <family val="2"/>
      <scheme val="minor"/>
    </font>
    <font>
      <sz val="11"/>
      <color theme="1"/>
      <name val="Calibri"/>
      <family val="2"/>
      <scheme val="minor"/>
    </font>
    <font>
      <sz val="10"/>
      <color theme="1"/>
      <name val="Calibri"/>
      <family val="2"/>
      <scheme val="minor"/>
    </font>
    <font>
      <sz val="11"/>
      <color rgb="FF000000"/>
      <name val="Calibri"/>
      <family val="2"/>
      <scheme val="minor"/>
    </font>
    <font>
      <sz val="10"/>
      <color rgb="FF000000"/>
      <name val="Calibri"/>
      <family val="2"/>
      <scheme val="minor"/>
    </font>
    <font>
      <sz val="11"/>
      <name val="Calibri"/>
      <family val="2"/>
      <scheme val="minor"/>
    </font>
    <font>
      <sz val="10"/>
      <color rgb="FF000000"/>
      <name val="Helvetica Neue"/>
      <family val="2"/>
    </font>
    <font>
      <sz val="18"/>
      <color theme="1"/>
      <name val="Calibri"/>
      <family val="2"/>
      <scheme val="minor"/>
    </font>
    <font>
      <sz val="10"/>
      <color theme="1"/>
      <name val="Bogle"/>
      <family val="2"/>
    </font>
    <font>
      <sz val="8"/>
      <color rgb="FF39434E"/>
      <name val="Museo_sans300"/>
    </font>
    <font>
      <sz val="11"/>
      <color rgb="FF000000"/>
      <name val="Calibri"/>
      <family val="2"/>
    </font>
    <font>
      <b/>
      <sz val="10"/>
      <color theme="1"/>
      <name val="Bogle"/>
      <family val="2"/>
    </font>
    <font>
      <sz val="10"/>
      <color rgb="FF000000"/>
      <name val="Bogle"/>
      <family val="2"/>
    </font>
    <font>
      <sz val="10"/>
      <name val="Bogle"/>
      <family val="2"/>
    </font>
    <font>
      <i/>
      <sz val="11"/>
      <color theme="1"/>
      <name val="Calibri"/>
      <family val="2"/>
      <scheme val="minor"/>
    </font>
    <font>
      <b/>
      <sz val="10"/>
      <color theme="1"/>
      <name val="Calibri"/>
      <family val="2"/>
      <scheme val="minor"/>
    </font>
    <font>
      <b/>
      <sz val="11"/>
      <color theme="1"/>
      <name val="Calibri"/>
      <family val="2"/>
      <scheme val="minor"/>
    </font>
    <font>
      <sz val="12"/>
      <color theme="1"/>
      <name val="Segoe UI"/>
      <family val="2"/>
    </font>
    <font>
      <sz val="10"/>
      <color rgb="FFFF0000"/>
      <name val="Bogle"/>
      <family val="2"/>
    </font>
    <font>
      <b/>
      <sz val="11"/>
      <color theme="1"/>
      <name val="Bogle"/>
      <family val="2"/>
    </font>
    <font>
      <sz val="11"/>
      <color theme="1"/>
      <name val="Bogle"/>
      <family val="2"/>
    </font>
    <font>
      <sz val="9"/>
      <color theme="1"/>
      <name val="Bogle"/>
      <family val="2"/>
    </font>
    <font>
      <sz val="8"/>
      <color rgb="FF031D42"/>
      <name val="Bogle"/>
      <family val="2"/>
    </font>
    <font>
      <sz val="10"/>
      <color theme="1"/>
      <name val="Arial"/>
      <family val="2"/>
    </font>
    <font>
      <sz val="7"/>
      <color theme="1"/>
      <name val="Arial"/>
      <family val="2"/>
    </font>
    <font>
      <sz val="11"/>
      <color rgb="FFFF0000"/>
      <name val="Calibri"/>
      <family val="2"/>
      <scheme val="minor"/>
    </font>
    <font>
      <sz val="8"/>
      <color theme="1"/>
      <name val="Bogle"/>
      <family val="2"/>
    </font>
    <font>
      <sz val="7"/>
      <color theme="1"/>
      <name val="Museo_sans300"/>
    </font>
    <font>
      <b/>
      <u/>
      <sz val="11"/>
      <color theme="1"/>
      <name val="Bogle"/>
      <family val="2"/>
    </font>
    <font>
      <i/>
      <sz val="11"/>
      <color theme="1"/>
      <name val="Bogle"/>
      <family val="2"/>
    </font>
    <font>
      <b/>
      <sz val="11"/>
      <color theme="0"/>
      <name val="Bogle"/>
      <family val="2"/>
    </font>
    <font>
      <sz val="11"/>
      <name val="Bogle"/>
      <family val="2"/>
    </font>
    <font>
      <sz val="11"/>
      <color rgb="FF000000"/>
      <name val="Bogle"/>
      <family val="2"/>
    </font>
    <font>
      <b/>
      <sz val="10"/>
      <color rgb="FFFFFFFF"/>
      <name val="Bogle"/>
      <family val="2"/>
    </font>
    <font>
      <i/>
      <u/>
      <sz val="11"/>
      <color theme="1"/>
      <name val="Bogle"/>
      <family val="2"/>
    </font>
    <font>
      <i/>
      <u/>
      <sz val="10"/>
      <color theme="1"/>
      <name val="Bogle"/>
      <family val="2"/>
    </font>
    <font>
      <b/>
      <sz val="12"/>
      <color theme="1"/>
      <name val="Bogle"/>
      <family val="2"/>
    </font>
    <font>
      <sz val="11"/>
      <color theme="0"/>
      <name val="Bogle"/>
      <family val="2"/>
    </font>
    <font>
      <b/>
      <sz val="10"/>
      <color rgb="FFFFFFFF"/>
      <name val="Everyday Sans"/>
      <family val="3"/>
    </font>
    <font>
      <sz val="10"/>
      <color rgb="FF002060"/>
      <name val="Everyday Sans"/>
      <family val="3"/>
    </font>
    <font>
      <b/>
      <sz val="7"/>
      <color rgb="FFFFFFFF"/>
      <name val="Everyday Sans"/>
      <family val="3"/>
    </font>
    <font>
      <b/>
      <sz val="9"/>
      <color rgb="FFFFFFFF"/>
      <name val="Everyday Sans"/>
      <family val="3"/>
    </font>
    <font>
      <sz val="10"/>
      <color rgb="FF031D42"/>
      <name val="Everyday Sans"/>
      <family val="3"/>
    </font>
    <font>
      <b/>
      <sz val="10"/>
      <color rgb="FF031D42"/>
      <name val="Everyday Sans"/>
      <family val="3"/>
    </font>
    <font>
      <b/>
      <sz val="10"/>
      <color rgb="FF002060"/>
      <name val="Everyday Sans"/>
      <family val="3"/>
    </font>
    <font>
      <sz val="10"/>
      <color theme="1"/>
      <name val="Everyday Sans"/>
      <family val="3"/>
    </font>
    <font>
      <sz val="16"/>
      <color theme="0"/>
      <name val="Everyday Sans"/>
      <family val="3"/>
    </font>
    <font>
      <sz val="10"/>
      <color rgb="FF000000"/>
      <name val="Everyday Sans"/>
      <family val="3"/>
    </font>
    <font>
      <sz val="9"/>
      <name val="Everyday Sans"/>
      <family val="3"/>
    </font>
    <font>
      <b/>
      <sz val="8"/>
      <color rgb="FFFFFFFF"/>
      <name val="Everyday Sans"/>
      <family val="3"/>
    </font>
    <font>
      <i/>
      <u/>
      <sz val="10"/>
      <color theme="1"/>
      <name val="Everyday Sans"/>
      <family val="3"/>
    </font>
    <font>
      <b/>
      <sz val="9.5"/>
      <color rgb="FFFFFFFF"/>
      <name val="Everyday Sans"/>
      <family val="3"/>
    </font>
    <font>
      <sz val="9.5"/>
      <color rgb="FFFFFFFF"/>
      <name val="Everyday Sans"/>
      <family val="3"/>
    </font>
    <font>
      <sz val="10"/>
      <color theme="1"/>
      <name val="Bogle"/>
    </font>
    <font>
      <sz val="11"/>
      <color theme="1"/>
      <name val="Bogle"/>
    </font>
    <font>
      <b/>
      <sz val="8"/>
      <color rgb="FFFFFFFF"/>
      <name val="Everyday Sans"/>
    </font>
    <font>
      <b/>
      <sz val="8"/>
      <color rgb="FF031D42"/>
      <name val="Everyday Sans"/>
    </font>
    <font>
      <b/>
      <sz val="11"/>
      <color theme="1"/>
      <name val="Bogle"/>
    </font>
    <font>
      <sz val="8"/>
      <color rgb="FFFF0000"/>
      <name val="Poppins"/>
    </font>
    <font>
      <b/>
      <sz val="8"/>
      <color rgb="FF92D050"/>
      <name val="Poppins"/>
    </font>
    <font>
      <b/>
      <sz val="9"/>
      <color rgb="FF002060"/>
      <name val="Poppins"/>
    </font>
    <font>
      <sz val="8"/>
      <color rgb="FF002060"/>
      <name val="Poppins"/>
    </font>
    <font>
      <sz val="8"/>
      <color rgb="FF031D42"/>
      <name val="Poppins"/>
    </font>
    <font>
      <sz val="9"/>
      <color rgb="FF002060"/>
      <name val="Poppins"/>
    </font>
    <font>
      <sz val="9"/>
      <color rgb="FFFF0000"/>
      <name val="Poppins"/>
    </font>
    <font>
      <sz val="9"/>
      <color theme="1"/>
      <name val="Poppins"/>
    </font>
    <font>
      <sz val="9"/>
      <color theme="9"/>
      <name val="Poppins"/>
    </font>
    <font>
      <sz val="9"/>
      <color rgb="FF031D42"/>
      <name val="Poppins"/>
    </font>
    <font>
      <sz val="9"/>
      <color rgb="FF92D050"/>
      <name val="Poppins"/>
    </font>
    <font>
      <b/>
      <sz val="9"/>
      <color rgb="FF031D42"/>
      <name val="Poppins"/>
    </font>
    <font>
      <sz val="8"/>
      <color rgb="FF92D050"/>
      <name val="Poppins"/>
    </font>
    <font>
      <b/>
      <sz val="8"/>
      <color rgb="FF031D42"/>
      <name val="Poppins"/>
    </font>
  </fonts>
  <fills count="30">
    <fill>
      <patternFill patternType="none"/>
    </fill>
    <fill>
      <patternFill patternType="gray125"/>
    </fill>
    <fill>
      <patternFill patternType="solid">
        <fgColor rgb="FFFFFF00"/>
        <bgColor indexed="64"/>
      </patternFill>
    </fill>
    <fill>
      <patternFill patternType="solid">
        <fgColor theme="5" tint="0.39997558519241921"/>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0"/>
        <bgColor indexed="64"/>
      </patternFill>
    </fill>
    <fill>
      <patternFill patternType="solid">
        <fgColor rgb="FFFFFF00"/>
        <bgColor rgb="FF000000"/>
      </patternFill>
    </fill>
    <fill>
      <patternFill patternType="solid">
        <fgColor theme="0"/>
        <bgColor theme="0" tint="-0.14999847407452621"/>
      </patternFill>
    </fill>
    <fill>
      <patternFill patternType="solid">
        <fgColor theme="8" tint="0.79998168889431442"/>
        <bgColor indexed="64"/>
      </patternFill>
    </fill>
    <fill>
      <patternFill patternType="solid">
        <fgColor theme="4" tint="0.79998168889431442"/>
        <bgColor indexed="64"/>
      </patternFill>
    </fill>
    <fill>
      <patternFill patternType="solid">
        <fgColor theme="1" tint="0.499984740745262"/>
        <bgColor indexed="64"/>
      </patternFill>
    </fill>
    <fill>
      <patternFill patternType="solid">
        <fgColor theme="0" tint="-0.14999847407452621"/>
        <bgColor indexed="64"/>
      </patternFill>
    </fill>
    <fill>
      <patternFill patternType="solid">
        <fgColor rgb="FF0A5ED6"/>
        <bgColor indexed="64"/>
      </patternFill>
    </fill>
    <fill>
      <patternFill patternType="solid">
        <fgColor rgb="FFE7EAF4"/>
        <bgColor indexed="64"/>
      </patternFill>
    </fill>
    <fill>
      <patternFill patternType="solid">
        <fgColor rgb="FFCCD3E9"/>
        <bgColor indexed="64"/>
      </patternFill>
    </fill>
    <fill>
      <patternFill patternType="solid">
        <fgColor rgb="FFF2F7FC"/>
        <bgColor indexed="64"/>
      </patternFill>
    </fill>
    <fill>
      <patternFill patternType="solid">
        <fgColor rgb="FFDEEBF7"/>
        <bgColor indexed="64"/>
      </patternFill>
    </fill>
    <fill>
      <patternFill patternType="solid">
        <fgColor rgb="FF0562C1"/>
        <bgColor indexed="64"/>
      </patternFill>
    </fill>
    <fill>
      <patternFill patternType="solid">
        <fgColor theme="4"/>
        <bgColor indexed="64"/>
      </patternFill>
    </fill>
    <fill>
      <patternFill patternType="solid">
        <fgColor theme="8" tint="0.59999389629810485"/>
        <bgColor indexed="64"/>
      </patternFill>
    </fill>
    <fill>
      <patternFill patternType="solid">
        <fgColor rgb="FFE9EBF5"/>
        <bgColor indexed="64"/>
      </patternFill>
    </fill>
    <fill>
      <patternFill patternType="solid">
        <fgColor rgb="FFCFD5EA"/>
        <bgColor indexed="64"/>
      </patternFill>
    </fill>
    <fill>
      <patternFill patternType="solid">
        <fgColor rgb="FF0070C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8" tint="0.39997558519241921"/>
        <bgColor indexed="64"/>
      </patternFill>
    </fill>
  </fills>
  <borders count="111">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top style="medium">
        <color indexed="64"/>
      </top>
      <bottom/>
      <diagonal/>
    </border>
    <border>
      <left style="medium">
        <color indexed="64"/>
      </left>
      <right/>
      <top/>
      <bottom/>
      <diagonal/>
    </border>
    <border>
      <left/>
      <right style="medium">
        <color indexed="64"/>
      </right>
      <top style="medium">
        <color indexed="64"/>
      </top>
      <bottom/>
      <diagonal/>
    </border>
    <border>
      <left style="medium">
        <color indexed="64"/>
      </left>
      <right/>
      <top style="medium">
        <color indexed="64"/>
      </top>
      <bottom/>
      <diagonal/>
    </border>
    <border>
      <left/>
      <right style="medium">
        <color indexed="64"/>
      </right>
      <top/>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thin">
        <color rgb="FFFFFFFF"/>
      </right>
      <top/>
      <bottom style="thin">
        <color rgb="FFFFFFFF"/>
      </bottom>
      <diagonal/>
    </border>
    <border>
      <left style="thin">
        <color rgb="FFFFFFFF"/>
      </left>
      <right style="thin">
        <color rgb="FFFFFFFF"/>
      </right>
      <top style="thin">
        <color rgb="FFFFFFFF"/>
      </top>
      <bottom style="thin">
        <color rgb="FFFFFFFF"/>
      </bottom>
      <diagonal/>
    </border>
    <border>
      <left/>
      <right/>
      <top style="thin">
        <color indexed="64"/>
      </top>
      <bottom style="thin">
        <color indexed="64"/>
      </bottom>
      <diagonal/>
    </border>
    <border>
      <left/>
      <right style="medium">
        <color rgb="FF002060"/>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rgb="FFFFFFFF"/>
      </bottom>
      <diagonal/>
    </border>
    <border>
      <left style="thin">
        <color rgb="FFFFFFFF"/>
      </left>
      <right style="thin">
        <color indexed="64"/>
      </right>
      <top style="thin">
        <color rgb="FFFFFFFF"/>
      </top>
      <bottom style="thin">
        <color rgb="FFFFFFFF"/>
      </bottom>
      <diagonal/>
    </border>
    <border>
      <left style="thin">
        <color indexed="64"/>
      </left>
      <right style="thin">
        <color rgb="FFFFFFFF"/>
      </right>
      <top/>
      <bottom/>
      <diagonal/>
    </border>
    <border>
      <left style="thin">
        <color indexed="64"/>
      </left>
      <right style="thin">
        <color rgb="FFFFFFFF"/>
      </right>
      <top/>
      <bottom style="thin">
        <color rgb="FFFFFFFF"/>
      </bottom>
      <diagonal/>
    </border>
    <border>
      <left style="thin">
        <color indexed="64"/>
      </left>
      <right style="thin">
        <color rgb="FFFFFFFF"/>
      </right>
      <top/>
      <bottom style="thin">
        <color indexed="64"/>
      </bottom>
      <diagonal/>
    </border>
    <border>
      <left style="thin">
        <color rgb="FFFFFFFF"/>
      </left>
      <right style="thin">
        <color rgb="FFFFFFFF"/>
      </right>
      <top style="thin">
        <color rgb="FFFFFFFF"/>
      </top>
      <bottom style="thin">
        <color indexed="64"/>
      </bottom>
      <diagonal/>
    </border>
    <border>
      <left style="thin">
        <color rgb="FFFFFFFF"/>
      </left>
      <right style="thin">
        <color indexed="64"/>
      </right>
      <top style="thin">
        <color rgb="FFFFFFFF"/>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rgb="FFFFFFFF"/>
      </right>
      <top style="thin">
        <color indexed="64"/>
      </top>
      <bottom style="thin">
        <color rgb="FFFFFFFF"/>
      </bottom>
      <diagonal/>
    </border>
    <border>
      <left style="thin">
        <color rgb="FFFFFFFF"/>
      </left>
      <right style="thin">
        <color rgb="FFFFFFFF"/>
      </right>
      <top style="thin">
        <color indexed="64"/>
      </top>
      <bottom style="thin">
        <color rgb="FFFFFFFF"/>
      </bottom>
      <diagonal/>
    </border>
    <border>
      <left style="thin">
        <color indexed="64"/>
      </left>
      <right style="thin">
        <color rgb="FFFFFFFF"/>
      </right>
      <top style="thin">
        <color rgb="FFFFFFFF"/>
      </top>
      <bottom style="thin">
        <color rgb="FFFFFFFF"/>
      </bottom>
      <diagonal/>
    </border>
    <border>
      <left style="thin">
        <color indexed="64"/>
      </left>
      <right style="thin">
        <color rgb="FFFFFFFF"/>
      </right>
      <top style="thin">
        <color rgb="FFFFFFFF"/>
      </top>
      <bottom style="thin">
        <color indexed="64"/>
      </bottom>
      <diagonal/>
    </border>
    <border>
      <left style="medium">
        <color indexed="64"/>
      </left>
      <right style="medium">
        <color indexed="64"/>
      </right>
      <top style="medium">
        <color indexed="64"/>
      </top>
      <bottom/>
      <diagonal/>
    </border>
    <border>
      <left style="thin">
        <color rgb="FFFFFFFF"/>
      </left>
      <right style="thin">
        <color indexed="64"/>
      </right>
      <top style="thin">
        <color indexed="64"/>
      </top>
      <bottom style="thin">
        <color rgb="FFFFFFFF"/>
      </bottom>
      <diagonal/>
    </border>
    <border>
      <left/>
      <right style="thin">
        <color rgb="FFFFFFFF"/>
      </right>
      <top style="thin">
        <color indexed="64"/>
      </top>
      <bottom/>
      <diagonal/>
    </border>
    <border>
      <left/>
      <right/>
      <top style="thin">
        <color indexed="64"/>
      </top>
      <bottom style="thin">
        <color rgb="FFFFFFFF"/>
      </bottom>
      <diagonal/>
    </border>
    <border>
      <left/>
      <right style="thin">
        <color indexed="64"/>
      </right>
      <top style="thin">
        <color indexed="64"/>
      </top>
      <bottom style="thin">
        <color rgb="FFFFFFFF"/>
      </bottom>
      <diagonal/>
    </border>
    <border>
      <left style="thin">
        <color indexed="64"/>
      </left>
      <right style="medium">
        <color rgb="FF002060"/>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style="medium">
        <color indexed="64"/>
      </left>
      <right style="thin">
        <color theme="0"/>
      </right>
      <top style="medium">
        <color indexed="64"/>
      </top>
      <bottom style="thin">
        <color theme="0"/>
      </bottom>
      <diagonal/>
    </border>
    <border>
      <left style="thin">
        <color theme="0"/>
      </left>
      <right style="thin">
        <color theme="0"/>
      </right>
      <top style="medium">
        <color indexed="64"/>
      </top>
      <bottom style="thin">
        <color theme="0"/>
      </bottom>
      <diagonal/>
    </border>
    <border>
      <left style="medium">
        <color indexed="64"/>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medium">
        <color indexed="64"/>
      </right>
      <top style="thin">
        <color theme="0"/>
      </top>
      <bottom style="thin">
        <color theme="0"/>
      </bottom>
      <diagonal/>
    </border>
    <border>
      <left style="medium">
        <color indexed="64"/>
      </left>
      <right style="thin">
        <color theme="0"/>
      </right>
      <top style="thin">
        <color theme="0"/>
      </top>
      <bottom style="medium">
        <color indexed="64"/>
      </bottom>
      <diagonal/>
    </border>
    <border>
      <left style="thin">
        <color theme="0"/>
      </left>
      <right style="thin">
        <color theme="0"/>
      </right>
      <top style="thin">
        <color theme="0"/>
      </top>
      <bottom style="medium">
        <color indexed="64"/>
      </bottom>
      <diagonal/>
    </border>
    <border>
      <left style="thin">
        <color theme="0"/>
      </left>
      <right style="medium">
        <color indexed="64"/>
      </right>
      <top style="thin">
        <color theme="0"/>
      </top>
      <bottom style="medium">
        <color indexed="64"/>
      </bottom>
      <diagonal/>
    </border>
    <border>
      <left style="medium">
        <color indexed="64"/>
      </left>
      <right style="thin">
        <color theme="0"/>
      </right>
      <top/>
      <bottom style="thin">
        <color theme="0"/>
      </bottom>
      <diagonal/>
    </border>
    <border>
      <left/>
      <right/>
      <top style="medium">
        <color indexed="64"/>
      </top>
      <bottom style="thin">
        <color theme="0"/>
      </bottom>
      <diagonal/>
    </border>
    <border>
      <left/>
      <right style="thin">
        <color theme="0"/>
      </right>
      <top style="medium">
        <color indexed="64"/>
      </top>
      <bottom style="thin">
        <color theme="0"/>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bottom style="medium">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indexed="64"/>
      </left>
      <right style="thin">
        <color indexed="64"/>
      </right>
      <top/>
      <bottom/>
      <diagonal/>
    </border>
    <border>
      <left style="thin">
        <color theme="0"/>
      </left>
      <right style="thin">
        <color theme="0"/>
      </right>
      <top/>
      <bottom style="thin">
        <color theme="0"/>
      </bottom>
      <diagonal/>
    </border>
    <border>
      <left style="thin">
        <color theme="0"/>
      </left>
      <right style="medium">
        <color indexed="64"/>
      </right>
      <top/>
      <bottom style="thin">
        <color theme="0"/>
      </bottom>
      <diagonal/>
    </border>
    <border>
      <left style="thin">
        <color indexed="64"/>
      </left>
      <right/>
      <top style="medium">
        <color indexed="64"/>
      </top>
      <bottom/>
      <diagonal/>
    </border>
    <border>
      <left style="thin">
        <color theme="0"/>
      </left>
      <right style="medium">
        <color theme="1"/>
      </right>
      <top style="thin">
        <color theme="0"/>
      </top>
      <bottom style="thin">
        <color theme="0"/>
      </bottom>
      <diagonal/>
    </border>
    <border>
      <left style="thin">
        <color theme="0"/>
      </left>
      <right style="thin">
        <color theme="1"/>
      </right>
      <top style="thin">
        <color rgb="FFFFFFFF"/>
      </top>
      <bottom style="thin">
        <color rgb="FFFFFFFF"/>
      </bottom>
      <diagonal/>
    </border>
    <border>
      <left style="thin">
        <color rgb="FFFFFFFF"/>
      </left>
      <right style="thin">
        <color rgb="FFFFFFFF"/>
      </right>
      <top style="thin">
        <color theme="0"/>
      </top>
      <bottom style="thin">
        <color theme="1"/>
      </bottom>
      <diagonal/>
    </border>
    <border>
      <left style="thin">
        <color rgb="FFFFFFFF"/>
      </left>
      <right style="thin">
        <color theme="1"/>
      </right>
      <top style="thin">
        <color rgb="FFFFFFFF"/>
      </top>
      <bottom style="thin">
        <color theme="1"/>
      </bottom>
      <diagonal/>
    </border>
  </borders>
  <cellStyleXfs count="16">
    <xf numFmtId="0" fontId="0" fillId="0" borderId="0"/>
    <xf numFmtId="43" fontId="1" fillId="0" borderId="0"/>
    <xf numFmtId="9" fontId="1" fillId="0" borderId="0"/>
    <xf numFmtId="166" fontId="1" fillId="0" borderId="0"/>
    <xf numFmtId="43" fontId="1" fillId="0" borderId="0"/>
    <xf numFmtId="43" fontId="1" fillId="0" borderId="0"/>
    <xf numFmtId="9" fontId="1" fillId="0" borderId="0"/>
    <xf numFmtId="9" fontId="1" fillId="0" borderId="0"/>
    <xf numFmtId="43" fontId="1" fillId="0" borderId="0"/>
    <xf numFmtId="9" fontId="1" fillId="0" borderId="0"/>
    <xf numFmtId="43" fontId="1" fillId="0" borderId="0"/>
    <xf numFmtId="9" fontId="1" fillId="0" borderId="0"/>
    <xf numFmtId="166" fontId="1" fillId="0" borderId="0"/>
    <xf numFmtId="43" fontId="1" fillId="0" borderId="0"/>
    <xf numFmtId="9" fontId="1" fillId="0" borderId="0"/>
    <xf numFmtId="43" fontId="1" fillId="0" borderId="0"/>
  </cellStyleXfs>
  <cellXfs count="1082">
    <xf numFmtId="0" fontId="0" fillId="0" borderId="0" xfId="0"/>
    <xf numFmtId="1" fontId="0" fillId="0" borderId="0" xfId="0" applyNumberFormat="1"/>
    <xf numFmtId="10" fontId="0" fillId="0" borderId="0" xfId="0" applyNumberFormat="1"/>
    <xf numFmtId="0" fontId="0" fillId="3" borderId="0" xfId="0" applyFill="1" applyAlignment="1">
      <alignment horizontal="center" vertical="center"/>
    </xf>
    <xf numFmtId="0" fontId="0" fillId="3" borderId="0" xfId="0" applyFill="1" applyAlignment="1">
      <alignment horizontal="center"/>
    </xf>
    <xf numFmtId="0" fontId="0" fillId="3" borderId="0" xfId="0" applyFill="1"/>
    <xf numFmtId="0" fontId="0" fillId="3" borderId="0" xfId="0" applyFill="1" applyAlignment="1">
      <alignment horizontal="center" wrapText="1"/>
    </xf>
    <xf numFmtId="1" fontId="0" fillId="3" borderId="0" xfId="0" applyNumberFormat="1" applyFill="1" applyAlignment="1">
      <alignment horizontal="center"/>
    </xf>
    <xf numFmtId="0" fontId="2" fillId="3" borderId="0" xfId="0" applyFont="1" applyFill="1" applyAlignment="1">
      <alignment horizontal="center" vertical="center"/>
    </xf>
    <xf numFmtId="0" fontId="0" fillId="0" borderId="0" xfId="0" applyAlignment="1">
      <alignment horizontal="center"/>
    </xf>
    <xf numFmtId="0" fontId="0" fillId="0" borderId="0" xfId="0" applyAlignment="1">
      <alignment horizontal="center" vertical="center"/>
    </xf>
    <xf numFmtId="167" fontId="0" fillId="0" borderId="0" xfId="0" applyNumberFormat="1" applyAlignment="1">
      <alignment horizontal="center" vertical="center"/>
    </xf>
    <xf numFmtId="0" fontId="2" fillId="0" borderId="0" xfId="0" applyFont="1" applyAlignment="1">
      <alignment horizontal="center" vertical="center"/>
    </xf>
    <xf numFmtId="166" fontId="1" fillId="0" borderId="0" xfId="3"/>
    <xf numFmtId="9" fontId="2" fillId="0" borderId="0" xfId="0" applyNumberFormat="1" applyFont="1" applyAlignment="1">
      <alignment horizontal="center" vertical="center"/>
    </xf>
    <xf numFmtId="9" fontId="0" fillId="0" borderId="0" xfId="0" applyNumberFormat="1"/>
    <xf numFmtId="168" fontId="1" fillId="0" borderId="0" xfId="3" applyNumberFormat="1"/>
    <xf numFmtId="167" fontId="0" fillId="0" borderId="0" xfId="0" applyNumberFormat="1" applyAlignment="1">
      <alignment horizontal="center"/>
    </xf>
    <xf numFmtId="0" fontId="0" fillId="5" borderId="0" xfId="0" applyFill="1"/>
    <xf numFmtId="167" fontId="0" fillId="0" borderId="0" xfId="0" applyNumberFormat="1"/>
    <xf numFmtId="168" fontId="0" fillId="0" borderId="0" xfId="3" applyNumberFormat="1" applyFont="1"/>
    <xf numFmtId="0" fontId="0" fillId="4" borderId="0" xfId="0" applyFill="1"/>
    <xf numFmtId="9" fontId="3" fillId="0" borderId="0" xfId="0" applyNumberFormat="1" applyFont="1"/>
    <xf numFmtId="0" fontId="4" fillId="0" borderId="0" xfId="0" applyFont="1" applyAlignment="1">
      <alignment horizontal="center" vertical="center"/>
    </xf>
    <xf numFmtId="167" fontId="0" fillId="0" borderId="0" xfId="4" applyNumberFormat="1" applyFont="1"/>
    <xf numFmtId="166" fontId="0" fillId="0" borderId="0" xfId="3" applyFont="1"/>
    <xf numFmtId="167" fontId="1" fillId="0" borderId="0" xfId="4" applyNumberFormat="1"/>
    <xf numFmtId="167" fontId="3" fillId="0" borderId="0" xfId="4" applyNumberFormat="1" applyFont="1"/>
    <xf numFmtId="0" fontId="0" fillId="2" borderId="0" xfId="0" applyFill="1"/>
    <xf numFmtId="167" fontId="0" fillId="0" borderId="0" xfId="5" applyNumberFormat="1" applyFont="1"/>
    <xf numFmtId="9" fontId="0" fillId="0" borderId="0" xfId="6" applyFont="1"/>
    <xf numFmtId="9" fontId="0" fillId="0" borderId="0" xfId="7" applyFont="1"/>
    <xf numFmtId="167" fontId="0" fillId="0" borderId="0" xfId="8" applyNumberFormat="1" applyFont="1"/>
    <xf numFmtId="169" fontId="0" fillId="0" borderId="0" xfId="3" applyNumberFormat="1" applyFont="1"/>
    <xf numFmtId="0" fontId="6" fillId="0" borderId="0" xfId="0" applyFont="1"/>
    <xf numFmtId="0" fontId="7" fillId="0" borderId="2" xfId="0" applyFont="1" applyBorder="1"/>
    <xf numFmtId="0" fontId="7" fillId="0" borderId="2" xfId="0" applyFont="1" applyBorder="1" applyAlignment="1">
      <alignment wrapText="1"/>
    </xf>
    <xf numFmtId="0" fontId="7" fillId="0" borderId="0" xfId="0" applyFont="1"/>
    <xf numFmtId="0" fontId="0" fillId="0" borderId="1" xfId="0" applyBorder="1"/>
    <xf numFmtId="0" fontId="0" fillId="0" borderId="1" xfId="0" applyBorder="1" applyAlignment="1">
      <alignment wrapText="1"/>
    </xf>
    <xf numFmtId="0" fontId="0" fillId="0" borderId="2" xfId="0" applyBorder="1" applyAlignment="1">
      <alignment vertical="center"/>
    </xf>
    <xf numFmtId="0" fontId="0" fillId="0" borderId="2" xfId="0" applyBorder="1" applyAlignment="1">
      <alignment vertical="center" wrapText="1"/>
    </xf>
    <xf numFmtId="0" fontId="0" fillId="0" borderId="0" xfId="0" applyAlignment="1">
      <alignment vertical="center"/>
    </xf>
    <xf numFmtId="0" fontId="0" fillId="0" borderId="3" xfId="0" applyBorder="1" applyAlignment="1">
      <alignment vertical="center"/>
    </xf>
    <xf numFmtId="0" fontId="0" fillId="0" borderId="1" xfId="0" applyBorder="1" applyAlignment="1">
      <alignment vertical="center"/>
    </xf>
    <xf numFmtId="0" fontId="0" fillId="0" borderId="1" xfId="0" applyBorder="1" applyAlignment="1">
      <alignment vertical="center" wrapText="1"/>
    </xf>
    <xf numFmtId="0" fontId="0" fillId="7" borderId="0" xfId="0" applyFill="1" applyAlignment="1">
      <alignment horizontal="center"/>
    </xf>
    <xf numFmtId="0" fontId="0" fillId="7" borderId="0" xfId="0" applyFill="1"/>
    <xf numFmtId="0" fontId="0" fillId="7" borderId="0" xfId="0" applyFill="1" applyAlignment="1">
      <alignment horizontal="center" vertical="center"/>
    </xf>
    <xf numFmtId="0" fontId="2" fillId="7" borderId="0" xfId="0" applyFont="1" applyFill="1" applyAlignment="1">
      <alignment horizontal="center" vertical="center"/>
    </xf>
    <xf numFmtId="0" fontId="0" fillId="6" borderId="0" xfId="0" applyFill="1"/>
    <xf numFmtId="167" fontId="1" fillId="0" borderId="0" xfId="5" applyNumberFormat="1"/>
    <xf numFmtId="9" fontId="1" fillId="0" borderId="0" xfId="6"/>
    <xf numFmtId="3" fontId="0" fillId="0" borderId="0" xfId="0" applyNumberFormat="1"/>
    <xf numFmtId="1" fontId="0" fillId="0" borderId="0" xfId="5" applyNumberFormat="1" applyFont="1" applyAlignment="1">
      <alignment horizontal="center" vertical="center"/>
    </xf>
    <xf numFmtId="1" fontId="0" fillId="2" borderId="0" xfId="5" applyNumberFormat="1" applyFont="1" applyFill="1" applyAlignment="1">
      <alignment horizontal="center" vertical="center"/>
    </xf>
    <xf numFmtId="1" fontId="0" fillId="0" borderId="0" xfId="0" applyNumberFormat="1" applyAlignment="1">
      <alignment horizontal="center"/>
    </xf>
    <xf numFmtId="170" fontId="1" fillId="0" borderId="0" xfId="5" applyNumberFormat="1"/>
    <xf numFmtId="169" fontId="1" fillId="0" borderId="0" xfId="6" applyNumberFormat="1" applyAlignment="1">
      <alignment horizontal="right"/>
    </xf>
    <xf numFmtId="10" fontId="1" fillId="0" borderId="0" xfId="6" applyNumberFormat="1" applyAlignment="1">
      <alignment horizontal="center"/>
    </xf>
    <xf numFmtId="3" fontId="9" fillId="0" borderId="0" xfId="0" applyNumberFormat="1" applyFont="1" applyAlignment="1">
      <alignment horizontal="right" vertical="center"/>
    </xf>
    <xf numFmtId="167" fontId="1" fillId="0" borderId="0" xfId="5" applyNumberFormat="1" applyAlignment="1">
      <alignment horizontal="center"/>
    </xf>
    <xf numFmtId="10" fontId="0" fillId="0" borderId="0" xfId="6" applyNumberFormat="1" applyFont="1"/>
    <xf numFmtId="10" fontId="1" fillId="0" borderId="0" xfId="6" applyNumberFormat="1"/>
    <xf numFmtId="3" fontId="10" fillId="0" borderId="0" xfId="0" applyNumberFormat="1" applyFont="1"/>
    <xf numFmtId="2" fontId="0" fillId="0" borderId="0" xfId="0" applyNumberFormat="1"/>
    <xf numFmtId="169" fontId="0" fillId="0" borderId="0" xfId="6" applyNumberFormat="1" applyFont="1"/>
    <xf numFmtId="9" fontId="0" fillId="0" borderId="0" xfId="5" applyNumberFormat="1" applyFont="1"/>
    <xf numFmtId="43" fontId="0" fillId="0" borderId="0" xfId="5" applyFont="1"/>
    <xf numFmtId="1" fontId="0" fillId="0" borderId="0" xfId="5" applyNumberFormat="1" applyFont="1"/>
    <xf numFmtId="167" fontId="0" fillId="0" borderId="0" xfId="6" applyNumberFormat="1" applyFont="1"/>
    <xf numFmtId="169" fontId="0" fillId="0" borderId="0" xfId="5" applyNumberFormat="1" applyFont="1"/>
    <xf numFmtId="10" fontId="0" fillId="0" borderId="0" xfId="5" applyNumberFormat="1" applyFont="1"/>
    <xf numFmtId="167" fontId="0" fillId="0" borderId="0" xfId="5" applyNumberFormat="1" applyFont="1" applyAlignment="1">
      <alignment horizontal="center" vertical="center"/>
    </xf>
    <xf numFmtId="168" fontId="0" fillId="0" borderId="0" xfId="5" applyNumberFormat="1" applyFont="1"/>
    <xf numFmtId="167" fontId="5" fillId="0" borderId="0" xfId="5" applyNumberFormat="1" applyFont="1"/>
    <xf numFmtId="1" fontId="5" fillId="0" borderId="0" xfId="5" applyNumberFormat="1" applyFont="1"/>
    <xf numFmtId="9" fontId="0" fillId="0" borderId="0" xfId="9" applyFont="1"/>
    <xf numFmtId="0" fontId="0" fillId="0" borderId="0" xfId="0" applyProtection="1">
      <protection locked="0"/>
    </xf>
    <xf numFmtId="0" fontId="8" fillId="0" borderId="0" xfId="0" applyFont="1" applyAlignment="1" applyProtection="1">
      <alignment horizontal="center" vertical="center"/>
      <protection locked="0"/>
    </xf>
    <xf numFmtId="0" fontId="8" fillId="0" borderId="0" xfId="0" applyFont="1" applyAlignment="1" applyProtection="1">
      <alignment horizontal="center" vertical="center" wrapText="1"/>
      <protection locked="0"/>
    </xf>
    <xf numFmtId="0" fontId="8" fillId="3" borderId="14" xfId="0" applyFont="1" applyFill="1" applyBorder="1" applyAlignment="1" applyProtection="1">
      <alignment horizontal="center" vertical="center" wrapText="1"/>
      <protection locked="0"/>
    </xf>
    <xf numFmtId="0" fontId="8" fillId="3" borderId="15" xfId="0" applyFont="1" applyFill="1" applyBorder="1" applyAlignment="1" applyProtection="1">
      <alignment horizontal="center" vertical="center" wrapText="1"/>
      <protection locked="0"/>
    </xf>
    <xf numFmtId="0" fontId="8" fillId="3" borderId="16" xfId="0" applyFont="1" applyFill="1" applyBorder="1" applyAlignment="1" applyProtection="1">
      <alignment horizontal="center" vertical="center" wrapText="1"/>
      <protection locked="0"/>
    </xf>
    <xf numFmtId="0" fontId="8" fillId="0" borderId="9" xfId="0" applyFont="1" applyBorder="1" applyAlignment="1" applyProtection="1">
      <alignment horizontal="center" vertical="center"/>
      <protection locked="0"/>
    </xf>
    <xf numFmtId="0" fontId="8" fillId="0" borderId="6" xfId="0" applyFont="1" applyBorder="1" applyAlignment="1" applyProtection="1">
      <alignment horizontal="center" vertical="center"/>
      <protection locked="0"/>
    </xf>
    <xf numFmtId="0" fontId="8" fillId="0" borderId="7" xfId="0" applyFont="1" applyBorder="1" applyAlignment="1" applyProtection="1">
      <alignment horizontal="center" vertical="center"/>
      <protection locked="0"/>
    </xf>
    <xf numFmtId="0" fontId="8" fillId="0" borderId="12" xfId="0" applyFont="1" applyBorder="1" applyAlignment="1" applyProtection="1">
      <alignment horizontal="center" vertical="center"/>
      <protection locked="0"/>
    </xf>
    <xf numFmtId="0" fontId="8" fillId="0" borderId="11" xfId="0" applyFont="1" applyBorder="1" applyAlignment="1" applyProtection="1">
      <alignment horizontal="center" vertical="center"/>
      <protection locked="0"/>
    </xf>
    <xf numFmtId="0" fontId="8" fillId="0" borderId="0" xfId="0" applyFont="1" applyProtection="1">
      <protection locked="0"/>
    </xf>
    <xf numFmtId="10" fontId="8" fillId="0" borderId="0" xfId="0" applyNumberFormat="1" applyFont="1" applyAlignment="1" applyProtection="1">
      <alignment horizontal="center" vertical="center"/>
      <protection locked="0"/>
    </xf>
    <xf numFmtId="9" fontId="8" fillId="0" borderId="0" xfId="0" applyNumberFormat="1" applyFont="1" applyProtection="1">
      <protection locked="0"/>
    </xf>
    <xf numFmtId="167" fontId="8" fillId="0" borderId="0" xfId="10" applyNumberFormat="1" applyFont="1" applyProtection="1">
      <protection locked="0"/>
    </xf>
    <xf numFmtId="1" fontId="0" fillId="0" borderId="0" xfId="0" applyNumberFormat="1" applyProtection="1">
      <protection locked="0"/>
    </xf>
    <xf numFmtId="0" fontId="11" fillId="0" borderId="8" xfId="0" applyFont="1" applyBorder="1" applyAlignment="1" applyProtection="1">
      <alignment horizontal="center" vertical="center"/>
      <protection locked="0"/>
    </xf>
    <xf numFmtId="0" fontId="11" fillId="0" borderId="10" xfId="0" applyFont="1" applyBorder="1" applyAlignment="1" applyProtection="1">
      <alignment horizontal="center" vertical="center"/>
      <protection locked="0"/>
    </xf>
    <xf numFmtId="0" fontId="11" fillId="0" borderId="13" xfId="0" applyFont="1" applyBorder="1" applyAlignment="1" applyProtection="1">
      <alignment horizontal="center" vertical="center"/>
      <protection locked="0"/>
    </xf>
    <xf numFmtId="0" fontId="8" fillId="0" borderId="10" xfId="0" applyFont="1" applyBorder="1" applyAlignment="1" applyProtection="1">
      <alignment horizontal="center" vertical="center"/>
      <protection locked="0"/>
    </xf>
    <xf numFmtId="0" fontId="8" fillId="0" borderId="13" xfId="0" applyFont="1" applyBorder="1" applyAlignment="1" applyProtection="1">
      <alignment horizontal="center" vertical="center"/>
      <protection locked="0"/>
    </xf>
    <xf numFmtId="167" fontId="8" fillId="0" borderId="9" xfId="10" applyNumberFormat="1" applyFont="1" applyBorder="1" applyAlignment="1" applyProtection="1">
      <alignment horizontal="center" vertical="center"/>
      <protection locked="0"/>
    </xf>
    <xf numFmtId="167" fontId="8" fillId="0" borderId="6" xfId="10" applyNumberFormat="1" applyFont="1" applyBorder="1" applyAlignment="1" applyProtection="1">
      <alignment horizontal="center" vertical="center"/>
      <protection locked="0"/>
    </xf>
    <xf numFmtId="9" fontId="8" fillId="0" borderId="6" xfId="2" applyFont="1" applyBorder="1" applyAlignment="1" applyProtection="1">
      <alignment horizontal="center" vertical="center"/>
      <protection locked="0"/>
    </xf>
    <xf numFmtId="167" fontId="8" fillId="0" borderId="6" xfId="1" applyNumberFormat="1" applyFont="1" applyBorder="1" applyAlignment="1" applyProtection="1">
      <alignment horizontal="center" vertical="center"/>
      <protection locked="0"/>
    </xf>
    <xf numFmtId="167" fontId="8" fillId="0" borderId="7" xfId="10" applyNumberFormat="1" applyFont="1" applyBorder="1" applyAlignment="1" applyProtection="1">
      <alignment horizontal="center" vertical="center"/>
      <protection locked="0"/>
    </xf>
    <xf numFmtId="167" fontId="8" fillId="0" borderId="12" xfId="10" applyNumberFormat="1" applyFont="1" applyBorder="1" applyAlignment="1" applyProtection="1">
      <alignment horizontal="center" vertical="center"/>
      <protection locked="0"/>
    </xf>
    <xf numFmtId="167" fontId="8" fillId="0" borderId="11" xfId="10" applyNumberFormat="1" applyFont="1" applyBorder="1" applyAlignment="1" applyProtection="1">
      <alignment horizontal="center" vertical="center"/>
      <protection locked="0"/>
    </xf>
    <xf numFmtId="9" fontId="8" fillId="0" borderId="11" xfId="2" applyFont="1" applyBorder="1" applyAlignment="1" applyProtection="1">
      <alignment horizontal="center" vertical="center"/>
      <protection locked="0"/>
    </xf>
    <xf numFmtId="170" fontId="8" fillId="0" borderId="9" xfId="3" applyNumberFormat="1" applyFont="1" applyBorder="1" applyAlignment="1" applyProtection="1">
      <alignment horizontal="center" vertical="center"/>
      <protection locked="0"/>
    </xf>
    <xf numFmtId="170" fontId="8" fillId="0" borderId="6" xfId="3" applyNumberFormat="1" applyFont="1" applyBorder="1" applyAlignment="1" applyProtection="1">
      <alignment horizontal="center" vertical="center"/>
      <protection locked="0"/>
    </xf>
    <xf numFmtId="170" fontId="8" fillId="0" borderId="8" xfId="3" applyNumberFormat="1" applyFont="1" applyBorder="1" applyAlignment="1" applyProtection="1">
      <alignment horizontal="center" vertical="center"/>
      <protection locked="0"/>
    </xf>
    <xf numFmtId="170" fontId="8" fillId="0" borderId="7" xfId="3" applyNumberFormat="1" applyFont="1" applyBorder="1" applyAlignment="1" applyProtection="1">
      <alignment horizontal="center" vertical="center"/>
      <protection locked="0"/>
    </xf>
    <xf numFmtId="170" fontId="8" fillId="0" borderId="10" xfId="3" applyNumberFormat="1" applyFont="1" applyBorder="1" applyAlignment="1" applyProtection="1">
      <alignment horizontal="center" vertical="center"/>
      <protection locked="0"/>
    </xf>
    <xf numFmtId="170" fontId="8" fillId="0" borderId="10" xfId="0" applyNumberFormat="1" applyFont="1" applyBorder="1" applyAlignment="1" applyProtection="1">
      <alignment horizontal="center" vertical="center"/>
      <protection locked="0"/>
    </xf>
    <xf numFmtId="170" fontId="12" fillId="0" borderId="10" xfId="0" applyNumberFormat="1" applyFont="1" applyBorder="1" applyAlignment="1" applyProtection="1">
      <alignment horizontal="center" vertical="center"/>
      <protection locked="0"/>
    </xf>
    <xf numFmtId="10" fontId="8" fillId="0" borderId="10" xfId="0" applyNumberFormat="1" applyFont="1" applyBorder="1" applyAlignment="1" applyProtection="1">
      <alignment horizontal="center" vertical="center"/>
      <protection locked="0"/>
    </xf>
    <xf numFmtId="0" fontId="8" fillId="0" borderId="7" xfId="0" applyFont="1" applyBorder="1" applyProtection="1">
      <protection locked="0"/>
    </xf>
    <xf numFmtId="167" fontId="8" fillId="0" borderId="9" xfId="1" applyNumberFormat="1" applyFont="1" applyBorder="1" applyProtection="1">
      <protection locked="0"/>
    </xf>
    <xf numFmtId="167" fontId="8" fillId="0" borderId="6" xfId="1" applyNumberFormat="1" applyFont="1" applyBorder="1" applyProtection="1">
      <protection locked="0"/>
    </xf>
    <xf numFmtId="167" fontId="8" fillId="0" borderId="7" xfId="1" applyNumberFormat="1" applyFont="1" applyBorder="1" applyProtection="1">
      <protection locked="0"/>
    </xf>
    <xf numFmtId="167" fontId="13" fillId="0" borderId="7" xfId="1" applyNumberFormat="1" applyFont="1" applyBorder="1" applyProtection="1">
      <protection locked="0"/>
    </xf>
    <xf numFmtId="167" fontId="8" fillId="0" borderId="7" xfId="0" applyNumberFormat="1" applyFont="1" applyBorder="1" applyAlignment="1" applyProtection="1">
      <alignment horizontal="center"/>
      <protection locked="0"/>
    </xf>
    <xf numFmtId="9" fontId="8" fillId="0" borderId="11" xfId="0" applyNumberFormat="1" applyFont="1" applyBorder="1" applyAlignment="1" applyProtection="1">
      <alignment horizontal="center" vertical="center"/>
      <protection locked="0"/>
    </xf>
    <xf numFmtId="10" fontId="8" fillId="0" borderId="7" xfId="0" applyNumberFormat="1" applyFont="1" applyBorder="1" applyAlignment="1" applyProtection="1">
      <alignment horizontal="center" vertical="center"/>
      <protection locked="0"/>
    </xf>
    <xf numFmtId="10" fontId="8" fillId="0" borderId="12" xfId="0" applyNumberFormat="1" applyFont="1" applyBorder="1" applyAlignment="1" applyProtection="1">
      <alignment horizontal="center" vertical="center"/>
      <protection locked="0"/>
    </xf>
    <xf numFmtId="10" fontId="8" fillId="0" borderId="11" xfId="0" applyNumberFormat="1" applyFont="1" applyBorder="1" applyAlignment="1" applyProtection="1">
      <alignment horizontal="center" vertical="center"/>
      <protection locked="0"/>
    </xf>
    <xf numFmtId="167" fontId="8" fillId="0" borderId="7" xfId="10" applyNumberFormat="1" applyFont="1" applyBorder="1" applyProtection="1">
      <protection locked="0"/>
    </xf>
    <xf numFmtId="167" fontId="8" fillId="0" borderId="10" xfId="10" applyNumberFormat="1" applyFont="1" applyBorder="1" applyProtection="1">
      <protection locked="0"/>
    </xf>
    <xf numFmtId="0" fontId="8" fillId="3" borderId="6" xfId="0" applyFont="1" applyFill="1" applyBorder="1" applyAlignment="1" applyProtection="1">
      <alignment horizontal="center" vertical="center" wrapText="1"/>
      <protection locked="0"/>
    </xf>
    <xf numFmtId="1" fontId="8" fillId="3" borderId="15" xfId="0" applyNumberFormat="1" applyFont="1" applyFill="1" applyBorder="1" applyAlignment="1" applyProtection="1">
      <alignment horizontal="center" vertical="center" wrapText="1"/>
      <protection locked="0"/>
    </xf>
    <xf numFmtId="0" fontId="8" fillId="3" borderId="9" xfId="0" applyFont="1" applyFill="1" applyBorder="1" applyAlignment="1" applyProtection="1">
      <alignment horizontal="center" vertical="center" wrapText="1"/>
      <protection locked="0"/>
    </xf>
    <xf numFmtId="0" fontId="8" fillId="3" borderId="8" xfId="0" applyFont="1" applyFill="1" applyBorder="1" applyAlignment="1" applyProtection="1">
      <alignment horizontal="center" vertical="center" wrapText="1"/>
      <protection locked="0"/>
    </xf>
    <xf numFmtId="169" fontId="8" fillId="3" borderId="14" xfId="0" applyNumberFormat="1" applyFont="1" applyFill="1" applyBorder="1" applyAlignment="1" applyProtection="1">
      <alignment horizontal="center" vertical="center" wrapText="1"/>
      <protection locked="0"/>
    </xf>
    <xf numFmtId="169" fontId="8" fillId="3" borderId="15" xfId="0" applyNumberFormat="1" applyFont="1" applyFill="1" applyBorder="1" applyAlignment="1" applyProtection="1">
      <alignment horizontal="center" vertical="center" wrapText="1"/>
      <protection locked="0"/>
    </xf>
    <xf numFmtId="169" fontId="8" fillId="3" borderId="16" xfId="0" applyNumberFormat="1" applyFont="1" applyFill="1" applyBorder="1" applyAlignment="1" applyProtection="1">
      <alignment horizontal="center" vertical="center" wrapText="1"/>
      <protection locked="0"/>
    </xf>
    <xf numFmtId="169" fontId="8" fillId="0" borderId="7" xfId="6" applyNumberFormat="1" applyFont="1" applyBorder="1" applyAlignment="1" applyProtection="1">
      <alignment horizontal="center" vertical="center"/>
      <protection locked="0"/>
    </xf>
    <xf numFmtId="1" fontId="11" fillId="0" borderId="12" xfId="1" applyNumberFormat="1" applyFont="1" applyBorder="1" applyAlignment="1" applyProtection="1">
      <alignment horizontal="center" vertical="center"/>
      <protection locked="0"/>
    </xf>
    <xf numFmtId="1" fontId="11" fillId="0" borderId="11" xfId="1" applyNumberFormat="1" applyFont="1" applyBorder="1" applyAlignment="1" applyProtection="1">
      <alignment horizontal="center" vertical="center"/>
      <protection locked="0"/>
    </xf>
    <xf numFmtId="15" fontId="11" fillId="0" borderId="11" xfId="0" applyNumberFormat="1" applyFont="1" applyBorder="1" applyAlignment="1" applyProtection="1">
      <alignment horizontal="center" vertical="center"/>
      <protection locked="0"/>
    </xf>
    <xf numFmtId="0" fontId="17" fillId="0" borderId="0" xfId="0" applyFont="1"/>
    <xf numFmtId="0" fontId="0" fillId="0" borderId="0" xfId="0" pivotButton="1"/>
    <xf numFmtId="0" fontId="0" fillId="0" borderId="0" xfId="0" applyAlignment="1">
      <alignment horizontal="left"/>
    </xf>
    <xf numFmtId="0" fontId="8" fillId="4" borderId="11" xfId="0" applyFont="1" applyFill="1" applyBorder="1" applyAlignment="1" applyProtection="1">
      <alignment horizontal="center" vertical="center"/>
      <protection locked="0"/>
    </xf>
    <xf numFmtId="0" fontId="8" fillId="4" borderId="13" xfId="0" applyFont="1" applyFill="1" applyBorder="1" applyAlignment="1" applyProtection="1">
      <alignment horizontal="center" vertical="center"/>
      <protection locked="0"/>
    </xf>
    <xf numFmtId="0" fontId="8" fillId="11" borderId="12" xfId="0" applyFont="1" applyFill="1" applyBorder="1" applyAlignment="1" applyProtection="1">
      <alignment horizontal="center" vertical="center"/>
      <protection locked="0"/>
    </xf>
    <xf numFmtId="0" fontId="8" fillId="11" borderId="11" xfId="0" applyFont="1" applyFill="1" applyBorder="1" applyAlignment="1" applyProtection="1">
      <alignment horizontal="center" vertical="center"/>
      <protection locked="0"/>
    </xf>
    <xf numFmtId="0" fontId="8" fillId="11" borderId="13" xfId="0" applyFont="1" applyFill="1" applyBorder="1" applyAlignment="1" applyProtection="1">
      <alignment horizontal="center" vertical="center"/>
      <protection locked="0"/>
    </xf>
    <xf numFmtId="0" fontId="8" fillId="6" borderId="11" xfId="0" applyFont="1" applyFill="1" applyBorder="1" applyAlignment="1" applyProtection="1">
      <alignment horizontal="center" vertical="center"/>
      <protection locked="0"/>
    </xf>
    <xf numFmtId="9" fontId="8" fillId="0" borderId="11" xfId="9" applyFont="1" applyBorder="1" applyAlignment="1" applyProtection="1">
      <alignment horizontal="center" vertical="center"/>
      <protection locked="0"/>
    </xf>
    <xf numFmtId="0" fontId="0" fillId="0" borderId="0" xfId="0" applyAlignment="1">
      <alignment horizontal="left" indent="1"/>
    </xf>
    <xf numFmtId="164" fontId="8" fillId="0" borderId="10" xfId="0" applyNumberFormat="1" applyFont="1" applyBorder="1" applyProtection="1">
      <protection locked="0"/>
    </xf>
    <xf numFmtId="0" fontId="0" fillId="13" borderId="2" xfId="0" applyFill="1" applyBorder="1" applyAlignment="1">
      <alignment vertical="center" wrapText="1"/>
    </xf>
    <xf numFmtId="0" fontId="0" fillId="13" borderId="5" xfId="0" applyFill="1" applyBorder="1" applyAlignment="1">
      <alignment vertical="center" wrapText="1"/>
    </xf>
    <xf numFmtId="0" fontId="0" fillId="13" borderId="2" xfId="0" applyFill="1" applyBorder="1" applyAlignment="1">
      <alignment vertical="center"/>
    </xf>
    <xf numFmtId="0" fontId="0" fillId="13" borderId="3" xfId="0" applyFill="1" applyBorder="1" applyAlignment="1">
      <alignment vertical="center"/>
    </xf>
    <xf numFmtId="0" fontId="0" fillId="13" borderId="4" xfId="0" applyFill="1" applyBorder="1" applyAlignment="1">
      <alignment vertical="center" wrapText="1"/>
    </xf>
    <xf numFmtId="0" fontId="0" fillId="13" borderId="1" xfId="0" applyFill="1" applyBorder="1" applyAlignment="1">
      <alignment vertical="center"/>
    </xf>
    <xf numFmtId="0" fontId="0" fillId="13" borderId="3" xfId="0" applyFill="1" applyBorder="1" applyAlignment="1">
      <alignment vertical="center" wrapText="1"/>
    </xf>
    <xf numFmtId="0" fontId="0" fillId="13" borderId="1" xfId="0" applyFill="1" applyBorder="1" applyAlignment="1">
      <alignment vertical="center" wrapText="1"/>
    </xf>
    <xf numFmtId="0" fontId="0" fillId="0" borderId="0" xfId="0" applyAlignment="1" applyProtection="1">
      <alignment horizontal="center"/>
      <protection locked="0"/>
    </xf>
    <xf numFmtId="0" fontId="0" fillId="0" borderId="0" xfId="0" applyAlignment="1" applyProtection="1">
      <alignment horizontal="left"/>
      <protection locked="0"/>
    </xf>
    <xf numFmtId="0" fontId="19" fillId="0" borderId="14" xfId="0" applyFont="1" applyBorder="1" applyAlignment="1" applyProtection="1">
      <alignment horizontal="center" vertical="center"/>
      <protection locked="0"/>
    </xf>
    <xf numFmtId="1" fontId="20" fillId="14" borderId="16" xfId="0" applyNumberFormat="1" applyFont="1" applyFill="1" applyBorder="1" applyAlignment="1">
      <alignment horizontal="center" vertical="center"/>
    </xf>
    <xf numFmtId="9" fontId="11" fillId="0" borderId="9" xfId="2" applyFont="1" applyBorder="1" applyAlignment="1">
      <alignment horizontal="center" vertical="center"/>
    </xf>
    <xf numFmtId="9" fontId="11" fillId="0" borderId="6" xfId="2" applyFont="1" applyBorder="1" applyAlignment="1">
      <alignment horizontal="center" vertical="center"/>
    </xf>
    <xf numFmtId="169" fontId="11" fillId="0" borderId="6" xfId="2" applyNumberFormat="1" applyFont="1" applyBorder="1" applyAlignment="1">
      <alignment horizontal="center" vertical="center"/>
    </xf>
    <xf numFmtId="9" fontId="11" fillId="0" borderId="8" xfId="2" applyFont="1" applyBorder="1" applyAlignment="1">
      <alignment horizontal="center" vertical="center"/>
    </xf>
    <xf numFmtId="169" fontId="11" fillId="0" borderId="8" xfId="2" applyNumberFormat="1" applyFont="1" applyBorder="1" applyAlignment="1">
      <alignment horizontal="center" vertical="center"/>
    </xf>
    <xf numFmtId="9" fontId="11" fillId="0" borderId="7" xfId="2" applyFont="1" applyBorder="1" applyAlignment="1">
      <alignment horizontal="center" vertical="center"/>
    </xf>
    <xf numFmtId="9" fontId="11" fillId="0" borderId="0" xfId="2" applyFont="1" applyAlignment="1">
      <alignment horizontal="center" vertical="center"/>
    </xf>
    <xf numFmtId="169" fontId="11" fillId="0" borderId="0" xfId="2" applyNumberFormat="1" applyFont="1" applyAlignment="1">
      <alignment horizontal="center" vertical="center"/>
    </xf>
    <xf numFmtId="9" fontId="11" fillId="0" borderId="10" xfId="2" applyFont="1" applyBorder="1" applyAlignment="1">
      <alignment horizontal="center" vertical="center"/>
    </xf>
    <xf numFmtId="169" fontId="11" fillId="0" borderId="10" xfId="2" applyNumberFormat="1" applyFont="1" applyBorder="1" applyAlignment="1">
      <alignment horizontal="center" vertical="center"/>
    </xf>
    <xf numFmtId="0" fontId="8" fillId="14" borderId="6" xfId="0" applyFont="1" applyFill="1" applyBorder="1" applyAlignment="1">
      <alignment horizontal="center" vertical="center"/>
    </xf>
    <xf numFmtId="15" fontId="8" fillId="14" borderId="6" xfId="0" applyNumberFormat="1" applyFont="1" applyFill="1" applyBorder="1" applyAlignment="1">
      <alignment horizontal="center"/>
    </xf>
    <xf numFmtId="15" fontId="8" fillId="14" borderId="6" xfId="0" applyNumberFormat="1" applyFont="1" applyFill="1" applyBorder="1" applyAlignment="1">
      <alignment horizontal="center" vertical="center"/>
    </xf>
    <xf numFmtId="0" fontId="8" fillId="14" borderId="7" xfId="0" applyFont="1" applyFill="1" applyBorder="1" applyAlignment="1">
      <alignment horizontal="center" vertical="center"/>
    </xf>
    <xf numFmtId="0" fontId="8" fillId="14" borderId="12" xfId="0" applyFont="1" applyFill="1" applyBorder="1" applyAlignment="1">
      <alignment horizontal="center" vertical="center"/>
    </xf>
    <xf numFmtId="0" fontId="8" fillId="14" borderId="11" xfId="0" applyFont="1" applyFill="1" applyBorder="1" applyAlignment="1">
      <alignment horizontal="center" vertical="center"/>
    </xf>
    <xf numFmtId="15" fontId="8" fillId="14" borderId="11" xfId="0" applyNumberFormat="1" applyFont="1" applyFill="1" applyBorder="1" applyAlignment="1">
      <alignment horizontal="center" vertical="center"/>
    </xf>
    <xf numFmtId="167" fontId="8" fillId="14" borderId="9" xfId="10" applyNumberFormat="1" applyFont="1" applyFill="1" applyBorder="1" applyAlignment="1">
      <alignment horizontal="center" vertical="center"/>
    </xf>
    <xf numFmtId="167" fontId="8" fillId="14" borderId="7" xfId="10" applyNumberFormat="1" applyFont="1" applyFill="1" applyBorder="1" applyAlignment="1">
      <alignment horizontal="center" vertical="center"/>
    </xf>
    <xf numFmtId="167" fontId="8" fillId="14" borderId="12" xfId="10" applyNumberFormat="1" applyFont="1" applyFill="1" applyBorder="1" applyAlignment="1">
      <alignment horizontal="center" vertical="center"/>
    </xf>
    <xf numFmtId="167" fontId="8" fillId="14" borderId="11" xfId="10" applyNumberFormat="1" applyFont="1" applyFill="1" applyBorder="1"/>
    <xf numFmtId="170" fontId="8" fillId="14" borderId="11" xfId="3" applyNumberFormat="1" applyFont="1" applyFill="1" applyBorder="1" applyAlignment="1">
      <alignment horizontal="center" vertical="center"/>
    </xf>
    <xf numFmtId="171" fontId="8" fillId="14" borderId="6" xfId="3" applyNumberFormat="1" applyFont="1" applyFill="1" applyBorder="1" applyAlignment="1">
      <alignment horizontal="center" vertical="center"/>
    </xf>
    <xf numFmtId="171" fontId="8" fillId="14" borderId="11" xfId="3" applyNumberFormat="1" applyFont="1" applyFill="1" applyBorder="1" applyAlignment="1">
      <alignment horizontal="center" vertical="center"/>
    </xf>
    <xf numFmtId="169" fontId="8" fillId="14" borderId="7" xfId="6" applyNumberFormat="1" applyFont="1" applyFill="1" applyBorder="1" applyAlignment="1">
      <alignment horizontal="center" vertical="center"/>
    </xf>
    <xf numFmtId="169" fontId="8" fillId="14" borderId="10" xfId="0" applyNumberFormat="1" applyFont="1" applyFill="1" applyBorder="1" applyAlignment="1">
      <alignment horizontal="center" vertical="center"/>
    </xf>
    <xf numFmtId="0" fontId="8" fillId="14" borderId="9" xfId="0" applyFont="1" applyFill="1" applyBorder="1" applyAlignment="1">
      <alignment horizontal="center" vertical="center"/>
    </xf>
    <xf numFmtId="167" fontId="8" fillId="14" borderId="11" xfId="10" applyNumberFormat="1" applyFont="1" applyFill="1" applyBorder="1" applyAlignment="1">
      <alignment horizontal="center" vertical="center"/>
    </xf>
    <xf numFmtId="9" fontId="8" fillId="14" borderId="11" xfId="0" applyNumberFormat="1" applyFont="1" applyFill="1" applyBorder="1" applyAlignment="1">
      <alignment horizontal="center" vertical="center"/>
    </xf>
    <xf numFmtId="9" fontId="11" fillId="0" borderId="12" xfId="6" applyFont="1" applyBorder="1" applyAlignment="1" applyProtection="1">
      <alignment horizontal="center" vertical="center"/>
      <protection locked="0"/>
    </xf>
    <xf numFmtId="9" fontId="11" fillId="0" borderId="11" xfId="6" applyFont="1" applyBorder="1" applyAlignment="1" applyProtection="1">
      <alignment horizontal="center" vertical="center"/>
      <protection locked="0"/>
    </xf>
    <xf numFmtId="9" fontId="11" fillId="0" borderId="13" xfId="6" applyFont="1" applyBorder="1" applyAlignment="1" applyProtection="1">
      <alignment horizontal="center" vertical="center"/>
      <protection locked="0"/>
    </xf>
    <xf numFmtId="9" fontId="11" fillId="0" borderId="0" xfId="6" applyFont="1" applyAlignment="1" applyProtection="1">
      <alignment horizontal="center" vertical="center"/>
      <protection locked="0"/>
    </xf>
    <xf numFmtId="170" fontId="8" fillId="0" borderId="6" xfId="0" applyNumberFormat="1" applyFont="1" applyBorder="1" applyAlignment="1" applyProtection="1">
      <alignment horizontal="center" vertical="center"/>
      <protection locked="0"/>
    </xf>
    <xf numFmtId="170" fontId="8" fillId="0" borderId="6" xfId="5" applyNumberFormat="1" applyFont="1" applyBorder="1" applyAlignment="1" applyProtection="1">
      <alignment horizontal="center" vertical="center"/>
      <protection locked="0"/>
    </xf>
    <xf numFmtId="170" fontId="8" fillId="0" borderId="7" xfId="5" applyNumberFormat="1" applyFont="1" applyBorder="1" applyAlignment="1" applyProtection="1">
      <alignment horizontal="center" vertical="center"/>
      <protection locked="0"/>
    </xf>
    <xf numFmtId="170" fontId="12" fillId="0" borderId="7" xfId="0" applyNumberFormat="1" applyFont="1" applyBorder="1" applyAlignment="1" applyProtection="1">
      <alignment horizontal="center" vertical="center" wrapText="1"/>
      <protection locked="0"/>
    </xf>
    <xf numFmtId="167" fontId="12" fillId="0" borderId="7" xfId="10" applyNumberFormat="1" applyFont="1" applyBorder="1" applyAlignment="1" applyProtection="1">
      <alignment horizontal="center" vertical="center"/>
      <protection locked="0"/>
    </xf>
    <xf numFmtId="167" fontId="1" fillId="0" borderId="0" xfId="5" applyNumberFormat="1" applyProtection="1">
      <protection locked="0"/>
    </xf>
    <xf numFmtId="170" fontId="8" fillId="0" borderId="7" xfId="0" applyNumberFormat="1" applyFont="1" applyBorder="1" applyAlignment="1" applyProtection="1">
      <alignment horizontal="center" vertical="center"/>
      <protection locked="0"/>
    </xf>
    <xf numFmtId="170" fontId="8" fillId="0" borderId="7" xfId="6" applyNumberFormat="1" applyFont="1" applyBorder="1" applyAlignment="1" applyProtection="1">
      <alignment horizontal="center" vertical="center"/>
      <protection locked="0"/>
    </xf>
    <xf numFmtId="170" fontId="12" fillId="0" borderId="7" xfId="0" applyNumberFormat="1" applyFont="1" applyBorder="1" applyAlignment="1" applyProtection="1">
      <alignment horizontal="center" vertical="center"/>
      <protection locked="0"/>
    </xf>
    <xf numFmtId="166" fontId="0" fillId="0" borderId="0" xfId="0" applyNumberFormat="1" applyProtection="1">
      <protection locked="0"/>
    </xf>
    <xf numFmtId="9" fontId="11" fillId="0" borderId="9" xfId="6" applyFont="1" applyBorder="1" applyAlignment="1">
      <alignment horizontal="center" vertical="center"/>
    </xf>
    <xf numFmtId="9" fontId="11" fillId="0" borderId="6" xfId="6" applyFont="1" applyBorder="1" applyAlignment="1">
      <alignment horizontal="center" vertical="center"/>
    </xf>
    <xf numFmtId="9" fontId="11" fillId="0" borderId="8" xfId="6" applyFont="1" applyBorder="1" applyAlignment="1">
      <alignment horizontal="center" vertical="center"/>
    </xf>
    <xf numFmtId="167" fontId="11" fillId="0" borderId="7" xfId="10" applyNumberFormat="1" applyFont="1" applyBorder="1" applyAlignment="1">
      <alignment horizontal="center" vertical="center"/>
    </xf>
    <xf numFmtId="9" fontId="11" fillId="0" borderId="12" xfId="6" applyFont="1" applyBorder="1" applyAlignment="1">
      <alignment horizontal="center" vertical="center"/>
    </xf>
    <xf numFmtId="9" fontId="11" fillId="0" borderId="11" xfId="6" applyFont="1" applyBorder="1" applyAlignment="1">
      <alignment horizontal="center" vertical="center"/>
    </xf>
    <xf numFmtId="9" fontId="11" fillId="0" borderId="13" xfId="6" applyFont="1" applyBorder="1" applyAlignment="1">
      <alignment horizontal="center" vertical="center"/>
    </xf>
    <xf numFmtId="167" fontId="8" fillId="14" borderId="6" xfId="10" applyNumberFormat="1" applyFont="1" applyFill="1" applyBorder="1" applyAlignment="1">
      <alignment horizontal="center" vertical="center"/>
    </xf>
    <xf numFmtId="167" fontId="8" fillId="14" borderId="8" xfId="10" applyNumberFormat="1" applyFont="1" applyFill="1" applyBorder="1" applyAlignment="1">
      <alignment horizontal="center" vertical="center"/>
    </xf>
    <xf numFmtId="167" fontId="8" fillId="14" borderId="10" xfId="10" applyNumberFormat="1" applyFont="1" applyFill="1" applyBorder="1" applyAlignment="1">
      <alignment horizontal="center" vertical="center"/>
    </xf>
    <xf numFmtId="167" fontId="8" fillId="14" borderId="13" xfId="10" applyNumberFormat="1" applyFont="1" applyFill="1" applyBorder="1" applyAlignment="1">
      <alignment horizontal="center" vertical="center"/>
    </xf>
    <xf numFmtId="170" fontId="8" fillId="14" borderId="8" xfId="3" applyNumberFormat="1" applyFont="1" applyFill="1" applyBorder="1" applyAlignment="1">
      <alignment horizontal="center" vertical="center"/>
    </xf>
    <xf numFmtId="171" fontId="8" fillId="14" borderId="9" xfId="3" applyNumberFormat="1" applyFont="1" applyFill="1" applyBorder="1" applyAlignment="1">
      <alignment horizontal="center" vertical="center"/>
    </xf>
    <xf numFmtId="171" fontId="8" fillId="14" borderId="8" xfId="3" applyNumberFormat="1" applyFont="1" applyFill="1" applyBorder="1" applyAlignment="1">
      <alignment horizontal="center" vertical="center"/>
    </xf>
    <xf numFmtId="170" fontId="8" fillId="14" borderId="10" xfId="3" applyNumberFormat="1" applyFont="1" applyFill="1" applyBorder="1" applyAlignment="1">
      <alignment horizontal="center" vertical="center"/>
    </xf>
    <xf numFmtId="171" fontId="8" fillId="14" borderId="7" xfId="3" applyNumberFormat="1" applyFont="1" applyFill="1" applyBorder="1" applyAlignment="1">
      <alignment horizontal="center" vertical="center"/>
    </xf>
    <xf numFmtId="171" fontId="8" fillId="14" borderId="10" xfId="3" applyNumberFormat="1" applyFont="1" applyFill="1" applyBorder="1" applyAlignment="1">
      <alignment horizontal="center" vertical="center"/>
    </xf>
    <xf numFmtId="171" fontId="8" fillId="14" borderId="12" xfId="3" applyNumberFormat="1" applyFont="1" applyFill="1" applyBorder="1" applyAlignment="1">
      <alignment horizontal="center" vertical="center"/>
    </xf>
    <xf numFmtId="171" fontId="8" fillId="14" borderId="13" xfId="3" applyNumberFormat="1" applyFont="1" applyFill="1" applyBorder="1" applyAlignment="1">
      <alignment horizontal="center" vertical="center"/>
    </xf>
    <xf numFmtId="170" fontId="8" fillId="14" borderId="8" xfId="10" applyNumberFormat="1" applyFont="1" applyFill="1" applyBorder="1" applyAlignment="1">
      <alignment horizontal="center" vertical="center"/>
    </xf>
    <xf numFmtId="172" fontId="8" fillId="14" borderId="9" xfId="5" applyNumberFormat="1" applyFont="1" applyFill="1" applyBorder="1" applyAlignment="1">
      <alignment horizontal="center" vertical="center"/>
    </xf>
    <xf numFmtId="172" fontId="8" fillId="14" borderId="6" xfId="5" applyNumberFormat="1" applyFont="1" applyFill="1" applyBorder="1" applyAlignment="1">
      <alignment horizontal="center" vertical="center"/>
    </xf>
    <xf numFmtId="172" fontId="8" fillId="14" borderId="8" xfId="3" applyNumberFormat="1" applyFont="1" applyFill="1" applyBorder="1" applyAlignment="1">
      <alignment horizontal="center" vertical="center"/>
    </xf>
    <xf numFmtId="170" fontId="8" fillId="14" borderId="10" xfId="10" applyNumberFormat="1" applyFont="1" applyFill="1" applyBorder="1" applyAlignment="1">
      <alignment horizontal="center" vertical="center"/>
    </xf>
    <xf numFmtId="172" fontId="8" fillId="14" borderId="7" xfId="5" applyNumberFormat="1" applyFont="1" applyFill="1" applyBorder="1" applyAlignment="1">
      <alignment horizontal="center" vertical="center"/>
    </xf>
    <xf numFmtId="172" fontId="8" fillId="14" borderId="10" xfId="3" applyNumberFormat="1" applyFont="1" applyFill="1" applyBorder="1" applyAlignment="1">
      <alignment horizontal="center" vertical="center"/>
    </xf>
    <xf numFmtId="170" fontId="8" fillId="14" borderId="13" xfId="10" applyNumberFormat="1" applyFont="1" applyFill="1" applyBorder="1" applyAlignment="1">
      <alignment horizontal="center" vertical="center"/>
    </xf>
    <xf numFmtId="169" fontId="11" fillId="0" borderId="12" xfId="6" applyNumberFormat="1" applyFont="1" applyBorder="1" applyAlignment="1" applyProtection="1">
      <alignment horizontal="center" vertical="center"/>
      <protection locked="0"/>
    </xf>
    <xf numFmtId="169" fontId="11" fillId="0" borderId="11" xfId="6" applyNumberFormat="1" applyFont="1" applyBorder="1" applyAlignment="1" applyProtection="1">
      <alignment horizontal="center" vertical="center"/>
      <protection locked="0"/>
    </xf>
    <xf numFmtId="169" fontId="11" fillId="0" borderId="13" xfId="6" applyNumberFormat="1" applyFont="1" applyBorder="1" applyAlignment="1" applyProtection="1">
      <alignment horizontal="center" vertical="center"/>
      <protection locked="0"/>
    </xf>
    <xf numFmtId="0" fontId="2" fillId="0" borderId="0" xfId="0" applyFont="1" applyProtection="1">
      <protection locked="0"/>
    </xf>
    <xf numFmtId="0" fontId="8" fillId="0" borderId="8" xfId="0" applyFont="1" applyBorder="1" applyAlignment="1" applyProtection="1">
      <alignment horizontal="center" vertical="center"/>
      <protection locked="0"/>
    </xf>
    <xf numFmtId="170" fontId="8" fillId="12" borderId="6" xfId="0" applyNumberFormat="1" applyFont="1" applyFill="1" applyBorder="1" applyAlignment="1" applyProtection="1">
      <alignment horizontal="center" vertical="center"/>
      <protection locked="0"/>
    </xf>
    <xf numFmtId="167" fontId="8" fillId="0" borderId="8" xfId="10" applyNumberFormat="1" applyFont="1" applyBorder="1" applyProtection="1">
      <protection locked="0"/>
    </xf>
    <xf numFmtId="169" fontId="8" fillId="0" borderId="7" xfId="0" applyNumberFormat="1" applyFont="1" applyBorder="1" applyAlignment="1" applyProtection="1">
      <alignment horizontal="center" vertical="center"/>
      <protection locked="0"/>
    </xf>
    <xf numFmtId="0" fontId="0" fillId="0" borderId="10" xfId="0" applyBorder="1" applyProtection="1">
      <protection locked="0"/>
    </xf>
    <xf numFmtId="167" fontId="8" fillId="0" borderId="7" xfId="5" applyNumberFormat="1" applyFont="1" applyBorder="1" applyAlignment="1" applyProtection="1">
      <alignment horizontal="center" vertical="center"/>
      <protection locked="0"/>
    </xf>
    <xf numFmtId="167" fontId="8" fillId="0" borderId="10" xfId="5" applyNumberFormat="1" applyFont="1" applyBorder="1" applyAlignment="1" applyProtection="1">
      <alignment horizontal="center" vertical="center"/>
      <protection locked="0"/>
    </xf>
    <xf numFmtId="167" fontId="8" fillId="0" borderId="10" xfId="0" applyNumberFormat="1" applyFont="1" applyBorder="1" applyAlignment="1" applyProtection="1">
      <alignment horizontal="center" vertical="center"/>
      <protection locked="0"/>
    </xf>
    <xf numFmtId="43" fontId="1" fillId="0" borderId="0" xfId="5" applyProtection="1">
      <protection locked="0"/>
    </xf>
    <xf numFmtId="167" fontId="8" fillId="0" borderId="11" xfId="5" applyNumberFormat="1" applyFont="1" applyBorder="1" applyAlignment="1" applyProtection="1">
      <alignment horizontal="center" vertical="center"/>
      <protection locked="0"/>
    </xf>
    <xf numFmtId="167" fontId="8" fillId="0" borderId="13" xfId="5" applyNumberFormat="1" applyFont="1" applyBorder="1" applyAlignment="1" applyProtection="1">
      <alignment horizontal="center" vertical="center"/>
      <protection locked="0"/>
    </xf>
    <xf numFmtId="0" fontId="0" fillId="0" borderId="0" xfId="0" applyAlignment="1" applyProtection="1">
      <alignment horizontal="right"/>
      <protection locked="0"/>
    </xf>
    <xf numFmtId="169" fontId="11" fillId="0" borderId="9" xfId="6" applyNumberFormat="1" applyFont="1" applyBorder="1" applyAlignment="1">
      <alignment horizontal="center" vertical="center"/>
    </xf>
    <xf numFmtId="169" fontId="11" fillId="0" borderId="6" xfId="6" applyNumberFormat="1" applyFont="1" applyBorder="1" applyAlignment="1">
      <alignment horizontal="center" vertical="center"/>
    </xf>
    <xf numFmtId="169" fontId="11" fillId="0" borderId="8" xfId="6" applyNumberFormat="1" applyFont="1" applyBorder="1" applyAlignment="1">
      <alignment horizontal="center" vertical="center"/>
    </xf>
    <xf numFmtId="9" fontId="11" fillId="0" borderId="7" xfId="6" applyFont="1" applyBorder="1" applyAlignment="1">
      <alignment horizontal="center" vertical="center"/>
    </xf>
    <xf numFmtId="9" fontId="11" fillId="0" borderId="10" xfId="6" applyFont="1" applyBorder="1" applyAlignment="1">
      <alignment horizontal="center" vertical="center"/>
    </xf>
    <xf numFmtId="169" fontId="11" fillId="0" borderId="7" xfId="6" applyNumberFormat="1" applyFont="1" applyBorder="1" applyAlignment="1">
      <alignment horizontal="center" vertical="center"/>
    </xf>
    <xf numFmtId="169" fontId="11" fillId="0" borderId="10" xfId="6" applyNumberFormat="1" applyFont="1" applyBorder="1" applyAlignment="1">
      <alignment horizontal="center" vertical="center"/>
    </xf>
    <xf numFmtId="170" fontId="8" fillId="14" borderId="6" xfId="0" applyNumberFormat="1" applyFont="1" applyFill="1" applyBorder="1" applyAlignment="1">
      <alignment horizontal="center" vertical="center"/>
    </xf>
    <xf numFmtId="169" fontId="8" fillId="14" borderId="9" xfId="0" applyNumberFormat="1" applyFont="1" applyFill="1" applyBorder="1" applyAlignment="1">
      <alignment horizontal="center" vertical="center"/>
    </xf>
    <xf numFmtId="169" fontId="8" fillId="14" borderId="6" xfId="0" applyNumberFormat="1" applyFont="1" applyFill="1" applyBorder="1" applyAlignment="1">
      <alignment horizontal="center" vertical="center"/>
    </xf>
    <xf numFmtId="169" fontId="8" fillId="14" borderId="8" xfId="0" applyNumberFormat="1" applyFont="1" applyFill="1" applyBorder="1" applyAlignment="1">
      <alignment horizontal="center" vertical="center"/>
    </xf>
    <xf numFmtId="171" fontId="8" fillId="14" borderId="9" xfId="0" applyNumberFormat="1" applyFont="1" applyFill="1" applyBorder="1" applyAlignment="1">
      <alignment horizontal="center" vertical="center"/>
    </xf>
    <xf numFmtId="171" fontId="8" fillId="14" borderId="6" xfId="0" applyNumberFormat="1" applyFont="1" applyFill="1" applyBorder="1" applyAlignment="1">
      <alignment horizontal="center" vertical="center"/>
    </xf>
    <xf numFmtId="171" fontId="8" fillId="14" borderId="8" xfId="0" applyNumberFormat="1" applyFont="1" applyFill="1" applyBorder="1" applyAlignment="1">
      <alignment horizontal="center" vertical="center"/>
    </xf>
    <xf numFmtId="9" fontId="8" fillId="14" borderId="9" xfId="9" applyFont="1" applyFill="1" applyBorder="1" applyAlignment="1">
      <alignment horizontal="center" vertical="center"/>
    </xf>
    <xf numFmtId="9" fontId="8" fillId="14" borderId="6" xfId="9" applyFont="1" applyFill="1" applyBorder="1" applyAlignment="1">
      <alignment horizontal="center" vertical="center"/>
    </xf>
    <xf numFmtId="9" fontId="8" fillId="14" borderId="8" xfId="9" applyFont="1" applyFill="1" applyBorder="1" applyAlignment="1">
      <alignment horizontal="center" vertical="center"/>
    </xf>
    <xf numFmtId="169" fontId="8" fillId="14" borderId="7" xfId="0" applyNumberFormat="1" applyFont="1" applyFill="1" applyBorder="1" applyAlignment="1">
      <alignment horizontal="center" vertical="center"/>
    </xf>
    <xf numFmtId="171" fontId="8" fillId="14" borderId="7" xfId="0" applyNumberFormat="1" applyFont="1" applyFill="1" applyBorder="1" applyAlignment="1">
      <alignment horizontal="center" vertical="center"/>
    </xf>
    <xf numFmtId="171" fontId="8" fillId="14" borderId="10" xfId="0" applyNumberFormat="1" applyFont="1" applyFill="1" applyBorder="1" applyAlignment="1">
      <alignment horizontal="center" vertical="center"/>
    </xf>
    <xf numFmtId="9" fontId="8" fillId="14" borderId="7" xfId="9" applyFont="1" applyFill="1" applyBorder="1" applyAlignment="1">
      <alignment horizontal="center" vertical="center"/>
    </xf>
    <xf numFmtId="9" fontId="8" fillId="14" borderId="10" xfId="9" applyFont="1" applyFill="1" applyBorder="1" applyAlignment="1">
      <alignment horizontal="center" vertical="center"/>
    </xf>
    <xf numFmtId="9" fontId="8" fillId="14" borderId="12" xfId="9" applyFont="1" applyFill="1" applyBorder="1" applyAlignment="1">
      <alignment horizontal="center" vertical="center"/>
    </xf>
    <xf numFmtId="9" fontId="8" fillId="14" borderId="11" xfId="9" applyFont="1" applyFill="1" applyBorder="1" applyAlignment="1">
      <alignment horizontal="center" vertical="center"/>
    </xf>
    <xf numFmtId="9" fontId="8" fillId="14" borderId="13" xfId="9" applyFont="1" applyFill="1" applyBorder="1" applyAlignment="1">
      <alignment horizontal="center" vertical="center"/>
    </xf>
    <xf numFmtId="9" fontId="8" fillId="0" borderId="11" xfId="6" applyFont="1" applyBorder="1" applyAlignment="1" applyProtection="1">
      <alignment horizontal="center" vertical="center"/>
      <protection locked="0"/>
    </xf>
    <xf numFmtId="0" fontId="14" fillId="0" borderId="0" xfId="0" applyFont="1" applyProtection="1">
      <protection locked="0"/>
    </xf>
    <xf numFmtId="0" fontId="15" fillId="0" borderId="0" xfId="0" applyFont="1" applyAlignment="1" applyProtection="1">
      <alignment horizontal="center"/>
      <protection locked="0"/>
    </xf>
    <xf numFmtId="169" fontId="0" fillId="0" borderId="0" xfId="0" applyNumberFormat="1" applyProtection="1">
      <protection locked="0"/>
    </xf>
    <xf numFmtId="169" fontId="0" fillId="0" borderId="0" xfId="0" applyNumberFormat="1" applyAlignment="1" applyProtection="1">
      <alignment horizontal="center"/>
      <protection locked="0"/>
    </xf>
    <xf numFmtId="2" fontId="11" fillId="0" borderId="8" xfId="6" applyNumberFormat="1" applyFont="1" applyBorder="1" applyAlignment="1">
      <alignment horizontal="center" vertical="center"/>
    </xf>
    <xf numFmtId="2" fontId="11" fillId="0" borderId="10" xfId="6" applyNumberFormat="1" applyFont="1" applyBorder="1" applyAlignment="1">
      <alignment horizontal="center" vertical="center"/>
    </xf>
    <xf numFmtId="169" fontId="8" fillId="14" borderId="9" xfId="6" applyNumberFormat="1" applyFont="1" applyFill="1" applyBorder="1" applyAlignment="1">
      <alignment horizontal="center" vertical="center"/>
    </xf>
    <xf numFmtId="169" fontId="8" fillId="14" borderId="6" xfId="6" applyNumberFormat="1" applyFont="1" applyFill="1" applyBorder="1" applyAlignment="1">
      <alignment horizontal="center" vertical="center"/>
    </xf>
    <xf numFmtId="2" fontId="8" fillId="14" borderId="8" xfId="6" applyNumberFormat="1" applyFont="1" applyFill="1" applyBorder="1" applyAlignment="1">
      <alignment horizontal="center" vertical="center"/>
    </xf>
    <xf numFmtId="2" fontId="8" fillId="14" borderId="10" xfId="6" applyNumberFormat="1" applyFont="1" applyFill="1" applyBorder="1" applyAlignment="1">
      <alignment horizontal="center" vertical="center"/>
    </xf>
    <xf numFmtId="9" fontId="11" fillId="0" borderId="12" xfId="6" applyFont="1" applyBorder="1" applyAlignment="1" applyProtection="1">
      <alignment horizontal="center"/>
      <protection locked="0"/>
    </xf>
    <xf numFmtId="9" fontId="11" fillId="0" borderId="11" xfId="6" applyFont="1" applyBorder="1" applyAlignment="1" applyProtection="1">
      <alignment horizontal="center"/>
      <protection locked="0"/>
    </xf>
    <xf numFmtId="9" fontId="11" fillId="0" borderId="13" xfId="6" applyFont="1" applyBorder="1" applyAlignment="1" applyProtection="1">
      <alignment horizontal="center"/>
      <protection locked="0"/>
    </xf>
    <xf numFmtId="170" fontId="8" fillId="0" borderId="9" xfId="0" applyNumberFormat="1" applyFont="1" applyBorder="1" applyAlignment="1" applyProtection="1">
      <alignment horizontal="center" vertical="center"/>
      <protection locked="0"/>
    </xf>
    <xf numFmtId="167" fontId="18" fillId="2" borderId="7" xfId="10" applyNumberFormat="1" applyFont="1" applyFill="1" applyBorder="1" applyAlignment="1" applyProtection="1">
      <alignment horizontal="center" vertical="center"/>
      <protection locked="0"/>
    </xf>
    <xf numFmtId="167" fontId="18" fillId="9" borderId="7" xfId="10" applyNumberFormat="1" applyFont="1" applyFill="1" applyBorder="1" applyAlignment="1" applyProtection="1">
      <alignment horizontal="center" vertical="center"/>
      <protection locked="0"/>
    </xf>
    <xf numFmtId="170" fontId="8" fillId="4" borderId="7" xfId="3" applyNumberFormat="1" applyFont="1" applyFill="1" applyBorder="1" applyAlignment="1" applyProtection="1">
      <alignment horizontal="center" vertical="center"/>
      <protection locked="0"/>
    </xf>
    <xf numFmtId="170" fontId="12" fillId="4" borderId="7" xfId="0" applyNumberFormat="1" applyFont="1" applyFill="1" applyBorder="1" applyAlignment="1" applyProtection="1">
      <alignment horizontal="center" vertical="center"/>
      <protection locked="0"/>
    </xf>
    <xf numFmtId="9" fontId="11" fillId="0" borderId="9" xfId="6" applyFont="1" applyBorder="1" applyAlignment="1">
      <alignment horizontal="center"/>
    </xf>
    <xf numFmtId="9" fontId="11" fillId="0" borderId="6" xfId="6" applyFont="1" applyBorder="1" applyAlignment="1">
      <alignment horizontal="center"/>
    </xf>
    <xf numFmtId="9" fontId="11" fillId="0" borderId="8" xfId="6" applyFont="1" applyBorder="1" applyAlignment="1">
      <alignment horizontal="center"/>
    </xf>
    <xf numFmtId="167" fontId="11" fillId="0" borderId="7" xfId="5" applyNumberFormat="1" applyFont="1" applyBorder="1" applyAlignment="1">
      <alignment horizontal="center"/>
    </xf>
    <xf numFmtId="167" fontId="11" fillId="0" borderId="10" xfId="5" applyNumberFormat="1" applyFont="1" applyBorder="1" applyAlignment="1">
      <alignment horizontal="center"/>
    </xf>
    <xf numFmtId="9" fontId="11" fillId="0" borderId="7" xfId="6" applyFont="1" applyBorder="1" applyAlignment="1">
      <alignment horizontal="center"/>
    </xf>
    <xf numFmtId="9" fontId="11" fillId="0" borderId="10" xfId="6" applyFont="1" applyBorder="1" applyAlignment="1">
      <alignment horizontal="center"/>
    </xf>
    <xf numFmtId="167" fontId="18" fillId="14" borderId="10" xfId="10" applyNumberFormat="1" applyFont="1" applyFill="1" applyBorder="1" applyAlignment="1">
      <alignment horizontal="center" vertical="center"/>
    </xf>
    <xf numFmtId="170" fontId="8" fillId="14" borderId="8" xfId="5" applyNumberFormat="1" applyFont="1" applyFill="1" applyBorder="1" applyAlignment="1">
      <alignment horizontal="center" vertical="center"/>
    </xf>
    <xf numFmtId="170" fontId="8" fillId="14" borderId="10" xfId="5" applyNumberFormat="1" applyFont="1" applyFill="1" applyBorder="1" applyAlignment="1">
      <alignment horizontal="center" vertical="center"/>
    </xf>
    <xf numFmtId="170" fontId="8" fillId="14" borderId="13" xfId="5" applyNumberFormat="1" applyFont="1" applyFill="1" applyBorder="1" applyAlignment="1">
      <alignment horizontal="center" vertical="center"/>
    </xf>
    <xf numFmtId="0" fontId="8" fillId="0" borderId="8" xfId="0" applyFont="1" applyBorder="1" applyAlignment="1" applyProtection="1">
      <alignment horizontal="center"/>
      <protection locked="0"/>
    </xf>
    <xf numFmtId="167" fontId="8" fillId="0" borderId="9" xfId="10" applyNumberFormat="1" applyFont="1" applyBorder="1" applyAlignment="1" applyProtection="1">
      <alignment horizontal="center"/>
      <protection locked="0"/>
    </xf>
    <xf numFmtId="167" fontId="8" fillId="0" borderId="6" xfId="10" applyNumberFormat="1" applyFont="1" applyBorder="1" applyAlignment="1" applyProtection="1">
      <alignment horizontal="center"/>
      <protection locked="0"/>
    </xf>
    <xf numFmtId="167" fontId="12" fillId="0" borderId="6" xfId="10" applyNumberFormat="1" applyFont="1" applyBorder="1" applyAlignment="1" applyProtection="1">
      <alignment horizontal="right" vertical="center" readingOrder="1"/>
      <protection locked="0"/>
    </xf>
    <xf numFmtId="167" fontId="12" fillId="0" borderId="8" xfId="10" applyNumberFormat="1" applyFont="1" applyBorder="1" applyAlignment="1" applyProtection="1">
      <alignment horizontal="right" vertical="center" readingOrder="1"/>
      <protection locked="0"/>
    </xf>
    <xf numFmtId="0" fontId="8" fillId="0" borderId="10" xfId="0" applyFont="1" applyBorder="1" applyAlignment="1" applyProtection="1">
      <alignment horizontal="center"/>
      <protection locked="0"/>
    </xf>
    <xf numFmtId="167" fontId="8" fillId="0" borderId="7" xfId="10" applyNumberFormat="1" applyFont="1" applyBorder="1" applyAlignment="1" applyProtection="1">
      <alignment horizontal="center"/>
      <protection locked="0"/>
    </xf>
    <xf numFmtId="167" fontId="12" fillId="0" borderId="0" xfId="10" applyNumberFormat="1" applyFont="1" applyAlignment="1" applyProtection="1">
      <alignment horizontal="right" vertical="center" readingOrder="1"/>
      <protection locked="0"/>
    </xf>
    <xf numFmtId="167" fontId="12" fillId="0" borderId="10" xfId="10" applyNumberFormat="1" applyFont="1" applyBorder="1" applyAlignment="1" applyProtection="1">
      <alignment horizontal="right" vertical="center" readingOrder="1"/>
      <protection locked="0"/>
    </xf>
    <xf numFmtId="167" fontId="8" fillId="10" borderId="10" xfId="10" applyNumberFormat="1" applyFont="1" applyFill="1" applyBorder="1" applyProtection="1">
      <protection locked="0"/>
    </xf>
    <xf numFmtId="167" fontId="12" fillId="0" borderId="10" xfId="10" applyNumberFormat="1" applyFont="1" applyBorder="1" applyAlignment="1" applyProtection="1">
      <alignment horizontal="center" readingOrder="1"/>
      <protection locked="0"/>
    </xf>
    <xf numFmtId="167" fontId="12" fillId="0" borderId="10" xfId="10" applyNumberFormat="1" applyFont="1" applyBorder="1" applyAlignment="1" applyProtection="1">
      <alignment horizontal="left" vertical="center" readingOrder="1"/>
      <protection locked="0"/>
    </xf>
    <xf numFmtId="167" fontId="0" fillId="0" borderId="0" xfId="0" applyNumberFormat="1" applyProtection="1">
      <protection locked="0"/>
    </xf>
    <xf numFmtId="0" fontId="8" fillId="0" borderId="13" xfId="0" applyFont="1" applyBorder="1" applyAlignment="1" applyProtection="1">
      <alignment horizontal="center"/>
      <protection locked="0"/>
    </xf>
    <xf numFmtId="9" fontId="11" fillId="0" borderId="12" xfId="6" applyFont="1" applyBorder="1" applyAlignment="1">
      <alignment horizontal="center"/>
    </xf>
    <xf numFmtId="9" fontId="11" fillId="0" borderId="11" xfId="6" applyFont="1" applyBorder="1" applyAlignment="1">
      <alignment horizontal="center"/>
    </xf>
    <xf numFmtId="9" fontId="11" fillId="0" borderId="13" xfId="6" applyFont="1" applyBorder="1" applyAlignment="1">
      <alignment horizontal="center"/>
    </xf>
    <xf numFmtId="167" fontId="12" fillId="14" borderId="9" xfId="10" applyNumberFormat="1" applyFont="1" applyFill="1" applyBorder="1" applyAlignment="1">
      <alignment horizontal="right" vertical="center" readingOrder="1"/>
    </xf>
    <xf numFmtId="167" fontId="12" fillId="14" borderId="6" xfId="10" applyNumberFormat="1" applyFont="1" applyFill="1" applyBorder="1" applyAlignment="1">
      <alignment horizontal="right" vertical="center" readingOrder="1"/>
    </xf>
    <xf numFmtId="167" fontId="12" fillId="14" borderId="8" xfId="10" applyNumberFormat="1" applyFont="1" applyFill="1" applyBorder="1" applyAlignment="1">
      <alignment horizontal="right" vertical="center" readingOrder="1"/>
    </xf>
    <xf numFmtId="167" fontId="12" fillId="14" borderId="7" xfId="10" applyNumberFormat="1" applyFont="1" applyFill="1" applyBorder="1" applyAlignment="1">
      <alignment horizontal="right" vertical="center" readingOrder="1"/>
    </xf>
    <xf numFmtId="167" fontId="12" fillId="14" borderId="10" xfId="10" applyNumberFormat="1" applyFont="1" applyFill="1" applyBorder="1" applyAlignment="1">
      <alignment horizontal="right" vertical="center" readingOrder="1"/>
    </xf>
    <xf numFmtId="167" fontId="8" fillId="14" borderId="7" xfId="10" applyNumberFormat="1" applyFont="1" applyFill="1" applyBorder="1"/>
    <xf numFmtId="167" fontId="12" fillId="14" borderId="7" xfId="10" applyNumberFormat="1" applyFont="1" applyFill="1" applyBorder="1" applyAlignment="1">
      <alignment horizontal="center" readingOrder="1"/>
    </xf>
    <xf numFmtId="1" fontId="0" fillId="0" borderId="0" xfId="5" applyNumberFormat="1" applyFont="1" applyProtection="1">
      <protection locked="0"/>
    </xf>
    <xf numFmtId="167" fontId="0" fillId="0" borderId="0" xfId="5" applyNumberFormat="1" applyFont="1" applyProtection="1">
      <protection locked="0"/>
    </xf>
    <xf numFmtId="0" fontId="8" fillId="3" borderId="14" xfId="0" applyFont="1" applyFill="1" applyBorder="1" applyAlignment="1">
      <alignment horizontal="center" vertical="center" wrapText="1"/>
    </xf>
    <xf numFmtId="0" fontId="8" fillId="3" borderId="15" xfId="0" applyFont="1" applyFill="1" applyBorder="1" applyAlignment="1">
      <alignment horizontal="center" vertical="center" wrapText="1"/>
    </xf>
    <xf numFmtId="2" fontId="8" fillId="14" borderId="6" xfId="0" applyNumberFormat="1" applyFont="1" applyFill="1" applyBorder="1" applyAlignment="1">
      <alignment horizontal="center" vertical="center"/>
    </xf>
    <xf numFmtId="2" fontId="8" fillId="14" borderId="11" xfId="0" applyNumberFormat="1" applyFont="1" applyFill="1" applyBorder="1" applyAlignment="1">
      <alignment horizontal="center" vertical="center"/>
    </xf>
    <xf numFmtId="0" fontId="8" fillId="3" borderId="16" xfId="0" applyFont="1" applyFill="1" applyBorder="1" applyAlignment="1">
      <alignment horizontal="center" vertical="center" wrapText="1"/>
    </xf>
    <xf numFmtId="169" fontId="8" fillId="14" borderId="6" xfId="9" applyNumberFormat="1" applyFont="1" applyFill="1" applyBorder="1" applyAlignment="1">
      <alignment horizontal="center" vertical="center"/>
    </xf>
    <xf numFmtId="9" fontId="8" fillId="14" borderId="6" xfId="0" applyNumberFormat="1" applyFont="1" applyFill="1" applyBorder="1" applyAlignment="1">
      <alignment horizontal="center" vertical="center"/>
    </xf>
    <xf numFmtId="9" fontId="8" fillId="14" borderId="8" xfId="0" applyNumberFormat="1" applyFont="1" applyFill="1" applyBorder="1" applyAlignment="1">
      <alignment horizontal="center" vertical="center"/>
    </xf>
    <xf numFmtId="0" fontId="8" fillId="14" borderId="8" xfId="0" applyFont="1" applyFill="1" applyBorder="1" applyAlignment="1">
      <alignment horizontal="center" vertical="center"/>
    </xf>
    <xf numFmtId="0" fontId="8" fillId="0" borderId="0" xfId="0" applyFont="1"/>
    <xf numFmtId="170" fontId="8" fillId="0" borderId="10" xfId="12" applyNumberFormat="1" applyFont="1" applyBorder="1" applyAlignment="1" applyProtection="1">
      <alignment horizontal="center" vertical="center"/>
      <protection locked="0"/>
    </xf>
    <xf numFmtId="167" fontId="8" fillId="0" borderId="0" xfId="5" applyNumberFormat="1" applyFont="1" applyProtection="1">
      <protection locked="0"/>
    </xf>
    <xf numFmtId="1" fontId="8" fillId="14" borderId="9" xfId="0" applyNumberFormat="1" applyFont="1" applyFill="1" applyBorder="1" applyAlignment="1">
      <alignment horizontal="center" vertical="center"/>
    </xf>
    <xf numFmtId="167" fontId="8" fillId="6" borderId="7" xfId="10" applyNumberFormat="1" applyFont="1" applyFill="1" applyBorder="1" applyAlignment="1">
      <alignment horizontal="center" vertical="center"/>
    </xf>
    <xf numFmtId="9" fontId="8" fillId="14" borderId="6" xfId="2" applyFont="1" applyFill="1" applyBorder="1" applyAlignment="1">
      <alignment horizontal="center" vertical="center"/>
    </xf>
    <xf numFmtId="9" fontId="8" fillId="14" borderId="11" xfId="2" applyFont="1" applyFill="1" applyBorder="1" applyAlignment="1">
      <alignment horizontal="center" vertical="center"/>
    </xf>
    <xf numFmtId="167" fontId="8" fillId="14" borderId="6" xfId="1" applyNumberFormat="1" applyFont="1" applyFill="1" applyBorder="1" applyAlignment="1">
      <alignment horizontal="center" vertical="center"/>
    </xf>
    <xf numFmtId="167" fontId="8" fillId="14" borderId="8" xfId="1" applyNumberFormat="1" applyFont="1" applyFill="1" applyBorder="1" applyAlignment="1">
      <alignment horizontal="center" vertical="center"/>
    </xf>
    <xf numFmtId="170" fontId="8" fillId="14" borderId="9" xfId="3" applyNumberFormat="1" applyFont="1" applyFill="1" applyBorder="1" applyAlignment="1">
      <alignment horizontal="center" vertical="center"/>
    </xf>
    <xf numFmtId="170" fontId="8" fillId="14" borderId="6" xfId="3" applyNumberFormat="1" applyFont="1" applyFill="1" applyBorder="1" applyAlignment="1">
      <alignment horizontal="center" vertical="center"/>
    </xf>
    <xf numFmtId="167" fontId="8" fillId="14" borderId="10" xfId="1" applyNumberFormat="1" applyFont="1" applyFill="1" applyBorder="1" applyAlignment="1">
      <alignment horizontal="center" vertical="center"/>
    </xf>
    <xf numFmtId="170" fontId="8" fillId="14" borderId="7" xfId="3" applyNumberFormat="1" applyFont="1" applyFill="1" applyBorder="1" applyAlignment="1">
      <alignment horizontal="center" vertical="center"/>
    </xf>
    <xf numFmtId="167" fontId="8" fillId="14" borderId="11" xfId="1" applyNumberFormat="1" applyFont="1" applyFill="1" applyBorder="1" applyAlignment="1">
      <alignment horizontal="center" vertical="center"/>
    </xf>
    <xf numFmtId="167" fontId="8" fillId="14" borderId="13" xfId="1" applyNumberFormat="1" applyFont="1" applyFill="1" applyBorder="1" applyAlignment="1">
      <alignment horizontal="center" vertical="center"/>
    </xf>
    <xf numFmtId="167" fontId="8" fillId="14" borderId="9" xfId="1" applyNumberFormat="1" applyFont="1" applyFill="1" applyBorder="1" applyAlignment="1">
      <alignment horizontal="center" vertical="center"/>
    </xf>
    <xf numFmtId="2" fontId="8" fillId="14" borderId="9" xfId="10" applyNumberFormat="1" applyFont="1" applyFill="1" applyBorder="1" applyAlignment="1">
      <alignment horizontal="center" vertical="center"/>
    </xf>
    <xf numFmtId="10" fontId="8" fillId="14" borderId="6" xfId="2" applyNumberFormat="1" applyFont="1" applyFill="1" applyBorder="1" applyAlignment="1">
      <alignment horizontal="center" vertical="center"/>
    </xf>
    <xf numFmtId="10" fontId="8" fillId="14" borderId="8" xfId="2" applyNumberFormat="1" applyFont="1" applyFill="1" applyBorder="1" applyAlignment="1">
      <alignment horizontal="center" vertical="center"/>
    </xf>
    <xf numFmtId="169" fontId="8" fillId="14" borderId="9" xfId="2" applyNumberFormat="1" applyFont="1" applyFill="1" applyBorder="1" applyAlignment="1">
      <alignment horizontal="center" vertical="center"/>
    </xf>
    <xf numFmtId="167" fontId="8" fillId="14" borderId="7" xfId="1" applyNumberFormat="1" applyFont="1" applyFill="1" applyBorder="1" applyAlignment="1">
      <alignment horizontal="center" vertical="center"/>
    </xf>
    <xf numFmtId="2" fontId="8" fillId="14" borderId="7" xfId="10" applyNumberFormat="1" applyFont="1" applyFill="1" applyBorder="1" applyAlignment="1">
      <alignment horizontal="center" vertical="center"/>
    </xf>
    <xf numFmtId="10" fontId="8" fillId="14" borderId="10" xfId="2" applyNumberFormat="1" applyFont="1" applyFill="1" applyBorder="1" applyAlignment="1">
      <alignment horizontal="center" vertical="center"/>
    </xf>
    <xf numFmtId="169" fontId="8" fillId="14" borderId="7" xfId="2" applyNumberFormat="1" applyFont="1" applyFill="1" applyBorder="1" applyAlignment="1">
      <alignment horizontal="center" vertical="center"/>
    </xf>
    <xf numFmtId="169" fontId="8" fillId="14" borderId="7" xfId="1" applyNumberFormat="1" applyFont="1" applyFill="1" applyBorder="1" applyAlignment="1">
      <alignment horizontal="center" vertical="center"/>
    </xf>
    <xf numFmtId="169" fontId="8" fillId="14" borderId="7" xfId="9" applyNumberFormat="1" applyFont="1" applyFill="1" applyBorder="1" applyAlignment="1">
      <alignment horizontal="center" vertical="center"/>
    </xf>
    <xf numFmtId="169" fontId="12" fillId="14" borderId="7" xfId="9" applyNumberFormat="1" applyFont="1" applyFill="1" applyBorder="1" applyAlignment="1">
      <alignment horizontal="center" vertical="center"/>
    </xf>
    <xf numFmtId="167" fontId="8" fillId="14" borderId="12" xfId="1" applyNumberFormat="1" applyFont="1" applyFill="1" applyBorder="1" applyAlignment="1">
      <alignment horizontal="center" vertical="center"/>
    </xf>
    <xf numFmtId="2" fontId="8" fillId="14" borderId="12" xfId="10" applyNumberFormat="1" applyFont="1" applyFill="1" applyBorder="1" applyAlignment="1">
      <alignment horizontal="center" vertical="center"/>
    </xf>
    <xf numFmtId="10" fontId="8" fillId="14" borderId="11" xfId="2" applyNumberFormat="1" applyFont="1" applyFill="1" applyBorder="1" applyAlignment="1">
      <alignment horizontal="center" vertical="center"/>
    </xf>
    <xf numFmtId="10" fontId="8" fillId="14" borderId="13" xfId="2" applyNumberFormat="1" applyFont="1" applyFill="1" applyBorder="1" applyAlignment="1">
      <alignment horizontal="center" vertical="center"/>
    </xf>
    <xf numFmtId="169" fontId="8" fillId="14" borderId="8" xfId="2" applyNumberFormat="1" applyFont="1" applyFill="1" applyBorder="1" applyAlignment="1">
      <alignment horizontal="center" vertical="center"/>
    </xf>
    <xf numFmtId="169" fontId="8" fillId="14" borderId="10" xfId="2" applyNumberFormat="1" applyFont="1" applyFill="1" applyBorder="1" applyAlignment="1">
      <alignment horizontal="center" vertical="center"/>
    </xf>
    <xf numFmtId="169" fontId="8" fillId="14" borderId="10" xfId="1" applyNumberFormat="1" applyFont="1" applyFill="1" applyBorder="1" applyAlignment="1">
      <alignment horizontal="center" vertical="center"/>
    </xf>
    <xf numFmtId="169" fontId="8" fillId="4" borderId="10" xfId="0" applyNumberFormat="1" applyFont="1" applyFill="1" applyBorder="1" applyAlignment="1">
      <alignment horizontal="center" vertical="center"/>
    </xf>
    <xf numFmtId="169" fontId="8" fillId="14" borderId="7" xfId="7" applyNumberFormat="1" applyFont="1" applyFill="1" applyBorder="1" applyAlignment="1">
      <alignment horizontal="center" vertical="center"/>
    </xf>
    <xf numFmtId="169" fontId="8" fillId="14" borderId="10" xfId="9" applyNumberFormat="1" applyFont="1" applyFill="1" applyBorder="1" applyAlignment="1">
      <alignment horizontal="center" vertical="center"/>
    </xf>
    <xf numFmtId="169" fontId="8" fillId="14" borderId="13" xfId="9" applyNumberFormat="1" applyFont="1" applyFill="1" applyBorder="1" applyAlignment="1">
      <alignment horizontal="center" vertical="center"/>
    </xf>
    <xf numFmtId="169" fontId="8" fillId="14" borderId="12" xfId="9" applyNumberFormat="1" applyFont="1" applyFill="1" applyBorder="1" applyAlignment="1">
      <alignment horizontal="center" vertical="center"/>
    </xf>
    <xf numFmtId="169" fontId="12" fillId="14" borderId="10" xfId="9" applyNumberFormat="1" applyFont="1" applyFill="1" applyBorder="1" applyAlignment="1">
      <alignment horizontal="center" vertical="center"/>
    </xf>
    <xf numFmtId="167" fontId="8" fillId="14" borderId="6" xfId="1" applyNumberFormat="1" applyFont="1" applyFill="1" applyBorder="1"/>
    <xf numFmtId="167" fontId="8" fillId="14" borderId="8" xfId="1" applyNumberFormat="1" applyFont="1" applyFill="1" applyBorder="1"/>
    <xf numFmtId="167" fontId="8" fillId="14" borderId="10" xfId="1" applyNumberFormat="1" applyFont="1" applyFill="1" applyBorder="1"/>
    <xf numFmtId="167" fontId="13" fillId="14" borderId="10" xfId="1" applyNumberFormat="1" applyFont="1" applyFill="1" applyBorder="1"/>
    <xf numFmtId="167" fontId="8" fillId="6" borderId="7" xfId="1" applyNumberFormat="1" applyFont="1" applyFill="1" applyBorder="1" applyAlignment="1">
      <alignment horizontal="center" vertical="center"/>
    </xf>
    <xf numFmtId="167" fontId="8" fillId="14" borderId="10" xfId="5" applyNumberFormat="1" applyFont="1" applyFill="1" applyBorder="1"/>
    <xf numFmtId="167" fontId="8" fillId="14" borderId="10" xfId="0" applyNumberFormat="1" applyFont="1" applyFill="1" applyBorder="1" applyAlignment="1">
      <alignment horizontal="center"/>
    </xf>
    <xf numFmtId="167" fontId="8" fillId="14" borderId="10" xfId="10" applyNumberFormat="1" applyFont="1" applyFill="1" applyBorder="1" applyAlignment="1">
      <alignment horizontal="center"/>
    </xf>
    <xf numFmtId="167" fontId="8" fillId="14" borderId="10" xfId="10" applyNumberFormat="1" applyFont="1" applyFill="1" applyBorder="1"/>
    <xf numFmtId="0" fontId="8" fillId="14" borderId="6" xfId="0" applyFont="1" applyFill="1" applyBorder="1"/>
    <xf numFmtId="0" fontId="8" fillId="14" borderId="8" xfId="0" applyFont="1" applyFill="1" applyBorder="1"/>
    <xf numFmtId="0" fontId="8" fillId="14" borderId="10" xfId="0" applyFont="1" applyFill="1" applyBorder="1"/>
    <xf numFmtId="9" fontId="8" fillId="14" borderId="10" xfId="0" applyNumberFormat="1" applyFont="1" applyFill="1" applyBorder="1" applyAlignment="1">
      <alignment horizontal="center" vertical="center"/>
    </xf>
    <xf numFmtId="9" fontId="8" fillId="14" borderId="13" xfId="0" applyNumberFormat="1" applyFont="1" applyFill="1" applyBorder="1" applyAlignment="1">
      <alignment horizontal="center" vertical="center"/>
    </xf>
    <xf numFmtId="0" fontId="19" fillId="0" borderId="9" xfId="0" applyFont="1" applyBorder="1" applyAlignment="1" applyProtection="1">
      <alignment horizontal="center" vertical="center"/>
      <protection locked="0"/>
    </xf>
    <xf numFmtId="0" fontId="19" fillId="0" borderId="6" xfId="0" applyFont="1" applyBorder="1" applyAlignment="1" applyProtection="1">
      <alignment horizontal="center" vertical="center"/>
      <protection locked="0"/>
    </xf>
    <xf numFmtId="0" fontId="19" fillId="0" borderId="8" xfId="0" applyFont="1" applyBorder="1" applyAlignment="1" applyProtection="1">
      <alignment horizontal="center" vertical="center"/>
      <protection locked="0"/>
    </xf>
    <xf numFmtId="0" fontId="20" fillId="0" borderId="6" xfId="0" applyFont="1" applyBorder="1" applyAlignment="1" applyProtection="1">
      <alignment horizontal="center" vertical="center"/>
      <protection locked="0"/>
    </xf>
    <xf numFmtId="0" fontId="20" fillId="14" borderId="8" xfId="0" applyFont="1" applyFill="1" applyBorder="1" applyAlignment="1">
      <alignment horizontal="left" vertical="center"/>
    </xf>
    <xf numFmtId="0" fontId="20" fillId="0" borderId="0" xfId="0" applyFont="1" applyAlignment="1" applyProtection="1">
      <alignment horizontal="center" vertical="center"/>
      <protection locked="0"/>
    </xf>
    <xf numFmtId="0" fontId="20" fillId="14" borderId="10" xfId="0" applyFont="1" applyFill="1" applyBorder="1" applyAlignment="1">
      <alignment horizontal="left" vertical="center"/>
    </xf>
    <xf numFmtId="0" fontId="20" fillId="0" borderId="7" xfId="0" applyFont="1" applyBorder="1" applyAlignment="1" applyProtection="1">
      <alignment horizontal="center" vertical="center"/>
      <protection locked="0"/>
    </xf>
    <xf numFmtId="0" fontId="20" fillId="0" borderId="12" xfId="0" applyFont="1" applyBorder="1" applyAlignment="1" applyProtection="1">
      <alignment horizontal="center" vertical="center"/>
      <protection locked="0"/>
    </xf>
    <xf numFmtId="0" fontId="20" fillId="0" borderId="11" xfId="0" applyFont="1" applyBorder="1" applyAlignment="1" applyProtection="1">
      <alignment horizontal="center" vertical="center"/>
      <protection locked="0"/>
    </xf>
    <xf numFmtId="0" fontId="20" fillId="14" borderId="13" xfId="0" applyFont="1" applyFill="1" applyBorder="1" applyAlignment="1">
      <alignment horizontal="left" vertical="center"/>
    </xf>
    <xf numFmtId="167" fontId="8" fillId="0" borderId="10" xfId="5" applyNumberFormat="1" applyFont="1" applyBorder="1" applyProtection="1">
      <protection locked="0"/>
    </xf>
    <xf numFmtId="167" fontId="8" fillId="0" borderId="7" xfId="5" applyNumberFormat="1" applyFont="1" applyBorder="1" applyProtection="1">
      <protection locked="0"/>
    </xf>
    <xf numFmtId="3" fontId="0" fillId="0" borderId="0" xfId="0" applyNumberFormat="1" applyProtection="1">
      <protection locked="0"/>
    </xf>
    <xf numFmtId="3" fontId="0" fillId="0" borderId="0" xfId="0" applyNumberFormat="1" applyAlignment="1" applyProtection="1">
      <alignment horizontal="center"/>
      <protection locked="0"/>
    </xf>
    <xf numFmtId="171" fontId="8" fillId="14" borderId="7" xfId="5" applyNumberFormat="1" applyFont="1" applyFill="1" applyBorder="1" applyAlignment="1">
      <alignment horizontal="center" vertical="center"/>
    </xf>
    <xf numFmtId="171" fontId="8" fillId="14" borderId="12" xfId="5" applyNumberFormat="1" applyFont="1" applyFill="1" applyBorder="1" applyAlignment="1">
      <alignment horizontal="center" vertical="center"/>
    </xf>
    <xf numFmtId="171" fontId="8" fillId="14" borderId="11" xfId="5" applyNumberFormat="1" applyFont="1" applyFill="1" applyBorder="1" applyAlignment="1">
      <alignment horizontal="center" vertical="center"/>
    </xf>
    <xf numFmtId="170" fontId="8" fillId="0" borderId="11" xfId="12" applyNumberFormat="1" applyFont="1" applyBorder="1" applyAlignment="1" applyProtection="1">
      <alignment horizontal="center" vertical="center"/>
      <protection locked="0"/>
    </xf>
    <xf numFmtId="170" fontId="8" fillId="0" borderId="13" xfId="12" applyNumberFormat="1" applyFont="1" applyBorder="1" applyAlignment="1" applyProtection="1">
      <alignment horizontal="center" vertical="center"/>
      <protection locked="0"/>
    </xf>
    <xf numFmtId="170" fontId="8" fillId="14" borderId="13" xfId="3" applyNumberFormat="1" applyFont="1" applyFill="1" applyBorder="1" applyAlignment="1">
      <alignment horizontal="center" vertical="center"/>
    </xf>
    <xf numFmtId="0" fontId="20" fillId="0" borderId="0" xfId="0" applyFont="1"/>
    <xf numFmtId="0" fontId="20" fillId="0" borderId="17" xfId="0" applyFont="1" applyBorder="1"/>
    <xf numFmtId="0" fontId="20" fillId="0" borderId="19" xfId="0" applyFont="1" applyBorder="1"/>
    <xf numFmtId="0" fontId="19" fillId="3" borderId="18" xfId="0" applyFont="1" applyFill="1" applyBorder="1"/>
    <xf numFmtId="0" fontId="8" fillId="0" borderId="12" xfId="0" applyFont="1" applyBorder="1" applyProtection="1">
      <protection locked="0"/>
    </xf>
    <xf numFmtId="0" fontId="8" fillId="0" borderId="11" xfId="0" applyFont="1" applyBorder="1" applyProtection="1">
      <protection locked="0"/>
    </xf>
    <xf numFmtId="0" fontId="8" fillId="0" borderId="13" xfId="0" applyFont="1" applyBorder="1" applyProtection="1">
      <protection locked="0"/>
    </xf>
    <xf numFmtId="0" fontId="8" fillId="0" borderId="7" xfId="0" applyFont="1" applyBorder="1" applyAlignment="1" applyProtection="1">
      <alignment horizontal="center"/>
      <protection locked="0"/>
    </xf>
    <xf numFmtId="167" fontId="8" fillId="0" borderId="9" xfId="10" applyNumberFormat="1" applyFont="1" applyBorder="1" applyProtection="1">
      <protection locked="0"/>
    </xf>
    <xf numFmtId="167" fontId="8" fillId="0" borderId="6" xfId="10" applyNumberFormat="1" applyFont="1" applyBorder="1" applyProtection="1">
      <protection locked="0"/>
    </xf>
    <xf numFmtId="167" fontId="1" fillId="0" borderId="0" xfId="10" applyNumberFormat="1"/>
    <xf numFmtId="0" fontId="21" fillId="0" borderId="37" xfId="0" applyFont="1" applyBorder="1" applyAlignment="1">
      <alignment horizontal="left" vertical="top"/>
    </xf>
    <xf numFmtId="3" fontId="23" fillId="0" borderId="0" xfId="0" applyNumberFormat="1" applyFont="1" applyProtection="1">
      <protection locked="0"/>
    </xf>
    <xf numFmtId="3" fontId="24" fillId="0" borderId="0" xfId="0" applyNumberFormat="1" applyFont="1" applyProtection="1">
      <protection locked="0"/>
    </xf>
    <xf numFmtId="0" fontId="24" fillId="0" borderId="0" xfId="0" applyFont="1" applyProtection="1">
      <protection locked="0"/>
    </xf>
    <xf numFmtId="0" fontId="0" fillId="0" borderId="0" xfId="0" quotePrefix="1" applyProtection="1">
      <protection locked="0"/>
    </xf>
    <xf numFmtId="167" fontId="8" fillId="0" borderId="0" xfId="10" applyNumberFormat="1" applyFont="1" applyAlignment="1" applyProtection="1">
      <alignment horizontal="center" vertical="center"/>
      <protection locked="0"/>
    </xf>
    <xf numFmtId="170" fontId="8" fillId="0" borderId="0" xfId="3" applyNumberFormat="1" applyFont="1" applyAlignment="1" applyProtection="1">
      <alignment horizontal="center" vertical="center"/>
      <protection locked="0"/>
    </xf>
    <xf numFmtId="0" fontId="0" fillId="0" borderId="11" xfId="0" applyBorder="1" applyProtection="1">
      <protection locked="0"/>
    </xf>
    <xf numFmtId="167" fontId="8" fillId="14" borderId="12" xfId="10" applyNumberFormat="1" applyFont="1" applyFill="1" applyBorder="1"/>
    <xf numFmtId="167" fontId="12" fillId="14" borderId="13" xfId="10" applyNumberFormat="1" applyFont="1" applyFill="1" applyBorder="1" applyAlignment="1">
      <alignment horizontal="right" vertical="center" readingOrder="1"/>
    </xf>
    <xf numFmtId="169" fontId="8" fillId="14" borderId="12" xfId="6" applyNumberFormat="1" applyFont="1" applyFill="1" applyBorder="1" applyAlignment="1">
      <alignment horizontal="center" vertical="center"/>
    </xf>
    <xf numFmtId="169" fontId="8" fillId="14" borderId="11" xfId="6" applyNumberFormat="1" applyFont="1" applyFill="1" applyBorder="1" applyAlignment="1">
      <alignment horizontal="center" vertical="center"/>
    </xf>
    <xf numFmtId="2" fontId="8" fillId="14" borderId="13" xfId="6" applyNumberFormat="1" applyFont="1" applyFill="1" applyBorder="1" applyAlignment="1">
      <alignment horizontal="center" vertical="center"/>
    </xf>
    <xf numFmtId="169" fontId="8" fillId="14" borderId="12" xfId="0" applyNumberFormat="1" applyFont="1" applyFill="1" applyBorder="1" applyAlignment="1">
      <alignment horizontal="center" vertical="center"/>
    </xf>
    <xf numFmtId="169" fontId="8" fillId="14" borderId="11" xfId="0" applyNumberFormat="1" applyFont="1" applyFill="1" applyBorder="1" applyAlignment="1">
      <alignment horizontal="center" vertical="center"/>
    </xf>
    <xf numFmtId="169" fontId="8" fillId="14" borderId="13" xfId="0" applyNumberFormat="1" applyFont="1" applyFill="1" applyBorder="1" applyAlignment="1">
      <alignment horizontal="center" vertical="center"/>
    </xf>
    <xf numFmtId="171" fontId="8" fillId="14" borderId="12" xfId="0" applyNumberFormat="1" applyFont="1" applyFill="1" applyBorder="1" applyAlignment="1">
      <alignment horizontal="center" vertical="center"/>
    </xf>
    <xf numFmtId="171" fontId="8" fillId="14" borderId="11" xfId="0" applyNumberFormat="1" applyFont="1" applyFill="1" applyBorder="1" applyAlignment="1">
      <alignment horizontal="center" vertical="center"/>
    </xf>
    <xf numFmtId="171" fontId="8" fillId="14" borderId="13" xfId="0" applyNumberFormat="1" applyFont="1" applyFill="1" applyBorder="1" applyAlignment="1">
      <alignment horizontal="center" vertical="center"/>
    </xf>
    <xf numFmtId="1" fontId="8" fillId="0" borderId="6" xfId="1" applyNumberFormat="1" applyFont="1" applyBorder="1" applyAlignment="1" applyProtection="1">
      <alignment horizontal="center" vertical="center"/>
      <protection locked="0"/>
    </xf>
    <xf numFmtId="167" fontId="8" fillId="14" borderId="13" xfId="10" applyNumberFormat="1" applyFont="1" applyFill="1" applyBorder="1"/>
    <xf numFmtId="167" fontId="18" fillId="14" borderId="7" xfId="10" applyNumberFormat="1" applyFont="1" applyFill="1" applyBorder="1" applyAlignment="1">
      <alignment horizontal="center" vertical="center"/>
    </xf>
    <xf numFmtId="170" fontId="8" fillId="0" borderId="0" xfId="0" applyNumberFormat="1" applyFont="1" applyAlignment="1" applyProtection="1">
      <alignment horizontal="center" vertical="center"/>
      <protection locked="0"/>
    </xf>
    <xf numFmtId="2" fontId="8" fillId="14" borderId="0" xfId="0" applyNumberFormat="1" applyFont="1" applyFill="1" applyAlignment="1">
      <alignment horizontal="center" vertical="center"/>
    </xf>
    <xf numFmtId="15" fontId="8" fillId="14" borderId="0" xfId="0" applyNumberFormat="1" applyFont="1" applyFill="1" applyAlignment="1">
      <alignment horizontal="center" vertical="center"/>
    </xf>
    <xf numFmtId="167" fontId="8" fillId="14" borderId="0" xfId="10" applyNumberFormat="1" applyFont="1" applyFill="1" applyAlignment="1">
      <alignment horizontal="center" vertical="center"/>
    </xf>
    <xf numFmtId="9" fontId="8" fillId="14" borderId="0" xfId="9" applyFont="1" applyFill="1" applyAlignment="1">
      <alignment horizontal="center" vertical="center"/>
    </xf>
    <xf numFmtId="169" fontId="8" fillId="0" borderId="0" xfId="6" applyNumberFormat="1" applyFont="1" applyAlignment="1" applyProtection="1">
      <alignment horizontal="center" vertical="center"/>
      <protection locked="0"/>
    </xf>
    <xf numFmtId="169" fontId="8" fillId="14" borderId="0" xfId="9" applyNumberFormat="1" applyFont="1" applyFill="1" applyAlignment="1">
      <alignment horizontal="center" vertical="center"/>
    </xf>
    <xf numFmtId="9" fontId="8" fillId="14" borderId="0" xfId="0" applyNumberFormat="1" applyFont="1" applyFill="1" applyAlignment="1">
      <alignment horizontal="center" vertical="center"/>
    </xf>
    <xf numFmtId="0" fontId="8" fillId="14" borderId="0" xfId="0" applyFont="1" applyFill="1" applyAlignment="1">
      <alignment horizontal="center" vertical="center"/>
    </xf>
    <xf numFmtId="167" fontId="8" fillId="14" borderId="0" xfId="10" applyNumberFormat="1" applyFont="1" applyFill="1"/>
    <xf numFmtId="167" fontId="12" fillId="14" borderId="0" xfId="10" applyNumberFormat="1" applyFont="1" applyFill="1" applyAlignment="1">
      <alignment horizontal="right" vertical="center" readingOrder="1"/>
    </xf>
    <xf numFmtId="167" fontId="12" fillId="14" borderId="0" xfId="10" applyNumberFormat="1" applyFont="1" applyFill="1" applyAlignment="1">
      <alignment horizontal="center" readingOrder="1"/>
    </xf>
    <xf numFmtId="167" fontId="12" fillId="14" borderId="0" xfId="10" applyNumberFormat="1" applyFont="1" applyFill="1" applyAlignment="1">
      <alignment horizontal="left" vertical="center" readingOrder="1"/>
    </xf>
    <xf numFmtId="167" fontId="12" fillId="0" borderId="0" xfId="10" applyNumberFormat="1" applyFont="1" applyAlignment="1" applyProtection="1">
      <alignment horizontal="center" readingOrder="1"/>
      <protection locked="0"/>
    </xf>
    <xf numFmtId="167" fontId="12" fillId="0" borderId="0" xfId="10" applyNumberFormat="1" applyFont="1" applyAlignment="1" applyProtection="1">
      <alignment horizontal="left" vertical="center" readingOrder="1"/>
      <protection locked="0"/>
    </xf>
    <xf numFmtId="167" fontId="8" fillId="0" borderId="0" xfId="10" applyNumberFormat="1" applyFont="1" applyAlignment="1" applyProtection="1">
      <alignment horizontal="center"/>
      <protection locked="0"/>
    </xf>
    <xf numFmtId="170" fontId="8" fillId="0" borderId="0" xfId="5" applyNumberFormat="1" applyFont="1" applyAlignment="1" applyProtection="1">
      <alignment horizontal="center" vertical="center"/>
      <protection locked="0"/>
    </xf>
    <xf numFmtId="167" fontId="18" fillId="2" borderId="0" xfId="10" applyNumberFormat="1" applyFont="1" applyFill="1" applyAlignment="1" applyProtection="1">
      <alignment horizontal="center" vertical="center"/>
      <protection locked="0"/>
    </xf>
    <xf numFmtId="167" fontId="12" fillId="0" borderId="0" xfId="10" applyNumberFormat="1" applyFont="1" applyAlignment="1" applyProtection="1">
      <alignment horizontal="center" vertical="center"/>
      <protection locked="0"/>
    </xf>
    <xf numFmtId="170" fontId="8" fillId="4" borderId="0" xfId="3" applyNumberFormat="1" applyFont="1" applyFill="1" applyAlignment="1" applyProtection="1">
      <alignment horizontal="center" vertical="center"/>
      <protection locked="0"/>
    </xf>
    <xf numFmtId="170" fontId="12" fillId="4" borderId="0" xfId="0" applyNumberFormat="1" applyFont="1" applyFill="1" applyAlignment="1" applyProtection="1">
      <alignment horizontal="center" vertical="center"/>
      <protection locked="0"/>
    </xf>
    <xf numFmtId="167" fontId="8" fillId="0" borderId="0" xfId="5" applyNumberFormat="1" applyFont="1" applyAlignment="1" applyProtection="1">
      <alignment horizontal="center" vertical="center"/>
      <protection locked="0"/>
    </xf>
    <xf numFmtId="169" fontId="8" fillId="14" borderId="0" xfId="6" applyNumberFormat="1" applyFont="1" applyFill="1" applyAlignment="1">
      <alignment horizontal="center" vertical="center"/>
    </xf>
    <xf numFmtId="170" fontId="8" fillId="14" borderId="0" xfId="3" applyNumberFormat="1" applyFont="1" applyFill="1" applyAlignment="1">
      <alignment horizontal="center" vertical="center"/>
    </xf>
    <xf numFmtId="167" fontId="8" fillId="0" borderId="0" xfId="0" applyNumberFormat="1" applyFont="1" applyAlignment="1" applyProtection="1">
      <alignment horizontal="center" vertical="center"/>
      <protection locked="0"/>
    </xf>
    <xf numFmtId="167" fontId="8" fillId="6" borderId="0" xfId="10" applyNumberFormat="1" applyFont="1" applyFill="1" applyAlignment="1" applyProtection="1">
      <alignment horizontal="center" vertical="center"/>
      <protection locked="0"/>
    </xf>
    <xf numFmtId="171" fontId="8" fillId="14" borderId="0" xfId="3" applyNumberFormat="1" applyFont="1" applyFill="1" applyAlignment="1">
      <alignment horizontal="center" vertical="center"/>
    </xf>
    <xf numFmtId="170" fontId="12" fillId="0" borderId="0" xfId="0" applyNumberFormat="1" applyFont="1" applyAlignment="1" applyProtection="1">
      <alignment horizontal="center" vertical="center"/>
      <protection locked="0"/>
    </xf>
    <xf numFmtId="9" fontId="8" fillId="14" borderId="0" xfId="2" applyFont="1" applyFill="1" applyAlignment="1">
      <alignment horizontal="center" vertical="center"/>
    </xf>
    <xf numFmtId="167" fontId="8" fillId="14" borderId="0" xfId="1" applyNumberFormat="1" applyFont="1" applyFill="1" applyAlignment="1">
      <alignment horizontal="center" vertical="center"/>
    </xf>
    <xf numFmtId="170" fontId="8" fillId="0" borderId="0" xfId="12" applyNumberFormat="1" applyFont="1" applyAlignment="1" applyProtection="1">
      <alignment horizontal="center" vertical="center"/>
      <protection locked="0"/>
    </xf>
    <xf numFmtId="10" fontId="8" fillId="14" borderId="0" xfId="2" applyNumberFormat="1" applyFont="1" applyFill="1" applyAlignment="1">
      <alignment horizontal="center" vertical="center"/>
    </xf>
    <xf numFmtId="9" fontId="8" fillId="0" borderId="0" xfId="0" applyNumberFormat="1" applyFont="1" applyAlignment="1" applyProtection="1">
      <alignment horizontal="center" vertical="center"/>
      <protection locked="0"/>
    </xf>
    <xf numFmtId="9" fontId="8" fillId="0" borderId="0" xfId="9" applyFont="1" applyAlignment="1" applyProtection="1">
      <alignment horizontal="center" vertical="center"/>
      <protection locked="0"/>
    </xf>
    <xf numFmtId="1" fontId="8" fillId="0" borderId="0" xfId="1" applyNumberFormat="1" applyFont="1" applyAlignment="1" applyProtection="1">
      <alignment horizontal="center" vertical="center"/>
      <protection locked="0"/>
    </xf>
    <xf numFmtId="167" fontId="8" fillId="0" borderId="0" xfId="1" applyNumberFormat="1" applyFont="1" applyAlignment="1" applyProtection="1">
      <alignment horizontal="center" vertical="center"/>
      <protection locked="0"/>
    </xf>
    <xf numFmtId="9" fontId="8" fillId="0" borderId="0" xfId="2" applyFont="1" applyAlignment="1" applyProtection="1">
      <alignment horizontal="center" vertical="center"/>
      <protection locked="0"/>
    </xf>
    <xf numFmtId="167" fontId="8" fillId="0" borderId="0" xfId="1" applyNumberFormat="1" applyFont="1" applyProtection="1">
      <protection locked="0"/>
    </xf>
    <xf numFmtId="167" fontId="8" fillId="14" borderId="0" xfId="1" applyNumberFormat="1" applyFont="1" applyFill="1"/>
    <xf numFmtId="0" fontId="8" fillId="14" borderId="0" xfId="0" applyFont="1" applyFill="1"/>
    <xf numFmtId="167" fontId="8" fillId="0" borderId="0" xfId="2" applyNumberFormat="1" applyFont="1" applyAlignment="1" applyProtection="1">
      <alignment horizontal="center" vertical="center"/>
      <protection locked="0"/>
    </xf>
    <xf numFmtId="9" fontId="8" fillId="0" borderId="0" xfId="1" applyNumberFormat="1" applyFont="1" applyAlignment="1" applyProtection="1">
      <alignment horizontal="center" vertical="center"/>
      <protection locked="0"/>
    </xf>
    <xf numFmtId="167" fontId="13" fillId="0" borderId="0" xfId="10" applyNumberFormat="1" applyFont="1" applyAlignment="1" applyProtection="1">
      <alignment horizontal="center" vertical="center"/>
      <protection locked="0"/>
    </xf>
    <xf numFmtId="167" fontId="13" fillId="0" borderId="0" xfId="1" applyNumberFormat="1" applyFont="1" applyAlignment="1" applyProtection="1">
      <alignment horizontal="center" vertical="center"/>
      <protection locked="0"/>
    </xf>
    <xf numFmtId="167" fontId="13" fillId="0" borderId="0" xfId="1" applyNumberFormat="1" applyFont="1" applyProtection="1">
      <protection locked="0"/>
    </xf>
    <xf numFmtId="167" fontId="13" fillId="14" borderId="0" xfId="1" applyNumberFormat="1" applyFont="1" applyFill="1"/>
    <xf numFmtId="167" fontId="8" fillId="6" borderId="0" xfId="1" applyNumberFormat="1" applyFont="1" applyFill="1" applyAlignment="1" applyProtection="1">
      <alignment horizontal="center" vertical="center"/>
      <protection locked="0"/>
    </xf>
    <xf numFmtId="9" fontId="8" fillId="0" borderId="0" xfId="6" applyFont="1" applyAlignment="1" applyProtection="1">
      <alignment horizontal="center" vertical="center"/>
      <protection locked="0"/>
    </xf>
    <xf numFmtId="167" fontId="8" fillId="0" borderId="0" xfId="4" applyNumberFormat="1" applyFont="1" applyAlignment="1" applyProtection="1">
      <alignment horizontal="center" vertical="center"/>
      <protection locked="0"/>
    </xf>
    <xf numFmtId="167" fontId="8" fillId="6" borderId="0" xfId="1" applyNumberFormat="1" applyFont="1" applyFill="1" applyAlignment="1">
      <alignment horizontal="center" vertical="center"/>
    </xf>
    <xf numFmtId="43" fontId="8" fillId="14" borderId="0" xfId="10" applyFont="1" applyFill="1"/>
    <xf numFmtId="9" fontId="8" fillId="0" borderId="0" xfId="7" applyFont="1" applyAlignment="1" applyProtection="1">
      <alignment horizontal="center" vertical="center"/>
      <protection locked="0"/>
    </xf>
    <xf numFmtId="167" fontId="8" fillId="0" borderId="0" xfId="8" applyNumberFormat="1" applyFont="1" applyAlignment="1" applyProtection="1">
      <alignment horizontal="center" vertical="center"/>
      <protection locked="0"/>
    </xf>
    <xf numFmtId="167" fontId="8" fillId="0" borderId="0" xfId="0" applyNumberFormat="1" applyFont="1" applyAlignment="1" applyProtection="1">
      <alignment horizontal="center"/>
      <protection locked="0"/>
    </xf>
    <xf numFmtId="167" fontId="8" fillId="14" borderId="0" xfId="0" applyNumberFormat="1" applyFont="1" applyFill="1" applyAlignment="1">
      <alignment horizontal="center"/>
    </xf>
    <xf numFmtId="167" fontId="8" fillId="14" borderId="0" xfId="10" applyNumberFormat="1" applyFont="1" applyFill="1" applyAlignment="1">
      <alignment horizontal="center"/>
    </xf>
    <xf numFmtId="9" fontId="12" fillId="0" borderId="0" xfId="0" applyNumberFormat="1" applyFont="1" applyAlignment="1" applyProtection="1">
      <alignment horizontal="center" vertical="center"/>
      <protection locked="0"/>
    </xf>
    <xf numFmtId="9" fontId="8" fillId="4" borderId="0" xfId="6" applyFont="1" applyFill="1" applyAlignment="1" applyProtection="1">
      <alignment horizontal="center"/>
      <protection locked="0"/>
    </xf>
    <xf numFmtId="9" fontId="12" fillId="0" borderId="0" xfId="0" applyNumberFormat="1" applyFont="1" applyAlignment="1" applyProtection="1">
      <alignment horizontal="center"/>
      <protection locked="0"/>
    </xf>
    <xf numFmtId="9" fontId="8" fillId="4" borderId="0" xfId="2" applyFont="1" applyFill="1" applyAlignment="1" applyProtection="1">
      <alignment horizontal="center" vertical="center"/>
      <protection locked="0"/>
    </xf>
    <xf numFmtId="9" fontId="8" fillId="4" borderId="0" xfId="6" applyFont="1" applyFill="1" applyAlignment="1" applyProtection="1">
      <alignment horizontal="center" vertical="center"/>
      <protection locked="0"/>
    </xf>
    <xf numFmtId="9" fontId="12" fillId="0" borderId="0" xfId="9" applyFont="1" applyAlignment="1" applyProtection="1">
      <alignment horizontal="center" vertical="center"/>
      <protection locked="0"/>
    </xf>
    <xf numFmtId="0" fontId="8" fillId="0" borderId="0" xfId="0" applyFont="1" applyAlignment="1">
      <alignment horizontal="center" vertical="center"/>
    </xf>
    <xf numFmtId="9" fontId="8" fillId="0" borderId="0" xfId="9" applyFont="1" applyAlignment="1">
      <alignment horizontal="center" vertical="center"/>
    </xf>
    <xf numFmtId="167" fontId="8" fillId="0" borderId="0" xfId="10" applyNumberFormat="1" applyFont="1"/>
    <xf numFmtId="170" fontId="8" fillId="0" borderId="0" xfId="12" applyNumberFormat="1" applyFont="1" applyAlignment="1">
      <alignment horizontal="center" vertical="center"/>
    </xf>
    <xf numFmtId="167" fontId="8" fillId="14" borderId="8" xfId="10" applyNumberFormat="1" applyFont="1" applyFill="1" applyBorder="1"/>
    <xf numFmtId="170" fontId="8" fillId="12" borderId="0" xfId="0" applyNumberFormat="1" applyFont="1" applyFill="1" applyAlignment="1" applyProtection="1">
      <alignment horizontal="center" vertical="center"/>
      <protection locked="0"/>
    </xf>
    <xf numFmtId="170" fontId="8" fillId="14" borderId="0" xfId="0" applyNumberFormat="1" applyFont="1" applyFill="1" applyAlignment="1">
      <alignment horizontal="center" vertical="center"/>
    </xf>
    <xf numFmtId="169" fontId="8" fillId="14" borderId="0" xfId="0" applyNumberFormat="1" applyFont="1" applyFill="1" applyAlignment="1">
      <alignment horizontal="center" vertical="center"/>
    </xf>
    <xf numFmtId="171" fontId="8" fillId="14" borderId="0" xfId="0" applyNumberFormat="1" applyFont="1" applyFill="1" applyAlignment="1">
      <alignment horizontal="center" vertical="center"/>
    </xf>
    <xf numFmtId="170" fontId="8" fillId="11" borderId="0" xfId="6" applyNumberFormat="1" applyFont="1" applyFill="1" applyAlignment="1" applyProtection="1">
      <alignment horizontal="center" vertical="center"/>
      <protection locked="0"/>
    </xf>
    <xf numFmtId="170" fontId="8" fillId="11" borderId="0" xfId="0" applyNumberFormat="1" applyFont="1" applyFill="1" applyAlignment="1" applyProtection="1">
      <alignment horizontal="center" vertical="center"/>
      <protection locked="0"/>
    </xf>
    <xf numFmtId="170" fontId="8" fillId="14" borderId="0" xfId="5" applyNumberFormat="1" applyFont="1" applyFill="1" applyAlignment="1">
      <alignment horizontal="center" vertical="center"/>
    </xf>
    <xf numFmtId="170" fontId="8" fillId="11" borderId="0" xfId="5" applyNumberFormat="1" applyFont="1" applyFill="1" applyAlignment="1" applyProtection="1">
      <alignment horizontal="center" vertical="center"/>
      <protection locked="0"/>
    </xf>
    <xf numFmtId="167" fontId="8" fillId="14" borderId="0" xfId="5" applyNumberFormat="1" applyFont="1" applyFill="1" applyAlignment="1">
      <alignment horizontal="center" vertical="center"/>
    </xf>
    <xf numFmtId="170" fontId="8" fillId="11" borderId="0" xfId="3" applyNumberFormat="1" applyFont="1" applyFill="1" applyAlignment="1" applyProtection="1">
      <alignment horizontal="center" vertical="center"/>
      <protection locked="0"/>
    </xf>
    <xf numFmtId="167" fontId="8" fillId="8" borderId="0" xfId="10" applyNumberFormat="1" applyFont="1" applyFill="1" applyAlignment="1" applyProtection="1">
      <alignment horizontal="center" vertical="center"/>
      <protection locked="0"/>
    </xf>
    <xf numFmtId="170" fontId="8" fillId="0" borderId="0" xfId="6" applyNumberFormat="1" applyFont="1" applyAlignment="1" applyProtection="1">
      <alignment horizontal="center" vertical="center"/>
      <protection locked="0"/>
    </xf>
    <xf numFmtId="167" fontId="8" fillId="8" borderId="0" xfId="5" applyNumberFormat="1" applyFont="1" applyFill="1" applyAlignment="1" applyProtection="1">
      <alignment horizontal="center" vertical="center"/>
      <protection locked="0"/>
    </xf>
    <xf numFmtId="172" fontId="8" fillId="14" borderId="0" xfId="5" applyNumberFormat="1" applyFont="1" applyFill="1" applyAlignment="1">
      <alignment horizontal="center" vertical="center"/>
    </xf>
    <xf numFmtId="167" fontId="11" fillId="0" borderId="0" xfId="10" applyNumberFormat="1" applyFont="1" applyAlignment="1" applyProtection="1">
      <alignment horizontal="center" vertical="center"/>
      <protection locked="0"/>
    </xf>
    <xf numFmtId="170" fontId="12" fillId="0" borderId="0" xfId="0" applyNumberFormat="1" applyFont="1" applyAlignment="1" applyProtection="1">
      <alignment horizontal="center" vertical="center" wrapText="1"/>
      <protection locked="0"/>
    </xf>
    <xf numFmtId="171" fontId="8" fillId="14" borderId="0" xfId="5" applyNumberFormat="1" applyFont="1" applyFill="1" applyAlignment="1">
      <alignment horizontal="center" vertical="center"/>
    </xf>
    <xf numFmtId="167" fontId="18" fillId="0" borderId="0" xfId="10" applyNumberFormat="1" applyFont="1" applyAlignment="1" applyProtection="1">
      <alignment horizontal="center" vertical="center"/>
      <protection locked="0"/>
    </xf>
    <xf numFmtId="167" fontId="8" fillId="0" borderId="8" xfId="10" applyNumberFormat="1" applyFont="1" applyBorder="1" applyAlignment="1" applyProtection="1">
      <alignment horizontal="center" vertical="center"/>
      <protection locked="0"/>
    </xf>
    <xf numFmtId="167" fontId="8" fillId="0" borderId="10" xfId="10" applyNumberFormat="1" applyFont="1" applyBorder="1" applyAlignment="1" applyProtection="1">
      <alignment horizontal="center" vertical="center"/>
      <protection locked="0"/>
    </xf>
    <xf numFmtId="0" fontId="8" fillId="0" borderId="0" xfId="6" applyNumberFormat="1" applyFont="1" applyAlignment="1" applyProtection="1">
      <alignment horizontal="center" vertical="center"/>
      <protection locked="0"/>
    </xf>
    <xf numFmtId="167" fontId="18" fillId="0" borderId="10" xfId="10" applyNumberFormat="1" applyFont="1" applyBorder="1" applyAlignment="1" applyProtection="1">
      <alignment horizontal="center" vertical="center"/>
      <protection locked="0"/>
    </xf>
    <xf numFmtId="9" fontId="11" fillId="0" borderId="0" xfId="6" applyFont="1" applyAlignment="1">
      <alignment horizontal="center" vertical="center"/>
    </xf>
    <xf numFmtId="0" fontId="8" fillId="0" borderId="0" xfId="0" applyFont="1" applyAlignment="1" applyProtection="1">
      <alignment horizontal="center"/>
      <protection locked="0"/>
    </xf>
    <xf numFmtId="0" fontId="11" fillId="0" borderId="0" xfId="0" applyFont="1" applyAlignment="1" applyProtection="1">
      <alignment horizontal="center" vertical="center"/>
      <protection locked="0"/>
    </xf>
    <xf numFmtId="0" fontId="11" fillId="0" borderId="6" xfId="0" applyFont="1" applyBorder="1" applyAlignment="1" applyProtection="1">
      <alignment horizontal="center" vertical="center"/>
      <protection locked="0"/>
    </xf>
    <xf numFmtId="0" fontId="11" fillId="0" borderId="11" xfId="0" applyFont="1" applyBorder="1" applyAlignment="1" applyProtection="1">
      <alignment horizontal="center" vertical="center"/>
      <protection locked="0"/>
    </xf>
    <xf numFmtId="167" fontId="18" fillId="14" borderId="7" xfId="1" applyNumberFormat="1" applyFont="1" applyFill="1" applyBorder="1" applyAlignment="1">
      <alignment horizontal="center" vertical="center"/>
    </xf>
    <xf numFmtId="169" fontId="18" fillId="14" borderId="7" xfId="9" applyNumberFormat="1" applyFont="1" applyFill="1" applyBorder="1" applyAlignment="1">
      <alignment horizontal="center" vertical="center"/>
    </xf>
    <xf numFmtId="9" fontId="18" fillId="0" borderId="0" xfId="2" applyFont="1" applyAlignment="1" applyProtection="1">
      <alignment horizontal="center" vertical="center"/>
      <protection locked="0"/>
    </xf>
    <xf numFmtId="0" fontId="16" fillId="0" borderId="0" xfId="0" applyFont="1"/>
    <xf numFmtId="167" fontId="8" fillId="14" borderId="0" xfId="0" applyNumberFormat="1" applyFont="1" applyFill="1" applyAlignment="1">
      <alignment horizontal="center" vertical="center"/>
    </xf>
    <xf numFmtId="3" fontId="8" fillId="0" borderId="7" xfId="0" applyNumberFormat="1" applyFont="1" applyBorder="1" applyProtection="1">
      <protection locked="0"/>
    </xf>
    <xf numFmtId="3" fontId="8" fillId="0" borderId="0" xfId="0" applyNumberFormat="1" applyFont="1" applyProtection="1">
      <protection locked="0"/>
    </xf>
    <xf numFmtId="3" fontId="8" fillId="0" borderId="0" xfId="0" applyNumberFormat="1" applyFont="1" applyAlignment="1" applyProtection="1">
      <alignment vertical="center"/>
      <protection locked="0"/>
    </xf>
    <xf numFmtId="3" fontId="8" fillId="0" borderId="10" xfId="0" applyNumberFormat="1" applyFont="1" applyBorder="1" applyAlignment="1" applyProtection="1">
      <alignment vertical="center"/>
      <protection locked="0"/>
    </xf>
    <xf numFmtId="3" fontId="8" fillId="0" borderId="10" xfId="0" applyNumberFormat="1" applyFont="1" applyBorder="1" applyProtection="1">
      <protection locked="0"/>
    </xf>
    <xf numFmtId="167" fontId="0" fillId="0" borderId="1" xfId="0" applyNumberFormat="1" applyBorder="1" applyAlignment="1">
      <alignment horizontal="center"/>
    </xf>
    <xf numFmtId="168" fontId="1" fillId="0" borderId="1" xfId="12" applyNumberFormat="1" applyBorder="1" applyAlignment="1">
      <alignment horizontal="center"/>
    </xf>
    <xf numFmtId="167" fontId="0" fillId="0" borderId="51" xfId="0" applyNumberFormat="1" applyBorder="1" applyAlignment="1">
      <alignment horizontal="center"/>
    </xf>
    <xf numFmtId="167" fontId="0" fillId="0" borderId="0" xfId="13" applyNumberFormat="1" applyFont="1" applyAlignment="1">
      <alignment horizontal="center"/>
    </xf>
    <xf numFmtId="9" fontId="0" fillId="2" borderId="0" xfId="14" applyFont="1" applyFill="1" applyAlignment="1">
      <alignment horizontal="center"/>
    </xf>
    <xf numFmtId="169" fontId="0" fillId="0" borderId="0" xfId="14" applyNumberFormat="1" applyFont="1" applyAlignment="1">
      <alignment horizontal="center"/>
    </xf>
    <xf numFmtId="167" fontId="25" fillId="0" borderId="0" xfId="13" applyNumberFormat="1" applyFont="1" applyAlignment="1">
      <alignment horizontal="center"/>
    </xf>
    <xf numFmtId="9" fontId="0" fillId="0" borderId="0" xfId="14" applyFont="1" applyAlignment="1">
      <alignment horizontal="center"/>
    </xf>
    <xf numFmtId="167" fontId="5" fillId="0" borderId="0" xfId="13" applyNumberFormat="1" applyFont="1" applyAlignment="1">
      <alignment horizontal="center"/>
    </xf>
    <xf numFmtId="9" fontId="0" fillId="2" borderId="0" xfId="0" applyNumberFormat="1" applyFill="1"/>
    <xf numFmtId="0" fontId="16" fillId="0" borderId="0" xfId="0" applyFont="1" applyAlignment="1">
      <alignment horizontal="center"/>
    </xf>
    <xf numFmtId="0" fontId="16" fillId="0" borderId="0" xfId="0" applyFont="1" applyAlignment="1">
      <alignment horizontal="left"/>
    </xf>
    <xf numFmtId="165" fontId="1" fillId="0" borderId="0" xfId="12" applyNumberFormat="1"/>
    <xf numFmtId="0" fontId="0" fillId="0" borderId="12" xfId="0" applyBorder="1"/>
    <xf numFmtId="0" fontId="0" fillId="0" borderId="51" xfId="0" applyBorder="1"/>
    <xf numFmtId="168" fontId="1" fillId="0" borderId="51" xfId="12" applyNumberFormat="1" applyBorder="1" applyAlignment="1">
      <alignment horizontal="center"/>
    </xf>
    <xf numFmtId="0" fontId="16" fillId="0" borderId="53" xfId="0" applyFont="1" applyBorder="1"/>
    <xf numFmtId="0" fontId="16" fillId="0" borderId="54" xfId="0" applyFont="1" applyBorder="1"/>
    <xf numFmtId="0" fontId="0" fillId="0" borderId="56" xfId="0" applyBorder="1"/>
    <xf numFmtId="0" fontId="0" fillId="0" borderId="58" xfId="0" applyBorder="1"/>
    <xf numFmtId="0" fontId="0" fillId="0" borderId="60" xfId="0" applyBorder="1"/>
    <xf numFmtId="0" fontId="0" fillId="0" borderId="50" xfId="0" applyBorder="1"/>
    <xf numFmtId="167" fontId="0" fillId="0" borderId="50" xfId="0" applyNumberFormat="1" applyBorder="1" applyAlignment="1">
      <alignment horizontal="center"/>
    </xf>
    <xf numFmtId="168" fontId="1" fillId="0" borderId="50" xfId="12" applyNumberFormat="1" applyBorder="1" applyAlignment="1">
      <alignment horizontal="center"/>
    </xf>
    <xf numFmtId="0" fontId="16" fillId="0" borderId="53" xfId="0" applyFont="1" applyBorder="1" applyAlignment="1">
      <alignment horizontal="center"/>
    </xf>
    <xf numFmtId="0" fontId="16" fillId="0" borderId="54" xfId="0" applyFont="1" applyBorder="1" applyAlignment="1">
      <alignment horizontal="center"/>
    </xf>
    <xf numFmtId="0" fontId="16" fillId="0" borderId="55" xfId="0" applyFont="1" applyBorder="1" applyAlignment="1">
      <alignment horizontal="center"/>
    </xf>
    <xf numFmtId="0" fontId="0" fillId="0" borderId="62" xfId="0" applyBorder="1"/>
    <xf numFmtId="0" fontId="0" fillId="0" borderId="63" xfId="0" applyBorder="1"/>
    <xf numFmtId="167" fontId="0" fillId="0" borderId="63" xfId="0" applyNumberFormat="1" applyBorder="1" applyAlignment="1">
      <alignment horizontal="center"/>
    </xf>
    <xf numFmtId="0" fontId="0" fillId="0" borderId="65" xfId="0" applyBorder="1"/>
    <xf numFmtId="0" fontId="0" fillId="0" borderId="66" xfId="0" applyBorder="1"/>
    <xf numFmtId="167" fontId="0" fillId="0" borderId="57" xfId="0" applyNumberFormat="1" applyBorder="1" applyAlignment="1">
      <alignment horizontal="center"/>
    </xf>
    <xf numFmtId="167" fontId="0" fillId="0" borderId="64" xfId="0" applyNumberFormat="1" applyBorder="1" applyAlignment="1">
      <alignment horizontal="center"/>
    </xf>
    <xf numFmtId="167" fontId="0" fillId="0" borderId="61" xfId="0" applyNumberFormat="1" applyBorder="1" applyAlignment="1">
      <alignment horizontal="center"/>
    </xf>
    <xf numFmtId="0" fontId="16" fillId="0" borderId="14" xfId="0" applyFont="1" applyBorder="1" applyAlignment="1">
      <alignment horizontal="center"/>
    </xf>
    <xf numFmtId="0" fontId="0" fillId="0" borderId="68" xfId="0" applyBorder="1"/>
    <xf numFmtId="0" fontId="0" fillId="0" borderId="69" xfId="0" applyBorder="1"/>
    <xf numFmtId="0" fontId="16" fillId="0" borderId="70" xfId="0" applyFont="1" applyBorder="1" applyAlignment="1">
      <alignment horizontal="center"/>
    </xf>
    <xf numFmtId="165" fontId="1" fillId="0" borderId="39" xfId="12" applyNumberFormat="1" applyBorder="1"/>
    <xf numFmtId="165" fontId="1" fillId="0" borderId="71" xfId="12" applyNumberFormat="1" applyBorder="1"/>
    <xf numFmtId="165" fontId="1" fillId="0" borderId="72" xfId="12" applyNumberFormat="1" applyBorder="1"/>
    <xf numFmtId="165" fontId="1" fillId="0" borderId="61" xfId="12" applyNumberFormat="1" applyBorder="1"/>
    <xf numFmtId="165" fontId="1" fillId="0" borderId="64" xfId="12" applyNumberFormat="1" applyBorder="1"/>
    <xf numFmtId="165" fontId="1" fillId="0" borderId="67" xfId="12" applyNumberFormat="1" applyBorder="1"/>
    <xf numFmtId="167" fontId="0" fillId="14" borderId="60" xfId="0" applyNumberFormat="1" applyFill="1" applyBorder="1" applyAlignment="1">
      <alignment horizontal="center"/>
    </xf>
    <xf numFmtId="167" fontId="0" fillId="14" borderId="50" xfId="0" applyNumberFormat="1" applyFill="1" applyBorder="1" applyAlignment="1">
      <alignment horizontal="center"/>
    </xf>
    <xf numFmtId="168" fontId="1" fillId="14" borderId="50" xfId="12" applyNumberFormat="1" applyFill="1" applyBorder="1" applyAlignment="1">
      <alignment horizontal="center"/>
    </xf>
    <xf numFmtId="166" fontId="1" fillId="14" borderId="50" xfId="12" applyFill="1" applyBorder="1"/>
    <xf numFmtId="166" fontId="1" fillId="14" borderId="61" xfId="12" applyFill="1" applyBorder="1"/>
    <xf numFmtId="167" fontId="0" fillId="14" borderId="62" xfId="0" applyNumberFormat="1" applyFill="1" applyBorder="1" applyAlignment="1">
      <alignment horizontal="center"/>
    </xf>
    <xf numFmtId="167" fontId="0" fillId="14" borderId="63" xfId="0" applyNumberFormat="1" applyFill="1" applyBorder="1" applyAlignment="1">
      <alignment horizontal="center"/>
    </xf>
    <xf numFmtId="168" fontId="1" fillId="14" borderId="63" xfId="12" applyNumberFormat="1" applyFill="1" applyBorder="1" applyAlignment="1">
      <alignment horizontal="center"/>
    </xf>
    <xf numFmtId="166" fontId="1" fillId="14" borderId="63" xfId="12" applyFill="1" applyBorder="1"/>
    <xf numFmtId="166" fontId="1" fillId="14" borderId="64" xfId="12" applyFill="1" applyBorder="1"/>
    <xf numFmtId="167" fontId="0" fillId="14" borderId="65" xfId="0" applyNumberFormat="1" applyFill="1" applyBorder="1" applyAlignment="1">
      <alignment horizontal="center"/>
    </xf>
    <xf numFmtId="167" fontId="0" fillId="14" borderId="66" xfId="0" applyNumberFormat="1" applyFill="1" applyBorder="1"/>
    <xf numFmtId="168" fontId="1" fillId="14" borderId="66" xfId="12" applyNumberFormat="1" applyFill="1" applyBorder="1" applyAlignment="1">
      <alignment horizontal="center"/>
    </xf>
    <xf numFmtId="166" fontId="1" fillId="14" borderId="66" xfId="12" applyFill="1" applyBorder="1"/>
    <xf numFmtId="166" fontId="1" fillId="14" borderId="67" xfId="12" applyFill="1" applyBorder="1"/>
    <xf numFmtId="9" fontId="1" fillId="14" borderId="39" xfId="9" applyFill="1" applyBorder="1" applyAlignment="1">
      <alignment horizontal="center"/>
    </xf>
    <xf numFmtId="9" fontId="1" fillId="14" borderId="61" xfId="9" applyFill="1" applyBorder="1" applyAlignment="1">
      <alignment horizontal="center"/>
    </xf>
    <xf numFmtId="9" fontId="1" fillId="14" borderId="71" xfId="9" applyFill="1" applyBorder="1" applyAlignment="1">
      <alignment horizontal="center"/>
    </xf>
    <xf numFmtId="9" fontId="1" fillId="14" borderId="64" xfId="9" applyFill="1" applyBorder="1" applyAlignment="1">
      <alignment horizontal="center"/>
    </xf>
    <xf numFmtId="9" fontId="1" fillId="14" borderId="72" xfId="9" applyFill="1" applyBorder="1" applyAlignment="1">
      <alignment horizontal="center"/>
    </xf>
    <xf numFmtId="9" fontId="1" fillId="14" borderId="67" xfId="9" applyFill="1" applyBorder="1" applyAlignment="1">
      <alignment horizontal="center"/>
    </xf>
    <xf numFmtId="167" fontId="0" fillId="14" borderId="67" xfId="0" applyNumberFormat="1" applyFill="1" applyBorder="1"/>
    <xf numFmtId="167" fontId="16" fillId="14" borderId="54" xfId="0" applyNumberFormat="1" applyFont="1" applyFill="1" applyBorder="1"/>
    <xf numFmtId="168" fontId="16" fillId="14" borderId="54" xfId="12" applyNumberFormat="1" applyFont="1" applyFill="1" applyBorder="1" applyAlignment="1">
      <alignment horizontal="center"/>
    </xf>
    <xf numFmtId="166" fontId="16" fillId="14" borderId="55" xfId="12" applyFont="1" applyFill="1" applyBorder="1"/>
    <xf numFmtId="166" fontId="1" fillId="14" borderId="57" xfId="12" applyFill="1" applyBorder="1"/>
    <xf numFmtId="166" fontId="1" fillId="14" borderId="59" xfId="12" applyFill="1" applyBorder="1"/>
    <xf numFmtId="168" fontId="1" fillId="14" borderId="1" xfId="12" applyNumberFormat="1" applyFill="1" applyBorder="1" applyAlignment="1">
      <alignment horizontal="center"/>
    </xf>
    <xf numFmtId="2" fontId="11" fillId="0" borderId="6" xfId="6" applyNumberFormat="1" applyFont="1" applyBorder="1" applyAlignment="1">
      <alignment horizontal="center" vertical="center"/>
    </xf>
    <xf numFmtId="2" fontId="11" fillId="0" borderId="9" xfId="6" applyNumberFormat="1" applyFont="1" applyBorder="1" applyAlignment="1">
      <alignment horizontal="center" vertical="center"/>
    </xf>
    <xf numFmtId="2" fontId="11" fillId="0" borderId="7" xfId="6" applyNumberFormat="1" applyFont="1" applyBorder="1" applyAlignment="1">
      <alignment horizontal="center" vertical="center"/>
    </xf>
    <xf numFmtId="3" fontId="27" fillId="0" borderId="0" xfId="0" applyNumberFormat="1" applyFont="1" applyAlignment="1" applyProtection="1">
      <alignment horizontal="left"/>
      <protection locked="0"/>
    </xf>
    <xf numFmtId="3" fontId="27" fillId="0" borderId="0" xfId="0" applyNumberFormat="1" applyFont="1" applyProtection="1">
      <protection locked="0"/>
    </xf>
    <xf numFmtId="171" fontId="8" fillId="14" borderId="6" xfId="5" applyNumberFormat="1" applyFont="1" applyFill="1" applyBorder="1" applyAlignment="1">
      <alignment horizontal="center" vertical="center"/>
    </xf>
    <xf numFmtId="0" fontId="28" fillId="0" borderId="0" xfId="0" applyFont="1"/>
    <xf numFmtId="14" fontId="20" fillId="0" borderId="0" xfId="0" applyNumberFormat="1" applyFont="1"/>
    <xf numFmtId="14" fontId="28" fillId="0" borderId="0" xfId="0" applyNumberFormat="1" applyFont="1"/>
    <xf numFmtId="0" fontId="20" fillId="0" borderId="0" xfId="0" applyFont="1" applyAlignment="1">
      <alignment horizontal="right"/>
    </xf>
    <xf numFmtId="0" fontId="20" fillId="0" borderId="1" xfId="0" applyFont="1" applyBorder="1" applyAlignment="1">
      <alignment horizontal="right"/>
    </xf>
    <xf numFmtId="1" fontId="21" fillId="0" borderId="0" xfId="0" applyNumberFormat="1" applyFont="1" applyAlignment="1">
      <alignment horizontal="center" vertical="center"/>
    </xf>
    <xf numFmtId="0" fontId="29" fillId="0" borderId="0" xfId="0" applyFont="1"/>
    <xf numFmtId="0" fontId="19" fillId="0" borderId="0" xfId="0" applyFont="1"/>
    <xf numFmtId="0" fontId="30" fillId="21" borderId="1" xfId="0" applyFont="1" applyFill="1" applyBorder="1"/>
    <xf numFmtId="1" fontId="20" fillId="0" borderId="0" xfId="0" applyNumberFormat="1" applyFont="1"/>
    <xf numFmtId="173" fontId="20" fillId="0" borderId="1" xfId="0" applyNumberFormat="1" applyFont="1" applyBorder="1"/>
    <xf numFmtId="9" fontId="20" fillId="0" borderId="1" xfId="2" applyFont="1" applyBorder="1"/>
    <xf numFmtId="0" fontId="31" fillId="0" borderId="0" xfId="0" applyFont="1"/>
    <xf numFmtId="9" fontId="20" fillId="0" borderId="0" xfId="2" applyFont="1"/>
    <xf numFmtId="0" fontId="20" fillId="0" borderId="1" xfId="0" applyFont="1" applyBorder="1"/>
    <xf numFmtId="1" fontId="20" fillId="0" borderId="1" xfId="0" applyNumberFormat="1" applyFont="1" applyBorder="1"/>
    <xf numFmtId="0" fontId="19" fillId="0" borderId="1" xfId="0" applyFont="1" applyBorder="1"/>
    <xf numFmtId="9" fontId="20" fillId="0" borderId="1" xfId="9" applyFont="1" applyBorder="1"/>
    <xf numFmtId="174" fontId="20" fillId="0" borderId="1" xfId="0" applyNumberFormat="1" applyFont="1" applyBorder="1"/>
    <xf numFmtId="0" fontId="30" fillId="21" borderId="51" xfId="0" applyFont="1" applyFill="1" applyBorder="1"/>
    <xf numFmtId="0" fontId="30" fillId="21" borderId="52" xfId="0" applyFont="1" applyFill="1" applyBorder="1"/>
    <xf numFmtId="168" fontId="20" fillId="0" borderId="1" xfId="3" applyNumberFormat="1" applyFont="1" applyBorder="1"/>
    <xf numFmtId="175" fontId="32" fillId="0" borderId="1" xfId="0" applyNumberFormat="1" applyFont="1" applyBorder="1"/>
    <xf numFmtId="175" fontId="20" fillId="0" borderId="1" xfId="0" applyNumberFormat="1" applyFont="1" applyBorder="1"/>
    <xf numFmtId="9" fontId="20" fillId="0" borderId="0" xfId="9" applyFont="1"/>
    <xf numFmtId="0" fontId="20" fillId="14" borderId="33" xfId="0" applyFont="1" applyFill="1" applyBorder="1"/>
    <xf numFmtId="0" fontId="20" fillId="14" borderId="34" xfId="0" applyFont="1" applyFill="1" applyBorder="1"/>
    <xf numFmtId="0" fontId="26" fillId="0" borderId="0" xfId="0" applyFont="1" applyAlignment="1">
      <alignment horizontal="left" vertical="center"/>
    </xf>
    <xf numFmtId="0" fontId="20" fillId="0" borderId="36" xfId="0" applyFont="1" applyBorder="1"/>
    <xf numFmtId="0" fontId="20" fillId="0" borderId="37" xfId="0" applyFont="1" applyBorder="1"/>
    <xf numFmtId="0" fontId="20" fillId="0" borderId="38" xfId="0" applyFont="1" applyBorder="1"/>
    <xf numFmtId="0" fontId="20" fillId="0" borderId="39" xfId="0" applyFont="1" applyBorder="1"/>
    <xf numFmtId="167" fontId="20" fillId="0" borderId="0" xfId="10" applyNumberFormat="1" applyFont="1"/>
    <xf numFmtId="0" fontId="20" fillId="0" borderId="0" xfId="0" applyFont="1" applyAlignment="1">
      <alignment vertical="center"/>
    </xf>
    <xf numFmtId="0" fontId="20" fillId="0" borderId="0" xfId="0" applyFont="1" applyAlignment="1">
      <alignment horizontal="center" vertical="center"/>
    </xf>
    <xf numFmtId="9" fontId="20" fillId="0" borderId="0" xfId="9" applyFont="1" applyAlignment="1">
      <alignment horizontal="center" vertical="center"/>
    </xf>
    <xf numFmtId="9" fontId="20" fillId="0" borderId="0" xfId="0" applyNumberFormat="1" applyFont="1" applyAlignment="1">
      <alignment horizontal="center" vertical="center"/>
    </xf>
    <xf numFmtId="0" fontId="34" fillId="0" borderId="0" xfId="0" applyFont="1"/>
    <xf numFmtId="170" fontId="8" fillId="0" borderId="0" xfId="0" applyNumberFormat="1" applyFont="1" applyProtection="1">
      <protection locked="0"/>
    </xf>
    <xf numFmtId="170" fontId="8" fillId="0" borderId="11" xfId="0" applyNumberFormat="1" applyFont="1" applyBorder="1" applyProtection="1">
      <protection locked="0"/>
    </xf>
    <xf numFmtId="170" fontId="8" fillId="0" borderId="0" xfId="9" applyNumberFormat="1" applyFont="1" applyProtection="1">
      <protection locked="0"/>
    </xf>
    <xf numFmtId="0" fontId="35" fillId="14" borderId="25" xfId="0" applyFont="1" applyFill="1" applyBorder="1"/>
    <xf numFmtId="0" fontId="8" fillId="0" borderId="35" xfId="0" applyFont="1" applyBorder="1" applyAlignment="1">
      <alignment horizontal="left" vertical="top"/>
    </xf>
    <xf numFmtId="0" fontId="8" fillId="0" borderId="35" xfId="0" applyFont="1" applyBorder="1" applyAlignment="1">
      <alignment horizontal="left" vertical="center"/>
    </xf>
    <xf numFmtId="1" fontId="8" fillId="0" borderId="24" xfId="0" applyNumberFormat="1" applyFont="1" applyBorder="1" applyAlignment="1">
      <alignment horizontal="center" vertical="center"/>
    </xf>
    <xf numFmtId="0" fontId="20" fillId="2" borderId="0" xfId="0" applyFont="1" applyFill="1" applyAlignment="1">
      <alignment vertical="center"/>
    </xf>
    <xf numFmtId="0" fontId="8" fillId="0" borderId="35" xfId="0" applyFont="1" applyBorder="1" applyAlignment="1">
      <alignment horizontal="left"/>
    </xf>
    <xf numFmtId="0" fontId="8" fillId="0" borderId="37" xfId="0" applyFont="1" applyBorder="1" applyAlignment="1">
      <alignment horizontal="left" vertical="top"/>
    </xf>
    <xf numFmtId="3" fontId="22" fillId="18" borderId="21" xfId="0" applyNumberFormat="1" applyFont="1" applyFill="1" applyBorder="1" applyAlignment="1" applyProtection="1">
      <alignment horizontal="center" vertical="center" wrapText="1" readingOrder="1"/>
      <protection locked="0"/>
    </xf>
    <xf numFmtId="3" fontId="22" fillId="19" borderId="21" xfId="0" applyNumberFormat="1" applyFont="1" applyFill="1" applyBorder="1" applyAlignment="1" applyProtection="1">
      <alignment horizontal="center" vertical="center" wrapText="1" readingOrder="1"/>
      <protection locked="0"/>
    </xf>
    <xf numFmtId="169" fontId="11" fillId="0" borderId="9" xfId="2" applyNumberFormat="1" applyFont="1" applyBorder="1" applyAlignment="1">
      <alignment horizontal="center" vertical="center"/>
    </xf>
    <xf numFmtId="169" fontId="11" fillId="0" borderId="7" xfId="2" applyNumberFormat="1" applyFont="1" applyBorder="1" applyAlignment="1">
      <alignment horizontal="center" vertical="center"/>
    </xf>
    <xf numFmtId="0" fontId="30" fillId="21" borderId="51" xfId="0" applyFont="1" applyFill="1" applyBorder="1" applyAlignment="1">
      <alignment horizontal="center" vertical="center"/>
    </xf>
    <xf numFmtId="0" fontId="30" fillId="21" borderId="0" xfId="0" applyFont="1" applyFill="1" applyAlignment="1">
      <alignment horizontal="center" vertical="center"/>
    </xf>
    <xf numFmtId="0" fontId="30" fillId="21" borderId="51" xfId="0" applyFont="1" applyFill="1" applyBorder="1" applyAlignment="1">
      <alignment horizontal="center" vertical="center" wrapText="1"/>
    </xf>
    <xf numFmtId="169" fontId="18" fillId="14" borderId="7" xfId="6" applyNumberFormat="1" applyFont="1" applyFill="1" applyBorder="1" applyAlignment="1">
      <alignment horizontal="center" vertical="center"/>
    </xf>
    <xf numFmtId="169" fontId="18" fillId="14" borderId="0" xfId="6" applyNumberFormat="1" applyFont="1" applyFill="1" applyAlignment="1">
      <alignment horizontal="center" vertical="center"/>
    </xf>
    <xf numFmtId="2" fontId="18" fillId="14" borderId="10" xfId="6" applyNumberFormat="1" applyFont="1" applyFill="1" applyBorder="1" applyAlignment="1">
      <alignment horizontal="center" vertical="center"/>
    </xf>
    <xf numFmtId="1" fontId="8" fillId="14" borderId="6" xfId="1" applyNumberFormat="1" applyFont="1" applyFill="1" applyBorder="1" applyAlignment="1" applyProtection="1">
      <alignment horizontal="center" vertical="center"/>
      <protection locked="0"/>
    </xf>
    <xf numFmtId="9" fontId="8" fillId="14" borderId="7" xfId="9" applyFont="1" applyFill="1" applyBorder="1"/>
    <xf numFmtId="1" fontId="8" fillId="14" borderId="0" xfId="1" applyNumberFormat="1" applyFont="1" applyFill="1" applyAlignment="1" applyProtection="1">
      <alignment horizontal="center" vertical="center"/>
      <protection locked="0"/>
    </xf>
    <xf numFmtId="0" fontId="8" fillId="14" borderId="0" xfId="0" applyFont="1" applyFill="1" applyAlignment="1" applyProtection="1">
      <alignment horizontal="center" vertical="center"/>
      <protection locked="0"/>
    </xf>
    <xf numFmtId="0" fontId="8" fillId="14" borderId="11" xfId="0" applyFont="1" applyFill="1" applyBorder="1" applyAlignment="1" applyProtection="1">
      <alignment horizontal="center" vertical="center"/>
      <protection locked="0"/>
    </xf>
    <xf numFmtId="167" fontId="8" fillId="14" borderId="0" xfId="10" applyNumberFormat="1" applyFont="1" applyFill="1" applyAlignment="1" applyProtection="1">
      <alignment horizontal="center" vertical="center"/>
      <protection locked="0"/>
    </xf>
    <xf numFmtId="167" fontId="8" fillId="14" borderId="10" xfId="10" applyNumberFormat="1" applyFont="1" applyFill="1" applyBorder="1" applyAlignment="1" applyProtection="1">
      <alignment horizontal="center" vertical="center"/>
      <protection locked="0"/>
    </xf>
    <xf numFmtId="169" fontId="8" fillId="14" borderId="7" xfId="9" applyNumberFormat="1" applyFont="1" applyFill="1" applyBorder="1" applyAlignment="1">
      <alignment horizontal="center"/>
    </xf>
    <xf numFmtId="0" fontId="8" fillId="14" borderId="10" xfId="0" applyFont="1" applyFill="1" applyBorder="1" applyAlignment="1" applyProtection="1">
      <alignment horizontal="center" vertical="center"/>
      <protection locked="0"/>
    </xf>
    <xf numFmtId="0" fontId="8" fillId="14" borderId="13" xfId="0" applyFont="1" applyFill="1" applyBorder="1" applyAlignment="1" applyProtection="1">
      <alignment horizontal="center" vertical="center"/>
      <protection locked="0"/>
    </xf>
    <xf numFmtId="167" fontId="20" fillId="0" borderId="7" xfId="10" applyNumberFormat="1" applyFont="1" applyBorder="1"/>
    <xf numFmtId="167" fontId="20" fillId="0" borderId="10" xfId="10" applyNumberFormat="1" applyFont="1" applyBorder="1"/>
    <xf numFmtId="170" fontId="20" fillId="0" borderId="0" xfId="10" applyNumberFormat="1" applyFont="1"/>
    <xf numFmtId="0" fontId="8" fillId="3" borderId="12" xfId="0" applyFont="1" applyFill="1" applyBorder="1" applyAlignment="1" applyProtection="1">
      <alignment horizontal="center" vertical="center" wrapText="1"/>
      <protection locked="0"/>
    </xf>
    <xf numFmtId="0" fontId="8" fillId="3" borderId="11" xfId="0" applyFont="1" applyFill="1" applyBorder="1" applyAlignment="1" applyProtection="1">
      <alignment horizontal="center" vertical="center" wrapText="1"/>
      <protection locked="0"/>
    </xf>
    <xf numFmtId="0" fontId="8" fillId="3" borderId="72" xfId="0" applyFont="1" applyFill="1" applyBorder="1" applyAlignment="1" applyProtection="1">
      <alignment horizontal="center" vertical="center" wrapText="1"/>
      <protection locked="0"/>
    </xf>
    <xf numFmtId="167" fontId="20" fillId="0" borderId="36" xfId="10" applyNumberFormat="1" applyFont="1" applyBorder="1"/>
    <xf numFmtId="170" fontId="20" fillId="0" borderId="7" xfId="10" applyNumberFormat="1" applyFont="1" applyBorder="1"/>
    <xf numFmtId="170" fontId="20" fillId="0" borderId="36" xfId="10" applyNumberFormat="1" applyFont="1" applyBorder="1"/>
    <xf numFmtId="43" fontId="0" fillId="0" borderId="0" xfId="0" applyNumberFormat="1" applyProtection="1">
      <protection locked="0"/>
    </xf>
    <xf numFmtId="171" fontId="20" fillId="5" borderId="9" xfId="10" applyNumberFormat="1" applyFont="1" applyFill="1" applyBorder="1"/>
    <xf numFmtId="171" fontId="20" fillId="5" borderId="74" xfId="10" applyNumberFormat="1" applyFont="1" applyFill="1" applyBorder="1"/>
    <xf numFmtId="171" fontId="20" fillId="5" borderId="6" xfId="10" applyNumberFormat="1" applyFont="1" applyFill="1" applyBorder="1"/>
    <xf numFmtId="171" fontId="20" fillId="5" borderId="8" xfId="10" applyNumberFormat="1" applyFont="1" applyFill="1" applyBorder="1"/>
    <xf numFmtId="171" fontId="20" fillId="5" borderId="7" xfId="10" applyNumberFormat="1" applyFont="1" applyFill="1" applyBorder="1"/>
    <xf numFmtId="171" fontId="20" fillId="5" borderId="36" xfId="10" applyNumberFormat="1" applyFont="1" applyFill="1" applyBorder="1"/>
    <xf numFmtId="171" fontId="20" fillId="5" borderId="0" xfId="10" applyNumberFormat="1" applyFont="1" applyFill="1"/>
    <xf numFmtId="171" fontId="20" fillId="5" borderId="10" xfId="10" applyNumberFormat="1" applyFont="1" applyFill="1" applyBorder="1"/>
    <xf numFmtId="0" fontId="8" fillId="3" borderId="7" xfId="0" applyFont="1" applyFill="1" applyBorder="1" applyAlignment="1" applyProtection="1">
      <alignment horizontal="center" vertical="center" wrapText="1"/>
      <protection locked="0"/>
    </xf>
    <xf numFmtId="0" fontId="8" fillId="3" borderId="36" xfId="0" applyFont="1" applyFill="1" applyBorder="1" applyAlignment="1" applyProtection="1">
      <alignment horizontal="center" vertical="center" wrapText="1"/>
      <protection locked="0"/>
    </xf>
    <xf numFmtId="0" fontId="8" fillId="3" borderId="0" xfId="0" applyFont="1" applyFill="1" applyAlignment="1" applyProtection="1">
      <alignment horizontal="center" vertical="center" wrapText="1"/>
      <protection locked="0"/>
    </xf>
    <xf numFmtId="0" fontId="8" fillId="3" borderId="10" xfId="0" applyFont="1" applyFill="1" applyBorder="1" applyAlignment="1" applyProtection="1">
      <alignment horizontal="center" vertical="center" wrapText="1"/>
      <protection locked="0"/>
    </xf>
    <xf numFmtId="0" fontId="0" fillId="0" borderId="7" xfId="0" applyBorder="1"/>
    <xf numFmtId="170" fontId="20" fillId="0" borderId="10" xfId="10" applyNumberFormat="1" applyFont="1" applyBorder="1"/>
    <xf numFmtId="0" fontId="8" fillId="3" borderId="13" xfId="0" applyFont="1" applyFill="1" applyBorder="1" applyAlignment="1" applyProtection="1">
      <alignment horizontal="center" vertical="center" wrapText="1"/>
      <protection locked="0"/>
    </xf>
    <xf numFmtId="171" fontId="20" fillId="5" borderId="35" xfId="10" applyNumberFormat="1" applyFont="1" applyFill="1" applyBorder="1"/>
    <xf numFmtId="0" fontId="8" fillId="3" borderId="69" xfId="0" applyFont="1" applyFill="1" applyBorder="1" applyAlignment="1" applyProtection="1">
      <alignment horizontal="center" vertical="center" wrapText="1"/>
      <protection locked="0"/>
    </xf>
    <xf numFmtId="0" fontId="8" fillId="3" borderId="71" xfId="0" applyFont="1" applyFill="1" applyBorder="1" applyAlignment="1" applyProtection="1">
      <alignment horizontal="center" vertical="center" wrapText="1"/>
      <protection locked="0"/>
    </xf>
    <xf numFmtId="0" fontId="8" fillId="3" borderId="94" xfId="0" applyFont="1" applyFill="1" applyBorder="1" applyAlignment="1" applyProtection="1">
      <alignment horizontal="center" vertical="center" wrapText="1"/>
      <protection locked="0"/>
    </xf>
    <xf numFmtId="0" fontId="8" fillId="3" borderId="93" xfId="0" applyFont="1" applyFill="1" applyBorder="1" applyAlignment="1" applyProtection="1">
      <alignment horizontal="center" vertical="center" wrapText="1"/>
      <protection locked="0"/>
    </xf>
    <xf numFmtId="0" fontId="37" fillId="25" borderId="1" xfId="0" applyFont="1" applyFill="1" applyBorder="1" applyAlignment="1">
      <alignment horizontal="center" vertical="center"/>
    </xf>
    <xf numFmtId="167" fontId="8" fillId="14" borderId="9" xfId="10" applyNumberFormat="1" applyFont="1" applyFill="1" applyBorder="1" applyAlignment="1" applyProtection="1">
      <alignment horizontal="center" vertical="center"/>
      <protection locked="0"/>
    </xf>
    <xf numFmtId="167" fontId="8" fillId="14" borderId="6" xfId="10" applyNumberFormat="1" applyFont="1" applyFill="1" applyBorder="1" applyAlignment="1" applyProtection="1">
      <alignment horizontal="center" vertical="center"/>
      <protection locked="0"/>
    </xf>
    <xf numFmtId="167" fontId="8" fillId="14" borderId="7" xfId="10" applyNumberFormat="1" applyFont="1" applyFill="1" applyBorder="1" applyAlignment="1" applyProtection="1">
      <alignment horizontal="center" vertical="center"/>
      <protection locked="0"/>
    </xf>
    <xf numFmtId="167" fontId="12" fillId="14" borderId="0" xfId="10" applyNumberFormat="1" applyFont="1" applyFill="1" applyAlignment="1" applyProtection="1">
      <alignment horizontal="center" vertical="center"/>
      <protection locked="0"/>
    </xf>
    <xf numFmtId="167" fontId="8" fillId="14" borderId="0" xfId="5" applyNumberFormat="1" applyFont="1" applyFill="1" applyAlignment="1" applyProtection="1">
      <alignment horizontal="center" vertical="center"/>
      <protection locked="0"/>
    </xf>
    <xf numFmtId="167" fontId="18" fillId="14" borderId="0" xfId="10" applyNumberFormat="1" applyFont="1" applyFill="1" applyAlignment="1" applyProtection="1">
      <alignment horizontal="center" vertical="center"/>
      <protection locked="0"/>
    </xf>
    <xf numFmtId="0" fontId="0" fillId="14" borderId="0" xfId="0" applyFill="1" applyProtection="1">
      <protection locked="0"/>
    </xf>
    <xf numFmtId="0" fontId="8" fillId="14" borderId="0" xfId="0" applyFont="1" applyFill="1" applyProtection="1">
      <protection locked="0"/>
    </xf>
    <xf numFmtId="170" fontId="8" fillId="14" borderId="9" xfId="5" applyNumberFormat="1" applyFont="1" applyFill="1" applyBorder="1" applyAlignment="1" applyProtection="1">
      <alignment horizontal="center" vertical="center"/>
      <protection locked="0"/>
    </xf>
    <xf numFmtId="170" fontId="8" fillId="14" borderId="6" xfId="5" applyNumberFormat="1" applyFont="1" applyFill="1" applyBorder="1" applyAlignment="1" applyProtection="1">
      <alignment horizontal="center" vertical="center"/>
      <protection locked="0"/>
    </xf>
    <xf numFmtId="170" fontId="8" fillId="14" borderId="7" xfId="5" applyNumberFormat="1" applyFont="1" applyFill="1" applyBorder="1" applyAlignment="1" applyProtection="1">
      <alignment horizontal="center" vertical="center"/>
      <protection locked="0"/>
    </xf>
    <xf numFmtId="170" fontId="8" fillId="14" borderId="0" xfId="3" applyNumberFormat="1" applyFont="1" applyFill="1" applyAlignment="1" applyProtection="1">
      <alignment horizontal="center" vertical="center"/>
      <protection locked="0"/>
    </xf>
    <xf numFmtId="170" fontId="8" fillId="14" borderId="0" xfId="5" applyNumberFormat="1" applyFont="1" applyFill="1" applyAlignment="1" applyProtection="1">
      <alignment horizontal="center" vertical="center"/>
      <protection locked="0"/>
    </xf>
    <xf numFmtId="170" fontId="8" fillId="14" borderId="7" xfId="0" applyNumberFormat="1" applyFont="1" applyFill="1" applyBorder="1" applyAlignment="1" applyProtection="1">
      <alignment horizontal="center" vertical="center"/>
      <protection locked="0"/>
    </xf>
    <xf numFmtId="170" fontId="8" fillId="14" borderId="0" xfId="0" applyNumberFormat="1" applyFont="1" applyFill="1" applyAlignment="1" applyProtection="1">
      <alignment horizontal="center" vertical="center"/>
      <protection locked="0"/>
    </xf>
    <xf numFmtId="170" fontId="12" fillId="14" borderId="0" xfId="0" applyNumberFormat="1" applyFont="1" applyFill="1" applyAlignment="1" applyProtection="1">
      <alignment horizontal="center" vertical="center"/>
      <protection locked="0"/>
    </xf>
    <xf numFmtId="170" fontId="8" fillId="14" borderId="0" xfId="0" applyNumberFormat="1" applyFont="1" applyFill="1" applyProtection="1">
      <protection locked="0"/>
    </xf>
    <xf numFmtId="0" fontId="8" fillId="14" borderId="7" xfId="0" applyFont="1" applyFill="1" applyBorder="1" applyProtection="1">
      <protection locked="0"/>
    </xf>
    <xf numFmtId="0" fontId="8" fillId="14" borderId="10" xfId="0" applyFont="1" applyFill="1" applyBorder="1" applyProtection="1">
      <protection locked="0"/>
    </xf>
    <xf numFmtId="167" fontId="8" fillId="14" borderId="7" xfId="5" applyNumberFormat="1" applyFont="1" applyFill="1" applyBorder="1" applyProtection="1">
      <protection locked="0"/>
    </xf>
    <xf numFmtId="167" fontId="8" fillId="14" borderId="0" xfId="5" applyNumberFormat="1" applyFont="1" applyFill="1" applyProtection="1">
      <protection locked="0"/>
    </xf>
    <xf numFmtId="167" fontId="8" fillId="14" borderId="10" xfId="5" applyNumberFormat="1" applyFont="1" applyFill="1" applyBorder="1" applyProtection="1">
      <protection locked="0"/>
    </xf>
    <xf numFmtId="167" fontId="8" fillId="14" borderId="12" xfId="10" applyNumberFormat="1" applyFont="1" applyFill="1" applyBorder="1" applyAlignment="1" applyProtection="1">
      <alignment horizontal="center" vertical="center"/>
      <protection locked="0"/>
    </xf>
    <xf numFmtId="167" fontId="8" fillId="14" borderId="11" xfId="10" applyNumberFormat="1" applyFont="1" applyFill="1" applyBorder="1" applyAlignment="1" applyProtection="1">
      <alignment horizontal="center" vertical="center"/>
      <protection locked="0"/>
    </xf>
    <xf numFmtId="167" fontId="8" fillId="14" borderId="13" xfId="10" applyNumberFormat="1" applyFont="1" applyFill="1" applyBorder="1" applyAlignment="1" applyProtection="1">
      <alignment horizontal="center" vertical="center"/>
      <protection locked="0"/>
    </xf>
    <xf numFmtId="170" fontId="8" fillId="14" borderId="11" xfId="0" applyNumberFormat="1" applyFont="1" applyFill="1" applyBorder="1" applyAlignment="1" applyProtection="1">
      <alignment horizontal="center" vertical="center"/>
      <protection locked="0"/>
    </xf>
    <xf numFmtId="0" fontId="30" fillId="25" borderId="1" xfId="0" applyFont="1" applyFill="1" applyBorder="1"/>
    <xf numFmtId="9" fontId="8" fillId="0" borderId="0" xfId="9" applyFont="1" applyProtection="1">
      <protection locked="0"/>
    </xf>
    <xf numFmtId="169" fontId="8" fillId="0" borderId="0" xfId="9" applyNumberFormat="1" applyFont="1" applyAlignment="1" applyProtection="1">
      <alignment horizontal="center"/>
      <protection locked="0"/>
    </xf>
    <xf numFmtId="169" fontId="8" fillId="14" borderId="12" xfId="9" applyNumberFormat="1" applyFont="1" applyFill="1" applyBorder="1" applyAlignment="1">
      <alignment horizontal="center"/>
    </xf>
    <xf numFmtId="169" fontId="0" fillId="0" borderId="0" xfId="0" applyNumberFormat="1"/>
    <xf numFmtId="0" fontId="30" fillId="26" borderId="1" xfId="0" applyFont="1" applyFill="1" applyBorder="1"/>
    <xf numFmtId="0" fontId="37" fillId="26" borderId="1" xfId="0" applyFont="1" applyFill="1" applyBorder="1" applyAlignment="1">
      <alignment horizontal="center" vertical="center"/>
    </xf>
    <xf numFmtId="0" fontId="19" fillId="27" borderId="1" xfId="0" applyFont="1" applyFill="1" applyBorder="1" applyAlignment="1">
      <alignment horizontal="center" vertical="center"/>
    </xf>
    <xf numFmtId="9" fontId="1" fillId="0" borderId="0" xfId="9"/>
    <xf numFmtId="0" fontId="20" fillId="0" borderId="7" xfId="0" applyFont="1" applyBorder="1"/>
    <xf numFmtId="0" fontId="20" fillId="0" borderId="103" xfId="0" applyFont="1" applyBorder="1"/>
    <xf numFmtId="1" fontId="8" fillId="2" borderId="24" xfId="0" applyNumberFormat="1" applyFont="1" applyFill="1" applyBorder="1" applyAlignment="1">
      <alignment horizontal="center" vertical="center"/>
    </xf>
    <xf numFmtId="0" fontId="0" fillId="0" borderId="11" xfId="0" applyBorder="1"/>
    <xf numFmtId="0" fontId="0" fillId="0" borderId="0" xfId="0" applyAlignment="1" applyProtection="1">
      <alignment horizontal="center" vertical="center"/>
      <protection locked="0"/>
    </xf>
    <xf numFmtId="167" fontId="8" fillId="0" borderId="11" xfId="10" applyNumberFormat="1" applyFont="1" applyBorder="1" applyProtection="1">
      <protection locked="0"/>
    </xf>
    <xf numFmtId="167" fontId="8" fillId="0" borderId="12" xfId="10" applyNumberFormat="1" applyFont="1" applyBorder="1" applyProtection="1">
      <protection locked="0"/>
    </xf>
    <xf numFmtId="167" fontId="20" fillId="0" borderId="12" xfId="10" applyNumberFormat="1" applyFont="1" applyBorder="1"/>
    <xf numFmtId="167" fontId="20" fillId="0" borderId="72" xfId="10" applyNumberFormat="1" applyFont="1" applyBorder="1"/>
    <xf numFmtId="167" fontId="20" fillId="0" borderId="11" xfId="10" applyNumberFormat="1" applyFont="1" applyBorder="1"/>
    <xf numFmtId="167" fontId="20" fillId="0" borderId="13" xfId="10" applyNumberFormat="1" applyFont="1" applyBorder="1"/>
    <xf numFmtId="170" fontId="20" fillId="0" borderId="12" xfId="10" applyNumberFormat="1" applyFont="1" applyBorder="1"/>
    <xf numFmtId="170" fontId="20" fillId="0" borderId="72" xfId="10" applyNumberFormat="1" applyFont="1" applyBorder="1"/>
    <xf numFmtId="170" fontId="20" fillId="0" borderId="11" xfId="10" applyNumberFormat="1" applyFont="1" applyBorder="1"/>
    <xf numFmtId="170" fontId="20" fillId="0" borderId="13" xfId="10" applyNumberFormat="1" applyFont="1" applyBorder="1"/>
    <xf numFmtId="167" fontId="8" fillId="0" borderId="13" xfId="10" applyNumberFormat="1" applyFont="1" applyBorder="1" applyAlignment="1" applyProtection="1">
      <alignment horizontal="center" vertical="center"/>
      <protection locked="0"/>
    </xf>
    <xf numFmtId="167" fontId="11" fillId="0" borderId="0" xfId="10" applyNumberFormat="1" applyFont="1" applyAlignment="1">
      <alignment horizontal="center" vertical="center"/>
    </xf>
    <xf numFmtId="43" fontId="11" fillId="0" borderId="0" xfId="10" applyFont="1" applyAlignment="1">
      <alignment horizontal="center" vertical="center"/>
    </xf>
    <xf numFmtId="43" fontId="11" fillId="0" borderId="7" xfId="10" applyFont="1" applyBorder="1" applyAlignment="1">
      <alignment horizontal="center" vertical="center"/>
    </xf>
    <xf numFmtId="43" fontId="11" fillId="0" borderId="10" xfId="10" applyFont="1" applyBorder="1" applyAlignment="1">
      <alignment horizontal="center" vertical="center"/>
    </xf>
    <xf numFmtId="167" fontId="11" fillId="0" borderId="0" xfId="5" applyNumberFormat="1" applyFont="1" applyAlignment="1">
      <alignment horizontal="center"/>
    </xf>
    <xf numFmtId="169" fontId="8" fillId="0" borderId="12" xfId="6" applyNumberFormat="1" applyFont="1" applyBorder="1" applyAlignment="1" applyProtection="1">
      <alignment horizontal="center" vertical="center"/>
      <protection locked="0"/>
    </xf>
    <xf numFmtId="169" fontId="8" fillId="14" borderId="11" xfId="9" applyNumberFormat="1" applyFont="1" applyFill="1" applyBorder="1" applyAlignment="1">
      <alignment horizontal="center" vertical="center"/>
    </xf>
    <xf numFmtId="10" fontId="11" fillId="0" borderId="10" xfId="2" applyNumberFormat="1" applyFont="1" applyBorder="1" applyAlignment="1">
      <alignment horizontal="center" vertical="center"/>
    </xf>
    <xf numFmtId="10" fontId="11" fillId="0" borderId="0" xfId="2" applyNumberFormat="1" applyFont="1" applyAlignment="1">
      <alignment horizontal="center" vertical="center"/>
    </xf>
    <xf numFmtId="169" fontId="11" fillId="0" borderId="0" xfId="6" applyNumberFormat="1" applyFont="1" applyAlignment="1">
      <alignment horizontal="center" vertical="center"/>
    </xf>
    <xf numFmtId="2" fontId="11" fillId="0" borderId="0" xfId="6" applyNumberFormat="1" applyFont="1" applyAlignment="1">
      <alignment horizontal="center" vertical="center"/>
    </xf>
    <xf numFmtId="9" fontId="11" fillId="0" borderId="0" xfId="6" applyFont="1" applyAlignment="1">
      <alignment horizontal="center"/>
    </xf>
    <xf numFmtId="0" fontId="41" fillId="15" borderId="21" xfId="0" applyFont="1" applyFill="1" applyBorder="1" applyAlignment="1">
      <alignment horizontal="center" vertical="center" wrapText="1" readingOrder="1"/>
    </xf>
    <xf numFmtId="0" fontId="41" fillId="15" borderId="27" xfId="0" applyFont="1" applyFill="1" applyBorder="1" applyAlignment="1">
      <alignment horizontal="center" vertical="center" wrapText="1" readingOrder="1"/>
    </xf>
    <xf numFmtId="170" fontId="8" fillId="0" borderId="12" xfId="0" applyNumberFormat="1" applyFont="1" applyBorder="1" applyAlignment="1" applyProtection="1">
      <alignment horizontal="center" vertical="center"/>
      <protection locked="0"/>
    </xf>
    <xf numFmtId="170" fontId="8" fillId="0" borderId="11" xfId="0" applyNumberFormat="1" applyFont="1" applyBorder="1" applyAlignment="1" applyProtection="1">
      <alignment horizontal="center" vertical="center"/>
      <protection locked="0"/>
    </xf>
    <xf numFmtId="0" fontId="38" fillId="15" borderId="40" xfId="0" applyFont="1" applyFill="1" applyBorder="1" applyAlignment="1">
      <alignment horizontal="center" vertical="center" wrapText="1" readingOrder="1"/>
    </xf>
    <xf numFmtId="0" fontId="38" fillId="15" borderId="41" xfId="0" applyFont="1" applyFill="1" applyBorder="1" applyAlignment="1">
      <alignment horizontal="center" vertical="center" wrapText="1" readingOrder="1"/>
    </xf>
    <xf numFmtId="0" fontId="38" fillId="15" borderId="45" xfId="0" applyFont="1" applyFill="1" applyBorder="1" applyAlignment="1">
      <alignment horizontal="center" vertical="center" wrapText="1" readingOrder="1"/>
    </xf>
    <xf numFmtId="0" fontId="42" fillId="22" borderId="0" xfId="0" applyFont="1" applyFill="1" applyAlignment="1">
      <alignment horizontal="center" vertical="center" wrapText="1" readingOrder="1"/>
    </xf>
    <xf numFmtId="0" fontId="42" fillId="22" borderId="7" xfId="0" applyFont="1" applyFill="1" applyBorder="1" applyAlignment="1">
      <alignment horizontal="center" vertical="center" wrapText="1" readingOrder="1"/>
    </xf>
    <xf numFmtId="0" fontId="42" fillId="22" borderId="10" xfId="0" applyFont="1" applyFill="1" applyBorder="1" applyAlignment="1">
      <alignment horizontal="center" vertical="center" wrapText="1" readingOrder="1"/>
    </xf>
    <xf numFmtId="0" fontId="42" fillId="11" borderId="0" xfId="0" applyFont="1" applyFill="1" applyAlignment="1">
      <alignment horizontal="center" vertical="center" wrapText="1" readingOrder="1"/>
    </xf>
    <xf numFmtId="0" fontId="42" fillId="11" borderId="7" xfId="0" applyFont="1" applyFill="1" applyBorder="1" applyAlignment="1">
      <alignment horizontal="center" vertical="center" wrapText="1" readingOrder="1"/>
    </xf>
    <xf numFmtId="0" fontId="42" fillId="11" borderId="10" xfId="0" applyFont="1" applyFill="1" applyBorder="1" applyAlignment="1">
      <alignment horizontal="center" vertical="center" wrapText="1" readingOrder="1"/>
    </xf>
    <xf numFmtId="0" fontId="42" fillId="22" borderId="12" xfId="0" applyFont="1" applyFill="1" applyBorder="1" applyAlignment="1">
      <alignment horizontal="center" vertical="center" wrapText="1" readingOrder="1"/>
    </xf>
    <xf numFmtId="0" fontId="42" fillId="22" borderId="13" xfId="0" applyFont="1" applyFill="1" applyBorder="1" applyAlignment="1">
      <alignment horizontal="center" vertical="center" wrapText="1" readingOrder="1"/>
    </xf>
    <xf numFmtId="0" fontId="42" fillId="11" borderId="11" xfId="0" applyFont="1" applyFill="1" applyBorder="1" applyAlignment="1">
      <alignment horizontal="center" vertical="center" wrapText="1" readingOrder="1"/>
    </xf>
    <xf numFmtId="0" fontId="38" fillId="15" borderId="18" xfId="0" applyFont="1" applyFill="1" applyBorder="1" applyAlignment="1">
      <alignment horizontal="center" vertical="center" wrapText="1" readingOrder="1"/>
    </xf>
    <xf numFmtId="0" fontId="41" fillId="15" borderId="95" xfId="0" applyFont="1" applyFill="1" applyBorder="1" applyAlignment="1">
      <alignment horizontal="center" vertical="center" wrapText="1" readingOrder="1"/>
    </xf>
    <xf numFmtId="0" fontId="46" fillId="15" borderId="97" xfId="0" applyFont="1" applyFill="1" applyBorder="1" applyAlignment="1">
      <alignment horizontal="center" vertical="center" wrapText="1"/>
    </xf>
    <xf numFmtId="0" fontId="41" fillId="20" borderId="98" xfId="0" applyFont="1" applyFill="1" applyBorder="1" applyAlignment="1">
      <alignment horizontal="center" vertical="center" wrapText="1" readingOrder="1"/>
    </xf>
    <xf numFmtId="0" fontId="48" fillId="18" borderId="0" xfId="0" applyFont="1" applyFill="1" applyAlignment="1">
      <alignment horizontal="center" vertical="center" wrapText="1"/>
    </xf>
    <xf numFmtId="0" fontId="49" fillId="15" borderId="98" xfId="0" applyFont="1" applyFill="1" applyBorder="1" applyAlignment="1">
      <alignment horizontal="center" vertical="center" wrapText="1" readingOrder="1"/>
    </xf>
    <xf numFmtId="0" fontId="40" fillId="15" borderId="98" xfId="0" applyFont="1" applyFill="1" applyBorder="1" applyAlignment="1">
      <alignment horizontal="center" vertical="center" wrapText="1" readingOrder="1"/>
    </xf>
    <xf numFmtId="0" fontId="40" fillId="15" borderId="100" xfId="0" applyFont="1" applyFill="1" applyBorder="1" applyAlignment="1">
      <alignment horizontal="center" vertical="center" wrapText="1" readingOrder="1"/>
    </xf>
    <xf numFmtId="167" fontId="12" fillId="0" borderId="7" xfId="10" applyNumberFormat="1" applyFont="1" applyBorder="1" applyAlignment="1" applyProtection="1">
      <alignment horizontal="center" vertical="center" wrapText="1"/>
      <protection locked="0"/>
    </xf>
    <xf numFmtId="167" fontId="12" fillId="0" borderId="0" xfId="10" applyNumberFormat="1" applyFont="1" applyAlignment="1" applyProtection="1">
      <alignment horizontal="center" vertical="center" wrapText="1"/>
      <protection locked="0"/>
    </xf>
    <xf numFmtId="0" fontId="8" fillId="3" borderId="8" xfId="0" applyFont="1" applyFill="1" applyBorder="1" applyAlignment="1">
      <alignment horizontal="center" vertical="center" wrapText="1"/>
    </xf>
    <xf numFmtId="167" fontId="12" fillId="14" borderId="0" xfId="10" applyNumberFormat="1" applyFont="1" applyFill="1" applyAlignment="1">
      <alignment horizontal="center" vertical="center"/>
    </xf>
    <xf numFmtId="169" fontId="8" fillId="0" borderId="0" xfId="0" applyNumberFormat="1" applyFont="1" applyAlignment="1" applyProtection="1">
      <alignment horizontal="center" vertical="center"/>
      <protection locked="0"/>
    </xf>
    <xf numFmtId="172" fontId="8" fillId="14" borderId="10" xfId="10" applyNumberFormat="1" applyFont="1" applyFill="1" applyBorder="1" applyAlignment="1">
      <alignment horizontal="center" vertical="center"/>
    </xf>
    <xf numFmtId="0" fontId="30" fillId="21" borderId="50" xfId="0" applyFont="1" applyFill="1" applyBorder="1"/>
    <xf numFmtId="0" fontId="39" fillId="16" borderId="21" xfId="0" applyFont="1" applyFill="1" applyBorder="1" applyAlignment="1">
      <alignment horizontal="left" vertical="center" wrapText="1" readingOrder="1"/>
    </xf>
    <xf numFmtId="0" fontId="39" fillId="17" borderId="21" xfId="0" applyFont="1" applyFill="1" applyBorder="1" applyAlignment="1">
      <alignment horizontal="left" vertical="center" wrapText="1" readingOrder="1"/>
    </xf>
    <xf numFmtId="0" fontId="39" fillId="17" borderId="31" xfId="0" applyFont="1" applyFill="1" applyBorder="1" applyAlignment="1">
      <alignment horizontal="left" vertical="center" wrapText="1" readingOrder="1"/>
    </xf>
    <xf numFmtId="0" fontId="38" fillId="20" borderId="44" xfId="0" applyFont="1" applyFill="1" applyBorder="1" applyAlignment="1">
      <alignment horizontal="center" vertical="center" wrapText="1" readingOrder="1"/>
    </xf>
    <xf numFmtId="0" fontId="38" fillId="20" borderId="19" xfId="0" applyFont="1" applyFill="1" applyBorder="1" applyAlignment="1">
      <alignment horizontal="center" vertical="center" wrapText="1" readingOrder="1"/>
    </xf>
    <xf numFmtId="0" fontId="38" fillId="15" borderId="44" xfId="0" applyFont="1" applyFill="1" applyBorder="1" applyAlignment="1">
      <alignment horizontal="center" vertical="center" wrapText="1" readingOrder="1"/>
    </xf>
    <xf numFmtId="0" fontId="38" fillId="15" borderId="19" xfId="0" applyFont="1" applyFill="1" applyBorder="1" applyAlignment="1">
      <alignment horizontal="center" vertical="center" wrapText="1" readingOrder="1"/>
    </xf>
    <xf numFmtId="0" fontId="50" fillId="14" borderId="33" xfId="0" applyFont="1" applyFill="1" applyBorder="1" applyAlignment="1">
      <alignment vertical="center"/>
    </xf>
    <xf numFmtId="0" fontId="51" fillId="15" borderId="78" xfId="0" applyFont="1" applyFill="1" applyBorder="1" applyAlignment="1">
      <alignment horizontal="center" vertical="center" wrapText="1" readingOrder="1"/>
    </xf>
    <xf numFmtId="0" fontId="52" fillId="15" borderId="77" xfId="0" applyFont="1" applyFill="1" applyBorder="1" applyAlignment="1">
      <alignment horizontal="left" vertical="center" wrapText="1" readingOrder="1"/>
    </xf>
    <xf numFmtId="0" fontId="52" fillId="15" borderId="80" xfId="0" applyFont="1" applyFill="1" applyBorder="1" applyAlignment="1">
      <alignment horizontal="left" vertical="center" wrapText="1" readingOrder="1"/>
    </xf>
    <xf numFmtId="167" fontId="8" fillId="0" borderId="12" xfId="5" applyNumberFormat="1" applyFont="1" applyBorder="1" applyAlignment="1" applyProtection="1">
      <alignment horizontal="center" vertical="center"/>
      <protection locked="0"/>
    </xf>
    <xf numFmtId="167" fontId="8" fillId="14" borderId="11" xfId="5" applyNumberFormat="1" applyFont="1" applyFill="1" applyBorder="1" applyAlignment="1">
      <alignment horizontal="center" vertical="center"/>
    </xf>
    <xf numFmtId="170" fontId="8" fillId="0" borderId="11" xfId="3" applyNumberFormat="1" applyFont="1" applyBorder="1" applyAlignment="1" applyProtection="1">
      <alignment horizontal="center" vertical="center"/>
      <protection locked="0"/>
    </xf>
    <xf numFmtId="167" fontId="8" fillId="8" borderId="11" xfId="10" applyNumberFormat="1" applyFont="1" applyFill="1" applyBorder="1" applyAlignment="1" applyProtection="1">
      <alignment horizontal="center" vertical="center"/>
      <protection locked="0"/>
    </xf>
    <xf numFmtId="167" fontId="8" fillId="0" borderId="13" xfId="10" applyNumberFormat="1" applyFont="1" applyBorder="1" applyProtection="1">
      <protection locked="0"/>
    </xf>
    <xf numFmtId="0" fontId="51" fillId="15" borderId="104" xfId="0" applyFont="1" applyFill="1" applyBorder="1" applyAlignment="1">
      <alignment horizontal="center" vertical="center" wrapText="1" readingOrder="1"/>
    </xf>
    <xf numFmtId="0" fontId="51" fillId="15" borderId="105" xfId="0" applyFont="1" applyFill="1" applyBorder="1" applyAlignment="1">
      <alignment horizontal="center" vertical="center" wrapText="1" readingOrder="1"/>
    </xf>
    <xf numFmtId="167" fontId="8" fillId="0" borderId="35" xfId="10" applyNumberFormat="1" applyFont="1" applyBorder="1" applyProtection="1">
      <protection locked="0"/>
    </xf>
    <xf numFmtId="171" fontId="20" fillId="5" borderId="12" xfId="10" applyNumberFormat="1" applyFont="1" applyFill="1" applyBorder="1"/>
    <xf numFmtId="171" fontId="20" fillId="5" borderId="11" xfId="10" applyNumberFormat="1" applyFont="1" applyFill="1" applyBorder="1"/>
    <xf numFmtId="171" fontId="20" fillId="5" borderId="92" xfId="10" applyNumberFormat="1" applyFont="1" applyFill="1" applyBorder="1"/>
    <xf numFmtId="171" fontId="20" fillId="5" borderId="72" xfId="10" applyNumberFormat="1" applyFont="1" applyFill="1" applyBorder="1"/>
    <xf numFmtId="171" fontId="20" fillId="5" borderId="13" xfId="10" applyNumberFormat="1" applyFont="1" applyFill="1" applyBorder="1"/>
    <xf numFmtId="0" fontId="45" fillId="14" borderId="33" xfId="0" applyFont="1" applyFill="1" applyBorder="1" applyAlignment="1">
      <alignment vertical="center"/>
    </xf>
    <xf numFmtId="0" fontId="45" fillId="14" borderId="34" xfId="0" applyFont="1" applyFill="1" applyBorder="1" applyAlignment="1">
      <alignment vertical="center"/>
    </xf>
    <xf numFmtId="0" fontId="45" fillId="0" borderId="0" xfId="0" applyFont="1" applyAlignment="1">
      <alignment horizontal="left" vertical="center"/>
    </xf>
    <xf numFmtId="0" fontId="45" fillId="0" borderId="0" xfId="0" applyFont="1" applyAlignment="1">
      <alignment vertical="center"/>
    </xf>
    <xf numFmtId="0" fontId="45" fillId="0" borderId="36" xfId="0" applyFont="1" applyBorder="1" applyAlignment="1">
      <alignment vertical="center"/>
    </xf>
    <xf numFmtId="0" fontId="45" fillId="0" borderId="36" xfId="0" applyFont="1" applyBorder="1"/>
    <xf numFmtId="0" fontId="45" fillId="0" borderId="38" xfId="0" applyFont="1" applyBorder="1" applyAlignment="1">
      <alignment vertical="center"/>
    </xf>
    <xf numFmtId="0" fontId="45" fillId="0" borderId="39" xfId="0" applyFont="1" applyBorder="1" applyAlignment="1">
      <alignment vertical="center"/>
    </xf>
    <xf numFmtId="0" fontId="8" fillId="2" borderId="6" xfId="0" applyFont="1" applyFill="1" applyBorder="1" applyAlignment="1" applyProtection="1">
      <alignment horizontal="center" vertical="center" wrapText="1"/>
      <protection locked="0"/>
    </xf>
    <xf numFmtId="1" fontId="8" fillId="2" borderId="6" xfId="0" applyNumberFormat="1" applyFont="1" applyFill="1" applyBorder="1" applyAlignment="1" applyProtection="1">
      <alignment horizontal="center" vertical="center" wrapText="1"/>
      <protection locked="0"/>
    </xf>
    <xf numFmtId="167" fontId="53" fillId="0" borderId="7" xfId="5" applyNumberFormat="1" applyFont="1" applyBorder="1" applyAlignment="1" applyProtection="1">
      <alignment horizontal="center" vertical="center"/>
      <protection locked="0"/>
    </xf>
    <xf numFmtId="167" fontId="53" fillId="0" borderId="10" xfId="5" applyNumberFormat="1" applyFont="1" applyBorder="1" applyAlignment="1" applyProtection="1">
      <alignment horizontal="center" vertical="center"/>
      <protection locked="0"/>
    </xf>
    <xf numFmtId="167" fontId="53" fillId="0" borderId="7" xfId="10" applyNumberFormat="1" applyFont="1" applyBorder="1" applyAlignment="1" applyProtection="1">
      <alignment horizontal="center" vertical="center"/>
      <protection locked="0"/>
    </xf>
    <xf numFmtId="167" fontId="53" fillId="14" borderId="0" xfId="0" applyNumberFormat="1" applyFont="1" applyFill="1" applyAlignment="1">
      <alignment horizontal="center"/>
    </xf>
    <xf numFmtId="0" fontId="54" fillId="0" borderId="1" xfId="0" applyFont="1" applyBorder="1"/>
    <xf numFmtId="0" fontId="55" fillId="15" borderId="18" xfId="0" applyFont="1" applyFill="1" applyBorder="1" applyAlignment="1">
      <alignment horizontal="center" vertical="center" wrapText="1" readingOrder="1"/>
    </xf>
    <xf numFmtId="0" fontId="55" fillId="15" borderId="14" xfId="0" applyFont="1" applyFill="1" applyBorder="1" applyAlignment="1">
      <alignment horizontal="center" vertical="center" wrapText="1" readingOrder="1"/>
    </xf>
    <xf numFmtId="0" fontId="55" fillId="15" borderId="16" xfId="0" applyFont="1" applyFill="1" applyBorder="1" applyAlignment="1">
      <alignment horizontal="center" vertical="center" wrapText="1" readingOrder="1"/>
    </xf>
    <xf numFmtId="0" fontId="57" fillId="0" borderId="0" xfId="0" applyFont="1"/>
    <xf numFmtId="167" fontId="20" fillId="0" borderId="9" xfId="10" applyNumberFormat="1" applyFont="1" applyBorder="1"/>
    <xf numFmtId="167" fontId="20" fillId="0" borderId="6" xfId="10" applyNumberFormat="1" applyFont="1" applyBorder="1"/>
    <xf numFmtId="167" fontId="20" fillId="0" borderId="106" xfId="10" applyNumberFormat="1" applyFont="1" applyBorder="1"/>
    <xf numFmtId="167" fontId="20" fillId="0" borderId="74" xfId="10" applyNumberFormat="1" applyFont="1" applyBorder="1"/>
    <xf numFmtId="167" fontId="20" fillId="0" borderId="35" xfId="10" applyNumberFormat="1" applyFont="1" applyBorder="1"/>
    <xf numFmtId="9" fontId="1" fillId="0" borderId="35" xfId="9" applyBorder="1"/>
    <xf numFmtId="170" fontId="20" fillId="0" borderId="35" xfId="10" applyNumberFormat="1" applyFont="1" applyBorder="1"/>
    <xf numFmtId="167" fontId="53" fillId="0" borderId="0" xfId="5" applyNumberFormat="1" applyFont="1" applyAlignment="1" applyProtection="1">
      <alignment horizontal="center" vertical="center"/>
      <protection locked="0"/>
    </xf>
    <xf numFmtId="167" fontId="53" fillId="0" borderId="0" xfId="10" applyNumberFormat="1" applyFont="1" applyProtection="1">
      <protection locked="0"/>
    </xf>
    <xf numFmtId="167" fontId="53" fillId="0" borderId="0" xfId="10" applyNumberFormat="1" applyFont="1" applyAlignment="1" applyProtection="1">
      <alignment horizontal="center" vertical="center"/>
      <protection locked="0"/>
    </xf>
    <xf numFmtId="0" fontId="20" fillId="0" borderId="1" xfId="0" applyFont="1" applyBorder="1" applyAlignment="1">
      <alignment horizontal="center" vertical="center"/>
    </xf>
    <xf numFmtId="175" fontId="58" fillId="8" borderId="7" xfId="0" applyNumberFormat="1" applyFont="1" applyFill="1" applyBorder="1" applyAlignment="1">
      <alignment horizontal="center" vertical="center" wrapText="1" readingOrder="1"/>
    </xf>
    <xf numFmtId="175" fontId="58" fillId="8" borderId="10" xfId="0" applyNumberFormat="1" applyFont="1" applyFill="1" applyBorder="1" applyAlignment="1">
      <alignment horizontal="center" vertical="center" wrapText="1" readingOrder="1"/>
    </xf>
    <xf numFmtId="175" fontId="58" fillId="8" borderId="17" xfId="0" applyNumberFormat="1" applyFont="1" applyFill="1" applyBorder="1" applyAlignment="1">
      <alignment horizontal="center" vertical="center" wrapText="1" readingOrder="1"/>
    </xf>
    <xf numFmtId="175" fontId="59" fillId="8" borderId="44" xfId="0" applyNumberFormat="1" applyFont="1" applyFill="1" applyBorder="1" applyAlignment="1">
      <alignment horizontal="center" vertical="center" wrapText="1" readingOrder="1"/>
    </xf>
    <xf numFmtId="175" fontId="59" fillId="8" borderId="19" xfId="0" applyNumberFormat="1" applyFont="1" applyFill="1" applyBorder="1" applyAlignment="1">
      <alignment horizontal="center" vertical="center" wrapText="1" readingOrder="1"/>
    </xf>
    <xf numFmtId="175" fontId="60" fillId="8" borderId="9" xfId="0" applyNumberFormat="1" applyFont="1" applyFill="1" applyBorder="1" applyAlignment="1">
      <alignment horizontal="center" vertical="center" wrapText="1" readingOrder="1"/>
    </xf>
    <xf numFmtId="175" fontId="60" fillId="8" borderId="10" xfId="0" applyNumberFormat="1" applyFont="1" applyFill="1" applyBorder="1" applyAlignment="1">
      <alignment horizontal="center" vertical="center" wrapText="1" readingOrder="1"/>
    </xf>
    <xf numFmtId="175" fontId="60" fillId="8" borderId="7" xfId="0" applyNumberFormat="1" applyFont="1" applyFill="1" applyBorder="1" applyAlignment="1">
      <alignment horizontal="center" vertical="center" wrapText="1" readingOrder="1"/>
    </xf>
    <xf numFmtId="175" fontId="60" fillId="8" borderId="8" xfId="0" applyNumberFormat="1" applyFont="1" applyFill="1" applyBorder="1" applyAlignment="1">
      <alignment horizontal="center" vertical="center" wrapText="1" readingOrder="1"/>
    </xf>
    <xf numFmtId="9" fontId="60" fillId="8" borderId="44" xfId="9" applyFont="1" applyFill="1" applyBorder="1" applyAlignment="1">
      <alignment horizontal="center"/>
    </xf>
    <xf numFmtId="9" fontId="60" fillId="8" borderId="17" xfId="9" applyFont="1" applyFill="1" applyBorder="1" applyAlignment="1">
      <alignment horizontal="center"/>
    </xf>
    <xf numFmtId="175" fontId="60" fillId="8" borderId="17" xfId="0" applyNumberFormat="1" applyFont="1" applyFill="1" applyBorder="1" applyAlignment="1">
      <alignment horizontal="center" vertical="center" wrapText="1" readingOrder="1"/>
    </xf>
    <xf numFmtId="175" fontId="58" fillId="8" borderId="12" xfId="0" applyNumberFormat="1" applyFont="1" applyFill="1" applyBorder="1" applyAlignment="1">
      <alignment horizontal="center" vertical="center" wrapText="1" readingOrder="1"/>
    </xf>
    <xf numFmtId="175" fontId="58" fillId="8" borderId="13" xfId="0" applyNumberFormat="1" applyFont="1" applyFill="1" applyBorder="1" applyAlignment="1">
      <alignment horizontal="center" vertical="center" wrapText="1" readingOrder="1"/>
    </xf>
    <xf numFmtId="175" fontId="62" fillId="19" borderId="0" xfId="0" applyNumberFormat="1" applyFont="1" applyFill="1" applyAlignment="1">
      <alignment horizontal="center" vertical="center" wrapText="1" readingOrder="1"/>
    </xf>
    <xf numFmtId="175" fontId="62" fillId="19" borderId="99" xfId="0" applyNumberFormat="1" applyFont="1" applyFill="1" applyBorder="1" applyAlignment="1">
      <alignment horizontal="center" vertical="center" wrapText="1" readingOrder="1"/>
    </xf>
    <xf numFmtId="9" fontId="58" fillId="18" borderId="0" xfId="0" applyNumberFormat="1" applyFont="1" applyFill="1" applyAlignment="1">
      <alignment horizontal="center" vertical="center" wrapText="1" readingOrder="1"/>
    </xf>
    <xf numFmtId="9" fontId="58" fillId="18" borderId="99" xfId="0" applyNumberFormat="1" applyFont="1" applyFill="1" applyBorder="1" applyAlignment="1">
      <alignment horizontal="center" vertical="center" wrapText="1" readingOrder="1"/>
    </xf>
    <xf numFmtId="177" fontId="62" fillId="19" borderId="0" xfId="0" applyNumberFormat="1" applyFont="1" applyFill="1" applyAlignment="1">
      <alignment horizontal="center" vertical="center" wrapText="1" readingOrder="1"/>
    </xf>
    <xf numFmtId="177" fontId="62" fillId="19" borderId="99" xfId="0" applyNumberFormat="1" applyFont="1" applyFill="1" applyBorder="1" applyAlignment="1">
      <alignment horizontal="center" vertical="center" wrapText="1" readingOrder="1"/>
    </xf>
    <xf numFmtId="165" fontId="61" fillId="19" borderId="0" xfId="0" applyNumberFormat="1" applyFont="1" applyFill="1" applyAlignment="1">
      <alignment horizontal="center" vertical="center" wrapText="1" readingOrder="1"/>
    </xf>
    <xf numFmtId="165" fontId="61" fillId="19" borderId="99" xfId="0" applyNumberFormat="1" applyFont="1" applyFill="1" applyBorder="1" applyAlignment="1">
      <alignment horizontal="center" vertical="center" wrapText="1" readingOrder="1"/>
    </xf>
    <xf numFmtId="9" fontId="58" fillId="18" borderId="101" xfId="0" applyNumberFormat="1" applyFont="1" applyFill="1" applyBorder="1" applyAlignment="1">
      <alignment horizontal="center" vertical="center" wrapText="1" readingOrder="1"/>
    </xf>
    <xf numFmtId="9" fontId="58" fillId="18" borderId="102" xfId="0" applyNumberFormat="1" applyFont="1" applyFill="1" applyBorder="1" applyAlignment="1">
      <alignment horizontal="center" vertical="center" wrapText="1" readingOrder="1"/>
    </xf>
    <xf numFmtId="9" fontId="64" fillId="23" borderId="78" xfId="0" applyNumberFormat="1" applyFont="1" applyFill="1" applyBorder="1" applyAlignment="1">
      <alignment horizontal="center" vertical="center" wrapText="1" readingOrder="1"/>
    </xf>
    <xf numFmtId="9" fontId="64" fillId="23" borderId="79" xfId="0" applyNumberFormat="1" applyFont="1" applyFill="1" applyBorder="1" applyAlignment="1">
      <alignment horizontal="center" vertical="center" wrapText="1" readingOrder="1"/>
    </xf>
    <xf numFmtId="9" fontId="65" fillId="24" borderId="78" xfId="0" applyNumberFormat="1" applyFont="1" applyFill="1" applyBorder="1" applyAlignment="1">
      <alignment horizontal="center" vertical="center" wrapText="1" readingOrder="1"/>
    </xf>
    <xf numFmtId="9" fontId="65" fillId="24" borderId="79" xfId="0" applyNumberFormat="1" applyFont="1" applyFill="1" applyBorder="1" applyAlignment="1">
      <alignment horizontal="center" vertical="center" wrapText="1" readingOrder="1"/>
    </xf>
    <xf numFmtId="9" fontId="64" fillId="24" borderId="78" xfId="0" applyNumberFormat="1" applyFont="1" applyFill="1" applyBorder="1" applyAlignment="1">
      <alignment horizontal="center" vertical="center" wrapText="1" readingOrder="1"/>
    </xf>
    <xf numFmtId="9" fontId="64" fillId="24" borderId="79" xfId="0" applyNumberFormat="1" applyFont="1" applyFill="1" applyBorder="1" applyAlignment="1">
      <alignment horizontal="center" vertical="center" wrapText="1" readingOrder="1"/>
    </xf>
    <xf numFmtId="0" fontId="65" fillId="23" borderId="78" xfId="0" applyFont="1" applyFill="1" applyBorder="1" applyAlignment="1">
      <alignment horizontal="center" vertical="center" wrapText="1" readingOrder="1"/>
    </xf>
    <xf numFmtId="9" fontId="64" fillId="23" borderId="81" xfId="0" applyNumberFormat="1" applyFont="1" applyFill="1" applyBorder="1" applyAlignment="1">
      <alignment horizontal="center" vertical="center" wrapText="1" readingOrder="1"/>
    </xf>
    <xf numFmtId="9" fontId="64" fillId="23" borderId="82" xfId="0" applyNumberFormat="1" applyFont="1" applyFill="1" applyBorder="1" applyAlignment="1">
      <alignment horizontal="center" vertical="center" wrapText="1" readingOrder="1"/>
    </xf>
    <xf numFmtId="174" fontId="67" fillId="19" borderId="0" xfId="0" applyNumberFormat="1" applyFont="1" applyFill="1" applyAlignment="1">
      <alignment horizontal="center" vertical="center" wrapText="1" readingOrder="1"/>
    </xf>
    <xf numFmtId="174" fontId="67" fillId="19" borderId="10" xfId="0" applyNumberFormat="1" applyFont="1" applyFill="1" applyBorder="1" applyAlignment="1">
      <alignment horizontal="center" vertical="center" wrapText="1" readingOrder="1"/>
    </xf>
    <xf numFmtId="9" fontId="63" fillId="19" borderId="0" xfId="0" applyNumberFormat="1" applyFont="1" applyFill="1" applyAlignment="1">
      <alignment horizontal="center" vertical="center" wrapText="1" readingOrder="1"/>
    </xf>
    <xf numFmtId="9" fontId="68" fillId="19" borderId="0" xfId="0" applyNumberFormat="1" applyFont="1" applyFill="1" applyAlignment="1">
      <alignment horizontal="center" vertical="center" wrapText="1" readingOrder="1"/>
    </xf>
    <xf numFmtId="9" fontId="63" fillId="19" borderId="10" xfId="0" applyNumberFormat="1" applyFont="1" applyFill="1" applyBorder="1" applyAlignment="1">
      <alignment horizontal="center" vertical="center" wrapText="1" readingOrder="1"/>
    </xf>
    <xf numFmtId="178" fontId="67" fillId="18" borderId="0" xfId="0" applyNumberFormat="1" applyFont="1" applyFill="1" applyAlignment="1">
      <alignment horizontal="center" vertical="center" wrapText="1" readingOrder="1"/>
    </xf>
    <xf numFmtId="178" fontId="67" fillId="18" borderId="10" xfId="0" applyNumberFormat="1" applyFont="1" applyFill="1" applyBorder="1" applyAlignment="1">
      <alignment horizontal="center" vertical="center" wrapText="1" readingOrder="1"/>
    </xf>
    <xf numFmtId="9" fontId="63" fillId="18" borderId="0" xfId="0" applyNumberFormat="1" applyFont="1" applyFill="1" applyAlignment="1">
      <alignment horizontal="center" vertical="center" wrapText="1" readingOrder="1"/>
    </xf>
    <xf numFmtId="9" fontId="63" fillId="18" borderId="10" xfId="0" applyNumberFormat="1" applyFont="1" applyFill="1" applyBorder="1" applyAlignment="1">
      <alignment horizontal="center" vertical="center" wrapText="1" readingOrder="1"/>
    </xf>
    <xf numFmtId="165" fontId="63" fillId="19" borderId="0" xfId="0" applyNumberFormat="1" applyFont="1" applyFill="1" applyAlignment="1">
      <alignment horizontal="center" vertical="center" wrapText="1" readingOrder="1"/>
    </xf>
    <xf numFmtId="165" fontId="67" fillId="19" borderId="0" xfId="0" applyNumberFormat="1" applyFont="1" applyFill="1" applyAlignment="1">
      <alignment horizontal="center" vertical="center" wrapText="1" readingOrder="1"/>
    </xf>
    <xf numFmtId="9" fontId="63" fillId="19" borderId="11" xfId="0" applyNumberFormat="1" applyFont="1" applyFill="1" applyBorder="1" applyAlignment="1">
      <alignment horizontal="center" vertical="center" wrapText="1" readingOrder="1"/>
    </xf>
    <xf numFmtId="9" fontId="63" fillId="19" borderId="13" xfId="0" applyNumberFormat="1" applyFont="1" applyFill="1" applyBorder="1" applyAlignment="1">
      <alignment horizontal="center" vertical="center" wrapText="1" readingOrder="1"/>
    </xf>
    <xf numFmtId="0" fontId="67" fillId="18" borderId="42" xfId="0" applyFont="1" applyFill="1" applyBorder="1" applyAlignment="1">
      <alignment horizontal="center" vertical="center" wrapText="1" readingOrder="1"/>
    </xf>
    <xf numFmtId="3" fontId="67" fillId="18" borderId="21" xfId="0" applyNumberFormat="1" applyFont="1" applyFill="1" applyBorder="1" applyAlignment="1">
      <alignment horizontal="center" vertical="center" wrapText="1" readingOrder="1"/>
    </xf>
    <xf numFmtId="9" fontId="68" fillId="18" borderId="27" xfId="0" applyNumberFormat="1" applyFont="1" applyFill="1" applyBorder="1" applyAlignment="1">
      <alignment horizontal="center" vertical="center" wrapText="1" readingOrder="1"/>
    </xf>
    <xf numFmtId="0" fontId="67" fillId="19" borderId="42" xfId="0" applyFont="1" applyFill="1" applyBorder="1" applyAlignment="1">
      <alignment horizontal="center" vertical="center" wrapText="1" readingOrder="1"/>
    </xf>
    <xf numFmtId="3" fontId="67" fillId="19" borderId="21" xfId="0" applyNumberFormat="1" applyFont="1" applyFill="1" applyBorder="1" applyAlignment="1">
      <alignment horizontal="center" vertical="center" wrapText="1" readingOrder="1"/>
    </xf>
    <xf numFmtId="9" fontId="64" fillId="19" borderId="27" xfId="0" applyNumberFormat="1" applyFont="1" applyFill="1" applyBorder="1" applyAlignment="1">
      <alignment horizontal="center" vertical="center" wrapText="1" readingOrder="1"/>
    </xf>
    <xf numFmtId="9" fontId="64" fillId="18" borderId="27" xfId="0" applyNumberFormat="1" applyFont="1" applyFill="1" applyBorder="1" applyAlignment="1">
      <alignment horizontal="center" vertical="center" wrapText="1" readingOrder="1"/>
    </xf>
    <xf numFmtId="9" fontId="63" fillId="19" borderId="27" xfId="0" applyNumberFormat="1" applyFont="1" applyFill="1" applyBorder="1" applyAlignment="1">
      <alignment horizontal="center" vertical="center" wrapText="1" readingOrder="1"/>
    </xf>
    <xf numFmtId="0" fontId="69" fillId="19" borderId="43" xfId="0" applyFont="1" applyFill="1" applyBorder="1" applyAlignment="1">
      <alignment horizontal="center" vertical="center" wrapText="1" readingOrder="1"/>
    </xf>
    <xf numFmtId="3" fontId="69" fillId="19" borderId="31" xfId="0" applyNumberFormat="1" applyFont="1" applyFill="1" applyBorder="1" applyAlignment="1">
      <alignment horizontal="center" vertical="center" wrapText="1" readingOrder="1"/>
    </xf>
    <xf numFmtId="9" fontId="64" fillId="19" borderId="32" xfId="0" applyNumberFormat="1" applyFont="1" applyFill="1" applyBorder="1" applyAlignment="1">
      <alignment horizontal="center" vertical="center" wrapText="1" readingOrder="1"/>
    </xf>
    <xf numFmtId="175" fontId="63" fillId="16" borderId="21" xfId="0" applyNumberFormat="1" applyFont="1" applyFill="1" applyBorder="1" applyAlignment="1">
      <alignment horizontal="center" vertical="center" wrapText="1" readingOrder="1"/>
    </xf>
    <xf numFmtId="9" fontId="66" fillId="16" borderId="21" xfId="0" applyNumberFormat="1" applyFont="1" applyFill="1" applyBorder="1" applyAlignment="1">
      <alignment horizontal="center" vertical="center" wrapText="1" readingOrder="1"/>
    </xf>
    <xf numFmtId="9" fontId="64" fillId="16" borderId="21" xfId="0" applyNumberFormat="1" applyFont="1" applyFill="1" applyBorder="1" applyAlignment="1">
      <alignment horizontal="center" vertical="center" wrapText="1" readingOrder="1"/>
    </xf>
    <xf numFmtId="9" fontId="66" fillId="16" borderId="27" xfId="0" applyNumberFormat="1" applyFont="1" applyFill="1" applyBorder="1" applyAlignment="1">
      <alignment horizontal="center" vertical="center" wrapText="1" readingOrder="1"/>
    </xf>
    <xf numFmtId="175" fontId="63" fillId="17" borderId="21" xfId="0" applyNumberFormat="1" applyFont="1" applyFill="1" applyBorder="1" applyAlignment="1">
      <alignment horizontal="center" vertical="center" wrapText="1" readingOrder="1"/>
    </xf>
    <xf numFmtId="0" fontId="64" fillId="17" borderId="21" xfId="0" applyFont="1" applyFill="1" applyBorder="1" applyAlignment="1">
      <alignment horizontal="center" vertical="center" wrapText="1"/>
    </xf>
    <xf numFmtId="9" fontId="64" fillId="17" borderId="21" xfId="0" applyNumberFormat="1" applyFont="1" applyFill="1" applyBorder="1" applyAlignment="1">
      <alignment horizontal="center" vertical="center" wrapText="1" readingOrder="1"/>
    </xf>
    <xf numFmtId="0" fontId="64" fillId="17" borderId="27" xfId="0" applyFont="1" applyFill="1" applyBorder="1" applyAlignment="1">
      <alignment horizontal="center" vertical="center" wrapText="1"/>
    </xf>
    <xf numFmtId="0" fontId="64" fillId="16" borderId="21" xfId="0" applyFont="1" applyFill="1" applyBorder="1" applyAlignment="1">
      <alignment horizontal="center" vertical="center" wrapText="1"/>
    </xf>
    <xf numFmtId="0" fontId="64" fillId="16" borderId="27" xfId="0" applyFont="1" applyFill="1" applyBorder="1" applyAlignment="1">
      <alignment horizontal="center" vertical="center" wrapText="1"/>
    </xf>
    <xf numFmtId="177" fontId="63" fillId="17" borderId="21" xfId="0" applyNumberFormat="1" applyFont="1" applyFill="1" applyBorder="1" applyAlignment="1">
      <alignment horizontal="center" vertical="center" wrapText="1" readingOrder="1"/>
    </xf>
    <xf numFmtId="165" fontId="63" fillId="16" borderId="21" xfId="0" applyNumberFormat="1" applyFont="1" applyFill="1" applyBorder="1" applyAlignment="1">
      <alignment horizontal="center" vertical="center" wrapText="1" readingOrder="1"/>
    </xf>
    <xf numFmtId="176" fontId="63" fillId="17" borderId="21" xfId="0" applyNumberFormat="1" applyFont="1" applyFill="1" applyBorder="1" applyAlignment="1">
      <alignment horizontal="center" vertical="center" wrapText="1" readingOrder="1"/>
    </xf>
    <xf numFmtId="9" fontId="66" fillId="17" borderId="21" xfId="0" applyNumberFormat="1" applyFont="1" applyFill="1" applyBorder="1" applyAlignment="1">
      <alignment horizontal="center" vertical="center" wrapText="1" readingOrder="1"/>
    </xf>
    <xf numFmtId="9" fontId="66" fillId="17" borderId="27" xfId="0" applyNumberFormat="1" applyFont="1" applyFill="1" applyBorder="1" applyAlignment="1">
      <alignment horizontal="center" vertical="center" wrapText="1" readingOrder="1"/>
    </xf>
    <xf numFmtId="169" fontId="63" fillId="16" borderId="21" xfId="0" applyNumberFormat="1" applyFont="1" applyFill="1" applyBorder="1" applyAlignment="1">
      <alignment horizontal="center" vertical="center" wrapText="1" readingOrder="1"/>
    </xf>
    <xf numFmtId="169" fontId="63" fillId="17" borderId="31" xfId="0" applyNumberFormat="1" applyFont="1" applyFill="1" applyBorder="1" applyAlignment="1">
      <alignment horizontal="center" vertical="center" wrapText="1" readingOrder="1"/>
    </xf>
    <xf numFmtId="0" fontId="62" fillId="18" borderId="42" xfId="0" applyFont="1" applyFill="1" applyBorder="1" applyAlignment="1">
      <alignment horizontal="center" vertical="center" wrapText="1" readingOrder="1"/>
    </xf>
    <xf numFmtId="3" fontId="62" fillId="18" borderId="21" xfId="0" applyNumberFormat="1" applyFont="1" applyFill="1" applyBorder="1" applyAlignment="1">
      <alignment horizontal="center" vertical="center" wrapText="1" readingOrder="1"/>
    </xf>
    <xf numFmtId="9" fontId="70" fillId="18" borderId="27" xfId="0" applyNumberFormat="1" applyFont="1" applyFill="1" applyBorder="1" applyAlignment="1">
      <alignment horizontal="center" vertical="center" wrapText="1" readingOrder="1"/>
    </xf>
    <xf numFmtId="0" fontId="62" fillId="19" borderId="42" xfId="0" applyFont="1" applyFill="1" applyBorder="1" applyAlignment="1">
      <alignment horizontal="center" vertical="center" wrapText="1" readingOrder="1"/>
    </xf>
    <xf numFmtId="3" fontId="62" fillId="19" borderId="21" xfId="0" applyNumberFormat="1" applyFont="1" applyFill="1" applyBorder="1" applyAlignment="1">
      <alignment horizontal="center" vertical="center" wrapText="1" readingOrder="1"/>
    </xf>
    <xf numFmtId="9" fontId="58" fillId="19" borderId="27" xfId="0" applyNumberFormat="1" applyFont="1" applyFill="1" applyBorder="1" applyAlignment="1">
      <alignment horizontal="center" vertical="center" wrapText="1" readingOrder="1"/>
    </xf>
    <xf numFmtId="9" fontId="58" fillId="18" borderId="27" xfId="0" applyNumberFormat="1" applyFont="1" applyFill="1" applyBorder="1" applyAlignment="1">
      <alignment horizontal="center" vertical="center" wrapText="1" readingOrder="1"/>
    </xf>
    <xf numFmtId="9" fontId="61" fillId="19" borderId="27" xfId="0" applyNumberFormat="1" applyFont="1" applyFill="1" applyBorder="1" applyAlignment="1">
      <alignment horizontal="center" vertical="center" wrapText="1" readingOrder="1"/>
    </xf>
    <xf numFmtId="0" fontId="71" fillId="19" borderId="43" xfId="0" applyFont="1" applyFill="1" applyBorder="1" applyAlignment="1">
      <alignment horizontal="center" vertical="center" wrapText="1" readingOrder="1"/>
    </xf>
    <xf numFmtId="3" fontId="71" fillId="19" borderId="31" xfId="0" applyNumberFormat="1" applyFont="1" applyFill="1" applyBorder="1" applyAlignment="1">
      <alignment horizontal="center" vertical="center" wrapText="1" readingOrder="1"/>
    </xf>
    <xf numFmtId="9" fontId="58" fillId="19" borderId="32" xfId="0" applyNumberFormat="1" applyFont="1" applyFill="1" applyBorder="1" applyAlignment="1">
      <alignment horizontal="center" vertical="center" wrapText="1" readingOrder="1"/>
    </xf>
    <xf numFmtId="0" fontId="65" fillId="23" borderId="107" xfId="0" applyFont="1" applyFill="1" applyBorder="1" applyAlignment="1">
      <alignment horizontal="center" vertical="center" wrapText="1" readingOrder="1"/>
    </xf>
    <xf numFmtId="0" fontId="65" fillId="23" borderId="108" xfId="0" applyFont="1" applyFill="1" applyBorder="1" applyAlignment="1">
      <alignment horizontal="center" vertical="center" wrapText="1" readingOrder="1"/>
    </xf>
    <xf numFmtId="0" fontId="65" fillId="17" borderId="109" xfId="0" applyFont="1" applyFill="1" applyBorder="1" applyAlignment="1">
      <alignment horizontal="center" vertical="center" wrapText="1" readingOrder="1"/>
    </xf>
    <xf numFmtId="0" fontId="65" fillId="17" borderId="110" xfId="0" applyFont="1" applyFill="1" applyBorder="1" applyAlignment="1">
      <alignment horizontal="center" vertical="center" wrapText="1" readingOrder="1"/>
    </xf>
    <xf numFmtId="10" fontId="1" fillId="0" borderId="0" xfId="9" applyNumberFormat="1"/>
    <xf numFmtId="0" fontId="63" fillId="26" borderId="42" xfId="0" applyFont="1" applyFill="1" applyBorder="1" applyAlignment="1">
      <alignment horizontal="center" vertical="center" wrapText="1" readingOrder="1"/>
    </xf>
    <xf numFmtId="175" fontId="63" fillId="28" borderId="78" xfId="0" applyNumberFormat="1" applyFont="1" applyFill="1" applyBorder="1" applyAlignment="1">
      <alignment horizontal="center" vertical="center" wrapText="1" readingOrder="1"/>
    </xf>
    <xf numFmtId="169" fontId="63" fillId="28" borderId="78" xfId="0" applyNumberFormat="1" applyFont="1" applyFill="1" applyBorder="1" applyAlignment="1">
      <alignment horizontal="center" vertical="center" wrapText="1" readingOrder="1"/>
    </xf>
    <xf numFmtId="179" fontId="63" fillId="28" borderId="81" xfId="0" applyNumberFormat="1" applyFont="1" applyFill="1" applyBorder="1" applyAlignment="1">
      <alignment horizontal="center" vertical="center" wrapText="1" readingOrder="1"/>
    </xf>
    <xf numFmtId="175" fontId="63" fillId="27" borderId="78" xfId="0" applyNumberFormat="1" applyFont="1" applyFill="1" applyBorder="1" applyAlignment="1">
      <alignment horizontal="center" vertical="center" wrapText="1" readingOrder="1"/>
    </xf>
    <xf numFmtId="169" fontId="63" fillId="27" borderId="78" xfId="0" applyNumberFormat="1" applyFont="1" applyFill="1" applyBorder="1" applyAlignment="1">
      <alignment horizontal="center" vertical="center" wrapText="1" readingOrder="1"/>
    </xf>
    <xf numFmtId="179" fontId="63" fillId="27" borderId="81" xfId="0" applyNumberFormat="1" applyFont="1" applyFill="1" applyBorder="1" applyAlignment="1">
      <alignment horizontal="center" vertical="center" wrapText="1" readingOrder="1"/>
    </xf>
    <xf numFmtId="175" fontId="63" fillId="29" borderId="78" xfId="0" applyNumberFormat="1" applyFont="1" applyFill="1" applyBorder="1" applyAlignment="1">
      <alignment horizontal="center" vertical="center" wrapText="1" readingOrder="1"/>
    </xf>
    <xf numFmtId="169" fontId="63" fillId="29" borderId="78" xfId="0" applyNumberFormat="1" applyFont="1" applyFill="1" applyBorder="1" applyAlignment="1">
      <alignment horizontal="center" vertical="center" wrapText="1" readingOrder="1"/>
    </xf>
    <xf numFmtId="179" fontId="63" fillId="29" borderId="81" xfId="0" applyNumberFormat="1" applyFont="1" applyFill="1" applyBorder="1" applyAlignment="1">
      <alignment horizontal="center" vertical="center" wrapText="1" readingOrder="1"/>
    </xf>
    <xf numFmtId="15" fontId="11" fillId="14" borderId="15" xfId="0" applyNumberFormat="1" applyFont="1" applyFill="1" applyBorder="1" applyAlignment="1">
      <alignment horizontal="center" vertical="center"/>
    </xf>
    <xf numFmtId="0" fontId="8" fillId="0" borderId="0" xfId="0" applyFont="1" applyProtection="1">
      <protection locked="0"/>
    </xf>
    <xf numFmtId="0" fontId="0" fillId="0" borderId="11" xfId="0" applyBorder="1"/>
    <xf numFmtId="1" fontId="11" fillId="14" borderId="14" xfId="1" applyNumberFormat="1" applyFont="1" applyFill="1" applyBorder="1" applyAlignment="1">
      <alignment horizontal="center" vertical="center"/>
    </xf>
    <xf numFmtId="0" fontId="0" fillId="0" borderId="6" xfId="0" applyBorder="1"/>
    <xf numFmtId="0" fontId="0" fillId="0" borderId="7" xfId="0" applyBorder="1"/>
    <xf numFmtId="0" fontId="0" fillId="0" borderId="12" xfId="0" applyBorder="1"/>
    <xf numFmtId="0" fontId="20" fillId="0" borderId="7" xfId="0" applyFont="1" applyBorder="1" applyAlignment="1" applyProtection="1">
      <alignment horizontal="center" vertical="center"/>
      <protection locked="0"/>
    </xf>
    <xf numFmtId="0" fontId="0" fillId="0" borderId="7" xfId="0" applyBorder="1" applyProtection="1">
      <protection locked="0"/>
    </xf>
    <xf numFmtId="0" fontId="20" fillId="0" borderId="0" xfId="0" applyFont="1" applyAlignment="1" applyProtection="1">
      <alignment horizontal="center" vertical="center"/>
      <protection locked="0"/>
    </xf>
    <xf numFmtId="0" fontId="0" fillId="0" borderId="0" xfId="0" applyProtection="1">
      <protection locked="0"/>
    </xf>
    <xf numFmtId="0" fontId="20" fillId="0" borderId="9" xfId="0" applyFont="1" applyBorder="1" applyAlignment="1" applyProtection="1">
      <alignment horizontal="center" vertical="center"/>
      <protection locked="0"/>
    </xf>
    <xf numFmtId="0" fontId="20" fillId="0" borderId="6" xfId="0" applyFont="1" applyBorder="1" applyAlignment="1" applyProtection="1">
      <alignment horizontal="center" vertical="center"/>
      <protection locked="0"/>
    </xf>
    <xf numFmtId="0" fontId="11" fillId="0" borderId="0" xfId="0" applyFont="1" applyAlignment="1" applyProtection="1">
      <alignment horizontal="center" vertical="center"/>
      <protection locked="0"/>
    </xf>
    <xf numFmtId="0" fontId="19" fillId="0" borderId="24" xfId="0" applyFont="1" applyBorder="1" applyAlignment="1">
      <alignment horizontal="center"/>
    </xf>
    <xf numFmtId="0" fontId="0" fillId="0" borderId="24" xfId="0" applyBorder="1"/>
    <xf numFmtId="0" fontId="36" fillId="0" borderId="90" xfId="0" applyFont="1" applyBorder="1" applyAlignment="1">
      <alignment horizontal="center"/>
    </xf>
    <xf numFmtId="0" fontId="0" fillId="0" borderId="87" xfId="0" applyBorder="1"/>
    <xf numFmtId="0" fontId="0" fillId="0" borderId="88" xfId="0" applyBorder="1"/>
    <xf numFmtId="0" fontId="11" fillId="0" borderId="7" xfId="0" applyFont="1" applyBorder="1" applyAlignment="1" applyProtection="1">
      <alignment horizontal="center" vertical="center"/>
      <protection locked="0"/>
    </xf>
    <xf numFmtId="0" fontId="19" fillId="0" borderId="57" xfId="0" applyFont="1" applyBorder="1" applyAlignment="1">
      <alignment horizontal="center"/>
    </xf>
    <xf numFmtId="0" fontId="0" fillId="0" borderId="91" xfId="0" applyBorder="1"/>
    <xf numFmtId="0" fontId="19" fillId="0" borderId="56" xfId="0" applyFont="1" applyBorder="1" applyAlignment="1">
      <alignment horizontal="center"/>
    </xf>
    <xf numFmtId="0" fontId="19" fillId="0" borderId="89" xfId="0" applyFont="1" applyBorder="1" applyAlignment="1">
      <alignment horizontal="center"/>
    </xf>
    <xf numFmtId="0" fontId="0" fillId="0" borderId="89" xfId="0" applyBorder="1"/>
    <xf numFmtId="0" fontId="36" fillId="0" borderId="86" xfId="0" applyFont="1" applyBorder="1" applyAlignment="1">
      <alignment horizontal="center"/>
    </xf>
    <xf numFmtId="0" fontId="0" fillId="0" borderId="0" xfId="0"/>
    <xf numFmtId="0" fontId="19" fillId="0" borderId="38" xfId="0" applyFont="1" applyBorder="1" applyAlignment="1">
      <alignment horizontal="center"/>
    </xf>
    <xf numFmtId="0" fontId="0" fillId="0" borderId="38" xfId="0" applyBorder="1"/>
    <xf numFmtId="0" fontId="11" fillId="14" borderId="14" xfId="0" applyFont="1" applyFill="1" applyBorder="1" applyAlignment="1">
      <alignment horizontal="center" vertical="center"/>
    </xf>
    <xf numFmtId="0" fontId="30" fillId="21" borderId="1" xfId="0" applyFont="1" applyFill="1" applyBorder="1" applyAlignment="1">
      <alignment horizontal="center"/>
    </xf>
    <xf numFmtId="0" fontId="0" fillId="0" borderId="22" xfId="0" applyBorder="1"/>
    <xf numFmtId="0" fontId="33" fillId="15" borderId="49" xfId="0" applyFont="1" applyFill="1" applyBorder="1" applyAlignment="1">
      <alignment horizontal="center" vertical="center" wrapText="1" readingOrder="1"/>
    </xf>
    <xf numFmtId="0" fontId="0" fillId="0" borderId="23" xfId="0" applyBorder="1"/>
    <xf numFmtId="9" fontId="44" fillId="22" borderId="44" xfId="9" applyFont="1" applyFill="1" applyBorder="1" applyAlignment="1">
      <alignment horizontal="center"/>
    </xf>
    <xf numFmtId="0" fontId="0" fillId="0" borderId="8" xfId="0" applyBorder="1"/>
    <xf numFmtId="0" fontId="38" fillId="20" borderId="18" xfId="0" applyFont="1" applyFill="1" applyBorder="1" applyAlignment="1">
      <alignment horizontal="center" vertical="center" wrapText="1" readingOrder="1"/>
    </xf>
    <xf numFmtId="0" fontId="0" fillId="0" borderId="19" xfId="0" applyBorder="1"/>
    <xf numFmtId="0" fontId="45" fillId="0" borderId="0" xfId="0" applyFont="1" applyAlignment="1">
      <alignment horizontal="center" vertical="center"/>
    </xf>
    <xf numFmtId="0" fontId="20" fillId="0" borderId="0" xfId="0" applyFont="1"/>
    <xf numFmtId="175" fontId="43" fillId="11" borderId="18" xfId="0" applyNumberFormat="1" applyFont="1" applyFill="1" applyBorder="1" applyAlignment="1">
      <alignment horizontal="center" vertical="center" wrapText="1" readingOrder="1"/>
    </xf>
    <xf numFmtId="0" fontId="0" fillId="0" borderId="13" xfId="0" applyBorder="1"/>
    <xf numFmtId="175" fontId="43" fillId="22" borderId="0" xfId="0" applyNumberFormat="1" applyFont="1" applyFill="1" applyAlignment="1">
      <alignment horizontal="center" vertical="center" wrapText="1" readingOrder="1"/>
    </xf>
    <xf numFmtId="0" fontId="51" fillId="15" borderId="76" xfId="0" applyFont="1" applyFill="1" applyBorder="1" applyAlignment="1">
      <alignment horizontal="center" vertical="center" wrapText="1" readingOrder="1"/>
    </xf>
    <xf numFmtId="0" fontId="0" fillId="0" borderId="84" xfId="0" applyBorder="1"/>
    <xf numFmtId="0" fontId="0" fillId="0" borderId="85" xfId="0" applyBorder="1"/>
    <xf numFmtId="175" fontId="43" fillId="22" borderId="9" xfId="0" applyNumberFormat="1" applyFont="1" applyFill="1" applyBorder="1" applyAlignment="1">
      <alignment horizontal="center" vertical="center" wrapText="1" readingOrder="1"/>
    </xf>
    <xf numFmtId="0" fontId="20" fillId="0" borderId="0" xfId="0" applyFont="1" applyAlignment="1">
      <alignment horizontal="center" vertical="center"/>
    </xf>
    <xf numFmtId="0" fontId="56" fillId="8" borderId="19" xfId="0" applyFont="1" applyFill="1" applyBorder="1" applyAlignment="1">
      <alignment horizontal="center" vertical="center" wrapText="1" readingOrder="1"/>
    </xf>
    <xf numFmtId="0" fontId="0" fillId="8" borderId="17" xfId="0" applyFill="1" applyBorder="1"/>
    <xf numFmtId="0" fontId="0" fillId="8" borderId="19" xfId="0" applyFill="1" applyBorder="1"/>
    <xf numFmtId="0" fontId="30" fillId="26" borderId="1" xfId="0" applyFont="1" applyFill="1" applyBorder="1" applyAlignment="1">
      <alignment horizontal="center" vertical="center"/>
    </xf>
    <xf numFmtId="0" fontId="30" fillId="25" borderId="1" xfId="0" applyFont="1" applyFill="1" applyBorder="1" applyAlignment="1">
      <alignment horizontal="center" vertical="center"/>
    </xf>
    <xf numFmtId="0" fontId="46" fillId="15" borderId="96" xfId="0" applyFont="1" applyFill="1" applyBorder="1" applyAlignment="1">
      <alignment horizontal="center" vertical="center" wrapText="1"/>
    </xf>
    <xf numFmtId="0" fontId="0" fillId="0" borderId="96" xfId="0" applyBorder="1"/>
    <xf numFmtId="9" fontId="44" fillId="22" borderId="17" xfId="9" applyFont="1" applyFill="1" applyBorder="1" applyAlignment="1">
      <alignment horizontal="center"/>
    </xf>
    <xf numFmtId="0" fontId="0" fillId="0" borderId="10" xfId="0" applyBorder="1"/>
    <xf numFmtId="175" fontId="43" fillId="11" borderId="6" xfId="0" applyNumberFormat="1" applyFont="1" applyFill="1" applyBorder="1" applyAlignment="1">
      <alignment horizontal="center" vertical="center" wrapText="1" readingOrder="1"/>
    </xf>
    <xf numFmtId="0" fontId="43" fillId="22" borderId="17" xfId="0" applyFont="1" applyFill="1" applyBorder="1" applyAlignment="1">
      <alignment horizontal="center" vertical="center" wrapText="1" readingOrder="1"/>
    </xf>
    <xf numFmtId="0" fontId="0" fillId="0" borderId="17" xfId="0" applyBorder="1"/>
    <xf numFmtId="0" fontId="20" fillId="0" borderId="0" xfId="0" applyFont="1" applyAlignment="1">
      <alignment horizontal="center"/>
    </xf>
    <xf numFmtId="0" fontId="43" fillId="11" borderId="17" xfId="0" applyFont="1" applyFill="1" applyBorder="1" applyAlignment="1">
      <alignment horizontal="center" vertical="center" wrapText="1" readingOrder="1"/>
    </xf>
    <xf numFmtId="0" fontId="56" fillId="8" borderId="18" xfId="0" applyFont="1" applyFill="1" applyBorder="1" applyAlignment="1">
      <alignment horizontal="center" vertical="center" wrapText="1" readingOrder="1"/>
    </xf>
    <xf numFmtId="175" fontId="43" fillId="22" borderId="7" xfId="0" applyNumberFormat="1" applyFont="1" applyFill="1" applyBorder="1" applyAlignment="1">
      <alignment horizontal="center" vertical="center" wrapText="1" readingOrder="1"/>
    </xf>
    <xf numFmtId="175" fontId="43" fillId="11" borderId="7" xfId="0" applyNumberFormat="1" applyFont="1" applyFill="1" applyBorder="1" applyAlignment="1">
      <alignment horizontal="center" vertical="center" wrapText="1" readingOrder="1"/>
    </xf>
    <xf numFmtId="175" fontId="43" fillId="11" borderId="0" xfId="0" applyNumberFormat="1" applyFont="1" applyFill="1" applyAlignment="1">
      <alignment horizontal="center" vertical="center" wrapText="1" readingOrder="1"/>
    </xf>
    <xf numFmtId="0" fontId="41" fillId="15" borderId="40" xfId="0" applyFont="1" applyFill="1" applyBorder="1" applyAlignment="1">
      <alignment horizontal="center" vertical="center" wrapText="1" readingOrder="1"/>
    </xf>
    <xf numFmtId="0" fontId="0" fillId="0" borderId="46" xfId="0" applyBorder="1"/>
    <xf numFmtId="0" fontId="0" fillId="0" borderId="26" xfId="0" applyBorder="1"/>
    <xf numFmtId="0" fontId="0" fillId="0" borderId="20" xfId="0" applyBorder="1"/>
    <xf numFmtId="0" fontId="56" fillId="8" borderId="44" xfId="0" applyFont="1" applyFill="1" applyBorder="1" applyAlignment="1">
      <alignment horizontal="center" vertical="center" wrapText="1" readingOrder="1"/>
    </xf>
    <xf numFmtId="0" fontId="38" fillId="15" borderId="15" xfId="0" applyFont="1" applyFill="1" applyBorder="1" applyAlignment="1">
      <alignment horizontal="center" vertical="center" wrapText="1" readingOrder="1"/>
    </xf>
    <xf numFmtId="0" fontId="0" fillId="0" borderId="15" xfId="0" applyBorder="1"/>
    <xf numFmtId="0" fontId="41" fillId="15" borderId="42" xfId="0" applyFont="1" applyFill="1" applyBorder="1" applyAlignment="1">
      <alignment horizontal="left" vertical="center" wrapText="1" readingOrder="1"/>
    </xf>
    <xf numFmtId="0" fontId="0" fillId="0" borderId="28" xfId="0" applyBorder="1"/>
    <xf numFmtId="0" fontId="0" fillId="0" borderId="29" xfId="0" applyBorder="1"/>
    <xf numFmtId="0" fontId="41" fillId="15" borderId="43" xfId="0" applyFont="1" applyFill="1" applyBorder="1" applyAlignment="1">
      <alignment horizontal="left" vertical="center" wrapText="1" readingOrder="1"/>
    </xf>
    <xf numFmtId="0" fontId="0" fillId="0" borderId="30" xfId="0" applyBorder="1"/>
    <xf numFmtId="0" fontId="38" fillId="15" borderId="14" xfId="0" applyFont="1" applyFill="1" applyBorder="1" applyAlignment="1">
      <alignment horizontal="center" vertical="center" wrapText="1" readingOrder="1"/>
    </xf>
    <xf numFmtId="0" fontId="51" fillId="15" borderId="75" xfId="0" applyFont="1" applyFill="1" applyBorder="1" applyAlignment="1">
      <alignment horizontal="center" vertical="center" wrapText="1" readingOrder="1"/>
    </xf>
    <xf numFmtId="0" fontId="0" fillId="0" borderId="83" xfId="0" applyBorder="1"/>
    <xf numFmtId="0" fontId="41" fillId="15" borderId="45" xfId="0" applyFont="1" applyFill="1" applyBorder="1" applyAlignment="1">
      <alignment horizontal="center" vertical="center" wrapText="1" readingOrder="1"/>
    </xf>
    <xf numFmtId="0" fontId="0" fillId="0" borderId="47" xfId="0" applyBorder="1"/>
    <xf numFmtId="0" fontId="0" fillId="0" borderId="48" xfId="0" applyBorder="1"/>
    <xf numFmtId="0" fontId="47" fillId="0" borderId="99" xfId="0" applyFont="1" applyBorder="1" applyAlignment="1">
      <alignment horizontal="center" vertical="center" wrapText="1" readingOrder="1"/>
    </xf>
    <xf numFmtId="0" fontId="0" fillId="0" borderId="99" xfId="0" applyBorder="1"/>
    <xf numFmtId="0" fontId="56" fillId="8" borderId="17" xfId="0" applyFont="1" applyFill="1" applyBorder="1" applyAlignment="1">
      <alignment horizontal="center" vertical="center" wrapText="1" readingOrder="1"/>
    </xf>
    <xf numFmtId="0" fontId="38" fillId="15" borderId="18" xfId="0" applyFont="1" applyFill="1" applyBorder="1" applyAlignment="1">
      <alignment horizontal="center" vertical="center" wrapText="1" readingOrder="1"/>
    </xf>
    <xf numFmtId="0" fontId="0" fillId="0" borderId="16" xfId="0" applyBorder="1"/>
    <xf numFmtId="0" fontId="45" fillId="0" borderId="50" xfId="0" applyFont="1" applyBorder="1" applyAlignment="1">
      <alignment horizontal="center" vertical="center"/>
    </xf>
    <xf numFmtId="0" fontId="0" fillId="0" borderId="39" xfId="0" applyBorder="1"/>
    <xf numFmtId="175" fontId="43" fillId="11" borderId="9" xfId="0" applyNumberFormat="1" applyFont="1" applyFill="1" applyBorder="1" applyAlignment="1">
      <alignment horizontal="center" vertical="center" wrapText="1" readingOrder="1"/>
    </xf>
    <xf numFmtId="0" fontId="45" fillId="0" borderId="1" xfId="0" applyFont="1" applyBorder="1" applyAlignment="1">
      <alignment horizontal="center" vertical="center"/>
    </xf>
    <xf numFmtId="9" fontId="44" fillId="11" borderId="17" xfId="9" applyFont="1" applyFill="1" applyBorder="1" applyAlignment="1">
      <alignment horizontal="center"/>
    </xf>
    <xf numFmtId="0" fontId="43" fillId="11" borderId="18" xfId="0" applyFont="1" applyFill="1" applyBorder="1" applyAlignment="1">
      <alignment horizontal="center" vertical="center" wrapText="1" readingOrder="1"/>
    </xf>
    <xf numFmtId="0" fontId="45" fillId="0" borderId="51" xfId="0" applyFont="1" applyBorder="1" applyAlignment="1">
      <alignment horizontal="center" vertical="center"/>
    </xf>
    <xf numFmtId="0" fontId="0" fillId="0" borderId="34" xfId="0" applyBorder="1"/>
    <xf numFmtId="0" fontId="16" fillId="0" borderId="73" xfId="0" applyFont="1" applyBorder="1" applyAlignment="1">
      <alignment horizontal="center"/>
    </xf>
    <xf numFmtId="0" fontId="0" fillId="0" borderId="74" xfId="0" applyBorder="1"/>
    <xf numFmtId="0" fontId="16" fillId="0" borderId="74" xfId="0" applyFont="1" applyBorder="1" applyAlignment="1">
      <alignment horizontal="center"/>
    </xf>
    <xf numFmtId="0" fontId="0" fillId="0" borderId="0" xfId="0" applyAlignment="1">
      <alignment horizontal="center"/>
    </xf>
    <xf numFmtId="0" fontId="16" fillId="0" borderId="0" xfId="0" applyFont="1" applyAlignment="1">
      <alignment horizontal="center"/>
    </xf>
    <xf numFmtId="0" fontId="0" fillId="3" borderId="0" xfId="0" applyFill="1" applyAlignment="1">
      <alignment horizontal="center"/>
    </xf>
    <xf numFmtId="1" fontId="0" fillId="0" borderId="0" xfId="0" applyNumberFormat="1"/>
    <xf numFmtId="0" fontId="2" fillId="3" borderId="0" xfId="0" applyFont="1" applyFill="1" applyAlignment="1">
      <alignment horizontal="center" vertical="center"/>
    </xf>
    <xf numFmtId="0" fontId="0" fillId="3" borderId="0" xfId="0" applyFill="1" applyAlignment="1">
      <alignment horizontal="center" vertical="center"/>
    </xf>
  </cellXfs>
  <cellStyles count="16">
    <cellStyle name="Comma" xfId="10" builtinId="3"/>
    <cellStyle name="Comma 10" xfId="5" xr:uid="{00000000-0005-0000-0000-000005000000}"/>
    <cellStyle name="Comma 12 3" xfId="4" xr:uid="{00000000-0005-0000-0000-000004000000}"/>
    <cellStyle name="Comma 14" xfId="8" xr:uid="{00000000-0005-0000-0000-000008000000}"/>
    <cellStyle name="Comma 2" xfId="1" xr:uid="{00000000-0005-0000-0000-000001000000}"/>
    <cellStyle name="Comma 3" xfId="13" xr:uid="{00000000-0005-0000-0000-00000D000000}"/>
    <cellStyle name="Comma 4" xfId="15" xr:uid="{00000000-0005-0000-0000-00000F000000}"/>
    <cellStyle name="Currency" xfId="12" builtinId="4"/>
    <cellStyle name="Currency 2" xfId="3" xr:uid="{00000000-0005-0000-0000-000003000000}"/>
    <cellStyle name="Normal" xfId="0" builtinId="0"/>
    <cellStyle name="Percent" xfId="9" builtinId="5"/>
    <cellStyle name="Percent 10 3" xfId="6" xr:uid="{00000000-0005-0000-0000-000006000000}"/>
    <cellStyle name="Percent 13" xfId="7" xr:uid="{00000000-0005-0000-0000-000007000000}"/>
    <cellStyle name="Percent 2" xfId="2" xr:uid="{00000000-0005-0000-0000-000002000000}"/>
    <cellStyle name="Percent 3" xfId="14" xr:uid="{00000000-0005-0000-0000-00000E000000}"/>
    <cellStyle name="Percent 8" xfId="11" xr:uid="{00000000-0005-0000-0000-00000B000000}"/>
  </cellStyles>
  <dxfs count="98">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theme="9" tint="-0.24994659260841701"/>
      </font>
      <fill>
        <patternFill>
          <bgColor theme="9" tint="0.79998168889431442"/>
        </patternFill>
      </fill>
    </dxf>
    <dxf>
      <font>
        <color rgb="FF9C0006"/>
      </font>
      <fill>
        <patternFill>
          <bgColor rgb="FFFFC7CE"/>
        </patternFill>
      </fill>
    </dxf>
    <dxf>
      <font>
        <color theme="9" tint="-0.24994659260841701"/>
      </font>
    </dxf>
    <dxf>
      <font>
        <color rgb="FFC00000"/>
      </font>
    </dxf>
    <dxf>
      <font>
        <color rgb="FF92D050"/>
      </font>
    </dxf>
    <dxf>
      <font>
        <color rgb="FFFF0000"/>
      </font>
    </dxf>
    <dxf>
      <font>
        <color theme="9"/>
      </font>
    </dxf>
    <dxf>
      <font>
        <color rgb="FF00B050"/>
      </font>
    </dxf>
    <dxf>
      <font>
        <color rgb="FFFF0000"/>
      </font>
    </dxf>
    <dxf>
      <font>
        <color rgb="FF9C0006"/>
      </font>
    </dxf>
    <dxf>
      <font>
        <strike val="0"/>
        <color rgb="FF00B050"/>
      </font>
    </dxf>
    <dxf>
      <font>
        <color rgb="FF9C0006"/>
      </font>
    </dxf>
    <dxf>
      <font>
        <color theme="9" tint="-0.24994659260841701"/>
      </font>
    </dxf>
    <dxf>
      <font>
        <color rgb="FF002060"/>
      </font>
    </dxf>
    <dxf>
      <font>
        <color rgb="FF92D050"/>
      </font>
    </dxf>
    <dxf>
      <font>
        <color rgb="FF002060"/>
      </font>
    </dxf>
    <dxf>
      <font>
        <color rgb="FF00B050"/>
      </font>
    </dxf>
    <dxf>
      <font>
        <color rgb="FFFF0000"/>
      </font>
    </dxf>
    <dxf>
      <font>
        <color rgb="FF00B050"/>
      </font>
    </dxf>
    <dxf>
      <font>
        <color rgb="FFFF0000"/>
      </font>
    </dxf>
    <dxf>
      <font>
        <color rgb="FFFF0000"/>
      </font>
    </dxf>
    <dxf>
      <font>
        <color rgb="FF00B050"/>
      </font>
    </dxf>
    <dxf>
      <font>
        <color rgb="FF00B050"/>
      </font>
    </dxf>
    <dxf>
      <font>
        <color rgb="FFFF0000"/>
      </font>
    </dxf>
    <dxf>
      <font>
        <color rgb="FF002060"/>
      </font>
    </dxf>
    <dxf>
      <font>
        <color rgb="FF00B050"/>
      </font>
    </dxf>
    <dxf>
      <font>
        <color rgb="FF002060"/>
      </font>
    </dxf>
    <dxf>
      <font>
        <color rgb="FFFF0000"/>
      </font>
    </dxf>
    <dxf>
      <font>
        <color rgb="FF00B050"/>
      </font>
    </dxf>
    <dxf>
      <font>
        <color rgb="FFFF0000"/>
      </font>
    </dxf>
    <dxf>
      <font>
        <color rgb="FF002060"/>
      </font>
    </dxf>
    <dxf>
      <font>
        <color rgb="FFFF0000"/>
      </font>
    </dxf>
    <dxf>
      <font>
        <color rgb="FF00B050"/>
      </font>
    </dxf>
    <dxf>
      <font>
        <color rgb="FF002060"/>
      </font>
    </dxf>
    <dxf>
      <font>
        <color rgb="FFFF0000"/>
      </font>
    </dxf>
    <dxf>
      <font>
        <color rgb="FF002060"/>
      </font>
    </dxf>
    <dxf>
      <font>
        <color rgb="FF00B050"/>
      </font>
    </dxf>
    <dxf>
      <font>
        <color rgb="FFFF0000"/>
      </font>
    </dxf>
    <dxf>
      <font>
        <color rgb="FF00B050"/>
      </font>
    </dxf>
    <dxf>
      <font>
        <color rgb="FF002060"/>
      </font>
    </dxf>
    <dxf>
      <font>
        <color rgb="FF002060"/>
      </font>
    </dxf>
    <dxf>
      <font>
        <color rgb="FFFF0000"/>
      </font>
    </dxf>
    <dxf>
      <font>
        <color rgb="FF00B050"/>
      </font>
    </dxf>
    <dxf>
      <font>
        <color rgb="FF002060"/>
      </font>
    </dxf>
    <dxf>
      <font>
        <color rgb="FF00B050"/>
      </font>
    </dxf>
    <dxf>
      <font>
        <color rgb="FFFF0000"/>
      </font>
    </dxf>
    <dxf>
      <font>
        <color rgb="FF002060"/>
      </font>
    </dxf>
    <dxf>
      <font>
        <color rgb="FF00B050"/>
      </font>
    </dxf>
    <dxf>
      <font>
        <color rgb="FFFF0000"/>
      </font>
    </dxf>
    <dxf>
      <font>
        <color rgb="FFFF0000"/>
      </font>
    </dxf>
    <dxf>
      <font>
        <color rgb="FF002060"/>
      </font>
    </dxf>
    <dxf>
      <font>
        <color rgb="FF00B050"/>
      </font>
    </dxf>
    <dxf>
      <font>
        <color rgb="FF002060"/>
      </font>
    </dxf>
    <dxf>
      <font>
        <color rgb="FF00B050"/>
      </font>
    </dxf>
    <dxf>
      <font>
        <color rgb="FFFF0000"/>
      </font>
    </dxf>
    <dxf>
      <numFmt numFmtId="1" formatCode="0"/>
    </dxf>
    <dxf>
      <font>
        <color theme="9" tint="-0.24994659260841701"/>
      </font>
      <fill>
        <patternFill>
          <bgColor theme="9" tint="0.79998168889431442"/>
        </patternFill>
      </fill>
    </dxf>
    <dxf>
      <font>
        <color rgb="FF9C0006"/>
      </font>
      <fill>
        <patternFill>
          <bgColor rgb="FFFFC7CE"/>
        </patternFill>
      </fill>
    </dxf>
    <dxf>
      <font>
        <color theme="9" tint="-0.24994659260841701"/>
      </font>
    </dxf>
    <dxf>
      <font>
        <color rgb="FFC00000"/>
      </font>
    </dxf>
    <dxf>
      <font>
        <color theme="9" tint="-0.24994659260841701"/>
      </font>
      <fill>
        <patternFill>
          <bgColor theme="9" tint="0.79998168889431442"/>
        </patternFill>
      </fill>
    </dxf>
    <dxf>
      <font>
        <color rgb="FF9C0006"/>
      </font>
      <fill>
        <patternFill>
          <bgColor rgb="FFFFC7CE"/>
        </patternFill>
      </fill>
    </dxf>
    <dxf>
      <font>
        <color theme="9" tint="-0.24994659260841701"/>
      </font>
    </dxf>
    <dxf>
      <font>
        <color rgb="FF9C0006"/>
      </font>
    </dxf>
    <dxf>
      <font>
        <color theme="9" tint="-0.24994659260841701"/>
      </font>
      <fill>
        <patternFill>
          <bgColor theme="9" tint="0.79998168889431442"/>
        </patternFill>
      </fill>
    </dxf>
    <dxf>
      <font>
        <color rgb="FF9C0006"/>
      </font>
      <fill>
        <patternFill>
          <bgColor rgb="FFFFC7CE"/>
        </patternFill>
      </fill>
    </dxf>
    <dxf>
      <font>
        <color theme="9" tint="-0.24994659260841701"/>
      </font>
    </dxf>
    <dxf>
      <font>
        <color rgb="FF9C0006"/>
      </font>
    </dxf>
    <dxf>
      <font>
        <color theme="9" tint="-0.24994659260841701"/>
      </font>
      <fill>
        <patternFill>
          <bgColor theme="9" tint="0.79998168889431442"/>
        </patternFill>
      </fill>
    </dxf>
    <dxf>
      <font>
        <color rgb="FF9C0006"/>
      </font>
      <fill>
        <patternFill>
          <bgColor rgb="FFFFC7CE"/>
        </patternFill>
      </fill>
    </dxf>
    <dxf>
      <font>
        <color theme="9" tint="-0.24994659260841701"/>
      </font>
    </dxf>
    <dxf>
      <font>
        <color rgb="FFC00000"/>
      </font>
    </dxf>
    <dxf>
      <font>
        <color theme="9" tint="-0.24994659260841701"/>
      </font>
      <fill>
        <patternFill>
          <bgColor theme="9" tint="0.79998168889431442"/>
        </patternFill>
      </fill>
    </dxf>
    <dxf>
      <font>
        <color rgb="FF9C0006"/>
      </font>
      <fill>
        <patternFill>
          <bgColor rgb="FFFFC7CE"/>
        </patternFill>
      </fill>
    </dxf>
    <dxf>
      <font>
        <color theme="9" tint="-0.24994659260841701"/>
      </font>
    </dxf>
    <dxf>
      <font>
        <color rgb="FFC00000"/>
      </font>
    </dxf>
    <dxf>
      <font>
        <color theme="9" tint="-0.24994659260841701"/>
      </font>
      <fill>
        <patternFill>
          <bgColor theme="9" tint="0.79998168889431442"/>
        </patternFill>
      </fill>
    </dxf>
    <dxf>
      <font>
        <color rgb="FF9C0006"/>
      </font>
      <fill>
        <patternFill>
          <bgColor rgb="FFFFC7CE"/>
        </patternFill>
      </fill>
    </dxf>
    <dxf>
      <font>
        <color theme="9" tint="-0.24994659260841701"/>
      </font>
    </dxf>
    <dxf>
      <font>
        <color rgb="FFC00000"/>
      </font>
    </dxf>
    <dxf>
      <font>
        <color rgb="FF92D050"/>
      </font>
      <fill>
        <patternFill>
          <bgColor rgb="FFFFC7CE"/>
        </patternFill>
      </fill>
    </dxf>
    <dxf>
      <font>
        <color theme="9" tint="-0.24994659260841701"/>
      </font>
      <fill>
        <patternFill>
          <bgColor theme="9" tint="0.79998168889431442"/>
        </patternFill>
      </fill>
    </dxf>
    <dxf>
      <font>
        <color rgb="FF9C0006"/>
      </font>
      <fill>
        <patternFill>
          <bgColor rgb="FFFFC7CE"/>
        </patternFill>
      </fill>
    </dxf>
    <dxf>
      <font>
        <color theme="9" tint="-0.24994659260841701"/>
      </font>
    </dxf>
    <dxf>
      <font>
        <color rgb="FF9C0006"/>
      </font>
    </dxf>
    <dxf>
      <font>
        <color theme="9" tint="-0.24994659260841701"/>
      </font>
      <fill>
        <patternFill>
          <bgColor theme="9" tint="0.79998168889431442"/>
        </patternFill>
      </fill>
    </dxf>
    <dxf>
      <font>
        <color rgb="FF9C0006"/>
      </font>
      <fill>
        <patternFill>
          <bgColor rgb="FFFFC7CE"/>
        </patternFill>
      </fill>
    </dxf>
    <dxf>
      <font>
        <color theme="9" tint="-0.24994659260841701"/>
      </font>
    </dxf>
    <dxf>
      <font>
        <color rgb="FFC00000"/>
      </font>
    </dxf>
    <dxf>
      <numFmt numFmtId="167" formatCode="_(* #,##0_);_(* \(#,##0\);_(* &quot;-&quot;??_);_(@_)"/>
    </dxf>
  </dxfs>
  <tableStyles count="0" defaultTableStyle="TableStyleMedium2" defaultPivotStyle="PivotStyleMedium9"/>
  <colors>
    <mruColors>
      <color rgb="FFCCD3E9"/>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'Weekly Charts'!$I$135:$I$136</c:f>
              <c:strCache>
                <c:ptCount val="2"/>
                <c:pt idx="1">
                  <c:v>WK1</c:v>
                </c:pt>
              </c:strCache>
            </c:strRef>
          </c:tx>
          <c:spPr>
            <a:solidFill>
              <a:schemeClr val="accent1"/>
            </a:solidFill>
            <a:ln>
              <a:noFill/>
            </a:ln>
            <a:effectLst/>
          </c:spPr>
          <c:invertIfNegative val="0"/>
          <c:cat>
            <c:strRef>
              <c:f>'Weekly Charts'!$H$137:$H$138</c:f>
              <c:strCache>
                <c:ptCount val="2"/>
                <c:pt idx="0">
                  <c:v>MTD Active Users</c:v>
                </c:pt>
                <c:pt idx="1">
                  <c:v>Forecast</c:v>
                </c:pt>
              </c:strCache>
            </c:strRef>
          </c:cat>
          <c:val>
            <c:numRef>
              <c:f>'Weekly Charts'!$I$137:$I$138</c:f>
              <c:numCache>
                <c:formatCode>General</c:formatCode>
                <c:ptCount val="2"/>
                <c:pt idx="0">
                  <c:v>96861</c:v>
                </c:pt>
              </c:numCache>
            </c:numRef>
          </c:val>
          <c:extLst>
            <c:ext xmlns:c16="http://schemas.microsoft.com/office/drawing/2014/chart" uri="{C3380CC4-5D6E-409C-BE32-E72D297353CC}">
              <c16:uniqueId val="{00000000-AB3F-43F5-B7EA-9B7591D23D27}"/>
            </c:ext>
          </c:extLst>
        </c:ser>
        <c:ser>
          <c:idx val="1"/>
          <c:order val="1"/>
          <c:tx>
            <c:strRef>
              <c:f>'Weekly Charts'!$J$135:$J$136</c:f>
              <c:strCache>
                <c:ptCount val="2"/>
                <c:pt idx="1">
                  <c:v>WK2</c:v>
                </c:pt>
              </c:strCache>
            </c:strRef>
          </c:tx>
          <c:spPr>
            <a:solidFill>
              <a:schemeClr val="accent2"/>
            </a:solidFill>
            <a:ln>
              <a:noFill/>
            </a:ln>
            <a:effectLst/>
          </c:spPr>
          <c:invertIfNegative val="0"/>
          <c:cat>
            <c:strRef>
              <c:f>'Weekly Charts'!$H$137:$H$138</c:f>
              <c:strCache>
                <c:ptCount val="2"/>
                <c:pt idx="0">
                  <c:v>MTD Active Users</c:v>
                </c:pt>
                <c:pt idx="1">
                  <c:v>Forecast</c:v>
                </c:pt>
              </c:strCache>
            </c:strRef>
          </c:cat>
          <c:val>
            <c:numRef>
              <c:f>'Weekly Charts'!$J$137:$J$138</c:f>
              <c:numCache>
                <c:formatCode>General</c:formatCode>
                <c:ptCount val="2"/>
                <c:pt idx="0">
                  <c:v>76511</c:v>
                </c:pt>
              </c:numCache>
            </c:numRef>
          </c:val>
          <c:extLst>
            <c:ext xmlns:c16="http://schemas.microsoft.com/office/drawing/2014/chart" uri="{C3380CC4-5D6E-409C-BE32-E72D297353CC}">
              <c16:uniqueId val="{00000001-AB3F-43F5-B7EA-9B7591D23D27}"/>
            </c:ext>
          </c:extLst>
        </c:ser>
        <c:ser>
          <c:idx val="2"/>
          <c:order val="2"/>
          <c:tx>
            <c:strRef>
              <c:f>'Weekly Charts'!$K$135:$K$136</c:f>
              <c:strCache>
                <c:ptCount val="2"/>
                <c:pt idx="1">
                  <c:v>WK3</c:v>
                </c:pt>
              </c:strCache>
            </c:strRef>
          </c:tx>
          <c:spPr>
            <a:solidFill>
              <a:schemeClr val="accent3"/>
            </a:solidFill>
            <a:ln>
              <a:noFill/>
            </a:ln>
            <a:effectLst/>
          </c:spPr>
          <c:invertIfNegative val="0"/>
          <c:cat>
            <c:strRef>
              <c:f>'Weekly Charts'!$H$137:$H$138</c:f>
              <c:strCache>
                <c:ptCount val="2"/>
                <c:pt idx="0">
                  <c:v>MTD Active Users</c:v>
                </c:pt>
                <c:pt idx="1">
                  <c:v>Forecast</c:v>
                </c:pt>
              </c:strCache>
            </c:strRef>
          </c:cat>
          <c:val>
            <c:numRef>
              <c:f>'Weekly Charts'!$K$137:$K$138</c:f>
              <c:numCache>
                <c:formatCode>General</c:formatCode>
                <c:ptCount val="2"/>
                <c:pt idx="0">
                  <c:v>74564</c:v>
                </c:pt>
              </c:numCache>
            </c:numRef>
          </c:val>
          <c:extLst>
            <c:ext xmlns:c16="http://schemas.microsoft.com/office/drawing/2014/chart" uri="{C3380CC4-5D6E-409C-BE32-E72D297353CC}">
              <c16:uniqueId val="{00000002-AB3F-43F5-B7EA-9B7591D23D27}"/>
            </c:ext>
          </c:extLst>
        </c:ser>
        <c:ser>
          <c:idx val="3"/>
          <c:order val="3"/>
          <c:tx>
            <c:strRef>
              <c:f>'Weekly Charts'!$L$135:$L$136</c:f>
              <c:strCache>
                <c:ptCount val="2"/>
                <c:pt idx="1">
                  <c:v>WK4</c:v>
                </c:pt>
              </c:strCache>
            </c:strRef>
          </c:tx>
          <c:spPr>
            <a:solidFill>
              <a:schemeClr val="accent4"/>
            </a:solidFill>
            <a:ln>
              <a:noFill/>
            </a:ln>
            <a:effectLst/>
          </c:spPr>
          <c:invertIfNegative val="0"/>
          <c:cat>
            <c:strRef>
              <c:f>'Weekly Charts'!$H$137:$H$138</c:f>
              <c:strCache>
                <c:ptCount val="2"/>
                <c:pt idx="0">
                  <c:v>MTD Active Users</c:v>
                </c:pt>
                <c:pt idx="1">
                  <c:v>Forecast</c:v>
                </c:pt>
              </c:strCache>
            </c:strRef>
          </c:cat>
          <c:val>
            <c:numRef>
              <c:f>'Weekly Charts'!$L$137:$L$138</c:f>
              <c:numCache>
                <c:formatCode>General</c:formatCode>
                <c:ptCount val="2"/>
                <c:pt idx="0">
                  <c:v>63923</c:v>
                </c:pt>
              </c:numCache>
            </c:numRef>
          </c:val>
          <c:extLst>
            <c:ext xmlns:c16="http://schemas.microsoft.com/office/drawing/2014/chart" uri="{C3380CC4-5D6E-409C-BE32-E72D297353CC}">
              <c16:uniqueId val="{00000003-AB3F-43F5-B7EA-9B7591D23D27}"/>
            </c:ext>
          </c:extLst>
        </c:ser>
        <c:ser>
          <c:idx val="4"/>
          <c:order val="4"/>
          <c:tx>
            <c:strRef>
              <c:f>'Weekly Charts'!$M$135:$M$136</c:f>
              <c:strCache>
                <c:ptCount val="2"/>
                <c:pt idx="1">
                  <c:v>Total</c:v>
                </c:pt>
              </c:strCache>
            </c:strRef>
          </c:tx>
          <c:spPr>
            <a:solidFill>
              <a:schemeClr val="accent5"/>
            </a:solidFill>
            <a:ln>
              <a:noFill/>
            </a:ln>
            <a:effectLst/>
          </c:spPr>
          <c:invertIfNegative val="0"/>
          <c:cat>
            <c:strRef>
              <c:f>'Weekly Charts'!$H$137:$H$138</c:f>
              <c:strCache>
                <c:ptCount val="2"/>
                <c:pt idx="0">
                  <c:v>MTD Active Users</c:v>
                </c:pt>
                <c:pt idx="1">
                  <c:v>Forecast</c:v>
                </c:pt>
              </c:strCache>
            </c:strRef>
          </c:cat>
          <c:val>
            <c:numRef>
              <c:f>'Weekly Charts'!$M$137:$M$138</c:f>
              <c:numCache>
                <c:formatCode>General</c:formatCode>
                <c:ptCount val="2"/>
                <c:pt idx="0">
                  <c:v>0</c:v>
                </c:pt>
                <c:pt idx="1">
                  <c:v>289859</c:v>
                </c:pt>
              </c:numCache>
            </c:numRef>
          </c:val>
          <c:extLst>
            <c:ext xmlns:c16="http://schemas.microsoft.com/office/drawing/2014/chart" uri="{C3380CC4-5D6E-409C-BE32-E72D297353CC}">
              <c16:uniqueId val="{00000004-AB3F-43F5-B7EA-9B7591D23D27}"/>
            </c:ext>
          </c:extLst>
        </c:ser>
        <c:ser>
          <c:idx val="5"/>
          <c:order val="5"/>
          <c:tx>
            <c:strRef>
              <c:f>'Weekly Charts'!$N$135:$N$136</c:f>
              <c:strCache>
                <c:ptCount val="2"/>
                <c:pt idx="1">
                  <c:v>Total</c:v>
                </c:pt>
              </c:strCache>
            </c:strRef>
          </c:tx>
          <c:spPr>
            <a:solidFill>
              <a:schemeClr val="accent6"/>
            </a:solidFill>
            <a:ln>
              <a:noFill/>
            </a:ln>
            <a:effectLst/>
          </c:spPr>
          <c:invertIfNegative val="0"/>
          <c:cat>
            <c:strRef>
              <c:f>'Weekly Charts'!$H$137:$H$138</c:f>
              <c:strCache>
                <c:ptCount val="2"/>
                <c:pt idx="0">
                  <c:v>MTD Active Users</c:v>
                </c:pt>
                <c:pt idx="1">
                  <c:v>Forecast</c:v>
                </c:pt>
              </c:strCache>
            </c:strRef>
          </c:cat>
          <c:val>
            <c:numRef>
              <c:f>'Weekly Charts'!$N$137:$N$138</c:f>
              <c:numCache>
                <c:formatCode>General</c:formatCode>
                <c:ptCount val="2"/>
                <c:pt idx="0">
                  <c:v>311859</c:v>
                </c:pt>
              </c:numCache>
            </c:numRef>
          </c:val>
          <c:extLst>
            <c:ext xmlns:c16="http://schemas.microsoft.com/office/drawing/2014/chart" uri="{C3380CC4-5D6E-409C-BE32-E72D297353CC}">
              <c16:uniqueId val="{00000005-AB3F-43F5-B7EA-9B7591D23D27}"/>
            </c:ext>
          </c:extLst>
        </c:ser>
        <c:dLbls>
          <c:showLegendKey val="0"/>
          <c:showVal val="0"/>
          <c:showCatName val="0"/>
          <c:showSerName val="0"/>
          <c:showPercent val="0"/>
          <c:showBubbleSize val="0"/>
        </c:dLbls>
        <c:gapWidth val="150"/>
        <c:overlap val="100"/>
        <c:axId val="1181783711"/>
        <c:axId val="1181785151"/>
      </c:barChart>
      <c:catAx>
        <c:axId val="1181783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785151"/>
        <c:crosses val="autoZero"/>
        <c:auto val="1"/>
        <c:lblAlgn val="ctr"/>
        <c:lblOffset val="100"/>
        <c:noMultiLvlLbl val="0"/>
      </c:catAx>
      <c:valAx>
        <c:axId val="11817851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7837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14</xdr:col>
      <xdr:colOff>666750</xdr:colOff>
      <xdr:row>129</xdr:row>
      <xdr:rowOff>71438</xdr:rowOff>
    </xdr:from>
    <xdr:to>
      <xdr:col>19</xdr:col>
      <xdr:colOff>390525</xdr:colOff>
      <xdr:row>145</xdr:row>
      <xdr:rowOff>71438</xdr:rowOff>
    </xdr:to>
    <xdr:graphicFrame macro="">
      <xdr:nvGraphicFramePr>
        <xdr:cNvPr id="2" name="Chart 1">
          <a:extLst>
            <a:ext uri="{FF2B5EF4-FFF2-40B4-BE49-F238E27FC236}">
              <a16:creationId xmlns:a16="http://schemas.microsoft.com/office/drawing/2014/main" id="{D0843BB6-52C4-1BD8-B7D6-6F76970A9F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hn Cooper - Vendor" refreshedDate="45167.539691435188" createdVersion="8" refreshedVersion="8" minRefreshableVersion="3" recordCount="208" xr:uid="{00000000-000A-0000-FFFF-FFFF00000000}">
  <cacheSource type="worksheet">
    <worksheetSource ref="A1:BD209" sheet="Forecast"/>
  </cacheSource>
  <cacheFields count="56">
    <cacheField name="Fiscal_Year" numFmtId="0">
      <sharedItems containsSemiMixedTypes="0" containsString="0" containsNumber="1" containsInteger="1" minValue="2021" maxValue="2024" count="4">
        <n v="2021"/>
        <n v="2022"/>
        <n v="2023"/>
        <n v="2024"/>
      </sharedItems>
    </cacheField>
    <cacheField name="Fiscal_Week" numFmtId="2">
      <sharedItems/>
    </cacheField>
    <cacheField name="Fiscal_Quarter" numFmtId="2">
      <sharedItems count="4">
        <s v="Q1"/>
        <s v="Q2"/>
        <s v="Q3"/>
        <s v="Q4"/>
      </sharedItems>
    </cacheField>
    <cacheField name="Calendar__x000a_Week_Start" numFmtId="15">
      <sharedItems containsSemiMixedTypes="0" containsNonDate="0" containsDate="1" containsString="0" minDate="2020-02-01T00:00:00" maxDate="2024-01-21T00:00:00"/>
    </cacheField>
    <cacheField name="Calendar_Week_End" numFmtId="15">
      <sharedItems containsSemiMixedTypes="0" containsNonDate="0" containsDate="1" containsString="0" minDate="2020-02-07T00:00:00" maxDate="2024-01-27T00:00:00"/>
    </cacheField>
    <cacheField name="Week_UID" numFmtId="0">
      <sharedItems containsSemiMixedTypes="0" containsString="0" containsNumber="1" containsInteger="1" minValue="202001" maxValue="202352"/>
    </cacheField>
    <cacheField name="Installs_Organic_Forecast" numFmtId="168">
      <sharedItems containsSemiMixedTypes="0" containsString="0" containsNumber="1" minValue="420838.45113372558" maxValue="1358857"/>
    </cacheField>
    <cacheField name="Installs_Owned_Forecast" numFmtId="168">
      <sharedItems containsSemiMixedTypes="0" containsString="0" containsNumber="1" minValue="23806.963559673379" maxValue="788536.04867332778"/>
    </cacheField>
    <cacheField name="Installs_Paid_Forecast" numFmtId="168">
      <sharedItems containsSemiMixedTypes="0" containsString="0" containsNumber="1" minValue="25181.383265215602" maxValue="329449.7722543198"/>
    </cacheField>
    <cacheField name="Installs__x000a_Forecast_All" numFmtId="168">
      <sharedItems containsSemiMixedTypes="0" containsString="0" containsNumber="1" minValue="595061.47900588391" maxValue="1565417.0936222789"/>
    </cacheField>
    <cacheField name="Installs_Organic_Plan_Rev" numFmtId="168">
      <sharedItems containsString="0" containsBlank="1" containsNumber="1" minValue="425592" maxValue="1420005.5649999999"/>
    </cacheField>
    <cacheField name="Installs_Owned_Plan_Rev" numFmtId="168">
      <sharedItems containsString="0" containsBlank="1" containsNumber="1" minValue="29827.278947248629" maxValue="788536.04867332766"/>
    </cacheField>
    <cacheField name="Installs_Paid_Plan_Rev" numFmtId="168">
      <sharedItems containsString="0" containsBlank="1" containsNumber="1" minValue="26314.5455121503" maxValue="327349.76290159993"/>
    </cacheField>
    <cacheField name="Installs_Plan_All_Rev" numFmtId="168">
      <sharedItems containsSemiMixedTypes="0" containsString="0" containsNumber="1" minValue="0" maxValue="1575643.2682912929"/>
    </cacheField>
    <cacheField name="Installs__x000a_Organic_All" numFmtId="168">
      <sharedItems containsSemiMixedTypes="0" containsString="0" containsNumber="1" containsInteger="1" minValue="0" maxValue="1693388"/>
    </cacheField>
    <cacheField name="Installs__x000a_Owned_All" numFmtId="168">
      <sharedItems containsSemiMixedTypes="0" containsString="0" containsNumber="1" containsInteger="1" minValue="0" maxValue="601764"/>
    </cacheField>
    <cacheField name="Installs__x000a_Paid_All" numFmtId="168">
      <sharedItems containsSemiMixedTypes="0" containsString="0" containsNumber="1" containsInteger="1" minValue="0" maxValue="435431"/>
    </cacheField>
    <cacheField name="Installs_All" numFmtId="168">
      <sharedItems containsSemiMixedTypes="0" containsString="0" containsNumber="1" containsInteger="1" minValue="0" maxValue="2220333"/>
    </cacheField>
    <cacheField name="Installs_Actuall_All_YTD" numFmtId="168">
      <sharedItems containsSemiMixedTypes="0" containsString="0" containsNumber="1" containsInteger="1" minValue="0" maxValue="61175247"/>
    </cacheField>
    <cacheField name="Installs_Forecast_All_YTD" numFmtId="168">
      <sharedItems containsSemiMixedTypes="0" containsString="0" containsNumber="1" minValue="624204.56270970055" maxValue="54199321.66720473"/>
    </cacheField>
    <cacheField name="Installs_Plan__x000a_All_YTD_Rev" numFmtId="168">
      <sharedItems containsSemiMixedTypes="0" containsString="0" containsNumber="1" minValue="0" maxValue="55508791.115327947"/>
    </cacheField>
    <cacheField name="Installs_Actual_YTD_vs_Forecast_YTD" numFmtId="9">
      <sharedItems containsMixedTypes="1" containsNumber="1" minValue="-0.1340865325007865" maxValue="0.5731218700171925"/>
    </cacheField>
    <cacheField name="Installs_Actual_QTD_vs_Forecast_QTD" numFmtId="9">
      <sharedItems containsMixedTypes="1" containsNumber="1" minValue="-0.1585753198199443" maxValue="0.60693134012716654"/>
    </cacheField>
    <cacheField name="Installs_Actual_YTD_vs_Rev_Plan_YTD" numFmtId="9">
      <sharedItems containsMixedTypes="1" containsNumber="1" minValue="-5.4153779752768687E-2" maxValue="0.1522061130565282"/>
    </cacheField>
    <cacheField name="Installs_Actual_QTD_vs_Rev_Plan_QTD" numFmtId="9">
      <sharedItems containsMixedTypes="1" containsNumber="1" minValue="-0.16423585921790931" maxValue="0.66727162884922286"/>
    </cacheField>
    <cacheField name="Installs_Actual_YTD_to_Install_Forecast" numFmtId="9">
      <sharedItems containsMixedTypes="1" containsNumber="1" minValue="1.3033311129592461E-2" maxValue="1.273694226207043"/>
    </cacheField>
    <cacheField name="Installs_Actual_YTD_to_Install_Plan_Rev" numFmtId="9">
      <sharedItems containsMixedTypes="1" containsNumber="1" minValue="1.179016160071927E-2" maxValue="1.152206113056528"/>
    </cacheField>
    <cacheField name="Installs_Organic__x000a_Actual_vs_Forecast" numFmtId="9">
      <sharedItems containsMixedTypes="1" containsNumber="1" minValue="-0.29546907780584281" maxValue="1.323404616108383"/>
    </cacheField>
    <cacheField name="Installs_Owned__x000a_Actual_vs_Forecast" numFmtId="9">
      <sharedItems containsMixedTypes="1" containsNumber="1" minValue="-0.75372245897962353" maxValue="1.949768575660449"/>
    </cacheField>
    <cacheField name="Installs_Paid__x000a_Actual_vs_Forecast" numFmtId="9">
      <sharedItems containsMixedTypes="1" containsNumber="1" minValue="-0.46156609432809081" maxValue="4.7921943814796162"/>
    </cacheField>
    <cacheField name="Installs_All__x000a_Actual_vs_Forecast" numFmtId="9">
      <sharedItems containsMixedTypes="1" containsNumber="1" minValue="-0.29312986340984371" maxValue="1.2907616239540209"/>
    </cacheField>
    <cacheField name="Installs_Organic__x000a_Actual_vs_Rev_Plan" numFmtId="9">
      <sharedItems containsMixedTypes="1" containsNumber="1" minValue="-0.3225116739340772" maxValue="1.207578354839328"/>
    </cacheField>
    <cacheField name="Installs_Owned__x000a_Actual_vs_Rev_Plan" numFmtId="9">
      <sharedItems containsMixedTypes="1" containsNumber="1" minValue="-0.7614374414884838" maxValue="1.949768575660449"/>
    </cacheField>
    <cacheField name="Installs_Paid__x000a_Actual_vs_Rev_Plan" numFmtId="9">
      <sharedItems containsMixedTypes="1" containsNumber="1" minValue="-0.36532956340844641" maxValue="4.5427697430426957"/>
    </cacheField>
    <cacheField name="Installs_All__x000a_Actual_vs_Rev_Plan" numFmtId="9">
      <sharedItems containsMixedTypes="1" containsNumber="1" minValue="-0.26149066301671098" maxValue="1.021654448964554"/>
    </cacheField>
    <cacheField name="Installs_Organic_Actual_YTD_vs__x000a_Forecast_YTD" numFmtId="9">
      <sharedItems containsMixedTypes="1" containsNumber="1" minValue="-0.1373688725877876" maxValue="0.61495281678055003"/>
    </cacheField>
    <cacheField name="Installs_Owned_Actual_YTD_vs_Forecast_YTD" numFmtId="9">
      <sharedItems containsMixedTypes="1" containsNumber="1" minValue="-0.18955961350759029" maxValue="0.72522687988837187"/>
    </cacheField>
    <cacheField name="Installs_Paid__x000a_Actual_YTD_vs_Forecast_YTD" numFmtId="9">
      <sharedItems containsMixedTypes="1" containsNumber="1" minValue="-0.36020542959696672" maxValue="1.3188636800807501"/>
    </cacheField>
    <cacheField name="Installs_Organic_Actual_YTD_vs__x000a_Rev_Plan_YTD" numFmtId="9">
      <sharedItems containsMixedTypes="1" containsNumber="1" minValue="-0.1224215862818451" maxValue="0.24727313167069059"/>
    </cacheField>
    <cacheField name="Installs_Owned_Actual_YTD_vs_Rev_Plan_YTD" numFmtId="9">
      <sharedItems containsMixedTypes="1" containsNumber="1" minValue="-0.52995908009624415" maxValue="4.5717187843072882E-2"/>
    </cacheField>
    <cacheField name="Installs_Paid__x000a_Actual_YTD_vs_Rev_Plan_YTD" numFmtId="9">
      <sharedItems containsMixedTypes="1" containsNumber="1" minValue="-0.1582710586355266" maxValue="1.141578997060152"/>
    </cacheField>
    <cacheField name="App_7D_RR__x000a_Forecast" numFmtId="0">
      <sharedItems containsString="0" containsBlank="1" containsNumber="1" minValue="0.50488712637357835" maxValue="0.64884236810130536"/>
    </cacheField>
    <cacheField name="App_7D_RR_All" numFmtId="170">
      <sharedItems containsMixedTypes="1" containsNumber="1" minValue="0.443" maxValue="0.71987382430361713"/>
    </cacheField>
    <cacheField name="App_7D_RR_Actual_vs__x000a_Forecast" numFmtId="9">
      <sharedItems containsMixedTypes="1" containsNumber="1" minValue="-5.4088718660059272E-2" maxValue="0.71987382430361713"/>
    </cacheField>
    <cacheField name="App_7D_RR__x000a_Actual_YTD_vs_Forecast_YTD" numFmtId="9">
      <sharedItems containsMixedTypes="1" containsNumber="1" minValue="-2.1293756165993379E-2" maxValue="9.471851378596563E-2"/>
    </cacheField>
    <cacheField name="App_7D_RR__x000a_Actual_QTD_vs_Forecast_QTD" numFmtId="9">
      <sharedItems containsMixedTypes="1" containsNumber="1" minValue="-4.3177787479924963E-2" maxValue="9.471851378596563E-2"/>
    </cacheField>
    <cacheField name="App_30D_RR__x000a_Forecast" numFmtId="0">
      <sharedItems containsString="0" containsBlank="1" containsNumber="1" minValue="0.67163743109985741" maxValue="0.79890813990241105"/>
    </cacheField>
    <cacheField name="App_30D_RR_All" numFmtId="170">
      <sharedItems containsMixedTypes="1" containsNumber="1" minValue="0.629" maxValue="0.8744137503749343"/>
    </cacheField>
    <cacheField name="App_30D_RR_Actual_vs__x000a_Forecast" numFmtId="9">
      <sharedItems containsMixedTypes="1" containsNumber="1" minValue="-5.3623334210789693E-2" maxValue="0.8744137503749343"/>
    </cacheField>
    <cacheField name="App_30D_RR__x000a_Actual_YTD_vs_Forecast_YTD" numFmtId="9">
      <sharedItems containsMixedTypes="1" containsNumber="1" minValue="-2.7509410212906978E-2" maxValue="4.7901905470612238E-2"/>
    </cacheField>
    <cacheField name="App_30D_RR__x000a_Actual_QTD_vs_Forecast_QTD" numFmtId="9">
      <sharedItems containsMixedTypes="1" containsNumber="1" minValue="-4.930166803540581E-2" maxValue="4.7901905470612238E-2"/>
    </cacheField>
    <cacheField name="App_WAU__x000a_Forecast" numFmtId="0">
      <sharedItems containsString="0" containsBlank="1" containsNumber="1" minValue="28871626.420000002" maxValue="41363018.280000001"/>
    </cacheField>
    <cacheField name="App_WAU__x000a_All" numFmtId="168">
      <sharedItems containsSemiMixedTypes="0" containsString="0" containsNumber="1" containsInteger="1" minValue="0" maxValue="39411535"/>
    </cacheField>
    <cacheField name="App_WAU_Actual_vs_Forecast" numFmtId="9">
      <sharedItems containsMixedTypes="1" containsNumber="1" minValue="-5.4259478588419952E-2" maxValue="0.1555223427552013"/>
    </cacheField>
    <cacheField name="App_WAU__x000a_Actual_YTD_vs_Forecast_YTD" numFmtId="0">
      <sharedItems containsMixedTypes="1" containsNumber="1" minValue="1.8683307475400261E-2" maxValue="8.119904283668733E-2"/>
    </cacheField>
    <cacheField name="App_WAU__x000a_Actual_QTD_vs_Forecast_QTD" numFmtId="0">
      <sharedItems containsMixedTypes="1" containsNumber="1" minValue="1.8683307475400261E-2" maxValue="0.128564066510595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hn Cooper - Vendor" refreshedDate="45167.613498032413" createdVersion="8" refreshedVersion="8" minRefreshableVersion="3" recordCount="208" xr:uid="{00000000-000A-0000-FFFF-FFFF01000000}">
  <cacheSource type="worksheet">
    <worksheetSource ref="A6:AU214" sheet="Glass Metrics"/>
  </cacheSource>
  <cacheFields count="47">
    <cacheField name="Fiscal_Year" numFmtId="0">
      <sharedItems containsSemiMixedTypes="0" containsString="0" containsNumber="1" containsInteger="1" minValue="2021" maxValue="2024" count="4">
        <n v="2021"/>
        <n v="2022"/>
        <n v="2023"/>
        <n v="2024"/>
      </sharedItems>
    </cacheField>
    <cacheField name="Fiscal_Week" numFmtId="0">
      <sharedItems/>
    </cacheField>
    <cacheField name="Fiscal_Quarter" numFmtId="0">
      <sharedItems count="4">
        <s v="Q1"/>
        <s v="Q2"/>
        <s v="Q3"/>
        <s v="Q4"/>
      </sharedItems>
    </cacheField>
    <cacheField name="Calendar_Week_Start" numFmtId="15">
      <sharedItems containsSemiMixedTypes="0" containsNonDate="0" containsDate="1" containsString="0" minDate="2020-02-01T00:00:00" maxDate="2024-01-21T00:00:00"/>
    </cacheField>
    <cacheField name="Calendar_Week_End" numFmtId="15">
      <sharedItems containsSemiMixedTypes="0" containsNonDate="0" containsDate="1" containsString="0" minDate="2020-02-07T00:00:00" maxDate="2024-01-27T00:00:00"/>
    </cacheField>
    <cacheField name="Week_UID" numFmtId="0">
      <sharedItems containsSemiMixedTypes="0" containsString="0" containsNumber="1" containsInteger="1" minValue="202001" maxValue="202352"/>
    </cacheField>
    <cacheField name="App_Order_AND" numFmtId="0">
      <sharedItems containsString="0" containsBlank="1" containsNumber="1" containsInteger="1" minValue="4478" maxValue="4069748"/>
    </cacheField>
    <cacheField name="App_Order__x000a_iOS" numFmtId="0">
      <sharedItems containsString="0" containsBlank="1" containsNumber="1" containsInteger="1" minValue="98517" maxValue="7975219"/>
    </cacheField>
    <cacheField name="App_Order_All" numFmtId="168">
      <sharedItems containsSemiMixedTypes="0" containsString="0" containsNumber="1" containsInteger="1" minValue="0" maxValue="12044967"/>
    </cacheField>
    <cacheField name="Desktop__x000a_Order" numFmtId="0">
      <sharedItems containsString="0" containsBlank="1" containsNumber="1" containsInteger="1" minValue="76979" maxValue="4229427"/>
    </cacheField>
    <cacheField name="mWeb__x000a_Order" numFmtId="0">
      <sharedItems containsString="0" containsBlank="1" containsNumber="1" containsInteger="1" minValue="63732" maxValue="3524895"/>
    </cacheField>
    <cacheField name="App_Revenue_AND" numFmtId="168">
      <sharedItems containsString="0" containsBlank="1" containsNumber="1" minValue="377396.6" maxValue="431437472.55000001"/>
    </cacheField>
    <cacheField name="App_Revenue_iOS" numFmtId="168">
      <sharedItems containsString="0" containsBlank="1" containsNumber="1" minValue="9465159.6000000015" maxValue="919847181.74000001"/>
    </cacheField>
    <cacheField name="App_Revenue__x000a_All" numFmtId="168">
      <sharedItems containsSemiMixedTypes="0" containsString="0" containsNumber="1" minValue="0" maxValue="1351284654.29"/>
    </cacheField>
    <cacheField name="Desktop__x000a_Revenue" numFmtId="168">
      <sharedItems containsString="0" containsBlank="1" containsNumber="1" minValue="7089381.5" maxValue="491632866.19999999"/>
    </cacheField>
    <cacheField name="mWeb__x000a_Revenue" numFmtId="168">
      <sharedItems containsString="0" containsBlank="1" containsNumber="1" minValue="4913684.7" maxValue="457874644"/>
    </cacheField>
    <cacheField name="App_Visits__x000a_AND" numFmtId="168">
      <sharedItems containsString="0" containsBlank="1" containsNumber="1" containsInteger="1" minValue="40084" maxValue="62126599"/>
    </cacheField>
    <cacheField name="App_Visits__x000a_iOS" numFmtId="168">
      <sharedItems containsString="0" containsBlank="1" containsNumber="1" containsInteger="1" minValue="1764787" maxValue="115063571"/>
    </cacheField>
    <cacheField name="App_Visits_All" numFmtId="168">
      <sharedItems containsSemiMixedTypes="0" containsString="0" containsNumber="1" containsInteger="1" minValue="0" maxValue="184587841"/>
    </cacheField>
    <cacheField name="Desktop_Visit" numFmtId="0">
      <sharedItems containsString="0" containsBlank="1" containsNumber="1" containsInteger="1" minValue="2246304" maxValue="112328832"/>
    </cacheField>
    <cacheField name="mWeb_Visit" numFmtId="0">
      <sharedItems containsString="0" containsBlank="1" containsNumber="1" containsInteger="1" minValue="480156" maxValue="135155651"/>
    </cacheField>
    <cacheField name="App_Customer_AND" numFmtId="0">
      <sharedItems containsNonDate="0" containsString="0" containsBlank="1"/>
    </cacheField>
    <cacheField name="App_Customer_iOS" numFmtId="0">
      <sharedItems containsNonDate="0" containsString="0" containsBlank="1" count="1">
        <m/>
      </sharedItems>
    </cacheField>
    <cacheField name="App_Customer_All" numFmtId="0">
      <sharedItems containsNonDate="0" containsString="0" containsBlank="1"/>
    </cacheField>
    <cacheField name="Desktop_Customer" numFmtId="0">
      <sharedItems containsNonDate="0" containsString="0" containsBlank="1"/>
    </cacheField>
    <cacheField name="mWeb__x000a_Customer" numFmtId="0">
      <sharedItems containsNonDate="0" containsString="0" containsBlank="1"/>
    </cacheField>
    <cacheField name="App_WAU__x000a_AND" numFmtId="168">
      <sharedItems containsString="0" containsBlank="1" containsNumber="1" containsInteger="1" minValue="345809" maxValue="13043170"/>
    </cacheField>
    <cacheField name="App_WAU__x000a_iOS" numFmtId="168">
      <sharedItems containsString="0" containsBlank="1" containsNumber="1" containsInteger="1" minValue="906820" maxValue="26727575"/>
    </cacheField>
    <cacheField name="App_WAU_All" numFmtId="168">
      <sharedItems containsSemiMixedTypes="0" containsString="0" containsNumber="1" containsInteger="1" minValue="0" maxValue="39411535"/>
    </cacheField>
    <cacheField name="Desktop__x000a_WAU" numFmtId="168">
      <sharedItems containsNonDate="0" containsString="0" containsBlank="1"/>
    </cacheField>
    <cacheField name="mWeb__x000a_WAU" numFmtId="168">
      <sharedItems containsNonDate="0" containsString="0" containsBlank="1"/>
    </cacheField>
    <cacheField name="App_MTD__x000a_MAU" numFmtId="0">
      <sharedItems containsString="0" containsBlank="1" containsNumber="1" containsInteger="1" minValue="8416289" maxValue="74068017"/>
    </cacheField>
    <cacheField name="App_CvR_AND" numFmtId="170">
      <sharedItems containsMixedTypes="1" containsNumber="1" minValue="3.656337177774175E-2" maxValue="0.1117153976649037"/>
    </cacheField>
    <cacheField name="App_CvR__x000a_iOS" numFmtId="170">
      <sharedItems containsMixedTypes="1" containsNumber="1" minValue="4.063041882559934E-2" maxValue="8.1264485812660048E-2"/>
    </cacheField>
    <cacheField name="App_CvR_All" numFmtId="170">
      <sharedItems containsMixedTypes="1" containsNumber="1" minValue="2.2521436391484389E-2" maxValue="7.777231220558356E-2"/>
    </cacheField>
    <cacheField name="Desktop__x000a_CvR" numFmtId="170">
      <sharedItems containsMixedTypes="1" containsNumber="1" minValue="1.9944487627183729E-2" maxValue="0.102011443023863"/>
    </cacheField>
    <cacheField name="mWeb__x000a_CvR" numFmtId="170">
      <sharedItems containsMixedTypes="1" containsNumber="1" minValue="1.4614025722446329E-2" maxValue="2.0667116520464179"/>
    </cacheField>
    <cacheField name="App_AOV__x000a_AND" numFmtId="168">
      <sharedItems containsMixedTypes="1" containsNumber="1" minValue="72.503944833491332" maxValue="106.0108568270075"/>
    </cacheField>
    <cacheField name="App_AOV__x000a_iOS" numFmtId="168">
      <sharedItems containsMixedTypes="1" containsNumber="1" minValue="84.080420524571892" maxValue="115.3381721229223"/>
    </cacheField>
    <cacheField name="App_AOV_All" numFmtId="168">
      <sharedItems containsMixedTypes="1" containsNumber="1" minValue="49.719412006301297" maxValue="113.93701069037979"/>
    </cacheField>
    <cacheField name="Desktop_AOV" numFmtId="168">
      <sharedItems containsMixedTypes="1" containsNumber="1" minValue="85.578142525079613" maxValue="127.10692444069321"/>
    </cacheField>
    <cacheField name="mWeb__x000a_AOV" numFmtId="168">
      <sharedItems containsMixedTypes="1" containsNumber="1" minValue="77.099176237996616" maxValue="131.5765385953836"/>
    </cacheField>
    <cacheField name="App_GMV_AND_Share" numFmtId="9">
      <sharedItems containsMixedTypes="1" containsNumber="1" minValue="0" maxValue="0.23101894301054299"/>
    </cacheField>
    <cacheField name="App_GMV_iOS_Share" numFmtId="9">
      <sharedItems containsMixedTypes="1" containsNumber="1" minValue="0" maxValue="0.48457390671965589"/>
    </cacheField>
    <cacheField name="App_GMV_Share" numFmtId="9">
      <sharedItems containsMixedTypes="1" containsNumber="1" minValue="0.5216496575892966" maxValue="1"/>
    </cacheField>
    <cacheField name="Desktop_GMV_Share" numFmtId="9">
      <sharedItems containsMixedTypes="1" containsNumber="1" minValue="0" maxValue="0.26798838705043809"/>
    </cacheField>
    <cacheField name="mWeb_GMV_Share" numFmtId="9">
      <sharedItems containsMixedTypes="1" containsNumber="1" minValue="0" maxValue="0.2241225884188111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count="208">
  <r>
    <x v="0"/>
    <s v="01"/>
    <x v="0"/>
    <d v="2020-02-01T00:00:00"/>
    <d v="2020-02-07T00:00:00"/>
    <n v="202001"/>
    <n v="464525.99112"/>
    <n v="60360.72658138701"/>
    <n v="99317.8450083135"/>
    <n v="624204.5627097005"/>
    <n v="438782"/>
    <n v="68417"/>
    <n v="118788"/>
    <n v="625987"/>
    <n v="438782"/>
    <n v="68417"/>
    <n v="118788"/>
    <n v="625987"/>
    <n v="625987"/>
    <n v="624204.5627097005"/>
    <n v="625987"/>
    <n v="0.002855533901517493"/>
    <n v="0.002855533901517493"/>
    <n v="0"/>
    <n v="0"/>
    <n v="0.01303331112959246"/>
    <n v="0.01179016160071927"/>
    <n v="-0.05541991538068669"/>
    <n v="0.1334687946101902"/>
    <n v="0.196038838640294"/>
    <n v="0.002855533901517493"/>
    <n v="0"/>
    <n v="0"/>
    <n v="0"/>
    <n v="0"/>
    <n v="-0.05541991538068669"/>
    <n v="0.1334687946101902"/>
    <n v="0.196038838640294"/>
    <n v="0"/>
    <n v="0"/>
    <n v="0"/>
    <m/>
    <n v="0.48"/>
    <n v="0.48"/>
    <s v=""/>
    <s v=""/>
    <m/>
    <n v="0.6899999999999999"/>
    <n v="0.6899999999999999"/>
    <s v=""/>
    <s v=""/>
    <m/>
    <n v="16097351"/>
    <s v=""/>
    <s v=""/>
    <s v=""/>
  </r>
  <r>
    <x v="0"/>
    <s v="02"/>
    <x v="0"/>
    <d v="2020-02-08T00:00:00"/>
    <d v="2020-02-14T00:00:00"/>
    <n v="202002"/>
    <n v="445342.16775"/>
    <n v="60360.72658138701"/>
    <n v="99317.84500831347"/>
    <n v="605020.7393397004"/>
    <n v="446571"/>
    <n v="66180"/>
    <n v="153628"/>
    <n v="666379"/>
    <n v="446571"/>
    <n v="66181"/>
    <n v="153628"/>
    <n v="666380"/>
    <n v="1292367"/>
    <n v="1229225.302049401"/>
    <n v="1292366"/>
    <n v="0.05136706659497436"/>
    <n v="0.05136706659497436"/>
    <n v="7.737746119396149e-07"/>
    <n v="7.737746119396149e-07"/>
    <n v="0.02690762141165555"/>
    <n v="0.02434110576966737"/>
    <n v="0.002759299116471325"/>
    <n v="0.09642484026041775"/>
    <n v="0.5468317902703232"/>
    <n v="0.1014167889967954"/>
    <n v="0"/>
    <n v="1.511030522816093e-05"/>
    <n v="0"/>
    <n v="1.500647529351085e-06"/>
    <n v="-0.02694363862611304"/>
    <n v="0.1149468174353039"/>
    <n v="0.3714353144553086"/>
    <n v="0"/>
    <n v="7.429586097673635e-06"/>
    <n v="0"/>
    <m/>
    <n v="0.479"/>
    <n v="0.479"/>
    <s v=""/>
    <s v=""/>
    <m/>
    <n v="0.695"/>
    <n v="0.695"/>
    <s v=""/>
    <s v=""/>
    <m/>
    <n v="16125362"/>
    <s v=""/>
    <s v=""/>
    <s v=""/>
  </r>
  <r>
    <x v="0"/>
    <s v="03"/>
    <x v="0"/>
    <d v="2020-02-15T00:00:00"/>
    <d v="2020-02-21T00:00:00"/>
    <n v="202003"/>
    <n v="453202.6952"/>
    <n v="60360.72658138701"/>
    <n v="99317.84500831347"/>
    <n v="612881.2667897005"/>
    <n v="425592"/>
    <n v="60951"/>
    <n v="218415"/>
    <n v="704958"/>
    <n v="425592"/>
    <n v="60954"/>
    <n v="218412"/>
    <n v="704958"/>
    <n v="1997325"/>
    <n v="1842106.568839102"/>
    <n v="1997324"/>
    <n v="0.08426137433444869"/>
    <n v="0.08426137433444869"/>
    <n v="5.006698964304945e-07"/>
    <n v="5.006698964304945e-07"/>
    <n v="0.04158514178715095"/>
    <n v="0.03761864786194701"/>
    <n v="-0.06092350176297012"/>
    <n v="0.009828798495542523"/>
    <n v="1.199121416516012"/>
    <n v="0.1502358420785179"/>
    <n v="0"/>
    <n v="4.921986513761745e-05"/>
    <n v="-1.373532037629577e-05"/>
    <n v="0"/>
    <n v="-0.0382414853302433"/>
    <n v="0.07990747778871676"/>
    <n v="0.6473306818088762"/>
    <n v="0"/>
    <n v="2.045533577432757e-05"/>
    <n v="-6.112083385079181e-06"/>
    <m/>
    <n v="0.488"/>
    <n v="0.488"/>
    <s v=""/>
    <s v=""/>
    <m/>
    <n v="0.7"/>
    <n v="0.7"/>
    <s v=""/>
    <s v=""/>
    <m/>
    <n v="16262827"/>
    <s v=""/>
    <s v=""/>
    <s v=""/>
  </r>
  <r>
    <x v="0"/>
    <s v="04"/>
    <x v="0"/>
    <d v="2020-02-22T00:00:00"/>
    <d v="2020-02-28T00:00:00"/>
    <n v="202004"/>
    <n v="499681.7400999999"/>
    <n v="60360.72658138701"/>
    <n v="99317.84500831347"/>
    <n v="659360.3116897003"/>
    <n v="476515"/>
    <n v="68982"/>
    <n v="249741"/>
    <n v="795238"/>
    <n v="476515"/>
    <n v="68983"/>
    <n v="249740"/>
    <n v="795238"/>
    <n v="2792563"/>
    <n v="2501466.880528802"/>
    <n v="2792562"/>
    <n v="0.11637016733544"/>
    <n v="0.11637016733544"/>
    <n v="3.580941085878919e-07"/>
    <n v="3.580941085878919e-07"/>
    <n v="0.05814232951800615"/>
    <n v="0.0525965699769954"/>
    <n v="-0.04636299116186149"/>
    <n v="0.142845752643272"/>
    <n v="1.514553149830177"/>
    <n v="0.206075018319035"/>
    <n v="0"/>
    <n v="1.449653532814565e-05"/>
    <n v="-4.00414829759832e-06"/>
    <n v="0"/>
    <n v="-0.0404200721049317"/>
    <n v="0.09564204650235553"/>
    <n v="0.8641362988142014"/>
    <n v="0"/>
    <n v="1.89014478508831e-05"/>
    <n v="-5.401230400270407e-06"/>
    <m/>
    <n v="0.526"/>
    <n v="0.526"/>
    <s v=""/>
    <s v=""/>
    <m/>
    <n v="0.705"/>
    <n v="0.705"/>
    <s v=""/>
    <s v=""/>
    <m/>
    <n v="16647127"/>
    <s v=""/>
    <s v=""/>
    <s v=""/>
  </r>
  <r>
    <x v="0"/>
    <s v="05"/>
    <x v="0"/>
    <d v="2020-02-29T00:00:00"/>
    <d v="2020-03-06T00:00:00"/>
    <n v="202005"/>
    <n v="497254.52647"/>
    <n v="58403.53246860295"/>
    <n v="113735.0783423464"/>
    <n v="669393.1372809493"/>
    <n v="514732"/>
    <n v="88451"/>
    <n v="277213"/>
    <n v="880396"/>
    <n v="514732"/>
    <n v="88452"/>
    <n v="277212"/>
    <n v="880396"/>
    <n v="3672959"/>
    <n v="3170860.017809751"/>
    <n v="3672958"/>
    <n v="0.1583478864945511"/>
    <n v="0.1583478864945511"/>
    <n v="2.722601237792333e-07"/>
    <n v="2.722601237792333e-07"/>
    <n v="0.07647254242218576"/>
    <n v="0.06917840172849637"/>
    <n v="0.03514794255181997"/>
    <n v="0.5144974329686436"/>
    <n v="1.437348301335693"/>
    <n v="0.3152151567853485"/>
    <n v="0"/>
    <n v="1.130569467844289e-05"/>
    <n v="-3.607334432387255e-06"/>
    <n v="0"/>
    <n v="-0.02449785855913911"/>
    <n v="0.1772259207731688"/>
    <n v="0.9917165102674899"/>
    <n v="0"/>
    <n v="1.699808204969067e-05"/>
    <n v="-4.912628895126225e-06"/>
    <m/>
    <n v="0.517"/>
    <n v="0.517"/>
    <s v=""/>
    <s v=""/>
    <m/>
    <n v="0.7"/>
    <n v="0.7"/>
    <s v=""/>
    <s v=""/>
    <m/>
    <n v="17249549"/>
    <s v=""/>
    <s v=""/>
    <s v=""/>
  </r>
  <r>
    <x v="0"/>
    <s v="06"/>
    <x v="0"/>
    <d v="2020-03-07T00:00:00"/>
    <d v="2020-03-13T00:00:00"/>
    <n v="202006"/>
    <n v="489099.63155"/>
    <n v="58077.3334498056"/>
    <n v="116137.9505646852"/>
    <n v="663314.9155644907"/>
    <n v="543845"/>
    <n v="105549"/>
    <n v="274829"/>
    <n v="924223"/>
    <n v="543845"/>
    <n v="105549"/>
    <n v="274829"/>
    <n v="924223"/>
    <n v="4597182"/>
    <n v="3834174.933374242"/>
    <n v="4597181"/>
    <n v="0.1990016313507841"/>
    <n v="0.1990016313507841"/>
    <n v="2.175246089919369e-07"/>
    <n v="2.175246089919369e-07"/>
    <n v="0.09571525179494483"/>
    <n v="0.08658569377306211"/>
    <n v="0.1119309132916479"/>
    <n v="0.8173871583002801"/>
    <n v="1.366401324147087"/>
    <n v="0.3933396917714005"/>
    <n v="0"/>
    <n v="0"/>
    <n v="0"/>
    <n v="0"/>
    <n v="-0.001077443724297189"/>
    <n v="0.2810995959426446"/>
    <n v="1.061102644898294"/>
    <n v="0"/>
    <n v="1.308529431010008e-05"/>
    <n v="-3.868130779904888e-06"/>
    <m/>
    <n v="0.51"/>
    <n v="0.51"/>
    <s v=""/>
    <s v=""/>
    <m/>
    <n v="0.702"/>
    <n v="0.702"/>
    <s v=""/>
    <s v=""/>
    <m/>
    <n v="17913011"/>
    <s v=""/>
    <s v=""/>
    <s v=""/>
  </r>
  <r>
    <x v="0"/>
    <s v="07"/>
    <x v="0"/>
    <d v="2020-03-14T00:00:00"/>
    <d v="2020-03-20T00:00:00"/>
    <n v="202007"/>
    <n v="450696.38599"/>
    <n v="58077.3334498056"/>
    <n v="116137.9505646852"/>
    <n v="624911.6700044908"/>
    <n v="632848"/>
    <n v="139848"/>
    <n v="230811"/>
    <n v="1003507"/>
    <n v="632848"/>
    <n v="139848"/>
    <n v="230811"/>
    <n v="1003507"/>
    <n v="5600689"/>
    <n v="4459086.603378733"/>
    <n v="5600688"/>
    <n v="0.2560170945673614"/>
    <n v="0.2560170945673614"/>
    <n v="1.785494925243825e-07"/>
    <n v="1.785494925243825e-07"/>
    <n v="0.1166086872045044"/>
    <n v="0.1054862615124129"/>
    <n v="0.4041559233049665"/>
    <n v="1.407961793233262"/>
    <n v="0.987386542277974"/>
    <n v="0.6058381498825083"/>
    <n v="0"/>
    <n v="0"/>
    <n v="0"/>
    <n v="0"/>
    <n v="0.05427046836459848"/>
    <n v="0.4384192537230858"/>
    <n v="1.049584495742109"/>
    <n v="0"/>
    <n v="1.002710661146544e-05"/>
    <n v="-3.282078211874762e-06"/>
    <m/>
    <n v="0.467"/>
    <n v="0.467"/>
    <s v=""/>
    <s v=""/>
    <m/>
    <n v="0.6909999999999999"/>
    <n v="0.6909999999999999"/>
    <s v=""/>
    <s v=""/>
    <m/>
    <n v="17665393"/>
    <s v=""/>
    <s v=""/>
    <s v=""/>
  </r>
  <r>
    <x v="0"/>
    <s v="08"/>
    <x v="0"/>
    <d v="2020-03-21T00:00:00"/>
    <d v="2020-03-27T00:00:00"/>
    <n v="202008"/>
    <n v="424621.19063"/>
    <n v="58077.3334498056"/>
    <n v="116137.9505646852"/>
    <n v="598836.4746444909"/>
    <n v="714140"/>
    <n v="151173"/>
    <n v="108403"/>
    <n v="973716"/>
    <n v="714140"/>
    <n v="151459"/>
    <n v="107817"/>
    <n v="973416"/>
    <n v="6574105"/>
    <n v="5057923.078023223"/>
    <n v="6574404"/>
    <n v="0.2997637367330905"/>
    <n v="0.2997637367330905"/>
    <n v="-4.547940771515435e-05"/>
    <n v="-4.547940771515435e-05"/>
    <n v="0.1368756154099198"/>
    <n v="0.1238200798580427"/>
    <n v="0.6818284526508158"/>
    <n v="1.607884883883335"/>
    <n v="-0.07164712761183689"/>
    <n v="0.6255122077824073"/>
    <n v="0"/>
    <n v="0.001891872225860514"/>
    <n v="-0.005405754453290057"/>
    <n v="-0.0003080980491231289"/>
    <n v="0.1258182821879814"/>
    <n v="0.5816855146473361"/>
    <n v="0.8980666164007556"/>
    <n v="0"/>
    <n v="0.00038956655384359"/>
    <n v="-0.0003621705228736838"/>
    <m/>
    <n v="0.489"/>
    <n v="0.489"/>
    <s v=""/>
    <s v=""/>
    <m/>
    <n v="0.722"/>
    <n v="0.722"/>
    <s v=""/>
    <s v=""/>
    <m/>
    <n v="16876129"/>
    <s v=""/>
    <s v=""/>
    <s v=""/>
  </r>
  <r>
    <x v="0"/>
    <s v="09"/>
    <x v="0"/>
    <d v="2020-03-28T00:00:00"/>
    <d v="2020-04-03T00:00:00"/>
    <n v="202009"/>
    <n v="436768.7228634296"/>
    <n v="94174.4953606614"/>
    <n v="80044.10744997261"/>
    <n v="610987.3256740636"/>
    <n v="874325"/>
    <n v="224760"/>
    <n v="59733"/>
    <n v="1158818"/>
    <n v="874325"/>
    <n v="225482"/>
    <n v="59011"/>
    <n v="1158818"/>
    <n v="7732923"/>
    <n v="5668910.403697287"/>
    <n v="7733222"/>
    <n v="0.3640933529230865"/>
    <n v="0.3640933529230865"/>
    <n v="-3.866434973676114e-05"/>
    <n v="-3.866434973676114e-05"/>
    <n v="0.1610026907909933"/>
    <n v="0.1456458549712995"/>
    <n v="1.001803137981075"/>
    <n v="1.394300061141484"/>
    <n v="-0.2627689672611848"/>
    <n v="0.8966318142877177"/>
    <n v="0"/>
    <n v="0.003212315358604778"/>
    <n v="-0.0120871210218807"/>
    <n v="0"/>
    <n v="0.2177637367634646"/>
    <n v="0.716357172622293"/>
    <n v="0.7991612758071118"/>
    <n v="0"/>
    <n v="0.001040735453053498"/>
    <n v="-0.0007762061196728842"/>
    <m/>
    <n v="0.5"/>
    <n v="0.5"/>
    <s v=""/>
    <s v=""/>
    <m/>
    <n v="0.705"/>
    <n v="0.705"/>
    <s v=""/>
    <s v=""/>
    <m/>
    <n v="18183447"/>
    <s v=""/>
    <s v=""/>
    <s v=""/>
  </r>
  <r>
    <x v="0"/>
    <s v="10"/>
    <x v="0"/>
    <d v="2020-04-04T00:00:00"/>
    <d v="2020-04-10T00:00:00"/>
    <n v="202010"/>
    <n v="434697.0216237255"/>
    <n v="142304.0445751358"/>
    <n v="31918.98329702251"/>
    <n v="608920.0494958838"/>
    <n v="912885"/>
    <n v="250547"/>
    <n v="78074"/>
    <n v="1241506"/>
    <n v="912885"/>
    <n v="250547"/>
    <n v="78074"/>
    <n v="1241506"/>
    <n v="8974429"/>
    <n v="6277830.453193171"/>
    <n v="8974728"/>
    <n v="0.4295430669739138"/>
    <n v="0.4295430669739138"/>
    <n v="-3.33157729125455e-05"/>
    <n v="-3.33157729125455e-05"/>
    <n v="0.18685136491243"/>
    <n v="0.1690290184687245"/>
    <n v="1.100048895182435"/>
    <n v="0.760645670669694"/>
    <n v="1.4460052274686"/>
    <n v="1.038865366689478"/>
    <n v="0"/>
    <n v="0"/>
    <n v="0"/>
    <n v="0"/>
    <n v="0.301213672351762"/>
    <n v="0.7252268798883719"/>
    <n v="0.8204161184073717"/>
    <n v="0"/>
    <n v="0.0008278510651846815"/>
    <n v="-0.00074196091284362"/>
    <m/>
    <n v="0.513"/>
    <n v="0.513"/>
    <s v=""/>
    <s v=""/>
    <m/>
    <n v="0.706"/>
    <n v="0.706"/>
    <s v=""/>
    <s v=""/>
    <m/>
    <n v="19829316"/>
    <s v=""/>
    <s v=""/>
    <s v=""/>
  </r>
  <r>
    <x v="0"/>
    <s v="11"/>
    <x v="0"/>
    <d v="2020-04-11T00:00:00"/>
    <d v="2020-04-17T00:00:00"/>
    <n v="202011"/>
    <n v="428816.7191137255"/>
    <n v="142304.0445751358"/>
    <n v="31918.98329702251"/>
    <n v="603039.7469858839"/>
    <n v="904782"/>
    <n v="209715"/>
    <n v="129241"/>
    <n v="1243738"/>
    <n v="904782"/>
    <n v="209715"/>
    <n v="129241"/>
    <n v="1243738"/>
    <n v="10218167"/>
    <n v="6880870.200179055"/>
    <n v="10218466"/>
    <n v="0.4850108638488924"/>
    <n v="0.4850108638488924"/>
    <n v="-2.926075205422762e-05"/>
    <n v="-2.926075205422762e-05"/>
    <n v="0.2127465102072957"/>
    <n v="0.1924542206038414"/>
    <n v="1.109950381295755"/>
    <n v="0.4737107481809595"/>
    <n v="3.049032476922783"/>
    <n v="1.06244780085634"/>
    <n v="0"/>
    <n v="0"/>
    <n v="0"/>
    <n v="0"/>
    <n v="0.3702325895709695"/>
    <n v="0.6832601797752749"/>
    <n v="0.8913171443087164"/>
    <n v="0"/>
    <n v="0.0007068305342425862"/>
    <n v="-0.0006914616857551792"/>
    <m/>
    <n v="0.54"/>
    <n v="0.54"/>
    <s v=""/>
    <s v=""/>
    <m/>
    <n v="0.715"/>
    <n v="0.715"/>
    <s v=""/>
    <s v=""/>
    <m/>
    <n v="20215948"/>
    <s v=""/>
    <s v=""/>
    <s v=""/>
  </r>
  <r>
    <x v="0"/>
    <s v="12"/>
    <x v="0"/>
    <d v="2020-04-18T00:00:00"/>
    <d v="2020-04-24T00:00:00"/>
    <n v="202012"/>
    <n v="420838.4511337256"/>
    <n v="142304.0445751358"/>
    <n v="31918.98329702251"/>
    <n v="595061.4790058839"/>
    <n v="977778"/>
    <n v="251183"/>
    <n v="134182"/>
    <n v="1363143"/>
    <n v="977778"/>
    <n v="251184"/>
    <n v="134182"/>
    <n v="1363144"/>
    <n v="11581311"/>
    <n v="7475931.67918494"/>
    <n v="11581609"/>
    <n v="0.549146179632108"/>
    <n v="0.549146179632108"/>
    <n v="-2.573044902487442e-05"/>
    <n v="-2.573044902487442e-05"/>
    <n v="0.2411277383580995"/>
    <n v="0.2181283768483814"/>
    <n v="1.323404616108383"/>
    <n v="0.7651220016264271"/>
    <n v="3.203830640574221"/>
    <n v="1.290761623954021"/>
    <n v="0"/>
    <n v="3.981161145416579e-06"/>
    <n v="0"/>
    <n v="7.335987493028995e-07"/>
    <n v="0.4438948991050824"/>
    <n v="0.6949660451815354"/>
    <n v="0.9626188793627943"/>
    <n v="0"/>
    <n v="0.0006021037445513855"/>
    <n v="-0.0006458251559965378"/>
    <m/>
    <n v="0.552"/>
    <n v="0.552"/>
    <s v=""/>
    <s v=""/>
    <m/>
    <n v="0.735"/>
    <n v="0.735"/>
    <s v=""/>
    <s v=""/>
    <m/>
    <n v="20805392"/>
    <s v=""/>
    <s v=""/>
    <s v=""/>
  </r>
  <r>
    <x v="0"/>
    <s v="13"/>
    <x v="0"/>
    <d v="2020-04-25T00:00:00"/>
    <d v="2020-05-01T00:00:00"/>
    <n v="202013"/>
    <n v="434237.0931323855"/>
    <n v="234622.9023034489"/>
    <n v="31640.96238746144"/>
    <n v="700500.9578232958"/>
    <n v="949164"/>
    <n v="206570"/>
    <n v="125480"/>
    <n v="1281214"/>
    <n v="949164"/>
    <n v="206570"/>
    <n v="125480"/>
    <n v="1281214"/>
    <n v="12862525"/>
    <n v="8176432.637008236"/>
    <n v="12862823"/>
    <n v="0.5731218700171925"/>
    <n v="0.5731218700171925"/>
    <n v="-2.316754261488807e-05"/>
    <n v="-2.316754261488807e-05"/>
    <n v="0.2678031496455378"/>
    <n v="0.2422594212711952"/>
    <n v="1.185819716950411"/>
    <n v="-0.1195659163194851"/>
    <n v="2.965745367142332"/>
    <n v="0.828996785359416"/>
    <n v="0"/>
    <n v="0"/>
    <n v="0"/>
    <n v="0"/>
    <n v="0.4986879607826018"/>
    <n v="0.5395670191661406"/>
    <n v="1.022027528526695"/>
    <n v="0"/>
    <n v="0.0005363769244834948"/>
    <n v="-0.0006082820872275185"/>
    <m/>
    <n v="0.531"/>
    <n v="0.531"/>
    <s v=""/>
    <s v=""/>
    <m/>
    <n v="0.716"/>
    <n v="0.716"/>
    <s v=""/>
    <s v=""/>
    <m/>
    <n v="20756256"/>
    <s v=""/>
    <s v=""/>
    <s v=""/>
  </r>
  <r>
    <x v="0"/>
    <s v="14"/>
    <x v="1"/>
    <d v="2020-05-02T00:00:00"/>
    <d v="2020-05-08T00:00:00"/>
    <n v="202014"/>
    <n v="448076.5384094608"/>
    <n v="788536.0486733278"/>
    <n v="29972.836930095"/>
    <n v="1266585.424012884"/>
    <n v="841908.1123083619"/>
    <n v="518085.1186694425"/>
    <n v="29972.836930095"/>
    <n v="1389966.067907899"/>
    <n v="928553"/>
    <n v="255442"/>
    <n v="146598"/>
    <n v="1330593"/>
    <n v="14193118"/>
    <n v="9443018.061021119"/>
    <n v="14252789.0679079"/>
    <n v="0.5030277299358707"/>
    <n v="0.05053553812764022"/>
    <n v="-0.004186623938907341"/>
    <n v="-0.04271548009604609"/>
    <n v="0.2955066523634183"/>
    <n v="0.2673204952148807"/>
    <n v="1.072308903510299"/>
    <n v="-0.6760553934981561"/>
    <n v="3.891028511645639"/>
    <n v="0.05053553812764022"/>
    <n v="0.1029148982233623"/>
    <n v="-0.5069497447523068"/>
    <n v="3.891028511645639"/>
    <n v="-0.04271548009604609"/>
    <n v="0.5393061369224872"/>
    <n v="0.06463728298932003"/>
    <n v="1.100427730514941"/>
    <n v="0.008975148164321434"/>
    <n v="-0.1085408694985868"/>
    <n v="0.05268978390422663"/>
    <m/>
    <n v="0.541"/>
    <n v="0.541"/>
    <s v=""/>
    <s v=""/>
    <m/>
    <n v="0.722"/>
    <n v="0.722"/>
    <s v=""/>
    <s v=""/>
    <m/>
    <n v="20786935"/>
    <s v=""/>
    <s v=""/>
    <s v=""/>
  </r>
  <r>
    <x v="0"/>
    <s v="15"/>
    <x v="1"/>
    <d v="2020-05-09T00:00:00"/>
    <d v="2020-05-15T00:00:00"/>
    <n v="202015"/>
    <n v="433334.5425294609"/>
    <n v="788536.0486733278"/>
    <n v="29972.836930095"/>
    <n v="1251843.428132884"/>
    <n v="739534.739892926"/>
    <n v="788536.0486733277"/>
    <n v="29972.836930095"/>
    <n v="1558043.625496349"/>
    <n v="943313"/>
    <n v="601764"/>
    <n v="147719"/>
    <n v="1692796"/>
    <n v="15885914"/>
    <n v="10694861.489154"/>
    <n v="15810832.69340425"/>
    <n v="0.4853781899008609"/>
    <n v="0.2005060208169047"/>
    <n v="0.004748725639673212"/>
    <n v="0.02556955859555088"/>
    <n v="0.3307513730156516"/>
    <n v="0.299203487029489"/>
    <n v="1.176870079393376"/>
    <n v="-0.2368592393303545"/>
    <n v="3.928429042086401"/>
    <n v="0.3522425903731381"/>
    <n v="0.2755492732316784"/>
    <n v="-0.2368592393303544"/>
    <n v="3.928429042086401"/>
    <n v="0.08648819089434867"/>
    <n v="0.58016852056974"/>
    <n v="-0.02006265596356538"/>
    <n v="1.175651922990172"/>
    <n v="0.02794303077362503"/>
    <n v="-0.1401711700400594"/>
    <n v="0.105052982307634"/>
    <m/>
    <n v="0.622"/>
    <n v="0.622"/>
    <s v=""/>
    <s v=""/>
    <m/>
    <n v="0.777"/>
    <n v="0.777"/>
    <s v=""/>
    <s v=""/>
    <m/>
    <n v="21226975"/>
    <s v=""/>
    <s v=""/>
    <s v=""/>
  </r>
  <r>
    <x v="0"/>
    <s v="16"/>
    <x v="1"/>
    <d v="2020-05-16T00:00:00"/>
    <d v="2020-05-22T00:00:00"/>
    <n v="202016"/>
    <n v="462327.8109994609"/>
    <n v="788536.0486733278"/>
    <n v="29972.836930095"/>
    <n v="1280836.696602884"/>
    <n v="709382.2905910574"/>
    <n v="788536.0486733277"/>
    <n v="29972.836930095"/>
    <n v="1527891.17619448"/>
    <n v="950196"/>
    <n v="590521"/>
    <n v="159098"/>
    <n v="1699815"/>
    <n v="17585729"/>
    <n v="11975698.18575689"/>
    <n v="17338723.86959873"/>
    <n v="0.4684512524635362"/>
    <n v="0.2431887003938598"/>
    <n v="0.01424586562765229"/>
    <n v="0.05525214646307464"/>
    <n v="0.3661422321832513"/>
    <n v="0.3312186783055484"/>
    <n v="1.05524300592228"/>
    <n v="-0.251117306566362"/>
    <n v="4.308072785070723"/>
    <n v="0.3271129758448965"/>
    <n v="0.339469581638832"/>
    <n v="-0.2511173065663619"/>
    <n v="4.308072785070723"/>
    <n v="0.1125236054008316"/>
    <n v="0.6105747642732471"/>
    <n v="-0.07073716172250177"/>
    <n v="1.256814695056666"/>
    <n v="0.04784717512071235"/>
    <n v="-0.1621110813506902"/>
    <n v="0.1610809404013842"/>
    <m/>
    <n v="0.603"/>
    <n v="0.603"/>
    <s v=""/>
    <s v=""/>
    <m/>
    <n v="0.775"/>
    <n v="0.775"/>
    <s v=""/>
    <s v=""/>
    <m/>
    <n v="21970673"/>
    <s v=""/>
    <s v=""/>
    <s v=""/>
  </r>
  <r>
    <x v="0"/>
    <s v="17"/>
    <x v="1"/>
    <d v="2020-05-23T00:00:00"/>
    <d v="2020-05-29T00:00:00"/>
    <n v="202017"/>
    <n v="512637.2957594609"/>
    <n v="788536.0486733278"/>
    <n v="29972.836930095"/>
    <n v="1331146.181362884"/>
    <n v="709436.9617952876"/>
    <n v="788536.0486733277"/>
    <n v="29972.836930095"/>
    <n v="1527945.84739871"/>
    <n v="859510"/>
    <n v="328377"/>
    <n v="141280"/>
    <n v="1329167"/>
    <n v="18914896"/>
    <n v="13306844.36711977"/>
    <n v="18866669.71699744"/>
    <n v="0.4214411379708707"/>
    <n v="0.1797047329510184"/>
    <n v="0.002556162996753653"/>
    <n v="0.008082198845147825"/>
    <n v="0.3938160449847743"/>
    <n v="0.3562528942307086"/>
    <n v="0.6766435199113923"/>
    <n v="-0.5835612074394344"/>
    <n v="3.713601195959671"/>
    <n v="-0.001486824956262289"/>
    <n v="0.2115382286044705"/>
    <n v="-0.5835612074394343"/>
    <n v="3.713601195959671"/>
    <n v="-0.13009547932417"/>
    <n v="0.61495281678055"/>
    <n v="-0.1629786087690295"/>
    <n v="1.31886368008075"/>
    <n v="0.05767838998101382"/>
    <n v="-0.2316938444680632"/>
    <n v="0.2078144985067705"/>
    <m/>
    <n v="0.53"/>
    <n v="0.53"/>
    <s v=""/>
    <s v=""/>
    <m/>
    <n v="0.727"/>
    <n v="0.727"/>
    <s v=""/>
    <s v=""/>
    <m/>
    <n v="21821990"/>
    <s v=""/>
    <s v=""/>
    <s v=""/>
  </r>
  <r>
    <x v="0"/>
    <s v="18"/>
    <x v="1"/>
    <d v="2020-05-30T00:00:00"/>
    <d v="2020-06-05T00:00:00"/>
    <n v="202018"/>
    <n v="592423.8963141171"/>
    <n v="284654.5642732085"/>
    <n v="124183.0593352739"/>
    <n v="1001261.5199226"/>
    <n v="735287.0219063401"/>
    <n v="284999.8956205408"/>
    <n v="124183.0593352739"/>
    <n v="1144469.976862155"/>
    <n v="802199"/>
    <n v="225859"/>
    <n v="114679"/>
    <n v="1142737"/>
    <n v="20057633"/>
    <n v="14308105.88704237"/>
    <n v="20011139.69385959"/>
    <n v="0.4018370536497415"/>
    <n v="0.1734330429234705"/>
    <n v="0.002323371224812076"/>
    <n v="0.00654577967713732"/>
    <n v="0.4176083072207267"/>
    <n v="0.3777757915067241"/>
    <n v="0.3540962898205835"/>
    <n v="-0.2065505762162209"/>
    <n v="-0.07653265579175739"/>
    <n v="0.141297230805731"/>
    <n v="0.09100116838752403"/>
    <n v="-0.2075119904580004"/>
    <n v="-0.07653265579175739"/>
    <n v="-0.001514217845107857"/>
    <n v="0.5963977215344842"/>
    <n v="-0.1656352927136235"/>
    <n v="1.18667989035055"/>
    <n v="0.059631112884172"/>
    <n v="-0.2303320978216906"/>
    <n v="0.1931175380522363"/>
    <m/>
    <n v="0.517"/>
    <n v="0.517"/>
    <s v=""/>
    <s v=""/>
    <m/>
    <n v="0.714"/>
    <n v="0.714"/>
    <s v=""/>
    <s v=""/>
    <m/>
    <n v="20733930"/>
    <s v=""/>
    <s v=""/>
    <s v=""/>
  </r>
  <r>
    <x v="0"/>
    <s v="19"/>
    <x v="1"/>
    <d v="2020-06-06T00:00:00"/>
    <d v="2020-06-12T00:00:00"/>
    <n v="202019"/>
    <n v="587361.1671556213"/>
    <n v="229184.7641760403"/>
    <n v="114828.2185532544"/>
    <n v="931374.149884916"/>
    <n v="657638.7386309485"/>
    <n v="229184.7641760403"/>
    <n v="114828.2185532544"/>
    <n v="1001651.721360243"/>
    <n v="791281"/>
    <n v="173799"/>
    <n v="124678"/>
    <n v="1089758"/>
    <n v="21147391"/>
    <n v="15239480.03692729"/>
    <n v="21012791.41521984"/>
    <n v="0.3876714263713104"/>
    <n v="0.1729874558246562"/>
    <n v="0.006405602288645618"/>
    <n v="0.0165519150391118"/>
    <n v="0.4402975245207065"/>
    <n v="0.3983008550075263"/>
    <n v="0.3471796302637591"/>
    <n v="-0.2416642501309453"/>
    <n v="0.08577840508931622"/>
    <n v="0.1700539467781605"/>
    <n v="0.2032153118705624"/>
    <n v="-0.2416642501309453"/>
    <n v="0.08577840508931622"/>
    <n v="0.08796099159107773"/>
    <n v="0.5799798261628004"/>
    <n v="-0.1691929676069375"/>
    <n v="1.09801551697276"/>
    <n v="0.06678184982585078"/>
    <n v="-0.230823034785875"/>
    <n v="0.1882214696827185"/>
    <m/>
    <n v="0.497"/>
    <n v="0.497"/>
    <s v=""/>
    <s v=""/>
    <m/>
    <n v="0.699"/>
    <n v="0.699"/>
    <s v=""/>
    <s v=""/>
    <m/>
    <n v="21178872"/>
    <s v=""/>
    <s v=""/>
    <s v=""/>
  </r>
  <r>
    <x v="0"/>
    <s v="20"/>
    <x v="1"/>
    <d v="2020-06-13T00:00:00"/>
    <d v="2020-06-19T00:00:00"/>
    <n v="202020"/>
    <n v="601158.7906756212"/>
    <n v="229184.7641760403"/>
    <n v="114828.2185532544"/>
    <n v="945171.7734049159"/>
    <n v="612185.0788111971"/>
    <n v="229184.7641760403"/>
    <n v="114828.2185532544"/>
    <n v="956198.0615404918"/>
    <n v="798147"/>
    <n v="142252"/>
    <n v="178040"/>
    <n v="1118439"/>
    <n v="22265830"/>
    <n v="16184651.81033221"/>
    <n v="21968989.47676033"/>
    <n v="0.375737350480756"/>
    <n v="0.1742067489015759"/>
    <n v="0.01351179686956838"/>
    <n v="0.03263047342676995"/>
    <n v="0.4635838922351642"/>
    <n v="0.4193661112357656"/>
    <n v="0.3276808263969502"/>
    <n v="-0.3793130162407564"/>
    <n v="0.5504899600739657"/>
    <n v="0.1833182406314366"/>
    <n v="0.3037674840914493"/>
    <n v="-0.3793130162407564"/>
    <n v="0.5504899600739657"/>
    <n v="0.169672942233462"/>
    <n v="0.5640430677298738"/>
    <n v="-0.1785857362152226"/>
    <n v="1.057205661798959"/>
    <n v="0.07728163877053751"/>
    <n v="-0.2369888700444335"/>
    <n v="0.2040248119142163"/>
    <m/>
    <n v="0.49"/>
    <n v="0.49"/>
    <s v=""/>
    <s v=""/>
    <m/>
    <n v="0.679"/>
    <n v="0.679"/>
    <s v=""/>
    <s v=""/>
    <m/>
    <n v="21541562"/>
    <s v=""/>
    <s v=""/>
    <s v=""/>
  </r>
  <r>
    <x v="0"/>
    <s v="21"/>
    <x v="1"/>
    <d v="2020-06-20T00:00:00"/>
    <d v="2020-06-26T00:00:00"/>
    <n v="202021"/>
    <n v="598551.0022456213"/>
    <n v="229184.7641760403"/>
    <n v="114828.2185532544"/>
    <n v="942563.984974916"/>
    <n v="598551.0022456213"/>
    <n v="229184.7641760403"/>
    <n v="114828.2185532544"/>
    <n v="942563.984974916"/>
    <n v="769193"/>
    <n v="129478"/>
    <n v="184681"/>
    <n v="1083352"/>
    <n v="23349182"/>
    <n v="17127215.79530712"/>
    <n v="22911553.46173524"/>
    <n v="0.3632794891506945"/>
    <n v="0.1715910009815291"/>
    <n v="0.01910077983126035"/>
    <n v="0.04358028508500111"/>
    <n v="0.486139733936136"/>
    <n v="0.4397705208328698"/>
    <n v="0.2850918252816725"/>
    <n v="-0.4350497055705415"/>
    <n v="0.6083241761200855"/>
    <n v="0.1493670639546352"/>
    <n v="0.2850918252816725"/>
    <n v="-0.4350497055705415"/>
    <n v="0.6083241761200855"/>
    <n v="0.1493670639546352"/>
    <n v="0.5475373078486081"/>
    <n v="-0.1895596135075903"/>
    <n v="1.026069020956244"/>
    <n v="0.08590996877831092"/>
    <n v="-0.2448851814084554"/>
    <n v="0.2209244607777638"/>
    <m/>
    <n v="0.488"/>
    <n v="0.488"/>
    <s v=""/>
    <s v=""/>
    <m/>
    <n v="0.668"/>
    <n v="0.668"/>
    <s v=""/>
    <s v=""/>
    <m/>
    <n v="21927535"/>
    <s v=""/>
    <s v=""/>
    <s v=""/>
  </r>
  <r>
    <x v="0"/>
    <s v="22"/>
    <x v="1"/>
    <d v="2020-06-27T00:00:00"/>
    <d v="2020-07-03T00:00:00"/>
    <n v="202022"/>
    <n v="631328.0029885391"/>
    <n v="157249.2531228411"/>
    <n v="104668.2370191478"/>
    <n v="893245.493130528"/>
    <n v="631328.0029885391"/>
    <n v="157142.9330107583"/>
    <n v="104668.2370191478"/>
    <n v="893139.1730184451"/>
    <n v="786115"/>
    <n v="133164"/>
    <n v="183721"/>
    <n v="1103000"/>
    <n v="24452182"/>
    <n v="18020461.28843765"/>
    <n v="23804692.63475369"/>
    <n v="0.3569121016723968"/>
    <n v="0.1773286537841512"/>
    <n v="0.02720007248911105"/>
    <n v="0.05920262138645871"/>
    <n v="0.5091046552139589"/>
    <n v="0.4605449909825587"/>
    <n v="0.2451768277008788"/>
    <n v="-0.153166089151635"/>
    <n v="0.7552698433851566"/>
    <n v="0.2348229109271542"/>
    <n v="0.2451768277008788"/>
    <n v="-0.1525931363971466"/>
    <n v="0.7552698433851566"/>
    <n v="0.2349699053869858"/>
    <n v="0.5297752376171589"/>
    <n v="-0.1885216215937445"/>
    <n v="1.009965254405375"/>
    <n v="0.09259224553547885"/>
    <n v="-0.2424294179245553"/>
    <n v="0.2405365197231628"/>
    <m/>
    <n v="0.467"/>
    <n v="0.467"/>
    <s v=""/>
    <s v=""/>
    <m/>
    <n v="0.662"/>
    <n v="0.662"/>
    <s v=""/>
    <s v=""/>
    <m/>
    <n v="22248368"/>
    <s v=""/>
    <s v=""/>
    <s v=""/>
  </r>
  <r>
    <x v="0"/>
    <s v="23"/>
    <x v="1"/>
    <d v="2020-07-04T00:00:00"/>
    <d v="2020-07-10T00:00:00"/>
    <n v="202023"/>
    <n v="642292.9689429566"/>
    <n v="61335.2383852422"/>
    <n v="31324.7752669005"/>
    <n v="734952.9825950994"/>
    <n v="642292.9689429566"/>
    <n v="61335.23838524221"/>
    <n v="31324.7752669005"/>
    <n v="734952.9825950994"/>
    <n v="790052"/>
    <n v="102580"/>
    <n v="99003"/>
    <n v="991635"/>
    <n v="25443817"/>
    <n v="18755414.27103275"/>
    <n v="24539645.61734879"/>
    <n v="0.3566118365776283"/>
    <n v="0.1892725061111353"/>
    <n v="0.03684533170324134"/>
    <n v="0.07745851866477804"/>
    <n v="0.5297509106186133"/>
    <n v="0.4792219553587028"/>
    <n v="0.2300492737764441"/>
    <n v="0.6724480527115984"/>
    <n v="2.160533448570725"/>
    <n v="0.34924957580084"/>
    <n v="0.2300492737764441"/>
    <n v="0.6724480527115981"/>
    <n v="2.160533448570725"/>
    <n v="0.34924957580084"/>
    <n v="0.5128723276315943"/>
    <n v="-0.1790489076300236"/>
    <n v="1.030084155992249"/>
    <n v="0.09821942681742102"/>
    <n v="-0.2330254054761196"/>
    <n v="0.2613972874219515"/>
    <m/>
    <n v="0.491"/>
    <n v="0.491"/>
    <s v=""/>
    <s v=""/>
    <m/>
    <n v="0.668"/>
    <n v="0.668"/>
    <s v=""/>
    <s v=""/>
    <m/>
    <n v="21163452"/>
    <s v=""/>
    <s v=""/>
    <s v=""/>
  </r>
  <r>
    <x v="0"/>
    <s v="24"/>
    <x v="1"/>
    <d v="2020-07-11T00:00:00"/>
    <d v="2020-07-17T00:00:00"/>
    <n v="202024"/>
    <n v="692233.5284299565"/>
    <n v="61335.2383852422"/>
    <n v="31324.7752669005"/>
    <n v="784893.5420820992"/>
    <n v="692233.5284299565"/>
    <n v="61335.23838524221"/>
    <n v="31324.7752669005"/>
    <n v="784893.5420820992"/>
    <n v="868525"/>
    <n v="107169"/>
    <n v="67883"/>
    <n v="1043577"/>
    <n v="26487394"/>
    <n v="19540307.81311485"/>
    <n v="25324539.15943089"/>
    <n v="0.3555259340501524"/>
    <n v="0.1989632751904298"/>
    <n v="0.04591810469870139"/>
    <n v="0.09333809450385"/>
    <n v="0.5514786201855639"/>
    <n v="0.4988772221179067"/>
    <n v="0.2546705184446747"/>
    <n v="0.7472663809811786"/>
    <n v="1.167070614924059"/>
    <n v="0.3295777631596855"/>
    <n v="0.2546705184446747"/>
    <n v="0.7472663809811781"/>
    <n v="1.167070614924059"/>
    <n v="0.3295777631596855"/>
    <n v="0.498078152005581"/>
    <n v="-0.1689681488256589"/>
    <n v="1.032438343627855"/>
    <n v="0.1048304893825034"/>
    <n v="-0.2230515216196797"/>
    <n v="0.2711316646148954"/>
    <m/>
    <n v="0.505"/>
    <n v="0.505"/>
    <s v=""/>
    <s v=""/>
    <m/>
    <n v="0.6850000000000001"/>
    <n v="0.6850000000000001"/>
    <s v=""/>
    <s v=""/>
    <m/>
    <n v="21611931"/>
    <s v=""/>
    <s v=""/>
    <s v=""/>
  </r>
  <r>
    <x v="0"/>
    <s v="25"/>
    <x v="1"/>
    <d v="2020-07-18T00:00:00"/>
    <d v="2020-07-24T00:00:00"/>
    <n v="202025"/>
    <n v="623214.9662849567"/>
    <n v="61335.2383852422"/>
    <n v="31324.7752669005"/>
    <n v="715874.9799370994"/>
    <n v="623214.9662849567"/>
    <n v="61335.23838524221"/>
    <n v="31324.7752669005"/>
    <n v="715874.9799370994"/>
    <n v="898797"/>
    <n v="102027"/>
    <n v="62929"/>
    <n v="1063753"/>
    <n v="27551147"/>
    <n v="20256182.79305195"/>
    <n v="26040414.13936799"/>
    <n v="0.3601351884250514"/>
    <n v="0.2159706790500986"/>
    <n v="0.05801493219526321"/>
    <n v="0.1146666977789148"/>
    <n v="0.5736264025101767"/>
    <n v="0.5189124940536657"/>
    <n v="0.4421941843884365"/>
    <n v="0.6634320284071578"/>
    <n v="1.008921036585833"/>
    <n v="0.4859480074208866"/>
    <n v="0.4421941843884365"/>
    <n v="0.6634320284071575"/>
    <n v="1.008921036585833"/>
    <n v="0.4859480074208866"/>
    <n v="0.495336830891167"/>
    <n v="-0.160006956135286"/>
    <n v="1.032041014098928"/>
    <n v="0.1171945406720727"/>
    <n v="-0.2141229237356281"/>
    <n v="0.2789772617175577"/>
    <m/>
    <n v="0.493"/>
    <n v="0.493"/>
    <s v=""/>
    <s v=""/>
    <m/>
    <n v="0.675"/>
    <n v="0.675"/>
    <s v=""/>
    <s v=""/>
    <m/>
    <n v="21597926"/>
    <s v=""/>
    <s v=""/>
    <s v=""/>
  </r>
  <r>
    <x v="0"/>
    <s v="26"/>
    <x v="1"/>
    <d v="2020-07-25T00:00:00"/>
    <d v="2020-07-31T00:00:00"/>
    <n v="202026"/>
    <n v="631001.9571709567"/>
    <n v="61335.2383852422"/>
    <n v="31324.7752669005"/>
    <n v="723661.9708230994"/>
    <n v="631001.9571709567"/>
    <n v="61335.23838524221"/>
    <n v="31324.7752669005"/>
    <n v="723661.9708230994"/>
    <n v="851675"/>
    <n v="91993"/>
    <n v="73135"/>
    <n v="1016803"/>
    <n v="28567950"/>
    <n v="20979844.76387505"/>
    <n v="26764076.11019109"/>
    <n v="0.3616854805899623"/>
    <n v="0.2266593345881276"/>
    <n v="0.06739907188957828"/>
    <n v="0.1297848384967732"/>
    <n v="0.5947966662001622"/>
    <n v="0.5380634855057185"/>
    <n v="0.3497184760225025"/>
    <n v="0.4998392836137462"/>
    <n v="1.334733429908387"/>
    <n v="0.4050800525602851"/>
    <n v="0.3497184760225025"/>
    <n v="0.4998392836137457"/>
    <n v="1.334733429908387"/>
    <n v="0.4050800525602851"/>
    <n v="0.4884466566960186"/>
    <n v="-0.1529790493264093"/>
    <n v="1.037070094705137"/>
    <n v="0.125514082400124"/>
    <n v="-0.2070036530526188"/>
    <n v="0.2900859648736971"/>
    <m/>
    <n v="0.512"/>
    <n v="0.512"/>
    <s v=""/>
    <s v=""/>
    <m/>
    <n v="0.6889999999999999"/>
    <n v="0.6889999999999999"/>
    <s v=""/>
    <s v=""/>
    <m/>
    <n v="21386158"/>
    <s v=""/>
    <s v=""/>
    <s v=""/>
  </r>
  <r>
    <x v="0"/>
    <s v="27"/>
    <x v="2"/>
    <d v="2020-08-01T00:00:00"/>
    <d v="2020-08-07T00:00:00"/>
    <n v="202027"/>
    <n v="752533.4812131647"/>
    <n v="54268.35730275927"/>
    <n v="239516.8679476575"/>
    <n v="1046318.706463582"/>
    <n v="752533.4812131647"/>
    <n v="54268.35730275927"/>
    <n v="239516.8679476575"/>
    <n v="1046318.706463582"/>
    <n v="789162"/>
    <n v="86038"/>
    <n v="285204"/>
    <n v="1160404"/>
    <n v="29728354"/>
    <n v="22026163.47033863"/>
    <n v="27810394.81665467"/>
    <n v="0.3496837086510081"/>
    <n v="0.1090349363264389"/>
    <n v="0.06896555032712914"/>
    <n v="0.1090349363264389"/>
    <n v="0.6189567627645056"/>
    <n v="0.5599191321599158"/>
    <n v="0.04867360682449129"/>
    <n v="0.5854174380108867"/>
    <n v="0.1907470335756338"/>
    <n v="0.1090349363264389"/>
    <n v="0.04867360682449129"/>
    <n v="0.5854174380108867"/>
    <n v="0.1907470335756338"/>
    <n v="0.1090349363264389"/>
    <n v="0.464955893150236"/>
    <n v="-0.1460856092335404"/>
    <n v="0.9416735514365182"/>
    <n v="0.1223694502231398"/>
    <n v="-0.2000735750831421"/>
    <n v="0.2826888722148111"/>
    <m/>
    <n v="0.49"/>
    <n v="0.49"/>
    <s v=""/>
    <s v=""/>
    <m/>
    <n v="0.677"/>
    <n v="0.677"/>
    <s v=""/>
    <s v=""/>
    <m/>
    <n v="22223760"/>
    <s v=""/>
    <s v=""/>
    <s v=""/>
  </r>
  <r>
    <x v="0"/>
    <s v="28"/>
    <x v="2"/>
    <d v="2020-08-08T00:00:00"/>
    <d v="2020-08-14T00:00:00"/>
    <n v="202028"/>
    <n v="682313.4479741647"/>
    <n v="54268.35730275927"/>
    <n v="239516.8679476575"/>
    <n v="976098.6732245815"/>
    <n v="682313.4479741647"/>
    <n v="54268.35730275927"/>
    <n v="239516.8679476575"/>
    <n v="976098.6732245815"/>
    <n v="714554"/>
    <n v="82975"/>
    <n v="393696"/>
    <n v="1191225"/>
    <n v="30919579"/>
    <n v="23002262.14356321"/>
    <n v="28786493.48987925"/>
    <n v="0.344197314465104"/>
    <n v="0.1627812456608726"/>
    <n v="0.07410022032974228"/>
    <n v="0.1627812456608726"/>
    <n v="0.6437585654382812"/>
    <n v="0.5823552774038535"/>
    <n v="0.0472518197047993"/>
    <n v="0.5289757074659258"/>
    <n v="0.6437088684962089"/>
    <n v="0.2203940366651047"/>
    <n v="0.0472518197047993"/>
    <n v="0.5289757074659258"/>
    <n v="0.6437088684962089"/>
    <n v="0.2203940366651047"/>
    <n v="0.4456604243137934"/>
    <n v="-0.1398417374536994"/>
    <n v="0.9114896191536148"/>
    <n v="0.1196818982593528"/>
    <n v="-0.193752988378092"/>
    <n v="0.3077085259849506"/>
    <m/>
    <n v="0.488"/>
    <n v="0.488"/>
    <s v=""/>
    <s v=""/>
    <m/>
    <n v="0.676"/>
    <n v="0.676"/>
    <s v=""/>
    <s v=""/>
    <m/>
    <n v="21889267"/>
    <s v=""/>
    <s v=""/>
    <s v=""/>
  </r>
  <r>
    <x v="0"/>
    <s v="29"/>
    <x v="2"/>
    <d v="2020-08-15T00:00:00"/>
    <d v="2020-08-21T00:00:00"/>
    <n v="202029"/>
    <n v="663728.6404271647"/>
    <n v="54268.35730275927"/>
    <n v="239516.867947658"/>
    <n v="957513.8656775821"/>
    <n v="663728.6404271647"/>
    <n v="54268.35730275927"/>
    <n v="239516.867947658"/>
    <n v="957513.8656775821"/>
    <n v="703903"/>
    <n v="74983"/>
    <n v="279095"/>
    <n v="1057981"/>
    <n v="31977560"/>
    <n v="23959776.0092408"/>
    <n v="29744007.35555684"/>
    <n v="0.3346351813834529"/>
    <n v="0.144190828329503"/>
    <n v="0.07509252595803595"/>
    <n v="0.144190828329503"/>
    <n v="0.6657861723090268"/>
    <n v="0.6022818365184845"/>
    <n v="0.06052828991525772"/>
    <n v="0.3817075682183491"/>
    <n v="0.1652415230354092"/>
    <n v="0.1049249916097272"/>
    <n v="0.06052828991525772"/>
    <n v="0.3817075682183491"/>
    <n v="0.1652415230354092"/>
    <n v="0.1049249916097272"/>
    <n v="0.4290984019511543"/>
    <n v="-0.1350619602752078"/>
    <n v="0.8428478484603092"/>
    <n v="0.1176923933579073"/>
    <n v="-0.1888068401941945"/>
    <n v="0.2984750830290492"/>
    <m/>
    <n v="0.487"/>
    <n v="0.487"/>
    <s v=""/>
    <s v=""/>
    <m/>
    <n v="0.678"/>
    <n v="0.678"/>
    <s v=""/>
    <s v=""/>
    <m/>
    <n v="22170395"/>
    <s v=""/>
    <s v=""/>
    <s v=""/>
  </r>
  <r>
    <x v="0"/>
    <s v="30"/>
    <x v="2"/>
    <d v="2020-08-22T00:00:00"/>
    <d v="2020-08-28T00:00:00"/>
    <n v="202030"/>
    <n v="655251.1882341647"/>
    <n v="54268.35730275927"/>
    <n v="239516.8679476575"/>
    <n v="949036.4134845815"/>
    <n v="655251.1882341647"/>
    <n v="54268.35730275927"/>
    <n v="239516.8679476575"/>
    <n v="949036.4134845815"/>
    <n v="673660"/>
    <n v="57884"/>
    <n v="338145"/>
    <n v="1069689"/>
    <n v="33047249"/>
    <n v="24908812.42272538"/>
    <n v="30693043.76904142"/>
    <n v="0.3267292088903273"/>
    <n v="0.1400702140955541"/>
    <n v="0.07670158908557489"/>
    <n v="0.1400702140955541"/>
    <n v="0.688057544636092"/>
    <n v="0.6224289101358469"/>
    <n v="0.02809428215680954"/>
    <n v="0.06662524677261406"/>
    <n v="0.4117794829961456"/>
    <n v="0.1271316725060294"/>
    <n v="0.02809428215680954"/>
    <n v="0.06662524677261406"/>
    <n v="0.4117794829961456"/>
    <n v="0.1271316725060294"/>
    <n v="0.4127674044735388"/>
    <n v="-0.1332303687085402"/>
    <n v="0.8065370571492017"/>
    <n v="0.114813045685662"/>
    <n v="-0.1866300821680476"/>
    <n v="0.3053715012136136"/>
    <m/>
    <n v="0.487"/>
    <n v="0.487"/>
    <s v=""/>
    <s v=""/>
    <m/>
    <n v="0.694"/>
    <n v="0.694"/>
    <s v=""/>
    <s v=""/>
    <m/>
    <n v="21775972"/>
    <s v=""/>
    <s v=""/>
    <s v=""/>
  </r>
  <r>
    <x v="0"/>
    <s v="31"/>
    <x v="2"/>
    <d v="2020-08-29T00:00:00"/>
    <d v="2020-09-04T00:00:00"/>
    <n v="202031"/>
    <n v="667536.9286512104"/>
    <n v="47959.47236529876"/>
    <n v="289707.0936356246"/>
    <n v="1005203.494652134"/>
    <n v="667536.9286512104"/>
    <n v="47966.77553917412"/>
    <n v="289707.0936356246"/>
    <n v="1005210.797826009"/>
    <n v="703899"/>
    <n v="43130"/>
    <n v="435431"/>
    <n v="1182460"/>
    <n v="34229709"/>
    <n v="25914015.91737751"/>
    <n v="31698254.56686743"/>
    <n v="0.3208955767078201"/>
    <n v="0.1474589802141482"/>
    <n v="0.07986100394873374"/>
    <n v="0.1474572818377069"/>
    <n v="0.7126768563443191"/>
    <n v="0.6446999708549777"/>
    <n v="0.05447199965739857"/>
    <n v="-0.1006990303920262"/>
    <n v="0.5030042741986074"/>
    <n v="0.1763389266858932"/>
    <n v="0.05447199965739857"/>
    <n v="-0.1008359533198967"/>
    <n v="0.5030042741986074"/>
    <n v="0.1763303802121221"/>
    <n v="0.3984943155531049"/>
    <n v="-0.1329713635769884"/>
    <n v="0.7784709807709713"/>
    <n v="0.112900177369325"/>
    <n v="-0.1859886848556273"/>
    <n v="0.3189236428990858"/>
    <m/>
    <n v="0.48"/>
    <n v="0.48"/>
    <s v=""/>
    <s v=""/>
    <m/>
    <n v="0.671"/>
    <n v="0.671"/>
    <s v=""/>
    <s v=""/>
    <m/>
    <n v="21994373"/>
    <s v=""/>
    <s v=""/>
    <s v=""/>
  </r>
  <r>
    <x v="0"/>
    <s v="32"/>
    <x v="2"/>
    <d v="2020-09-05T00:00:00"/>
    <d v="2020-09-11T00:00:00"/>
    <n v="202032"/>
    <n v="651044.0571775681"/>
    <n v="43227.80866220336"/>
    <n v="327349.7629015999"/>
    <n v="1021621.628741371"/>
    <n v="651044.0571775681"/>
    <n v="43227.80866220337"/>
    <n v="327349.7629015999"/>
    <n v="1021621.628741371"/>
    <n v="717342"/>
    <n v="41509"/>
    <n v="370436"/>
    <n v="1129287"/>
    <n v="35358996"/>
    <n v="26935637.54611889"/>
    <n v="32719876.1956088"/>
    <n v="0.3127217033366572"/>
    <n v="0.1402421555441504"/>
    <n v="0.08065800092316322"/>
    <n v="0.140240757346326"/>
    <n v="0.7361890839554421"/>
    <n v="0.6659695439029666"/>
    <n v="0.1018332662613486"/>
    <n v="-0.03976164222514045"/>
    <n v="0.1316214092122365"/>
    <n v="0.1053867383282314"/>
    <n v="0.1018332662613486"/>
    <n v="-0.03976164222514078"/>
    <n v="0.1316214092122365"/>
    <n v="0.1053867383282314"/>
    <n v="0.3873995348463277"/>
    <n v="-0.1323072367674238"/>
    <n v="0.7172817726168668"/>
    <n v="0.1125682754657897"/>
    <n v="-0.1850100881330874"/>
    <n v="0.3054546622753305"/>
    <m/>
    <n v="0.469"/>
    <n v="0.469"/>
    <s v=""/>
    <s v=""/>
    <m/>
    <n v="0.664"/>
    <n v="0.664"/>
    <s v=""/>
    <s v=""/>
    <m/>
    <n v="21833255"/>
    <s v=""/>
    <s v=""/>
    <s v=""/>
  </r>
  <r>
    <x v="0"/>
    <s v="33"/>
    <x v="2"/>
    <d v="2020-09-12T00:00:00"/>
    <d v="2020-09-18T00:00:00"/>
    <n v="202033"/>
    <n v="665853.7289435682"/>
    <n v="43227.80866220336"/>
    <n v="327349.7629015999"/>
    <n v="1036431.300507372"/>
    <n v="665853.7289435682"/>
    <n v="43227.80866220337"/>
    <n v="327349.7629015999"/>
    <n v="1036431.300507372"/>
    <n v="746658"/>
    <n v="44244"/>
    <n v="318738"/>
    <n v="1109640"/>
    <n v="36468636"/>
    <n v="27972068.84662626"/>
    <n v="33756307.49611618"/>
    <n v="0.3037518318706172"/>
    <n v="0.1299246000267411"/>
    <n v="0.08035027244007331"/>
    <n v="0.1299234198547239"/>
    <n v="0.7592922528101324"/>
    <n v="0.6868690752328859"/>
    <n v="0.1213543869231377"/>
    <n v="0.02350781520612122"/>
    <n v="-0.02630752753649801"/>
    <n v="0.07063536141449034"/>
    <n v="0.1213543869231377"/>
    <n v="0.02350781520612077"/>
    <n v="-0.02630752753649801"/>
    <n v="0.07063536141449034"/>
    <n v="0.3775983127420803"/>
    <n v="-0.1312048961754905"/>
    <n v="0.6530202635414704"/>
    <n v="0.1128297489904013"/>
    <n v="-0.1836238984619888"/>
    <n v="0.2831979930530328"/>
    <m/>
    <n v="0.471"/>
    <n v="0.471"/>
    <s v=""/>
    <s v=""/>
    <m/>
    <n v="0.665"/>
    <n v="0.665"/>
    <s v=""/>
    <s v=""/>
    <m/>
    <n v="21706945"/>
    <s v=""/>
    <s v=""/>
    <s v=""/>
  </r>
  <r>
    <x v="0"/>
    <s v="34"/>
    <x v="2"/>
    <d v="2020-09-19T00:00:00"/>
    <d v="2020-09-25T00:00:00"/>
    <n v="202034"/>
    <n v="671129.6794405681"/>
    <n v="43227.80866220336"/>
    <n v="327349.7629015999"/>
    <n v="1041707.251004371"/>
    <n v="671129.6794405681"/>
    <n v="43227.80866220337"/>
    <n v="327349.7629015999"/>
    <n v="1041707.251004371"/>
    <n v="724795"/>
    <n v="39634"/>
    <n v="275701"/>
    <n v="1040130"/>
    <n v="37508766"/>
    <n v="29013776.09763063"/>
    <n v="34798014.74712054"/>
    <n v="0.292791599197014"/>
    <n v="0.1128818045075932"/>
    <n v="0.07789959492168341"/>
    <n v="0.1128807928531996"/>
    <n v="0.7809481943955375"/>
    <n v="0.7064594194185576"/>
    <n v="0.07996266921791562"/>
    <n v="-0.08313649878222118"/>
    <n v="-0.1577785254639862"/>
    <n v="-0.001514101973323689"/>
    <n v="0.07996266921791562"/>
    <n v="-0.08313649878222151"/>
    <n v="-0.1577785254639862"/>
    <n v="-0.001514101973323689"/>
    <n v="0.3669420909032577"/>
    <n v="-0.1308672169369467"/>
    <n v="0.5885242537055251"/>
    <n v="0.1118725894333559"/>
    <n v="-0.1829602877933545"/>
    <n v="0.2554744177208845"/>
    <m/>
    <n v="0.474"/>
    <n v="0.474"/>
    <s v=""/>
    <s v=""/>
    <m/>
    <n v="0.679"/>
    <n v="0.679"/>
    <s v=""/>
    <s v=""/>
    <m/>
    <n v="21386122"/>
    <s v=""/>
    <s v=""/>
    <s v=""/>
  </r>
  <r>
    <x v="0"/>
    <s v="35"/>
    <x v="2"/>
    <d v="2020-09-26T00:00:00"/>
    <d v="2020-10-02T00:00:00"/>
    <n v="202035"/>
    <n v="669386.2095924626"/>
    <n v="40082.22406897193"/>
    <n v="329449.7722543198"/>
    <n v="1038918.205915754"/>
    <n v="669386.2095924626"/>
    <n v="40082.22406897193"/>
    <n v="289449.7722543198"/>
    <n v="998918.2059157544"/>
    <n v="629881"/>
    <n v="32773"/>
    <n v="223783"/>
    <n v="886437"/>
    <n v="38395203"/>
    <n v="30052694.30354638"/>
    <n v="35796932.9530363"/>
    <n v="0.2775960322289359"/>
    <n v="0.0831495614503488"/>
    <n v="0.07258359397360925"/>
    <n v="0.08794517293651394"/>
    <n v="0.799404183446081"/>
    <n v="0.723155030475747"/>
    <n v="-0.05901706522534167"/>
    <n v="-0.1823557509282545"/>
    <n v="-0.3207371233899351"/>
    <n v="-0.1467692115197364"/>
    <n v="-0.05901706522534167"/>
    <n v="-0.1823557509282545"/>
    <n v="-0.2268675899894054"/>
    <n v="-0.1126030191957886"/>
    <n v="0.3522555858092469"/>
    <n v="-0.1312004316028355"/>
    <n v="0.521127468630741"/>
    <n v="0.1070489557745418"/>
    <n v="-0.1829566085213487"/>
    <n v="0.2300731808264582"/>
    <m/>
    <n v="0.48"/>
    <n v="0.48"/>
    <s v=""/>
    <s v=""/>
    <m/>
    <n v="0.6919999999999999"/>
    <n v="0.6919999999999999"/>
    <s v=""/>
    <s v=""/>
    <m/>
    <n v="21498651"/>
    <s v=""/>
    <s v=""/>
    <s v=""/>
  </r>
  <r>
    <x v="0"/>
    <s v="36"/>
    <x v="2"/>
    <d v="2020-10-03T00:00:00"/>
    <d v="2020-10-09T00:00:00"/>
    <n v="202036"/>
    <n v="647321.4810496534"/>
    <n v="37833.45090806841"/>
    <n v="248508.7862234527"/>
    <n v="933663.7181811745"/>
    <n v="647321.4810496534"/>
    <n v="37833.45090806841"/>
    <n v="208508.7862234527"/>
    <n v="893663.7181811745"/>
    <n v="456058"/>
    <n v="26498"/>
    <n v="177423"/>
    <n v="659979"/>
    <n v="39055182"/>
    <n v="30986358.02172755"/>
    <n v="36690596.67121748"/>
    <n v="0.2603992367420078"/>
    <n v="0.0480405841435585"/>
    <n v="0.06444663056236033"/>
    <n v="0.05648620133575233"/>
    <n v="0.8131452222312272"/>
    <n v="0.7355854149135725"/>
    <n v="-0.2954690778058428"/>
    <n v="-0.29961451139132"/>
    <n v="-0.2860493880467236"/>
    <n v="-0.2931298634098437"/>
    <n v="-0.2954690778058428"/>
    <n v="-0.29961451139132"/>
    <n v="-0.1490862173555554"/>
    <n v="-0.261490663016711"/>
    <n v="0.3313558861640249"/>
    <n v="-0.1322229503653384"/>
    <n v="0.4783865297645278"/>
    <n v="0.09635369263840388"/>
    <n v="-0.1836229390128774"/>
    <n v="0.216215128456972"/>
    <m/>
    <n v="0.478"/>
    <n v="0.478"/>
    <s v=""/>
    <s v=""/>
    <m/>
    <n v="0.6889999999999999"/>
    <n v="0.6889999999999999"/>
    <s v=""/>
    <s v=""/>
    <m/>
    <n v="22926528"/>
    <s v=""/>
    <s v=""/>
    <s v=""/>
  </r>
  <r>
    <x v="0"/>
    <s v="37"/>
    <x v="2"/>
    <d v="2020-10-10T00:00:00"/>
    <d v="2020-10-16T00:00:00"/>
    <n v="202037"/>
    <n v="639764.0606356534"/>
    <n v="37833.45090806841"/>
    <n v="248508.7862234527"/>
    <n v="926106.2977671747"/>
    <n v="639764.0606356534"/>
    <n v="37833.45090806841"/>
    <n v="208508.7862234527"/>
    <n v="886106.2977671747"/>
    <n v="912103"/>
    <n v="40817"/>
    <n v="233826"/>
    <n v="1186746"/>
    <n v="40241928"/>
    <n v="31912464.31949473"/>
    <n v="37576702.96898466"/>
    <n v="0.2610097295249292"/>
    <n v="0.06781160184058921"/>
    <n v="0.07092759131143533"/>
    <n v="0.07966159865268407"/>
    <n v="0.8378537702518719"/>
    <n v="0.7579372003644002"/>
    <n v="0.4256865243317316"/>
    <n v="0.0788600833474411"/>
    <n v="-0.05908356982698526"/>
    <n v="0.2814360542210141"/>
    <n v="0.4256865243317316"/>
    <n v="0.0788600833474411"/>
    <n v="0.1214203690650022"/>
    <n v="0.3392817577195673"/>
    <n v="0.3342710902038304"/>
    <n v="-0.1309491030132127"/>
    <n v="0.4513580609061207"/>
    <n v="0.1047808924455733"/>
    <n v="-0.1821321946347029"/>
    <n v="0.2128726032378925"/>
    <m/>
    <n v="0.488"/>
    <n v="0.488"/>
    <s v=""/>
    <s v=""/>
    <m/>
    <n v="0.702"/>
    <n v="0.702"/>
    <s v=""/>
    <s v=""/>
    <m/>
    <n v="23004599"/>
    <s v=""/>
    <s v=""/>
    <s v=""/>
  </r>
  <r>
    <x v="0"/>
    <s v="38"/>
    <x v="2"/>
    <d v="2020-10-17T00:00:00"/>
    <d v="2020-10-23T00:00:00"/>
    <n v="202038"/>
    <n v="637807.3012056533"/>
    <n v="37833.45090806841"/>
    <n v="248508.7862234527"/>
    <n v="924149.5383371746"/>
    <n v="637807.3012056533"/>
    <n v="37833.45090806841"/>
    <n v="208508.7862234527"/>
    <n v="884149.5383371746"/>
    <n v="844988"/>
    <n v="43330"/>
    <n v="236916"/>
    <n v="1125234"/>
    <n v="41367162"/>
    <n v="32836613.8578319"/>
    <n v="38460852.50732183"/>
    <n v="0.259787692455185"/>
    <n v="0.07948564221626686"/>
    <n v="0.07556539450405819"/>
    <n v="0.09425123345434749"/>
    <n v="0.8612816127080185"/>
    <n v="0.7791304371227094"/>
    <n v="0.3248327487043672"/>
    <n v="0.1452827844144504"/>
    <n v="-0.04664940181643629"/>
    <n v="0.2175886621386376"/>
    <n v="0.3248327487043672"/>
    <n v="0.1452827844144504"/>
    <n v="0.1362398884529696"/>
    <n v="0.2726738534707991"/>
    <n v="0.333988990213786"/>
    <n v="-0.129292094035647"/>
    <n v="0.4275132188644262"/>
    <n v="0.1102548680943845"/>
    <n v="-0.1802831774184155"/>
    <n v="0.2102625169410244"/>
    <m/>
    <n v="0.483"/>
    <n v="0.483"/>
    <s v=""/>
    <s v=""/>
    <m/>
    <n v="0.717"/>
    <n v="0.717"/>
    <s v=""/>
    <s v=""/>
    <m/>
    <n v="22926528"/>
    <s v=""/>
    <s v=""/>
    <s v=""/>
  </r>
  <r>
    <x v="0"/>
    <s v="39"/>
    <x v="2"/>
    <d v="2020-10-24T00:00:00"/>
    <d v="2020-10-30T00:00:00"/>
    <n v="202039"/>
    <n v="705631.9154126535"/>
    <n v="37833.45090806841"/>
    <n v="248508.7862234527"/>
    <n v="991974.1525441746"/>
    <n v="705631.9154126535"/>
    <n v="37833.45090806841"/>
    <n v="208508.7862234527"/>
    <n v="951974.1525441746"/>
    <n v="887819"/>
    <n v="47366"/>
    <n v="220251"/>
    <n v="1155436"/>
    <n v="42522598"/>
    <n v="33828588.01037608"/>
    <n v="39412826.65986601"/>
    <n v="0.2570018585155622"/>
    <n v="0.08607104463700233"/>
    <n v="0.07890251990732411"/>
    <n v="0.1032431974364978"/>
    <n v="0.8853382734347297"/>
    <n v="0.8008925139059152"/>
    <n v="0.2581899721483027"/>
    <n v="0.2519608669876496"/>
    <n v="-0.1137094050189599"/>
    <n v="0.1647843817669898"/>
    <n v="0.2581899721483027"/>
    <n v="0.2519608669876496"/>
    <n v="0.05631519893825243"/>
    <n v="0.2137262308142176"/>
    <n v="0.3315627647214323"/>
    <n v="-0.1270187409534933"/>
    <n v="0.4027832945964462"/>
    <n v="0.1142171650972674"/>
    <n v="-0.1778558647185473"/>
    <n v="0.2051918256015817"/>
    <m/>
    <n v="0.494"/>
    <n v="0.494"/>
    <s v=""/>
    <s v=""/>
    <m/>
    <n v="0.72"/>
    <n v="0.72"/>
    <s v=""/>
    <s v=""/>
    <m/>
    <n v="23578598"/>
    <s v=""/>
    <s v=""/>
    <s v=""/>
  </r>
  <r>
    <x v="0"/>
    <s v="40"/>
    <x v="3"/>
    <d v="2020-10-31T00:00:00"/>
    <d v="2020-11-06T00:00:00"/>
    <n v="202040"/>
    <n v="713143.012710342"/>
    <n v="51940.24533928469"/>
    <n v="307133.5940994954"/>
    <n v="1072216.852149122"/>
    <n v="713143.012710342"/>
    <n v="51940.24533928469"/>
    <n v="267133.5940994954"/>
    <n v="1032216.852149122"/>
    <n v="1021577"/>
    <n v="55564"/>
    <n v="254635"/>
    <n v="1331776"/>
    <n v="43854374"/>
    <n v="34900804.8625252"/>
    <n v="40445043.51201513"/>
    <n v="0.2565433425602373"/>
    <n v="0.2420771015962162"/>
    <n v="0.08429538435215322"/>
    <n v="0.2902095109445098"/>
    <n v="0.9130664067073443"/>
    <n v="0.825975869080958"/>
    <n v="0.4324994871890233"/>
    <n v="0.06976776172396137"/>
    <n v="-0.1709308102665206"/>
    <n v="0.2420771015962162"/>
    <n v="0.4324994871890233"/>
    <n v="0.06976776172396137"/>
    <n v="-0.04678780346451006"/>
    <n v="0.2902095109445098"/>
    <n v="0.3347256868084068"/>
    <n v="-0.125420889979587"/>
    <n v="0.3721163863513623"/>
    <n v="0.1226057179400395"/>
    <n v="-0.175961421956741"/>
    <n v="0.1949891496001974"/>
    <m/>
    <n v="0.5659999999999999"/>
    <n v="0.5659999999999999"/>
    <s v=""/>
    <s v=""/>
    <m/>
    <n v="0.742"/>
    <n v="0.742"/>
    <s v=""/>
    <s v=""/>
    <m/>
    <n v="26330312"/>
    <s v=""/>
    <s v=""/>
    <s v=""/>
  </r>
  <r>
    <x v="0"/>
    <s v="41"/>
    <x v="3"/>
    <d v="2020-11-07T00:00:00"/>
    <d v="2020-11-13T00:00:00"/>
    <n v="202041"/>
    <n v="767079.4544111427"/>
    <n v="54291.37774448741"/>
    <n v="316904.3954121692"/>
    <n v="1138275.227567799"/>
    <n v="767079.4544111427"/>
    <n v="54291.37774448741"/>
    <n v="276904.3954121692"/>
    <n v="1098275.227567799"/>
    <n v="1693388"/>
    <n v="160147"/>
    <n v="366798"/>
    <n v="2220333"/>
    <n v="46074707"/>
    <n v="36039080.090093"/>
    <n v="41543318.73958293"/>
    <n v="0.2784651241047007"/>
    <n v="0.6069313401271665"/>
    <n v="0.1090762220712886"/>
    <n v="0.6672716288492229"/>
    <n v="0.9592946683170924"/>
    <n v="0.8677947644851914"/>
    <n v="1.207578354839328"/>
    <n v="1.949768575660449"/>
    <n v="0.157440557184253"/>
    <n v="0.9506117204573441"/>
    <n v="1.207578354839328"/>
    <n v="1.949768575660449"/>
    <n v="0.3246376947322382"/>
    <n v="1.021654448964554"/>
    <n v="0.3631864838536345"/>
    <n v="-0.1079564298290837"/>
    <n v="0.3608950962343167"/>
    <n v="0.1525157230704997"/>
    <n v="-0.159097242219297"/>
    <n v="0.2002114517235309"/>
    <m/>
    <n v="0.605"/>
    <n v="0.605"/>
    <s v=""/>
    <s v=""/>
    <m/>
    <n v="0.759"/>
    <n v="0.759"/>
    <s v=""/>
    <s v=""/>
    <m/>
    <n v="30482193"/>
    <s v=""/>
    <s v=""/>
    <s v=""/>
  </r>
  <r>
    <x v="0"/>
    <s v="42"/>
    <x v="3"/>
    <d v="2020-11-14T00:00:00"/>
    <d v="2020-11-20T00:00:00"/>
    <n v="202042"/>
    <n v="800743.2111361427"/>
    <n v="54291.37774448741"/>
    <n v="316904.3954121692"/>
    <n v="1171938.984292799"/>
    <n v="800743.2111361427"/>
    <n v="54291.37774448741"/>
    <n v="276904.3954121692"/>
    <n v="1131938.984292799"/>
    <n v="1252529"/>
    <n v="120377"/>
    <n v="362321"/>
    <n v="1735227"/>
    <n v="47809934"/>
    <n v="37211019.0743858"/>
    <n v="42675257.72387572"/>
    <n v="0.2848326971219652"/>
    <n v="0.5631762776362692"/>
    <n v="0.1203197484909753"/>
    <n v="0.620673631491711"/>
    <n v="0.9954228201340939"/>
    <n v="0.9004769236097919"/>
    <n v="0.5642080789206272"/>
    <n v="1.217239734945256"/>
    <n v="0.1433132681191167"/>
    <n v="0.4806461968215128"/>
    <n v="0.5642080789206272"/>
    <n v="1.217239734945256"/>
    <n v="0.3084696595757863"/>
    <n v="0.532968670642717"/>
    <n v="0.3698035489892679"/>
    <n v="-0.09689686793685248"/>
    <n v="0.3500868627109552"/>
    <n v="0.1640317330101444"/>
    <n v="-0.1482642088770469"/>
    <n v="0.204403292141532"/>
    <m/>
    <n v="0.576"/>
    <n v="0.576"/>
    <s v=""/>
    <s v=""/>
    <m/>
    <n v="0.747"/>
    <n v="0.747"/>
    <s v=""/>
    <s v=""/>
    <m/>
    <n v="29593355"/>
    <s v=""/>
    <s v=""/>
    <s v=""/>
  </r>
  <r>
    <x v="0"/>
    <s v="43"/>
    <x v="3"/>
    <d v="2020-11-21T00:00:00"/>
    <d v="2020-11-27T00:00:00"/>
    <n v="202043"/>
    <n v="1035769.877503143"/>
    <n v="54291.37774448741"/>
    <n v="316904.3954121692"/>
    <n v="1406965.6506598"/>
    <n v="1035769.877503143"/>
    <n v="54291.37774448741"/>
    <n v="276904.3954121692"/>
    <n v="1366965.6506598"/>
    <n v="1461790"/>
    <n v="98485"/>
    <n v="426109"/>
    <n v="1986384"/>
    <n v="49796318"/>
    <n v="38617984.7250456"/>
    <n v="44042223.37453552"/>
    <n v="0.2894592598381944"/>
    <n v="0.5187131977856849"/>
    <n v="0.1306495036940256"/>
    <n v="0.5712025666219558"/>
    <n v="1.036780165725687"/>
    <n v="0.9378895030420855"/>
    <n v="0.4113076965742946"/>
    <n v="0.8140081186280061"/>
    <n v="0.3445979486835393"/>
    <n v="0.411821247425963"/>
    <n v="0.4113076965742946"/>
    <n v="0.8140081186280061"/>
    <n v="0.5388307555239105"/>
    <n v="0.4531338070135287"/>
    <n v="0.3714985710088694"/>
    <n v="-0.08935773461393126"/>
    <n v="0.3498271076928412"/>
    <n v="0.1726663855343431"/>
    <n v="-0.1407493922869895"/>
    <n v="0.2168698635611068"/>
    <m/>
    <n v="0.61"/>
    <n v="0.61"/>
    <s v=""/>
    <s v=""/>
    <m/>
    <n v="0.752"/>
    <n v="0.752"/>
    <s v=""/>
    <s v=""/>
    <m/>
    <n v="34279671"/>
    <s v=""/>
    <s v=""/>
    <s v=""/>
  </r>
  <r>
    <x v="0"/>
    <s v="44"/>
    <x v="3"/>
    <d v="2020-11-28T00:00:00"/>
    <d v="2020-12-04T00:00:00"/>
    <n v="202044"/>
    <n v="1043919.224355405"/>
    <n v="52209.93950671339"/>
    <n v="277347.7874358788"/>
    <n v="1373476.951297997"/>
    <n v="1043919.224355405"/>
    <n v="52209.93950671339"/>
    <n v="237347.7874358788"/>
    <n v="1333476.951297997"/>
    <n v="1000737"/>
    <n v="135822"/>
    <n v="395624"/>
    <n v="1532183"/>
    <n v="51328501"/>
    <n v="39991461.6763436"/>
    <n v="45375700.32583352"/>
    <n v="0.2834864955776966"/>
    <n v="0.4288631371153624"/>
    <n v="0.1311891746335736"/>
    <n v="0.476788456924516"/>
    <n v="1.068680856549094"/>
    <n v="0.9667474268837545"/>
    <n v="-0.041365484366924"/>
    <n v="1.601458674023849"/>
    <n v="0.4264545019724231"/>
    <n v="0.115550572983419"/>
    <n v="-0.041365484366924"/>
    <n v="1.601458674023849"/>
    <n v="0.6668535412696048"/>
    <n v="0.1490134857663523"/>
    <n v="0.3551764502898231"/>
    <n v="-0.07600641594067237"/>
    <n v="0.352874536309195"/>
    <n v="0.1653898718477933"/>
    <n v="-0.1277628555047186"/>
    <n v="0.2308026385245456"/>
    <m/>
    <n v="0.545"/>
    <n v="0.545"/>
    <s v=""/>
    <s v=""/>
    <m/>
    <n v="0.713"/>
    <n v="0.713"/>
    <s v=""/>
    <s v=""/>
    <m/>
    <n v="31408249"/>
    <s v=""/>
    <s v=""/>
    <s v=""/>
  </r>
  <r>
    <x v="0"/>
    <s v="45"/>
    <x v="3"/>
    <d v="2020-12-05T00:00:00"/>
    <d v="2020-12-11T00:00:00"/>
    <n v="202045"/>
    <n v="793215.8037091797"/>
    <n v="50648.86082838287"/>
    <n v="247680.331453661"/>
    <n v="1091544.995991224"/>
    <n v="793215.8037091797"/>
    <n v="50648.86082838287"/>
    <n v="207680.331453661"/>
    <n v="1051544.995991224"/>
    <n v="943179"/>
    <n v="83733"/>
    <n v="322644"/>
    <n v="1349556"/>
    <n v="52678057"/>
    <n v="41083006.67233482"/>
    <n v="46427245.32182474"/>
    <n v="0.2822347064357695"/>
    <n v="0.3998997677448575"/>
    <n v="0.1346367124486028"/>
    <n v="0.4477976706859612"/>
    <n v="1.096779176857357"/>
    <n v="0.9921656597371848"/>
    <n v="0.1890572472075984"/>
    <n v="0.6532059878645338"/>
    <n v="0.3026629854149889"/>
    <n v="0.2363723025219666"/>
    <n v="0.1890572472075984"/>
    <n v="0.6532059878645338"/>
    <n v="0.553560694658225"/>
    <n v="0.2834029976319372"/>
    <n v="0.3503318282920431"/>
    <n v="-0.0704629151887477"/>
    <n v="0.3511524164054498"/>
    <n v="0.1659858672899446"/>
    <n v="-0.1221560645548935"/>
    <n v="0.2393163420773992"/>
    <m/>
    <n v="0.535"/>
    <n v="0.535"/>
    <s v=""/>
    <s v=""/>
    <m/>
    <n v="0.704"/>
    <n v="0.704"/>
    <s v=""/>
    <s v=""/>
    <m/>
    <n v="31513264"/>
    <s v=""/>
    <s v=""/>
    <s v=""/>
  </r>
  <r>
    <x v="0"/>
    <s v="46"/>
    <x v="3"/>
    <d v="2020-12-12T00:00:00"/>
    <d v="2020-12-18T00:00:00"/>
    <n v="202046"/>
    <n v="870966.6923141796"/>
    <n v="50648.86082838287"/>
    <n v="247680.331453661"/>
    <n v="1169295.884596223"/>
    <n v="870966.6923141796"/>
    <n v="50648.86082838287"/>
    <n v="207680.331453661"/>
    <n v="1129295.884596223"/>
    <n v="1084447"/>
    <n v="76127"/>
    <n v="340312"/>
    <n v="1500886"/>
    <n v="54178943"/>
    <n v="42252302.55693104"/>
    <n v="47556541.20642097"/>
    <n v="0.2822719643976543"/>
    <n v="0.383753560923676"/>
    <n v="0.1392532262772066"/>
    <n v="0.4313302527199929"/>
    <n v="1.128028251052267"/>
    <n v="1.020434119759928"/>
    <n v="0.2451073153194849"/>
    <n v="0.5030347919955498"/>
    <n v="0.3739968692817648"/>
    <n v="0.2835810163808794"/>
    <n v="0.2451073153194849"/>
    <n v="0.5030347919955498"/>
    <n v="0.6386337484054558"/>
    <n v="0.3290458421679607"/>
    <n v="0.3470668660763778"/>
    <n v="-0.06613605649828291"/>
    <n v="0.3519099381901418"/>
    <n v="0.168114750399748"/>
    <n v="-0.1176996406797058"/>
    <n v="0.2495788227192393"/>
    <m/>
    <n v="0.521"/>
    <n v="0.521"/>
    <s v=""/>
    <s v=""/>
    <m/>
    <n v="0.674"/>
    <n v="0.674"/>
    <s v=""/>
    <s v=""/>
    <m/>
    <n v="31900319"/>
    <s v=""/>
    <s v=""/>
    <s v=""/>
  </r>
  <r>
    <x v="0"/>
    <s v="47"/>
    <x v="3"/>
    <d v="2020-12-19T00:00:00"/>
    <d v="2020-12-25T00:00:00"/>
    <n v="202047"/>
    <n v="831705.7463501799"/>
    <n v="50648.86082838287"/>
    <n v="247680.331453661"/>
    <n v="1130034.938632224"/>
    <n v="831705.7463501799"/>
    <n v="50648.86082838287"/>
    <n v="207680.331453661"/>
    <n v="1090034.938632224"/>
    <n v="924861"/>
    <n v="67789"/>
    <n v="282589"/>
    <n v="1275239"/>
    <n v="55454182"/>
    <n v="43382337.49556327"/>
    <n v="48646576.14505319"/>
    <n v="0.2782663452763772"/>
    <n v="0.3535611353479644"/>
    <n v="0.1399400820038814"/>
    <n v="0.4004694431817639"/>
    <n v="1.154579260340943"/>
    <n v="1.04445262795505"/>
    <n v="0.11200506195685"/>
    <n v="0.3384111486671788"/>
    <n v="0.1409424331009914"/>
    <n v="0.1284951963905903"/>
    <n v="0.11200506195685"/>
    <n v="0.3384111486671788"/>
    <n v="0.3606921658012334"/>
    <n v="0.1699065367575927"/>
    <n v="0.3403024496937397"/>
    <n v="-0.06310673117404131"/>
    <n v="0.3451387894509994"/>
    <n v="0.1667092015744085"/>
    <n v="-0.1144714475713323"/>
    <n v="0.2523628913923011"/>
    <m/>
    <n v="0.472"/>
    <n v="0.472"/>
    <s v=""/>
    <s v=""/>
    <m/>
    <n v="0.646"/>
    <n v="0.646"/>
    <s v=""/>
    <s v=""/>
    <m/>
    <n v="29616896"/>
    <s v=""/>
    <s v=""/>
    <s v=""/>
  </r>
  <r>
    <x v="0"/>
    <s v="48"/>
    <x v="3"/>
    <d v="2020-12-26T00:00:00"/>
    <d v="2021-01-01T00:00:00"/>
    <n v="202048"/>
    <n v="827419.257195303"/>
    <n v="47674.34913107798"/>
    <n v="235494.7439771704"/>
    <n v="1110588.350303551"/>
    <n v="827419.257195303"/>
    <n v="47674.34913107798"/>
    <n v="195494.7439771704"/>
    <n v="1070588.350303551"/>
    <n v="964436"/>
    <n v="49822"/>
    <n v="244027"/>
    <n v="1258285"/>
    <n v="56712467"/>
    <n v="44492925.84586682"/>
    <n v="49717164.49535675"/>
    <n v="0.2746400898979835"/>
    <n v="0.3305907238587615"/>
    <n v="0.1407019602917332"/>
    <n v="0.3770772296621052"/>
    <n v="1.180777280259407"/>
    <n v="1.068151815781253"/>
    <n v="0.1655953032434145"/>
    <n v="0.04504835216558845"/>
    <n v="0.03623119513723294"/>
    <n v="0.1329895542809174"/>
    <n v="0.1655953032434145"/>
    <n v="0.04504835216558845"/>
    <n v="0.2482535081787014"/>
    <n v="0.1753210275856538"/>
    <n v="0.3354399884660944"/>
    <n v="-0.06234974423776052"/>
    <n v="0.3359911283100283"/>
    <n v="0.1666821171756785"/>
    <n v="-0.1134157605692201"/>
    <n v="0.2522682010315209"/>
    <m/>
    <n v="0.463"/>
    <n v="0.463"/>
    <s v=""/>
    <s v=""/>
    <m/>
    <n v="0.636"/>
    <n v="0.636"/>
    <s v=""/>
    <s v=""/>
    <m/>
    <n v="28215709"/>
    <s v=""/>
    <s v=""/>
    <s v=""/>
  </r>
  <r>
    <x v="0"/>
    <s v="49"/>
    <x v="3"/>
    <d v="2021-01-02T00:00:00"/>
    <d v="2021-01-08T00:00:00"/>
    <n v="202049"/>
    <n v="724918.424318064"/>
    <n v="29827.27894724863"/>
    <n v="162381.2191182266"/>
    <n v="917126.9223835391"/>
    <n v="724918.424318064"/>
    <n v="29827.27894724863"/>
    <n v="122381.2191182266"/>
    <n v="877126.9223835391"/>
    <n v="949692"/>
    <n v="51029"/>
    <n v="193975"/>
    <n v="1194696"/>
    <n v="57907163"/>
    <n v="45410052.76825036"/>
    <n v="50594291.41774029"/>
    <n v="0.2752058073028121"/>
    <n v="0.3283781733687856"/>
    <n v="0.1445394604280503"/>
    <n v="0.3758988945670816"/>
    <n v="1.205651350604765"/>
    <n v="1.090653335627085"/>
    <n v="0.3100674064028406"/>
    <n v="0.7108164673769912"/>
    <n v="0.1945654864111506"/>
    <n v="0.3026506700894585"/>
    <n v="0.3100674064028406"/>
    <n v="0.7108164673769912"/>
    <n v="0.5850062730018248"/>
    <n v="0.3620560143718838"/>
    <n v="0.3348360248488627"/>
    <n v="-0.05897884652321161"/>
    <n v="0.3331611334118856"/>
    <n v="0.1696729161518364"/>
    <n v="-0.1100171252721142"/>
    <n v="0.2569996206908742"/>
    <m/>
    <n v="0.446"/>
    <n v="0.446"/>
    <s v=""/>
    <s v=""/>
    <m/>
    <n v="0.629"/>
    <n v="0.629"/>
    <s v=""/>
    <s v=""/>
    <m/>
    <n v="26336880"/>
    <s v=""/>
    <s v=""/>
    <s v=""/>
  </r>
  <r>
    <x v="0"/>
    <s v="50"/>
    <x v="3"/>
    <d v="2021-01-09T00:00:00"/>
    <d v="2021-01-15T00:00:00"/>
    <n v="202050"/>
    <n v="676545.884995064"/>
    <n v="29827.27894724863"/>
    <n v="162381.2191182266"/>
    <n v="868754.3830605391"/>
    <n v="676545.884995064"/>
    <n v="29827.27894724863"/>
    <n v="122381.2191182266"/>
    <n v="828754.3830605391"/>
    <n v="930119"/>
    <n v="47208"/>
    <n v="162793"/>
    <n v="1140120"/>
    <n v="59047283"/>
    <n v="46278807.1513109"/>
    <n v="51423045.80080082"/>
    <n v="0.2759033050904256"/>
    <n v="0.3272605737250704"/>
    <n v="0.1482649866507992"/>
    <n v="0.3758853861107649"/>
    <n v="1.22938912580628"/>
    <n v="1.112126942977097"/>
    <n v="0.3748054945405308"/>
    <n v="0.5827122575777106"/>
    <n v="0.002535889827712134"/>
    <n v="0.3123617241313541"/>
    <n v="0.3748054945405308"/>
    <n v="0.5827122575777106"/>
    <n v="0.3302122758127906"/>
    <n v="0.3757031314749815"/>
    <n v="0.3357046655910725"/>
    <n v="-0.05619330665618771"/>
    <n v="0.326674955309487"/>
    <n v="0.1735899053184871"/>
    <n v="-0.1071724578769547"/>
    <n v="0.2580260832433394"/>
    <m/>
    <n v="0.448"/>
    <n v="0.448"/>
    <s v=""/>
    <s v=""/>
    <m/>
    <n v="0.629"/>
    <n v="0.629"/>
    <s v=""/>
    <s v=""/>
    <m/>
    <n v="26205735"/>
    <s v=""/>
    <s v=""/>
    <s v=""/>
  </r>
  <r>
    <x v="0"/>
    <s v="51"/>
    <x v="3"/>
    <d v="2021-01-16T00:00:00"/>
    <d v="2021-01-22T00:00:00"/>
    <n v="202051"/>
    <n v="685407.255070064"/>
    <n v="29827.27894724863"/>
    <n v="162381.2191182266"/>
    <n v="877615.7531355391"/>
    <n v="685407.255070064"/>
    <n v="29827.27894724863"/>
    <n v="122381.2191182266"/>
    <n v="837615.7531355391"/>
    <n v="909113"/>
    <n v="45019"/>
    <n v="126319"/>
    <n v="1080451"/>
    <n v="60127734"/>
    <n v="47156422.90444644"/>
    <n v="52260661.55393636"/>
    <n v="0.2750698695241891"/>
    <n v="0.3209299289738832"/>
    <n v="0.1505352632772226"/>
    <n v="0.3702803737091356"/>
    <n v="1.251884567474045"/>
    <n v="1.132476713645911"/>
    <n v="0.326383683970588"/>
    <n v="0.5093230622752702"/>
    <n v="-0.2220836825468739"/>
    <n v="0.231120790778621"/>
    <n v="0.326383683970588"/>
    <n v="0.5093230622752702"/>
    <n v="0.03217634952606008"/>
    <n v="0.2899124639853405"/>
    <n v="0.3355038642211672"/>
    <n v="-0.05374904679687864"/>
    <n v="0.3161165878636183"/>
    <n v="0.1764896091194563"/>
    <n v="-0.104651195468127"/>
    <n v="0.2549033859187051"/>
    <m/>
    <n v="0.443"/>
    <n v="0.443"/>
    <s v=""/>
    <s v=""/>
    <m/>
    <n v="0.63"/>
    <n v="0.63"/>
    <s v=""/>
    <s v=""/>
    <m/>
    <n v="25932721"/>
    <s v=""/>
    <s v=""/>
    <s v=""/>
  </r>
  <r>
    <x v="0"/>
    <s v="52"/>
    <x v="3"/>
    <d v="2021-01-23T00:00:00"/>
    <d v="2021-01-29T00:00:00"/>
    <n v="202052"/>
    <n v="681143.5162100641"/>
    <n v="29827.27894724863"/>
    <n v="162381.2191182266"/>
    <n v="873352.0142755392"/>
    <n v="681143.5162100641"/>
    <n v="29827.27894724863"/>
    <n v="122381.2191182266"/>
    <n v="833352.0142755392"/>
    <n v="865629"/>
    <n v="39713"/>
    <n v="142171"/>
    <n v="1047513"/>
    <n v="61175247"/>
    <n v="48029774.91872197"/>
    <n v="53094013.5682119"/>
    <n v="0.2736942262070425"/>
    <n v="0.3134570455542716"/>
    <n v="0.1522061130565282"/>
    <n v="0.3633794439736349"/>
    <n v="1.273694226207043"/>
    <n v="1.152206113056528"/>
    <n v="0.2708467149719456"/>
    <n v="0.331432212446696"/>
    <n v="-0.1244615555171559"/>
    <n v="0.1994167104187998"/>
    <n v="0.2708467149719456"/>
    <n v="0.331432212446696"/>
    <n v="0.1617060282971643"/>
    <n v="0.2569874219487405"/>
    <n v="0.3341486378254741"/>
    <n v="-0.0520913912433032"/>
    <n v="0.3077996837067007"/>
    <n v="0.1782362276593541"/>
    <n v="-0.1028750227786882"/>
    <n v="0.253632372032957"/>
    <m/>
    <n v="0.45"/>
    <n v="0.45"/>
    <s v=""/>
    <s v=""/>
    <m/>
    <n v="0.63"/>
    <n v="0.63"/>
    <s v=""/>
    <s v=""/>
    <m/>
    <n v="25392418"/>
    <s v=""/>
    <s v=""/>
    <s v=""/>
  </r>
  <r>
    <x v="1"/>
    <s v="01"/>
    <x v="0"/>
    <d v="2021-01-30T00:00:00"/>
    <d v="2021-02-05T00:00:00"/>
    <n v="202101"/>
    <n v="691914"/>
    <n v="33817"/>
    <n v="125006.2878159156"/>
    <n v="850737.2878159157"/>
    <n v="723050.13"/>
    <n v="79595.69119108871"/>
    <n v="130631.5707676318"/>
    <n v="933277.3919587205"/>
    <n v="901841"/>
    <n v="42759"/>
    <n v="128811"/>
    <n v="1073411"/>
    <n v="1073411"/>
    <n v="850737.2878159157"/>
    <n v="933277.3919587205"/>
    <n v="0.2617420387858524"/>
    <n v="0.2617420387858524"/>
    <n v="0.1501521511703754"/>
    <n v="0.1501521511703754"/>
    <n v="0.02072559097765736"/>
    <n v="0.01949065783318348"/>
    <n v="0.3034004225958717"/>
    <n v="0.2644232190909896"/>
    <n v="0.03043616645658043"/>
    <n v="0.2617420387858524"/>
    <n v="0.2472731316706906"/>
    <n v="-0.4627975539863499"/>
    <n v="-0.01393668281666938"/>
    <n v="0.1501521511703754"/>
    <n v="0.3034004225958717"/>
    <n v="0.2644232190909896"/>
    <n v="0.03043616645658043"/>
    <n v="0.2472731316706906"/>
    <n v="-0.4627975539863499"/>
    <n v="-0.01393668281666938"/>
    <m/>
    <n v="0.4952685057261385"/>
    <n v="0.4952685057261385"/>
    <s v=""/>
    <s v=""/>
    <m/>
    <n v="0.7101808664155668"/>
    <n v="0.7101808664155668"/>
    <s v=""/>
    <s v=""/>
    <m/>
    <n v="26218576"/>
    <s v=""/>
    <s v=""/>
    <s v=""/>
  </r>
  <r>
    <x v="1"/>
    <s v="02"/>
    <x v="0"/>
    <d v="2021-02-06T00:00:00"/>
    <d v="2021-02-12T00:00:00"/>
    <n v="202102"/>
    <n v="658772"/>
    <n v="39344"/>
    <n v="149827.4196770663"/>
    <n v="847943.4196770663"/>
    <n v="688416.74"/>
    <n v="82976.29925221782"/>
    <n v="156569.6535625343"/>
    <n v="927962.6928147521"/>
    <n v="833898"/>
    <n v="40745"/>
    <n v="123836"/>
    <n v="998479"/>
    <n v="2071890"/>
    <n v="1698680.707492982"/>
    <n v="1861240.084773473"/>
    <n v="0.2197053812766399"/>
    <n v="0.2197053812766399"/>
    <n v="0.1131771859792958"/>
    <n v="0.1131771859792958"/>
    <n v="0.0400043829350533"/>
    <n v="0.03762072408238271"/>
    <n v="0.2658370422543763"/>
    <n v="0.03560898739324925"/>
    <n v="-0.1734757211536276"/>
    <n v="0.1775302182075595"/>
    <n v="0.2113273131620825"/>
    <n v="-0.5089561673972709"/>
    <n v="-0.2090676757450982"/>
    <n v="0.07599045493020151"/>
    <n v="0.2850795817828866"/>
    <n v="0.141373135960416"/>
    <n v="-0.08072775241205987"/>
    <n v="0.2297412265864942"/>
    <n v="-0.4863567840173537"/>
    <n v="-0.1203136386718274"/>
    <m/>
    <n v="0.4806130143948946"/>
    <n v="0.4806130143948946"/>
    <s v=""/>
    <s v=""/>
    <m/>
    <n v="0.6988820415852511"/>
    <n v="0.6988820415852511"/>
    <s v=""/>
    <s v=""/>
    <m/>
    <n v="25171667"/>
    <s v=""/>
    <s v=""/>
    <s v=""/>
  </r>
  <r>
    <x v="1"/>
    <s v="03"/>
    <x v="0"/>
    <d v="2021-02-13T00:00:00"/>
    <d v="2021-02-19T00:00:00"/>
    <n v="202103"/>
    <n v="664919"/>
    <n v="36179"/>
    <n v="149827.4196770663"/>
    <n v="850925.4196770663"/>
    <n v="694840.355"/>
    <n v="82976.29925221782"/>
    <n v="156569.6535625343"/>
    <n v="934386.3078147521"/>
    <n v="750148"/>
    <n v="36766"/>
    <n v="125521"/>
    <n v="912435"/>
    <n v="2984325"/>
    <n v="2549606.127170048"/>
    <n v="2795626.392588225"/>
    <n v="0.1705043254318153"/>
    <n v="0.1705043254318153"/>
    <n v="0.0674977915189432"/>
    <n v="0.0674977915189432"/>
    <n v="0.05762182360195423"/>
    <n v="0.05418843056202636"/>
    <n v="0.1281795226185445"/>
    <n v="0.01622488183753013"/>
    <n v="-0.1622294485846159"/>
    <n v="0.07228551280825202"/>
    <n v="0.07959762930004266"/>
    <n v="-0.5569096195981854"/>
    <n v="-0.1983056924254698"/>
    <n v="-0.0234927541544242"/>
    <n v="0.2333205166686925"/>
    <n v="0.09996341686482535"/>
    <n v="-0.1094828892860514"/>
    <n v="0.1802110207355909"/>
    <n v="-0.510198176704335"/>
    <n v="-0.1478305160632072"/>
    <m/>
    <n v="0.4708915319995398"/>
    <n v="0.4708915319995398"/>
    <s v=""/>
    <s v=""/>
    <m/>
    <n v="0.6807325453319962"/>
    <n v="0.6807325453319962"/>
    <s v=""/>
    <s v=""/>
    <m/>
    <n v="24394413"/>
    <s v=""/>
    <s v=""/>
    <s v=""/>
  </r>
  <r>
    <x v="1"/>
    <s v="04"/>
    <x v="0"/>
    <d v="2021-02-20T00:00:00"/>
    <d v="2021-02-26T00:00:00"/>
    <n v="202104"/>
    <n v="709519"/>
    <n v="37405"/>
    <n v="149827.4196770663"/>
    <n v="896751.4196770663"/>
    <n v="741447.355"/>
    <n v="82976.29925221782"/>
    <n v="156569.6535625343"/>
    <n v="980993.3078147521"/>
    <n v="753662"/>
    <n v="34150"/>
    <n v="127156"/>
    <n v="914968"/>
    <n v="3899293"/>
    <n v="3446357.546847114"/>
    <n v="3776619.700402977"/>
    <n v="0.1314243943050111"/>
    <n v="0.1314243943050111"/>
    <n v="0.03248230145702347"/>
    <n v="0.03248230145702347"/>
    <n v="0.07528817183729483"/>
    <n v="0.0708021304554616"/>
    <n v="0.06221538817142314"/>
    <n v="-0.08702045181125517"/>
    <n v="-0.1513168933025185"/>
    <n v="0.02031396875791258"/>
    <n v="0.01647405566643378"/>
    <n v="-0.5884366944807167"/>
    <n v="-0.1878630557918837"/>
    <n v="-0.06730454457617985"/>
    <n v="0.18877122655703"/>
    <n v="0.05230161163923808"/>
    <n v="-0.1203932562741252"/>
    <n v="0.1375801211072059"/>
    <n v="-0.5299590800962442"/>
    <n v="-0.1582710586355266"/>
    <m/>
    <n v="0.4876387939250335"/>
    <n v="0.4876387939250335"/>
    <s v=""/>
    <s v=""/>
    <m/>
    <n v="0.7025551757001337"/>
    <n v="0.7025551757001337"/>
    <s v=""/>
    <s v=""/>
    <m/>
    <n v="24993680"/>
    <s v=""/>
    <s v=""/>
    <s v=""/>
  </r>
  <r>
    <x v="1"/>
    <s v="05"/>
    <x v="0"/>
    <d v="2021-02-27T00:00:00"/>
    <d v="2021-03-05T00:00:00"/>
    <n v="202105"/>
    <n v="716138"/>
    <n v="39567"/>
    <n v="148407.6018111611"/>
    <n v="904112.601811161"/>
    <n v="748364.21"/>
    <n v="79908.81101963104"/>
    <n v="155085.9438926633"/>
    <n v="983358.9649122944"/>
    <n v="846983"/>
    <n v="47980"/>
    <n v="142846"/>
    <n v="1037809"/>
    <n v="4937102"/>
    <n v="4350470.148658276"/>
    <n v="4759978.665315271"/>
    <n v="0.1348433229734141"/>
    <n v="0.1348433229734141"/>
    <n v="0.03721095137996744"/>
    <n v="0.03721095137996744"/>
    <n v="0.0953263537144431"/>
    <n v="0.08964633841979056"/>
    <n v="0.1827091985064331"/>
    <n v="0.2126266838527056"/>
    <n v="-0.03747518148186146"/>
    <n v="0.1478758264413216"/>
    <n v="0.1317791373267303"/>
    <n v="-0.3995655874767947"/>
    <n v="-0.07892361864292952"/>
    <n v="0.05537147372481832"/>
    <n v="0.187509698476896"/>
    <n v="0.08634977886555895"/>
    <n v="-0.1033705170472554"/>
    <n v="0.1363729172027712"/>
    <n v="-0.5044479711596352"/>
    <n v="-0.1419813560260818"/>
    <m/>
    <n v="0.4974744572459865"/>
    <n v="0.4974744572459865"/>
    <s v=""/>
    <s v=""/>
    <m/>
    <n v="0.7126644329544261"/>
    <n v="0.7126644329544261"/>
    <s v=""/>
    <s v=""/>
    <m/>
    <n v="25367031"/>
    <s v=""/>
    <s v=""/>
    <s v=""/>
  </r>
  <r>
    <x v="1"/>
    <s v="06"/>
    <x v="0"/>
    <d v="2021-03-06T00:00:00"/>
    <d v="2021-03-12T00:00:00"/>
    <n v="202106"/>
    <n v="702219"/>
    <n v="38375"/>
    <n v="147832.626745767"/>
    <n v="888426.626745767"/>
    <n v="733818.855"/>
    <n v="78681.81572659632"/>
    <n v="154485.0949493265"/>
    <n v="966985.7656759227"/>
    <n v="760180"/>
    <n v="47872"/>
    <n v="147325"/>
    <n v="955377"/>
    <n v="5892479"/>
    <n v="5238896.775404043"/>
    <n v="5726964.430991194"/>
    <n v="0.1247556981203453"/>
    <n v="0.1247556981203453"/>
    <n v="0.02890092491462526"/>
    <n v="0.02890092491462526"/>
    <n v="0.1137729253738181"/>
    <n v="0.1069937721694851"/>
    <n v="0.08253977747682706"/>
    <n v="0.2474788273615636"/>
    <n v="-0.003433793722951162"/>
    <n v="0.07535835964244653"/>
    <n v="0.03592323203524117"/>
    <n v="-0.3915747932616898"/>
    <n v="-0.04634812796454657"/>
    <n v="-0.01200510502634777"/>
    <n v="0.1697198563237046"/>
    <n v="0.1138695162603978"/>
    <n v="-0.08640322627345354"/>
    <n v="0.1193491448073729"/>
    <n v="-0.4862160081707784"/>
    <n v="-0.1257447141372761"/>
    <m/>
    <n v="0.5003622318728628"/>
    <n v="0.5003622318728628"/>
    <s v=""/>
    <s v=""/>
    <m/>
    <n v="0.7027957099658042"/>
    <n v="0.7027957099658042"/>
    <s v=""/>
    <s v=""/>
    <m/>
    <n v="25188223"/>
    <s v=""/>
    <s v=""/>
    <s v=""/>
  </r>
  <r>
    <x v="1"/>
    <s v="07"/>
    <x v="0"/>
    <d v="2021-03-13T00:00:00"/>
    <d v="2021-03-19T00:00:00"/>
    <n v="202107"/>
    <n v="688015"/>
    <n v="34468"/>
    <n v="147832.626745767"/>
    <n v="870315.626745767"/>
    <n v="718975.6749999999"/>
    <n v="78681.81572659632"/>
    <n v="154485.0949493265"/>
    <n v="952142.5856759227"/>
    <n v="967926"/>
    <n v="68411"/>
    <n v="162518"/>
    <n v="1198855"/>
    <n v="7091334"/>
    <n v="6109212.40214981"/>
    <n v="6679107.016667116"/>
    <n v="0.1607607549386538"/>
    <n v="0.1607607549386538"/>
    <n v="0.06171887683551236"/>
    <n v="0.06171887683551236"/>
    <n v="0.1369206091328996"/>
    <n v="0.1287622025252399"/>
    <n v="0.4068385136951955"/>
    <n v="0.9847684809098294"/>
    <n v="0.09933783615634439"/>
    <n v="0.3774945125168994"/>
    <n v="0.3462569509044935"/>
    <n v="-0.1305360791658058"/>
    <n v="0.05199792933621472"/>
    <n v="0.2591128871196713"/>
    <n v="0.2034860424183318"/>
    <n v="0.2297003723640292"/>
    <n v="-0.05944501924185819"/>
    <n v="0.1516612846108438"/>
    <n v="-0.4367538493443988"/>
    <n v="-0.09994738683431403"/>
    <m/>
    <n v="0.5242575557511125"/>
    <n v="0.5242575557511125"/>
    <s v=""/>
    <s v=""/>
    <m/>
    <n v="0.7166307493399953"/>
    <n v="0.7166307493399953"/>
    <s v=""/>
    <s v=""/>
    <m/>
    <n v="26503001"/>
    <s v=""/>
    <s v=""/>
    <s v=""/>
  </r>
  <r>
    <x v="1"/>
    <s v="08"/>
    <x v="0"/>
    <d v="2021-03-20T00:00:00"/>
    <d v="2021-03-26T00:00:00"/>
    <n v="202108"/>
    <n v="694522"/>
    <n v="34326"/>
    <n v="147832.626745767"/>
    <n v="876680.626745767"/>
    <n v="725775.49"/>
    <n v="78681.81572659632"/>
    <n v="154485.0949493265"/>
    <n v="958942.4006759227"/>
    <n v="928223"/>
    <n v="60412"/>
    <n v="195914"/>
    <n v="1184549"/>
    <n v="8275883"/>
    <n v="6985893.028895576"/>
    <n v="7638049.417343039"/>
    <n v="0.1846564162618394"/>
    <n v="0.1846564162618394"/>
    <n v="0.08350739145634334"/>
    <n v="0.08350739145634334"/>
    <n v="0.1597920703597671"/>
    <n v="0.1502708690524505"/>
    <n v="0.3364918605890095"/>
    <n v="0.7599487269125444"/>
    <n v="0.325241959861271"/>
    <n v="0.3511750617748204"/>
    <n v="0.2789395795110139"/>
    <n v="-0.2321987050995404"/>
    <n v="0.2681741242691589"/>
    <n v="0.2352660589051601"/>
    <n v="0.2202025038644464"/>
    <n v="0.2917190550665971"/>
    <n v="-0.01068852256332375"/>
    <n v="0.1676578984348769"/>
    <n v="-0.4117805391471036"/>
    <n v="-0.05329045221370698"/>
    <m/>
    <n v="0.5478816258339672"/>
    <n v="0.5478816258339672"/>
    <s v=""/>
    <s v=""/>
    <m/>
    <n v="0.734585795100076"/>
    <n v="0.734585795100076"/>
    <s v=""/>
    <s v=""/>
    <m/>
    <n v="26697709"/>
    <s v=""/>
    <s v=""/>
    <s v=""/>
  </r>
  <r>
    <x v="1"/>
    <s v="09"/>
    <x v="0"/>
    <d v="2021-03-27T00:00:00"/>
    <d v="2021-04-02T00:00:00"/>
    <n v="202109"/>
    <n v="732827"/>
    <n v="39325"/>
    <n v="129195.2803904813"/>
    <n v="901347.2803904813"/>
    <n v="765804.215"/>
    <n v="81986.43153499137"/>
    <n v="135009.0680080529"/>
    <n v="982799.7145430443"/>
    <n v="801500"/>
    <n v="57785"/>
    <n v="186817"/>
    <n v="1046102"/>
    <n v="9321985"/>
    <n v="7887240.309286058"/>
    <n v="8620849.131886084"/>
    <n v="0.1819070593075176"/>
    <n v="0.1819070593075176"/>
    <n v="0.08133025614850542"/>
    <n v="0.08133025614850542"/>
    <n v="0.1799903748050441"/>
    <n v="0.1692656586909104"/>
    <n v="0.09370970228989917"/>
    <n v="0.4694214876033058"/>
    <n v="0.4460048341964362"/>
    <n v="0.1605981653894912"/>
    <n v="0.046612155301339"/>
    <n v="-0.2951882534936567"/>
    <n v="0.3837366834415659"/>
    <n v="0.06441015857069954"/>
    <n v="0.2053918893981237"/>
    <n v="0.3127167178476349"/>
    <n v="0.03485262682417867"/>
    <n v="0.153485061624999"/>
    <n v="-0.3986223253607889"/>
    <n v="-0.009710404952939067"/>
    <m/>
    <n v="0.5067841367285408"/>
    <n v="0.5067841367285408"/>
    <s v=""/>
    <s v=""/>
    <m/>
    <n v="0.7134862078458888"/>
    <n v="0.7134862078458888"/>
    <s v=""/>
    <s v=""/>
    <m/>
    <n v="26283661"/>
    <s v=""/>
    <s v=""/>
    <s v=""/>
  </r>
  <r>
    <x v="1"/>
    <s v="10"/>
    <x v="0"/>
    <d v="2021-04-03T00:00:00"/>
    <d v="2021-04-09T00:00:00"/>
    <n v="202110"/>
    <n v="757086"/>
    <n v="32741"/>
    <n v="82474.45721583655"/>
    <n v="872301.4572158365"/>
    <n v="791154.87"/>
    <n v="90247.97105597898"/>
    <n v="86185.80779054918"/>
    <n v="967588.6488465283"/>
    <n v="757046"/>
    <n v="52807"/>
    <n v="161136"/>
    <n v="970989"/>
    <n v="10292974"/>
    <n v="8759541.766501894"/>
    <n v="9588437.780732611"/>
    <n v="0.1750584989916064"/>
    <n v="0.1750584989916064"/>
    <n v="0.07347768587319958"/>
    <n v="0.07347768587319958"/>
    <n v="0.1987383854531598"/>
    <n v="0.1868965702045664"/>
    <n v="-5.283415622536758e-05"/>
    <n v="0.6128707125622308"/>
    <n v="0.9537685416747315"/>
    <n v="0.1131346760547081"/>
    <n v="-0.04311275995811037"/>
    <n v="-0.4148677318491194"/>
    <n v="0.869634968109791"/>
    <n v="0.003514252836187559"/>
    <n v="0.1832224404715497"/>
    <n v="0.3396006532675688"/>
    <n v="0.08984797112284837"/>
    <n v="0.1322702779632055"/>
    <n v="-0.4004174657910703"/>
    <n v="0.0429167187778452"/>
    <m/>
    <n v="0.5035951931484292"/>
    <n v="0.5035951931484292"/>
    <s v=""/>
    <s v=""/>
    <m/>
    <n v="0.7124235825534584"/>
    <n v="0.7124235825534584"/>
    <s v=""/>
    <s v=""/>
    <m/>
    <n v="25067451"/>
    <s v=""/>
    <s v=""/>
    <s v=""/>
  </r>
  <r>
    <x v="1"/>
    <s v="11"/>
    <x v="0"/>
    <d v="2021-04-10T00:00:00"/>
    <d v="2021-04-16T00:00:00"/>
    <n v="202111"/>
    <n v="757998"/>
    <n v="37470"/>
    <n v="82474.45721583655"/>
    <n v="877942.4572158365"/>
    <n v="792107.9099999999"/>
    <n v="90247.97105597898"/>
    <n v="86185.80779054918"/>
    <n v="968541.6888465281"/>
    <n v="747808"/>
    <n v="53729"/>
    <n v="153301"/>
    <n v="954838"/>
    <n v="11247812"/>
    <n v="9637484.22371773"/>
    <n v="10556979.46957914"/>
    <n v="0.1670900557553467"/>
    <n v="0.1670900557553467"/>
    <n v="0.06543846489533811"/>
    <n v="0.06543846489533811"/>
    <n v="0.2171745500144736"/>
    <n v="0.2042342169625382"/>
    <n v="-0.01344330723827769"/>
    <n v="0.4339204697091006"/>
    <n v="0.8587694320777355"/>
    <n v="0.08758608511543842"/>
    <n v="-0.05592660979739483"/>
    <n v="-0.4046514356907481"/>
    <n v="0.7787267292609912"/>
    <n v="-0.01414878575113099"/>
    <n v="0.1640465201058563"/>
    <n v="0.3483699198793102"/>
    <n v="0.1332678413487975"/>
    <n v="0.1139201149338338"/>
    <n v="-0.4008387706762158"/>
    <n v="0.08446683382660058"/>
    <m/>
    <n v="0.499805895869247"/>
    <n v="0.499805895869247"/>
    <s v=""/>
    <s v=""/>
    <m/>
    <n v="0.7080075080799046"/>
    <n v="0.7080075080799046"/>
    <s v=""/>
    <s v=""/>
    <m/>
    <n v="25081152"/>
    <s v=""/>
    <s v=""/>
    <s v=""/>
  </r>
  <r>
    <x v="1"/>
    <s v="12"/>
    <x v="0"/>
    <d v="2021-04-17T00:00:00"/>
    <d v="2021-04-23T00:00:00"/>
    <n v="202112"/>
    <n v="756190"/>
    <n v="36517"/>
    <n v="82474.45721583655"/>
    <n v="875181.4572158365"/>
    <n v="790218.5499999999"/>
    <n v="90247.97105597898"/>
    <n v="86185.80779054918"/>
    <n v="966652.3288465282"/>
    <n v="700052"/>
    <n v="50497"/>
    <n v="138699"/>
    <n v="889248"/>
    <n v="12137060"/>
    <n v="10512665.68093357"/>
    <n v="11523631.79842567"/>
    <n v="0.1545178329044115"/>
    <n v="0.1545178329044115"/>
    <n v="0.05323219383477151"/>
    <n v="0.05323219383477151"/>
    <n v="0.2343442923831468"/>
    <n v="0.2203809012212636"/>
    <n v="-0.07423795606924188"/>
    <n v="0.3828353917353562"/>
    <n v="0.6817206767062827"/>
    <n v="0.01607271574161606"/>
    <n v="-0.1141033072432935"/>
    <n v="-0.440463875152631"/>
    <n v="0.6093020829725195"/>
    <n v="-0.08007463131950654"/>
    <n v="0.1429227423439228"/>
    <n v="0.3512333516861039"/>
    <n v="0.1625827980329047"/>
    <n v="0.09370597353485421"/>
    <n v="-0.4044248640567262"/>
    <n v="0.1125194239549325"/>
    <m/>
    <n v="0.4886253171218828"/>
    <n v="0.4886253171218828"/>
    <s v=""/>
    <s v=""/>
    <m/>
    <n v="0.7027063248947425"/>
    <n v="0.7027063248947425"/>
    <s v=""/>
    <s v=""/>
    <m/>
    <n v="24784845"/>
    <s v=""/>
    <s v=""/>
    <s v=""/>
  </r>
  <r>
    <x v="1"/>
    <s v="13"/>
    <x v="0"/>
    <d v="2021-04-24T00:00:00"/>
    <d v="2021-04-30T00:00:00"/>
    <n v="202113"/>
    <n v="771982"/>
    <n v="31907"/>
    <n v="82474.45721583655"/>
    <n v="886363.4572158365"/>
    <n v="806721.1899999999"/>
    <n v="90247.97105597898"/>
    <n v="86185.80779054918"/>
    <n v="983154.9688465281"/>
    <n v="683911"/>
    <n v="45967"/>
    <n v="151067"/>
    <n v="880945"/>
    <n v="13018005"/>
    <n v="11399029.1381494"/>
    <n v="12506786.76727219"/>
    <n v="0.142027522013461"/>
    <n v="0.142027522013461"/>
    <n v="0.04087526574496048"/>
    <n v="0.04087526574496048"/>
    <n v="0.2513537191020945"/>
    <n v="0.2363768222290173"/>
    <n v="-0.1140842662134609"/>
    <n v="0.4406556554987933"/>
    <n v="0.8316822577523126"/>
    <n v="-0.006113132453425485"/>
    <n v="-0.1522337475726898"/>
    <n v="-0.4906589094231536"/>
    <n v="0.7528059882797253"/>
    <n v="-0.1039611984735677"/>
    <n v="0.1215937130762179"/>
    <n v="0.3572854291417165"/>
    <n v="0.1965317684483787"/>
    <n v="0.07329541921169191"/>
    <n v="-0.4115814196395426"/>
    <n v="0.1450064769840942"/>
    <m/>
    <n v="0.4936840211363933"/>
    <n v="0.4936840211363933"/>
    <s v=""/>
    <s v=""/>
    <m/>
    <n v="0.7043951546228644"/>
    <n v="0.7043951546228644"/>
    <s v=""/>
    <s v=""/>
    <m/>
    <n v="24726278"/>
    <s v=""/>
    <s v=""/>
    <s v=""/>
  </r>
  <r>
    <x v="1"/>
    <s v="14"/>
    <x v="1"/>
    <d v="2021-05-01T00:00:00"/>
    <d v="2021-05-07T00:00:00"/>
    <n v="202114"/>
    <n v="788479"/>
    <n v="38738"/>
    <n v="55842.25938678325"/>
    <n v="883059.2593867832"/>
    <n v="823960.5549999999"/>
    <n v="89305.40826309648"/>
    <n v="58355.16105918849"/>
    <n v="971621.1243222849"/>
    <n v="691822"/>
    <n v="48076"/>
    <n v="137857"/>
    <n v="877755"/>
    <n v="13895760"/>
    <n v="12282088.39753619"/>
    <n v="13478407.89159448"/>
    <n v="0.1313841384489236"/>
    <n v="-0.006006685656030242"/>
    <n v="0.03096449608605423"/>
    <n v="-0.0966077434635414"/>
    <n v="0.2683015527917005"/>
    <n v="0.2523148202245343"/>
    <n v="-0.1225866510078265"/>
    <n v="0.2410552945428261"/>
    <n v="1.468685929148275"/>
    <n v="-0.006006685656030242"/>
    <n v="-0.1603700009644272"/>
    <n v="-0.4616675413613628"/>
    <n v="1.362378879567728"/>
    <n v="-0.0966077434635414"/>
    <n v="0.1025134333209785"/>
    <n v="0.3484600502960726"/>
    <n v="0.2387840259333669"/>
    <n v="0.05503677829758713"/>
    <n v="-0.4153824935845087"/>
    <n v="0.1854392592663796"/>
    <m/>
    <n v="0.4879999999999999"/>
    <n v="0.4879999999999999"/>
    <s v=""/>
    <s v=""/>
    <m/>
    <n v="0.7093344503437142"/>
    <n v="0.7093344503437142"/>
    <s v=""/>
    <s v=""/>
    <m/>
    <n v="24760784"/>
    <s v=""/>
    <s v=""/>
    <s v=""/>
  </r>
  <r>
    <x v="1"/>
    <s v="15"/>
    <x v="1"/>
    <d v="2021-05-08T00:00:00"/>
    <d v="2021-05-14T00:00:00"/>
    <n v="202115"/>
    <n v="781264"/>
    <n v="44125"/>
    <n v="55842.25938678325"/>
    <n v="881231.2593867832"/>
    <n v="816420.8799999999"/>
    <n v="89305.40826309648"/>
    <n v="58355.16105918849"/>
    <n v="964081.4493222849"/>
    <n v="678876"/>
    <n v="46239"/>
    <n v="122594"/>
    <n v="847709"/>
    <n v="14743469"/>
    <n v="13163319.65692297"/>
    <n v="14442489.34091677"/>
    <n v="0.1200418575451052"/>
    <n v="-0.02200687378887944"/>
    <n v="0.02083987406731436"/>
    <n v="-0.1086109904006221"/>
    <n v="0.2846692535159142"/>
    <n v="0.2677072524439825"/>
    <n v="-0.1310542915070962"/>
    <n v="0.0479093484419264"/>
    <n v="1.195362461086515"/>
    <n v="-0.03804025223765906"/>
    <n v="-0.1684730062268862"/>
    <n v="-0.4822374042143284"/>
    <n v="1.10082532161389"/>
    <n v="-0.1207081096769268"/>
    <n v="0.0857289710926683"/>
    <n v="0.3245349122503176"/>
    <n v="0.2695337223647738"/>
    <n v="0.0389750919547065"/>
    <n v="-0.4200982791388249"/>
    <n v="0.2148648060906924"/>
    <m/>
    <n v="0.4848741400381261"/>
    <n v="0.4848741400381261"/>
    <s v=""/>
    <s v=""/>
    <m/>
    <n v="0.6998437567761754"/>
    <n v="0.6998437567761754"/>
    <s v=""/>
    <s v=""/>
    <m/>
    <n v="24040617"/>
    <s v=""/>
    <s v=""/>
    <s v=""/>
  </r>
  <r>
    <x v="1"/>
    <s v="16"/>
    <x v="1"/>
    <d v="2021-05-15T00:00:00"/>
    <d v="2021-05-21T00:00:00"/>
    <n v="202116"/>
    <n v="777474"/>
    <n v="48226"/>
    <n v="55842.25938678325"/>
    <n v="881542.2593867832"/>
    <n v="812460.33"/>
    <n v="89305.40826309648"/>
    <n v="58355.16105918849"/>
    <n v="960120.899322285"/>
    <n v="748189"/>
    <n v="47316"/>
    <n v="144400"/>
    <n v="939905"/>
    <n v="15683374"/>
    <n v="14044861.91630975"/>
    <n v="15402610.24023905"/>
    <n v="0.1166627406843712"/>
    <n v="0.007383770433607717"/>
    <n v="0.01822832334142044"/>
    <n v="-0.07958167171383124"/>
    <n v="0.3028170893289019"/>
    <n v="0.2847737505054877"/>
    <n v="-0.03766685445429685"/>
    <n v="-0.01886948948699874"/>
    <n v="1.585855257034543"/>
    <n v="0.06620526695318607"/>
    <n v="-0.07910703775530792"/>
    <n v="-0.470177664261882"/>
    <n v="1.474502638310567"/>
    <n v="-0.02105557678887593"/>
    <n v="0.07749354940778508"/>
    <n v="0.2970491095879044"/>
    <n v="0.3105297056679726"/>
    <n v="0.03109430565338278"/>
    <n v="-0.423398004494643"/>
    <n v="0.2540954121224617"/>
    <m/>
    <n v="0.4601594208314869"/>
    <n v="0.4601594208314869"/>
    <s v=""/>
    <s v=""/>
    <m/>
    <n v="0.6692240321757338"/>
    <n v="0.6692240321757338"/>
    <s v=""/>
    <s v=""/>
    <m/>
    <n v="24851970"/>
    <s v=""/>
    <s v=""/>
    <s v=""/>
  </r>
  <r>
    <x v="1"/>
    <s v="17"/>
    <x v="1"/>
    <d v="2021-05-22T00:00:00"/>
    <d v="2021-05-28T00:00:00"/>
    <n v="202117"/>
    <n v="793614"/>
    <n v="50443"/>
    <n v="55842.25938678325"/>
    <n v="899899.2593867832"/>
    <n v="829326.6299999999"/>
    <n v="89305.40826309648"/>
    <n v="58355.16105918849"/>
    <n v="976987.1993222849"/>
    <n v="721953"/>
    <n v="48050"/>
    <n v="139350"/>
    <n v="909353"/>
    <n v="16592727"/>
    <n v="14944761.17569654"/>
    <n v="16379597.43956134"/>
    <n v="0.110270469024518"/>
    <n v="0.008176016164188615"/>
    <n v="0.01301189246103784"/>
    <n v="-0.07696959586019358"/>
    <n v="0.3203750222477053"/>
    <n v="0.3012854950027761"/>
    <n v="-0.09029704617106049"/>
    <n v="-0.04743968439624924"/>
    <n v="1.495421953377864"/>
    <n v="0.01050533214090965"/>
    <n v="-0.1294708575799621"/>
    <n v="-0.4619586771448015"/>
    <n v="1.387963591749152"/>
    <n v="-0.06922731369377333"/>
    <n v="0.06679181401939682"/>
    <n v="0.2704369093362207"/>
    <n v="0.346317811369097"/>
    <n v="0.02085341054487722"/>
    <n v="-0.4257817015652693"/>
    <n v="0.2883424032240163"/>
    <m/>
    <n v="0.4720941035240274"/>
    <n v="0.4720941035240274"/>
    <s v=""/>
    <s v=""/>
    <m/>
    <n v="0.6945281087774192"/>
    <n v="0.6945281087774192"/>
    <s v=""/>
    <s v=""/>
    <m/>
    <n v="24883278"/>
    <s v=""/>
    <s v=""/>
    <s v=""/>
  </r>
  <r>
    <x v="1"/>
    <s v="18"/>
    <x v="1"/>
    <d v="2021-05-29T00:00:00"/>
    <d v="2021-06-04T00:00:00"/>
    <n v="202118"/>
    <n v="809814"/>
    <n v="48346"/>
    <n v="51848.88863310508"/>
    <n v="910008.8886331051"/>
    <n v="846255.6299999999"/>
    <n v="87269.58298151428"/>
    <n v="54182.0886215948"/>
    <n v="987707.301603109"/>
    <n v="728976"/>
    <n v="44346"/>
    <n v="120959"/>
    <n v="894281"/>
    <n v="17487008"/>
    <n v="15854770.06432964"/>
    <n v="17367304.74116445"/>
    <n v="0.1029493287539121"/>
    <n v="0.00297640146486966"/>
    <n v="0.006892448806511187"/>
    <n v="-0.08055005166017881"/>
    <n v="0.3376419425839888"/>
    <n v="0.3175235668855099"/>
    <n v="-0.09982292230067646"/>
    <n v="-0.08273693790592807"/>
    <n v="1.332914035167355"/>
    <n v="-0.01728322528445791"/>
    <n v="-0.1385865285173936"/>
    <n v="-0.4918504422165795"/>
    <n v="1.232453622169718"/>
    <n v="-0.09458905634439718"/>
    <n v="0.05661075825342166"/>
    <n v="0.2460905807485609"/>
    <n v="0.3732309388677073"/>
    <n v="0.01111077344825029"/>
    <n v="-0.4295453998230025"/>
    <n v="0.3140965922179018"/>
    <m/>
    <n v="0.4781401326458061"/>
    <n v="0.4781401326458061"/>
    <s v=""/>
    <s v=""/>
    <m/>
    <n v="0.704609011582365"/>
    <n v="0.704609011582365"/>
    <s v=""/>
    <s v=""/>
    <m/>
    <n v="24913575"/>
    <s v=""/>
    <s v=""/>
    <s v=""/>
  </r>
  <r>
    <x v="1"/>
    <s v="19"/>
    <x v="1"/>
    <d v="2021-06-05T00:00:00"/>
    <d v="2021-06-11T00:00:00"/>
    <n v="202119"/>
    <n v="803002"/>
    <n v="44035"/>
    <n v="48826.18064331561"/>
    <n v="895863.1806433157"/>
    <n v="839137.09"/>
    <n v="85742.71402032762"/>
    <n v="51023.35877226481"/>
    <n v="975903.1627925924"/>
    <n v="788147"/>
    <n v="48667"/>
    <n v="114581"/>
    <n v="951395"/>
    <n v="18438403"/>
    <n v="16750633.24497296"/>
    <n v="18343207.90395704"/>
    <n v="0.10075856418942"/>
    <n v="0.01285481732266613"/>
    <n v="0.005189664563657104"/>
    <n v="-0.07128052053508027"/>
    <n v="0.3560116291515648"/>
    <n v="0.3347986967371712"/>
    <n v="-0.01849933125944891"/>
    <n v="0.1051890541614624"/>
    <n v="1.346712327081974"/>
    <n v="0.06198694237752589"/>
    <n v="-0.0607649102961233"/>
    <n v="-0.4324065833924714"/>
    <n v="1.245657729265047"/>
    <n v="-0.02511331423751217"/>
    <n v="0.0523197342468007"/>
    <n v="0.2377662157847145"/>
    <n v="0.3976118654296281"/>
    <n v="0.007004530379713492"/>
    <n v="-0.4296970515478741"/>
    <n v="0.3374276224206967"/>
    <m/>
    <n v="0.4991808283193618"/>
    <n v="0.4991808283193618"/>
    <s v=""/>
    <s v=""/>
    <m/>
    <n v="0.7200353338932848"/>
    <n v="0.7200353338932848"/>
    <s v=""/>
    <s v=""/>
    <m/>
    <n v="24857578"/>
    <s v=""/>
    <s v=""/>
    <s v=""/>
  </r>
  <r>
    <x v="1"/>
    <s v="20"/>
    <x v="1"/>
    <d v="2021-06-12T00:00:00"/>
    <d v="2021-06-18T00:00:00"/>
    <n v="202120"/>
    <n v="801050"/>
    <n v="41626"/>
    <n v="48826.18064331561"/>
    <n v="891502.1806433157"/>
    <n v="837097.25"/>
    <n v="85742.71402032762"/>
    <n v="51023.35877226481"/>
    <n v="973863.3227925925"/>
    <n v="839201"/>
    <n v="53412"/>
    <n v="128690"/>
    <n v="1021303"/>
    <n v="19459706"/>
    <n v="17642135.42561628"/>
    <n v="19317071.22674963"/>
    <n v="0.1030244089241388"/>
    <n v="0.03181024050989056"/>
    <n v="0.007383871580534995"/>
    <n v="-0.05412159531229266"/>
    <n v="0.375731110545229"/>
    <n v="0.3533431939679652"/>
    <n v="0.04762624055926601"/>
    <n v="0.2831403449766972"/>
    <n v="1.635676153744331"/>
    <n v="0.1455978708465064"/>
    <n v="0.002513148860541659"/>
    <n v="-0.3770666043141899"/>
    <n v="1.522178137554384"/>
    <n v="0.04871286976017575"/>
    <n v="0.05206667008597687"/>
    <n v="0.2401662049861495"/>
    <n v="0.4278616845132435"/>
    <n v="0.006762363718638031"/>
    <n v="-0.4270478864512164"/>
    <n v="0.3663748177160224"/>
    <m/>
    <n v="0.5362417110056362"/>
    <n v="0.5362417110056362"/>
    <s v=""/>
    <s v=""/>
    <m/>
    <n v="0.7269486098999405"/>
    <n v="0.7269486098999405"/>
    <s v=""/>
    <s v=""/>
    <m/>
    <n v="25845018"/>
    <s v=""/>
    <s v=""/>
    <s v=""/>
  </r>
  <r>
    <x v="1"/>
    <s v="21"/>
    <x v="1"/>
    <d v="2021-06-19T00:00:00"/>
    <d v="2021-06-25T00:00:00"/>
    <n v="202121"/>
    <n v="801559"/>
    <n v="42905"/>
    <n v="48826.18064331561"/>
    <n v="893290.1806433157"/>
    <n v="837629.1549999999"/>
    <n v="85742.71402032762"/>
    <n v="51023.35877226481"/>
    <n v="974395.2277925924"/>
    <n v="834329"/>
    <n v="53116"/>
    <n v="170017"/>
    <n v="1057462"/>
    <n v="20517168"/>
    <n v="18535425.60625959"/>
    <n v="20291466.45454222"/>
    <n v="0.1069164763646515"/>
    <n v="0.05083329289661531"/>
    <n v="0.01112297851726995"/>
    <n v="-0.03667674184936853"/>
    <n v="0.3961487556843374"/>
    <n v="0.37254425489765"/>
    <n v="0.04088282958584455"/>
    <n v="0.2379909101503321"/>
    <n v="2.482086818176626"/>
    <n v="0.1837833023513744"/>
    <n v="-0.003939875994407038"/>
    <n v="-0.3805187926824031"/>
    <n v="2.3321404958628"/>
    <n v="0.08524956797621863"/>
    <n v="0.05149416378742666"/>
    <n v="0.2400537423859932"/>
    <n v="0.4768558085144343"/>
    <n v="0.006214510801365369"/>
    <n v="-0.4248180724927746"/>
    <n v="0.413259146903765"/>
    <m/>
    <n v="0.5064020594235017"/>
    <n v="0.5064020594235017"/>
    <s v=""/>
    <s v=""/>
    <m/>
    <n v="0.7058322202921503"/>
    <n v="0.7058322202921503"/>
    <s v=""/>
    <s v=""/>
    <m/>
    <n v="27864208"/>
    <s v=""/>
    <s v=""/>
    <s v=""/>
  </r>
  <r>
    <x v="1"/>
    <s v="22"/>
    <x v="1"/>
    <d v="2021-06-26T00:00:00"/>
    <d v="2021-07-02T00:00:00"/>
    <n v="202122"/>
    <n v="825737"/>
    <n v="56811"/>
    <n v="47421.4971140244"/>
    <n v="929969.4971140244"/>
    <n v="862895.1649999999"/>
    <n v="85916.45812867414"/>
    <n v="49555.4644841555"/>
    <n v="998367.0876128296"/>
    <n v="785205"/>
    <n v="49055"/>
    <n v="138345"/>
    <n v="972605"/>
    <n v="21489773"/>
    <n v="19465395.10337362"/>
    <n v="21289833.54215505"/>
    <n v="0.1039988084431707"/>
    <n v="0.05025832407351283"/>
    <n v="0.009391311465590135"/>
    <n v="-0.03544086498241461"/>
    <n v="0.4149279683184769"/>
    <n v="0.39020450922879"/>
    <n v="-0.04908584694642482"/>
    <n v="-0.1365228564890603"/>
    <n v="1.917347794131239"/>
    <n v="0.04584613045727459"/>
    <n v="-0.0900343032980141"/>
    <n v="-0.4290383813712153"/>
    <n v="1.79172037715908"/>
    <n v="-0.02580422364926782"/>
    <n v="0.04645581370744423"/>
    <n v="0.2159263152196469"/>
    <n v="0.5094682978226484"/>
    <n v="0.001393123165018384"/>
    <n v="-0.4250114463654734"/>
    <n v="0.4444672706436825"/>
    <m/>
    <n v="0.4992225739668552"/>
    <n v="0.4992225739668552"/>
    <s v=""/>
    <s v=""/>
    <m/>
    <n v="0.7084957421356131"/>
    <n v="0.7084957421356131"/>
    <s v=""/>
    <s v=""/>
    <m/>
    <n v="25909879"/>
    <s v=""/>
    <s v=""/>
    <s v=""/>
  </r>
  <r>
    <x v="1"/>
    <s v="23"/>
    <x v="1"/>
    <d v="2021-07-03T00:00:00"/>
    <d v="2021-07-09T00:00:00"/>
    <n v="202123"/>
    <n v="834758"/>
    <n v="84558"/>
    <n v="43900.1819258384"/>
    <n v="963216.1819258383"/>
    <n v="872322.11"/>
    <n v="86350.81839954045"/>
    <n v="45875.69011250112"/>
    <n v="1004548.618512042"/>
    <n v="683555"/>
    <n v="39786"/>
    <n v="132627"/>
    <n v="855968"/>
    <n v="22345741"/>
    <n v="20428611.28529945"/>
    <n v="22294382.1606671"/>
    <n v="0.09384532741489493"/>
    <n v="0.03301967333494571"/>
    <n v="0.002303667307879786"/>
    <n v="-0.04698389899783051"/>
    <n v="0.4314551351333907"/>
    <n v="0.4057469057611103"/>
    <n v="-0.1811339334274125"/>
    <n v="-0.5294827219186831"/>
    <n v="2.021103653375512"/>
    <n v="-0.1113438332310905"/>
    <n v="-0.2163961085429784"/>
    <n v="-0.5392516164014522"/>
    <n v="1.891008280742117"/>
    <n v="-0.1479078421631024"/>
    <n v="0.03548612806437745"/>
    <n v="0.1510305234264158"/>
    <n v="0.540499816692618"/>
    <n v="-0.009104183670452182"/>
    <n v="-0.4300407682298756"/>
    <n v="0.4741625040120749"/>
    <m/>
    <n v="0.5092696516283437"/>
    <n v="0.5092696516283437"/>
    <s v=""/>
    <s v=""/>
    <m/>
    <n v="0.7137594822235862"/>
    <n v="0.7137594822235862"/>
    <s v=""/>
    <s v=""/>
    <m/>
    <n v="24950992"/>
    <s v=""/>
    <s v=""/>
    <s v=""/>
  </r>
  <r>
    <x v="1"/>
    <s v="24"/>
    <x v="1"/>
    <d v="2021-07-10T00:00:00"/>
    <d v="2021-07-16T00:00:00"/>
    <n v="202124"/>
    <n v="879306"/>
    <n v="84200"/>
    <n v="43900.1819258384"/>
    <n v="1007406.181925838"/>
    <n v="918874.7699999999"/>
    <n v="86350.81839954045"/>
    <n v="45875.69011250112"/>
    <n v="1051101.278512042"/>
    <n v="683684"/>
    <n v="40892"/>
    <n v="154585"/>
    <n v="879161"/>
    <n v="23224902"/>
    <n v="21436017.46722529"/>
    <n v="23345483.43917914"/>
    <n v="0.08345228004734717"/>
    <n v="0.01692825231567818"/>
    <n v="-0.005165086407110886"/>
    <n v="-0.05829111110236296"/>
    <n v="0.4484301160954903"/>
    <n v="0.4217104334604532"/>
    <n v="-0.2224731777106036"/>
    <n v="-0.5143467933491687"/>
    <n v="2.521283812926881"/>
    <n v="-0.1273023575065567"/>
    <n v="-0.2559551939814387"/>
    <n v="-0.5264433996352532"/>
    <n v="2.369649581748212"/>
    <n v="-0.1635810763691995"/>
    <n v="0.02302194540788149"/>
    <n v="0.09794931849232658"/>
    <n v="0.58034428147992"/>
    <n v="-0.02103163118863016"/>
    <n v="-0.4341058468529816"/>
    <n v="0.5122911784496846"/>
    <m/>
    <n v="0.5027394286706608"/>
    <n v="0.5027394286706608"/>
    <s v=""/>
    <s v=""/>
    <m/>
    <n v="0.7078545957583001"/>
    <n v="0.7078545957583001"/>
    <s v=""/>
    <s v=""/>
    <m/>
    <n v="24845607"/>
    <s v=""/>
    <s v=""/>
    <s v=""/>
  </r>
  <r>
    <x v="1"/>
    <s v="25"/>
    <x v="1"/>
    <d v="2021-07-17T00:00:00"/>
    <d v="2021-07-23T00:00:00"/>
    <n v="202125"/>
    <n v="864684"/>
    <n v="81650"/>
    <n v="43900.1819258384"/>
    <n v="990234.1819258383"/>
    <n v="903594.7799999999"/>
    <n v="86350.81839954045"/>
    <n v="45875.69011250112"/>
    <n v="1035821.288512042"/>
    <n v="675090"/>
    <n v="43532"/>
    <n v="133471"/>
    <n v="852093"/>
    <n v="24076995"/>
    <n v="22426251.64915113"/>
    <n v="24381304.72769118"/>
    <n v="0.07360763522473701"/>
    <n v="0.002880824157359685"/>
    <n v="-0.01248127329894511"/>
    <n v="-0.06867882663846725"/>
    <n v="0.4648824637916896"/>
    <n v="0.4371824689669375"/>
    <n v="-0.2192639160664474"/>
    <n v="-0.466846295162278"/>
    <n v="2.040329086231936"/>
    <n v="-0.1395035481982424"/>
    <n v="-0.2528841302071266"/>
    <n v="-0.4958704409889916"/>
    <n v="1.909405824145393"/>
    <n v="-0.1773745051870554"/>
    <n v="0.01203194151218367"/>
    <n v="0.05739404663073921"/>
    <n v="0.6091334994213162"/>
    <n v="-0.03154838132805382"/>
    <n v="-0.4366049376674925"/>
    <n v="0.5398406693026954"/>
    <m/>
    <n v="0.4899424110886401"/>
    <n v="0.4899424110886401"/>
    <s v=""/>
    <s v=""/>
    <m/>
    <n v="0.7049588471380068"/>
    <n v="0.7049588471380068"/>
    <s v=""/>
    <s v=""/>
    <m/>
    <n v="23950052"/>
    <s v=""/>
    <s v=""/>
    <s v=""/>
  </r>
  <r>
    <x v="1"/>
    <s v="26"/>
    <x v="1"/>
    <d v="2021-07-24T00:00:00"/>
    <d v="2021-07-30T00:00:00"/>
    <n v="202126"/>
    <n v="858485"/>
    <n v="79843"/>
    <n v="43900.1819258384"/>
    <n v="982228.1819258383"/>
    <n v="897116.825"/>
    <n v="86350.81839954045"/>
    <n v="45875.69011250112"/>
    <n v="1029343.333512042"/>
    <n v="676884"/>
    <n v="43061"/>
    <n v="107878"/>
    <n v="827823"/>
    <n v="24904818"/>
    <n v="23408479.83107696"/>
    <n v="25410648.06120322"/>
    <n v="0.06392291083065138"/>
    <n v="-0.010211765389052"/>
    <n v="-0.01990622435070899"/>
    <n v="-0.0788173610025833"/>
    <n v="0.4808662024527404"/>
    <n v="0.4522138174806377"/>
    <n v="-0.2115366022702785"/>
    <n v="-0.4606790826997984"/>
    <n v="1.457347447494428"/>
    <n v="-0.1571988920365721"/>
    <n v="-0.2454895715505057"/>
    <n v="-0.5013249347474724"/>
    <n v="1.351528657889405"/>
    <n v="-0.1957756240811017"/>
    <n v="0.002397531048006885"/>
    <n v="0.02340364863876565"/>
    <n v="0.6255358652873129"/>
    <n v="-0.04076791287272052"/>
    <n v="-0.4391217735809991"/>
    <n v="0.5555367131936013"/>
    <m/>
    <n v="0.4896093022666675"/>
    <n v="0.4896093022666675"/>
    <s v=""/>
    <s v=""/>
    <m/>
    <n v="0.7083419687506354"/>
    <n v="0.7083419687506354"/>
    <s v=""/>
    <s v=""/>
    <m/>
    <n v="23270426"/>
    <s v=""/>
    <s v=""/>
    <s v=""/>
  </r>
  <r>
    <x v="1"/>
    <s v="27"/>
    <x v="2"/>
    <d v="2021-07-31T00:00:00"/>
    <d v="2021-08-06T00:00:00"/>
    <n v="202127"/>
    <n v="899427"/>
    <n v="79008"/>
    <n v="34922.86922890269"/>
    <n v="1013357.869228903"/>
    <n v="939901.215"/>
    <n v="79721.72518388971"/>
    <n v="36494.39834420331"/>
    <n v="1056117.338528093"/>
    <n v="733195"/>
    <n v="49328"/>
    <n v="100142"/>
    <n v="882665"/>
    <n v="25787483"/>
    <n v="24421837.70030587"/>
    <n v="26466765.39973131"/>
    <n v="0.0559190228209987"/>
    <n v="-0.1289701034525456"/>
    <n v="-0.025665486109542"/>
    <n v="-0.1642358592179093"/>
    <n v="0.4979088392063175"/>
    <n v="0.4682409697050204"/>
    <n v="-0.1848198908860864"/>
    <n v="-0.375658161198866"/>
    <n v="1.86751925632505"/>
    <n v="-0.1289701034525456"/>
    <n v="-0.2199233405608482"/>
    <n v="-0.3812477102544153"/>
    <n v="1.744037565861292"/>
    <n v="-0.1642358592179093"/>
    <n v="-0.00568999566490247"/>
    <n v="-0.0009251864455169789"/>
    <n v="0.6443520049431701"/>
    <n v="-0.04850717288507411"/>
    <n v="-0.4371159549081159"/>
    <n v="0.5735425884623642"/>
    <m/>
    <n v="0.5021689295827219"/>
    <n v="0.5021689295827219"/>
    <s v=""/>
    <s v=""/>
    <m/>
    <n v="0.7117341286947378"/>
    <n v="0.7117341286947378"/>
    <s v=""/>
    <s v=""/>
    <m/>
    <n v="23143626"/>
    <s v=""/>
    <s v=""/>
    <s v=""/>
  </r>
  <r>
    <x v="1"/>
    <s v="28"/>
    <x v="2"/>
    <d v="2021-08-07T00:00:00"/>
    <d v="2021-08-13T00:00:00"/>
    <n v="202128"/>
    <n v="863575"/>
    <n v="77934"/>
    <n v="33416.55639130983"/>
    <n v="974925.5563913098"/>
    <n v="902435.8749999999"/>
    <n v="78616.87631461458"/>
    <n v="34920.30142891877"/>
    <n v="1015973.052743533"/>
    <n v="734965"/>
    <n v="98945"/>
    <n v="114068"/>
    <n v="947978"/>
    <n v="26735461"/>
    <n v="25396763.25669718"/>
    <n v="27482738.45247484"/>
    <n v="0.05271135261497562"/>
    <n v="-0.07928468526615584"/>
    <n v="-0.02719079300511085"/>
    <n v="-0.1165235803846625"/>
    <n v="0.5162125497923071"/>
    <n v="0.4854540547501575"/>
    <n v="-0.1489274237906377"/>
    <n v="0.2695999178792312"/>
    <n v="2.413517499058163"/>
    <n v="-0.02764062980465531"/>
    <n v="-0.185576482096304"/>
    <n v="0.2585720094504251"/>
    <n v="2.266523922543697"/>
    <n v="-0.06692603958335253"/>
    <n v="-0.01139440376504153"/>
    <n v="0.01442037893890991"/>
    <n v="0.669632430169214"/>
    <n v="-0.05396593661726468"/>
    <n v="-0.4141245250699441"/>
    <n v="0.5977343829370476"/>
    <m/>
    <n v="0.4984150686952595"/>
    <n v="0.4984150686952595"/>
    <s v=""/>
    <s v=""/>
    <m/>
    <n v="0.7121917026505168"/>
    <n v="0.7121917026505168"/>
    <s v=""/>
    <s v=""/>
    <m/>
    <n v="23823434"/>
    <s v=""/>
    <s v=""/>
    <s v=""/>
  </r>
  <r>
    <x v="1"/>
    <s v="29"/>
    <x v="2"/>
    <d v="2021-08-14T00:00:00"/>
    <d v="2021-08-20T00:00:00"/>
    <n v="202129"/>
    <n v="829749"/>
    <n v="75642"/>
    <n v="33416.55639130983"/>
    <n v="938807.5563913098"/>
    <n v="867087.705"/>
    <n v="78616.87631461458"/>
    <n v="34920.30142891877"/>
    <n v="980624.8827435332"/>
    <n v="632782"/>
    <n v="107307"/>
    <n v="120863"/>
    <n v="860952"/>
    <n v="27596413"/>
    <n v="26335570.81308849"/>
    <n v="28463363.33521838"/>
    <n v="0.04787601513785633"/>
    <n v="-0.08045393308877868"/>
    <n v="-0.03045846427241017"/>
    <n v="-0.1182947774687768"/>
    <n v="0.5328359484750075"/>
    <n v="0.5010869491799658"/>
    <n v="-0.2373814249851461"/>
    <n v="0.4186166415483461"/>
    <n v="2.616859815975267"/>
    <n v="-0.08293026175735041"/>
    <n v="-0.2702214593159292"/>
    <n v="0.3649359403516779"/>
    <n v="2.461109871746667"/>
    <n v="-0.1220373711186276"/>
    <n v="-0.01972308170914217"/>
    <n v="0.03551286588558633"/>
    <n v="0.6970652637778483"/>
    <n v="-0.06193596335803064"/>
    <n v="-0.389201431163161"/>
    <n v="0.6239858983520086"/>
    <m/>
    <n v="0.5176566292277135"/>
    <n v="0.5176566292277135"/>
    <s v=""/>
    <s v=""/>
    <m/>
    <n v="0.7327702065008118"/>
    <n v="0.7327702065008118"/>
    <s v=""/>
    <s v=""/>
    <m/>
    <n v="23233322"/>
    <s v=""/>
    <s v=""/>
    <s v=""/>
  </r>
  <r>
    <x v="1"/>
    <s v="30"/>
    <x v="2"/>
    <d v="2021-08-21T00:00:00"/>
    <d v="2021-08-27T00:00:00"/>
    <n v="202130"/>
    <n v="815798"/>
    <n v="72205"/>
    <n v="33416.55639130983"/>
    <n v="921419.5563913098"/>
    <n v="852508.9099999999"/>
    <n v="78616.87631461458"/>
    <n v="34920.30142891877"/>
    <n v="966046.0877435332"/>
    <n v="625657"/>
    <n v="112935"/>
    <n v="122748"/>
    <n v="861340"/>
    <n v="28457753"/>
    <n v="27256990.3694798"/>
    <n v="29429409.42296191"/>
    <n v="0.0440533827925742"/>
    <n v="-0.07680257997305606"/>
    <n v="-0.03301651110279458"/>
    <n v="-0.1159129193863946"/>
    <n v="0.5494668387236591"/>
    <n v="0.5167268887911998"/>
    <n v="-0.2330736285207858"/>
    <n v="0.5640883595318884"/>
    <n v="2.673268979682219"/>
    <n v="-0.06520325727251564"/>
    <n v="-0.2660991660485987"/>
    <n v="0.4365236230965057"/>
    <n v="2.515089932710258"/>
    <n v="-0.1083862240859575"/>
    <n v="-0.02718351353431969"/>
    <n v="0.06059329607763764"/>
    <n v="0.724519540307123"/>
    <n v="-0.06907513256872688"/>
    <n v="-0.3636043616339182"/>
    <n v="0.6502579333082523"/>
    <m/>
    <n v="0.5044511539103554"/>
    <n v="0.5044511539103554"/>
    <s v=""/>
    <s v=""/>
    <m/>
    <n v="0.7066669180108723"/>
    <n v="0.7066669180108723"/>
    <s v=""/>
    <s v=""/>
    <m/>
    <n v="23181453"/>
    <s v=""/>
    <s v=""/>
    <s v=""/>
  </r>
  <r>
    <x v="1"/>
    <s v="31"/>
    <x v="2"/>
    <d v="2021-08-28T00:00:00"/>
    <d v="2021-09-03T00:00:00"/>
    <n v="202131"/>
    <n v="828844"/>
    <n v="68124"/>
    <n v="37579.83401895808"/>
    <n v="934547.834018958"/>
    <n v="866141.98"/>
    <n v="71506.14105942346"/>
    <n v="39270.92654981119"/>
    <n v="976919.0476092346"/>
    <n v="718051"/>
    <n v="96874"/>
    <n v="115705"/>
    <n v="930630"/>
    <n v="29388383"/>
    <n v="28191538.20349875"/>
    <n v="30406328.47057115"/>
    <n v="0.04245404375816242"/>
    <n v="-0.06261545419320258"/>
    <n v="-0.03347807912936174"/>
    <n v="-0.1025116435406087"/>
    <n v="0.5674355913557239"/>
    <n v="0.5336249743328009"/>
    <n v="-0.1336717162698892"/>
    <n v="0.4220245434795373"/>
    <n v="2.078911948935957"/>
    <n v="-0.004192224171243986"/>
    <n v="-0.1709777189185542"/>
    <n v="0.3547647595679255"/>
    <n v="1.946327223862161"/>
    <n v="-0.04738268510836741"/>
    <n v="-0.03083694003655824"/>
    <n v="0.07608028379857346"/>
    <n v="0.7453540522688558"/>
    <n v="-0.07257123448474467"/>
    <n v="-0.3439049057489171"/>
    <n v="0.6701952653290493"/>
    <m/>
    <n v="0.5400525789510838"/>
    <n v="0.5400525789510838"/>
    <s v=""/>
    <s v=""/>
    <m/>
    <n v="0.793873131387507"/>
    <n v="0.793873131387507"/>
    <s v=""/>
    <s v=""/>
    <m/>
    <n v="22851991"/>
    <s v=""/>
    <s v=""/>
    <s v=""/>
  </r>
  <r>
    <x v="1"/>
    <s v="32"/>
    <x v="2"/>
    <d v="2021-09-04T00:00:00"/>
    <d v="2021-09-10T00:00:00"/>
    <n v="202132"/>
    <n v="832307"/>
    <n v="63676"/>
    <n v="43163.05200544186"/>
    <n v="939146.0520054419"/>
    <n v="869760.8149999999"/>
    <n v="62025.16071916864"/>
    <n v="45105.38934568674"/>
    <n v="976891.3650648553"/>
    <n v="711630"/>
    <n v="97244"/>
    <n v="143570"/>
    <n v="952444"/>
    <n v="30340827"/>
    <n v="29130684.2555042"/>
    <n v="31383219.835636"/>
    <n v="0.04154185785276043"/>
    <n v="-0.05001488992694969"/>
    <n v="-0.03321497415164365"/>
    <n v="-0.08983781102969512"/>
    <n v="0.5858255321827918"/>
    <n v="0.5509191515950691"/>
    <n v="-0.1449909708797354"/>
    <n v="0.5271687920095482"/>
    <n v="2.326224475088072"/>
    <n v="0.01415961656460341"/>
    <n v="-0.1818095415117086"/>
    <n v="0.5678153651272542"/>
    <n v="2.182989928313945"/>
    <n v="-0.0250256742347521"/>
    <n v="-0.03463875254106208"/>
    <n v="0.09345124629884083"/>
    <n v="0.7728004980618515"/>
    <n v="-0.07620933257517892"/>
    <n v="-0.3227221074767402"/>
    <n v="0.6964598067577534"/>
    <m/>
    <n v="0.5494525890773341"/>
    <n v="0.5494525890773341"/>
    <s v=""/>
    <s v=""/>
    <m/>
    <n v="0.8099075207636363"/>
    <n v="0.8099075207636363"/>
    <s v=""/>
    <s v=""/>
    <m/>
    <n v="26228080"/>
    <s v=""/>
    <s v=""/>
    <s v=""/>
  </r>
  <r>
    <x v="1"/>
    <s v="33"/>
    <x v="2"/>
    <d v="2021-09-11T00:00:00"/>
    <d v="2021-09-17T00:00:00"/>
    <n v="202133"/>
    <n v="834660"/>
    <n v="59310"/>
    <n v="43163.05200544186"/>
    <n v="937133.0520054419"/>
    <n v="872219.7"/>
    <n v="62025.16071916864"/>
    <n v="45105.38934568674"/>
    <n v="979350.2500648553"/>
    <n v="872482"/>
    <n v="69085"/>
    <n v="143131"/>
    <n v="1084698"/>
    <n v="31425525"/>
    <n v="30067817.30750964"/>
    <n v="32362570.08570085"/>
    <n v="0.04515484707801742"/>
    <n v="-0.02081745773108612"/>
    <n v="-0.02895459424944991"/>
    <n v="-0.06202817335667676"/>
    <n v="0.6067690543586247"/>
    <n v="0.5706147552085391"/>
    <n v="0.04531425969855984"/>
    <n v="0.1648120047209576"/>
    <n v="2.316053739247968"/>
    <n v="0.1574642444621634"/>
    <n v="0.0003007269842678628"/>
    <n v="0.1138221844002338"/>
    <n v="2.173257166744468"/>
    <n v="0.1075690233684714"/>
    <n v="-0.03205475230920285"/>
    <n v="0.09592222534892225"/>
    <n v="0.7991366120799981"/>
    <n v="-0.07373660508057689"/>
    <n v="-0.3128097918487703"/>
    <n v="0.7216618297416257"/>
    <m/>
    <n v="0.5664671167745564"/>
    <n v="0.5664671167745564"/>
    <s v=""/>
    <s v=""/>
    <m/>
    <n v="0.8321898243466325"/>
    <n v="0.8321898243466325"/>
    <s v=""/>
    <s v=""/>
    <m/>
    <n v="26572556"/>
    <s v=""/>
    <s v=""/>
    <s v=""/>
  </r>
  <r>
    <x v="1"/>
    <s v="34"/>
    <x v="2"/>
    <d v="2021-09-18T00:00:00"/>
    <d v="2021-09-24T00:00:00"/>
    <n v="202134"/>
    <n v="829997"/>
    <n v="56186"/>
    <n v="43163.05200544186"/>
    <n v="929346.0520054419"/>
    <n v="867346.865"/>
    <n v="62025.16071916864"/>
    <n v="45105.38934568674"/>
    <n v="974477.4150648554"/>
    <n v="938840"/>
    <n v="19561"/>
    <n v="103109"/>
    <n v="1061510"/>
    <n v="32487035"/>
    <n v="30997163.35951508"/>
    <n v="33337047.50076571"/>
    <n v="0.04806477364412065"/>
    <n v="-0.0008521278313798897"/>
    <n v="-0.02549753395966414"/>
    <n v="-0.04342229308361623"/>
    <n v="0.6272648589280703"/>
    <n v="0.5898893184434068"/>
    <n v="0.1311366185660912"/>
    <n v="-0.6518527747125619"/>
    <n v="1.388825516485728"/>
    <n v="0.1422117710721003"/>
    <n v="0.082427386187647"/>
    <n v="-0.684627983657046"/>
    <n v="1.285957432043759"/>
    <n v="0.0893120595610235"/>
    <n v="-0.02697334647274485"/>
    <n v="0.07217223882891877"/>
    <n v="0.8090309925242667"/>
    <n v="-0.06887401576339203"/>
    <n v="-0.3210649709892961"/>
    <n v="0.7311301363868588"/>
    <m/>
    <n v="0.5151344881190629"/>
    <n v="0.5151344881190629"/>
    <s v=""/>
    <s v=""/>
    <m/>
    <n v="0.8744137503749343"/>
    <n v="0.8744137503749343"/>
    <s v=""/>
    <s v=""/>
    <m/>
    <n v="25550993"/>
    <s v=""/>
    <s v=""/>
    <s v=""/>
  </r>
  <r>
    <x v="1"/>
    <s v="35"/>
    <x v="2"/>
    <d v="2021-09-25T00:00:00"/>
    <d v="2021-10-01T00:00:00"/>
    <n v="202135"/>
    <n v="831043"/>
    <n v="55473"/>
    <n v="43758.33747480278"/>
    <n v="930274.3374748027"/>
    <n v="868439.9349999999"/>
    <n v="61712.0466625004"/>
    <n v="45727.4626611689"/>
    <n v="975879.4443236692"/>
    <n v="842696"/>
    <n v="16172"/>
    <n v="86054"/>
    <n v="944922"/>
    <n v="33431957"/>
    <n v="31927437.69698988"/>
    <n v="34312926.94508938"/>
    <n v="0.04712308320163006"/>
    <n v="0.0009603444712193987"/>
    <n v="-0.02567457875275936"/>
    <n v="-0.04213975868192532"/>
    <n v="0.6455095637781136"/>
    <n v="0.6070469136059748"/>
    <n v="0.01402213844530298"/>
    <n v="-0.7084707875903593"/>
    <n v="0.9665737997827772"/>
    <n v="0.01574553003897528"/>
    <n v="-0.02964388665521234"/>
    <n v="-0.7379441960749782"/>
    <n v="0.8818888036198826"/>
    <n v="-0.03172261133661258"/>
    <n v="-0.025733875117252"/>
    <n v="0.04843724736298349"/>
    <n v="0.8116660343081286"/>
    <n v="-0.06768791877248992"/>
    <n v="-0.3300748505414391"/>
    <n v="0.7336517074718938"/>
    <m/>
    <n v="0.5173044359660274"/>
    <n v="0.5173044359660274"/>
    <s v=""/>
    <s v=""/>
    <m/>
    <n v="0.7224458563073672"/>
    <n v="0.7224458563073672"/>
    <s v=""/>
    <s v=""/>
    <m/>
    <n v="23260884"/>
    <s v=""/>
    <s v=""/>
    <s v=""/>
  </r>
  <r>
    <x v="1"/>
    <s v="36"/>
    <x v="2"/>
    <d v="2021-10-02T00:00:00"/>
    <d v="2021-10-08T00:00:00"/>
    <n v="202136"/>
    <n v="853250"/>
    <n v="56786"/>
    <n v="47340.12155435558"/>
    <n v="957376.1215543556"/>
    <n v="891646.2499999999"/>
    <n v="59833.36232249098"/>
    <n v="49470.42702430158"/>
    <n v="1000950.039346793"/>
    <n v="801638"/>
    <n v="15796"/>
    <n v="85812"/>
    <n v="903246"/>
    <n v="34335203"/>
    <n v="32884813.81854424"/>
    <n v="35313876.98443617"/>
    <n v="0.04410513586784748"/>
    <n v="-0.00484881469226861"/>
    <n v="-0.02771358083587083"/>
    <n v="-0.04774643976205206"/>
    <n v="0.662949581765823"/>
    <n v="0.6234477691265459"/>
    <n v="-0.06048871960152358"/>
    <n v="-0.7218328461240446"/>
    <n v="0.8126696168591643"/>
    <n v="-0.05654007900935754"/>
    <n v="-0.1009461431593526"/>
    <n v="-0.7360001279075306"/>
    <n v="0.7346120735494397"/>
    <n v="-0.09761130476657254"/>
    <n v="-0.02678026167769998"/>
    <n v="0.02518695938055293"/>
    <n v="0.8116838713280983"/>
    <n v="-0.06868924562459322"/>
    <n v="-0.3384063236923649"/>
    <n v="0.7336687763905252"/>
    <m/>
    <n v="0.5114399013802888"/>
    <n v="0.5114399013802888"/>
    <s v=""/>
    <s v=""/>
    <m/>
    <n v="0.7413486662368928"/>
    <n v="0.7413486662368928"/>
    <s v=""/>
    <s v=""/>
    <m/>
    <n v="24231561"/>
    <s v=""/>
    <s v=""/>
    <s v=""/>
  </r>
  <r>
    <x v="1"/>
    <s v="37"/>
    <x v="2"/>
    <d v="2021-10-09T00:00:00"/>
    <d v="2021-10-15T00:00:00"/>
    <n v="202137"/>
    <n v="860057"/>
    <n v="57959"/>
    <n v="47340.12155435558"/>
    <n v="965356.1215543556"/>
    <n v="898759.5649999999"/>
    <n v="59833.36232249098"/>
    <n v="49470.42702430158"/>
    <n v="1008063.354346793"/>
    <n v="808080"/>
    <n v="14274"/>
    <n v="96457"/>
    <n v="918811"/>
    <n v="35254014"/>
    <n v="33850169.94009859"/>
    <n v="36321940.33878296"/>
    <n v="0.04147228986990781"/>
    <n v="-0.008858154959197395"/>
    <n v="-0.02940168748756722"/>
    <n v="-0.05151509677132637"/>
    <n v="0.6806901312587686"/>
    <n v="0.6401312489999263"/>
    <n v="-0.06043436655942569"/>
    <n v="-0.7537224589796235"/>
    <n v="1.03753173487839"/>
    <n v="-0.04821549324140773"/>
    <n v="-0.1008941306788762"/>
    <n v="-0.7614374414884838"/>
    <n v="0.949791133854919"/>
    <n v="-0.08853843755150348"/>
    <n v="-0.02777150875920209"/>
    <n v="0.001907438442696918"/>
    <n v="0.8156278459362196"/>
    <n v="-0.06963780742507375"/>
    <n v="-0.3469142656764744"/>
    <n v="0.7374429147715027"/>
    <m/>
    <n v="0.4803819079943948"/>
    <n v="0.4803819079943948"/>
    <s v=""/>
    <s v=""/>
    <m/>
    <n v="0.7411276694544044"/>
    <n v="0.7411276694544044"/>
    <s v=""/>
    <s v=""/>
    <m/>
    <n v="24884724"/>
    <s v=""/>
    <s v=""/>
    <s v=""/>
  </r>
  <r>
    <x v="1"/>
    <s v="38"/>
    <x v="2"/>
    <d v="2021-10-16T00:00:00"/>
    <d v="2021-10-22T00:00:00"/>
    <n v="202138"/>
    <n v="865429"/>
    <n v="57208"/>
    <n v="47340.12155435558"/>
    <n v="969977.1215543556"/>
    <n v="904373.3049999999"/>
    <n v="59833.36232249098"/>
    <n v="49470.42702430158"/>
    <n v="1013677.094346793"/>
    <n v="781837"/>
    <n v="15960"/>
    <n v="179893"/>
    <n v="977690"/>
    <n v="36231704"/>
    <n v="34820147.06165294"/>
    <n v="37335617.43312975"/>
    <n v="0.04053851167968192"/>
    <n v="-0.007429346550592353"/>
    <n v="-0.02956730085171144"/>
    <n v="-0.05015387069542776"/>
    <n v="0.6995675258848214"/>
    <n v="0.6578838351546472"/>
    <n v="-0.09659024599360544"/>
    <n v="-0.7210180394350441"/>
    <n v="2.800011366541342"/>
    <n v="0.007951608624835238"/>
    <n v="-0.1354930583670865"/>
    <n v="-0.7332591821603056"/>
    <n v="2.636374513436691"/>
    <n v="-0.03550153648286036"/>
    <n v="-0.02975244385892206"/>
    <n v="-0.01880780862908216"/>
    <n v="0.8496863150305221"/>
    <n v="-0.07153343909944687"/>
    <n v="-0.3545311894770083"/>
    <n v="0.7700347512253807"/>
    <m/>
    <n v="0.4727605134876722"/>
    <n v="0.4727605134876722"/>
    <s v=""/>
    <s v=""/>
    <m/>
    <n v="0.7407981316321572"/>
    <n v="0.7407981316321572"/>
    <s v=""/>
    <s v=""/>
    <m/>
    <n v="26421771"/>
    <s v=""/>
    <s v=""/>
    <s v=""/>
  </r>
  <r>
    <x v="1"/>
    <s v="39"/>
    <x v="2"/>
    <d v="2021-10-23T00:00:00"/>
    <d v="2021-10-29T00:00:00"/>
    <n v="202139"/>
    <n v="908664"/>
    <n v="55831"/>
    <n v="47340.12155435558"/>
    <n v="1011835.121554356"/>
    <n v="949553.8799999999"/>
    <n v="59833.36232249098"/>
    <n v="49470.42702430158"/>
    <n v="1058857.669346792"/>
    <n v="723298"/>
    <n v="17734"/>
    <n v="273049"/>
    <n v="1014081"/>
    <n v="37245785"/>
    <n v="35831982.1832073"/>
    <n v="38394475.10247654"/>
    <n v="0.03945645009433174"/>
    <n v="-0.006643485048818842"/>
    <n v="-0.02991810929595051"/>
    <n v="-0.04951236944467852"/>
    <n v="0.7191475637493614"/>
    <n v="0.6762971975909671"/>
    <n v="-0.2039983976475352"/>
    <n v="-0.6823628450144186"/>
    <n v="4.767813664916072"/>
    <n v="0.002219609102117603"/>
    <n v="-0.2382759786100815"/>
    <n v="-0.7036101714555676"/>
    <n v="4.519438913795285"/>
    <n v="-0.04228771311106905"/>
    <n v="-0.03486416259609193"/>
    <n v="-0.03685933121504814"/>
    <n v="0.915799396275671"/>
    <n v="-0.07642503597712136"/>
    <n v="-0.3612803406236763"/>
    <n v="0.8333008576800685"/>
    <m/>
    <n v="0.4849011953335871"/>
    <n v="0.4849011953335871"/>
    <s v=""/>
    <s v=""/>
    <m/>
    <n v="0.7228181948774298"/>
    <n v="0.7228181948774298"/>
    <s v=""/>
    <s v=""/>
    <m/>
    <n v="28318990"/>
    <s v=""/>
    <s v=""/>
    <s v=""/>
  </r>
  <r>
    <x v="1"/>
    <s v="40"/>
    <x v="3"/>
    <d v="2021-10-30T00:00:00"/>
    <d v="2021-11-05T00:00:00"/>
    <n v="202140"/>
    <n v="999595"/>
    <n v="58290"/>
    <n v="47251.13141963342"/>
    <n v="1105136.131419634"/>
    <n v="1044576.775"/>
    <n v="93022.33956071956"/>
    <n v="49377.43233351692"/>
    <n v="1186976.546894236"/>
    <n v="1017495"/>
    <n v="50901"/>
    <n v="170932"/>
    <n v="1239328"/>
    <n v="38485113"/>
    <n v="36937118.31462693"/>
    <n v="39581451.64937078"/>
    <n v="0.04190891861642787"/>
    <n v="0.1214256459138536"/>
    <n v="-0.02769829310664529"/>
    <n v="0.04410487573890398"/>
    <n v="0.7430767066546959"/>
    <n v="0.6988005238947628"/>
    <n v="0.01790725243723701"/>
    <n v="-0.1267627380339681"/>
    <n v="2.617521842640485"/>
    <n v="0.1214256459138536"/>
    <n v="-0.02592607422273951"/>
    <n v="-0.4528088603192484"/>
    <n v="2.461743390086588"/>
    <n v="0.04410487573890398"/>
    <n v="-0.03321436897462238"/>
    <n v="-0.0393422847474556"/>
    <n v="0.9439849763829757"/>
    <n v="-0.0748462861001169"/>
    <n v="-0.3639512785370791"/>
    <n v="0.8602727046727048"/>
    <m/>
    <n v="0.5667044632227642"/>
    <n v="0.5667044632227642"/>
    <s v=""/>
    <s v=""/>
    <m/>
    <n v="0.7064462289035692"/>
    <n v="0.7064462289035692"/>
    <s v=""/>
    <s v=""/>
    <m/>
    <n v="30597086"/>
    <s v=""/>
    <s v=""/>
    <s v=""/>
  </r>
  <r>
    <x v="1"/>
    <s v="41"/>
    <x v="3"/>
    <d v="2021-11-06T00:00:00"/>
    <d v="2021-11-12T00:00:00"/>
    <n v="202141"/>
    <n v="1102538"/>
    <n v="68856"/>
    <n v="47215.09362227926"/>
    <n v="1218609.093622279"/>
    <n v="1152152.21"/>
    <n v="106297.930456011"/>
    <n v="49339.77283528182"/>
    <n v="1307789.913291293"/>
    <n v="805853"/>
    <n v="71063"/>
    <n v="172412"/>
    <n v="1049328"/>
    <n v="39534441"/>
    <n v="38155727.40824921"/>
    <n v="40889241.56266207"/>
    <n v="0.03613385683882187"/>
    <n v="-0.01510028925020379"/>
    <n v="-0.03313342363139371"/>
    <n v="-0.08261713610267218"/>
    <n v="0.7633372992230628"/>
    <n v="0.7178538902220863"/>
    <n v="-0.2690927659636221"/>
    <n v="0.03205239920994529"/>
    <n v="2.651628891796678"/>
    <n v="-0.1389133681245528"/>
    <n v="-0.3005672401565762"/>
    <n v="-0.3314733438821954"/>
    <n v="2.494381714637969"/>
    <n v="-0.1976325942450696"/>
    <n v="-0.04107695368218778"/>
    <n v="-0.03708667613395211"/>
    <n v="0.97178693028888"/>
    <n v="-0.08237029060496426"/>
    <n v="-0.3629032152479365"/>
    <n v="0.8868774452525177"/>
    <m/>
    <n v="0.6453843398953789"/>
    <n v="0.6453843398953789"/>
    <s v=""/>
    <s v=""/>
    <m/>
    <n v="0.73379572311063"/>
    <n v="0.73379572311063"/>
    <s v=""/>
    <s v=""/>
    <m/>
    <n v="37657922"/>
    <s v=""/>
    <s v=""/>
    <s v=""/>
  </r>
  <r>
    <x v="1"/>
    <s v="42"/>
    <x v="3"/>
    <d v="2021-11-13T00:00:00"/>
    <d v="2021-11-19T00:00:00"/>
    <n v="202142"/>
    <n v="1177849"/>
    <n v="87601"/>
    <n v="47215.09362227926"/>
    <n v="1312665.093622279"/>
    <n v="1230852.205"/>
    <n v="106297.930456011"/>
    <n v="49339.77283528182"/>
    <n v="1386489.908291293"/>
    <n v="833888"/>
    <n v="83113"/>
    <n v="171978"/>
    <n v="1088979"/>
    <n v="40623420"/>
    <n v="39468392.5018715"/>
    <n v="42275731.47095337"/>
    <n v="0.02926461973524086"/>
    <n v="-0.07116229907719862"/>
    <n v="-0.03908416042638152"/>
    <n v="-0.1297573055382749"/>
    <n v="0.7843634796304355"/>
    <n v="0.7376272268811315"/>
    <n v="-0.2920246992611107"/>
    <n v="-0.05123229186881428"/>
    <n v="2.642436915953698"/>
    <n v="-0.1704060652706327"/>
    <n v="-0.3225116739340772"/>
    <n v="-0.2181127173083166"/>
    <n v="2.485585565505932"/>
    <n v="-0.2145784881030578"/>
    <n v="-0.04970594914613014"/>
    <n v="-0.03763327975382835"/>
    <n v="0.9985508499912921"/>
    <n v="-0.09062770253218178"/>
    <n v="-0.3583768889694303"/>
    <n v="0.9124888516663092"/>
    <m/>
    <n v="0.6663079294615788"/>
    <n v="0.6663079294615788"/>
    <s v=""/>
    <s v=""/>
    <m/>
    <n v="0.7461858710264972"/>
    <n v="0.7461858710264972"/>
    <s v=""/>
    <s v=""/>
    <m/>
    <n v="30759452"/>
    <s v=""/>
    <s v=""/>
    <s v=""/>
  </r>
  <r>
    <x v="1"/>
    <s v="43"/>
    <x v="3"/>
    <d v="2021-11-20T00:00:00"/>
    <d v="2021-11-26T00:00:00"/>
    <n v="202143"/>
    <n v="1358857"/>
    <n v="159345"/>
    <n v="47215.09362227926"/>
    <n v="1565417.093622279"/>
    <n v="1420005.565"/>
    <n v="106297.930456011"/>
    <n v="49339.77283528182"/>
    <n v="1575643.268291293"/>
    <n v="1092914"/>
    <n v="111280"/>
    <n v="273479"/>
    <n v="1477673"/>
    <n v="42101093"/>
    <n v="41033809.59549378"/>
    <n v="43851374.73924466"/>
    <n v="0.02600985419163782"/>
    <n v="-0.06661493833263465"/>
    <n v="-0.03991395365943351"/>
    <n v="-0.1102442186612053"/>
    <n v="0.8128946258518995"/>
    <n v="0.7644583463985706"/>
    <n v="-0.195710806950253"/>
    <n v="-0.3016410932253915"/>
    <n v="4.792194381479616"/>
    <n v="-0.05605157499541857"/>
    <n v="-0.2303452698088545"/>
    <n v="0.04686892324823466"/>
    <n v="4.542769743042696"/>
    <n v="-0.0621779499604227"/>
    <n v="-0.05527694604262956"/>
    <n v="-0.05497116899613042"/>
    <n v="1.058367003573681"/>
    <n v="-0.0959588000407936"/>
    <n v="-0.3460924409261485"/>
    <n v="0.9697291900226626"/>
    <m/>
    <n v="0.7198738243036171"/>
    <n v="0.7198738243036171"/>
    <s v=""/>
    <s v=""/>
    <m/>
    <n v="0.7390095620172831"/>
    <n v="0.7390095620172831"/>
    <s v=""/>
    <s v=""/>
    <m/>
    <n v="35948465"/>
    <s v=""/>
    <s v=""/>
    <s v=""/>
  </r>
  <r>
    <x v="1"/>
    <s v="44"/>
    <x v="3"/>
    <d v="2021-11-27T00:00:00"/>
    <d v="2021-12-03T00:00:00"/>
    <n v="202144"/>
    <n v="1273647"/>
    <n v="134492"/>
    <n v="45263.32964990071"/>
    <n v="1453402.329649901"/>
    <n v="1330961.115"/>
    <n v="114046.8898859858"/>
    <n v="47300.17948414624"/>
    <n v="1492308.184370132"/>
    <n v="984008"/>
    <n v="121290"/>
    <n v="219898"/>
    <n v="1325196"/>
    <n v="43426289"/>
    <n v="42487211.92514368"/>
    <n v="45343682.92361479"/>
    <n v="0.02210258174885271"/>
    <n v="-0.071331232781492"/>
    <n v="-0.0422858003582286"/>
    <n v="-0.1106174748148974"/>
    <n v="0.8384817218116275"/>
    <n v="0.7885208367195226"/>
    <n v="-0.2274091643917036"/>
    <n v="-0.09816197245932845"/>
    <n v="3.858193193051638"/>
    <n v="-0.0882111766538749"/>
    <n v="-0.2606786262121564"/>
    <n v="0.06350993105778913"/>
    <n v="3.648988701484821"/>
    <n v="-0.111982354664004"/>
    <n v="-0.0612204487302751"/>
    <n v="-0.05723946482312869"/>
    <n v="1.100058083262313"/>
    <n v="-0.1016463624213158"/>
    <n v="-0.3331904029598626"/>
    <n v="1.009624960059631"/>
    <m/>
    <n v="0.6747378474664036"/>
    <n v="0.6747378474664036"/>
    <s v=""/>
    <s v=""/>
    <m/>
    <n v="0.737839258530041"/>
    <n v="0.737839258530041"/>
    <s v=""/>
    <s v=""/>
    <m/>
    <n v="35453586"/>
    <s v=""/>
    <s v=""/>
    <s v=""/>
  </r>
  <r>
    <x v="1"/>
    <s v="45"/>
    <x v="3"/>
    <d v="2021-12-04T00:00:00"/>
    <d v="2021-12-10T00:00:00"/>
    <n v="202145"/>
    <n v="1084730"/>
    <n v="133532"/>
    <n v="42645.89101367158"/>
    <n v="1260907.891013672"/>
    <n v="1133542.85"/>
    <n v="124378.8357926188"/>
    <n v="44564.9561092868"/>
    <n v="1302486.641901905"/>
    <n v="885676"/>
    <n v="92638"/>
    <n v="158744"/>
    <n v="1137058"/>
    <n v="44563347"/>
    <n v="43748119.81615736"/>
    <n v="46646169.5655167"/>
    <n v="0.0186345650343025"/>
    <n v="-0.07561460660544095"/>
    <n v="-0.04465152412120943"/>
    <n v="-0.1132049262395972"/>
    <n v="0.8604362192276901"/>
    <n v="0.8091671766717718"/>
    <n v="-0.183505572815355"/>
    <n v="-0.3062486894527154"/>
    <n v="2.722375033719175"/>
    <n v="-0.09822279002005929"/>
    <n v="-0.2186656199189999"/>
    <n v="-0.2551948294928682"/>
    <n v="2.562081371980072"/>
    <n v="-0.1270098568230571"/>
    <n v="-0.0647137763865766"/>
    <n v="-0.06958011137895004"/>
    <n v="1.122503510350686"/>
    <n v="-0.1049892597000732"/>
    <n v="-0.330600042139509"/>
    <n v="1.03110383765616"/>
    <m/>
    <n v="0.6692097967990712"/>
    <n v="0.6692097967990712"/>
    <s v=""/>
    <s v=""/>
    <m/>
    <n v="0.7307997178636877"/>
    <n v="0.7307997178636877"/>
    <s v=""/>
    <s v=""/>
    <m/>
    <n v="33077975"/>
    <s v=""/>
    <s v=""/>
    <s v=""/>
  </r>
  <r>
    <x v="1"/>
    <s v="46"/>
    <x v="3"/>
    <d v="2021-12-11T00:00:00"/>
    <d v="2021-12-17T00:00:00"/>
    <n v="202146"/>
    <n v="1105700"/>
    <n v="128633"/>
    <n v="42645.89101367158"/>
    <n v="1276978.891013672"/>
    <n v="1155456.5"/>
    <n v="124378.8357926188"/>
    <n v="44564.9561092868"/>
    <n v="1324400.291901906"/>
    <n v="929602"/>
    <n v="103978"/>
    <n v="144725"/>
    <n v="1178305"/>
    <n v="45741652"/>
    <n v="45025098.70717103"/>
    <n v="47970569.8574186"/>
    <n v="0.01591453019324196"/>
    <n v="-0.07584473906603861"/>
    <n v="-0.04646427724422586"/>
    <n v="-0.112804622613469"/>
    <n v="0.883187120305589"/>
    <n v="0.8305624666195451"/>
    <n v="-0.1592638147779687"/>
    <n v="-0.1916693228020804"/>
    <n v="2.393644652742829"/>
    <n v="-0.07727135640851812"/>
    <n v="-0.1954677653377691"/>
    <n v="-0.1640217619228551"/>
    <n v="2.24750684472998"/>
    <n v="-0.1103105252960231"/>
    <n v="-0.06738910618185723"/>
    <n v="-0.07514316137437749"/>
    <n v="1.139850274977669"/>
    <n v="-0.1075493839060834"/>
    <n v="-0.3252455363636437"/>
    <n v="1.047703612418823"/>
    <m/>
    <n v="0.6731198066805627"/>
    <n v="0.6731198066805627"/>
    <s v=""/>
    <s v=""/>
    <m/>
    <n v="0.7174370610784909"/>
    <n v="0.7174370610784909"/>
    <s v=""/>
    <s v=""/>
    <m/>
    <n v="33067744"/>
    <s v=""/>
    <s v=""/>
    <s v=""/>
  </r>
  <r>
    <x v="1"/>
    <s v="47"/>
    <x v="3"/>
    <d v="2021-12-18T00:00:00"/>
    <d v="2021-12-24T00:00:00"/>
    <n v="202147"/>
    <n v="1125013"/>
    <n v="114442"/>
    <n v="42645.89101367158"/>
    <n v="1282100.891013672"/>
    <n v="1175638.585"/>
    <n v="124378.8357926188"/>
    <n v="44564.9561092868"/>
    <n v="1344582.376901906"/>
    <n v="1050161"/>
    <n v="143393"/>
    <n v="137781"/>
    <n v="1331335"/>
    <n v="47072987"/>
    <n v="46307199.5981847"/>
    <n v="49315152.23432051"/>
    <n v="0.01653711320183815"/>
    <n v="-0.06186176279748223"/>
    <n v="-0.04546605115739843"/>
    <n v="-0.1001288765012075"/>
    <n v="0.9088927490575205"/>
    <n v="0.8547364269631054"/>
    <n v="-0.06653434226982269"/>
    <n v="0.2529753062686775"/>
    <n v="2.23081536638148"/>
    <n v="0.03840111907839194"/>
    <n v="-0.1067314280093996"/>
    <n v="0.1528729874838526"/>
    <n v="2.091689345819598"/>
    <n v="-0.009852410034132064"/>
    <n v="-0.06736518649692946"/>
    <n v="-0.06235991393983964"/>
    <n v="1.154537812636147"/>
    <n v="-0.1075264942554347"/>
    <n v="-0.3103554827725794"/>
    <n v="1.061758672379089"/>
    <m/>
    <n v="0.6533595325652046"/>
    <n v="0.6533595325652046"/>
    <s v=""/>
    <s v=""/>
    <m/>
    <n v="0.6934017846648076"/>
    <n v="0.6934017846648076"/>
    <s v=""/>
    <s v=""/>
    <m/>
    <n v="32664690"/>
    <s v=""/>
    <s v=""/>
    <s v=""/>
  </r>
  <r>
    <x v="1"/>
    <s v="48"/>
    <x v="3"/>
    <d v="2021-12-25T00:00:00"/>
    <d v="2021-12-31T00:00:00"/>
    <n v="202148"/>
    <n v="1111335"/>
    <n v="95892"/>
    <n v="42645.89101367158"/>
    <n v="1249872.891013672"/>
    <n v="1161345.075"/>
    <n v="124378.8357926188"/>
    <n v="44564.9561092868"/>
    <n v="1330288.866901906"/>
    <n v="908074"/>
    <n v="95646"/>
    <n v="148127"/>
    <n v="1151847"/>
    <n v="48224834"/>
    <n v="47557072.48919838"/>
    <n v="50645441.10122241"/>
    <n v="0.01404126612194823"/>
    <n v="-0.06362776631322486"/>
    <n v="-0.04779516277456186"/>
    <n v="-0.1038217720036181"/>
    <n v="0.9311327948469168"/>
    <n v="0.8756513009053128"/>
    <n v="-0.1828980460437222"/>
    <n v="-0.002565386059316777"/>
    <n v="2.473417871665828"/>
    <n v="-0.07842868800376224"/>
    <n v="-0.218084254587294"/>
    <n v="-0.2310106507229741"/>
    <n v="2.323844853268735"/>
    <n v="-0.1341376834322283"/>
    <n v="-0.07047303379187631"/>
    <n v="-0.06046966873828863"/>
    <n v="1.172057872757057"/>
    <n v="-0.1105005108056233"/>
    <n v="-0.3079590765933383"/>
    <n v="1.078524280150295"/>
    <m/>
    <n v="0.6977531346123169"/>
    <n v="0.6977531346123169"/>
    <s v=""/>
    <s v=""/>
    <m/>
    <n v="0.7024035995525976"/>
    <n v="0.7024035995525976"/>
    <s v=""/>
    <s v=""/>
    <m/>
    <n v="29802634"/>
    <s v=""/>
    <s v=""/>
    <s v=""/>
  </r>
  <r>
    <x v="1"/>
    <s v="49"/>
    <x v="3"/>
    <d v="2022-01-01T00:00:00"/>
    <d v="2022-01-07T00:00:00"/>
    <n v="202149"/>
    <n v="1009469"/>
    <n v="77398"/>
    <n v="25181.3832652156"/>
    <n v="1112048.383265216"/>
    <n v="1054895.105"/>
    <n v="71144.17103826597"/>
    <n v="26314.5455121503"/>
    <n v="1152353.821550416"/>
    <n v="802566"/>
    <n v="95206"/>
    <n v="120465"/>
    <n v="1018237"/>
    <n v="49243071"/>
    <n v="48669120.87246359"/>
    <n v="51797794.92277282"/>
    <n v="0.01179290106842967"/>
    <n v="-0.06542366718832504"/>
    <n v="-0.04932109420066533"/>
    <n v="-0.104901907821909"/>
    <n v="0.950793077423038"/>
    <n v="0.8941401266766971"/>
    <n v="-0.2049622128069312"/>
    <n v="0.23008346468901"/>
    <n v="3.783891287116256"/>
    <n v="-0.08435908426013361"/>
    <n v="-0.2391982897673982"/>
    <n v="0.3382122331398312"/>
    <n v="3.577886399154312"/>
    <n v="-0.1163851058956623"/>
    <n v="-0.07368081930190917"/>
    <n v="-0.05324051601372004"/>
    <n v="1.192385415261233"/>
    <n v="-0.1135701620113962"/>
    <n v="-0.2969856152053337"/>
    <n v="1.097976473934195"/>
    <m/>
    <n v="0.6825951771090295"/>
    <n v="0.6825951771090295"/>
    <s v=""/>
    <s v=""/>
    <m/>
    <n v="0.6920139856642804"/>
    <n v="0.6920139856642804"/>
    <s v=""/>
    <s v=""/>
    <m/>
    <n v="28827141"/>
    <s v=""/>
    <s v=""/>
    <s v=""/>
  </r>
  <r>
    <x v="1"/>
    <s v="50"/>
    <x v="3"/>
    <d v="2022-01-08T00:00:00"/>
    <d v="2022-01-14T00:00:00"/>
    <n v="202150"/>
    <n v="960170"/>
    <n v="66548"/>
    <n v="25181.3832652156"/>
    <n v="1051899.383265216"/>
    <n v="1003377.65"/>
    <n v="71144.17103826597"/>
    <n v="26314.5455121503"/>
    <n v="1100836.366550416"/>
    <n v="813897"/>
    <n v="75822"/>
    <n v="98142"/>
    <n v="987861"/>
    <n v="50230932"/>
    <n v="49721020.2557288"/>
    <n v="52898631.28932324"/>
    <n v="0.01025545617625268"/>
    <n v="-0.06507945818866867"/>
    <n v="-0.05043040291028611"/>
    <n v="-0.104729235350088"/>
    <n v="0.9698668553410764"/>
    <n v="0.9120773946362637"/>
    <n v="-0.1523407313288272"/>
    <n v="0.139358057342069"/>
    <n v="2.897403052340211"/>
    <n v="-0.06087881054405908"/>
    <n v="-0.1888428050993561"/>
    <n v="0.06575140160418758"/>
    <n v="2.729572298890155"/>
    <n v="-0.1026268480795526"/>
    <n v="-0.07542577310322318"/>
    <n v="-0.04920659499615709"/>
    <n v="1.205552854128419"/>
    <n v="-0.1152399742614574"/>
    <n v="-0.2909283796875528"/>
    <n v="1.110576893902794"/>
    <m/>
    <n v="0.681956800198234"/>
    <n v="0.681956800198234"/>
    <s v=""/>
    <s v=""/>
    <m/>
    <n v="0.7020586960282796"/>
    <n v="0.7020586960282796"/>
    <s v=""/>
    <s v=""/>
    <m/>
    <n v="28659465"/>
    <s v=""/>
    <s v=""/>
    <s v=""/>
  </r>
  <r>
    <x v="1"/>
    <s v="51"/>
    <x v="3"/>
    <d v="2022-01-15T00:00:00"/>
    <d v="2022-01-21T00:00:00"/>
    <n v="202151"/>
    <n v="955632"/>
    <n v="62025"/>
    <n v="25181.3832652156"/>
    <n v="1042838.383265216"/>
    <n v="998635.4399999999"/>
    <n v="71144.17103826597"/>
    <n v="26314.5455121503"/>
    <n v="1096094.156550416"/>
    <n v="727710"/>
    <n v="117009"/>
    <n v="103750"/>
    <n v="948469"/>
    <n v="51179401"/>
    <n v="50763858.63899402"/>
    <n v="53994725.44587366"/>
    <n v="0.008185791469500048"/>
    <n v="-0.06685432060347907"/>
    <n v="-0.05214073083297444"/>
    <n v="-0.1068338204009995"/>
    <n v="0.9881800462334631"/>
    <n v="0.9292993951042874"/>
    <n v="-0.2385039429403787"/>
    <n v="0.8864812575574366"/>
    <n v="3.120107259687972"/>
    <n v="-0.09049281727599723"/>
    <n v="-0.2712956391773959"/>
    <n v="0.6446744447561972"/>
    <n v="2.942686372907151"/>
    <n v="-0.1346829153938894"/>
    <n v="-0.07894854505319349"/>
    <n v="-0.0312906042984642"/>
    <n v="1.220225183929226"/>
    <n v="-0.1186110478977926"/>
    <n v="-0.2755616362445793"/>
    <n v="1.124617400889212"/>
    <m/>
    <n v="0.6681394956685682"/>
    <n v="0.6681394956685682"/>
    <s v=""/>
    <s v=""/>
    <m/>
    <n v="0.6839468749492095"/>
    <n v="0.6839468749492095"/>
    <s v=""/>
    <s v=""/>
    <m/>
    <n v="27838397"/>
    <s v=""/>
    <s v=""/>
    <s v=""/>
  </r>
  <r>
    <x v="1"/>
    <s v="52"/>
    <x v="3"/>
    <d v="2022-01-22T00:00:00"/>
    <d v="2022-01-28T00:00:00"/>
    <n v="202152"/>
    <n v="938678"/>
    <n v="63857"/>
    <n v="25181.3832652156"/>
    <n v="1027716.383265216"/>
    <n v="980918.5099999999"/>
    <n v="71144.17103826597"/>
    <n v="26314.5455121503"/>
    <n v="1078377.226550416"/>
    <n v="684674"/>
    <n v="112015"/>
    <n v="114596"/>
    <n v="911285"/>
    <n v="52090686"/>
    <n v="51791575.02225923"/>
    <n v="55073102.67242407"/>
    <n v="0.005775282516745639"/>
    <n v="-0.06984462888829812"/>
    <n v="-0.05415377975276869"/>
    <n v="-0.109944691927269"/>
    <n v="1.005775282516746"/>
    <n v="0.9458462202472313"/>
    <n v="-0.2705975851143843"/>
    <n v="0.7541538124246363"/>
    <n v="3.550822279818822"/>
    <n v="-0.1132913566049174"/>
    <n v="-0.3020072584826643"/>
    <n v="0.5744789540066613"/>
    <n v="3.354853856285954"/>
    <n v="-0.1549478442575439"/>
    <n v="-0.08293055766452828"/>
    <n v="-0.016106502785178"/>
    <n v="1.237950051927859"/>
    <n v="-0.1224215862818451"/>
    <n v="-0.2618258069314161"/>
    <n v="1.141578997060152"/>
    <m/>
    <n v="0.6665539147986826"/>
    <n v="0.6665539147986826"/>
    <s v=""/>
    <s v=""/>
    <m/>
    <n v="0.6900000000000001"/>
    <n v="0.6900000000000001"/>
    <s v=""/>
    <s v=""/>
    <m/>
    <n v="27852753"/>
    <s v=""/>
    <s v=""/>
    <s v=""/>
  </r>
  <r>
    <x v="2"/>
    <s v="01"/>
    <x v="0"/>
    <d v="2022-01-29T00:00:00"/>
    <d v="2022-02-04T00:00:00"/>
    <n v="202201"/>
    <n v="797390.6553354708"/>
    <n v="57619.40862015437"/>
    <n v="108347.1666567485"/>
    <n v="963357.2306123737"/>
    <m/>
    <m/>
    <m/>
    <n v="0"/>
    <n v="687854"/>
    <n v="68061"/>
    <n v="78269"/>
    <n v="834184"/>
    <n v="834184"/>
    <n v="963357.2306123737"/>
    <n v="0"/>
    <n v="-0.1340865325007865"/>
    <n v="-0.1340865325007865"/>
    <s v=""/>
    <s v=""/>
    <n v="0.01539104133299058"/>
    <s v=""/>
    <n v="-0.1373688725877876"/>
    <n v="0.1812165662559981"/>
    <n v="-0.2776091667633382"/>
    <n v="-0.1340865325007865"/>
    <s v=""/>
    <s v=""/>
    <s v=""/>
    <s v=""/>
    <n v="-0.1373688725877876"/>
    <n v="0.1812165662559981"/>
    <n v="-0.2776091667633382"/>
    <s v=""/>
    <s v=""/>
    <s v=""/>
    <n v="0.5201052154082028"/>
    <n v="0.590385896651567"/>
    <n v="0.07028068124336428"/>
    <n v="0.07028068124336428"/>
    <n v="0.07028068124336428"/>
    <n v="0.6959733631001741"/>
    <n v="0.6900000000000001"/>
    <n v="-0.005973363100174045"/>
    <n v="-0.005973363100174045"/>
    <n v="-0.005973363100174045"/>
    <m/>
    <n v="27794650"/>
    <s v=""/>
    <s v=""/>
    <s v=""/>
  </r>
  <r>
    <x v="2"/>
    <s v="02"/>
    <x v="0"/>
    <d v="2022-02-05T00:00:00"/>
    <d v="2022-02-11T00:00:00"/>
    <n v="202202"/>
    <n v="770713.8265169041"/>
    <n v="26814.4308901474"/>
    <n v="88289.38798101421"/>
    <n v="885817.6453880657"/>
    <m/>
    <m/>
    <m/>
    <n v="0"/>
    <n v="754806"/>
    <n v="36743"/>
    <n v="47538"/>
    <n v="839087"/>
    <n v="1673271"/>
    <n v="1849174.876000439"/>
    <n v="0"/>
    <n v="-0.09512560346964039"/>
    <n v="-0.09512560346964039"/>
    <s v=""/>
    <s v=""/>
    <n v="0.03087254505276352"/>
    <s v=""/>
    <n v="-0.02064038034557714"/>
    <n v="0.3702696190170018"/>
    <n v="-0.4615660943280908"/>
    <n v="-0.05275424985194732"/>
    <s v=""/>
    <s v=""/>
    <s v=""/>
    <s v=""/>
    <n v="-0.07999752778219826"/>
    <n v="0.2412558828052924"/>
    <n v="-0.3602054295969667"/>
    <s v=""/>
    <s v=""/>
    <s v=""/>
    <n v="0.5182531851915405"/>
    <n v="0.5959027250422675"/>
    <n v="0.07764953985072698"/>
    <n v="0.07396511054704558"/>
    <n v="0.07396511054704558"/>
    <n v="0.7023062875100229"/>
    <n v="0.6900000000000001"/>
    <n v="-0.01230628751002283"/>
    <n v="-0.009139825305098381"/>
    <n v="-0.009139825305098381"/>
    <m/>
    <n v="26955785"/>
    <s v=""/>
    <s v=""/>
    <s v=""/>
  </r>
  <r>
    <x v="2"/>
    <s v="03"/>
    <x v="0"/>
    <d v="2022-02-12T00:00:00"/>
    <d v="2022-02-18T00:00:00"/>
    <n v="202203"/>
    <n v="733710.1181037091"/>
    <n v="26814.4308901474"/>
    <n v="88289.38798101421"/>
    <n v="848813.9369748706"/>
    <m/>
    <m/>
    <m/>
    <n v="0"/>
    <n v="707698"/>
    <n v="27169"/>
    <n v="87866"/>
    <n v="822733"/>
    <n v="2496004"/>
    <n v="2697988.81297531"/>
    <n v="0"/>
    <n v="-0.07486495570475082"/>
    <n v="-0.07486495570475082"/>
    <s v=""/>
    <s v=""/>
    <n v="0.04605231067883084"/>
    <s v=""/>
    <n v="-0.03545285455642622"/>
    <n v="0.01322307049160165"/>
    <n v="-0.004795457197021902"/>
    <n v="-0.03072632981006618"/>
    <s v=""/>
    <s v=""/>
    <s v=""/>
    <s v=""/>
    <n v="-0.06579878325516475"/>
    <n v="0.1862926005496546"/>
    <n v="-0.2500753071618733"/>
    <s v=""/>
    <s v=""/>
    <s v=""/>
    <n v="0.5331032085908001"/>
    <n v="0.6"/>
    <n v="0.06689679140919991"/>
    <n v="0.07160900416776372"/>
    <n v="0.07160900416776372"/>
    <n v="0.7073372831846094"/>
    <n v="0.6900000000000001"/>
    <n v="-0.01733728318460936"/>
    <n v="-0.01187231126493538"/>
    <n v="-0.01187231126493538"/>
    <m/>
    <n v="26601343"/>
    <s v=""/>
    <s v=""/>
    <s v=""/>
  </r>
  <r>
    <x v="2"/>
    <s v="04"/>
    <x v="0"/>
    <d v="2022-02-19T00:00:00"/>
    <d v="2022-02-25T00:00:00"/>
    <n v="202204"/>
    <n v="718895.5308343822"/>
    <n v="26814.4308901474"/>
    <n v="88289.38798101421"/>
    <n v="833999.3497055437"/>
    <m/>
    <m/>
    <m/>
    <n v="0"/>
    <n v="810255"/>
    <n v="28001"/>
    <n v="161620"/>
    <n v="999876"/>
    <n v="3495880"/>
    <n v="3531988.162680854"/>
    <n v="0"/>
    <n v="-0.01022318337937089"/>
    <n v="-0.01022318337937089"/>
    <s v=""/>
    <s v=""/>
    <n v="0.06450043824285183"/>
    <s v=""/>
    <n v="0.1270830951745965"/>
    <n v="0.04425113904948064"/>
    <n v="0.8305710765007777"/>
    <n v="0.1988930211432678"/>
    <s v=""/>
    <s v=""/>
    <s v=""/>
    <s v=""/>
    <n v="-0.01989503401133697"/>
    <n v="0.1587054179338718"/>
    <n v="0.005566945486590535"/>
    <s v=""/>
    <s v=""/>
    <s v=""/>
    <n v="0.5547584589429964"/>
    <n v="0.66"/>
    <n v="0.1052415410570037"/>
    <n v="0.08001713839007374"/>
    <n v="0.08001713839007374"/>
    <n v="0.7128142482831583"/>
    <n v="0.72"/>
    <n v="0.00718575171684166"/>
    <n v="-0.007107795519491145"/>
    <n v="-0.007107795519491145"/>
    <m/>
    <n v="27802242"/>
    <s v=""/>
    <s v=""/>
    <s v=""/>
  </r>
  <r>
    <x v="2"/>
    <s v="05"/>
    <x v="0"/>
    <d v="2022-02-26T00:00:00"/>
    <d v="2022-03-04T00:00:00"/>
    <n v="202205"/>
    <n v="731462.2133262444"/>
    <n v="25097.86752891402"/>
    <n v="112312.3584054114"/>
    <n v="868872.4392605698"/>
    <m/>
    <m/>
    <m/>
    <n v="0"/>
    <n v="803410"/>
    <n v="30086"/>
    <n v="155249"/>
    <n v="988745"/>
    <n v="4484625"/>
    <n v="4400860.601941423"/>
    <n v="0"/>
    <n v="0.01903364037970756"/>
    <n v="0.01903364037970756"/>
    <s v=""/>
    <s v=""/>
    <n v="0.08274319423288254"/>
    <s v=""/>
    <n v="0.09836159047311677"/>
    <n v="0.1987472627042675"/>
    <n v="0.3822966786931956"/>
    <n v="0.1379633595484333"/>
    <s v=""/>
    <s v=""/>
    <s v=""/>
    <s v=""/>
    <n v="0.003158345298789555"/>
    <n v="0.1648647793710856"/>
    <n v="0.09271213983084525"/>
    <s v=""/>
    <s v=""/>
    <s v=""/>
    <n v="0.5616367409276154"/>
    <n v="0.65"/>
    <n v="0.08836325907238463"/>
    <n v="0.08168636252653594"/>
    <n v="0.08168636252653594"/>
    <n v="0.7187136524525645"/>
    <n v="0.72"/>
    <n v="0.001286347547435507"/>
    <n v="-0.005428966906105837"/>
    <n v="-0.005428966906105837"/>
    <m/>
    <n v="28110247"/>
    <s v=""/>
    <s v=""/>
    <s v=""/>
  </r>
  <r>
    <x v="2"/>
    <s v="06"/>
    <x v="0"/>
    <d v="2022-03-05T00:00:00"/>
    <d v="2022-03-11T00:00:00"/>
    <n v="202206"/>
    <n v="765935.9726297921"/>
    <n v="23806.96355967338"/>
    <n v="130496.1006921547"/>
    <n v="920239.0368816202"/>
    <m/>
    <m/>
    <m/>
    <n v="0"/>
    <n v="715014"/>
    <n v="46570"/>
    <n v="166562"/>
    <n v="928146"/>
    <n v="5412771"/>
    <n v="5321099.638823044"/>
    <n v="0"/>
    <n v="0.01722789787812218"/>
    <n v="0.01722789787812218"/>
    <s v=""/>
    <s v=""/>
    <n v="0.09986787349914739"/>
    <s v=""/>
    <n v="-0.06648332817553237"/>
    <n v="0.956150345812472"/>
    <n v="0.2763753025305036"/>
    <n v="0.008592292656018907"/>
    <s v=""/>
    <s v=""/>
    <s v=""/>
    <s v=""/>
    <n v="-0.008647715815418566"/>
    <n v="0.2656208112117397"/>
    <n v="0.13161863495966"/>
    <s v=""/>
    <s v=""/>
    <s v=""/>
    <n v="0.5444422590218411"/>
    <n v="0.6399999999999999"/>
    <n v="0.09555774097815883"/>
    <n v="0.08399825893513968"/>
    <n v="0.08399825893513968"/>
    <n v="0.7230380828083579"/>
    <n v="0.7100000000000001"/>
    <n v="-0.01303808280835783"/>
    <n v="-0.006697152889814539"/>
    <n v="-0.006697152889814539"/>
    <m/>
    <n v="27772565"/>
    <s v=""/>
    <s v=""/>
    <s v=""/>
  </r>
  <r>
    <x v="2"/>
    <s v="07"/>
    <x v="0"/>
    <d v="2022-03-12T00:00:00"/>
    <d v="2022-03-18T00:00:00"/>
    <n v="202207"/>
    <n v="809002.3110130799"/>
    <n v="23806.96355967338"/>
    <n v="130496.1006921547"/>
    <n v="963305.3752649081"/>
    <m/>
    <m/>
    <m/>
    <n v="0"/>
    <n v="742840"/>
    <n v="68978"/>
    <n v="148632"/>
    <n v="960450"/>
    <n v="6373221"/>
    <n v="6284405.014087952"/>
    <n v="0"/>
    <n v="0.01413275969848327"/>
    <n v="0.01413275969848327"/>
    <s v=""/>
    <s v=""/>
    <n v="0.1175885749849956"/>
    <s v=""/>
    <n v="-0.0817825982848277"/>
    <n v="1.897387557514552"/>
    <n v="0.1389765610746376"/>
    <n v="-0.002964143394427632"/>
    <s v=""/>
    <s v=""/>
    <s v=""/>
    <s v=""/>
    <n v="-0.019754353741259"/>
    <n v="0.4499287432225791"/>
    <n v="0.1329048440473837"/>
    <s v=""/>
    <s v=""/>
    <s v=""/>
    <n v="0.5186026425718153"/>
    <n v="0.64"/>
    <n v="0.1213973574281847"/>
    <n v="0.08934098729128892"/>
    <n v="0.08934098729128892"/>
    <n v="0.7247397532397618"/>
    <n v="0.7058222851154307"/>
    <n v="-0.01891746812433115"/>
    <n v="-0.008442912209031261"/>
    <n v="-0.008442912209031261"/>
    <m/>
    <n v="27567107"/>
    <s v=""/>
    <s v=""/>
    <s v=""/>
  </r>
  <r>
    <x v="2"/>
    <s v="08"/>
    <x v="0"/>
    <d v="2022-03-19T00:00:00"/>
    <d v="2022-03-25T00:00:00"/>
    <n v="202208"/>
    <n v="845615.2330742461"/>
    <n v="23806.96355967338"/>
    <n v="130496.1006921547"/>
    <n v="999918.2973260742"/>
    <m/>
    <m/>
    <m/>
    <n v="0"/>
    <n v="709124"/>
    <n v="64896"/>
    <n v="131634"/>
    <n v="905654"/>
    <n v="7278875"/>
    <n v="7284323.311414026"/>
    <n v="0"/>
    <n v="-0.000747950246179796"/>
    <n v="-0.000747950246179796"/>
    <s v=""/>
    <s v=""/>
    <n v="0.1342982675077343"/>
    <s v=""/>
    <n v="-0.1614105656280934"/>
    <n v="1.725925120074"/>
    <n v="0.008719795471357816"/>
    <n v="-0.09427199960051791"/>
    <s v=""/>
    <s v=""/>
    <s v=""/>
    <s v=""/>
    <n v="-0.03916014841475179"/>
    <n v="0.5794257602115425"/>
    <n v="0.1144266580527931"/>
    <s v=""/>
    <s v=""/>
    <s v=""/>
    <n v="0.5089457335501512"/>
    <n v="0.63"/>
    <n v="0.1210542664498488"/>
    <n v="0.09330514718610894"/>
    <n v="0.09330514718610894"/>
    <n v="0.7244404117077812"/>
    <n v="0.7100000000000001"/>
    <n v="-0.0144404117077811"/>
    <n v="-0.009192599646374977"/>
    <n v="-0.009192599646374977"/>
    <m/>
    <n v="27664652"/>
    <s v=""/>
    <s v=""/>
    <s v=""/>
  </r>
  <r>
    <x v="2"/>
    <s v="09"/>
    <x v="0"/>
    <d v="2022-03-26T00:00:00"/>
    <d v="2022-04-01T00:00:00"/>
    <n v="202209"/>
    <n v="860649.1560145649"/>
    <n v="28253.47450004343"/>
    <n v="131116.0124240569"/>
    <n v="1020018.642938665"/>
    <m/>
    <m/>
    <m/>
    <n v="0"/>
    <n v="683159"/>
    <n v="58167"/>
    <n v="121757"/>
    <n v="863083"/>
    <n v="8141958"/>
    <n v="8304341.954352691"/>
    <n v="0"/>
    <n v="-0.01955410257011125"/>
    <n v="-0.01955410257011125"/>
    <s v=""/>
    <s v=""/>
    <n v="0.1502225073958184"/>
    <s v=""/>
    <n v="-0.2062282345531763"/>
    <n v="1.058755640829612"/>
    <n v="-0.07137962977235679"/>
    <n v="-0.1538556613892222"/>
    <s v=""/>
    <s v=""/>
    <s v=""/>
    <s v=""/>
    <n v="-0.05960367758638896"/>
    <n v="0.6309513864025609"/>
    <n v="0.09026099377645624"/>
    <s v=""/>
    <s v=""/>
    <s v=""/>
    <n v="0.5239745534151815"/>
    <n v="0.63"/>
    <n v="0.1060254465848185"/>
    <n v="0.09471851378596563"/>
    <n v="0.09471851378596563"/>
    <n v="0.7238056969630576"/>
    <n v="0.7000000000000001"/>
    <n v="-0.02380569696305757"/>
    <n v="-0.0108162771260063"/>
    <n v="-0.0108162771260063"/>
    <m/>
    <n v="27269896"/>
    <s v=""/>
    <s v=""/>
    <s v=""/>
  </r>
  <r>
    <x v="2"/>
    <s v="10"/>
    <x v="0"/>
    <d v="2022-04-02T00:00:00"/>
    <d v="2022-04-08T00:00:00"/>
    <n v="202210"/>
    <n v="833352.0106277397"/>
    <n v="54754.05574931802"/>
    <n v="134845.9707152265"/>
    <n v="1022952.037092284"/>
    <m/>
    <m/>
    <m/>
    <n v="0"/>
    <n v="676878"/>
    <n v="57062"/>
    <n v="122092"/>
    <n v="856032"/>
    <n v="8997990"/>
    <n v="9327293.991444975"/>
    <n v="0"/>
    <n v="-0.03530541567007683"/>
    <n v="-0.03530541567007683"/>
    <s v=""/>
    <s v=""/>
    <n v="0.1660166534048075"/>
    <s v=""/>
    <n v="-0.1877646044315324"/>
    <n v="0.04215111043551745"/>
    <n v="-0.09458177094635534"/>
    <n v="-0.1631748420646879"/>
    <s v=""/>
    <s v=""/>
    <s v=""/>
    <s v=""/>
    <n v="-0.07318024706659132"/>
    <n v="0.5294390412765368"/>
    <n v="0.06845366012619669"/>
    <s v=""/>
    <s v=""/>
    <s v=""/>
    <n v="0.5484386868213886"/>
    <n v="0.62"/>
    <n v="0.07156131317861136"/>
    <n v="0.09240279372523019"/>
    <n v="0.09240279372523019"/>
    <n v="0.7233904214736353"/>
    <n v="0.7000000000000001"/>
    <n v="-0.02339042147363524"/>
    <n v="-0.01207369156076921"/>
    <n v="-0.01207369156076921"/>
    <m/>
    <n v="27241552"/>
    <s v=""/>
    <s v=""/>
    <s v=""/>
  </r>
  <r>
    <x v="2"/>
    <s v="11"/>
    <x v="0"/>
    <d v="2022-04-09T00:00:00"/>
    <d v="2022-04-15T00:00:00"/>
    <n v="202211"/>
    <n v="820630.2684597626"/>
    <n v="54754.05574931802"/>
    <n v="134845.9707152265"/>
    <n v="1010230.294924307"/>
    <m/>
    <m/>
    <m/>
    <n v="0"/>
    <n v="656593"/>
    <n v="58761"/>
    <n v="118188"/>
    <n v="833542"/>
    <n v="9831532"/>
    <n v="10337524.28636928"/>
    <n v="0"/>
    <n v="-0.04894714366344632"/>
    <n v="-0.04894714366344632"/>
    <s v=""/>
    <s v=""/>
    <n v="0.1813958495711013"/>
    <s v=""/>
    <n v="-0.199891808484768"/>
    <n v="0.07318077530232792"/>
    <n v="-0.123533321958915"/>
    <n v="-0.1748990263032506"/>
    <s v=""/>
    <s v=""/>
    <s v=""/>
    <s v=""/>
    <n v="-0.08514974931236619"/>
    <n v="0.4623450245267968"/>
    <n v="0.04819369312014188"/>
    <s v=""/>
    <s v=""/>
    <s v=""/>
    <n v="0.5622371890813199"/>
    <n v="0.61"/>
    <n v="0.04776281091868007"/>
    <n v="0.08834461347008915"/>
    <n v="0.08834461347008915"/>
    <n v="0.7223445678346209"/>
    <n v="0.6900000000000001"/>
    <n v="-0.03234456783462081"/>
    <n v="-0.01391649849475574"/>
    <n v="-0.01391649849475574"/>
    <m/>
    <n v="27295240"/>
    <s v=""/>
    <s v=""/>
    <s v=""/>
  </r>
  <r>
    <x v="2"/>
    <s v="12"/>
    <x v="0"/>
    <d v="2022-04-16T00:00:00"/>
    <d v="2022-04-22T00:00:00"/>
    <n v="202212"/>
    <n v="804074.8611379747"/>
    <n v="54754.05574931802"/>
    <n v="134845.9707152265"/>
    <n v="993674.8876025191"/>
    <m/>
    <m/>
    <m/>
    <n v="0"/>
    <n v="618161"/>
    <n v="54409"/>
    <n v="155044"/>
    <n v="827614"/>
    <n v="10659146"/>
    <n v="11331199.1739718"/>
    <n v="0"/>
    <n v="-0.05930997802205562"/>
    <n v="-0.05930997802205562"/>
    <s v=""/>
    <s v=""/>
    <n v="0.1966656716748118"/>
    <s v=""/>
    <n v="-0.2312146171002764"/>
    <n v="-0.006301921284110779"/>
    <n v="0.1497859311453107"/>
    <n v="-0.1671179272761749"/>
    <s v=""/>
    <s v=""/>
    <s v=""/>
    <s v=""/>
    <n v="-0.09752376056167689"/>
    <n v="0.4022642585305263"/>
    <n v="0.05789114883988034"/>
    <s v=""/>
    <s v=""/>
    <s v=""/>
    <n v="0.5632213751981282"/>
    <n v="0.6"/>
    <n v="0.03677862480187177"/>
    <n v="0.08404744774773776"/>
    <n v="0.08404744774773776"/>
    <n v="0.7203991697953211"/>
    <n v="0.6799999999999999"/>
    <n v="-0.04039916979532121"/>
    <n v="-0.01612338776980282"/>
    <n v="-0.01612338776980282"/>
    <m/>
    <n v="26715368"/>
    <s v=""/>
    <s v=""/>
    <s v=""/>
  </r>
  <r>
    <x v="2"/>
    <s v="13"/>
    <x v="0"/>
    <d v="2022-04-23T00:00:00"/>
    <d v="2022-04-29T00:00:00"/>
    <n v="202213"/>
    <n v="792116.5232860366"/>
    <n v="54754.05574931802"/>
    <n v="134845.9707152265"/>
    <n v="981716.549750581"/>
    <m/>
    <m/>
    <m/>
    <n v="0"/>
    <n v="577975"/>
    <n v="54372"/>
    <n v="194481"/>
    <n v="826828"/>
    <n v="11485974"/>
    <n v="12312915.72372238"/>
    <n v="0"/>
    <n v="-0.06716051195974448"/>
    <n v="-0.06716051195974448"/>
    <s v=""/>
    <s v=""/>
    <n v="0.2119209917520057"/>
    <s v=""/>
    <n v="-0.2703409372117203"/>
    <n v="-0.006977670312993678"/>
    <n v="0.4422455411049198"/>
    <n v="-0.1577731879837746"/>
    <s v=""/>
    <s v=""/>
    <s v=""/>
    <s v=""/>
    <n v="-0.1108354436573755"/>
    <n v="0.355760986593691"/>
    <n v="0.09138265712114735"/>
    <s v=""/>
    <s v=""/>
    <s v=""/>
    <n v="0.5673121683743889"/>
    <n v="0.59"/>
    <n v="0.02268783162561105"/>
    <n v="0.079327477276805"/>
    <n v="0.079327477276805"/>
    <n v="0.7194358548900833"/>
    <n v="0.6799999999999999"/>
    <n v="-0.03943585489008339"/>
    <n v="-0.01791665447136281"/>
    <n v="-0.01791665447136281"/>
    <m/>
    <n v="26419113"/>
    <s v=""/>
    <s v=""/>
    <s v=""/>
  </r>
  <r>
    <x v="2"/>
    <s v="14"/>
    <x v="1"/>
    <d v="2022-04-30T00:00:00"/>
    <d v="2022-05-06T00:00:00"/>
    <n v="202214"/>
    <n v="789343.260356747"/>
    <n v="71558.32549324857"/>
    <n v="86422.65929744768"/>
    <n v="947324.2451474431"/>
    <m/>
    <m/>
    <m/>
    <n v="0"/>
    <n v="631674"/>
    <n v="62882"/>
    <n v="102546"/>
    <n v="797102"/>
    <n v="12283076"/>
    <n v="13260239.96886983"/>
    <n v="0"/>
    <n v="-0.0736912733980567"/>
    <n v="-0.1585753198199443"/>
    <s v=""/>
    <s v=""/>
    <n v="0.2266278547805576"/>
    <s v=""/>
    <n v="-0.1997473954303324"/>
    <n v="-0.1212483024643607"/>
    <n v="0.1865638113154948"/>
    <n v="-0.1585753198199443"/>
    <s v=""/>
    <s v=""/>
    <s v=""/>
    <s v=""/>
    <n v="-0.1171736297674628"/>
    <n v="0.2940815484022938"/>
    <n v="0.09641700096614958"/>
    <s v=""/>
    <s v=""/>
    <s v=""/>
    <n v="0.5862539255271422"/>
    <n v="0.59"/>
    <n v="0.003746074472857797"/>
    <n v="0.07392880564795157"/>
    <n v="0.003746074472857797"/>
    <n v="0.7220276861394772"/>
    <n v="0.68"/>
    <n v="-0.04202768613947716"/>
    <n v="-0.01963887101908524"/>
    <n v="-0.04202768613947716"/>
    <m/>
    <n v="26453237"/>
    <s v=""/>
    <s v=""/>
    <s v=""/>
  </r>
  <r>
    <x v="2"/>
    <s v="15"/>
    <x v="1"/>
    <d v="2022-05-07T00:00:00"/>
    <d v="2022-05-13T00:00:00"/>
    <n v="202215"/>
    <n v="792491.8365856898"/>
    <n v="74389.80705120333"/>
    <n v="78297.66041529282"/>
    <n v="945179.304052186"/>
    <m/>
    <m/>
    <m/>
    <n v="0"/>
    <n v="660623"/>
    <n v="68625"/>
    <n v="88859"/>
    <n v="818107"/>
    <n v="13101183"/>
    <n v="14205419.27292201"/>
    <n v="0"/>
    <n v="-0.07773345169944235"/>
    <n v="-0.1465226045768324"/>
    <s v=""/>
    <s v=""/>
    <n v="0.2417222687849126"/>
    <s v=""/>
    <n v="-0.1663977223460411"/>
    <n v="-0.0774945826547897"/>
    <n v="0.1348870391361576"/>
    <n v="-0.1344425375242557"/>
    <s v=""/>
    <s v=""/>
    <s v=""/>
    <s v=""/>
    <n v="-0.1204613187511503"/>
    <n v="0.250052386288381"/>
    <n v="0.09817617062633088"/>
    <s v=""/>
    <s v=""/>
    <s v=""/>
    <n v="0.6104985293806471"/>
    <n v="0.6"/>
    <n v="-0.0104985293806471"/>
    <n v="0.06830031664604497"/>
    <n v="-0.003376227453894654"/>
    <n v="0.7281275712313608"/>
    <n v="0.6800000000000002"/>
    <n v="-0.04812757123136069"/>
    <n v="-0.02153811769990366"/>
    <n v="-0.04507762868541887"/>
    <m/>
    <n v="26760396"/>
    <s v=""/>
    <s v=""/>
    <s v=""/>
  </r>
  <r>
    <x v="2"/>
    <s v="16"/>
    <x v="1"/>
    <d v="2022-05-14T00:00:00"/>
    <d v="2022-05-20T00:00:00"/>
    <n v="202216"/>
    <n v="797605.2208315469"/>
    <n v="74389.80705120333"/>
    <n v="78297.66041529282"/>
    <n v="950292.6882980431"/>
    <m/>
    <m/>
    <m/>
    <n v="0"/>
    <n v="644714"/>
    <n v="75621"/>
    <n v="99078"/>
    <n v="819413"/>
    <n v="13920596"/>
    <n v="15155711.96122005"/>
    <n v="0"/>
    <n v="-0.08149508016386353"/>
    <n v="-0.1435819536109143"/>
    <s v=""/>
    <s v=""/>
    <n v="0.2568407790318004"/>
    <s v=""/>
    <n v="-0.1916878385928185"/>
    <n v="0.01655055978232634"/>
    <n v="0.265401794568161"/>
    <n v="-0.1377256606408771"/>
    <s v=""/>
    <s v=""/>
    <s v=""/>
    <s v=""/>
    <n v="-0.1249476721781135"/>
    <n v="0.2253152379843053"/>
    <n v="0.1054887243630362"/>
    <s v=""/>
    <s v=""/>
    <s v=""/>
    <n v="0.6172254241586542"/>
    <n v="0.59"/>
    <n v="-0.02722542415865425"/>
    <n v="0.06232995784575124"/>
    <n v="-0.01132595968881456"/>
    <n v="0.7336233342107897"/>
    <n v="0.68"/>
    <n v="-0.05362333421078969"/>
    <n v="-0.02354344373183415"/>
    <n v="-0.04792619719387581"/>
    <m/>
    <n v="26991610"/>
    <s v=""/>
    <s v=""/>
    <s v=""/>
  </r>
  <r>
    <x v="2"/>
    <s v="17"/>
    <x v="1"/>
    <d v="2022-05-21T00:00:00"/>
    <d v="2022-05-27T00:00:00"/>
    <n v="202217"/>
    <n v="800902.5156146449"/>
    <n v="74389.80705120333"/>
    <n v="78297.66041529282"/>
    <n v="953589.983081141"/>
    <m/>
    <m/>
    <m/>
    <n v="0"/>
    <n v="648269"/>
    <n v="76732"/>
    <n v="96481"/>
    <n v="821482"/>
    <n v="14742078"/>
    <n v="16109301.9443012"/>
    <n v="0"/>
    <n v="-0.08487170636123453"/>
    <n v="-0.1423148724042201"/>
    <s v=""/>
    <s v=""/>
    <n v="0.2719974631881829"/>
    <s v=""/>
    <n v="-0.1905768962375"/>
    <n v="0.03148540158444701"/>
    <n v="0.2322334982713694"/>
    <n v="-0.1385375113256616"/>
    <s v=""/>
    <s v=""/>
    <s v=""/>
    <s v=""/>
    <n v="-0.1288516408481913"/>
    <n v="0.2067479500204981"/>
    <n v="0.1107988976579488"/>
    <s v=""/>
    <s v=""/>
    <s v=""/>
    <n v="0.5954110257028702"/>
    <n v="0.5899999999999999"/>
    <n v="-0.005411025702870331"/>
    <n v="0.05834519410759709"/>
    <n v="-0.009847226192328473"/>
    <n v="0.7334280805599961"/>
    <n v="0.68"/>
    <n v="-0.05342808055999604"/>
    <n v="-0.02530136354525536"/>
    <n v="-0.04930166803540581"/>
    <m/>
    <n v="26795793"/>
    <s v=""/>
    <s v=""/>
    <s v=""/>
  </r>
  <r>
    <x v="2"/>
    <s v="18"/>
    <x v="1"/>
    <d v="2022-05-28T00:00:00"/>
    <d v="2022-06-03T00:00:00"/>
    <n v="202218"/>
    <n v="796469.5061309231"/>
    <n v="81976.58865470564"/>
    <n v="79412.50521288189"/>
    <n v="957858.5999985107"/>
    <m/>
    <m/>
    <m/>
    <n v="0"/>
    <n v="661329"/>
    <n v="78922"/>
    <n v="110668"/>
    <n v="850919"/>
    <n v="15592997"/>
    <n v="17067160.54429971"/>
    <n v="0"/>
    <n v="-0.08637427066285286"/>
    <n v="-0.1361355683190775"/>
    <s v=""/>
    <s v=""/>
    <n v="0.2876972722231524"/>
    <s v=""/>
    <n v="-0.169674425813747"/>
    <n v="-0.03726171953277913"/>
    <n v="0.3935840420010828"/>
    <n v="-0.1116444535745432"/>
    <s v=""/>
    <s v=""/>
    <s v=""/>
    <s v=""/>
    <n v="-0.1311316745258155"/>
    <n v="0.1834494207021271"/>
    <n v="0.1223255218277175"/>
    <s v=""/>
    <s v=""/>
    <s v=""/>
    <n v="0.5576488815159643"/>
    <n v="0.595870839529416"/>
    <n v="0.03822195801345174"/>
    <n v="0.05722723654681128"/>
    <n v="-0.0002333893511724527"/>
    <n v="0.7259948764942953"/>
    <n v="0.68"/>
    <n v="-0.04599487649429523"/>
    <n v="-0.02645100315353544"/>
    <n v="-0.04864030972718369"/>
    <m/>
    <n v="27456517"/>
    <s v=""/>
    <s v=""/>
    <s v=""/>
  </r>
  <r>
    <x v="2"/>
    <s v="19"/>
    <x v="1"/>
    <d v="2022-06-04T00:00:00"/>
    <d v="2022-06-10T00:00:00"/>
    <n v="202219"/>
    <n v="790237.3161696783"/>
    <n v="92066.17193294305"/>
    <n v="80907.58242913593"/>
    <n v="963211.0705317573"/>
    <m/>
    <m/>
    <m/>
    <n v="0"/>
    <n v="700280"/>
    <n v="81123"/>
    <n v="114870"/>
    <n v="896273"/>
    <n v="16489270"/>
    <n v="18030371.61483146"/>
    <n v="0"/>
    <n v="-0.08547253754680129"/>
    <n v="-0.1249086839864624"/>
    <s v=""/>
    <s v=""/>
    <n v="0.304233881398878"/>
    <s v=""/>
    <n v="-0.1138358241619191"/>
    <n v="-0.1188620282910597"/>
    <n v="0.4197680433797479"/>
    <n v="-0.06949470638330912"/>
    <s v=""/>
    <s v=""/>
    <s v=""/>
    <s v=""/>
    <n v="-0.1302235494089755"/>
    <n v="0.1541710454161631"/>
    <n v="0.1341853331684852"/>
    <s v=""/>
    <s v=""/>
    <s v=""/>
    <n v="0.5273772074625471"/>
    <n v="0.6"/>
    <n v="0.07262279253745285"/>
    <n v="0.05803752896737124"/>
    <n v="0.0119093076302651"/>
    <n v="0.7149078508806302"/>
    <n v="0.6799999999999999"/>
    <n v="-0.03490785088063031"/>
    <n v="-0.02689610040232993"/>
    <n v="-0.04635156658609141"/>
    <m/>
    <n v="27965103"/>
    <s v=""/>
    <s v=""/>
    <s v=""/>
  </r>
  <r>
    <x v="2"/>
    <s v="20"/>
    <x v="1"/>
    <d v="2022-06-11T00:00:00"/>
    <d v="2022-06-17T00:00:00"/>
    <n v="202220"/>
    <n v="794084.2954354134"/>
    <n v="92066.17193294305"/>
    <n v="80907.58242913593"/>
    <n v="967058.0497974923"/>
    <m/>
    <m/>
    <m/>
    <n v="0"/>
    <n v="693850"/>
    <n v="87071"/>
    <n v="116561"/>
    <n v="897482"/>
    <n v="17386752"/>
    <n v="18997429.66462896"/>
    <n v="0"/>
    <n v="-0.08478397830985807"/>
    <n v="-0.1172465115392192"/>
    <s v=""/>
    <s v=""/>
    <n v="0.3207927971268409"/>
    <s v=""/>
    <n v="-0.1262262659160798"/>
    <n v="-0.05425632268691816"/>
    <n v="0.4406684330494195"/>
    <n v="-0.07194609445840605"/>
    <s v=""/>
    <s v=""/>
    <s v=""/>
    <s v=""/>
    <n v="-0.1300232184765147"/>
    <n v="0.1357675412783208"/>
    <n v="0.1459370445433277"/>
    <s v=""/>
    <s v=""/>
    <s v=""/>
    <n v="0.5163697693103922"/>
    <n v="0.5899999999999999"/>
    <n v="0.07363023068960761"/>
    <n v="0.05881716405348314"/>
    <n v="0.02072658235302827"/>
    <n v="0.705701129568384"/>
    <n v="0.6799999999999999"/>
    <n v="-0.02570112956838411"/>
    <n v="-0.02683635186063271"/>
    <n v="-0.04340150415499044"/>
    <m/>
    <n v="27909434"/>
    <s v=""/>
    <s v=""/>
    <s v=""/>
  </r>
  <r>
    <x v="2"/>
    <s v="21"/>
    <x v="1"/>
    <d v="2022-06-18T00:00:00"/>
    <d v="2022-06-24T00:00:00"/>
    <n v="202221"/>
    <n v="802036.3429484633"/>
    <n v="92066.17193294305"/>
    <n v="80907.58242913593"/>
    <n v="975010.0973105422"/>
    <m/>
    <m/>
    <m/>
    <n v="0"/>
    <n v="694525"/>
    <n v="79933"/>
    <n v="92859"/>
    <n v="867317"/>
    <n v="18254069"/>
    <n v="19972439.7619395"/>
    <n v="0"/>
    <n v="-0.08603709824245476"/>
    <n v="-0.1163817795687225"/>
    <s v=""/>
    <s v=""/>
    <n v="0.3367951560737943"/>
    <s v=""/>
    <n v="-0.1340479691396873"/>
    <n v="-0.1317875141130047"/>
    <n v="0.1477169038060417"/>
    <n v="-0.1104533149016629"/>
    <s v=""/>
    <s v=""/>
    <s v=""/>
    <s v=""/>
    <n v="-0.1302171303403556"/>
    <n v="0.1140599557087296"/>
    <n v="0.1460027708297156"/>
    <s v=""/>
    <s v=""/>
    <s v=""/>
    <n v="0.5182059671182859"/>
    <n v="0.5900000000000001"/>
    <n v="0.07179403288171415"/>
    <n v="0.05943511018816083"/>
    <n v="0.02711001366911403"/>
    <n v="0.7013076988569331"/>
    <n v="0.6840538217469745"/>
    <n v="-0.01725387710995863"/>
    <n v="-0.026380043539172"/>
    <n v="-0.04013305077436147"/>
    <m/>
    <n v="27419862"/>
    <s v=""/>
    <s v=""/>
    <s v=""/>
  </r>
  <r>
    <x v="2"/>
    <s v="22"/>
    <x v="1"/>
    <d v="2022-06-25T00:00:00"/>
    <d v="2022-07-01T00:00:00"/>
    <n v="202222"/>
    <n v="810750.664922412"/>
    <n v="91433.15218938279"/>
    <n v="80535.63538999457"/>
    <n v="982719.4525017894"/>
    <m/>
    <m/>
    <m/>
    <n v="0"/>
    <n v="681796"/>
    <n v="97302"/>
    <n v="115072"/>
    <n v="894170"/>
    <n v="19148239"/>
    <n v="20955159.21444129"/>
    <n v="0"/>
    <n v="-0.08622794014354451"/>
    <n v="-0.1133939921701264"/>
    <s v=""/>
    <s v=""/>
    <n v="0.353292964025901"/>
    <s v=""/>
    <n v="-0.1590558854919383"/>
    <n v="0.06418730701158859"/>
    <n v="0.428833328783746"/>
    <n v="-0.0901065428962069"/>
    <s v=""/>
    <s v=""/>
    <s v=""/>
    <s v=""/>
    <n v="-0.1315564447082278"/>
    <n v="0.1103410997085157"/>
    <n v="0.1560304681564375"/>
    <s v=""/>
    <s v=""/>
    <s v=""/>
    <n v="0.5208976319782156"/>
    <n v="0.59"/>
    <n v="0.06910236802178438"/>
    <n v="0.05987453099878004"/>
    <n v="0.03177583081941071"/>
    <n v="0.7004762381982251"/>
    <n v="0.6783388970981162"/>
    <n v="-0.0221373411001089"/>
    <n v="-0.02618719342830544"/>
    <n v="-0.03813352747722232"/>
    <m/>
    <n v="27711887"/>
    <s v=""/>
    <s v=""/>
    <s v=""/>
  </r>
  <r>
    <x v="2"/>
    <s v="23"/>
    <x v="1"/>
    <d v="2022-07-02T00:00:00"/>
    <d v="2022-07-08T00:00:00"/>
    <n v="202223"/>
    <n v="813828.5924854395"/>
    <n v="87660.44334607168"/>
    <n v="78297.66041529282"/>
    <n v="979786.696246804"/>
    <m/>
    <m/>
    <m/>
    <n v="0"/>
    <n v="700469"/>
    <n v="98954"/>
    <n v="132656"/>
    <n v="932079"/>
    <n v="20080318"/>
    <n v="21934945.91068809"/>
    <n v="0"/>
    <n v="-0.08455128716704052"/>
    <n v="-0.106805545918765"/>
    <s v=""/>
    <s v=""/>
    <n v="0.3704902087759952"/>
    <s v=""/>
    <n v="-0.1392917298951593"/>
    <n v="0.128832985812573"/>
    <n v="0.6942524118394999"/>
    <n v="-0.04869192083292651"/>
    <s v=""/>
    <s v=""/>
    <s v=""/>
    <s v=""/>
    <n v="-0.1319009848813603"/>
    <n v="0.1115748858262557"/>
    <n v="0.1739645551534728"/>
    <s v=""/>
    <s v=""/>
    <s v=""/>
    <n v="0.5211918508818754"/>
    <n v="0.6"/>
    <n v="0.07880814911812462"/>
    <n v="0.06069773178657756"/>
    <n v="0.03647906264928213"/>
    <n v="0.7002212018333791"/>
    <n v="0.6763819429313486"/>
    <n v="-0.02383925890203054"/>
    <n v="-0.02608510931846741"/>
    <n v="-0.03670410061970319"/>
    <m/>
    <n v="27835029"/>
    <s v=""/>
    <s v=""/>
    <s v=""/>
  </r>
  <r>
    <x v="2"/>
    <s v="24"/>
    <x v="1"/>
    <d v="2022-07-09T00:00:00"/>
    <d v="2022-07-15T00:00:00"/>
    <n v="202224"/>
    <n v="801697.6046151745"/>
    <n v="87660.44334607168"/>
    <n v="78297.66041529282"/>
    <n v="967655.7083765389"/>
    <m/>
    <m/>
    <m/>
    <n v="0"/>
    <n v="720919"/>
    <n v="127141"/>
    <n v="137514"/>
    <n v="985574"/>
    <n v="21065892"/>
    <n v="22902601.61906463"/>
    <n v="0"/>
    <n v="-0.080196549266076"/>
    <n v="-0.09535390429156965"/>
    <s v=""/>
    <s v=""/>
    <n v="0.3886744584987432"/>
    <s v=""/>
    <n v="-0.1007594436482685"/>
    <n v="0.4503805268023158"/>
    <n v="0.7562976884701558"/>
    <n v="0.01851721791991801"/>
    <s v=""/>
    <s v=""/>
    <s v=""/>
    <s v=""/>
    <n v="-0.1305920086080643"/>
    <n v="0.1327662394971507"/>
    <n v="0.1927427621638085"/>
    <s v=""/>
    <s v=""/>
    <s v=""/>
    <n v="0.5239170985526866"/>
    <n v="0.6064616202382124"/>
    <n v="0.08254452168552573"/>
    <n v="0.06160801469903388"/>
    <n v="0.04066683165257701"/>
    <n v="0.6990561773690173"/>
    <n v="0.6809723253882825"/>
    <n v="-0.01808385198073481"/>
    <n v="-0.02575172359606182"/>
    <n v="-0.03501135074343331"/>
    <m/>
    <n v="28984140"/>
    <s v=""/>
    <s v=""/>
    <s v=""/>
  </r>
  <r>
    <x v="2"/>
    <s v="25"/>
    <x v="1"/>
    <d v="2022-07-16T00:00:00"/>
    <d v="2022-07-22T00:00:00"/>
    <n v="202225"/>
    <n v="772530.9859057155"/>
    <n v="87660.44334607168"/>
    <n v="78297.66041529282"/>
    <n v="938489.08966708"/>
    <m/>
    <m/>
    <m/>
    <n v="0"/>
    <n v="679337"/>
    <n v="131375"/>
    <n v="151869"/>
    <n v="962581"/>
    <n v="22028473"/>
    <n v="23841090.70873171"/>
    <n v="0"/>
    <n v="-0.07602914358560975"/>
    <n v="-0.08550147671171315"/>
    <s v=""/>
    <s v=""/>
    <n v="0.4064344778198419"/>
    <s v=""/>
    <n v="-0.120634625155462"/>
    <n v="0.4986805334915898"/>
    <n v="0.9396364999220013"/>
    <n v="0.0256709540879867"/>
    <s v=""/>
    <s v=""/>
    <s v=""/>
    <s v=""/>
    <n v="-0.1302043954534962"/>
    <n v="0.1543059171405059"/>
    <n v="0.2160750872780157"/>
    <s v=""/>
    <s v=""/>
    <s v=""/>
    <n v="0.5308368354203783"/>
    <n v="0.6008155122644218"/>
    <n v="0.06997867684404346"/>
    <n v="0.06194284118483406"/>
    <n v="0.04310948541853254"/>
    <n v="0.6976755417804398"/>
    <n v="0.6751681541183904"/>
    <n v="-0.02250738766204941"/>
    <n v="-0.02562195015870128"/>
    <n v="-0.03396935381998467"/>
    <m/>
    <n v="28710796"/>
    <s v=""/>
    <s v=""/>
    <s v=""/>
  </r>
  <r>
    <x v="2"/>
    <s v="26"/>
    <x v="1"/>
    <d v="2022-07-23T00:00:00"/>
    <d v="2022-07-29T00:00:00"/>
    <n v="202226"/>
    <n v="730628.1750664605"/>
    <n v="87660.44334607168"/>
    <n v="78297.66041529282"/>
    <n v="896586.278827825"/>
    <m/>
    <m/>
    <m/>
    <n v="0"/>
    <n v="662641"/>
    <n v="123545"/>
    <n v="142190"/>
    <n v="928376"/>
    <n v="22956849"/>
    <n v="24737676.98755953"/>
    <n v="0"/>
    <n v="-0.07198848899414056"/>
    <n v="-0.07677300541890375"/>
    <s v=""/>
    <s v=""/>
    <n v="0.4235634006816524"/>
    <s v=""/>
    <n v="-0.09305304310263718"/>
    <n v="0.4093586033127952"/>
    <n v="0.8160185022875595"/>
    <n v="0.03545639937043887"/>
    <s v=""/>
    <s v=""/>
    <s v=""/>
    <s v=""/>
    <n v="-0.1288852070641809"/>
    <n v="0.1684850275494159"/>
    <n v="0.2342490695461921"/>
    <s v=""/>
    <s v=""/>
    <s v=""/>
    <n v="0.535840399024745"/>
    <n v="0.5938231091875271"/>
    <n v="0.05798271016278211"/>
    <n v="0.06179052845321686"/>
    <n v="0.04425357962962873"/>
    <n v="0.6972192771059071"/>
    <n v="0.6682082902952611"/>
    <n v="-0.02901098681064607"/>
    <n v="-0.02575229772223764"/>
    <n v="-0.03358794097311235"/>
    <m/>
    <n v="28432676"/>
    <s v=""/>
    <s v=""/>
    <s v=""/>
  </r>
  <r>
    <x v="2"/>
    <s v="27"/>
    <x v="2"/>
    <d v="2022-07-30T00:00:00"/>
    <d v="2022-08-05T00:00:00"/>
    <n v="202227"/>
    <n v="687165.7644514525"/>
    <n v="86019.91162033699"/>
    <n v="161891.612979428"/>
    <n v="935077.2890512176"/>
    <m/>
    <m/>
    <m/>
    <n v="0"/>
    <n v="799801"/>
    <n v="122323"/>
    <n v="112225"/>
    <n v="1034349"/>
    <n v="23991198"/>
    <n v="25672754.27661075"/>
    <n v="0"/>
    <n v="-0.06549964442820766"/>
    <n v="0.1061641771339663"/>
    <s v=""/>
    <s v=""/>
    <n v="0.442647569416293"/>
    <s v=""/>
    <n v="0.1639127578459345"/>
    <n v="0.422031221560569"/>
    <n v="-0.3067892898549307"/>
    <n v="0.1061641771339663"/>
    <s v=""/>
    <s v=""/>
    <s v=""/>
    <s v=""/>
    <n v="-0.1194228686251165"/>
    <n v="0.1816010851287235"/>
    <n v="0.2023587099800976"/>
    <s v=""/>
    <s v=""/>
    <s v=""/>
    <n v="0.5325416703205508"/>
    <n v="0.5932479889585562"/>
    <n v="0.06070631863800546"/>
    <n v="0.06175037253413485"/>
    <n v="0.06070631863800546"/>
    <n v="0.6978972184958656"/>
    <n v="0.6649647625393067"/>
    <n v="-0.03293245595655891"/>
    <n v="-0.02601822950869404"/>
    <n v="-0.03293245595655891"/>
    <m/>
    <n v="28452630"/>
    <s v=""/>
    <s v=""/>
    <s v=""/>
  </r>
  <r>
    <x v="2"/>
    <s v="28"/>
    <x v="2"/>
    <d v="2022-08-06T00:00:00"/>
    <d v="2022-08-12T00:00:00"/>
    <n v="202228"/>
    <n v="656017.0541775981"/>
    <n v="85357.96523085299"/>
    <n v="195744.1510382321"/>
    <n v="937119.1704466832"/>
    <m/>
    <m/>
    <m/>
    <n v="0"/>
    <n v="770172"/>
    <n v="112133"/>
    <n v="115415"/>
    <n v="997720"/>
    <n v="24988918"/>
    <n v="26609873.44705743"/>
    <n v="0"/>
    <n v="-0.06091556392714381"/>
    <n v="0.08539303644713403"/>
    <s v=""/>
    <s v=""/>
    <n v="0.4610559178846781"/>
    <s v=""/>
    <n v="0.1740121618720871"/>
    <n v="0.3136793935602047"/>
    <n v="-0.4103782954032812"/>
    <n v="0.06466715383106614"/>
    <s v=""/>
    <s v=""/>
    <s v=""/>
    <s v=""/>
    <n v="-0.1106407427272131"/>
    <n v="0.1880499420894646"/>
    <n v="0.161595188209968"/>
    <s v=""/>
    <s v=""/>
    <s v=""/>
    <n v="0.5229212907631894"/>
    <n v="0.5903332594853182"/>
    <n v="0.06741196872212885"/>
    <n v="0.0619525723979919"/>
    <n v="0.06405914368006727"/>
    <n v="0.6987125181806733"/>
    <n v="0.6660787378024439"/>
    <n v="-0.03263378037822939"/>
    <n v="-0.02625449918260603"/>
    <n v="-0.03278311816739421"/>
    <m/>
    <n v="28192586"/>
    <s v=""/>
    <s v=""/>
    <s v=""/>
  </r>
  <r>
    <x v="2"/>
    <s v="29"/>
    <x v="2"/>
    <d v="2022-08-13T00:00:00"/>
    <d v="2022-08-19T00:00:00"/>
    <n v="202229"/>
    <n v="647565.1572639223"/>
    <n v="85357.96523085299"/>
    <n v="195744.1510382321"/>
    <n v="928667.2735330074"/>
    <m/>
    <m/>
    <m/>
    <n v="0"/>
    <n v="739549"/>
    <n v="103300"/>
    <n v="146819"/>
    <n v="989668"/>
    <n v="25978586"/>
    <n v="27538540.72059044"/>
    <n v="0"/>
    <n v="-0.0566462375918152"/>
    <n v="0.07885898352151455"/>
    <s v=""/>
    <s v=""/>
    <n v="0.4793157036081374"/>
    <s v=""/>
    <n v="0.1420456948683368"/>
    <n v="0.2101975453681713"/>
    <n v="-0.2499443829035597"/>
    <n v="0.06568631005475445"/>
    <s v=""/>
    <s v=""/>
    <s v=""/>
    <s v=""/>
    <n v="-0.103389817206176"/>
    <n v="0.189080979757515"/>
    <n v="0.135924509198541"/>
    <s v=""/>
    <s v=""/>
    <s v=""/>
    <n v="0.5155314014603728"/>
    <n v="0.5848515193882985"/>
    <n v="0.0693201179279257"/>
    <n v="0.06220662569212754"/>
    <n v="0.06581280176268678"/>
    <n v="0.6998565878803329"/>
    <n v="0.6650972717078624"/>
    <n v="-0.03475931617247052"/>
    <n v="-0.02654776873398068"/>
    <n v="-0.03344185083575291"/>
    <m/>
    <n v="28395929"/>
    <s v=""/>
    <s v=""/>
    <s v=""/>
  </r>
  <r>
    <x v="2"/>
    <s v="30"/>
    <x v="2"/>
    <d v="2022-08-20T00:00:00"/>
    <d v="2022-08-26T00:00:00"/>
    <n v="202230"/>
    <n v="663484.9541131783"/>
    <n v="85357.96523085299"/>
    <n v="195744.1510382321"/>
    <n v="944587.0703822634"/>
    <m/>
    <m/>
    <m/>
    <n v="0"/>
    <n v="664171"/>
    <n v="88220"/>
    <n v="187101"/>
    <n v="939492"/>
    <n v="26918078"/>
    <n v="28483127.79097271"/>
    <n v="0"/>
    <n v="-0.05494655651788094"/>
    <n v="0.05761074111297715"/>
    <s v=""/>
    <s v=""/>
    <n v="0.4966497212877068"/>
    <s v=""/>
    <n v="0.001034003683985096"/>
    <n v="0.03352979140735779"/>
    <n v="-0.04415534764328133"/>
    <n v="-0.005393965831229863"/>
    <s v=""/>
    <s v=""/>
    <s v=""/>
    <s v=""/>
    <n v="-0.1004073601663688"/>
    <n v="0.1821617158167426"/>
    <n v="0.1253511701698038"/>
    <s v=""/>
    <s v=""/>
    <s v=""/>
    <n v="0.5144613619088151"/>
    <n v="0.5904870484238737"/>
    <n v="0.07602568651505859"/>
    <n v="0.06266726105289189"/>
    <n v="0.06836602295077976"/>
    <n v="0.7015353297492569"/>
    <n v="0.666015972368364"/>
    <n v="-0.03551935738089296"/>
    <n v="-0.02684682168887775"/>
    <n v="-0.033961227472038"/>
    <m/>
    <n v="28073251"/>
    <s v=""/>
    <s v=""/>
    <s v=""/>
  </r>
  <r>
    <x v="2"/>
    <s v="31"/>
    <x v="2"/>
    <d v="2022-08-27T00:00:00"/>
    <d v="2022-09-02T00:00:00"/>
    <n v="202231"/>
    <n v="694866.6986071385"/>
    <n v="85825.66755442062"/>
    <n v="197604.7455470028"/>
    <n v="978297.1117085619"/>
    <m/>
    <m/>
    <m/>
    <n v="0"/>
    <n v="665253"/>
    <n v="88780"/>
    <n v="191667"/>
    <n v="945700"/>
    <n v="27863778"/>
    <n v="29461424.90268127"/>
    <n v="0"/>
    <n v="-0.05422843287311152"/>
    <n v="0.03877875961413291"/>
    <s v=""/>
    <s v=""/>
    <n v="0.514098279146176"/>
    <s v=""/>
    <n v="-0.04261781240416207"/>
    <n v="0.03442248140634718"/>
    <n v="-0.03004859792494419"/>
    <n v="-0.03332025753570111"/>
    <s v=""/>
    <s v=""/>
    <s v=""/>
    <s v=""/>
    <n v="-0.09872896497705208"/>
    <n v="0.1758368231951775"/>
    <n v="0.1166555985900408"/>
    <s v=""/>
    <s v=""/>
    <s v=""/>
    <n v="0.5150368446392046"/>
    <n v="0.5979259038572755"/>
    <n v="0.08288905921807088"/>
    <n v="0.06331957712273639"/>
    <n v="0.07127063020423796"/>
    <n v="0.7035705518841811"/>
    <n v="0.6683844011104235"/>
    <n v="-0.03518615077375753"/>
    <n v="-0.02711583230451897"/>
    <n v="-0.03420621213238195"/>
    <m/>
    <n v="28436052"/>
    <s v=""/>
    <s v=""/>
    <s v=""/>
  </r>
  <r>
    <x v="2"/>
    <s v="32"/>
    <x v="2"/>
    <d v="2022-09-03T00:00:00"/>
    <d v="2022-09-09T00:00:00"/>
    <n v="202232"/>
    <n v="726218.3448391523"/>
    <n v="86989.57027721286"/>
    <n v="202268.9560728398"/>
    <n v="1015476.871189205"/>
    <m/>
    <m/>
    <m/>
    <n v="0"/>
    <n v="643475"/>
    <n v="92594"/>
    <n v="222055"/>
    <n v="958124"/>
    <n v="28821902"/>
    <n v="30476901.77387048"/>
    <n v="0"/>
    <n v="-0.05430341266806193"/>
    <n v="0.02192425255570818"/>
    <s v=""/>
    <s v=""/>
    <n v="0.5317760649657677"/>
    <s v=""/>
    <n v="-0.1139372826742333"/>
    <n v="0.06442645600992503"/>
    <n v="0.09782046791221388"/>
    <n v="-0.05647875674611891"/>
    <s v=""/>
    <s v=""/>
    <s v=""/>
    <s v=""/>
    <n v="-0.0991769933491855"/>
    <n v="0.1712035755972328"/>
    <n v="0.115635224274355"/>
    <s v=""/>
    <s v=""/>
    <s v=""/>
    <n v="0.5113271890943862"/>
    <n v="0.5857687783123222"/>
    <n v="0.07444158921793598"/>
    <n v="0.06366714000071128"/>
    <n v="0.07179912337318761"/>
    <n v="0.7049374515456192"/>
    <n v="0.665227126172684"/>
    <n v="-0.03971032537293517"/>
    <n v="-0.02750941021290698"/>
    <n v="-0.03512356433914077"/>
    <m/>
    <n v="28993970"/>
    <s v=""/>
    <s v=""/>
    <s v=""/>
  </r>
  <r>
    <x v="2"/>
    <s v="33"/>
    <x v="2"/>
    <d v="2022-09-10T00:00:00"/>
    <d v="2022-09-16T00:00:00"/>
    <n v="202233"/>
    <n v="744076.5425478243"/>
    <n v="86989.57027721286"/>
    <n v="202268.9560728398"/>
    <n v="1033335.068897877"/>
    <m/>
    <m/>
    <m/>
    <n v="0"/>
    <n v="605349"/>
    <n v="93281"/>
    <n v="225135"/>
    <n v="923765"/>
    <n v="29745667"/>
    <n v="31510236.84276835"/>
    <n v="0"/>
    <n v="-0.0559998914503026"/>
    <n v="0.002400590786758583"/>
    <s v=""/>
    <s v=""/>
    <n v="0.5488199129620971"/>
    <s v=""/>
    <n v="-0.1864425695679122"/>
    <n v="0.0723239545009593"/>
    <n v="0.1130477181032459"/>
    <n v="-0.1060353724515911"/>
    <s v=""/>
    <s v=""/>
    <s v=""/>
    <s v=""/>
    <n v="-0.1017338298611082"/>
    <n v="0.167255630957746"/>
    <n v="0.1155022523434199"/>
    <s v=""/>
    <s v=""/>
    <s v=""/>
    <n v="0.5052475721813352"/>
    <n v="0.6182570413717724"/>
    <n v="0.1130094691904372"/>
    <n v="0.0651623620973697"/>
    <n v="0.07768631563279482"/>
    <n v="0.7050170793343444"/>
    <n v="0.7023811674914049"/>
    <n v="-0.002635911842939542"/>
    <n v="-0.02675566783805938"/>
    <n v="-0.03048247112539759"/>
    <m/>
    <n v="28090800"/>
    <s v=""/>
    <s v=""/>
    <s v=""/>
  </r>
  <r>
    <x v="2"/>
    <s v="34"/>
    <x v="2"/>
    <d v="2022-09-17T00:00:00"/>
    <d v="2022-09-23T00:00:00"/>
    <n v="202234"/>
    <n v="740078.5168931733"/>
    <n v="86989.57027721286"/>
    <n v="202268.9560728398"/>
    <n v="1029337.043243226"/>
    <m/>
    <m/>
    <m/>
    <n v="0"/>
    <n v="646038"/>
    <n v="117096"/>
    <n v="227737"/>
    <n v="990871"/>
    <n v="30736538"/>
    <n v="32539573.88601158"/>
    <n v="0"/>
    <n v="-0.05541055615318569"/>
    <n v="-0.002846474228138884"/>
    <s v=""/>
    <s v=""/>
    <n v="0.5671018945353011"/>
    <s v=""/>
    <n v="-0.1270682971422444"/>
    <n v="0.3460924065591529"/>
    <n v="0.1259117781672281"/>
    <n v="-0.03736972597627264"/>
    <s v=""/>
    <s v=""/>
    <s v=""/>
    <s v=""/>
    <n v="-0.1024512220335845"/>
    <n v="0.1741218606941672"/>
    <n v="0.1160110506858401"/>
    <s v=""/>
    <s v=""/>
    <s v=""/>
    <n v="0.5048871263735784"/>
    <n v="0.6240996428774086"/>
    <n v="0.1192125165038302"/>
    <n v="0.06675207252108906"/>
    <n v="0.08287709074167415"/>
    <n v="0.7049228387753194"/>
    <n v="0.7165936561376107"/>
    <n v="0.01167081736229136"/>
    <n v="-0.02562547709687268"/>
    <n v="-0.0252133100644365"/>
    <m/>
    <n v="28269213"/>
    <s v=""/>
    <s v=""/>
    <s v=""/>
  </r>
  <r>
    <x v="2"/>
    <s v="35"/>
    <x v="2"/>
    <d v="2022-09-24T00:00:00"/>
    <d v="2022-09-30T00:00:00"/>
    <n v="202235"/>
    <n v="718895.8747520593"/>
    <n v="86989.57027721286"/>
    <n v="202268.9560728398"/>
    <n v="1008154.401102112"/>
    <m/>
    <m/>
    <m/>
    <n v="0"/>
    <n v="655067"/>
    <n v="112778"/>
    <n v="268598"/>
    <n v="1036443"/>
    <n v="31772981"/>
    <n v="33547728.28711369"/>
    <n v="0"/>
    <n v="-0.05290215992942215"/>
    <n v="0.0006902003449349436"/>
    <s v=""/>
    <s v=""/>
    <n v="0.5862246984398219"/>
    <s v=""/>
    <n v="-0.08878737101401968"/>
    <n v="0.2964542719386498"/>
    <n v="0.3279249827307866"/>
    <n v="0.02805978813063059"/>
    <s v=""/>
    <s v=""/>
    <s v=""/>
    <s v=""/>
    <n v="-0.1020854406045071"/>
    <n v="0.1786450101083996"/>
    <n v="0.1258863260228444"/>
    <s v=""/>
    <s v=""/>
    <s v=""/>
    <n v="0.514252272716001"/>
    <n v="0.6169215431569509"/>
    <n v="0.1026692704409499"/>
    <n v="0.06777827817594229"/>
    <n v="0.08507622181937158"/>
    <n v="0.7072059884004019"/>
    <n v="0.7329844567383996"/>
    <n v="0.02577846833799768"/>
    <n v="-0.02415679294159068"/>
    <n v="-0.01954755690861054"/>
    <m/>
    <n v="28516338"/>
    <s v=""/>
    <s v=""/>
    <s v=""/>
  </r>
  <r>
    <x v="2"/>
    <s v="36"/>
    <x v="2"/>
    <d v="2022-10-01T00:00:00"/>
    <d v="2022-10-07T00:00:00"/>
    <n v="202236"/>
    <n v="697457.4931978874"/>
    <n v="83187.68919790559"/>
    <n v="260992.2013843094"/>
    <n v="1041637.383780102"/>
    <m/>
    <m/>
    <m/>
    <n v="0"/>
    <n v="733153"/>
    <n v="119469"/>
    <n v="294948"/>
    <n v="1147570"/>
    <n v="32920551"/>
    <n v="34589365.67089379"/>
    <n v="0"/>
    <n v="-0.04824646646521358"/>
    <n v="0.01136996105604049"/>
    <s v=""/>
    <s v=""/>
    <n v="0.6073978416582246"/>
    <s v=""/>
    <n v="0.05117947279976365"/>
    <n v="0.4361379808949886"/>
    <n v="0.1301027327084419"/>
    <n v="0.1016981704664517"/>
    <s v=""/>
    <s v=""/>
    <s v=""/>
    <s v=""/>
    <n v="-0.09820565567169492"/>
    <n v="0.1874385954996536"/>
    <n v="0.1261254766649642"/>
    <s v=""/>
    <s v=""/>
    <s v=""/>
    <n v="0.5281566148700412"/>
    <n v="0.6188504209530746"/>
    <n v="0.09069380608303346"/>
    <n v="0.0684148206178059"/>
    <n v="0.08563798024573765"/>
    <n v="0.7140064022010176"/>
    <n v="0.7406403494255465"/>
    <n v="0.02663394722452883"/>
    <n v="-0.0227459390480873"/>
    <n v="-0.0149294064952965"/>
    <m/>
    <n v="29198398"/>
    <s v=""/>
    <s v=""/>
    <s v=""/>
  </r>
  <r>
    <x v="2"/>
    <s v="37"/>
    <x v="2"/>
    <d v="2022-10-08T00:00:00"/>
    <d v="2022-10-14T00:00:00"/>
    <n v="202237"/>
    <n v="692807.5375347415"/>
    <n v="83187.68919790559"/>
    <n v="260992.2013843094"/>
    <n v="1036987.428116956"/>
    <m/>
    <m/>
    <m/>
    <n v="0"/>
    <n v="713163"/>
    <n v="125470"/>
    <n v="297181"/>
    <n v="1135814"/>
    <n v="34056365"/>
    <n v="35626353.09901074"/>
    <n v="0"/>
    <n v="-0.04406816759064625"/>
    <n v="0.01936322528016565"/>
    <s v=""/>
    <s v=""/>
    <n v="0.6283540817930022"/>
    <s v=""/>
    <n v="0.02938112154161976"/>
    <n v="0.5082760587507573"/>
    <n v="0.1386585439095278"/>
    <n v="0.09530161041826757"/>
    <s v=""/>
    <s v=""/>
    <s v=""/>
    <s v=""/>
    <n v="-0.09507611977238095"/>
    <n v="0.1980336164061078"/>
    <n v="0.126798185118433"/>
    <s v=""/>
    <s v=""/>
    <s v=""/>
    <n v="0.5392801073879351"/>
    <n v="0.630001099367364"/>
    <n v="0.09072099197942896"/>
    <n v="0.06901769011406589"/>
    <n v="0.08610007222152782"/>
    <n v="0.7256166806569849"/>
    <n v="0.7385043187891769"/>
    <n v="0.01288763813219196"/>
    <n v="-0.02178286939456631"/>
    <n v="-0.01240058425643398"/>
    <m/>
    <n v="30307214"/>
    <s v=""/>
    <s v=""/>
    <s v=""/>
  </r>
  <r>
    <x v="2"/>
    <s v="38"/>
    <x v="2"/>
    <d v="2022-10-15T00:00:00"/>
    <d v="2022-10-21T00:00:00"/>
    <n v="202238"/>
    <n v="721443.2676133115"/>
    <n v="83187.68919790559"/>
    <n v="260992.2013843094"/>
    <n v="1065623.158195527"/>
    <m/>
    <m/>
    <m/>
    <n v="0"/>
    <n v="702825"/>
    <n v="121916"/>
    <n v="278673"/>
    <n v="1103414"/>
    <n v="35159779"/>
    <n v="36691976.25720627"/>
    <n v="0"/>
    <n v="-0.04175837372361069"/>
    <n v="0.02079843617304777"/>
    <s v=""/>
    <s v=""/>
    <n v="0.6487125284683166"/>
    <s v=""/>
    <n v="-0.02580697394946208"/>
    <n v="0.4655533910788023"/>
    <n v="0.06774454762215565"/>
    <n v="0.03546360785595781"/>
    <s v=""/>
    <s v=""/>
    <s v=""/>
    <s v=""/>
    <n v="-0.09335087782319262"/>
    <n v="0.2065855168414306"/>
    <n v="0.123789964922951"/>
    <s v=""/>
    <s v=""/>
    <s v=""/>
    <n v="0.5485298271527548"/>
    <n v="0.5125076210495664"/>
    <n v="-0.0360222061031884"/>
    <n v="0.06625348231887496"/>
    <n v="0.07592321569446814"/>
    <n v="0.7408504510519063"/>
    <n v="0.7443666862104813"/>
    <n v="0.003516235158575021"/>
    <n v="-0.02111710348527307"/>
    <n v="-0.01107418263851656"/>
    <m/>
    <n v="29781374"/>
    <s v=""/>
    <s v=""/>
    <s v=""/>
  </r>
  <r>
    <x v="2"/>
    <s v="39"/>
    <x v="2"/>
    <d v="2022-10-22T00:00:00"/>
    <d v="2022-10-28T00:00:00"/>
    <n v="202239"/>
    <n v="786092.6870163155"/>
    <n v="83187.68919790559"/>
    <n v="260992.2013843094"/>
    <n v="1130272.577598531"/>
    <m/>
    <m/>
    <m/>
    <n v="0"/>
    <n v="683080"/>
    <n v="119727"/>
    <n v="282082"/>
    <n v="1084889"/>
    <n v="36244668"/>
    <n v="37822248.8348048"/>
    <n v="0"/>
    <n v="-0.0417103922533838"/>
    <n v="0.01553334378285531"/>
    <s v=""/>
    <s v=""/>
    <n v="0.6687291811980584"/>
    <s v=""/>
    <n v="-0.1310439452214081"/>
    <n v="0.4392394013393792"/>
    <n v="0.08080624058431551"/>
    <n v="-0.04015277243561566"/>
    <s v=""/>
    <s v=""/>
    <s v=""/>
    <s v=""/>
    <n v="-0.09434677460578234"/>
    <n v="0.2137924599490095"/>
    <n v="0.1217064870439175"/>
    <s v=""/>
    <s v=""/>
    <s v=""/>
    <n v="0.5645154440700999"/>
    <n v="0.5227817502543591"/>
    <n v="-0.04173369381574077"/>
    <n v="0.06348458036670523"/>
    <n v="0.06687268419368297"/>
    <n v="0.7581965753803033"/>
    <n v="0.7573868310854681"/>
    <n v="-0.0008097442948351574"/>
    <n v="-0.02059640196756962"/>
    <n v="-0.01028461045823337"/>
    <m/>
    <n v="29885774"/>
    <s v=""/>
    <s v=""/>
    <s v=""/>
  </r>
  <r>
    <x v="2"/>
    <s v="40"/>
    <x v="3"/>
    <d v="2022-10-29T00:00:00"/>
    <d v="2022-11-04T00:00:00"/>
    <n v="202240"/>
    <n v="848459.0466921368"/>
    <n v="117668.3677630548"/>
    <n v="265943.8686524709"/>
    <n v="1232071.283107663"/>
    <m/>
    <m/>
    <m/>
    <n v="0"/>
    <n v="719355"/>
    <n v="128495"/>
    <n v="259807"/>
    <n v="1107657"/>
    <n v="37352325"/>
    <n v="39054320.11791246"/>
    <n v="0"/>
    <n v="-0.04358020092972581"/>
    <n v="-0.1009797767494844"/>
    <s v=""/>
    <s v=""/>
    <n v="0.6891659129859808"/>
    <s v=""/>
    <n v="-0.1521629679069026"/>
    <n v="0.09200970866483371"/>
    <n v="-0.02307580424232447"/>
    <n v="-0.1009797767494844"/>
    <s v=""/>
    <s v=""/>
    <s v=""/>
    <s v=""/>
    <n v="-0.09594982740182911"/>
    <n v="0.2086803178208514"/>
    <n v="0.11489212133258"/>
    <s v=""/>
    <s v=""/>
    <s v=""/>
    <n v="0.5919650734413845"/>
    <n v="0.5573147874124494"/>
    <n v="-0.03465028602893505"/>
    <n v="0.06103120870681433"/>
    <n v="-0.03465028602893505"/>
    <n v="0.7759847305566772"/>
    <n v="0.7788056331272492"/>
    <n v="0.002820902570571993"/>
    <n v="-0.02001096935411606"/>
    <n v="0.002820902570571993"/>
    <m/>
    <n v="31358928"/>
    <s v=""/>
    <s v=""/>
    <s v=""/>
  </r>
  <r>
    <x v="2"/>
    <s v="41"/>
    <x v="3"/>
    <d v="2022-11-05T00:00:00"/>
    <d v="2022-11-11T00:00:00"/>
    <n v="202241"/>
    <n v="918232.4460673782"/>
    <n v="143598.8086818683"/>
    <n v="269691.941430453"/>
    <n v="1331523.196179699"/>
    <m/>
    <m/>
    <m/>
    <n v="0"/>
    <n v="855103"/>
    <n v="159065"/>
    <n v="281815"/>
    <n v="1295983"/>
    <n v="38648308"/>
    <n v="40385843.31409216"/>
    <n v="0"/>
    <n v="-0.04302337580470594"/>
    <n v="-0.06239461060620888"/>
    <s v=""/>
    <s v=""/>
    <n v="0.7130773377074489"/>
    <s v=""/>
    <n v="-0.06875105136803872"/>
    <n v="0.107704175682932"/>
    <n v="0.04495150468807485"/>
    <n v="-0.02669138343340061"/>
    <s v=""/>
    <s v=""/>
    <s v=""/>
    <s v=""/>
    <n v="-0.09515745500213513"/>
    <n v="0.2037595818946989"/>
    <n v="0.1117059566843499"/>
    <s v=""/>
    <s v=""/>
    <s v=""/>
    <n v="0.6230339243107329"/>
    <n v="0.5920002909046628"/>
    <n v="-0.03103363340607013"/>
    <n v="0.05878572475284161"/>
    <n v="-0.03284195971750259"/>
    <n v="0.7910204099808347"/>
    <n v="0.8065934834350016"/>
    <n v="0.01557307345416692"/>
    <n v="-0.01914306587098713"/>
    <n v="0.009196988012369456"/>
    <m/>
    <n v="33728216"/>
    <s v=""/>
    <s v=""/>
    <s v=""/>
  </r>
  <r>
    <x v="2"/>
    <s v="42"/>
    <x v="3"/>
    <d v="2022-11-12T00:00:00"/>
    <d v="2022-11-18T00:00:00"/>
    <n v="202242"/>
    <n v="983640.4495442524"/>
    <n v="143598.8086818683"/>
    <n v="269691.941430453"/>
    <n v="1396931.199656574"/>
    <m/>
    <m/>
    <m/>
    <n v="0"/>
    <n v="883636"/>
    <n v="171740"/>
    <n v="279747"/>
    <n v="1335123"/>
    <n v="39983431"/>
    <n v="41782774.51374874"/>
    <n v="0"/>
    <n v="-0.04306424201572967"/>
    <n v="-0.05599324355424151"/>
    <s v=""/>
    <s v=""/>
    <n v="0.737710911688281"/>
    <s v=""/>
    <n v="-0.1016676872027652"/>
    <n v="0.1959709246646764"/>
    <n v="0.03728349655616237"/>
    <n v="-0.04424570062703781"/>
    <s v=""/>
    <s v=""/>
    <s v=""/>
    <s v=""/>
    <n v="-0.09535447667213026"/>
    <n v="0.2033976644694744"/>
    <n v="0.1084633387637619"/>
    <s v=""/>
    <s v=""/>
    <s v=""/>
    <n v="0.6438695655908806"/>
    <n v="0.6040236491625294"/>
    <n v="-0.03984591642835122"/>
    <n v="0.05643735234376557"/>
    <n v="-0.0351766119544521"/>
    <n v="0.7989081399024111"/>
    <n v="0.805825406641415"/>
    <n v="0.006917266739003947"/>
    <n v="-0.01852258176122545"/>
    <n v="0.008437080921247619"/>
    <m/>
    <n v="34939643"/>
    <s v=""/>
    <s v=""/>
    <s v=""/>
  </r>
  <r>
    <x v="2"/>
    <s v="43"/>
    <x v="3"/>
    <d v="2022-11-19T00:00:00"/>
    <d v="2022-11-25T00:00:00"/>
    <n v="202243"/>
    <n v="1111761.903094734"/>
    <n v="143598.8086818683"/>
    <n v="269691.941430453"/>
    <n v="1525052.653207055"/>
    <m/>
    <m/>
    <m/>
    <n v="0"/>
    <n v="1176076"/>
    <n v="263118"/>
    <n v="335018"/>
    <n v="1774212"/>
    <n v="41757643"/>
    <n v="43307827.16695579"/>
    <n v="0"/>
    <n v="-0.03579454958522121"/>
    <n v="0.004994308018251736"/>
    <s v=""/>
    <s v=""/>
    <n v="0.7704458601235037"/>
    <s v=""/>
    <n v="0.05784880443037244"/>
    <n v="0.8323132511699098"/>
    <n v="0.2422247332384346"/>
    <n v="0.1633775373387822"/>
    <s v=""/>
    <s v=""/>
    <s v=""/>
    <s v=""/>
    <n v="-0.09028743765243419"/>
    <n v="0.2313239788031056"/>
    <n v="0.1140480507823864"/>
    <s v=""/>
    <s v=""/>
    <s v=""/>
    <n v="0.6488423681013054"/>
    <n v="0.6223598279368097"/>
    <n v="-0.02648254016449569"/>
    <n v="0.05450898275055016"/>
    <n v="-0.033003094006963"/>
    <n v="0.7938865871090368"/>
    <n v="0.804484845937345"/>
    <n v="0.01059825882830823"/>
    <n v="-0.01784535291030609"/>
    <n v="0.008977375398012799"/>
    <m/>
    <n v="39411535"/>
    <s v=""/>
    <s v=""/>
    <s v=""/>
  </r>
  <r>
    <x v="2"/>
    <s v="44"/>
    <x v="3"/>
    <d v="2022-11-26T00:00:00"/>
    <d v="2022-12-02T00:00:00"/>
    <n v="202244"/>
    <n v="1003259.985821852"/>
    <n v="146082.1834806905"/>
    <n v="267211.148752092"/>
    <n v="1416553.318054634"/>
    <m/>
    <m/>
    <m/>
    <n v="0"/>
    <n v="919299"/>
    <n v="267820"/>
    <n v="320272"/>
    <n v="1507391"/>
    <n v="43265034"/>
    <n v="44724380.48501042"/>
    <n v="0"/>
    <n v="-0.03262977528552979"/>
    <n v="0.01713012092298372"/>
    <s v=""/>
    <s v=""/>
    <n v="0.7982578502671387"/>
    <s v=""/>
    <n v="-0.08368816359507525"/>
    <n v="0.8333515670335057"/>
    <n v="0.1985727447964225"/>
    <n v="0.06412584742670591"/>
    <s v=""/>
    <s v=""/>
    <s v=""/>
    <s v=""/>
    <n v="-0.09009618313041801"/>
    <n v="0.2573433248095629"/>
    <n v="0.1174057075112473"/>
    <s v=""/>
    <s v=""/>
    <s v=""/>
    <n v="0.628324531450641"/>
    <n v="0.5835030479856869"/>
    <n v="-0.04482148346495418"/>
    <n v="0.05225147215474324"/>
    <n v="-0.03536677189856119"/>
    <n v="0.7786130796689386"/>
    <n v="0.7755961502887283"/>
    <n v="-0.003016929380210254"/>
    <n v="-0.01750834328462214"/>
    <n v="0.006578514442368122"/>
    <m/>
    <n v="38632190"/>
    <s v=""/>
    <s v=""/>
    <s v=""/>
  </r>
  <r>
    <x v="2"/>
    <s v="45"/>
    <x v="3"/>
    <d v="2022-12-03T00:00:00"/>
    <d v="2022-12-09T00:00:00"/>
    <n v="202245"/>
    <n v="941198.3065020505"/>
    <n v="152262.1970158267"/>
    <n v="260992.2013843094"/>
    <n v="1354452.704902187"/>
    <m/>
    <m/>
    <m/>
    <n v="0"/>
    <n v="873099"/>
    <n v="199986"/>
    <n v="325784"/>
    <n v="1398869"/>
    <n v="44663903"/>
    <n v="46078833.18991261"/>
    <n v="0"/>
    <n v="-0.03070672783924489"/>
    <n v="0.01969950743512561"/>
    <s v=""/>
    <s v=""/>
    <n v="0.8240675644290493"/>
    <s v=""/>
    <n v="-0.07235383450182842"/>
    <n v="0.3134317244825562"/>
    <n v="0.2482518568448913"/>
    <n v="0.03279279884565689"/>
    <s v=""/>
    <s v=""/>
    <s v=""/>
    <s v=""/>
    <n v="-0.0896265656993227"/>
    <n v="0.25976107632106"/>
    <n v="0.1222928485836745"/>
    <s v=""/>
    <s v=""/>
    <s v=""/>
    <n v="0.6122272238313179"/>
    <n v="0.5838771131989812"/>
    <n v="-0.02835011063233672"/>
    <n v="0.0504603258705858"/>
    <n v="-0.03419732835419043"/>
    <n v="0.7549486715087441"/>
    <n v="0.7726782266441977"/>
    <n v="0.0177295551354536"/>
    <n v="-0.01672527887528708"/>
    <n v="0.008437021224549146"/>
    <m/>
    <n v="37468944"/>
    <s v=""/>
    <s v=""/>
    <s v=""/>
  </r>
  <r>
    <x v="2"/>
    <s v="46"/>
    <x v="3"/>
    <d v="2022-12-10T00:00:00"/>
    <d v="2022-12-16T00:00:00"/>
    <n v="202246"/>
    <n v="881242.0587961866"/>
    <n v="152262.1970158267"/>
    <n v="260992.2013843094"/>
    <n v="1294496.457196323"/>
    <m/>
    <m/>
    <m/>
    <n v="0"/>
    <n v="886666"/>
    <n v="214084"/>
    <n v="305133"/>
    <n v="1405883"/>
    <n v="46069786"/>
    <n v="47373329.64710893"/>
    <n v="0"/>
    <n v="-0.02751640336069316"/>
    <n v="0.02869174631449445"/>
    <s v=""/>
    <s v=""/>
    <n v="0.8500066898046844"/>
    <s v=""/>
    <n v="0.006154882361405711"/>
    <n v="0.406022008061182"/>
    <n v="0.1691268872463112"/>
    <n v="0.08604623225074182"/>
    <s v=""/>
    <s v=""/>
    <s v=""/>
    <s v=""/>
    <n v="-0.08731025492431954"/>
    <n v="0.2658052713608698"/>
    <n v="0.123979130211793"/>
    <s v=""/>
    <s v=""/>
    <s v=""/>
    <n v="0.5873668207549502"/>
    <n v="0.5785589897289606"/>
    <n v="-0.008807831025989588"/>
    <n v="0.04917188767718206"/>
    <n v="-0.03057025730730467"/>
    <n v="0.7274979821427776"/>
    <n v="0.7533406025960462"/>
    <n v="0.02584262045326857"/>
    <n v="-0.01579988975944902"/>
    <n v="0.01092353540008062"/>
    <m/>
    <n v="37477724"/>
    <s v=""/>
    <s v=""/>
    <s v=""/>
  </r>
  <r>
    <x v="2"/>
    <s v="47"/>
    <x v="3"/>
    <d v="2022-12-17T00:00:00"/>
    <d v="2022-12-23T00:00:00"/>
    <n v="202247"/>
    <n v="832846.4687139465"/>
    <n v="152262.1970158267"/>
    <n v="260992.2013843094"/>
    <n v="1246100.867114083"/>
    <m/>
    <m/>
    <m/>
    <n v="0"/>
    <n v="1064684"/>
    <n v="289507"/>
    <n v="291985"/>
    <n v="1646176"/>
    <n v="47715962"/>
    <n v="48619430.51422302"/>
    <n v="0"/>
    <n v="-0.01858245776775846"/>
    <n v="0.06243409998988803"/>
    <s v=""/>
    <s v=""/>
    <n v="0.8803793208517641"/>
    <s v=""/>
    <n v="0.2783676703871354"/>
    <n v="0.9013714873029683"/>
    <n v="0.1187499030672334"/>
    <n v="0.321061595769911"/>
    <s v=""/>
    <s v=""/>
    <s v=""/>
    <s v=""/>
    <n v="-0.07913935775415937"/>
    <n v="0.2910275751078635"/>
    <n v="0.1237973929600542"/>
    <s v=""/>
    <s v=""/>
    <s v=""/>
    <n v="0.5606643757894618"/>
    <n v="0.5427008874302164"/>
    <n v="-0.01796348835924544"/>
    <n v="0.04774347542108781"/>
    <n v="-0.02899441118879731"/>
    <n v="0.7029282397364149"/>
    <n v="0.7279036405571548"/>
    <n v="0.0249754008207399"/>
    <n v="-0.01493233038540243"/>
    <n v="0.01268001857766299"/>
    <m/>
    <n v="39040868"/>
    <s v=""/>
    <s v=""/>
    <s v=""/>
  </r>
  <r>
    <x v="2"/>
    <s v="48"/>
    <x v="3"/>
    <d v="2022-12-24T00:00:00"/>
    <d v="2022-12-30T00:00:00"/>
    <n v="202248"/>
    <n v="808119.4089103024"/>
    <n v="152262.1970158267"/>
    <n v="260992.2013843094"/>
    <n v="1221373.807310438"/>
    <m/>
    <m/>
    <m/>
    <n v="0"/>
    <n v="892320"/>
    <n v="150959"/>
    <n v="213886"/>
    <n v="1257165"/>
    <n v="48973127"/>
    <n v="49840804.32153346"/>
    <n v="0"/>
    <n v="-0.01740897510272688"/>
    <n v="0.05906729091156171"/>
    <s v=""/>
    <s v=""/>
    <n v="0.9035745373476319"/>
    <s v=""/>
    <n v="0.1041932543152708"/>
    <n v="-0.008558900642233969"/>
    <n v="-0.1804889231726345"/>
    <n v="0.0293040447366204"/>
    <s v=""/>
    <s v=""/>
    <s v=""/>
    <s v=""/>
    <n v="-0.0752488529999662"/>
    <n v="0.2795923566306788"/>
    <n v="0.1135773739790542"/>
    <s v=""/>
    <s v=""/>
    <s v=""/>
    <n v="0.5379781606438"/>
    <n v="0.5341504612600233"/>
    <n v="-0.003827699383776695"/>
    <n v="0.04666907594598646"/>
    <n v="-0.02619810987712845"/>
    <n v="0.6848577142185118"/>
    <n v="0.7071718015534534"/>
    <n v="0.02231408733494156"/>
    <n v="-0.01415636334956194"/>
    <n v="0.01375047066180501"/>
    <m/>
    <n v="34439400"/>
    <s v=""/>
    <s v=""/>
    <s v=""/>
  </r>
  <r>
    <x v="2"/>
    <s v="49"/>
    <x v="3"/>
    <d v="2022-12-31T00:00:00"/>
    <d v="2023-01-06T00:00:00"/>
    <n v="202249"/>
    <n v="841613.232598874"/>
    <n v="106322.6512376695"/>
    <n v="152970.968221572"/>
    <n v="1100906.852058115"/>
    <m/>
    <m/>
    <m/>
    <n v="0"/>
    <n v="765482"/>
    <n v="134733"/>
    <n v="185915"/>
    <n v="1086130"/>
    <n v="50059257"/>
    <n v="50941711.17359157"/>
    <n v="0"/>
    <n v="-0.01732282157904896"/>
    <n v="0.05298438634624048"/>
    <s v=""/>
    <s v=""/>
    <n v="0.9236140870429044"/>
    <s v=""/>
    <n v="-0.09045869248488791"/>
    <n v="0.2672088066993656"/>
    <n v="0.2153613339931926"/>
    <n v="-0.01342243626741946"/>
    <s v=""/>
    <s v=""/>
    <s v=""/>
    <s v=""/>
    <n v="-0.0755777305641927"/>
    <n v="0.2792708594337261"/>
    <n v="0.1155423795301647"/>
    <s v=""/>
    <s v=""/>
    <s v=""/>
    <n v="0.5281377338301363"/>
    <n v="0.527570066145017"/>
    <n v="-0.0005676676851192886"/>
    <n v="0.04570506076984149"/>
    <n v="-0.02363506565792739"/>
    <n v="0.6749876522891171"/>
    <n v="0.7213783644723364"/>
    <n v="0.04639071218321933"/>
    <n v="-0.01292070874685214"/>
    <n v="0.01701449481394657"/>
    <m/>
    <n v="32586405"/>
    <s v=""/>
    <s v=""/>
    <s v=""/>
  </r>
  <r>
    <x v="2"/>
    <s v="50"/>
    <x v="3"/>
    <d v="2023-01-07T00:00:00"/>
    <d v="2023-01-13T00:00:00"/>
    <n v="202250"/>
    <n v="855926.0074168764"/>
    <n v="98581.94136846189"/>
    <n v="134845.9707152265"/>
    <n v="1089353.919500565"/>
    <m/>
    <m/>
    <m/>
    <n v="0"/>
    <n v="651255"/>
    <n v="123397"/>
    <n v="221652"/>
    <n v="996304"/>
    <n v="51055561"/>
    <n v="52031065.09309214"/>
    <n v="0"/>
    <n v="-0.01874849364215014"/>
    <n v="0.04237346241714546"/>
    <s v=""/>
    <s v=""/>
    <n v="0.941996309723061"/>
    <s v=""/>
    <n v="-0.2391223138955187"/>
    <n v="0.2517201252792216"/>
    <n v="0.6437421068227112"/>
    <n v="-0.08541752853216444"/>
    <s v=""/>
    <s v=""/>
    <s v=""/>
    <s v=""/>
    <n v="-0.07909675780670022"/>
    <n v="0.2786232599618785"/>
    <n v="0.1243809666705664"/>
    <s v=""/>
    <s v=""/>
    <s v=""/>
    <n v="0.5330989438704554"/>
    <n v="0.5262956993232868"/>
    <n v="-0.00680324454716863"/>
    <n v="0.04465489466350125"/>
    <n v="-0.02210490010240396"/>
    <n v="0.6734058610542041"/>
    <n v="0.7199333237504439"/>
    <n v="0.04652746269623986"/>
    <n v="-0.01173174531799037"/>
    <n v="0.01969749189415515"/>
    <m/>
    <n v="31101308"/>
    <s v=""/>
    <s v=""/>
    <s v=""/>
  </r>
  <r>
    <x v="2"/>
    <s v="51"/>
    <x v="3"/>
    <d v="2023-01-14T00:00:00"/>
    <d v="2023-01-20T00:00:00"/>
    <n v="202251"/>
    <n v="858381.2120255644"/>
    <n v="98581.94136846189"/>
    <n v="134845.9707152265"/>
    <n v="1091809.124109253"/>
    <m/>
    <m/>
    <m/>
    <n v="0"/>
    <n v="626257"/>
    <n v="114198"/>
    <n v="222209"/>
    <n v="962664"/>
    <n v="52018225"/>
    <n v="53122874.21720139"/>
    <n v="0"/>
    <n v="-0.02079422910524109"/>
    <n v="0.03090929983473223"/>
    <s v=""/>
    <s v=""/>
    <n v="0.9597578604286392"/>
    <s v=""/>
    <n v="-0.2704208908275257"/>
    <n v="0.1584068888760388"/>
    <n v="0.6478727456326485"/>
    <n v="-0.1182854413445347"/>
    <s v=""/>
    <s v=""/>
    <s v=""/>
    <s v=""/>
    <n v="-0.08313812452426339"/>
    <n v="0.2758623855267366"/>
    <n v="0.1329966046637809"/>
    <s v=""/>
    <s v=""/>
    <s v=""/>
    <n v="0.5428275458436411"/>
    <n v="0.5181321495243389"/>
    <n v="-0.02469539631930218"/>
    <n v="0.04329508503638746"/>
    <n v="-0.02232077478714545"/>
    <n v="0.6787129081374469"/>
    <n v="0.632998140169436"/>
    <n v="-0.04571476796801088"/>
    <n v="-0.01239807909544177"/>
    <n v="0.01424647023897452"/>
    <m/>
    <n v="31322146"/>
    <s v=""/>
    <s v=""/>
    <s v=""/>
  </r>
  <r>
    <x v="2"/>
    <s v="52"/>
    <x v="3"/>
    <d v="2023-01-21T00:00:00"/>
    <d v="2023-01-27T00:00:00"/>
    <n v="202252"/>
    <n v="843019.5379196543"/>
    <n v="98581.94136846189"/>
    <n v="134845.9707152265"/>
    <n v="1076447.450003343"/>
    <m/>
    <m/>
    <m/>
    <n v="0"/>
    <n v="600619"/>
    <n v="110372"/>
    <n v="220421"/>
    <n v="931412"/>
    <n v="52949637"/>
    <n v="54199321.66720473"/>
    <n v="0"/>
    <n v="-0.02305720124834876"/>
    <n v="0.02002165899582309"/>
    <s v=""/>
    <s v=""/>
    <n v="0.9769427987516512"/>
    <s v=""/>
    <n v="-0.2875384579079077"/>
    <n v="0.1195965353073272"/>
    <n v="0.6346131725766915"/>
    <n v="-0.1347352813208785"/>
    <s v=""/>
    <s v=""/>
    <s v=""/>
    <s v=""/>
    <n v="-0.08729225593543177"/>
    <n v="0.272354172368044"/>
    <n v="0.141118548885617"/>
    <s v=""/>
    <s v=""/>
    <s v=""/>
    <n v="0.5440857338208627"/>
    <n v="0.523928423184004"/>
    <n v="-0.02015731063685866"/>
    <n v="0.04207484665805583"/>
    <n v="-0.0221543544678926"/>
    <n v="0.6875756845886567"/>
    <n v="0.7227892490439918"/>
    <n v="0.03521356445533508"/>
    <n v="-0.01148247056561913"/>
    <n v="0.01585932364023301"/>
    <m/>
    <n v="30737292"/>
    <s v=""/>
    <s v=""/>
    <s v=""/>
  </r>
  <r>
    <x v="3"/>
    <s v="01"/>
    <x v="0"/>
    <d v="2023-01-28T00:00:00"/>
    <d v="2023-02-03T00:00:00"/>
    <n v="202301"/>
    <n v="707890.20088"/>
    <n v="133339.2451686134"/>
    <n v="138423.3995288417"/>
    <n v="979652.8455774551"/>
    <n v="655606"/>
    <n v="132261.7010577981"/>
    <n v="141539.7141596919"/>
    <n v="929407.4152174898"/>
    <n v="650867"/>
    <n v="115527"/>
    <n v="177771"/>
    <n v="944165"/>
    <n v="944165"/>
    <n v="979652.8455774551"/>
    <n v="929407.4152174898"/>
    <n v="-0.03622491961071872"/>
    <n v="-0.03622491961071872"/>
    <n v="0.01587848831511285"/>
    <n v="0.01587848831511285"/>
    <n v="0.01879716570234159"/>
    <n v="0.01700928773675423"/>
    <n v="-0.08055373673644972"/>
    <n v="-0.1335859157301289"/>
    <n v="0.2842554120552421"/>
    <n v="-0.03622491961071872"/>
    <n v="-0.007228426829528733"/>
    <n v="-0.1265271875679644"/>
    <n v="0.25597964539783"/>
    <n v="0.01587848831511285"/>
    <n v="-0.08055373673644972"/>
    <n v="-0.1335859157301289"/>
    <n v="0.2842554120552421"/>
    <n v="-0.007228426829528733"/>
    <n v="-0.1265271875679644"/>
    <n v="0.25597964539783"/>
    <n v="0.5330137745859923"/>
    <n v="0.5182159134025722"/>
    <n v="-0.01479786118342008"/>
    <n v="-0.01479786118342008"/>
    <n v="-0.01479786118342008"/>
    <n v="0.6842583341336221"/>
    <n v="0.7213856913869833"/>
    <n v="0.03712735725336114"/>
    <n v="0.03712735725336114"/>
    <n v="0.03712735725336114"/>
    <n v="28871626.42"/>
    <n v="31008980"/>
    <n v="0.07402955236769793"/>
    <n v="0.07402955236769793"/>
    <n v="0.07402955236769793"/>
  </r>
  <r>
    <x v="3"/>
    <s v="02"/>
    <x v="0"/>
    <d v="2023-02-04T00:00:00"/>
    <d v="2023-02-10T00:00:00"/>
    <n v="202302"/>
    <n v="689291.73879"/>
    <n v="107244.0192979167"/>
    <n v="128569.7142857143"/>
    <n v="925105.472373631"/>
    <n v="723311"/>
    <n v="117253.75"/>
    <n v="148897.75"/>
    <n v="989462.5"/>
    <n v="724470"/>
    <n v="120774"/>
    <n v="94501"/>
    <n v="939745"/>
    <n v="1883910"/>
    <n v="1904758.317951086"/>
    <n v="1918869.91521749"/>
    <n v="-0.01094538753531327"/>
    <n v="-0.01094538753531327"/>
    <n v="-0.01821901262834036"/>
    <n v="-0.01821901262834036"/>
    <n v="0.03750633463250422"/>
    <n v="0.0339389484466684"/>
    <n v="0.05103537331196351"/>
    <n v="0.1261607014606374"/>
    <n v="-0.2649824219878488"/>
    <n v="0.01582471195290513"/>
    <n v="0.00160235362105654"/>
    <n v="0.03002249395008683"/>
    <n v="-0.3653295634084464"/>
    <n v="-0.05024697752567686"/>
    <n v="-0.01563500003096197"/>
    <n v="-0.01779951101763289"/>
    <n v="0.01977161923775506"/>
    <n v="-0.002596240382851223"/>
    <n v="-0.0529604519550857"/>
    <n v="-0.06254518235878781"/>
    <n v="0.5320816250713708"/>
    <n v="0.5145928875002099"/>
    <n v="-0.01748873757116087"/>
    <n v="-0.01614329937729053"/>
    <n v="-0.01614329937729053"/>
    <n v="0.6877022183388273"/>
    <n v="0.7077494385013485"/>
    <n v="0.02004722016252125"/>
    <n v="0.02858728870794114"/>
    <n v="0.02858728870794114"/>
    <n v="28914303.39"/>
    <n v="31469112"/>
    <n v="0.08835795127208845"/>
    <n v="0.08119904283668733"/>
    <n v="0.08119904283668733"/>
  </r>
  <r>
    <x v="3"/>
    <s v="03"/>
    <x v="0"/>
    <d v="2023-02-11T00:00:00"/>
    <d v="2023-02-17T00:00:00"/>
    <n v="202303"/>
    <n v="675918.86119"/>
    <n v="107244.0192979167"/>
    <n v="128569.7142857143"/>
    <n v="911732.594773631"/>
    <n v="694727"/>
    <n v="117253.75"/>
    <n v="148897.75"/>
    <n v="960878.5"/>
    <n v="698694"/>
    <n v="111617"/>
    <n v="137724"/>
    <n v="948035"/>
    <n v="2831945"/>
    <n v="2816490.912724717"/>
    <n v="2879748.41521749"/>
    <n v="0.005487000581277268"/>
    <n v="0.005487000581277268"/>
    <n v="-0.01659985815597009"/>
    <n v="-0.01659985815597009"/>
    <n v="0.05638054728243237"/>
    <n v="0.0510179548698188"/>
    <n v="0.03369507808955485"/>
    <n v="0.04077598667703275"/>
    <n v="0.07120094934599108"/>
    <n v="0.03981694351443288"/>
    <n v="0.005710156651461684"/>
    <n v="-0.04807308934682264"/>
    <n v="-0.07504310844186701"/>
    <n v="-0.0133664141720311"/>
    <n v="0.0004486994262962174"/>
    <n v="0.0002608082798203348"/>
    <n v="0.03648768507659428"/>
    <n v="0.0001866279843598662"/>
    <n v="-0.05139799362495368"/>
    <n v="-0.06678092994618789"/>
    <n v="0.534145932719421"/>
    <n v="0.5699056001275524"/>
    <n v="0.03575966740813141"/>
    <n v="0.001157689551183561"/>
    <n v="0.001157689551183561"/>
    <n v="0.6923181732074548"/>
    <n v="0.751379537345255"/>
    <n v="0.05906136413780017"/>
    <n v="0.03874531385122737"/>
    <n v="0.03874531385122737"/>
    <n v="29283435.72"/>
    <n v="30327203"/>
    <n v="0.03564360719077531"/>
    <n v="0.06587769917794639"/>
    <n v="0.06587769917794639"/>
  </r>
  <r>
    <x v="3"/>
    <s v="04"/>
    <x v="0"/>
    <d v="2023-02-18T00:00:00"/>
    <d v="2023-02-24T00:00:00"/>
    <n v="202304"/>
    <n v="667450.23736"/>
    <n v="107244.0192979167"/>
    <n v="128569.7142857143"/>
    <n v="903263.970943631"/>
    <n v="714805"/>
    <n v="117253.75"/>
    <n v="148897.75"/>
    <n v="980956.5"/>
    <n v="714316"/>
    <n v="117781"/>
    <n v="193827"/>
    <n v="1025924"/>
    <n v="3857869"/>
    <n v="3719754.883668348"/>
    <n v="3860704.91521749"/>
    <n v="0.03712989717092507"/>
    <n v="0.03712989717092507"/>
    <n v="-0.0007345589159927224"/>
    <n v="-0.0007345589159927224"/>
    <n v="0.0768054342735929"/>
    <n v="0.06950014443630544"/>
    <n v="0.07021611502509995"/>
    <n v="0.09825238527112901"/>
    <n v="0.5075634341791222"/>
    <n v="0.1357964371458624"/>
    <n v="-0.0006841026573680686"/>
    <n v="0.004496657889406563"/>
    <n v="0.3017456610324871"/>
    <n v="0.04584046285436716"/>
    <n v="0.0174402742782136"/>
    <n v="0.02335391589431879"/>
    <n v="0.1520425678040218"/>
    <n v="-3.657947482638146e-05"/>
    <n v="-0.03785760782159675"/>
    <n v="0.02650316590566981"/>
    <n v="0.5387921854567238"/>
    <n v="0.5769123669541358"/>
    <n v="0.03812018149741203"/>
    <n v="0.01039831253774071"/>
    <n v="0.01039831253774071"/>
    <n v="0.6972693836180359"/>
    <n v="0.7599822661197126"/>
    <n v="0.06271288250167673"/>
    <n v="0.04473720601383968"/>
    <n v="0.04473720601383968"/>
    <n v="29831986.78"/>
    <n v="31066342"/>
    <n v="0.04137690288960361"/>
    <n v="0.05962535550073134"/>
    <n v="0.05962535550073134"/>
  </r>
  <r>
    <x v="3"/>
    <s v="05"/>
    <x v="0"/>
    <d v="2023-02-25T00:00:00"/>
    <d v="2023-03-03T00:00:00"/>
    <n v="202305"/>
    <n v="662997.2735300001"/>
    <n v="102789.5366899245"/>
    <n v="138629.3218516687"/>
    <n v="904416.1320715933"/>
    <n v="743892"/>
    <n v="114832.2142898931"/>
    <n v="156231.7457392163"/>
    <n v="1014955.960029109"/>
    <n v="742260"/>
    <n v="116699"/>
    <n v="193534"/>
    <n v="1052493"/>
    <n v="4910362"/>
    <n v="4624171.015739942"/>
    <n v="4875660.875246599"/>
    <n v="0.06189022492591856"/>
    <n v="0.06189022492591856"/>
    <n v="0.007117214597425425"/>
    <n v="0.007117214597425425"/>
    <n v="0.09775927742765454"/>
    <n v="0.08846097890689021"/>
    <n v="0.1195521152718788"/>
    <n v="0.1353198366097794"/>
    <n v="0.3960538608641431"/>
    <n v="0.1637264779756107"/>
    <n v="-0.002193866851639803"/>
    <n v="0.01625663775318453"/>
    <n v="0.2387623212189476"/>
    <n v="0.03698391008986635"/>
    <n v="0.03733124275373356"/>
    <n v="0.04398437477455386"/>
    <n v="0.2030821974302426"/>
    <n v="-0.0004908925837001643"/>
    <n v="-0.02748104433254117"/>
    <n v="0.07104741084137367"/>
    <n v="0.5453115705781311"/>
    <n v="0.5555405913541154"/>
    <n v="0.01022902077598431"/>
    <n v="0.01036445418538945"/>
    <n v="0.01036445418538945"/>
    <n v="0.7017549121893064"/>
    <n v="0.7540459800827676"/>
    <n v="0.05229106789346116"/>
    <n v="0.04624797838976391"/>
    <n v="0.04624797838976391"/>
    <n v="30397269.02"/>
    <n v="31135929"/>
    <n v="0.02430020866394278"/>
    <n v="0.05233548420476564"/>
    <n v="0.05233548420476564"/>
  </r>
  <r>
    <x v="3"/>
    <s v="06"/>
    <x v="0"/>
    <d v="2023-03-04T00:00:00"/>
    <d v="2023-03-10T00:00:00"/>
    <n v="202306"/>
    <n v="661270.49657"/>
    <n v="96865.56581747311"/>
    <n v="152119.8903225807"/>
    <n v="910255.9527100538"/>
    <n v="736491"/>
    <n v="111611.8387096774"/>
    <n v="166067.0967741935"/>
    <n v="1014169.935483871"/>
    <n v="736865"/>
    <n v="113408"/>
    <n v="157318"/>
    <n v="1007591"/>
    <n v="5917953"/>
    <n v="5534426.968449996"/>
    <n v="5889830.81073047"/>
    <n v="0.06929823696949367"/>
    <n v="0.06929823696949367"/>
    <n v="0.004774702393538277"/>
    <n v="0.004774702393538277"/>
    <n v="0.1178191769019923"/>
    <n v="0.106612896463635"/>
    <n v="0.1143170666498923"/>
    <n v="0.170777242076904"/>
    <n v="0.03417113742585776"/>
    <n v="0.1069315141528666"/>
    <n v="0.0005078134016573976"/>
    <n v="0.01609292805393814"/>
    <n v="-0.05268410747307728"/>
    <n v="-0.006487014901237598"/>
    <n v="0.04985540591998894"/>
    <n v="0.06274314596261044"/>
    <n v="0.1715503441541748"/>
    <n v="-0.0003185883164293912"/>
    <n v="-0.02063572829370242"/>
    <n v="0.04848067140914991"/>
    <n v="0.5528009513392101"/>
    <n v="0.5578618954152812"/>
    <n v="0.00506094407607105"/>
    <n v="0.009480535833836456"/>
    <n v="0.009480535833836456"/>
    <n v="0.705111757410957"/>
    <n v="0.7612832982858109"/>
    <n v="0.05617154087485388"/>
    <n v="0.04790190547061224"/>
    <n v="0.04790190547061224"/>
    <n v="30834646.56"/>
    <n v="30178740"/>
    <n v="-0.02127173920167025"/>
    <n v="0.03959416561287887"/>
    <n v="0.03959416561287887"/>
  </r>
  <r>
    <x v="3"/>
    <s v="07"/>
    <x v="0"/>
    <d v="2023-03-11T00:00:00"/>
    <d v="2023-03-17T00:00:00"/>
    <n v="202307"/>
    <n v="660788.8099699999"/>
    <n v="96865.56581747311"/>
    <n v="152119.8903225807"/>
    <n v="909774.2661100538"/>
    <n v="711015"/>
    <n v="111611.8387096774"/>
    <n v="166067.0967741935"/>
    <n v="988693.935483871"/>
    <n v="714673"/>
    <n v="112943"/>
    <n v="163584"/>
    <n v="991200"/>
    <n v="6909153"/>
    <n v="6444201.23456005"/>
    <n v="6878524.746214341"/>
    <n v="0.07215041065856664"/>
    <n v="0.07215041065856664"/>
    <n v="0.004452735857716439"/>
    <n v="0.004452735857716439"/>
    <n v="0.1375527516947043"/>
    <n v="0.1244695274599871"/>
    <n v="0.08154525200335394"/>
    <n v="0.1659767745828493"/>
    <n v="0.07536233199425046"/>
    <n v="0.08950103000615806"/>
    <n v="0.005144757846177628"/>
    <n v="0.01192670334717061"/>
    <n v="-0.01495237059253152"/>
    <n v="0.002534722249411203"/>
    <n v="0.05428664468820821"/>
    <n v="0.07604794993654518"/>
    <n v="0.1564189222610013"/>
    <n v="0.0004614599605168301"/>
    <n v="-0.0162147984762373"/>
    <n v="0.03869602357879809"/>
    <n v="0.5602839094378647"/>
    <n v="0.5287912755432027"/>
    <n v="-0.03149263389466195"/>
    <n v="0.003627225872622319"/>
    <n v="0.003627225872622319"/>
    <n v="0.7068945633082809"/>
    <n v="0.7477574127729124"/>
    <n v="0.04086284946463148"/>
    <n v="0.04689632604118654"/>
    <n v="0.04689632604118654"/>
    <n v="31045301.4"/>
    <n v="30225835"/>
    <n v="-0.02639582684161024"/>
    <n v="0.02980024068028642"/>
    <n v="0.02980024068028642"/>
  </r>
  <r>
    <x v="3"/>
    <s v="08"/>
    <x v="0"/>
    <d v="2023-03-18T00:00:00"/>
    <d v="2023-03-24T00:00:00"/>
    <n v="202308"/>
    <n v="660102.95841"/>
    <n v="96865.56581747311"/>
    <n v="152119.8903225807"/>
    <n v="909088.4145500538"/>
    <n v="682922"/>
    <n v="111611.8387096774"/>
    <n v="166067.0967741935"/>
    <n v="960600.935483871"/>
    <n v="682761"/>
    <n v="111525"/>
    <n v="161520"/>
    <n v="955806"/>
    <n v="7864959"/>
    <n v="7353289.649110104"/>
    <n v="7839125.681698212"/>
    <n v="0.06958373398929263"/>
    <n v="0.06958373398929263"/>
    <n v="0.003295433617310106"/>
    <n v="0.003295433617310106"/>
    <n v="0.1565816754117371"/>
    <n v="0.1416885297260276"/>
    <n v="0.03432501142636424"/>
    <n v="0.1513379296224846"/>
    <n v="0.06179408660817276"/>
    <n v="0.05138948500742768"/>
    <n v="-0.0002357516671011028"/>
    <n v="-0.0007780421027137052"/>
    <n v="-0.02738108187906951"/>
    <n v="-0.004991599848334194"/>
    <n v="0.05184003472222831"/>
    <n v="0.08464355568328874"/>
    <n v="0.143556762818543"/>
    <n v="0.0003773772159874067"/>
    <n v="-0.01436951416876486"/>
    <n v="0.02986562742675525"/>
    <n v="0.5668370081570673"/>
    <n v="0.5425029456406253"/>
    <n v="-0.02433406251644199"/>
    <n v="0.0001320648239893085"/>
    <n v="0.0001320648239893085"/>
    <n v="0.7069231854987617"/>
    <n v="0.7433185224345722"/>
    <n v="0.03639533693581054"/>
    <n v="0.04558370240301446"/>
    <n v="0.04558370240301446"/>
    <n v="30992593.99"/>
    <n v="29310952"/>
    <n v="-0.05425947858841995"/>
    <n v="0.01895285702844007"/>
    <n v="0.01895285702844007"/>
  </r>
  <r>
    <x v="3"/>
    <s v="09"/>
    <x v="0"/>
    <d v="2023-03-25T00:00:00"/>
    <d v="2023-03-31T00:00:00"/>
    <n v="202309"/>
    <n v="658003.37185"/>
    <n v="96865.56581747311"/>
    <n v="152119.8903225807"/>
    <n v="906988.8279900538"/>
    <n v="677098"/>
    <n v="111611.8387096774"/>
    <n v="166067.0967741935"/>
    <n v="954776.935483871"/>
    <n v="678505"/>
    <n v="109104"/>
    <n v="174365"/>
    <n v="961974"/>
    <n v="8826933"/>
    <n v="8260278.477100158"/>
    <n v="8793902.617182083"/>
    <n v="0.06859992970827422"/>
    <n v="0.06859992970827422"/>
    <n v="0.003756055104974676"/>
    <n v="0.003756055104974676"/>
    <n v="0.1757333964343808"/>
    <n v="0.1590186495263553"/>
    <n v="0.03115732992729048"/>
    <n v="0.1263445278953736"/>
    <n v="0.1462340633446884"/>
    <n v="0.06062386912945428"/>
    <n v="0.002077985756862466"/>
    <n v="-0.02246928944698035"/>
    <n v="0.04996717222731584"/>
    <n v="0.007537953891273652"/>
    <n v="0.04958822571705324"/>
    <n v="0.0889165796425555"/>
    <n v="0.143877135215335"/>
    <n v="0.000559002262981334"/>
    <n v="-0.01523436505592779"/>
    <n v="0.03223527799635195"/>
    <n v="0.5717050196811142"/>
    <n v="0.542100102930601"/>
    <n v="-0.02960491675051324"/>
    <n v="-0.003172044239844407"/>
    <n v="-0.003172044239844407"/>
    <n v="0.7052927000230851"/>
    <n v="0.7346978153006497"/>
    <n v="0.02940511527756462"/>
    <n v="0.04378608161129782"/>
    <n v="0.04378608161129782"/>
    <n v="30704194.13"/>
    <n v="31213112"/>
    <n v="0.01657486491406579"/>
    <n v="0.01868330747540026"/>
    <n v="0.01868330747540026"/>
  </r>
  <r>
    <x v="3"/>
    <s v="10"/>
    <x v="0"/>
    <d v="2023-04-01T00:00:00"/>
    <d v="2023-04-07T00:00:00"/>
    <n v="202310"/>
    <n v="653685.2881100001"/>
    <n v="100094.4180113889"/>
    <n v="161507.22"/>
    <n v="915286.9261213889"/>
    <n v="694723"/>
    <n v="108219.5333333333"/>
    <n v="215960.5"/>
    <n v="1018903.033333333"/>
    <n v="694276"/>
    <n v="118369"/>
    <n v="210578"/>
    <n v="1023223"/>
    <n v="9850156"/>
    <n v="9175565.403221548"/>
    <n v="9812805.650515417"/>
    <n v="0.07352033004326941"/>
    <n v="0.07352033004326941"/>
    <n v="0.003806286480627641"/>
    <n v="0.003806286480627641"/>
    <n v="0.1961045098324067"/>
    <n v="0.1774521801336802"/>
    <n v="0.06209518957870364"/>
    <n v="0.1825734376769321"/>
    <n v="0.3038302560096076"/>
    <n v="0.1179259430001911"/>
    <n v="-0.0006434219106031813"/>
    <n v="0.09378590309944057"/>
    <n v="-0.02492353925833657"/>
    <n v="0.004239821185470394"/>
    <n v="0.05080894110020262"/>
    <n v="0.0978838377084601"/>
    <n v="0.1619079209714001"/>
    <n v="0.0004402530922200665"/>
    <n v="-0.005006452630977321"/>
    <n v="0.02463750892989092"/>
    <n v="0.5743905441079785"/>
    <n v="0.5384437591146862"/>
    <n v="-0.03594678499329229"/>
    <n v="-0.006449518315189029"/>
    <n v="-0.006449518315189029"/>
    <n v="0.7023454775263981"/>
    <n v="0.7302726133046825"/>
    <n v="0.02792713577828443"/>
    <n v="0.04220018702799644"/>
    <n v="0.04220018702799644"/>
    <n v="30260328.02"/>
    <n v="31960755"/>
    <n v="0.0561932765195452"/>
    <n v="0.02245258498787805"/>
    <n v="0.02245258498787805"/>
  </r>
  <r>
    <x v="3"/>
    <s v="11"/>
    <x v="0"/>
    <d v="2023-04-08T00:00:00"/>
    <d v="2023-04-14T00:00:00"/>
    <n v="202311"/>
    <n v="646850.27183"/>
    <n v="100094.4180113889"/>
    <n v="161507.22"/>
    <n v="908451.9098413888"/>
    <n v="733513"/>
    <n v="108219.5333333333"/>
    <n v="215960.5"/>
    <n v="1057693.033333333"/>
    <n v="733608"/>
    <n v="106862"/>
    <n v="211495"/>
    <n v="1051965"/>
    <n v="10902121"/>
    <n v="10084017.31306294"/>
    <n v="10870498.68384875"/>
    <n v="0.08112874676219417"/>
    <n v="0.08112874676219417"/>
    <n v="0.002909003263873666"/>
    <n v="0.002909003263873666"/>
    <n v="0.2170478411548596"/>
    <n v="0.1964035025974388"/>
    <n v="0.1341233542726268"/>
    <n v="0.06761198199724849"/>
    <n v="0.3095080207559762"/>
    <n v="0.1579754399808218"/>
    <n v="0.0001295137236831945"/>
    <n v="-0.01254425417962124"/>
    <n v="-0.0206773923935164"/>
    <n v="-0.00541559143609105"/>
    <n v="0.05814692039211522"/>
    <n v="0.09523869392928264"/>
    <n v="0.1768606536558959"/>
    <n v="0.0004109111323575831"/>
    <n v="-0.005652969615479564"/>
    <n v="0.01932079637470374"/>
    <n v="0.574706994350729"/>
    <n v="0.5206182756906698"/>
    <n v="-0.05408871866005927"/>
    <n v="-0.01078035471017724"/>
    <n v="-0.01078035471017724"/>
    <n v="0.6986099753154242"/>
    <n v="0.7180025090786279"/>
    <n v="0.01939253376320371"/>
    <n v="0.04012676400392445"/>
    <n v="0.04012676400392445"/>
    <n v="29771474.37"/>
    <n v="31311036"/>
    <n v="0.05171264314512336"/>
    <n v="0.02508509095124145"/>
    <n v="0.02508509095124145"/>
  </r>
  <r>
    <x v="3"/>
    <s v="12"/>
    <x v="0"/>
    <d v="2023-04-15T00:00:00"/>
    <d v="2023-04-21T00:00:00"/>
    <n v="202312"/>
    <n v="637732.11268"/>
    <n v="100094.4180113889"/>
    <n v="161507.22"/>
    <n v="899333.7506913889"/>
    <n v="717589"/>
    <n v="108219.5333333333"/>
    <n v="215960.5"/>
    <n v="1041769.033333333"/>
    <n v="719324"/>
    <n v="103386"/>
    <n v="212659"/>
    <n v="1035369"/>
    <n v="11937490"/>
    <n v="10983351.06375433"/>
    <n v="11912267.71718208"/>
    <n v="0.08687138658386195"/>
    <n v="0.08687138658386195"/>
    <n v="0.002117336800744996"/>
    <n v="0.002117336800744996"/>
    <n v="0.2376607664974297"/>
    <n v="0.2150558453920939"/>
    <n v="0.1279406912365113"/>
    <n v="0.032884770739529"/>
    <n v="0.3167151288964047"/>
    <n v="0.1512622529778629"/>
    <n v="0.002417818556304407"/>
    <n v="-0.04466414873962976"/>
    <n v="-0.01528751785627469"/>
    <n v="-0.006143428273016727"/>
    <n v="0.06372319593933673"/>
    <n v="0.09022805825208935"/>
    <n v="0.1897254346088804"/>
    <n v="0.0005806244204951128"/>
    <n v="-0.008734642180774022"/>
    <n v="0.01568665468554276"/>
    <n v="0.5727888584753055"/>
    <n v="0.5224539354028098"/>
    <n v="-0.05033492307249565"/>
    <n v="-0.01407656874037044"/>
    <n v="-0.01407656874037044"/>
    <n v="0.6947152666199176"/>
    <n v="0.7204224639120702"/>
    <n v="0.02570719729215265"/>
    <n v="0.03892513344461024"/>
    <n v="0.03892513344461024"/>
    <n v="29350993.82"/>
    <n v="30942509"/>
    <n v="0.05422355337472529"/>
    <n v="0.02745906312070456"/>
    <n v="0.02745906312070456"/>
  </r>
  <r>
    <x v="3"/>
    <s v="13"/>
    <x v="0"/>
    <d v="2023-04-22T00:00:00"/>
    <d v="2023-04-28T00:00:00"/>
    <n v="202313"/>
    <n v="627045.4075900001"/>
    <n v="100094.4180113889"/>
    <n v="161507.22"/>
    <n v="888647.0456013889"/>
    <n v="765878"/>
    <n v="108219.5333333333"/>
    <n v="215960.5"/>
    <n v="1090058.033333333"/>
    <n v="765631"/>
    <n v="101664"/>
    <n v="221982"/>
    <n v="1089277"/>
    <n v="13026767"/>
    <n v="11871998.10935571"/>
    <n v="13002325.75051542"/>
    <n v="0.09726828458086367"/>
    <n v="0.09726828458086367"/>
    <n v="0.001879759817863036"/>
    <n v="0.001879759817863036"/>
    <n v="0.2593469339202313"/>
    <n v="0.2346793496715667"/>
    <n v="0.2210136470700628"/>
    <n v="0.01568101418435242"/>
    <n v="0.3744401024300956"/>
    <n v="0.2257701248112916"/>
    <n v="-0.0003225056732273357"/>
    <n v="-0.06057624840370768"/>
    <n v="0.02788241368213162"/>
    <n v="-0.0007165061945783036"/>
    <n v="0.07517957245085127"/>
    <n v="0.08468318295092581"/>
    <n v="0.2052854484509623"/>
    <n v="0.0005058600864502605"/>
    <n v="-0.01253003377877493"/>
    <n v="0.01684560525851353"/>
    <n v="0.5690588294637211"/>
    <n v="0.5234322674474233"/>
    <n v="-0.04562656201629778"/>
    <n v="-0.01650349130005713"/>
    <n v="-0.01650349130005713"/>
    <n v="0.6912934623859561"/>
    <n v="0.7209292131346376"/>
    <n v="0.02963575074868152"/>
    <n v="0.0382105655449233"/>
    <n v="0.0382105655449233"/>
    <n v="29089037.11"/>
    <n v="31245722"/>
    <n v="0.07414081400647632"/>
    <n v="0.03094676565511834"/>
    <n v="0.03094676565511834"/>
  </r>
  <r>
    <x v="3"/>
    <s v="14"/>
    <x v="1"/>
    <d v="2023-04-29T00:00:00"/>
    <d v="2023-05-05T00:00:00"/>
    <n v="202314"/>
    <n v="615865.54949"/>
    <n v="97793.83828955999"/>
    <n v="157381.0386215033"/>
    <n v="871040.4264010632"/>
    <n v="681284"/>
    <n v="108470.5303885676"/>
    <n v="168156.5301097121"/>
    <n v="957911.0604982798"/>
    <n v="680547"/>
    <n v="110184"/>
    <n v="155451"/>
    <n v="946182"/>
    <n v="13972949"/>
    <n v="12743038.53575678"/>
    <n v="13960236.8110137"/>
    <n v="0.09651626343215636"/>
    <n v="0.08626645942187139"/>
    <n v="0.0009105998099026014"/>
    <n v="-0.01224441493783213"/>
    <n v="0.2781842556156691"/>
    <n v="0.2517249739950033"/>
    <n v="0.1050252779418541"/>
    <n v="0.1266967523429614"/>
    <n v="-0.01226347620023649"/>
    <n v="0.08626645942187139"/>
    <n v="-0.00108178087258759"/>
    <n v="0.01579663716305602"/>
    <n v="-0.07555775622524141"/>
    <n v="-0.01224441493783213"/>
    <n v="0.07717210967079358"/>
    <n v="0.08752951723792113"/>
    <n v="0.188782398042445"/>
    <n v="0.0003969654643065645"/>
    <n v="-0.01059349659129161"/>
    <n v="0.01047938766005974"/>
    <n v="0.5641570692698373"/>
    <n v="0.5209792817899124"/>
    <n v="-0.04317778747992496"/>
    <n v="-0.0184087981700477"/>
    <n v="-0.04317778747992496"/>
    <n v="0.6888836812178036"/>
    <n v="0.7204053135737722"/>
    <n v="0.03152163235596861"/>
    <n v="0.03773278460285512"/>
    <n v="0.03152163235596861"/>
    <n v="29033494.51"/>
    <n v="31121509"/>
    <n v="0.07191743623148161"/>
    <n v="0.03378992209425347"/>
    <n v="0.07191743623148161"/>
  </r>
  <r>
    <x v="3"/>
    <s v="15"/>
    <x v="1"/>
    <d v="2023-05-06T00:00:00"/>
    <d v="2023-05-12T00:00:00"/>
    <n v="202315"/>
    <n v="605457.9863600001"/>
    <n v="96865.56581747311"/>
    <n v="155710.0838709677"/>
    <n v="858033.6360484409"/>
    <n v="666634"/>
    <n v="108571.8064516129"/>
    <n v="148797.6451612903"/>
    <n v="924003.4516129032"/>
    <n v="663216"/>
    <n v="108238"/>
    <n v="145413"/>
    <n v="916867"/>
    <n v="14889816"/>
    <n v="13601072.17180522"/>
    <n v="14884240.2626266"/>
    <n v="0.09475310563135775"/>
    <n v="0.07748363153438276"/>
    <n v="0.0003746067837537836"/>
    <n v="-0.01002463820209287"/>
    <n v="0.2964379516603317"/>
    <n v="0.2682424837727801"/>
    <n v="0.09539557647466146"/>
    <n v="0.1174043024118223"/>
    <n v="-0.06612984602526184"/>
    <n v="0.06856766620771215"/>
    <n v="-0.005127251235310548"/>
    <n v="-0.003074522406161462"/>
    <n v="-0.02274663122270171"/>
    <n v="-0.007723403630631509"/>
    <n v="0.07829450540256833"/>
    <n v="0.08940819341292849"/>
    <n v="0.1709859967933667"/>
    <n v="4.953069431268275e-05"/>
    <n v="-0.01011193834521729"/>
    <n v="0.008570178360598257"/>
    <n v="0.5588428100691546"/>
    <n v="0.5272606368041624"/>
    <n v="-0.03158217326499224"/>
    <n v="-0.0192870231763772"/>
    <n v="-0.0373799803724586"/>
    <n v="0.6878508977810432"/>
    <n v="0.719299890864339"/>
    <n v="0.03144899308329574"/>
    <n v="0.03731386516821777"/>
    <n v="0.03148531271963217"/>
    <n v="29181893.61"/>
    <n v="31061103"/>
    <n v="0.06439641700825183"/>
    <n v="0.0357855211915914"/>
    <n v="0.0681473405592059"/>
  </r>
  <r>
    <x v="3"/>
    <s v="16"/>
    <x v="1"/>
    <d v="2023-05-13T00:00:00"/>
    <d v="2023-05-19T00:00:00"/>
    <n v="202316"/>
    <n v="597081.29119"/>
    <n v="96865.56581747311"/>
    <n v="155710.0838709677"/>
    <n v="849656.9408784409"/>
    <n v="672337"/>
    <n v="108571.8064516129"/>
    <n v="148797.6451612903"/>
    <n v="929706.4516129032"/>
    <n v="672621"/>
    <n v="107179"/>
    <n v="150810"/>
    <n v="930610"/>
    <n v="15820426"/>
    <n v="14450729.11268366"/>
    <n v="15813946.7142395"/>
    <n v="0.09478392935302704"/>
    <n v="0.08334641976797208"/>
    <n v="0.0004097197162467037"/>
    <n v="-0.006388472683848123"/>
    <n v="0.3149652539584004"/>
    <n v="0.2850075759555034"/>
    <n v="0.1265149485080117"/>
    <n v="0.106471624828588"/>
    <n v="-0.03146927770604924"/>
    <n v="0.09527734692293999"/>
    <n v="0.000422407215429077"/>
    <n v="-0.01282843582632698"/>
    <n v="0.01352410407119264"/>
    <n v="0.0009718641680169782"/>
    <n v="0.08105563823271367"/>
    <n v="0.09041774200078878"/>
    <n v="0.1577741849866723"/>
    <n v="7.177187367624072e-05"/>
    <n v="-0.01027544643342471"/>
    <n v="0.00883936918487449"/>
    <n v="0.5538820506947731"/>
    <n v="0.5218934501639022"/>
    <n v="-0.03198860053087094"/>
    <n v="-0.02008087176103301"/>
    <n v="-0.03558285375859604"/>
    <n v="0.6883308985113132"/>
    <n v="0.725262909361522"/>
    <n v="0.03693201085020881"/>
    <n v="0.0372899992733422"/>
    <n v="0.03330087876315779"/>
    <n v="29485481.21"/>
    <n v="31336641"/>
    <n v="0.06278207829866367"/>
    <n v="0.03745412975320095"/>
    <n v="0.06634351192240318"/>
  </r>
  <r>
    <x v="3"/>
    <s v="17"/>
    <x v="1"/>
    <d v="2023-05-20T00:00:00"/>
    <d v="2023-05-26T00:00:00"/>
    <n v="202317"/>
    <n v="591791.92781"/>
    <n v="96865.56581747311"/>
    <n v="155710.0838709677"/>
    <n v="844367.5774984409"/>
    <n v="675072"/>
    <n v="108571.8064516129"/>
    <n v="148797.6451612903"/>
    <n v="932441.4516129032"/>
    <n v="674962"/>
    <n v="110334"/>
    <n v="160494"/>
    <n v="945790"/>
    <n v="16766216"/>
    <n v="15295096.6901821"/>
    <n v="16746388.16585241"/>
    <n v="0.09618241320188625"/>
    <n v="0.09241639167085935"/>
    <n v="0.001184006601974374"/>
    <n v="-0.001232195093247124"/>
    <n v="0.3337947714152196"/>
    <n v="0.3020461383344782"/>
    <n v="0.1405393826471768"/>
    <n v="0.1390425386860992"/>
    <n v="0.03072322620413326"/>
    <n v="0.1201164341269918"/>
    <n v="-0.0001629455821008374"/>
    <n v="0.01623067356047403"/>
    <n v="0.07860577918441747"/>
    <n v="0.01431569603003702"/>
    <n v="0.08425023709663293"/>
    <n v="0.0931339014177246"/>
    <n v="0.1499910160940743"/>
    <n v="5.850891658321089e-05"/>
    <n v="-0.008770600383064764"/>
    <n v="0.01243501505821332"/>
    <n v="0.5499368222789197"/>
    <n v="0.5225451959075526"/>
    <n v="-0.02739162637136716"/>
    <n v="-0.0205109161498761"/>
    <n v="-0.03353504691178888"/>
    <n v="0.6902089777710735"/>
    <n v="0.7316149122209555"/>
    <n v="0.04140593444988205"/>
    <n v="0.03753211310725635"/>
    <n v="0.03532714268483883"/>
    <n v="29863869.04"/>
    <n v="31922565"/>
    <n v="0.06893600950508327"/>
    <n v="0.03930883207932778"/>
    <n v="0.06700205979457241"/>
  </r>
  <r>
    <x v="3"/>
    <s v="18"/>
    <x v="1"/>
    <d v="2023-05-27T00:00:00"/>
    <d v="2023-06-02T00:00:00"/>
    <n v="202318"/>
    <n v="590278.19369"/>
    <n v="97791.12171528062"/>
    <n v="158377.0763676766"/>
    <n v="846446.3917729572"/>
    <n v="716566"/>
    <n v="108397.522045691"/>
    <n v="157091.9659984642"/>
    <n v="982055.4880441552"/>
    <n v="713824"/>
    <n v="112428"/>
    <n v="168049"/>
    <n v="994301"/>
    <n v="17760517"/>
    <n v="16141543.08195506"/>
    <n v="17728443.65389656"/>
    <n v="0.1002985842075299"/>
    <n v="0.1087247072884312"/>
    <n v="0.001809146179416077"/>
    <n v="0.001614876474705706"/>
    <n v="0.3535900833098608"/>
    <n v="0.3199586343557695"/>
    <n v="0.2093009832155233"/>
    <n v="0.1496749196449012"/>
    <n v="0.06106896183554844"/>
    <n v="0.1746768722320953"/>
    <n v="-0.003826584013196244"/>
    <n v="0.03718238090913228"/>
    <n v="0.06974916846888868"/>
    <n v="0.01246926686416949"/>
    <n v="0.09060836759034174"/>
    <n v="0.09615222262501866"/>
    <n v="0.144775317060001"/>
    <n v="-0.0001613302775078651"/>
    <n v="-0.00630559754562332"/>
    <n v="0.01539262104788897"/>
    <n v="0.547471157036635"/>
    <n v="0.5238201007026079"/>
    <n v="-0.02365105633402709"/>
    <n v="-0.02068536838232893"/>
    <n v="-0.03155824879623659"/>
    <n v="0.6931353950787971"/>
    <n v="0.7189788607603423"/>
    <n v="0.02584346568154527"/>
    <n v="0.03688274380582801"/>
    <n v="0.03343040728418012"/>
    <n v="30226241.85"/>
    <n v="31931250"/>
    <n v="0.05640820841906935"/>
    <n v="0.04027106100417788"/>
    <n v="0.06483540311956948"/>
  </r>
  <r>
    <x v="3"/>
    <s v="19"/>
    <x v="1"/>
    <d v="2023-06-03T00:00:00"/>
    <d v="2023-06-09T00:00:00"/>
    <n v="202319"/>
    <n v="592746.7321200001"/>
    <n v="100094.4180113889"/>
    <n v="165062.7966666667"/>
    <n v="857903.9467980557"/>
    <n v="748543"/>
    <n v="107963.8058027497"/>
    <n v="177884.491382716"/>
    <n v="1034391.297185466"/>
    <n v="748454"/>
    <n v="119235"/>
    <n v="149509"/>
    <n v="1017198"/>
    <n v="18777715"/>
    <n v="16999447.02875312"/>
    <n v="18762834.95108202"/>
    <n v="0.1046074009489306"/>
    <n v="0.1216002519779129"/>
    <n v="0.0007930597352037161"/>
    <n v="-0.0016597839242527"/>
    <n v="0.3738412463566699"/>
    <n v="0.3382836235973225"/>
    <n v="0.2626876867344372"/>
    <n v="0.1912252687900464"/>
    <n v="-0.09422957190090842"/>
    <n v="0.1856781913598551"/>
    <n v="-0.0001188976451587109"/>
    <n v="0.1043978962527754"/>
    <n v="-0.1595163870787731"/>
    <n v="-0.01662165684518802"/>
    <n v="0.09896743783362871"/>
    <n v="0.1010778930448357"/>
    <n v="0.1310064633017392"/>
    <n v="-0.0001589620523582136"/>
    <n v="-0.0006909906569472213"/>
    <n v="0.005736313019051087"/>
    <n v="0.5466865497230818"/>
    <n v="0.5254466459642205"/>
    <n v="-0.02123990375886131"/>
    <n v="-0.02071455445477799"/>
    <n v="-0.0298385246233408"/>
    <n v="0.6965755952103403"/>
    <n v="0.719097809983024"/>
    <n v="0.02252221477268368"/>
    <n v="0.03612692648829408"/>
    <n v="0.03161237519893068"/>
    <n v="30493757.03"/>
    <n v="31930389"/>
    <n v="0.04711233084813493"/>
    <n v="0.04063858088830541"/>
    <n v="0.06180405524309696"/>
  </r>
  <r>
    <x v="3"/>
    <s v="20"/>
    <x v="1"/>
    <d v="2023-06-10T00:00:00"/>
    <d v="2023-06-16T00:00:00"/>
    <n v="202320"/>
    <n v="598877.79424"/>
    <n v="100094.4180113889"/>
    <n v="165062.7966666667"/>
    <n v="864035.0089180556"/>
    <n v="729611"/>
    <n v="107963.8058027497"/>
    <n v="177884.491382716"/>
    <n v="1015459.297185466"/>
    <n v="729622"/>
    <n v="120954"/>
    <n v="144433"/>
    <n v="995009"/>
    <n v="19772724"/>
    <n v="17863482.03767117"/>
    <n v="19778294.24826749"/>
    <n v="0.1068796082590477"/>
    <n v="0.1259242419259348"/>
    <n v="-0.0002816344118238279"/>
    <n v="-0.00442910821708109"/>
    <n v="0.3936506536618773"/>
    <n v="0.3562088743550398"/>
    <n v="0.2183153341424517"/>
    <n v="0.2083990536439071"/>
    <n v="-0.124981504513868"/>
    <n v="0.1515841253306971"/>
    <n v="1.507652708077067e-05"/>
    <n v="0.1203198988833665"/>
    <n v="-0.1880517583218967"/>
    <n v="-0.02013896297187634"/>
    <n v="0.1045509155742927"/>
    <n v="0.1063642475525433"/>
    <n v="0.1170625272947325"/>
    <n v="-0.0001499828484959886"/>
    <n v="0.005150134413051122"/>
    <n v="-0.004402522099926309"/>
    <n v="0.5474956660522967"/>
    <n v="0.522083668648296"/>
    <n v="-0.02541199740400069"/>
    <n v="-0.0209494266022392"/>
    <n v="-0.02920616359200645"/>
    <n v="0.6998884317545566"/>
    <n v="0.7237881857502635"/>
    <n v="0.02389975399570687"/>
    <n v="0.03551556786366472"/>
    <n v="0.03051057216989883"/>
    <n v="30617700.52"/>
    <n v="32751177"/>
    <n v="0.0696811466493501"/>
    <n v="0.04212494467098526"/>
    <n v="0.06295855792970917"/>
  </r>
  <r>
    <x v="3"/>
    <s v="21"/>
    <x v="1"/>
    <d v="2023-06-17T00:00:00"/>
    <d v="2023-06-23T00:00:00"/>
    <n v="202321"/>
    <n v="607856.0519600001"/>
    <n v="100094.4180113889"/>
    <n v="165062.7966666667"/>
    <n v="873013.2666380557"/>
    <n v="741508.21040928"/>
    <n v="107963.8058027497"/>
    <n v="177884.491382716"/>
    <n v="1027356.507594746"/>
    <n v="708839"/>
    <n v="116623"/>
    <n v="147765"/>
    <n v="973227"/>
    <n v="20745951"/>
    <n v="18736495.30430923"/>
    <n v="20805650.75586224"/>
    <n v="0.1072482160112738"/>
    <n v="0.1245082896493599"/>
    <n v="-0.002869401037379982"/>
    <n v="-0.01078271189386171"/>
    <n v="0.4130264080956816"/>
    <n v="0.3737417188008497"/>
    <n v="0.1661297073778993"/>
    <n v="0.1651299075112305"/>
    <n v="-0.1047952477238008"/>
    <n v="0.1147906191023464"/>
    <n v="-0.04405778648256375"/>
    <n v="0.08020460313404154"/>
    <n v="-0.169320502021249"/>
    <n v="-0.05268814398370247"/>
    <n v="0.107342405615759"/>
    <n v="0.1091229986991826"/>
    <n v="0.1056019678954692"/>
    <n v="-0.002337560822571527"/>
    <n v="0.008606149993160894"/>
    <n v="-0.01260191194800275"/>
    <n v="0.5495378603674628"/>
    <n v="0.5213575129263885"/>
    <n v="-0.02818034744107423"/>
    <n v="-0.02129375616599338"/>
    <n v="-0.02907793657313984"/>
    <n v="0.7024217617832327"/>
    <n v="0.7279045208014026"/>
    <n v="0.02548275901816988"/>
    <n v="0.03503781506149828"/>
    <n v="0.02988209552593268"/>
    <n v="30589187.8"/>
    <n v="32503287"/>
    <n v="0.06257437145813993"/>
    <n v="0.04311968504034613"/>
    <n v="0.06290948752024872"/>
  </r>
  <r>
    <x v="3"/>
    <s v="22"/>
    <x v="1"/>
    <d v="2023-06-24T00:00:00"/>
    <d v="2023-06-30T00:00:00"/>
    <n v="202322"/>
    <n v="618473.46419"/>
    <n v="100094.4180113889"/>
    <n v="165062.7966666667"/>
    <n v="883630.6788680556"/>
    <n v="752165.4487477549"/>
    <n v="107963.8058027497"/>
    <n v="177884.491382716"/>
    <n v="1038013.745933221"/>
    <n v="688740"/>
    <n v="113601"/>
    <n v="186614"/>
    <n v="988955"/>
    <n v="21734906"/>
    <n v="19620125.98317728"/>
    <n v="21843664.50179546"/>
    <n v="0.1077862608342055"/>
    <n v="0.1239023338040153"/>
    <n v="-0.004978949470063387"/>
    <n v="-0.01506556360152544"/>
    <n v="0.4327152876952846"/>
    <n v="0.3915579057530262"/>
    <n v="0.113612854679265"/>
    <n v="0.1349384137192775"/>
    <n v="0.1305636628516269"/>
    <n v="0.1191949574078466"/>
    <n v="-0.08432379984131011"/>
    <n v="0.05221374103418919"/>
    <n v="0.04907402859815679"/>
    <n v="-0.04726213513590283"/>
    <n v="0.1076188710239454"/>
    <n v="0.1102805604621997"/>
    <n v="0.1068280823732068"/>
    <n v="-0.006281665067704556"/>
    <n v="0.01052574729778155"/>
    <n v="-0.009680743023946392"/>
    <n v="0.5522344010826512"/>
    <n v="0.5325892880061194"/>
    <n v="-0.01964511307653183"/>
    <n v="-0.02121881784374502"/>
    <n v="-0.0280298450735168"/>
    <n v="0.7036123097814045"/>
    <n v="0.7332813176786683"/>
    <n v="0.02966900789726379"/>
    <n v="0.03479377837221487"/>
    <n v="0.02985841912274723"/>
    <n v="30438396.23"/>
    <n v="32806529"/>
    <n v="0.07780083918041569"/>
    <n v="0.04472089116633682"/>
    <n v="0.06458869629891595"/>
  </r>
  <r>
    <x v="3"/>
    <s v="23"/>
    <x v="1"/>
    <d v="2023-07-01T00:00:00"/>
    <d v="2023-07-07T00:00:00"/>
    <n v="202323"/>
    <n v="629290.8432999999"/>
    <n v="96865.56581747311"/>
    <n v="164959.964516129"/>
    <n v="891116.3736336021"/>
    <n v="758385.770540659"/>
    <n v="104481.1023897578"/>
    <n v="177773.671469534"/>
    <n v="1040640.544399951"/>
    <n v="726466"/>
    <n v="119471"/>
    <n v="194635"/>
    <n v="1040572"/>
    <n v="22775478"/>
    <n v="20511242.35681088"/>
    <n v="22884305.04619541"/>
    <n v="0.1103899804702597"/>
    <n v="0.1284217369906686"/>
    <n v="-0.004755532054642853"/>
    <n v="-0.01348599219776259"/>
    <n v="0.4534317983784989"/>
    <n v="0.4103039814482806"/>
    <n v="0.1544201027785717"/>
    <n v="0.2333691440477728"/>
    <n v="0.1798923488551643"/>
    <n v="0.1677172934854514"/>
    <n v="-0.04208909473328215"/>
    <n v="0.1434699411413527"/>
    <n v="0.09484716376212976"/>
    <n v="-6.58675085453142e-05"/>
    <n v="0.1096282928194785"/>
    <n v="0.1153996682227962"/>
    <n v="0.1102469233488566"/>
    <n v="-0.007938147996013112"/>
    <n v="0.01595774193223276"/>
    <n v="-0.004956660984074435"/>
    <n v="0.5548759134751966"/>
    <n v="0.5458893906469946"/>
    <n v="-0.008986522828202004"/>
    <n v="-0.0206869789300258"/>
    <n v="-0.02612551284898534"/>
    <n v="0.7030759650443578"/>
    <n v="0.740869015624995"/>
    <n v="0.0377930505806372"/>
    <n v="0.03492418151171151"/>
    <n v="0.03065188226853621"/>
    <n v="30223945.13"/>
    <n v="33563838"/>
    <n v="0.1105048614810002"/>
    <n v="0.0476044992460849"/>
    <n v="0.06921221559215596"/>
  </r>
  <r>
    <x v="3"/>
    <s v="24"/>
    <x v="1"/>
    <d v="2023-07-08T00:00:00"/>
    <d v="2023-07-14T00:00:00"/>
    <n v="202324"/>
    <n v="638836.6592299999"/>
    <n v="96865.56581747311"/>
    <n v="164959.964516129"/>
    <n v="900662.189563602"/>
    <n v="758806.327173662"/>
    <n v="104481.1023897578"/>
    <n v="177773.671469534"/>
    <n v="1041061.101032954"/>
    <n v="749502"/>
    <n v="126860"/>
    <n v="211279"/>
    <n v="1087641"/>
    <n v="23863119"/>
    <n v="21411904.54637448"/>
    <n v="23925366.14722836"/>
    <n v="0.1144790482470444"/>
    <n v="0.1358970941214359"/>
    <n v="-0.002601721822993786"/>
    <n v="-0.00793628820955683"/>
    <n v="0.4750853950503311"/>
    <n v="0.4298980129187239"/>
    <n v="0.1732294776310848"/>
    <n v="0.3096501210662039"/>
    <n v="0.2807895577556465"/>
    <n v="0.2076014876643095"/>
    <n v="-0.01226179440057917"/>
    <n v="0.2141908641694803"/>
    <n v="0.1884718263030751"/>
    <n v="0.04474271387224915"/>
    <n v="0.1122846653840672"/>
    <n v="0.1231557473644536"/>
    <n v="0.1178702818392048"/>
    <n v="-0.008129421195045006"/>
    <n v="0.02373943666025524"/>
    <n v="0.003407232914906411"/>
    <n v="0.5567301462472756"/>
    <n v="0.5445604590247018"/>
    <n v="-0.01216968722257372"/>
    <n v="-0.02033209177554862"/>
    <n v="-0.02485680142840252"/>
    <n v="0.7006757839436213"/>
    <n v="0.7465323922369702"/>
    <n v="0.04585660829334892"/>
    <n v="0.03537969929427998"/>
    <n v="0.03203413008897382"/>
    <n v="30015468.95"/>
    <n v="34683545"/>
    <n v="0.1555223427552013"/>
    <n v="0.05210641700754115"/>
    <n v="0.0770586079604505"/>
  </r>
  <r>
    <x v="3"/>
    <s v="25"/>
    <x v="1"/>
    <d v="2023-07-15T00:00:00"/>
    <d v="2023-07-21T00:00:00"/>
    <n v="202325"/>
    <n v="645816.3328100001"/>
    <n v="96865.56581747311"/>
    <n v="164959.964516129"/>
    <n v="907641.8631436022"/>
    <n v="752812.9680942241"/>
    <n v="104481.1023897578"/>
    <n v="177773.671469534"/>
    <n v="1035067.741953516"/>
    <n v="713691"/>
    <n v="124343"/>
    <n v="203937"/>
    <n v="1041971"/>
    <n v="24905090"/>
    <n v="22319546.40951809"/>
    <n v="24960433.88918187"/>
    <n v="0.1158421207600939"/>
    <n v="0.136948369007817"/>
    <n v="-0.002217264708922473"/>
    <n v="-0.006672053617618467"/>
    <n v="0.4958297581055541"/>
    <n v="0.4486692918290346"/>
    <n v="0.1050990254375757"/>
    <n v="0.2836656550822561"/>
    <n v="0.2362817887249242"/>
    <n v="0.1479979519577812"/>
    <n v="-0.0519677127683692"/>
    <n v="0.1901003832841377"/>
    <n v="0.1471721223631797"/>
    <n v="0.006669378019119154"/>
    <n v="0.1119935614859588"/>
    <n v="0.1293185557402314"/>
    <n v="0.1229368680697958"/>
    <n v="-0.009972564972306475"/>
    <n v="0.03002330556037469"/>
    <n v="0.009366002392109607"/>
    <n v="0.5571553335321376"/>
    <n v="0.5448158181377497"/>
    <n v="-0.01233951539438793"/>
    <n v="-0.0200123887203022"/>
    <n v="-0.02381369425890123"/>
    <n v="0.6965577815000178"/>
    <n v="0.7428929241656916"/>
    <n v="0.04633514266567385"/>
    <n v="0.03581791702913562"/>
    <n v="0.03322588113703207"/>
    <n v="29874074.48"/>
    <n v="34013951"/>
    <n v="0.1385775657341803"/>
    <n v="0.05555354483241737"/>
    <n v="0.08216305193342133"/>
  </r>
  <r>
    <x v="3"/>
    <s v="26"/>
    <x v="1"/>
    <d v="2023-07-22T00:00:00"/>
    <d v="2023-07-28T00:00:00"/>
    <n v="202326"/>
    <n v="649303.51116"/>
    <n v="96865.56581747311"/>
    <n v="164959.964516129"/>
    <n v="911129.0414936021"/>
    <n v="740695.388485905"/>
    <n v="104481.1023897578"/>
    <n v="177773.671469534"/>
    <n v="1022950.162345197"/>
    <n v="673354"/>
    <n v="117697"/>
    <n v="228122"/>
    <n v="1019173"/>
    <n v="25924263"/>
    <n v="23230675.45101169"/>
    <n v="25983384.05152707"/>
    <n v="0.1159496009777454"/>
    <n v="0.1354751624734225"/>
    <n v="-0.002275340710425899"/>
    <n v="-0.006437248726103295"/>
    <n v="0.5161202409770359"/>
    <n v="0.4670298610203635"/>
    <n v="0.03704044168347886"/>
    <n v="0.2150551024683036"/>
    <n v="0.3828931199709087"/>
    <n v="0.1185824988404307"/>
    <n v="-0.09091644086452477"/>
    <n v="0.1264907941049609"/>
    <n v="0.2832158896999233"/>
    <n v="-0.003692420690894038"/>
    <n v="0.109060152167161"/>
    <n v="0.1324887081243169"/>
    <n v="0.1336034627117906"/>
    <n v="-0.01318798834319335"/>
    <n v="0.03353449730568192"/>
    <n v="0.02026480329997082"/>
    <n v="0.5557035359852741"/>
    <n v="0.5257166343180638"/>
    <n v="-0.0299869016672103"/>
    <n v="-0.02039602383364481"/>
    <n v="-0.02428855636723282"/>
    <n v="0.6911487564431608"/>
    <s v=""/>
    <s v=""/>
    <s v="-"/>
    <s v="-"/>
    <n v="29835845.64"/>
    <n v="33794420"/>
    <n v="0.1326784703126651"/>
    <n v="0.05850658510200479"/>
    <n v="0.08602878681270831"/>
  </r>
  <r>
    <x v="3"/>
    <s v="27"/>
    <x v="2"/>
    <d v="2023-07-29T00:00:00"/>
    <d v="2023-08-04T00:00:00"/>
    <n v="202327"/>
    <n v="648886.8338200001"/>
    <n v="96865.56581747311"/>
    <n v="162222.1009196976"/>
    <n v="907974.5005571707"/>
    <n v="723688.093617555"/>
    <n v="104481.1023897578"/>
    <n v="174823.1369871336"/>
    <n v="1002992.332994446"/>
    <n v="696898"/>
    <n v="119304"/>
    <n v="218461"/>
    <n v="1034663"/>
    <n v="26958926"/>
    <n v="24138649.95156886"/>
    <n v="26986376.38452152"/>
    <n v="0.1168365278957055"/>
    <n v="0.1395286975185845"/>
    <n v="-0.00101719416235746"/>
    <n v="0.03157618055862965"/>
    <n v="0.5367191107265837"/>
    <n v="0.4856694851089215"/>
    <n v="0.0739900452246165"/>
    <n v="0.2316451051843165"/>
    <n v="0.346678404246173"/>
    <n v="0.1395286975185845"/>
    <n v="-0.03701883982039456"/>
    <n v="0.141871565969381"/>
    <n v="0.2496114860133076"/>
    <n v="0.03157618055862965"/>
    <n v="0.1077401364132189"/>
    <n v="0.1360243347044976"/>
    <n v="0.1418678255515116"/>
    <n v="-0.01407835432656612"/>
    <n v="0.03733923067583422"/>
    <n v="0.02890287677681469"/>
    <n v="0.5521995276657771"/>
    <n v="0.5279042460364484"/>
    <n v="-0.0242952816293287"/>
    <n v="-0.02054044078904049"/>
    <n v="-0.0242952816293287"/>
    <n v="0.6851153635385073"/>
    <s v=""/>
    <s v=""/>
    <s v="-"/>
    <s v="-"/>
    <n v="29902748.99"/>
    <n v="33747168"/>
    <n v="0.1285640665105954"/>
    <n v="0.06109567845521036"/>
    <n v="0.1285640665105954"/>
  </r>
  <r>
    <x v="3"/>
    <s v="28"/>
    <x v="2"/>
    <d v="2023-08-05T00:00:00"/>
    <d v="2023-08-11T00:00:00"/>
    <n v="202328"/>
    <n v="644751.23965"/>
    <n v="96865.56581747311"/>
    <n v="160149.7258064516"/>
    <n v="901766.5312739247"/>
    <n v="703886.5858046617"/>
    <n v="104481.1023897578"/>
    <n v="172589.7845878136"/>
    <n v="980957.472782233"/>
    <n v="743369"/>
    <n v="118247"/>
    <n v="183153"/>
    <n v="1044769"/>
    <n v="28003695"/>
    <n v="25040416.48284278"/>
    <n v="27967333.85730375"/>
    <n v="0.1183398255052028"/>
    <n v="0.1490218564012065"/>
    <n v="0.001300129032026254"/>
    <n v="0.04812732355692884"/>
    <n v="0.557519178525824"/>
    <n v="0.504491170449345"/>
    <n v="0.152954743295312"/>
    <n v="0.2207330747730996"/>
    <n v="0.1436360510622974"/>
    <n v="0.1585803683843265"/>
    <n v="0.05609201111597151"/>
    <n v="0.1317549039527712"/>
    <n v="0.06120417519156152"/>
    <n v="0.06505024834234874"/>
    <n v="0.1093701754021121"/>
    <n v="0.1389408073023068"/>
    <n v="0.1419330352014603"/>
    <n v="-0.01161780598823625"/>
    <n v="0.04054255411336682"/>
    <n v="0.03006086818187081"/>
    <n v="0.5467839034508742"/>
    <n v="0.5280334540726654"/>
    <n v="-0.0187504493782088"/>
    <n v="-0.020476512524368"/>
    <n v="-0.0215228655037687"/>
    <n v="0.6792887811585896"/>
    <s v=""/>
    <s v=""/>
    <s v="-"/>
    <s v="-"/>
    <n v="30043397.85"/>
    <n v="33812105"/>
    <n v="0.1254421077408192"/>
    <n v="0.06339935848444278"/>
    <n v="0.1269994246722796"/>
  </r>
  <r>
    <x v="3"/>
    <s v="29"/>
    <x v="2"/>
    <d v="2023-08-12T00:00:00"/>
    <d v="2023-08-18T00:00:00"/>
    <n v="202329"/>
    <n v="637681.2230999999"/>
    <n v="96865.56581747311"/>
    <n v="160149.7258064516"/>
    <n v="894696.5147239247"/>
    <n v="684044.3299178212"/>
    <n v="104481.1023897578"/>
    <n v="172589.7845878136"/>
    <n v="961115.2168953926"/>
    <n v="725079"/>
    <n v="125193"/>
    <n v="196227"/>
    <n v="1046499"/>
    <n v="29050194"/>
    <n v="25935112.9975667"/>
    <n v="28928449.07419914"/>
    <n v="0.1201105621836143"/>
    <n v="0.1558525372426844"/>
    <n v="0.004208484370820997"/>
    <n v="0.06141323737695514"/>
    <n v="0.5783536885006004"/>
    <n v="0.5233440220242558"/>
    <n v="0.1370555909975328"/>
    <n v="0.2924407031896679"/>
    <n v="0.2252721571134593"/>
    <n v="0.1696692484858029"/>
    <n v="0.05998831989018694"/>
    <n v="0.198235825776208"/>
    <n v="0.1369560514177466"/>
    <n v="0.08883823874978813"/>
    <n v="0.1103233364040312"/>
    <n v="0.1440498190410442"/>
    <n v="0.1448971514589033"/>
    <n v="-0.009258104456857374"/>
    <n v="0.04571718784307288"/>
    <n v="0.03376039988429791"/>
    <n v="0.5399137165677365"/>
    <s v=""/>
    <s v=""/>
    <s v="-"/>
    <s v="-"/>
    <n v="0.6745639506857932"/>
    <s v=""/>
    <s v=""/>
    <s v="-"/>
    <s v="-"/>
    <n v="30203609.33"/>
    <n v="33784381"/>
    <n v="0.1185544294020306"/>
    <n v="0.06531553932466849"/>
    <n v="0.1241700289115713"/>
  </r>
  <r>
    <x v="3"/>
    <s v="30"/>
    <x v="2"/>
    <d v="2023-08-19T00:00:00"/>
    <d v="2023-08-25T00:00:00"/>
    <n v="202330"/>
    <n v="628983.5478099999"/>
    <n v="96865.56581747311"/>
    <n v="160149.7258064516"/>
    <n v="885998.8394339246"/>
    <n v="667271.8433574596"/>
    <n v="104481.1023897578"/>
    <n v="172589.7845878136"/>
    <n v="944342.7303350309"/>
    <n v="0"/>
    <n v="0"/>
    <n v="0"/>
    <n v="0"/>
    <n v="0"/>
    <n v="26821111.83700063"/>
    <n v="29872791.80453417"/>
    <s v=""/>
    <s v="-"/>
    <s v=""/>
    <s v="-"/>
    <s v=""/>
    <s v=""/>
    <s v=""/>
    <s v=""/>
    <s v=""/>
    <s v=""/>
    <s v=""/>
    <s v=""/>
    <s v=""/>
    <s v=""/>
    <s v="-"/>
    <s v="-"/>
    <s v="-"/>
    <s v="-"/>
    <s v="-"/>
    <s v="-"/>
    <n v="0.5323195184823171"/>
    <s v=""/>
    <s v=""/>
    <s v="-"/>
    <s v="-"/>
    <n v="0.6717858792082303"/>
    <s v=""/>
    <s v=""/>
    <s v="-"/>
    <s v="-"/>
    <n v="30324148.26"/>
    <n v="0"/>
    <s v=""/>
    <s v="-"/>
    <s v="-"/>
  </r>
  <r>
    <x v="3"/>
    <s v="31"/>
    <x v="2"/>
    <d v="2023-08-26T00:00:00"/>
    <d v="2023-09-01T00:00:00"/>
    <n v="202331"/>
    <n v="620337.4575100001"/>
    <n v="97329.49071604204"/>
    <n v="163217.4291827982"/>
    <n v="880884.3774088402"/>
    <n v="656672.6232291885"/>
    <n v="105120.4119279628"/>
    <n v="175895.7800382387"/>
    <n v="937688.81519539"/>
    <n v="0"/>
    <n v="0"/>
    <n v="0"/>
    <n v="0"/>
    <n v="0"/>
    <n v="27701996.21440947"/>
    <n v="30810480.61972956"/>
    <s v=""/>
    <s v="-"/>
    <s v=""/>
    <s v="-"/>
    <s v=""/>
    <s v=""/>
    <s v=""/>
    <s v=""/>
    <s v=""/>
    <s v=""/>
    <s v=""/>
    <s v=""/>
    <s v=""/>
    <s v=""/>
    <s v="-"/>
    <s v="-"/>
    <s v="-"/>
    <s v="-"/>
    <s v="-"/>
    <s v="-"/>
    <n v="0.5249234414036159"/>
    <s v=""/>
    <s v=""/>
    <s v="-"/>
    <s v="-"/>
    <n v="0.6716374310998574"/>
    <s v=""/>
    <s v=""/>
    <s v="-"/>
    <s v="-"/>
    <n v="30361113.87"/>
    <n v="0"/>
    <s v=""/>
    <s v="-"/>
    <s v="-"/>
  </r>
  <r>
    <x v="3"/>
    <s v="32"/>
    <x v="2"/>
    <d v="2023-09-02T00:00:00"/>
    <d v="2023-09-08T00:00:00"/>
    <n v="202332"/>
    <n v="613590.0227500001"/>
    <n v="100094.4180113889"/>
    <n v="181675.55"/>
    <n v="895359.990761389"/>
    <n v="654959.7920659718"/>
    <n v="108930.6070647427"/>
    <n v="195787.6848148148"/>
    <n v="959678.0839455292"/>
    <n v="0"/>
    <n v="0"/>
    <n v="0"/>
    <n v="0"/>
    <n v="0"/>
    <n v="28597356.20517085"/>
    <n v="31770158.70367509"/>
    <s v=""/>
    <s v="-"/>
    <s v=""/>
    <s v="-"/>
    <s v=""/>
    <s v=""/>
    <s v=""/>
    <s v=""/>
    <s v=""/>
    <s v=""/>
    <s v=""/>
    <s v=""/>
    <s v=""/>
    <s v=""/>
    <s v="-"/>
    <s v="-"/>
    <s v="-"/>
    <s v="-"/>
    <s v="-"/>
    <s v="-"/>
    <n v="0.518728184639404"/>
    <s v=""/>
    <s v=""/>
    <s v="-"/>
    <s v="-"/>
    <n v="0.6745431226480163"/>
    <s v=""/>
    <s v=""/>
    <s v="-"/>
    <s v="-"/>
    <n v="30303571.03"/>
    <n v="0"/>
    <s v=""/>
    <s v="-"/>
    <s v="-"/>
  </r>
  <r>
    <x v="3"/>
    <s v="33"/>
    <x v="2"/>
    <d v="2023-09-09T00:00:00"/>
    <d v="2023-09-15T00:00:00"/>
    <n v="202333"/>
    <n v="610521.67657"/>
    <n v="100094.4180113889"/>
    <n v="181675.55"/>
    <n v="892291.6445813889"/>
    <n v="664101.0600641633"/>
    <n v="108930.6070647427"/>
    <n v="195787.6848148148"/>
    <n v="968819.3519437207"/>
    <n v="0"/>
    <n v="0"/>
    <n v="0"/>
    <n v="0"/>
    <n v="0"/>
    <n v="29489647.84975224"/>
    <n v="32738978.05561881"/>
    <s v=""/>
    <s v="-"/>
    <s v=""/>
    <s v="-"/>
    <s v=""/>
    <s v=""/>
    <s v=""/>
    <s v=""/>
    <s v=""/>
    <s v=""/>
    <s v=""/>
    <s v=""/>
    <s v=""/>
    <s v=""/>
    <s v="-"/>
    <s v="-"/>
    <s v="-"/>
    <s v="-"/>
    <s v="-"/>
    <s v="-"/>
    <n v="0.5146907551940763"/>
    <s v=""/>
    <s v=""/>
    <s v="-"/>
    <s v="-"/>
    <n v="0.6806016493429613"/>
    <s v=""/>
    <s v=""/>
    <s v="-"/>
    <s v="-"/>
    <n v="30183489.39"/>
    <n v="0"/>
    <s v=""/>
    <s v="-"/>
    <s v="-"/>
  </r>
  <r>
    <x v="3"/>
    <s v="34"/>
    <x v="2"/>
    <d v="2023-09-16T00:00:00"/>
    <d v="2023-09-22T00:00:00"/>
    <n v="202334"/>
    <n v="612611.2496099999"/>
    <n v="100094.4180113889"/>
    <n v="181675.55"/>
    <n v="894381.2176213888"/>
    <n v="685037.3014752155"/>
    <n v="108930.6070647427"/>
    <n v="195787.6848148148"/>
    <n v="989755.5933547729"/>
    <n v="0"/>
    <n v="0"/>
    <n v="0"/>
    <n v="0"/>
    <n v="0"/>
    <n v="30384029.06737363"/>
    <n v="33728733.64897358"/>
    <s v=""/>
    <s v="-"/>
    <s v=""/>
    <s v="-"/>
    <s v=""/>
    <s v=""/>
    <s v=""/>
    <s v=""/>
    <s v=""/>
    <s v=""/>
    <s v=""/>
    <s v=""/>
    <s v=""/>
    <s v=""/>
    <s v="-"/>
    <s v="-"/>
    <s v="-"/>
    <s v="-"/>
    <s v="-"/>
    <s v="-"/>
    <n v="0.5135970421884983"/>
    <s v=""/>
    <s v=""/>
    <s v="-"/>
    <s v="-"/>
    <n v="0.689556431951472"/>
    <s v=""/>
    <s v=""/>
    <s v="-"/>
    <s v="-"/>
    <n v="30074749.01"/>
    <n v="0"/>
    <s v=""/>
    <s v="-"/>
    <s v="-"/>
  </r>
  <r>
    <x v="3"/>
    <s v="35"/>
    <x v="2"/>
    <d v="2023-09-23T00:00:00"/>
    <d v="2023-09-29T00:00:00"/>
    <n v="202335"/>
    <n v="620830.3497500001"/>
    <n v="100094.4180113889"/>
    <n v="181675.55"/>
    <n v="902600.3177613888"/>
    <n v="717511.9292256117"/>
    <n v="108930.6070647427"/>
    <n v="195787.6848148148"/>
    <n v="1022230.221105169"/>
    <n v="0"/>
    <n v="0"/>
    <n v="0"/>
    <n v="0"/>
    <n v="0"/>
    <n v="31286629.38513502"/>
    <n v="34750963.87007875"/>
    <s v=""/>
    <s v="-"/>
    <s v=""/>
    <s v="-"/>
    <s v=""/>
    <s v=""/>
    <s v=""/>
    <s v=""/>
    <s v=""/>
    <s v=""/>
    <s v=""/>
    <s v=""/>
    <s v=""/>
    <s v=""/>
    <s v="-"/>
    <s v="-"/>
    <s v="-"/>
    <s v="-"/>
    <s v="-"/>
    <s v="-"/>
    <n v="0.5159534713377915"/>
    <s v=""/>
    <s v=""/>
    <s v="-"/>
    <s v="-"/>
    <n v="0.7008087942615393"/>
    <s v=""/>
    <s v=""/>
    <s v="-"/>
    <s v="-"/>
    <n v="30080527.94"/>
    <n v="0"/>
    <s v=""/>
    <s v="-"/>
    <s v="-"/>
  </r>
  <r>
    <x v="3"/>
    <s v="36"/>
    <x v="2"/>
    <d v="2023-09-30T00:00:00"/>
    <d v="2023-10-06T00:00:00"/>
    <n v="202336"/>
    <n v="635493.65198"/>
    <n v="97331.16732667314"/>
    <n v="203046.5970469539"/>
    <n v="935871.416353627"/>
    <n v="657346.1526156571"/>
    <n v="117485.2894345463"/>
    <n v="218818.7851659165"/>
    <n v="993650.2272161199"/>
    <n v="0"/>
    <n v="0"/>
    <n v="0"/>
    <n v="0"/>
    <n v="0"/>
    <n v="32222500.80148865"/>
    <n v="35744614.09729487"/>
    <s v=""/>
    <s v="-"/>
    <s v=""/>
    <s v="-"/>
    <s v=""/>
    <s v=""/>
    <s v=""/>
    <s v=""/>
    <s v=""/>
    <s v=""/>
    <s v=""/>
    <s v=""/>
    <s v=""/>
    <s v=""/>
    <s v="-"/>
    <s v="-"/>
    <s v="-"/>
    <s v="-"/>
    <s v="-"/>
    <s v="-"/>
    <n v="0.5219100527604906"/>
    <s v=""/>
    <s v=""/>
    <s v="-"/>
    <s v="-"/>
    <n v="0.7134730721121756"/>
    <s v=""/>
    <s v=""/>
    <s v="-"/>
    <s v="-"/>
    <n v="30311217.77"/>
    <n v="0"/>
    <s v=""/>
    <s v="-"/>
    <s v="-"/>
  </r>
  <r>
    <x v="3"/>
    <s v="37"/>
    <x v="2"/>
    <d v="2023-10-07T00:00:00"/>
    <d v="2023-10-13T00:00:00"/>
    <n v="202337"/>
    <n v="656184.97039"/>
    <n v="96865.56581747311"/>
    <n v="206632.4677419354"/>
    <n v="959683.0039494085"/>
    <n v="690187.984199748"/>
    <n v="118926.7341229124"/>
    <n v="222683.1979689367"/>
    <n v="1031797.916291597"/>
    <n v="0"/>
    <n v="0"/>
    <n v="0"/>
    <n v="0"/>
    <n v="0"/>
    <n v="33182183.80543806"/>
    <n v="36776412.01358646"/>
    <s v=""/>
    <s v="-"/>
    <s v=""/>
    <s v="-"/>
    <s v=""/>
    <s v=""/>
    <s v=""/>
    <s v=""/>
    <s v=""/>
    <s v=""/>
    <s v=""/>
    <s v=""/>
    <s v=""/>
    <s v=""/>
    <s v="-"/>
    <s v="-"/>
    <s v="-"/>
    <s v="-"/>
    <s v="-"/>
    <s v="-"/>
    <n v="0.5312253368931535"/>
    <s v=""/>
    <s v=""/>
    <s v="-"/>
    <s v="-"/>
    <n v="0.7264676748778497"/>
    <s v=""/>
    <s v=""/>
    <s v="-"/>
    <s v="-"/>
    <n v="30857454.98"/>
    <n v="0"/>
    <s v=""/>
    <s v="-"/>
    <s v="-"/>
  </r>
  <r>
    <x v="3"/>
    <s v="38"/>
    <x v="2"/>
    <d v="2023-10-14T00:00:00"/>
    <d v="2023-10-20T00:00:00"/>
    <n v="202338"/>
    <n v="681769.71678"/>
    <n v="96865.56581747311"/>
    <n v="206632.4677419354"/>
    <n v="985267.7503394085"/>
    <n v="744077.703290939"/>
    <n v="118926.7341229124"/>
    <n v="222683.1979689367"/>
    <n v="1085687.635382788"/>
    <n v="0"/>
    <n v="0"/>
    <n v="0"/>
    <n v="0"/>
    <n v="0"/>
    <n v="34167451.55577747"/>
    <n v="37862099.64896925"/>
    <s v=""/>
    <s v="-"/>
    <s v=""/>
    <s v="-"/>
    <s v=""/>
    <s v=""/>
    <s v=""/>
    <s v=""/>
    <s v=""/>
    <s v=""/>
    <s v=""/>
    <s v=""/>
    <s v=""/>
    <s v=""/>
    <s v="-"/>
    <s v="-"/>
    <s v="-"/>
    <s v="-"/>
    <s v="-"/>
    <s v="-"/>
    <n v="0.5432786051641791"/>
    <s v=""/>
    <s v=""/>
    <s v="-"/>
    <s v="-"/>
    <n v="0.7386315505092073"/>
    <s v=""/>
    <s v=""/>
    <s v="-"/>
    <s v="-"/>
    <n v="31764320.58"/>
    <n v="0"/>
    <s v=""/>
    <s v="-"/>
    <s v="-"/>
  </r>
  <r>
    <x v="3"/>
    <s v="39"/>
    <x v="2"/>
    <d v="2023-10-21T00:00:00"/>
    <d v="2023-10-27T00:00:00"/>
    <n v="202339"/>
    <n v="710493.6771"/>
    <n v="96865.56581747311"/>
    <n v="206632.4677419354"/>
    <n v="1013991.710659408"/>
    <n v="797863.4066172611"/>
    <n v="118926.7341229124"/>
    <n v="222683.1979689367"/>
    <n v="1139473.33870911"/>
    <n v="0"/>
    <n v="0"/>
    <n v="0"/>
    <n v="0"/>
    <n v="0"/>
    <n v="35181443.26643687"/>
    <n v="39001572.98767836"/>
    <s v=""/>
    <s v="-"/>
    <s v=""/>
    <s v="-"/>
    <s v=""/>
    <s v=""/>
    <s v=""/>
    <s v=""/>
    <s v=""/>
    <s v=""/>
    <s v=""/>
    <s v=""/>
    <s v=""/>
    <s v=""/>
    <s v="-"/>
    <s v="-"/>
    <s v="-"/>
    <s v="-"/>
    <s v="-"/>
    <s v="-"/>
    <n v="0.5571287014862163"/>
    <s v=""/>
    <s v=""/>
    <s v="-"/>
    <s v="-"/>
    <n v="0.748852229274264"/>
    <s v=""/>
    <s v=""/>
    <s v="-"/>
    <s v="-"/>
    <n v="33012872.15"/>
    <n v="0"/>
    <s v=""/>
    <s v="-"/>
    <s v="-"/>
  </r>
  <r>
    <x v="3"/>
    <s v="40"/>
    <x v="3"/>
    <d v="2023-10-28T00:00:00"/>
    <d v="2023-11-03T00:00:00"/>
    <n v="202340"/>
    <n v="740157.3109000002"/>
    <n v="130330.8556676503"/>
    <n v="229714.9435373505"/>
    <n v="1100203.110105001"/>
    <n v="866080.4296340951"/>
    <n v="143333.8665545826"/>
    <n v="247474.6444626208"/>
    <n v="1256888.940651299"/>
    <n v="0"/>
    <n v="0"/>
    <n v="0"/>
    <n v="0"/>
    <n v="0"/>
    <n v="36281646.37654188"/>
    <n v="40258461.92832965"/>
    <s v=""/>
    <s v="-"/>
    <s v=""/>
    <s v="-"/>
    <s v=""/>
    <s v=""/>
    <s v=""/>
    <s v=""/>
    <s v=""/>
    <s v=""/>
    <s v=""/>
    <s v=""/>
    <s v=""/>
    <s v=""/>
    <s v="-"/>
    <s v="-"/>
    <s v="-"/>
    <s v="-"/>
    <s v="-"/>
    <s v="-"/>
    <n v="0.5716130118267914"/>
    <s v=""/>
    <s v=""/>
    <s v="-"/>
    <s v="-"/>
    <n v="0.7561900620518194"/>
    <s v=""/>
    <s v=""/>
    <s v="-"/>
    <s v="-"/>
    <n v="34513861.52"/>
    <n v="0"/>
    <s v=""/>
    <s v="-"/>
    <s v="-"/>
  </r>
  <r>
    <x v="3"/>
    <s v="41"/>
    <x v="3"/>
    <d v="2023-11-04T00:00:00"/>
    <d v="2023-11-10T00:00:00"/>
    <n v="202341"/>
    <n v="768345.3594"/>
    <n v="174836.0024505556"/>
    <n v="260670.0000000001"/>
    <n v="1203851.361850556"/>
    <n v="932423.6222673187"/>
    <n v="175792.6624079686"/>
    <n v="280721.5384615384"/>
    <n v="1388937.823136826"/>
    <n v="0"/>
    <n v="0"/>
    <n v="0"/>
    <n v="0"/>
    <n v="0"/>
    <n v="37485497.73839243"/>
    <n v="41647399.75146648"/>
    <s v=""/>
    <s v="-"/>
    <s v=""/>
    <s v="-"/>
    <s v=""/>
    <s v=""/>
    <s v=""/>
    <s v=""/>
    <s v=""/>
    <s v=""/>
    <s v=""/>
    <s v=""/>
    <s v=""/>
    <s v=""/>
    <s v="-"/>
    <s v="-"/>
    <s v="-"/>
    <s v="-"/>
    <s v="-"/>
    <s v="-"/>
    <n v="0.5854749767106634"/>
    <s v=""/>
    <s v=""/>
    <s v="-"/>
    <s v="-"/>
    <n v="0.7599836312494856"/>
    <s v=""/>
    <s v=""/>
    <s v="-"/>
    <s v="-"/>
    <n v="36116010.48"/>
    <n v="0"/>
    <s v=""/>
    <s v="-"/>
    <s v="-"/>
  </r>
  <r>
    <x v="3"/>
    <s v="42"/>
    <x v="3"/>
    <d v="2023-11-11T00:00:00"/>
    <d v="2023-11-17T00:00:00"/>
    <n v="202342"/>
    <n v="792684.6274"/>
    <n v="174836.0024505556"/>
    <n v="260670.0000000001"/>
    <n v="1228190.629850556"/>
    <n v="962613.4507398977"/>
    <n v="175792.6624079686"/>
    <n v="280721.5384615384"/>
    <n v="1419127.651609405"/>
    <n v="0"/>
    <n v="0"/>
    <n v="0"/>
    <n v="0"/>
    <n v="0"/>
    <n v="38713688.36824299"/>
    <n v="43066527.40307589"/>
    <s v=""/>
    <s v="-"/>
    <s v=""/>
    <s v="-"/>
    <s v=""/>
    <s v=""/>
    <s v=""/>
    <s v=""/>
    <s v=""/>
    <s v=""/>
    <s v=""/>
    <s v=""/>
    <s v=""/>
    <s v=""/>
    <s v="-"/>
    <s v="-"/>
    <s v="-"/>
    <s v="-"/>
    <s v="-"/>
    <s v="-"/>
    <n v="0.5975048334068802"/>
    <s v=""/>
    <s v=""/>
    <s v="-"/>
    <s v="-"/>
    <n v="0.7599235566482544"/>
    <s v=""/>
    <s v=""/>
    <s v="-"/>
    <s v="-"/>
    <n v="37628095.81"/>
    <n v="0"/>
    <s v=""/>
    <s v="-"/>
    <s v="-"/>
  </r>
  <r>
    <x v="3"/>
    <s v="43"/>
    <x v="3"/>
    <d v="2023-11-18T00:00:00"/>
    <d v="2023-11-24T00:00:00"/>
    <n v="202343"/>
    <n v="814487.4907"/>
    <n v="174836.0024505556"/>
    <n v="260670.0000000001"/>
    <n v="1249993.493150556"/>
    <n v="1057207.500179331"/>
    <n v="175792.6624079686"/>
    <n v="280721.5384615384"/>
    <n v="1513721.701048838"/>
    <n v="0"/>
    <n v="0"/>
    <n v="0"/>
    <n v="0"/>
    <n v="0"/>
    <n v="39963681.86139354"/>
    <n v="44580249.10412472"/>
    <s v=""/>
    <s v="-"/>
    <s v=""/>
    <s v="-"/>
    <s v=""/>
    <s v=""/>
    <s v=""/>
    <s v=""/>
    <s v=""/>
    <s v=""/>
    <s v=""/>
    <s v=""/>
    <s v=""/>
    <s v=""/>
    <s v="-"/>
    <s v="-"/>
    <s v="-"/>
    <s v="-"/>
    <s v="-"/>
    <s v="-"/>
    <n v="0.6284805127121834"/>
    <s v=""/>
    <s v=""/>
    <s v="-"/>
    <s v="-"/>
    <n v="0.7570004857567596"/>
    <s v=""/>
    <s v=""/>
    <s v="-"/>
    <s v="-"/>
    <n v="41363018.28"/>
    <n v="0"/>
    <s v=""/>
    <s v="-"/>
    <s v="-"/>
  </r>
  <r>
    <x v="3"/>
    <s v="44"/>
    <x v="3"/>
    <d v="2023-11-25T00:00:00"/>
    <d v="2023-12-01T00:00:00"/>
    <n v="202344"/>
    <n v="822033.0974"/>
    <n v="174122.9921423783"/>
    <n v="258812.7284910064"/>
    <n v="1254968.818033385"/>
    <n v="985244.5460530448"/>
    <n v="175119.0012648846"/>
    <n v="278721.3999133914"/>
    <n v="1439084.947231321"/>
    <n v="0"/>
    <n v="0"/>
    <n v="0"/>
    <n v="0"/>
    <n v="0"/>
    <n v="41218650.67942692"/>
    <n v="46019334.05135605"/>
    <s v=""/>
    <s v="-"/>
    <s v=""/>
    <s v="-"/>
    <s v=""/>
    <s v=""/>
    <s v=""/>
    <s v=""/>
    <s v=""/>
    <s v=""/>
    <s v=""/>
    <s v=""/>
    <s v=""/>
    <s v=""/>
    <s v="-"/>
    <s v="-"/>
    <s v="-"/>
    <s v="-"/>
    <s v="-"/>
    <s v="-"/>
    <n v="0.6122639385212131"/>
    <s v=""/>
    <s v=""/>
    <s v="-"/>
    <s v="-"/>
    <n v="0.7489202630189996"/>
    <s v=""/>
    <s v=""/>
    <s v="-"/>
    <s v="-"/>
    <n v="39613681.98"/>
    <n v="0"/>
    <s v=""/>
    <s v="-"/>
    <s v="-"/>
  </r>
  <r>
    <x v="3"/>
    <s v="45"/>
    <x v="3"/>
    <d v="2023-12-02T00:00:00"/>
    <d v="2023-12-08T00:00:00"/>
    <n v="202345"/>
    <n v="824612.8049"/>
    <n v="169873.5507586022"/>
    <n v="247637.6774193548"/>
    <n v="1242124.033077957"/>
    <n v="992394.7474559522"/>
    <n v="171104.0753834039"/>
    <n v="266686.729528536"/>
    <n v="1430185.552367892"/>
    <n v="0"/>
    <n v="0"/>
    <n v="0"/>
    <n v="0"/>
    <n v="0"/>
    <n v="42460774.71250488"/>
    <n v="47449519.60372394"/>
    <s v=""/>
    <s v="-"/>
    <s v=""/>
    <s v="-"/>
    <s v=""/>
    <s v=""/>
    <s v=""/>
    <s v=""/>
    <s v=""/>
    <s v=""/>
    <s v=""/>
    <s v=""/>
    <s v=""/>
    <s v=""/>
    <s v="-"/>
    <s v="-"/>
    <s v="-"/>
    <s v="-"/>
    <s v="-"/>
    <s v="-"/>
    <n v="0.6139226029590013"/>
    <s v=""/>
    <s v=""/>
    <s v="-"/>
    <s v="-"/>
    <n v="0.7391968981924876"/>
    <s v=""/>
    <s v=""/>
    <s v="-"/>
    <s v="-"/>
    <n v="39805466.38"/>
    <n v="0"/>
    <s v=""/>
    <s v="-"/>
    <s v="-"/>
  </r>
  <r>
    <x v="3"/>
    <s v="46"/>
    <x v="3"/>
    <d v="2023-12-09T00:00:00"/>
    <d v="2023-12-15T00:00:00"/>
    <n v="202346"/>
    <n v="818732.6744000001"/>
    <n v="169873.5507586022"/>
    <n v="247637.6774193548"/>
    <n v="1236243.902577957"/>
    <n v="969561.1770023422"/>
    <n v="171104.0753834039"/>
    <n v="266686.729528536"/>
    <n v="1407351.981914282"/>
    <n v="0"/>
    <n v="0"/>
    <n v="0"/>
    <n v="0"/>
    <n v="0"/>
    <n v="43697018.61508284"/>
    <n v="48856871.58563823"/>
    <s v=""/>
    <s v="-"/>
    <s v=""/>
    <s v="-"/>
    <s v=""/>
    <s v=""/>
    <s v=""/>
    <s v=""/>
    <s v=""/>
    <s v=""/>
    <s v=""/>
    <s v=""/>
    <s v=""/>
    <s v=""/>
    <s v="-"/>
    <s v="-"/>
    <s v="-"/>
    <s v="-"/>
    <s v="-"/>
    <s v="-"/>
    <n v="0.611726251284561"/>
    <s v=""/>
    <s v=""/>
    <s v="-"/>
    <s v="-"/>
    <n v="0.7279148867923781"/>
    <s v=""/>
    <s v=""/>
    <s v="-"/>
    <s v="-"/>
    <n v="39398500.55"/>
    <n v="0"/>
    <s v=""/>
    <s v="-"/>
    <s v="-"/>
  </r>
  <r>
    <x v="3"/>
    <s v="47"/>
    <x v="3"/>
    <d v="2023-12-16T00:00:00"/>
    <d v="2023-12-22T00:00:00"/>
    <n v="202347"/>
    <n v="805051.7936999999"/>
    <n v="169873.5507586022"/>
    <n v="247637.6774193548"/>
    <n v="1222563.021877957"/>
    <n v="937546.3545056341"/>
    <n v="171104.0753834039"/>
    <n v="266686.729528536"/>
    <n v="1375337.159417574"/>
    <n v="0"/>
    <n v="0"/>
    <n v="0"/>
    <n v="0"/>
    <n v="0"/>
    <n v="44919581.6369608"/>
    <n v="50232208.7450558"/>
    <s v=""/>
    <s v="-"/>
    <s v=""/>
    <s v="-"/>
    <s v=""/>
    <s v=""/>
    <s v=""/>
    <s v=""/>
    <s v=""/>
    <s v=""/>
    <s v=""/>
    <s v=""/>
    <s v=""/>
    <s v=""/>
    <s v="-"/>
    <s v="-"/>
    <s v="-"/>
    <s v="-"/>
    <s v="-"/>
    <s v="-"/>
    <n v="0.6061544191720308"/>
    <s v=""/>
    <s v=""/>
    <s v="-"/>
    <s v="-"/>
    <n v="0.7161872567686273"/>
    <s v=""/>
    <s v=""/>
    <s v="-"/>
    <s v="-"/>
    <n v="38454947.96"/>
    <n v="0"/>
    <s v=""/>
    <s v="-"/>
    <s v="-"/>
  </r>
  <r>
    <x v="3"/>
    <s v="48"/>
    <x v="3"/>
    <d v="2023-12-23T00:00:00"/>
    <d v="2023-12-29T00:00:00"/>
    <n v="202348"/>
    <n v="784904.9129999999"/>
    <n v="169873.5507586022"/>
    <n v="247637.6774193548"/>
    <n v="1202416.141177957"/>
    <n v="899784.0686657772"/>
    <n v="171104.0753834039"/>
    <n v="266686.729528536"/>
    <n v="1337574.873577717"/>
    <n v="0"/>
    <n v="0"/>
    <n v="0"/>
    <n v="0"/>
    <n v="0"/>
    <n v="46121997.77813876"/>
    <n v="51569783.61863352"/>
    <s v=""/>
    <s v="-"/>
    <s v=""/>
    <s v="-"/>
    <s v=""/>
    <s v=""/>
    <s v=""/>
    <s v=""/>
    <s v=""/>
    <s v=""/>
    <s v=""/>
    <s v=""/>
    <s v=""/>
    <s v=""/>
    <s v="-"/>
    <s v="-"/>
    <s v="-"/>
    <s v="-"/>
    <s v="-"/>
    <s v="-"/>
    <n v="0.598032344094639"/>
    <s v=""/>
    <s v=""/>
    <s v="-"/>
    <s v="-"/>
    <n v="0.7051143777181704"/>
    <s v=""/>
    <s v=""/>
    <s v="-"/>
    <s v="-"/>
    <n v="37117476.07"/>
    <n v="0"/>
    <s v=""/>
    <s v="-"/>
    <s v="-"/>
  </r>
  <r>
    <x v="3"/>
    <s v="49"/>
    <x v="3"/>
    <d v="2023-12-30T00:00:00"/>
    <d v="2024-01-05T00:00:00"/>
    <n v="202349"/>
    <n v="760138.9061000001"/>
    <n v="157823.4839551593"/>
    <n v="175132.8917764351"/>
    <n v="1093095.281831595"/>
    <n v="772155.3642064143"/>
    <n v="151469.331516188"/>
    <n v="173706.5978694957"/>
    <n v="1097331.293592098"/>
    <n v="0"/>
    <n v="0"/>
    <n v="0"/>
    <n v="0"/>
    <n v="0"/>
    <n v="47215093.05997035"/>
    <n v="52667114.91222561"/>
    <s v=""/>
    <s v="-"/>
    <s v=""/>
    <s v="-"/>
    <s v=""/>
    <s v=""/>
    <s v=""/>
    <s v=""/>
    <s v=""/>
    <s v=""/>
    <s v=""/>
    <s v=""/>
    <s v=""/>
    <s v=""/>
    <s v="-"/>
    <s v="-"/>
    <s v="-"/>
    <s v="-"/>
    <s v="-"/>
    <s v="-"/>
    <n v="0.5884308003350488"/>
    <s v=""/>
    <s v=""/>
    <s v="-"/>
    <s v="-"/>
    <n v="0.6956619445813353"/>
    <s v=""/>
    <s v=""/>
    <s v="-"/>
    <s v="-"/>
    <n v="35584551.08"/>
    <n v="0"/>
    <s v=""/>
    <s v="-"/>
    <s v="-"/>
  </r>
  <r>
    <x v="3"/>
    <s v="50"/>
    <x v="3"/>
    <d v="2024-01-06T00:00:00"/>
    <d v="2024-01-12T00:00:00"/>
    <n v="202350"/>
    <n v="732895.6303"/>
    <n v="152961.3419505556"/>
    <n v="145771.0666666667"/>
    <n v="1031628.038917222"/>
    <n v="698820.2087110268"/>
    <n v="143546.8100510662"/>
    <n v="136052.9955555555"/>
    <n v="978420.0143176486"/>
    <n v="0"/>
    <n v="0"/>
    <n v="0"/>
    <n v="0"/>
    <n v="0"/>
    <n v="48246721.09888757"/>
    <n v="53645534.92654326"/>
    <s v=""/>
    <s v="-"/>
    <s v=""/>
    <s v="-"/>
    <s v=""/>
    <s v=""/>
    <s v=""/>
    <s v=""/>
    <s v=""/>
    <s v=""/>
    <s v=""/>
    <s v=""/>
    <s v=""/>
    <s v=""/>
    <s v="-"/>
    <s v="-"/>
    <s v="-"/>
    <s v="-"/>
    <s v="-"/>
    <s v="-"/>
    <n v="0.5785382846777871"/>
    <s v=""/>
    <s v=""/>
    <s v="-"/>
    <s v="-"/>
    <n v="0.6885580660832487"/>
    <s v=""/>
    <s v=""/>
    <s v="-"/>
    <s v="-"/>
    <n v="34075328.99"/>
    <n v="0"/>
    <s v=""/>
    <s v="-"/>
    <s v="-"/>
  </r>
  <r>
    <x v="3"/>
    <s v="51"/>
    <x v="3"/>
    <d v="2024-01-13T00:00:00"/>
    <d v="2024-01-19T00:00:00"/>
    <n v="202351"/>
    <n v="705368.25931"/>
    <n v="152961.3419505556"/>
    <n v="145771.0666666667"/>
    <n v="1004100.667927222"/>
    <n v="665305.7457101687"/>
    <n v="143546.8100510662"/>
    <n v="136052.9955555555"/>
    <n v="944905.5513167905"/>
    <n v="0"/>
    <n v="0"/>
    <n v="0"/>
    <n v="0"/>
    <n v="0"/>
    <n v="49250821.76681479"/>
    <n v="54590440.47786005"/>
    <s v=""/>
    <s v="-"/>
    <s v=""/>
    <s v="-"/>
    <s v=""/>
    <s v=""/>
    <s v=""/>
    <s v=""/>
    <s v=""/>
    <s v=""/>
    <s v=""/>
    <s v=""/>
    <s v=""/>
    <s v=""/>
    <s v="-"/>
    <s v="-"/>
    <s v="-"/>
    <s v="-"/>
    <s v="-"/>
    <s v="-"/>
    <n v="0.5695213322830025"/>
    <s v=""/>
    <s v=""/>
    <s v="-"/>
    <s v="-"/>
    <n v="0.6842215599389248"/>
    <s v=""/>
    <s v=""/>
    <s v="-"/>
    <s v="-"/>
    <n v="32791066.52"/>
    <n v="0"/>
    <s v=""/>
    <s v="-"/>
    <s v="-"/>
  </r>
  <r>
    <x v="3"/>
    <s v="52"/>
    <x v="3"/>
    <d v="2024-01-20T00:00:00"/>
    <d v="2024-01-26T00:00:00"/>
    <n v="202352"/>
    <n v="679560.94496"/>
    <n v="152961.3419505556"/>
    <n v="145771.0666666667"/>
    <n v="978293.3535772222"/>
    <n v="638750.8318612798"/>
    <n v="143546.8100510662"/>
    <n v="136052.9955555555"/>
    <n v="918350.6374679016"/>
    <n v="0"/>
    <n v="0"/>
    <n v="0"/>
    <n v="0"/>
    <n v="0"/>
    <n v="50229115.12039201"/>
    <n v="55508791.11532795"/>
    <s v=""/>
    <s v="-"/>
    <s v=""/>
    <s v="-"/>
    <s v=""/>
    <s v=""/>
    <s v=""/>
    <s v=""/>
    <s v=""/>
    <s v=""/>
    <s v=""/>
    <s v=""/>
    <s v=""/>
    <s v=""/>
    <s v="-"/>
    <s v="-"/>
    <s v="-"/>
    <s v="-"/>
    <s v="-"/>
    <s v="-"/>
    <n v="0.5623900955351845"/>
    <s v=""/>
    <s v=""/>
    <s v="-"/>
    <s v="-"/>
    <n v="0.6827295133602713"/>
    <s v=""/>
    <s v=""/>
    <s v="-"/>
    <s v="-"/>
    <n v="31880677.36"/>
    <n v="0"/>
    <s v=""/>
    <s v="-"/>
    <s v="-"/>
  </r>
</pivotCacheRecords>
</file>

<file path=xl/pivotCache/pivotCacheRecords2.xml><?xml version="1.0" encoding="utf-8"?>
<pivotCacheRecords xmlns="http://schemas.openxmlformats.org/spreadsheetml/2006/main" count="208">
  <r>
    <x v="0"/>
    <s v="01"/>
    <x v="0"/>
    <d v="2020-02-01T00:00:00"/>
    <d v="2020-02-07T00:00:00"/>
    <n v="202001"/>
    <n v="464525.99112"/>
    <n v="60360.72658138701"/>
    <n v="99317.8450083135"/>
    <n v="624204.5627097005"/>
    <n v="438782"/>
    <n v="68417"/>
    <n v="118788"/>
    <n v="625987"/>
    <n v="438782"/>
    <n v="68417"/>
    <n v="118788"/>
    <n v="625987"/>
    <n v="625987"/>
    <n v="624204.5627097005"/>
    <n v="625987"/>
    <n v="0.002855533901517493"/>
    <n v="0.002855533901517493"/>
    <n v="0"/>
    <n v="0"/>
    <n v="0.01303331112959246"/>
    <n v="0.01179016160071927"/>
    <n v="-0.05541991538068669"/>
    <n v="0.1334687946101902"/>
    <n v="0.196038838640294"/>
    <n v="0.002855533901517493"/>
    <n v="0"/>
    <n v="0"/>
    <n v="0"/>
    <n v="0"/>
    <n v="-0.05541991538068669"/>
    <n v="0.1334687946101902"/>
    <n v="0.196038838640294"/>
    <n v="0"/>
    <n v="0"/>
    <n v="0"/>
    <m/>
    <n v="0.48"/>
    <n v="0.48"/>
    <s v=""/>
    <s v=""/>
    <m/>
    <n v="0.6899999999999999"/>
    <n v="0.6899999999999999"/>
    <s v=""/>
    <s v=""/>
    <m/>
    <n v="16097351"/>
    <s v=""/>
    <s v=""/>
    <s v=""/>
  </r>
  <r>
    <x v="0"/>
    <s v="02"/>
    <x v="0"/>
    <d v="2020-02-08T00:00:00"/>
    <d v="2020-02-14T00:00:00"/>
    <n v="202002"/>
    <n v="445342.16775"/>
    <n v="60360.72658138701"/>
    <n v="99317.84500831347"/>
    <n v="605020.7393397004"/>
    <n v="446571"/>
    <n v="66180"/>
    <n v="153628"/>
    <n v="666379"/>
    <n v="446571"/>
    <n v="66181"/>
    <n v="153628"/>
    <n v="666380"/>
    <n v="1292367"/>
    <n v="1229225.302049401"/>
    <n v="1292366"/>
    <n v="0.05136706659497436"/>
    <n v="0.05136706659497436"/>
    <n v="7.737746119396149e-07"/>
    <n v="7.737746119396149e-07"/>
    <n v="0.02690762141165555"/>
    <n v="0.02434110576966737"/>
    <n v="0.002759299116471325"/>
    <n v="0.09642484026041775"/>
    <n v="0.5468317902703232"/>
    <n v="0.1014167889967954"/>
    <n v="0"/>
    <n v="1.511030522816093e-05"/>
    <n v="0"/>
    <n v="1.500647529351085e-06"/>
    <n v="-0.02694363862611304"/>
    <n v="0.1149468174353039"/>
    <n v="0.3714353144553086"/>
    <n v="0"/>
    <n v="7.429586097673635e-06"/>
    <n v="0"/>
    <m/>
    <n v="0.479"/>
    <n v="0.479"/>
    <s v=""/>
    <s v=""/>
    <m/>
    <n v="0.695"/>
    <n v="0.695"/>
    <s v=""/>
    <s v=""/>
    <m/>
    <n v="16125362"/>
    <s v=""/>
    <s v=""/>
    <s v=""/>
  </r>
  <r>
    <x v="0"/>
    <s v="03"/>
    <x v="0"/>
    <d v="2020-02-15T00:00:00"/>
    <d v="2020-02-21T00:00:00"/>
    <n v="202003"/>
    <n v="453202.6952"/>
    <n v="60360.72658138701"/>
    <n v="99317.84500831347"/>
    <n v="612881.2667897005"/>
    <n v="425592"/>
    <n v="60951"/>
    <n v="218415"/>
    <n v="704958"/>
    <n v="425592"/>
    <n v="60954"/>
    <n v="218412"/>
    <n v="704958"/>
    <n v="1997325"/>
    <n v="1842106.568839102"/>
    <n v="1997324"/>
    <n v="0.08426137433444869"/>
    <n v="0.08426137433444869"/>
    <n v="5.006698964304945e-07"/>
    <n v="5.006698964304945e-07"/>
    <n v="0.04158514178715095"/>
    <n v="0.03761864786194701"/>
    <n v="-0.06092350176297012"/>
    <n v="0.009828798495542523"/>
    <n v="1.199121416516012"/>
    <n v="0.1502358420785179"/>
    <n v="0"/>
    <n v="4.921986513761745e-05"/>
    <n v="-1.373532037629577e-05"/>
    <n v="0"/>
    <n v="-0.0382414853302433"/>
    <n v="0.07990747778871676"/>
    <n v="0.6473306818088762"/>
    <n v="0"/>
    <n v="2.045533577432757e-05"/>
    <n v="-6.112083385079181e-06"/>
    <m/>
    <n v="0.488"/>
    <n v="0.488"/>
    <s v=""/>
    <s v=""/>
    <m/>
    <n v="0.7"/>
    <n v="0.7"/>
    <s v=""/>
    <s v=""/>
    <m/>
    <n v="16262827"/>
    <s v=""/>
    <s v=""/>
    <s v=""/>
  </r>
  <r>
    <x v="0"/>
    <s v="04"/>
    <x v="0"/>
    <d v="2020-02-22T00:00:00"/>
    <d v="2020-02-28T00:00:00"/>
    <n v="202004"/>
    <n v="499681.7400999999"/>
    <n v="60360.72658138701"/>
    <n v="99317.84500831347"/>
    <n v="659360.3116897003"/>
    <n v="476515"/>
    <n v="68982"/>
    <n v="249741"/>
    <n v="795238"/>
    <n v="476515"/>
    <n v="68983"/>
    <n v="249740"/>
    <n v="795238"/>
    <n v="2792563"/>
    <n v="2501466.880528802"/>
    <n v="2792562"/>
    <n v="0.11637016733544"/>
    <n v="0.11637016733544"/>
    <n v="3.580941085878919e-07"/>
    <n v="3.580941085878919e-07"/>
    <n v="0.05814232951800615"/>
    <n v="0.0525965699769954"/>
    <n v="-0.04636299116186149"/>
    <n v="0.142845752643272"/>
    <n v="1.514553149830177"/>
    <n v="0.206075018319035"/>
    <n v="0"/>
    <n v="1.449653532814565e-05"/>
    <n v="-4.00414829759832e-06"/>
    <n v="0"/>
    <n v="-0.0404200721049317"/>
    <n v="0.09564204650235553"/>
    <n v="0.8641362988142014"/>
    <n v="0"/>
    <n v="1.89014478508831e-05"/>
    <n v="-5.401230400270407e-06"/>
    <m/>
    <n v="0.526"/>
    <n v="0.526"/>
    <s v=""/>
    <s v=""/>
    <m/>
    <n v="0.705"/>
    <n v="0.705"/>
    <s v=""/>
    <s v=""/>
    <m/>
    <n v="16647127"/>
    <s v=""/>
    <s v=""/>
    <s v=""/>
  </r>
  <r>
    <x v="0"/>
    <s v="05"/>
    <x v="0"/>
    <d v="2020-02-29T00:00:00"/>
    <d v="2020-03-06T00:00:00"/>
    <n v="202005"/>
    <n v="497254.52647"/>
    <n v="58403.53246860295"/>
    <n v="113735.0783423464"/>
    <n v="669393.1372809493"/>
    <n v="514732"/>
    <n v="88451"/>
    <n v="277213"/>
    <n v="880396"/>
    <n v="514732"/>
    <n v="88452"/>
    <n v="277212"/>
    <n v="880396"/>
    <n v="3672959"/>
    <n v="3170860.017809751"/>
    <n v="3672958"/>
    <n v="0.1583478864945511"/>
    <n v="0.1583478864945511"/>
    <n v="2.722601237792333e-07"/>
    <n v="2.722601237792333e-07"/>
    <n v="0.07647254242218576"/>
    <n v="0.06917840172849637"/>
    <n v="0.03514794255181997"/>
    <n v="0.5144974329686436"/>
    <n v="1.437348301335693"/>
    <n v="0.3152151567853485"/>
    <n v="0"/>
    <n v="1.130569467844289e-05"/>
    <n v="-3.607334432387255e-06"/>
    <n v="0"/>
    <n v="-0.02449785855913911"/>
    <n v="0.1772259207731688"/>
    <n v="0.9917165102674899"/>
    <n v="0"/>
    <n v="1.699808204969067e-05"/>
    <n v="-4.912628895126225e-06"/>
    <m/>
    <n v="0.517"/>
    <n v="0.517"/>
    <s v=""/>
    <s v=""/>
    <m/>
    <n v="0.7"/>
    <n v="0.7"/>
    <s v=""/>
    <s v=""/>
    <m/>
    <n v="17249549"/>
    <s v=""/>
    <s v=""/>
    <s v=""/>
  </r>
  <r>
    <x v="0"/>
    <s v="06"/>
    <x v="0"/>
    <d v="2020-03-07T00:00:00"/>
    <d v="2020-03-13T00:00:00"/>
    <n v="202006"/>
    <n v="489099.63155"/>
    <n v="58077.3334498056"/>
    <n v="116137.9505646852"/>
    <n v="663314.9155644907"/>
    <n v="543845"/>
    <n v="105549"/>
    <n v="274829"/>
    <n v="924223"/>
    <n v="543845"/>
    <n v="105549"/>
    <n v="274829"/>
    <n v="924223"/>
    <n v="4597182"/>
    <n v="3834174.933374242"/>
    <n v="4597181"/>
    <n v="0.1990016313507841"/>
    <n v="0.1990016313507841"/>
    <n v="2.175246089919369e-07"/>
    <n v="2.175246089919369e-07"/>
    <n v="0.09571525179494483"/>
    <n v="0.08658569377306211"/>
    <n v="0.1119309132916479"/>
    <n v="0.8173871583002801"/>
    <n v="1.366401324147087"/>
    <n v="0.3933396917714005"/>
    <n v="0"/>
    <n v="0"/>
    <n v="0"/>
    <n v="0"/>
    <n v="-0.001077443724297189"/>
    <n v="0.2810995959426446"/>
    <n v="1.061102644898294"/>
    <n v="0"/>
    <n v="1.308529431010008e-05"/>
    <n v="-3.868130779904888e-06"/>
    <m/>
    <n v="0.51"/>
    <n v="0.51"/>
    <s v=""/>
    <s v=""/>
    <m/>
    <n v="0.702"/>
    <n v="0.702"/>
    <s v=""/>
    <s v=""/>
    <m/>
    <n v="17913011"/>
    <s v=""/>
    <s v=""/>
    <s v=""/>
  </r>
  <r>
    <x v="0"/>
    <s v="07"/>
    <x v="0"/>
    <d v="2020-03-14T00:00:00"/>
    <d v="2020-03-20T00:00:00"/>
    <n v="202007"/>
    <n v="450696.38599"/>
    <n v="58077.3334498056"/>
    <n v="116137.9505646852"/>
    <n v="624911.6700044908"/>
    <n v="632848"/>
    <n v="139848"/>
    <n v="230811"/>
    <n v="1003507"/>
    <n v="632848"/>
    <n v="139848"/>
    <n v="230811"/>
    <n v="1003507"/>
    <n v="5600689"/>
    <n v="4459086.603378733"/>
    <n v="5600688"/>
    <n v="0.2560170945673614"/>
    <n v="0.2560170945673614"/>
    <n v="1.785494925243825e-07"/>
    <n v="1.785494925243825e-07"/>
    <n v="0.1166086872045044"/>
    <n v="0.1054862615124129"/>
    <n v="0.4041559233049665"/>
    <n v="1.407961793233262"/>
    <n v="0.987386542277974"/>
    <n v="0.6058381498825083"/>
    <n v="0"/>
    <n v="0"/>
    <n v="0"/>
    <n v="0"/>
    <n v="0.05427046836459848"/>
    <n v="0.4384192537230858"/>
    <n v="1.049584495742109"/>
    <n v="0"/>
    <n v="1.002710661146544e-05"/>
    <n v="-3.282078211874762e-06"/>
    <m/>
    <n v="0.467"/>
    <n v="0.467"/>
    <s v=""/>
    <s v=""/>
    <m/>
    <n v="0.6909999999999999"/>
    <n v="0.6909999999999999"/>
    <s v=""/>
    <s v=""/>
    <m/>
    <n v="17665393"/>
    <s v=""/>
    <s v=""/>
    <s v=""/>
  </r>
  <r>
    <x v="0"/>
    <s v="08"/>
    <x v="0"/>
    <d v="2020-03-21T00:00:00"/>
    <d v="2020-03-27T00:00:00"/>
    <n v="202008"/>
    <n v="424621.19063"/>
    <n v="58077.3334498056"/>
    <n v="116137.9505646852"/>
    <n v="598836.4746444909"/>
    <n v="714140"/>
    <n v="151173"/>
    <n v="108403"/>
    <n v="973716"/>
    <n v="714140"/>
    <n v="151459"/>
    <n v="107817"/>
    <n v="973416"/>
    <n v="6574105"/>
    <n v="5057923.078023223"/>
    <n v="6574404"/>
    <n v="0.2997637367330905"/>
    <n v="0.2997637367330905"/>
    <n v="-4.547940771515435e-05"/>
    <n v="-4.547940771515435e-05"/>
    <n v="0.1368756154099198"/>
    <n v="0.1238200798580427"/>
    <n v="0.6818284526508158"/>
    <n v="1.607884883883335"/>
    <n v="-0.07164712761183689"/>
    <n v="0.6255122077824073"/>
    <n v="0"/>
    <n v="0.001891872225860514"/>
    <n v="-0.005405754453290057"/>
    <n v="-0.0003080980491231289"/>
    <n v="0.1258182821879814"/>
    <n v="0.5816855146473361"/>
    <n v="0.8980666164007556"/>
    <n v="0"/>
    <n v="0.00038956655384359"/>
    <n v="-0.0003621705228736838"/>
    <m/>
    <n v="0.489"/>
    <n v="0.489"/>
    <s v=""/>
    <s v=""/>
    <m/>
    <n v="0.722"/>
    <n v="0.722"/>
    <s v=""/>
    <s v=""/>
    <m/>
    <n v="16876129"/>
    <s v=""/>
    <s v=""/>
    <s v=""/>
  </r>
  <r>
    <x v="0"/>
    <s v="09"/>
    <x v="0"/>
    <d v="2020-03-28T00:00:00"/>
    <d v="2020-04-03T00:00:00"/>
    <n v="202009"/>
    <n v="436768.7228634296"/>
    <n v="94174.4953606614"/>
    <n v="80044.10744997261"/>
    <n v="610987.3256740636"/>
    <n v="874325"/>
    <n v="224760"/>
    <n v="59733"/>
    <n v="1158818"/>
    <n v="874325"/>
    <n v="225482"/>
    <n v="59011"/>
    <n v="1158818"/>
    <n v="7732923"/>
    <n v="5668910.403697287"/>
    <n v="7733222"/>
    <n v="0.3640933529230865"/>
    <n v="0.3640933529230865"/>
    <n v="-3.866434973676114e-05"/>
    <n v="-3.866434973676114e-05"/>
    <n v="0.1610026907909933"/>
    <n v="0.1456458549712995"/>
    <n v="1.001803137981075"/>
    <n v="1.394300061141484"/>
    <n v="-0.2627689672611848"/>
    <n v="0.8966318142877177"/>
    <n v="0"/>
    <n v="0.003212315358604778"/>
    <n v="-0.0120871210218807"/>
    <n v="0"/>
    <n v="0.2177637367634646"/>
    <n v="0.716357172622293"/>
    <n v="0.7991612758071118"/>
    <n v="0"/>
    <n v="0.001040735453053498"/>
    <n v="-0.0007762061196728842"/>
    <m/>
    <n v="0.5"/>
    <n v="0.5"/>
    <s v=""/>
    <s v=""/>
    <m/>
    <n v="0.705"/>
    <n v="0.705"/>
    <s v=""/>
    <s v=""/>
    <m/>
    <n v="18183447"/>
    <s v=""/>
    <s v=""/>
    <s v=""/>
  </r>
  <r>
    <x v="0"/>
    <s v="10"/>
    <x v="0"/>
    <d v="2020-04-04T00:00:00"/>
    <d v="2020-04-10T00:00:00"/>
    <n v="202010"/>
    <n v="434697.0216237255"/>
    <n v="142304.0445751358"/>
    <n v="31918.98329702251"/>
    <n v="608920.0494958838"/>
    <n v="912885"/>
    <n v="250547"/>
    <n v="78074"/>
    <n v="1241506"/>
    <n v="912885"/>
    <n v="250547"/>
    <n v="78074"/>
    <n v="1241506"/>
    <n v="8974429"/>
    <n v="6277830.453193171"/>
    <n v="8974728"/>
    <n v="0.4295430669739138"/>
    <n v="0.4295430669739138"/>
    <n v="-3.33157729125455e-05"/>
    <n v="-3.33157729125455e-05"/>
    <n v="0.18685136491243"/>
    <n v="0.1690290184687245"/>
    <n v="1.100048895182435"/>
    <n v="0.760645670669694"/>
    <n v="1.4460052274686"/>
    <n v="1.038865366689478"/>
    <n v="0"/>
    <n v="0"/>
    <n v="0"/>
    <n v="0"/>
    <n v="0.301213672351762"/>
    <n v="0.7252268798883719"/>
    <n v="0.8204161184073717"/>
    <n v="0"/>
    <n v="0.0008278510651846815"/>
    <n v="-0.00074196091284362"/>
    <m/>
    <n v="0.513"/>
    <n v="0.513"/>
    <s v=""/>
    <s v=""/>
    <m/>
    <n v="0.706"/>
    <n v="0.706"/>
    <s v=""/>
    <s v=""/>
    <m/>
    <n v="19829316"/>
    <s v=""/>
    <s v=""/>
    <s v=""/>
  </r>
  <r>
    <x v="0"/>
    <s v="11"/>
    <x v="0"/>
    <d v="2020-04-11T00:00:00"/>
    <d v="2020-04-17T00:00:00"/>
    <n v="202011"/>
    <n v="428816.7191137255"/>
    <n v="142304.0445751358"/>
    <n v="31918.98329702251"/>
    <n v="603039.7469858839"/>
    <n v="904782"/>
    <n v="209715"/>
    <n v="129241"/>
    <n v="1243738"/>
    <n v="904782"/>
    <n v="209715"/>
    <n v="129241"/>
    <n v="1243738"/>
    <n v="10218167"/>
    <n v="6880870.200179055"/>
    <n v="10218466"/>
    <n v="0.4850108638488924"/>
    <n v="0.4850108638488924"/>
    <n v="-2.926075205422762e-05"/>
    <n v="-2.926075205422762e-05"/>
    <n v="0.2127465102072957"/>
    <n v="0.1924542206038414"/>
    <n v="1.109950381295755"/>
    <n v="0.4737107481809595"/>
    <n v="3.049032476922783"/>
    <n v="1.06244780085634"/>
    <n v="0"/>
    <n v="0"/>
    <n v="0"/>
    <n v="0"/>
    <n v="0.3702325895709695"/>
    <n v="0.6832601797752749"/>
    <n v="0.8913171443087164"/>
    <n v="0"/>
    <n v="0.0007068305342425862"/>
    <n v="-0.0006914616857551792"/>
    <m/>
    <n v="0.54"/>
    <n v="0.54"/>
    <s v=""/>
    <s v=""/>
    <m/>
    <n v="0.715"/>
    <n v="0.715"/>
    <s v=""/>
    <s v=""/>
    <m/>
    <n v="20215948"/>
    <s v=""/>
    <s v=""/>
    <s v=""/>
  </r>
  <r>
    <x v="0"/>
    <s v="12"/>
    <x v="0"/>
    <d v="2020-04-18T00:00:00"/>
    <d v="2020-04-24T00:00:00"/>
    <n v="202012"/>
    <n v="420838.4511337256"/>
    <n v="142304.0445751358"/>
    <n v="31918.98329702251"/>
    <n v="595061.4790058839"/>
    <n v="977778"/>
    <n v="251183"/>
    <n v="134182"/>
    <n v="1363143"/>
    <n v="977778"/>
    <n v="251184"/>
    <n v="134182"/>
    <n v="1363144"/>
    <n v="11581311"/>
    <n v="7475931.67918494"/>
    <n v="11581609"/>
    <n v="0.549146179632108"/>
    <n v="0.549146179632108"/>
    <n v="-2.573044902487442e-05"/>
    <n v="-2.573044902487442e-05"/>
    <n v="0.2411277383580995"/>
    <n v="0.2181283768483814"/>
    <n v="1.323404616108383"/>
    <n v="0.7651220016264271"/>
    <n v="3.203830640574221"/>
    <n v="1.290761623954021"/>
    <n v="0"/>
    <n v="3.981161145416579e-06"/>
    <n v="0"/>
    <n v="7.335987493028995e-07"/>
    <n v="0.4438948991050824"/>
    <n v="0.6949660451815354"/>
    <n v="0.9626188793627943"/>
    <n v="0"/>
    <n v="0.0006021037445513855"/>
    <n v="-0.0006458251559965378"/>
    <m/>
    <n v="0.552"/>
    <n v="0.552"/>
    <s v=""/>
    <s v=""/>
    <m/>
    <n v="0.735"/>
    <n v="0.735"/>
    <s v=""/>
    <s v=""/>
    <m/>
    <n v="20805392"/>
    <s v=""/>
    <s v=""/>
    <s v=""/>
  </r>
  <r>
    <x v="0"/>
    <s v="13"/>
    <x v="0"/>
    <d v="2020-04-25T00:00:00"/>
    <d v="2020-05-01T00:00:00"/>
    <n v="202013"/>
    <n v="434237.0931323855"/>
    <n v="234622.9023034489"/>
    <n v="31640.96238746144"/>
    <n v="700500.9578232958"/>
    <n v="949164"/>
    <n v="206570"/>
    <n v="125480"/>
    <n v="1281214"/>
    <n v="949164"/>
    <n v="206570"/>
    <n v="125480"/>
    <n v="1281214"/>
    <n v="12862525"/>
    <n v="8176432.637008236"/>
    <n v="12862823"/>
    <n v="0.5731218700171925"/>
    <n v="0.5731218700171925"/>
    <n v="-2.316754261488807e-05"/>
    <n v="-2.316754261488807e-05"/>
    <n v="0.2678031496455378"/>
    <n v="0.2422594212711952"/>
    <n v="1.185819716950411"/>
    <n v="-0.1195659163194851"/>
    <n v="2.965745367142332"/>
    <n v="0.828996785359416"/>
    <n v="0"/>
    <n v="0"/>
    <n v="0"/>
    <n v="0"/>
    <n v="0.4986879607826018"/>
    <n v="0.5395670191661406"/>
    <n v="1.022027528526695"/>
    <n v="0"/>
    <n v="0.0005363769244834948"/>
    <n v="-0.0006082820872275185"/>
    <m/>
    <n v="0.531"/>
    <n v="0.531"/>
    <s v=""/>
    <s v=""/>
    <m/>
    <n v="0.716"/>
    <n v="0.716"/>
    <s v=""/>
    <s v=""/>
    <m/>
    <n v="20756256"/>
    <s v=""/>
    <s v=""/>
    <s v=""/>
  </r>
  <r>
    <x v="0"/>
    <s v="14"/>
    <x v="1"/>
    <d v="2020-05-02T00:00:00"/>
    <d v="2020-05-08T00:00:00"/>
    <n v="202014"/>
    <n v="448076.5384094608"/>
    <n v="788536.0486733278"/>
    <n v="29972.836930095"/>
    <n v="1266585.424012884"/>
    <n v="841908.1123083619"/>
    <n v="518085.1186694425"/>
    <n v="29972.836930095"/>
    <n v="1389966.067907899"/>
    <n v="928553"/>
    <n v="255442"/>
    <n v="146598"/>
    <n v="1330593"/>
    <n v="14193118"/>
    <n v="9443018.061021119"/>
    <n v="14252789.0679079"/>
    <n v="0.5030277299358707"/>
    <n v="0.05053553812764022"/>
    <n v="-0.004186623938907341"/>
    <n v="-0.04271548009604609"/>
    <n v="0.2955066523634183"/>
    <n v="0.2673204952148807"/>
    <n v="1.072308903510299"/>
    <n v="-0.6760553934981561"/>
    <n v="3.891028511645639"/>
    <n v="0.05053553812764022"/>
    <n v="0.1029148982233623"/>
    <n v="-0.5069497447523068"/>
    <n v="3.891028511645639"/>
    <n v="-0.04271548009604609"/>
    <n v="0.5393061369224872"/>
    <n v="0.06463728298932003"/>
    <n v="1.100427730514941"/>
    <n v="0.008975148164321434"/>
    <n v="-0.1085408694985868"/>
    <n v="0.05268978390422663"/>
    <m/>
    <n v="0.541"/>
    <n v="0.541"/>
    <s v=""/>
    <s v=""/>
    <m/>
    <n v="0.722"/>
    <n v="0.722"/>
    <s v=""/>
    <s v=""/>
    <m/>
    <n v="20786935"/>
    <s v=""/>
    <s v=""/>
    <s v=""/>
  </r>
  <r>
    <x v="0"/>
    <s v="15"/>
    <x v="1"/>
    <d v="2020-05-09T00:00:00"/>
    <d v="2020-05-15T00:00:00"/>
    <n v="202015"/>
    <n v="433334.5425294609"/>
    <n v="788536.0486733278"/>
    <n v="29972.836930095"/>
    <n v="1251843.428132884"/>
    <n v="739534.739892926"/>
    <n v="788536.0486733277"/>
    <n v="29972.836930095"/>
    <n v="1558043.625496349"/>
    <n v="943313"/>
    <n v="601764"/>
    <n v="147719"/>
    <n v="1692796"/>
    <n v="15885914"/>
    <n v="10694861.489154"/>
    <n v="15810832.69340425"/>
    <n v="0.4853781899008609"/>
    <n v="0.2005060208169047"/>
    <n v="0.004748725639673212"/>
    <n v="0.02556955859555088"/>
    <n v="0.3307513730156516"/>
    <n v="0.299203487029489"/>
    <n v="1.176870079393376"/>
    <n v="-0.2368592393303545"/>
    <n v="3.928429042086401"/>
    <n v="0.3522425903731381"/>
    <n v="0.2755492732316784"/>
    <n v="-0.2368592393303544"/>
    <n v="3.928429042086401"/>
    <n v="0.08648819089434867"/>
    <n v="0.58016852056974"/>
    <n v="-0.02006265596356538"/>
    <n v="1.175651922990172"/>
    <n v="0.02794303077362503"/>
    <n v="-0.1401711700400594"/>
    <n v="0.105052982307634"/>
    <m/>
    <n v="0.622"/>
    <n v="0.622"/>
    <s v=""/>
    <s v=""/>
    <m/>
    <n v="0.777"/>
    <n v="0.777"/>
    <s v=""/>
    <s v=""/>
    <m/>
    <n v="21226975"/>
    <s v=""/>
    <s v=""/>
    <s v=""/>
  </r>
  <r>
    <x v="0"/>
    <s v="16"/>
    <x v="1"/>
    <d v="2020-05-16T00:00:00"/>
    <d v="2020-05-22T00:00:00"/>
    <n v="202016"/>
    <n v="462327.8109994609"/>
    <n v="788536.0486733278"/>
    <n v="29972.836930095"/>
    <n v="1280836.696602884"/>
    <n v="709382.2905910574"/>
    <n v="788536.0486733277"/>
    <n v="29972.836930095"/>
    <n v="1527891.17619448"/>
    <n v="950196"/>
    <n v="590521"/>
    <n v="159098"/>
    <n v="1699815"/>
    <n v="17585729"/>
    <n v="11975698.18575689"/>
    <n v="17338723.86959873"/>
    <n v="0.4684512524635362"/>
    <n v="0.2431887003938598"/>
    <n v="0.01424586562765229"/>
    <n v="0.05525214646307464"/>
    <n v="0.3661422321832513"/>
    <n v="0.3312186783055484"/>
    <n v="1.05524300592228"/>
    <n v="-0.251117306566362"/>
    <n v="4.308072785070723"/>
    <n v="0.3271129758448965"/>
    <n v="0.339469581638832"/>
    <n v="-0.2511173065663619"/>
    <n v="4.308072785070723"/>
    <n v="0.1125236054008316"/>
    <n v="0.6105747642732471"/>
    <n v="-0.07073716172250177"/>
    <n v="1.256814695056666"/>
    <n v="0.04784717512071235"/>
    <n v="-0.1621110813506902"/>
    <n v="0.1610809404013842"/>
    <m/>
    <n v="0.603"/>
    <n v="0.603"/>
    <s v=""/>
    <s v=""/>
    <m/>
    <n v="0.775"/>
    <n v="0.775"/>
    <s v=""/>
    <s v=""/>
    <m/>
    <n v="21970673"/>
    <s v=""/>
    <s v=""/>
    <s v=""/>
  </r>
  <r>
    <x v="0"/>
    <s v="17"/>
    <x v="1"/>
    <d v="2020-05-23T00:00:00"/>
    <d v="2020-05-29T00:00:00"/>
    <n v="202017"/>
    <n v="512637.2957594609"/>
    <n v="788536.0486733278"/>
    <n v="29972.836930095"/>
    <n v="1331146.181362884"/>
    <n v="709436.9617952876"/>
    <n v="788536.0486733277"/>
    <n v="29972.836930095"/>
    <n v="1527945.84739871"/>
    <n v="859510"/>
    <n v="328377"/>
    <n v="141280"/>
    <n v="1329167"/>
    <n v="18914896"/>
    <n v="13306844.36711977"/>
    <n v="18866669.71699744"/>
    <n v="0.4214411379708707"/>
    <n v="0.1797047329510184"/>
    <n v="0.002556162996753653"/>
    <n v="0.008082198845147825"/>
    <n v="0.3938160449847743"/>
    <n v="0.3562528942307086"/>
    <n v="0.6766435199113923"/>
    <n v="-0.5835612074394344"/>
    <n v="3.713601195959671"/>
    <n v="-0.001486824956262289"/>
    <n v="0.2115382286044705"/>
    <n v="-0.5835612074394343"/>
    <n v="3.713601195959671"/>
    <n v="-0.13009547932417"/>
    <n v="0.61495281678055"/>
    <n v="-0.1629786087690295"/>
    <n v="1.31886368008075"/>
    <n v="0.05767838998101382"/>
    <n v="-0.2316938444680632"/>
    <n v="0.2078144985067705"/>
    <m/>
    <n v="0.53"/>
    <n v="0.53"/>
    <s v=""/>
    <s v=""/>
    <m/>
    <n v="0.727"/>
    <n v="0.727"/>
    <s v=""/>
    <s v=""/>
    <m/>
    <n v="21821990"/>
    <s v=""/>
    <s v=""/>
    <s v=""/>
  </r>
  <r>
    <x v="0"/>
    <s v="18"/>
    <x v="1"/>
    <d v="2020-05-30T00:00:00"/>
    <d v="2020-06-05T00:00:00"/>
    <n v="202018"/>
    <n v="592423.8963141171"/>
    <n v="284654.5642732085"/>
    <n v="124183.0593352739"/>
    <n v="1001261.5199226"/>
    <n v="735287.0219063401"/>
    <n v="284999.8956205408"/>
    <n v="124183.0593352739"/>
    <n v="1144469.976862155"/>
    <n v="802199"/>
    <n v="225859"/>
    <n v="114679"/>
    <n v="1142737"/>
    <n v="20057633"/>
    <n v="14308105.88704237"/>
    <n v="20011139.69385959"/>
    <n v="0.4018370536497415"/>
    <n v="0.1734330429234705"/>
    <n v="0.002323371224812076"/>
    <n v="0.00654577967713732"/>
    <n v="0.4176083072207267"/>
    <n v="0.3777757915067241"/>
    <n v="0.3540962898205835"/>
    <n v="-0.2065505762162209"/>
    <n v="-0.07653265579175739"/>
    <n v="0.141297230805731"/>
    <n v="0.09100116838752403"/>
    <n v="-0.2075119904580004"/>
    <n v="-0.07653265579175739"/>
    <n v="-0.001514217845107857"/>
    <n v="0.5963977215344842"/>
    <n v="-0.1656352927136235"/>
    <n v="1.18667989035055"/>
    <n v="0.059631112884172"/>
    <n v="-0.2303320978216906"/>
    <n v="0.1931175380522363"/>
    <m/>
    <n v="0.517"/>
    <n v="0.517"/>
    <s v=""/>
    <s v=""/>
    <m/>
    <n v="0.714"/>
    <n v="0.714"/>
    <s v=""/>
    <s v=""/>
    <m/>
    <n v="20733930"/>
    <s v=""/>
    <s v=""/>
    <s v=""/>
  </r>
  <r>
    <x v="0"/>
    <s v="19"/>
    <x v="1"/>
    <d v="2020-06-06T00:00:00"/>
    <d v="2020-06-12T00:00:00"/>
    <n v="202019"/>
    <n v="587361.1671556213"/>
    <n v="229184.7641760403"/>
    <n v="114828.2185532544"/>
    <n v="931374.149884916"/>
    <n v="657638.7386309485"/>
    <n v="229184.7641760403"/>
    <n v="114828.2185532544"/>
    <n v="1001651.721360243"/>
    <n v="791281"/>
    <n v="173799"/>
    <n v="124678"/>
    <n v="1089758"/>
    <n v="21147391"/>
    <n v="15239480.03692729"/>
    <n v="21012791.41521984"/>
    <n v="0.3876714263713104"/>
    <n v="0.1729874558246562"/>
    <n v="0.006405602288645618"/>
    <n v="0.0165519150391118"/>
    <n v="0.4402975245207065"/>
    <n v="0.3983008550075263"/>
    <n v="0.3471796302637591"/>
    <n v="-0.2416642501309453"/>
    <n v="0.08577840508931622"/>
    <n v="0.1700539467781605"/>
    <n v="0.2032153118705624"/>
    <n v="-0.2416642501309453"/>
    <n v="0.08577840508931622"/>
    <n v="0.08796099159107773"/>
    <n v="0.5799798261628004"/>
    <n v="-0.1691929676069375"/>
    <n v="1.09801551697276"/>
    <n v="0.06678184982585078"/>
    <n v="-0.230823034785875"/>
    <n v="0.1882214696827185"/>
    <m/>
    <n v="0.497"/>
    <n v="0.497"/>
    <s v=""/>
    <s v=""/>
    <m/>
    <n v="0.699"/>
    <n v="0.699"/>
    <s v=""/>
    <s v=""/>
    <m/>
    <n v="21178872"/>
    <s v=""/>
    <s v=""/>
    <s v=""/>
  </r>
  <r>
    <x v="0"/>
    <s v="20"/>
    <x v="1"/>
    <d v="2020-06-13T00:00:00"/>
    <d v="2020-06-19T00:00:00"/>
    <n v="202020"/>
    <n v="601158.7906756212"/>
    <n v="229184.7641760403"/>
    <n v="114828.2185532544"/>
    <n v="945171.7734049159"/>
    <n v="612185.0788111971"/>
    <n v="229184.7641760403"/>
    <n v="114828.2185532544"/>
    <n v="956198.0615404918"/>
    <n v="798147"/>
    <n v="142252"/>
    <n v="178040"/>
    <n v="1118439"/>
    <n v="22265830"/>
    <n v="16184651.81033221"/>
    <n v="21968989.47676033"/>
    <n v="0.375737350480756"/>
    <n v="0.1742067489015759"/>
    <n v="0.01351179686956838"/>
    <n v="0.03263047342676995"/>
    <n v="0.4635838922351642"/>
    <n v="0.4193661112357656"/>
    <n v="0.3276808263969502"/>
    <n v="-0.3793130162407564"/>
    <n v="0.5504899600739657"/>
    <n v="0.1833182406314366"/>
    <n v="0.3037674840914493"/>
    <n v="-0.3793130162407564"/>
    <n v="0.5504899600739657"/>
    <n v="0.169672942233462"/>
    <n v="0.5640430677298738"/>
    <n v="-0.1785857362152226"/>
    <n v="1.057205661798959"/>
    <n v="0.07728163877053751"/>
    <n v="-0.2369888700444335"/>
    <n v="0.2040248119142163"/>
    <m/>
    <n v="0.49"/>
    <n v="0.49"/>
    <s v=""/>
    <s v=""/>
    <m/>
    <n v="0.679"/>
    <n v="0.679"/>
    <s v=""/>
    <s v=""/>
    <m/>
    <n v="21541562"/>
    <s v=""/>
    <s v=""/>
    <s v=""/>
  </r>
  <r>
    <x v="0"/>
    <s v="21"/>
    <x v="1"/>
    <d v="2020-06-20T00:00:00"/>
    <d v="2020-06-26T00:00:00"/>
    <n v="202021"/>
    <n v="598551.0022456213"/>
    <n v="229184.7641760403"/>
    <n v="114828.2185532544"/>
    <n v="942563.984974916"/>
    <n v="598551.0022456213"/>
    <n v="229184.7641760403"/>
    <n v="114828.2185532544"/>
    <n v="942563.984974916"/>
    <n v="769193"/>
    <n v="129478"/>
    <n v="184681"/>
    <n v="1083352"/>
    <n v="23349182"/>
    <n v="17127215.79530712"/>
    <n v="22911553.46173524"/>
    <n v="0.3632794891506945"/>
    <n v="0.1715910009815291"/>
    <n v="0.01910077983126035"/>
    <n v="0.04358028508500111"/>
    <n v="0.486139733936136"/>
    <n v="0.4397705208328698"/>
    <n v="0.2850918252816725"/>
    <n v="-0.4350497055705415"/>
    <n v="0.6083241761200855"/>
    <n v="0.1493670639546352"/>
    <n v="0.2850918252816725"/>
    <n v="-0.4350497055705415"/>
    <n v="0.6083241761200855"/>
    <n v="0.1493670639546352"/>
    <n v="0.5475373078486081"/>
    <n v="-0.1895596135075903"/>
    <n v="1.026069020956244"/>
    <n v="0.08590996877831092"/>
    <n v="-0.2448851814084554"/>
    <n v="0.2209244607777638"/>
    <m/>
    <n v="0.488"/>
    <n v="0.488"/>
    <s v=""/>
    <s v=""/>
    <m/>
    <n v="0.668"/>
    <n v="0.668"/>
    <s v=""/>
    <s v=""/>
    <m/>
    <n v="21927535"/>
    <s v=""/>
    <s v=""/>
    <s v=""/>
  </r>
  <r>
    <x v="0"/>
    <s v="22"/>
    <x v="1"/>
    <d v="2020-06-27T00:00:00"/>
    <d v="2020-07-03T00:00:00"/>
    <n v="202022"/>
    <n v="631328.0029885391"/>
    <n v="157249.2531228411"/>
    <n v="104668.2370191478"/>
    <n v="893245.493130528"/>
    <n v="631328.0029885391"/>
    <n v="157142.9330107583"/>
    <n v="104668.2370191478"/>
    <n v="893139.1730184451"/>
    <n v="786115"/>
    <n v="133164"/>
    <n v="183721"/>
    <n v="1103000"/>
    <n v="24452182"/>
    <n v="18020461.28843765"/>
    <n v="23804692.63475369"/>
    <n v="0.3569121016723968"/>
    <n v="0.1773286537841512"/>
    <n v="0.02720007248911105"/>
    <n v="0.05920262138645871"/>
    <n v="0.5091046552139589"/>
    <n v="0.4605449909825587"/>
    <n v="0.2451768277008788"/>
    <n v="-0.153166089151635"/>
    <n v="0.7552698433851566"/>
    <n v="0.2348229109271542"/>
    <n v="0.2451768277008788"/>
    <n v="-0.1525931363971466"/>
    <n v="0.7552698433851566"/>
    <n v="0.2349699053869858"/>
    <n v="0.5297752376171589"/>
    <n v="-0.1885216215937445"/>
    <n v="1.009965254405375"/>
    <n v="0.09259224553547885"/>
    <n v="-0.2424294179245553"/>
    <n v="0.2405365197231628"/>
    <m/>
    <n v="0.467"/>
    <n v="0.467"/>
    <s v=""/>
    <s v=""/>
    <m/>
    <n v="0.662"/>
    <n v="0.662"/>
    <s v=""/>
    <s v=""/>
    <m/>
    <n v="22248368"/>
    <s v=""/>
    <s v=""/>
    <s v=""/>
  </r>
  <r>
    <x v="0"/>
    <s v="23"/>
    <x v="1"/>
    <d v="2020-07-04T00:00:00"/>
    <d v="2020-07-10T00:00:00"/>
    <n v="202023"/>
    <n v="642292.9689429566"/>
    <n v="61335.2383852422"/>
    <n v="31324.7752669005"/>
    <n v="734952.9825950994"/>
    <n v="642292.9689429566"/>
    <n v="61335.23838524221"/>
    <n v="31324.7752669005"/>
    <n v="734952.9825950994"/>
    <n v="790052"/>
    <n v="102580"/>
    <n v="99003"/>
    <n v="991635"/>
    <n v="25443817"/>
    <n v="18755414.27103275"/>
    <n v="24539645.61734879"/>
    <n v="0.3566118365776283"/>
    <n v="0.1892725061111353"/>
    <n v="0.03684533170324134"/>
    <n v="0.07745851866477804"/>
    <n v="0.5297509106186133"/>
    <n v="0.4792219553587028"/>
    <n v="0.2300492737764441"/>
    <n v="0.6724480527115984"/>
    <n v="2.160533448570725"/>
    <n v="0.34924957580084"/>
    <n v="0.2300492737764441"/>
    <n v="0.6724480527115981"/>
    <n v="2.160533448570725"/>
    <n v="0.34924957580084"/>
    <n v="0.5128723276315943"/>
    <n v="-0.1790489076300236"/>
    <n v="1.030084155992249"/>
    <n v="0.09821942681742102"/>
    <n v="-0.2330254054761196"/>
    <n v="0.2613972874219515"/>
    <m/>
    <n v="0.491"/>
    <n v="0.491"/>
    <s v=""/>
    <s v=""/>
    <m/>
    <n v="0.668"/>
    <n v="0.668"/>
    <s v=""/>
    <s v=""/>
    <m/>
    <n v="21163452"/>
    <s v=""/>
    <s v=""/>
    <s v=""/>
  </r>
  <r>
    <x v="0"/>
    <s v="24"/>
    <x v="1"/>
    <d v="2020-07-11T00:00:00"/>
    <d v="2020-07-17T00:00:00"/>
    <n v="202024"/>
    <n v="692233.5284299565"/>
    <n v="61335.2383852422"/>
    <n v="31324.7752669005"/>
    <n v="784893.5420820992"/>
    <n v="692233.5284299565"/>
    <n v="61335.23838524221"/>
    <n v="31324.7752669005"/>
    <n v="784893.5420820992"/>
    <n v="868525"/>
    <n v="107169"/>
    <n v="67883"/>
    <n v="1043577"/>
    <n v="26487394"/>
    <n v="19540307.81311485"/>
    <n v="25324539.15943089"/>
    <n v="0.3555259340501524"/>
    <n v="0.1989632751904298"/>
    <n v="0.04591810469870139"/>
    <n v="0.09333809450385"/>
    <n v="0.5514786201855639"/>
    <n v="0.4988772221179067"/>
    <n v="0.2546705184446747"/>
    <n v="0.7472663809811786"/>
    <n v="1.167070614924059"/>
    <n v="0.3295777631596855"/>
    <n v="0.2546705184446747"/>
    <n v="0.7472663809811781"/>
    <n v="1.167070614924059"/>
    <n v="0.3295777631596855"/>
    <n v="0.498078152005581"/>
    <n v="-0.1689681488256589"/>
    <n v="1.032438343627855"/>
    <n v="0.1048304893825034"/>
    <n v="-0.2230515216196797"/>
    <n v="0.2711316646148954"/>
    <m/>
    <n v="0.505"/>
    <n v="0.505"/>
    <s v=""/>
    <s v=""/>
    <m/>
    <n v="0.6850000000000001"/>
    <n v="0.6850000000000001"/>
    <s v=""/>
    <s v=""/>
    <m/>
    <n v="21611931"/>
    <s v=""/>
    <s v=""/>
    <s v=""/>
  </r>
  <r>
    <x v="0"/>
    <s v="25"/>
    <x v="1"/>
    <d v="2020-07-18T00:00:00"/>
    <d v="2020-07-24T00:00:00"/>
    <n v="202025"/>
    <n v="623214.9662849567"/>
    <n v="61335.2383852422"/>
    <n v="31324.7752669005"/>
    <n v="715874.9799370994"/>
    <n v="623214.9662849567"/>
    <n v="61335.23838524221"/>
    <n v="31324.7752669005"/>
    <n v="715874.9799370994"/>
    <n v="898797"/>
    <n v="102027"/>
    <n v="62929"/>
    <n v="1063753"/>
    <n v="27551147"/>
    <n v="20256182.79305195"/>
    <n v="26040414.13936799"/>
    <n v="0.3601351884250514"/>
    <n v="0.2159706790500986"/>
    <n v="0.05801493219526321"/>
    <n v="0.1146666977789148"/>
    <n v="0.5736264025101767"/>
    <n v="0.5189124940536657"/>
    <n v="0.4421941843884365"/>
    <n v="0.6634320284071578"/>
    <n v="1.008921036585833"/>
    <n v="0.4859480074208866"/>
    <n v="0.4421941843884365"/>
    <n v="0.6634320284071575"/>
    <n v="1.008921036585833"/>
    <n v="0.4859480074208866"/>
    <n v="0.495336830891167"/>
    <n v="-0.160006956135286"/>
    <n v="1.032041014098928"/>
    <n v="0.1171945406720727"/>
    <n v="-0.2141229237356281"/>
    <n v="0.2789772617175577"/>
    <m/>
    <n v="0.493"/>
    <n v="0.493"/>
    <s v=""/>
    <s v=""/>
    <m/>
    <n v="0.675"/>
    <n v="0.675"/>
    <s v=""/>
    <s v=""/>
    <m/>
    <n v="21597926"/>
    <s v=""/>
    <s v=""/>
    <s v=""/>
  </r>
  <r>
    <x v="0"/>
    <s v="26"/>
    <x v="1"/>
    <d v="2020-07-25T00:00:00"/>
    <d v="2020-07-31T00:00:00"/>
    <n v="202026"/>
    <n v="631001.9571709567"/>
    <n v="61335.2383852422"/>
    <n v="31324.7752669005"/>
    <n v="723661.9708230994"/>
    <n v="631001.9571709567"/>
    <n v="61335.23838524221"/>
    <n v="31324.7752669005"/>
    <n v="723661.9708230994"/>
    <n v="851675"/>
    <n v="91993"/>
    <n v="73135"/>
    <n v="1016803"/>
    <n v="28567950"/>
    <n v="20979844.76387505"/>
    <n v="26764076.11019109"/>
    <n v="0.3616854805899623"/>
    <n v="0.2266593345881276"/>
    <n v="0.06739907188957828"/>
    <n v="0.1297848384967732"/>
    <n v="0.5947966662001622"/>
    <n v="0.5380634855057185"/>
    <n v="0.3497184760225025"/>
    <n v="0.4998392836137462"/>
    <n v="1.334733429908387"/>
    <n v="0.4050800525602851"/>
    <n v="0.3497184760225025"/>
    <n v="0.4998392836137457"/>
    <n v="1.334733429908387"/>
    <n v="0.4050800525602851"/>
    <n v="0.4884466566960186"/>
    <n v="-0.1529790493264093"/>
    <n v="1.037070094705137"/>
    <n v="0.125514082400124"/>
    <n v="-0.2070036530526188"/>
    <n v="0.2900859648736971"/>
    <m/>
    <n v="0.512"/>
    <n v="0.512"/>
    <s v=""/>
    <s v=""/>
    <m/>
    <n v="0.6889999999999999"/>
    <n v="0.6889999999999999"/>
    <s v=""/>
    <s v=""/>
    <m/>
    <n v="21386158"/>
    <s v=""/>
    <s v=""/>
    <s v=""/>
  </r>
  <r>
    <x v="0"/>
    <s v="27"/>
    <x v="2"/>
    <d v="2020-08-01T00:00:00"/>
    <d v="2020-08-07T00:00:00"/>
    <n v="202027"/>
    <n v="752533.4812131647"/>
    <n v="54268.35730275927"/>
    <n v="239516.8679476575"/>
    <n v="1046318.706463582"/>
    <n v="752533.4812131647"/>
    <n v="54268.35730275927"/>
    <n v="239516.8679476575"/>
    <n v="1046318.706463582"/>
    <n v="789162"/>
    <n v="86038"/>
    <n v="285204"/>
    <n v="1160404"/>
    <n v="29728354"/>
    <n v="22026163.47033863"/>
    <n v="27810394.81665467"/>
    <n v="0.3496837086510081"/>
    <n v="0.1090349363264389"/>
    <n v="0.06896555032712914"/>
    <n v="0.1090349363264389"/>
    <n v="0.6189567627645056"/>
    <n v="0.5599191321599158"/>
    <n v="0.04867360682449129"/>
    <n v="0.5854174380108867"/>
    <n v="0.1907470335756338"/>
    <n v="0.1090349363264389"/>
    <n v="0.04867360682449129"/>
    <n v="0.5854174380108867"/>
    <n v="0.1907470335756338"/>
    <n v="0.1090349363264389"/>
    <n v="0.464955893150236"/>
    <n v="-0.1460856092335404"/>
    <n v="0.9416735514365182"/>
    <n v="0.1223694502231398"/>
    <n v="-0.2000735750831421"/>
    <n v="0.2826888722148111"/>
    <m/>
    <n v="0.49"/>
    <n v="0.49"/>
    <s v=""/>
    <s v=""/>
    <m/>
    <n v="0.677"/>
    <n v="0.677"/>
    <s v=""/>
    <s v=""/>
    <m/>
    <n v="22223760"/>
    <s v=""/>
    <s v=""/>
    <s v=""/>
  </r>
  <r>
    <x v="0"/>
    <s v="28"/>
    <x v="2"/>
    <d v="2020-08-08T00:00:00"/>
    <d v="2020-08-14T00:00:00"/>
    <n v="202028"/>
    <n v="682313.4479741647"/>
    <n v="54268.35730275927"/>
    <n v="239516.8679476575"/>
    <n v="976098.6732245815"/>
    <n v="682313.4479741647"/>
    <n v="54268.35730275927"/>
    <n v="239516.8679476575"/>
    <n v="976098.6732245815"/>
    <n v="714554"/>
    <n v="82975"/>
    <n v="393696"/>
    <n v="1191225"/>
    <n v="30919579"/>
    <n v="23002262.14356321"/>
    <n v="28786493.48987925"/>
    <n v="0.344197314465104"/>
    <n v="0.1627812456608726"/>
    <n v="0.07410022032974228"/>
    <n v="0.1627812456608726"/>
    <n v="0.6437585654382812"/>
    <n v="0.5823552774038535"/>
    <n v="0.0472518197047993"/>
    <n v="0.5289757074659258"/>
    <n v="0.6437088684962089"/>
    <n v="0.2203940366651047"/>
    <n v="0.0472518197047993"/>
    <n v="0.5289757074659258"/>
    <n v="0.6437088684962089"/>
    <n v="0.2203940366651047"/>
    <n v="0.4456604243137934"/>
    <n v="-0.1398417374536994"/>
    <n v="0.9114896191536148"/>
    <n v="0.1196818982593528"/>
    <n v="-0.193752988378092"/>
    <n v="0.3077085259849506"/>
    <m/>
    <n v="0.488"/>
    <n v="0.488"/>
    <s v=""/>
    <s v=""/>
    <m/>
    <n v="0.676"/>
    <n v="0.676"/>
    <s v=""/>
    <s v=""/>
    <m/>
    <n v="21889267"/>
    <s v=""/>
    <s v=""/>
    <s v=""/>
  </r>
  <r>
    <x v="0"/>
    <s v="29"/>
    <x v="2"/>
    <d v="2020-08-15T00:00:00"/>
    <d v="2020-08-21T00:00:00"/>
    <n v="202029"/>
    <n v="663728.6404271647"/>
    <n v="54268.35730275927"/>
    <n v="239516.867947658"/>
    <n v="957513.8656775821"/>
    <n v="663728.6404271647"/>
    <n v="54268.35730275927"/>
    <n v="239516.867947658"/>
    <n v="957513.8656775821"/>
    <n v="703903"/>
    <n v="74983"/>
    <n v="279095"/>
    <n v="1057981"/>
    <n v="31977560"/>
    <n v="23959776.0092408"/>
    <n v="29744007.35555684"/>
    <n v="0.3346351813834529"/>
    <n v="0.144190828329503"/>
    <n v="0.07509252595803595"/>
    <n v="0.144190828329503"/>
    <n v="0.6657861723090268"/>
    <n v="0.6022818365184845"/>
    <n v="0.06052828991525772"/>
    <n v="0.3817075682183491"/>
    <n v="0.1652415230354092"/>
    <n v="0.1049249916097272"/>
    <n v="0.06052828991525772"/>
    <n v="0.3817075682183491"/>
    <n v="0.1652415230354092"/>
    <n v="0.1049249916097272"/>
    <n v="0.4290984019511543"/>
    <n v="-0.1350619602752078"/>
    <n v="0.8428478484603092"/>
    <n v="0.1176923933579073"/>
    <n v="-0.1888068401941945"/>
    <n v="0.2984750830290492"/>
    <m/>
    <n v="0.487"/>
    <n v="0.487"/>
    <s v=""/>
    <s v=""/>
    <m/>
    <n v="0.678"/>
    <n v="0.678"/>
    <s v=""/>
    <s v=""/>
    <m/>
    <n v="22170395"/>
    <s v=""/>
    <s v=""/>
    <s v=""/>
  </r>
  <r>
    <x v="0"/>
    <s v="30"/>
    <x v="2"/>
    <d v="2020-08-22T00:00:00"/>
    <d v="2020-08-28T00:00:00"/>
    <n v="202030"/>
    <n v="655251.1882341647"/>
    <n v="54268.35730275927"/>
    <n v="239516.8679476575"/>
    <n v="949036.4134845815"/>
    <n v="655251.1882341647"/>
    <n v="54268.35730275927"/>
    <n v="239516.8679476575"/>
    <n v="949036.4134845815"/>
    <n v="673660"/>
    <n v="57884"/>
    <n v="338145"/>
    <n v="1069689"/>
    <n v="33047249"/>
    <n v="24908812.42272538"/>
    <n v="30693043.76904142"/>
    <n v="0.3267292088903273"/>
    <n v="0.1400702140955541"/>
    <n v="0.07670158908557489"/>
    <n v="0.1400702140955541"/>
    <n v="0.688057544636092"/>
    <n v="0.6224289101358469"/>
    <n v="0.02809428215680954"/>
    <n v="0.06662524677261406"/>
    <n v="0.4117794829961456"/>
    <n v="0.1271316725060294"/>
    <n v="0.02809428215680954"/>
    <n v="0.06662524677261406"/>
    <n v="0.4117794829961456"/>
    <n v="0.1271316725060294"/>
    <n v="0.4127674044735388"/>
    <n v="-0.1332303687085402"/>
    <n v="0.8065370571492017"/>
    <n v="0.114813045685662"/>
    <n v="-0.1866300821680476"/>
    <n v="0.3053715012136136"/>
    <m/>
    <n v="0.487"/>
    <n v="0.487"/>
    <s v=""/>
    <s v=""/>
    <m/>
    <n v="0.694"/>
    <n v="0.694"/>
    <s v=""/>
    <s v=""/>
    <m/>
    <n v="21775972"/>
    <s v=""/>
    <s v=""/>
    <s v=""/>
  </r>
  <r>
    <x v="0"/>
    <s v="31"/>
    <x v="2"/>
    <d v="2020-08-29T00:00:00"/>
    <d v="2020-09-04T00:00:00"/>
    <n v="202031"/>
    <n v="667536.9286512104"/>
    <n v="47959.47236529876"/>
    <n v="289707.0936356246"/>
    <n v="1005203.494652134"/>
    <n v="667536.9286512104"/>
    <n v="47966.77553917412"/>
    <n v="289707.0936356246"/>
    <n v="1005210.797826009"/>
    <n v="703899"/>
    <n v="43130"/>
    <n v="435431"/>
    <n v="1182460"/>
    <n v="34229709"/>
    <n v="25914015.91737751"/>
    <n v="31698254.56686743"/>
    <n v="0.3208955767078201"/>
    <n v="0.1474589802141482"/>
    <n v="0.07986100394873374"/>
    <n v="0.1474572818377069"/>
    <n v="0.7126768563443191"/>
    <n v="0.6446999708549777"/>
    <n v="0.05447199965739857"/>
    <n v="-0.1006990303920262"/>
    <n v="0.5030042741986074"/>
    <n v="0.1763389266858932"/>
    <n v="0.05447199965739857"/>
    <n v="-0.1008359533198967"/>
    <n v="0.5030042741986074"/>
    <n v="0.1763303802121221"/>
    <n v="0.3984943155531049"/>
    <n v="-0.1329713635769884"/>
    <n v="0.7784709807709713"/>
    <n v="0.112900177369325"/>
    <n v="-0.1859886848556273"/>
    <n v="0.3189236428990858"/>
    <m/>
    <n v="0.48"/>
    <n v="0.48"/>
    <s v=""/>
    <s v=""/>
    <m/>
    <n v="0.671"/>
    <n v="0.671"/>
    <s v=""/>
    <s v=""/>
    <m/>
    <n v="21994373"/>
    <s v=""/>
    <s v=""/>
    <s v=""/>
  </r>
  <r>
    <x v="0"/>
    <s v="32"/>
    <x v="2"/>
    <d v="2020-09-05T00:00:00"/>
    <d v="2020-09-11T00:00:00"/>
    <n v="202032"/>
    <n v="651044.0571775681"/>
    <n v="43227.80866220336"/>
    <n v="327349.7629015999"/>
    <n v="1021621.628741371"/>
    <n v="651044.0571775681"/>
    <n v="43227.80866220337"/>
    <n v="327349.7629015999"/>
    <n v="1021621.628741371"/>
    <n v="717342"/>
    <n v="41509"/>
    <n v="370436"/>
    <n v="1129287"/>
    <n v="35358996"/>
    <n v="26935637.54611889"/>
    <n v="32719876.1956088"/>
    <n v="0.3127217033366572"/>
    <n v="0.1402421555441504"/>
    <n v="0.08065800092316322"/>
    <n v="0.140240757346326"/>
    <n v="0.7361890839554421"/>
    <n v="0.6659695439029666"/>
    <n v="0.1018332662613486"/>
    <n v="-0.03976164222514045"/>
    <n v="0.1316214092122365"/>
    <n v="0.1053867383282314"/>
    <n v="0.1018332662613486"/>
    <n v="-0.03976164222514078"/>
    <n v="0.1316214092122365"/>
    <n v="0.1053867383282314"/>
    <n v="0.3873995348463277"/>
    <n v="-0.1323072367674238"/>
    <n v="0.7172817726168668"/>
    <n v="0.1125682754657897"/>
    <n v="-0.1850100881330874"/>
    <n v="0.3054546622753305"/>
    <m/>
    <n v="0.469"/>
    <n v="0.469"/>
    <s v=""/>
    <s v=""/>
    <m/>
    <n v="0.664"/>
    <n v="0.664"/>
    <s v=""/>
    <s v=""/>
    <m/>
    <n v="21833255"/>
    <s v=""/>
    <s v=""/>
    <s v=""/>
  </r>
  <r>
    <x v="0"/>
    <s v="33"/>
    <x v="2"/>
    <d v="2020-09-12T00:00:00"/>
    <d v="2020-09-18T00:00:00"/>
    <n v="202033"/>
    <n v="665853.7289435682"/>
    <n v="43227.80866220336"/>
    <n v="327349.7629015999"/>
    <n v="1036431.300507372"/>
    <n v="665853.7289435682"/>
    <n v="43227.80866220337"/>
    <n v="327349.7629015999"/>
    <n v="1036431.300507372"/>
    <n v="746658"/>
    <n v="44244"/>
    <n v="318738"/>
    <n v="1109640"/>
    <n v="36468636"/>
    <n v="27972068.84662626"/>
    <n v="33756307.49611618"/>
    <n v="0.3037518318706172"/>
    <n v="0.1299246000267411"/>
    <n v="0.08035027244007331"/>
    <n v="0.1299234198547239"/>
    <n v="0.7592922528101324"/>
    <n v="0.6868690752328859"/>
    <n v="0.1213543869231377"/>
    <n v="0.02350781520612122"/>
    <n v="-0.02630752753649801"/>
    <n v="0.07063536141449034"/>
    <n v="0.1213543869231377"/>
    <n v="0.02350781520612077"/>
    <n v="-0.02630752753649801"/>
    <n v="0.07063536141449034"/>
    <n v="0.3775983127420803"/>
    <n v="-0.1312048961754905"/>
    <n v="0.6530202635414704"/>
    <n v="0.1128297489904013"/>
    <n v="-0.1836238984619888"/>
    <n v="0.2831979930530328"/>
    <m/>
    <n v="0.471"/>
    <n v="0.471"/>
    <s v=""/>
    <s v=""/>
    <m/>
    <n v="0.665"/>
    <n v="0.665"/>
    <s v=""/>
    <s v=""/>
    <m/>
    <n v="21706945"/>
    <s v=""/>
    <s v=""/>
    <s v=""/>
  </r>
  <r>
    <x v="0"/>
    <s v="34"/>
    <x v="2"/>
    <d v="2020-09-19T00:00:00"/>
    <d v="2020-09-25T00:00:00"/>
    <n v="202034"/>
    <n v="671129.6794405681"/>
    <n v="43227.80866220336"/>
    <n v="327349.7629015999"/>
    <n v="1041707.251004371"/>
    <n v="671129.6794405681"/>
    <n v="43227.80866220337"/>
    <n v="327349.7629015999"/>
    <n v="1041707.251004371"/>
    <n v="724795"/>
    <n v="39634"/>
    <n v="275701"/>
    <n v="1040130"/>
    <n v="37508766"/>
    <n v="29013776.09763063"/>
    <n v="34798014.74712054"/>
    <n v="0.292791599197014"/>
    <n v="0.1128818045075932"/>
    <n v="0.07789959492168341"/>
    <n v="0.1128807928531996"/>
    <n v="0.7809481943955375"/>
    <n v="0.7064594194185576"/>
    <n v="0.07996266921791562"/>
    <n v="-0.08313649878222118"/>
    <n v="-0.1577785254639862"/>
    <n v="-0.001514101973323689"/>
    <n v="0.07996266921791562"/>
    <n v="-0.08313649878222151"/>
    <n v="-0.1577785254639862"/>
    <n v="-0.001514101973323689"/>
    <n v="0.3669420909032577"/>
    <n v="-0.1308672169369467"/>
    <n v="0.5885242537055251"/>
    <n v="0.1118725894333559"/>
    <n v="-0.1829602877933545"/>
    <n v="0.2554744177208845"/>
    <m/>
    <n v="0.474"/>
    <n v="0.474"/>
    <s v=""/>
    <s v=""/>
    <m/>
    <n v="0.679"/>
    <n v="0.679"/>
    <s v=""/>
    <s v=""/>
    <m/>
    <n v="21386122"/>
    <s v=""/>
    <s v=""/>
    <s v=""/>
  </r>
  <r>
    <x v="0"/>
    <s v="35"/>
    <x v="2"/>
    <d v="2020-09-26T00:00:00"/>
    <d v="2020-10-02T00:00:00"/>
    <n v="202035"/>
    <n v="669386.2095924626"/>
    <n v="40082.22406897193"/>
    <n v="329449.7722543198"/>
    <n v="1038918.205915754"/>
    <n v="669386.2095924626"/>
    <n v="40082.22406897193"/>
    <n v="289449.7722543198"/>
    <n v="998918.2059157544"/>
    <n v="629881"/>
    <n v="32773"/>
    <n v="223783"/>
    <n v="886437"/>
    <n v="38395203"/>
    <n v="30052694.30354638"/>
    <n v="35796932.9530363"/>
    <n v="0.2775960322289359"/>
    <n v="0.0831495614503488"/>
    <n v="0.07258359397360925"/>
    <n v="0.08794517293651394"/>
    <n v="0.799404183446081"/>
    <n v="0.723155030475747"/>
    <n v="-0.05901706522534167"/>
    <n v="-0.1823557509282545"/>
    <n v="-0.3207371233899351"/>
    <n v="-0.1467692115197364"/>
    <n v="-0.05901706522534167"/>
    <n v="-0.1823557509282545"/>
    <n v="-0.2268675899894054"/>
    <n v="-0.1126030191957886"/>
    <n v="0.3522555858092469"/>
    <n v="-0.1312004316028355"/>
    <n v="0.521127468630741"/>
    <n v="0.1070489557745418"/>
    <n v="-0.1829566085213487"/>
    <n v="0.2300731808264582"/>
    <m/>
    <n v="0.48"/>
    <n v="0.48"/>
    <s v=""/>
    <s v=""/>
    <m/>
    <n v="0.6919999999999999"/>
    <n v="0.6919999999999999"/>
    <s v=""/>
    <s v=""/>
    <m/>
    <n v="21498651"/>
    <s v=""/>
    <s v=""/>
    <s v=""/>
  </r>
  <r>
    <x v="0"/>
    <s v="36"/>
    <x v="2"/>
    <d v="2020-10-03T00:00:00"/>
    <d v="2020-10-09T00:00:00"/>
    <n v="202036"/>
    <n v="647321.4810496534"/>
    <n v="37833.45090806841"/>
    <n v="248508.7862234527"/>
    <n v="933663.7181811745"/>
    <n v="647321.4810496534"/>
    <n v="37833.45090806841"/>
    <n v="208508.7862234527"/>
    <n v="893663.7181811745"/>
    <n v="456058"/>
    <n v="26498"/>
    <n v="177423"/>
    <n v="659979"/>
    <n v="39055182"/>
    <n v="30986358.02172755"/>
    <n v="36690596.67121748"/>
    <n v="0.2603992367420078"/>
    <n v="0.0480405841435585"/>
    <n v="0.06444663056236033"/>
    <n v="0.05648620133575233"/>
    <n v="0.8131452222312272"/>
    <n v="0.7355854149135725"/>
    <n v="-0.2954690778058428"/>
    <n v="-0.29961451139132"/>
    <n v="-0.2860493880467236"/>
    <n v="-0.2931298634098437"/>
    <n v="-0.2954690778058428"/>
    <n v="-0.29961451139132"/>
    <n v="-0.1490862173555554"/>
    <n v="-0.261490663016711"/>
    <n v="0.3313558861640249"/>
    <n v="-0.1322229503653384"/>
    <n v="0.4783865297645278"/>
    <n v="0.09635369263840388"/>
    <n v="-0.1836229390128774"/>
    <n v="0.216215128456972"/>
    <m/>
    <n v="0.478"/>
    <n v="0.478"/>
    <s v=""/>
    <s v=""/>
    <m/>
    <n v="0.6889999999999999"/>
    <n v="0.6889999999999999"/>
    <s v=""/>
    <s v=""/>
    <m/>
    <n v="22926528"/>
    <s v=""/>
    <s v=""/>
    <s v=""/>
  </r>
  <r>
    <x v="0"/>
    <s v="37"/>
    <x v="2"/>
    <d v="2020-10-10T00:00:00"/>
    <d v="2020-10-16T00:00:00"/>
    <n v="202037"/>
    <n v="639764.0606356534"/>
    <n v="37833.45090806841"/>
    <n v="248508.7862234527"/>
    <n v="926106.2977671747"/>
    <n v="639764.0606356534"/>
    <n v="37833.45090806841"/>
    <n v="208508.7862234527"/>
    <n v="886106.2977671747"/>
    <n v="912103"/>
    <n v="40817"/>
    <n v="233826"/>
    <n v="1186746"/>
    <n v="40241928"/>
    <n v="31912464.31949473"/>
    <n v="37576702.96898466"/>
    <n v="0.2610097295249292"/>
    <n v="0.06781160184058921"/>
    <n v="0.07092759131143533"/>
    <n v="0.07966159865268407"/>
    <n v="0.8378537702518719"/>
    <n v="0.7579372003644002"/>
    <n v="0.4256865243317316"/>
    <n v="0.0788600833474411"/>
    <n v="-0.05908356982698526"/>
    <n v="0.2814360542210141"/>
    <n v="0.4256865243317316"/>
    <n v="0.0788600833474411"/>
    <n v="0.1214203690650022"/>
    <n v="0.3392817577195673"/>
    <n v="0.3342710902038304"/>
    <n v="-0.1309491030132127"/>
    <n v="0.4513580609061207"/>
    <n v="0.1047808924455733"/>
    <n v="-0.1821321946347029"/>
    <n v="0.2128726032378925"/>
    <m/>
    <n v="0.488"/>
    <n v="0.488"/>
    <s v=""/>
    <s v=""/>
    <m/>
    <n v="0.702"/>
    <n v="0.702"/>
    <s v=""/>
    <s v=""/>
    <m/>
    <n v="23004599"/>
    <s v=""/>
    <s v=""/>
    <s v=""/>
  </r>
  <r>
    <x v="0"/>
    <s v="38"/>
    <x v="2"/>
    <d v="2020-10-17T00:00:00"/>
    <d v="2020-10-23T00:00:00"/>
    <n v="202038"/>
    <n v="637807.3012056533"/>
    <n v="37833.45090806841"/>
    <n v="248508.7862234527"/>
    <n v="924149.5383371746"/>
    <n v="637807.3012056533"/>
    <n v="37833.45090806841"/>
    <n v="208508.7862234527"/>
    <n v="884149.5383371746"/>
    <n v="844988"/>
    <n v="43330"/>
    <n v="236916"/>
    <n v="1125234"/>
    <n v="41367162"/>
    <n v="32836613.8578319"/>
    <n v="38460852.50732183"/>
    <n v="0.259787692455185"/>
    <n v="0.07948564221626686"/>
    <n v="0.07556539450405819"/>
    <n v="0.09425123345434749"/>
    <n v="0.8612816127080185"/>
    <n v="0.7791304371227094"/>
    <n v="0.3248327487043672"/>
    <n v="0.1452827844144504"/>
    <n v="-0.04664940181643629"/>
    <n v="0.2175886621386376"/>
    <n v="0.3248327487043672"/>
    <n v="0.1452827844144504"/>
    <n v="0.1362398884529696"/>
    <n v="0.2726738534707991"/>
    <n v="0.333988990213786"/>
    <n v="-0.129292094035647"/>
    <n v="0.4275132188644262"/>
    <n v="0.1102548680943845"/>
    <n v="-0.1802831774184155"/>
    <n v="0.2102625169410244"/>
    <m/>
    <n v="0.483"/>
    <n v="0.483"/>
    <s v=""/>
    <s v=""/>
    <m/>
    <n v="0.717"/>
    <n v="0.717"/>
    <s v=""/>
    <s v=""/>
    <m/>
    <n v="22926528"/>
    <s v=""/>
    <s v=""/>
    <s v=""/>
  </r>
  <r>
    <x v="0"/>
    <s v="39"/>
    <x v="2"/>
    <d v="2020-10-24T00:00:00"/>
    <d v="2020-10-30T00:00:00"/>
    <n v="202039"/>
    <n v="705631.9154126535"/>
    <n v="37833.45090806841"/>
    <n v="248508.7862234527"/>
    <n v="991974.1525441746"/>
    <n v="705631.9154126535"/>
    <n v="37833.45090806841"/>
    <n v="208508.7862234527"/>
    <n v="951974.1525441746"/>
    <n v="887819"/>
    <n v="47366"/>
    <n v="220251"/>
    <n v="1155436"/>
    <n v="42522598"/>
    <n v="33828588.01037608"/>
    <n v="39412826.65986601"/>
    <n v="0.2570018585155622"/>
    <n v="0.08607104463700233"/>
    <n v="0.07890251990732411"/>
    <n v="0.1032431974364978"/>
    <n v="0.8853382734347297"/>
    <n v="0.8008925139059152"/>
    <n v="0.2581899721483027"/>
    <n v="0.2519608669876496"/>
    <n v="-0.1137094050189599"/>
    <n v="0.1647843817669898"/>
    <n v="0.2581899721483027"/>
    <n v="0.2519608669876496"/>
    <n v="0.05631519893825243"/>
    <n v="0.2137262308142176"/>
    <n v="0.3315627647214323"/>
    <n v="-0.1270187409534933"/>
    <n v="0.4027832945964462"/>
    <n v="0.1142171650972674"/>
    <n v="-0.1778558647185473"/>
    <n v="0.2051918256015817"/>
    <m/>
    <n v="0.494"/>
    <n v="0.494"/>
    <s v=""/>
    <s v=""/>
    <m/>
    <n v="0.72"/>
    <n v="0.72"/>
    <s v=""/>
    <s v=""/>
    <m/>
    <n v="23578598"/>
    <s v=""/>
    <s v=""/>
    <s v=""/>
  </r>
  <r>
    <x v="0"/>
    <s v="40"/>
    <x v="3"/>
    <d v="2020-10-31T00:00:00"/>
    <d v="2020-11-06T00:00:00"/>
    <n v="202040"/>
    <n v="713143.012710342"/>
    <n v="51940.24533928469"/>
    <n v="307133.5940994954"/>
    <n v="1072216.852149122"/>
    <n v="713143.012710342"/>
    <n v="51940.24533928469"/>
    <n v="267133.5940994954"/>
    <n v="1032216.852149122"/>
    <n v="1021577"/>
    <n v="55564"/>
    <n v="254635"/>
    <n v="1331776"/>
    <n v="43854374"/>
    <n v="34900804.8625252"/>
    <n v="40445043.51201513"/>
    <n v="0.2565433425602373"/>
    <n v="0.2420771015962162"/>
    <n v="0.08429538435215322"/>
    <n v="0.2902095109445098"/>
    <n v="0.9130664067073443"/>
    <n v="0.825975869080958"/>
    <n v="0.4324994871890233"/>
    <n v="0.06976776172396137"/>
    <n v="-0.1709308102665206"/>
    <n v="0.2420771015962162"/>
    <n v="0.4324994871890233"/>
    <n v="0.06976776172396137"/>
    <n v="-0.04678780346451006"/>
    <n v="0.2902095109445098"/>
    <n v="0.3347256868084068"/>
    <n v="-0.125420889979587"/>
    <n v="0.3721163863513623"/>
    <n v="0.1226057179400395"/>
    <n v="-0.175961421956741"/>
    <n v="0.1949891496001974"/>
    <m/>
    <n v="0.5659999999999999"/>
    <n v="0.5659999999999999"/>
    <s v=""/>
    <s v=""/>
    <m/>
    <n v="0.742"/>
    <n v="0.742"/>
    <s v=""/>
    <s v=""/>
    <m/>
    <n v="26330312"/>
    <s v=""/>
    <s v=""/>
    <s v=""/>
  </r>
  <r>
    <x v="0"/>
    <s v="41"/>
    <x v="3"/>
    <d v="2020-11-07T00:00:00"/>
    <d v="2020-11-13T00:00:00"/>
    <n v="202041"/>
    <n v="767079.4544111427"/>
    <n v="54291.37774448741"/>
    <n v="316904.3954121692"/>
    <n v="1138275.227567799"/>
    <n v="767079.4544111427"/>
    <n v="54291.37774448741"/>
    <n v="276904.3954121692"/>
    <n v="1098275.227567799"/>
    <n v="1693388"/>
    <n v="160147"/>
    <n v="366798"/>
    <n v="2220333"/>
    <n v="46074707"/>
    <n v="36039080.090093"/>
    <n v="41543318.73958293"/>
    <n v="0.2784651241047007"/>
    <n v="0.6069313401271665"/>
    <n v="0.1090762220712886"/>
    <n v="0.6672716288492229"/>
    <n v="0.9592946683170924"/>
    <n v="0.8677947644851914"/>
    <n v="1.207578354839328"/>
    <n v="1.949768575660449"/>
    <n v="0.157440557184253"/>
    <n v="0.9506117204573441"/>
    <n v="1.207578354839328"/>
    <n v="1.949768575660449"/>
    <n v="0.3246376947322382"/>
    <n v="1.021654448964554"/>
    <n v="0.3631864838536345"/>
    <n v="-0.1079564298290837"/>
    <n v="0.3608950962343167"/>
    <n v="0.1525157230704997"/>
    <n v="-0.159097242219297"/>
    <n v="0.2002114517235309"/>
    <m/>
    <n v="0.605"/>
    <n v="0.605"/>
    <s v=""/>
    <s v=""/>
    <m/>
    <n v="0.759"/>
    <n v="0.759"/>
    <s v=""/>
    <s v=""/>
    <m/>
    <n v="30482193"/>
    <s v=""/>
    <s v=""/>
    <s v=""/>
  </r>
  <r>
    <x v="0"/>
    <s v="42"/>
    <x v="3"/>
    <d v="2020-11-14T00:00:00"/>
    <d v="2020-11-20T00:00:00"/>
    <n v="202042"/>
    <n v="800743.2111361427"/>
    <n v="54291.37774448741"/>
    <n v="316904.3954121692"/>
    <n v="1171938.984292799"/>
    <n v="800743.2111361427"/>
    <n v="54291.37774448741"/>
    <n v="276904.3954121692"/>
    <n v="1131938.984292799"/>
    <n v="1252529"/>
    <n v="120377"/>
    <n v="362321"/>
    <n v="1735227"/>
    <n v="47809934"/>
    <n v="37211019.0743858"/>
    <n v="42675257.72387572"/>
    <n v="0.2848326971219652"/>
    <n v="0.5631762776362692"/>
    <n v="0.1203197484909753"/>
    <n v="0.620673631491711"/>
    <n v="0.9954228201340939"/>
    <n v="0.9004769236097919"/>
    <n v="0.5642080789206272"/>
    <n v="1.217239734945256"/>
    <n v="0.1433132681191167"/>
    <n v="0.4806461968215128"/>
    <n v="0.5642080789206272"/>
    <n v="1.217239734945256"/>
    <n v="0.3084696595757863"/>
    <n v="0.532968670642717"/>
    <n v="0.3698035489892679"/>
    <n v="-0.09689686793685248"/>
    <n v="0.3500868627109552"/>
    <n v="0.1640317330101444"/>
    <n v="-0.1482642088770469"/>
    <n v="0.204403292141532"/>
    <m/>
    <n v="0.576"/>
    <n v="0.576"/>
    <s v=""/>
    <s v=""/>
    <m/>
    <n v="0.747"/>
    <n v="0.747"/>
    <s v=""/>
    <s v=""/>
    <m/>
    <n v="29593355"/>
    <s v=""/>
    <s v=""/>
    <s v=""/>
  </r>
  <r>
    <x v="0"/>
    <s v="43"/>
    <x v="3"/>
    <d v="2020-11-21T00:00:00"/>
    <d v="2020-11-27T00:00:00"/>
    <n v="202043"/>
    <n v="1035769.877503143"/>
    <n v="54291.37774448741"/>
    <n v="316904.3954121692"/>
    <n v="1406965.6506598"/>
    <n v="1035769.877503143"/>
    <n v="54291.37774448741"/>
    <n v="276904.3954121692"/>
    <n v="1366965.6506598"/>
    <n v="1461790"/>
    <n v="98485"/>
    <n v="426109"/>
    <n v="1986384"/>
    <n v="49796318"/>
    <n v="38617984.7250456"/>
    <n v="44042223.37453552"/>
    <n v="0.2894592598381944"/>
    <n v="0.5187131977856849"/>
    <n v="0.1306495036940256"/>
    <n v="0.5712025666219558"/>
    <n v="1.036780165725687"/>
    <n v="0.9378895030420855"/>
    <n v="0.4113076965742946"/>
    <n v="0.8140081186280061"/>
    <n v="0.3445979486835393"/>
    <n v="0.411821247425963"/>
    <n v="0.4113076965742946"/>
    <n v="0.8140081186280061"/>
    <n v="0.5388307555239105"/>
    <n v="0.4531338070135287"/>
    <n v="0.3714985710088694"/>
    <n v="-0.08935773461393126"/>
    <n v="0.3498271076928412"/>
    <n v="0.1726663855343431"/>
    <n v="-0.1407493922869895"/>
    <n v="0.2168698635611068"/>
    <m/>
    <n v="0.61"/>
    <n v="0.61"/>
    <s v=""/>
    <s v=""/>
    <m/>
    <n v="0.752"/>
    <n v="0.752"/>
    <s v=""/>
    <s v=""/>
    <m/>
    <n v="34279671"/>
    <s v=""/>
    <s v=""/>
    <s v=""/>
  </r>
  <r>
    <x v="0"/>
    <s v="44"/>
    <x v="3"/>
    <d v="2020-11-28T00:00:00"/>
    <d v="2020-12-04T00:00:00"/>
    <n v="202044"/>
    <n v="1043919.224355405"/>
    <n v="52209.93950671339"/>
    <n v="277347.7874358788"/>
    <n v="1373476.951297997"/>
    <n v="1043919.224355405"/>
    <n v="52209.93950671339"/>
    <n v="237347.7874358788"/>
    <n v="1333476.951297997"/>
    <n v="1000737"/>
    <n v="135822"/>
    <n v="395624"/>
    <n v="1532183"/>
    <n v="51328501"/>
    <n v="39991461.6763436"/>
    <n v="45375700.32583352"/>
    <n v="0.2834864955776966"/>
    <n v="0.4288631371153624"/>
    <n v="0.1311891746335736"/>
    <n v="0.476788456924516"/>
    <n v="1.068680856549094"/>
    <n v="0.9667474268837545"/>
    <n v="-0.041365484366924"/>
    <n v="1.601458674023849"/>
    <n v="0.4264545019724231"/>
    <n v="0.115550572983419"/>
    <n v="-0.041365484366924"/>
    <n v="1.601458674023849"/>
    <n v="0.6668535412696048"/>
    <n v="0.1490134857663523"/>
    <n v="0.3551764502898231"/>
    <n v="-0.07600641594067237"/>
    <n v="0.352874536309195"/>
    <n v="0.1653898718477933"/>
    <n v="-0.1277628555047186"/>
    <n v="0.2308026385245456"/>
    <m/>
    <n v="0.545"/>
    <n v="0.545"/>
    <s v=""/>
    <s v=""/>
    <m/>
    <n v="0.713"/>
    <n v="0.713"/>
    <s v=""/>
    <s v=""/>
    <m/>
    <n v="31408249"/>
    <s v=""/>
    <s v=""/>
    <s v=""/>
  </r>
  <r>
    <x v="0"/>
    <s v="45"/>
    <x v="3"/>
    <d v="2020-12-05T00:00:00"/>
    <d v="2020-12-11T00:00:00"/>
    <n v="202045"/>
    <n v="793215.8037091797"/>
    <n v="50648.86082838287"/>
    <n v="247680.331453661"/>
    <n v="1091544.995991224"/>
    <n v="793215.8037091797"/>
    <n v="50648.86082838287"/>
    <n v="207680.331453661"/>
    <n v="1051544.995991224"/>
    <n v="943179"/>
    <n v="83733"/>
    <n v="322644"/>
    <n v="1349556"/>
    <n v="52678057"/>
    <n v="41083006.67233482"/>
    <n v="46427245.32182474"/>
    <n v="0.2822347064357695"/>
    <n v="0.3998997677448575"/>
    <n v="0.1346367124486028"/>
    <n v="0.4477976706859612"/>
    <n v="1.096779176857357"/>
    <n v="0.9921656597371848"/>
    <n v="0.1890572472075984"/>
    <n v="0.6532059878645338"/>
    <n v="0.3026629854149889"/>
    <n v="0.2363723025219666"/>
    <n v="0.1890572472075984"/>
    <n v="0.6532059878645338"/>
    <n v="0.553560694658225"/>
    <n v="0.2834029976319372"/>
    <n v="0.3503318282920431"/>
    <n v="-0.0704629151887477"/>
    <n v="0.3511524164054498"/>
    <n v="0.1659858672899446"/>
    <n v="-0.1221560645548935"/>
    <n v="0.2393163420773992"/>
    <m/>
    <n v="0.535"/>
    <n v="0.535"/>
    <s v=""/>
    <s v=""/>
    <m/>
    <n v="0.704"/>
    <n v="0.704"/>
    <s v=""/>
    <s v=""/>
    <m/>
    <n v="31513264"/>
    <s v=""/>
    <s v=""/>
    <s v=""/>
  </r>
  <r>
    <x v="0"/>
    <s v="46"/>
    <x v="3"/>
    <d v="2020-12-12T00:00:00"/>
    <d v="2020-12-18T00:00:00"/>
    <n v="202046"/>
    <n v="870966.6923141796"/>
    <n v="50648.86082838287"/>
    <n v="247680.331453661"/>
    <n v="1169295.884596223"/>
    <n v="870966.6923141796"/>
    <n v="50648.86082838287"/>
    <n v="207680.331453661"/>
    <n v="1129295.884596223"/>
    <n v="1084447"/>
    <n v="76127"/>
    <n v="340312"/>
    <n v="1500886"/>
    <n v="54178943"/>
    <n v="42252302.55693104"/>
    <n v="47556541.20642097"/>
    <n v="0.2822719643976543"/>
    <n v="0.383753560923676"/>
    <n v="0.1392532262772066"/>
    <n v="0.4313302527199929"/>
    <n v="1.128028251052267"/>
    <n v="1.020434119759928"/>
    <n v="0.2451073153194849"/>
    <n v="0.5030347919955498"/>
    <n v="0.3739968692817648"/>
    <n v="0.2835810163808794"/>
    <n v="0.2451073153194849"/>
    <n v="0.5030347919955498"/>
    <n v="0.6386337484054558"/>
    <n v="0.3290458421679607"/>
    <n v="0.3470668660763778"/>
    <n v="-0.06613605649828291"/>
    <n v="0.3519099381901418"/>
    <n v="0.168114750399748"/>
    <n v="-0.1176996406797058"/>
    <n v="0.2495788227192393"/>
    <m/>
    <n v="0.521"/>
    <n v="0.521"/>
    <s v=""/>
    <s v=""/>
    <m/>
    <n v="0.674"/>
    <n v="0.674"/>
    <s v=""/>
    <s v=""/>
    <m/>
    <n v="31900319"/>
    <s v=""/>
    <s v=""/>
    <s v=""/>
  </r>
  <r>
    <x v="0"/>
    <s v="47"/>
    <x v="3"/>
    <d v="2020-12-19T00:00:00"/>
    <d v="2020-12-25T00:00:00"/>
    <n v="202047"/>
    <n v="831705.7463501799"/>
    <n v="50648.86082838287"/>
    <n v="247680.331453661"/>
    <n v="1130034.938632224"/>
    <n v="831705.7463501799"/>
    <n v="50648.86082838287"/>
    <n v="207680.331453661"/>
    <n v="1090034.938632224"/>
    <n v="924861"/>
    <n v="67789"/>
    <n v="282589"/>
    <n v="1275239"/>
    <n v="55454182"/>
    <n v="43382337.49556327"/>
    <n v="48646576.14505319"/>
    <n v="0.2782663452763772"/>
    <n v="0.3535611353479644"/>
    <n v="0.1399400820038814"/>
    <n v="0.4004694431817639"/>
    <n v="1.154579260340943"/>
    <n v="1.04445262795505"/>
    <n v="0.11200506195685"/>
    <n v="0.3384111486671788"/>
    <n v="0.1409424331009914"/>
    <n v="0.1284951963905903"/>
    <n v="0.11200506195685"/>
    <n v="0.3384111486671788"/>
    <n v="0.3606921658012334"/>
    <n v="0.1699065367575927"/>
    <n v="0.3403024496937397"/>
    <n v="-0.06310673117404131"/>
    <n v="0.3451387894509994"/>
    <n v="0.1667092015744085"/>
    <n v="-0.1144714475713323"/>
    <n v="0.2523628913923011"/>
    <m/>
    <n v="0.472"/>
    <n v="0.472"/>
    <s v=""/>
    <s v=""/>
    <m/>
    <n v="0.646"/>
    <n v="0.646"/>
    <s v=""/>
    <s v=""/>
    <m/>
    <n v="29616896"/>
    <s v=""/>
    <s v=""/>
    <s v=""/>
  </r>
  <r>
    <x v="0"/>
    <s v="48"/>
    <x v="3"/>
    <d v="2020-12-26T00:00:00"/>
    <d v="2021-01-01T00:00:00"/>
    <n v="202048"/>
    <n v="827419.257195303"/>
    <n v="47674.34913107798"/>
    <n v="235494.7439771704"/>
    <n v="1110588.350303551"/>
    <n v="827419.257195303"/>
    <n v="47674.34913107798"/>
    <n v="195494.7439771704"/>
    <n v="1070588.350303551"/>
    <n v="964436"/>
    <n v="49822"/>
    <n v="244027"/>
    <n v="1258285"/>
    <n v="56712467"/>
    <n v="44492925.84586682"/>
    <n v="49717164.49535675"/>
    <n v="0.2746400898979835"/>
    <n v="0.3305907238587615"/>
    <n v="0.1407019602917332"/>
    <n v="0.3770772296621052"/>
    <n v="1.180777280259407"/>
    <n v="1.068151815781253"/>
    <n v="0.1655953032434145"/>
    <n v="0.04504835216558845"/>
    <n v="0.03623119513723294"/>
    <n v="0.1329895542809174"/>
    <n v="0.1655953032434145"/>
    <n v="0.04504835216558845"/>
    <n v="0.2482535081787014"/>
    <n v="0.1753210275856538"/>
    <n v="0.3354399884660944"/>
    <n v="-0.06234974423776052"/>
    <n v="0.3359911283100283"/>
    <n v="0.1666821171756785"/>
    <n v="-0.1134157605692201"/>
    <n v="0.2522682010315209"/>
    <m/>
    <n v="0.463"/>
    <n v="0.463"/>
    <s v=""/>
    <s v=""/>
    <m/>
    <n v="0.636"/>
    <n v="0.636"/>
    <s v=""/>
    <s v=""/>
    <m/>
    <n v="28215709"/>
    <s v=""/>
    <s v=""/>
    <s v=""/>
  </r>
  <r>
    <x v="0"/>
    <s v="49"/>
    <x v="3"/>
    <d v="2021-01-02T00:00:00"/>
    <d v="2021-01-08T00:00:00"/>
    <n v="202049"/>
    <n v="724918.424318064"/>
    <n v="29827.27894724863"/>
    <n v="162381.2191182266"/>
    <n v="917126.9223835391"/>
    <n v="724918.424318064"/>
    <n v="29827.27894724863"/>
    <n v="122381.2191182266"/>
    <n v="877126.9223835391"/>
    <n v="949692"/>
    <n v="51029"/>
    <n v="193975"/>
    <n v="1194696"/>
    <n v="57907163"/>
    <n v="45410052.76825036"/>
    <n v="50594291.41774029"/>
    <n v="0.2752058073028121"/>
    <n v="0.3283781733687856"/>
    <n v="0.1445394604280503"/>
    <n v="0.3758988945670816"/>
    <n v="1.205651350604765"/>
    <n v="1.090653335627085"/>
    <n v="0.3100674064028406"/>
    <n v="0.7108164673769912"/>
    <n v="0.1945654864111506"/>
    <n v="0.3026506700894585"/>
    <n v="0.3100674064028406"/>
    <n v="0.7108164673769912"/>
    <n v="0.5850062730018248"/>
    <n v="0.3620560143718838"/>
    <n v="0.3348360248488627"/>
    <n v="-0.05897884652321161"/>
    <n v="0.3331611334118856"/>
    <n v="0.1696729161518364"/>
    <n v="-0.1100171252721142"/>
    <n v="0.2569996206908742"/>
    <m/>
    <n v="0.446"/>
    <n v="0.446"/>
    <s v=""/>
    <s v=""/>
    <m/>
    <n v="0.629"/>
    <n v="0.629"/>
    <s v=""/>
    <s v=""/>
    <m/>
    <n v="26336880"/>
    <s v=""/>
    <s v=""/>
    <s v=""/>
  </r>
  <r>
    <x v="0"/>
    <s v="50"/>
    <x v="3"/>
    <d v="2021-01-09T00:00:00"/>
    <d v="2021-01-15T00:00:00"/>
    <n v="202050"/>
    <n v="676545.884995064"/>
    <n v="29827.27894724863"/>
    <n v="162381.2191182266"/>
    <n v="868754.3830605391"/>
    <n v="676545.884995064"/>
    <n v="29827.27894724863"/>
    <n v="122381.2191182266"/>
    <n v="828754.3830605391"/>
    <n v="930119"/>
    <n v="47208"/>
    <n v="162793"/>
    <n v="1140120"/>
    <n v="59047283"/>
    <n v="46278807.1513109"/>
    <n v="51423045.80080082"/>
    <n v="0.2759033050904256"/>
    <n v="0.3272605737250704"/>
    <n v="0.1482649866507992"/>
    <n v="0.3758853861107649"/>
    <n v="1.22938912580628"/>
    <n v="1.112126942977097"/>
    <n v="0.3748054945405308"/>
    <n v="0.5827122575777106"/>
    <n v="0.002535889827712134"/>
    <n v="0.3123617241313541"/>
    <n v="0.3748054945405308"/>
    <n v="0.5827122575777106"/>
    <n v="0.3302122758127906"/>
    <n v="0.3757031314749815"/>
    <n v="0.3357046655910725"/>
    <n v="-0.05619330665618771"/>
    <n v="0.326674955309487"/>
    <n v="0.1735899053184871"/>
    <n v="-0.1071724578769547"/>
    <n v="0.2580260832433394"/>
    <m/>
    <n v="0.448"/>
    <n v="0.448"/>
    <s v=""/>
    <s v=""/>
    <m/>
    <n v="0.629"/>
    <n v="0.629"/>
    <s v=""/>
    <s v=""/>
    <m/>
    <n v="26205735"/>
    <s v=""/>
    <s v=""/>
    <s v=""/>
  </r>
  <r>
    <x v="0"/>
    <s v="51"/>
    <x v="3"/>
    <d v="2021-01-16T00:00:00"/>
    <d v="2021-01-22T00:00:00"/>
    <n v="202051"/>
    <n v="685407.255070064"/>
    <n v="29827.27894724863"/>
    <n v="162381.2191182266"/>
    <n v="877615.7531355391"/>
    <n v="685407.255070064"/>
    <n v="29827.27894724863"/>
    <n v="122381.2191182266"/>
    <n v="837615.7531355391"/>
    <n v="909113"/>
    <n v="45019"/>
    <n v="126319"/>
    <n v="1080451"/>
    <n v="60127734"/>
    <n v="47156422.90444644"/>
    <n v="52260661.55393636"/>
    <n v="0.2750698695241891"/>
    <n v="0.3209299289738832"/>
    <n v="0.1505352632772226"/>
    <n v="0.3702803737091356"/>
    <n v="1.251884567474045"/>
    <n v="1.132476713645911"/>
    <n v="0.326383683970588"/>
    <n v="0.5093230622752702"/>
    <n v="-0.2220836825468739"/>
    <n v="0.231120790778621"/>
    <n v="0.326383683970588"/>
    <n v="0.5093230622752702"/>
    <n v="0.03217634952606008"/>
    <n v="0.2899124639853405"/>
    <n v="0.3355038642211672"/>
    <n v="-0.05374904679687864"/>
    <n v="0.3161165878636183"/>
    <n v="0.1764896091194563"/>
    <n v="-0.104651195468127"/>
    <n v="0.2549033859187051"/>
    <m/>
    <n v="0.443"/>
    <n v="0.443"/>
    <s v=""/>
    <s v=""/>
    <m/>
    <n v="0.63"/>
    <n v="0.63"/>
    <s v=""/>
    <s v=""/>
    <m/>
    <n v="25932721"/>
    <s v=""/>
    <s v=""/>
    <s v=""/>
  </r>
  <r>
    <x v="0"/>
    <s v="52"/>
    <x v="3"/>
    <d v="2021-01-23T00:00:00"/>
    <d v="2021-01-29T00:00:00"/>
    <n v="202052"/>
    <n v="681143.5162100641"/>
    <n v="29827.27894724863"/>
    <n v="162381.2191182266"/>
    <n v="873352.0142755392"/>
    <n v="681143.5162100641"/>
    <n v="29827.27894724863"/>
    <n v="122381.2191182266"/>
    <n v="833352.0142755392"/>
    <n v="865629"/>
    <n v="39713"/>
    <n v="142171"/>
    <n v="1047513"/>
    <n v="61175247"/>
    <n v="48029774.91872197"/>
    <n v="53094013.5682119"/>
    <n v="0.2736942262070425"/>
    <n v="0.3134570455542716"/>
    <n v="0.1522061130565282"/>
    <n v="0.3633794439736349"/>
    <n v="1.273694226207043"/>
    <n v="1.152206113056528"/>
    <n v="0.2708467149719456"/>
    <n v="0.331432212446696"/>
    <n v="-0.1244615555171559"/>
    <n v="0.1994167104187998"/>
    <n v="0.2708467149719456"/>
    <n v="0.331432212446696"/>
    <n v="0.1617060282971643"/>
    <n v="0.2569874219487405"/>
    <n v="0.3341486378254741"/>
    <n v="-0.0520913912433032"/>
    <n v="0.3077996837067007"/>
    <n v="0.1782362276593541"/>
    <n v="-0.1028750227786882"/>
    <n v="0.253632372032957"/>
    <m/>
    <n v="0.45"/>
    <n v="0.45"/>
    <s v=""/>
    <s v=""/>
    <m/>
    <n v="0.63"/>
    <n v="0.63"/>
    <s v=""/>
    <s v=""/>
    <m/>
    <n v="25392418"/>
    <s v=""/>
    <s v=""/>
    <s v=""/>
  </r>
  <r>
    <x v="1"/>
    <s v="01"/>
    <x v="0"/>
    <d v="2021-01-30T00:00:00"/>
    <d v="2021-02-05T00:00:00"/>
    <n v="202101"/>
    <n v="691914"/>
    <n v="33817"/>
    <n v="125006.2878159156"/>
    <n v="850737.2878159157"/>
    <n v="723050.13"/>
    <n v="79595.69119108871"/>
    <n v="130631.5707676318"/>
    <n v="933277.3919587205"/>
    <n v="901841"/>
    <n v="42759"/>
    <n v="128811"/>
    <n v="1073411"/>
    <n v="1073411"/>
    <n v="850737.2878159157"/>
    <n v="933277.3919587205"/>
    <n v="0.2617420387858524"/>
    <n v="0.2617420387858524"/>
    <n v="0.1501521511703754"/>
    <n v="0.1501521511703754"/>
    <n v="0.02072559097765736"/>
    <n v="0.01949065783318348"/>
    <n v="0.3034004225958717"/>
    <n v="0.2644232190909896"/>
    <n v="0.03043616645658043"/>
    <n v="0.2617420387858524"/>
    <n v="0.2472731316706906"/>
    <n v="-0.4627975539863499"/>
    <n v="-0.01393668281666938"/>
    <n v="0.1501521511703754"/>
    <n v="0.3034004225958717"/>
    <n v="0.2644232190909896"/>
    <n v="0.03043616645658043"/>
    <n v="0.2472731316706906"/>
    <n v="-0.4627975539863499"/>
    <n v="-0.01393668281666938"/>
    <m/>
    <n v="0.4952685057261385"/>
    <n v="0.4952685057261385"/>
    <s v=""/>
    <s v=""/>
    <m/>
    <n v="0.7101808664155668"/>
    <n v="0.7101808664155668"/>
    <s v=""/>
    <s v=""/>
    <m/>
    <n v="26218576"/>
    <s v=""/>
    <s v=""/>
    <s v=""/>
  </r>
  <r>
    <x v="1"/>
    <s v="02"/>
    <x v="0"/>
    <d v="2021-02-06T00:00:00"/>
    <d v="2021-02-12T00:00:00"/>
    <n v="202102"/>
    <n v="658772"/>
    <n v="39344"/>
    <n v="149827.4196770663"/>
    <n v="847943.4196770663"/>
    <n v="688416.74"/>
    <n v="82976.29925221782"/>
    <n v="156569.6535625343"/>
    <n v="927962.6928147521"/>
    <n v="833898"/>
    <n v="40745"/>
    <n v="123836"/>
    <n v="998479"/>
    <n v="2071890"/>
    <n v="1698680.707492982"/>
    <n v="1861240.084773473"/>
    <n v="0.2197053812766399"/>
    <n v="0.2197053812766399"/>
    <n v="0.1131771859792958"/>
    <n v="0.1131771859792958"/>
    <n v="0.0400043829350533"/>
    <n v="0.03762072408238271"/>
    <n v="0.2658370422543763"/>
    <n v="0.03560898739324925"/>
    <n v="-0.1734757211536276"/>
    <n v="0.1775302182075595"/>
    <n v="0.2113273131620825"/>
    <n v="-0.5089561673972709"/>
    <n v="-0.2090676757450982"/>
    <n v="0.07599045493020151"/>
    <n v="0.2850795817828866"/>
    <n v="0.141373135960416"/>
    <n v="-0.08072775241205987"/>
    <n v="0.2297412265864942"/>
    <n v="-0.4863567840173537"/>
    <n v="-0.1203136386718274"/>
    <m/>
    <n v="0.4806130143948946"/>
    <n v="0.4806130143948946"/>
    <s v=""/>
    <s v=""/>
    <m/>
    <n v="0.6988820415852511"/>
    <n v="0.6988820415852511"/>
    <s v=""/>
    <s v=""/>
    <m/>
    <n v="25171667"/>
    <s v=""/>
    <s v=""/>
    <s v=""/>
  </r>
  <r>
    <x v="1"/>
    <s v="03"/>
    <x v="0"/>
    <d v="2021-02-13T00:00:00"/>
    <d v="2021-02-19T00:00:00"/>
    <n v="202103"/>
    <n v="664919"/>
    <n v="36179"/>
    <n v="149827.4196770663"/>
    <n v="850925.4196770663"/>
    <n v="694840.355"/>
    <n v="82976.29925221782"/>
    <n v="156569.6535625343"/>
    <n v="934386.3078147521"/>
    <n v="750148"/>
    <n v="36766"/>
    <n v="125521"/>
    <n v="912435"/>
    <n v="2984325"/>
    <n v="2549606.127170048"/>
    <n v="2795626.392588225"/>
    <n v="0.1705043254318153"/>
    <n v="0.1705043254318153"/>
    <n v="0.0674977915189432"/>
    <n v="0.0674977915189432"/>
    <n v="0.05762182360195423"/>
    <n v="0.05418843056202636"/>
    <n v="0.1281795226185445"/>
    <n v="0.01622488183753013"/>
    <n v="-0.1622294485846159"/>
    <n v="0.07228551280825202"/>
    <n v="0.07959762930004266"/>
    <n v="-0.5569096195981854"/>
    <n v="-0.1983056924254698"/>
    <n v="-0.0234927541544242"/>
    <n v="0.2333205166686925"/>
    <n v="0.09996341686482535"/>
    <n v="-0.1094828892860514"/>
    <n v="0.1802110207355909"/>
    <n v="-0.510198176704335"/>
    <n v="-0.1478305160632072"/>
    <m/>
    <n v="0.4708915319995398"/>
    <n v="0.4708915319995398"/>
    <s v=""/>
    <s v=""/>
    <m/>
    <n v="0.6807325453319962"/>
    <n v="0.6807325453319962"/>
    <s v=""/>
    <s v=""/>
    <m/>
    <n v="24394413"/>
    <s v=""/>
    <s v=""/>
    <s v=""/>
  </r>
  <r>
    <x v="1"/>
    <s v="04"/>
    <x v="0"/>
    <d v="2021-02-20T00:00:00"/>
    <d v="2021-02-26T00:00:00"/>
    <n v="202104"/>
    <n v="709519"/>
    <n v="37405"/>
    <n v="149827.4196770663"/>
    <n v="896751.4196770663"/>
    <n v="741447.355"/>
    <n v="82976.29925221782"/>
    <n v="156569.6535625343"/>
    <n v="980993.3078147521"/>
    <n v="753662"/>
    <n v="34150"/>
    <n v="127156"/>
    <n v="914968"/>
    <n v="3899293"/>
    <n v="3446357.546847114"/>
    <n v="3776619.700402977"/>
    <n v="0.1314243943050111"/>
    <n v="0.1314243943050111"/>
    <n v="0.03248230145702347"/>
    <n v="0.03248230145702347"/>
    <n v="0.07528817183729483"/>
    <n v="0.0708021304554616"/>
    <n v="0.06221538817142314"/>
    <n v="-0.08702045181125517"/>
    <n v="-0.1513168933025185"/>
    <n v="0.02031396875791258"/>
    <n v="0.01647405566643378"/>
    <n v="-0.5884366944807167"/>
    <n v="-0.1878630557918837"/>
    <n v="-0.06730454457617985"/>
    <n v="0.18877122655703"/>
    <n v="0.05230161163923808"/>
    <n v="-0.1203932562741252"/>
    <n v="0.1375801211072059"/>
    <n v="-0.5299590800962442"/>
    <n v="-0.1582710586355266"/>
    <m/>
    <n v="0.4876387939250335"/>
    <n v="0.4876387939250335"/>
    <s v=""/>
    <s v=""/>
    <m/>
    <n v="0.7025551757001337"/>
    <n v="0.7025551757001337"/>
    <s v=""/>
    <s v=""/>
    <m/>
    <n v="24993680"/>
    <s v=""/>
    <s v=""/>
    <s v=""/>
  </r>
  <r>
    <x v="1"/>
    <s v="05"/>
    <x v="0"/>
    <d v="2021-02-27T00:00:00"/>
    <d v="2021-03-05T00:00:00"/>
    <n v="202105"/>
    <n v="716138"/>
    <n v="39567"/>
    <n v="148407.6018111611"/>
    <n v="904112.601811161"/>
    <n v="748364.21"/>
    <n v="79908.81101963104"/>
    <n v="155085.9438926633"/>
    <n v="983358.9649122944"/>
    <n v="846983"/>
    <n v="47980"/>
    <n v="142846"/>
    <n v="1037809"/>
    <n v="4937102"/>
    <n v="4350470.148658276"/>
    <n v="4759978.665315271"/>
    <n v="0.1348433229734141"/>
    <n v="0.1348433229734141"/>
    <n v="0.03721095137996744"/>
    <n v="0.03721095137996744"/>
    <n v="0.0953263537144431"/>
    <n v="0.08964633841979056"/>
    <n v="0.1827091985064331"/>
    <n v="0.2126266838527056"/>
    <n v="-0.03747518148186146"/>
    <n v="0.1478758264413216"/>
    <n v="0.1317791373267303"/>
    <n v="-0.3995655874767947"/>
    <n v="-0.07892361864292952"/>
    <n v="0.05537147372481832"/>
    <n v="0.187509698476896"/>
    <n v="0.08634977886555895"/>
    <n v="-0.1033705170472554"/>
    <n v="0.1363729172027712"/>
    <n v="-0.5044479711596352"/>
    <n v="-0.1419813560260818"/>
    <m/>
    <n v="0.4974744572459865"/>
    <n v="0.4974744572459865"/>
    <s v=""/>
    <s v=""/>
    <m/>
    <n v="0.7126644329544261"/>
    <n v="0.7126644329544261"/>
    <s v=""/>
    <s v=""/>
    <m/>
    <n v="25367031"/>
    <s v=""/>
    <s v=""/>
    <s v=""/>
  </r>
  <r>
    <x v="1"/>
    <s v="06"/>
    <x v="0"/>
    <d v="2021-03-06T00:00:00"/>
    <d v="2021-03-12T00:00:00"/>
    <n v="202106"/>
    <n v="702219"/>
    <n v="38375"/>
    <n v="147832.626745767"/>
    <n v="888426.626745767"/>
    <n v="733818.855"/>
    <n v="78681.81572659632"/>
    <n v="154485.0949493265"/>
    <n v="966985.7656759227"/>
    <n v="760180"/>
    <n v="47872"/>
    <n v="147325"/>
    <n v="955377"/>
    <n v="5892479"/>
    <n v="5238896.775404043"/>
    <n v="5726964.430991194"/>
    <n v="0.1247556981203453"/>
    <n v="0.1247556981203453"/>
    <n v="0.02890092491462526"/>
    <n v="0.02890092491462526"/>
    <n v="0.1137729253738181"/>
    <n v="0.1069937721694851"/>
    <n v="0.08253977747682706"/>
    <n v="0.2474788273615636"/>
    <n v="-0.003433793722951162"/>
    <n v="0.07535835964244653"/>
    <n v="0.03592323203524117"/>
    <n v="-0.3915747932616898"/>
    <n v="-0.04634812796454657"/>
    <n v="-0.01200510502634777"/>
    <n v="0.1697198563237046"/>
    <n v="0.1138695162603978"/>
    <n v="-0.08640322627345354"/>
    <n v="0.1193491448073729"/>
    <n v="-0.4862160081707784"/>
    <n v="-0.1257447141372761"/>
    <m/>
    <n v="0.5003622318728628"/>
    <n v="0.5003622318728628"/>
    <s v=""/>
    <s v=""/>
    <m/>
    <n v="0.7027957099658042"/>
    <n v="0.7027957099658042"/>
    <s v=""/>
    <s v=""/>
    <m/>
    <n v="25188223"/>
    <s v=""/>
    <s v=""/>
    <s v=""/>
  </r>
  <r>
    <x v="1"/>
    <s v="07"/>
    <x v="0"/>
    <d v="2021-03-13T00:00:00"/>
    <d v="2021-03-19T00:00:00"/>
    <n v="202107"/>
    <n v="688015"/>
    <n v="34468"/>
    <n v="147832.626745767"/>
    <n v="870315.626745767"/>
    <n v="718975.6749999999"/>
    <n v="78681.81572659632"/>
    <n v="154485.0949493265"/>
    <n v="952142.5856759227"/>
    <n v="967926"/>
    <n v="68411"/>
    <n v="162518"/>
    <n v="1198855"/>
    <n v="7091334"/>
    <n v="6109212.40214981"/>
    <n v="6679107.016667116"/>
    <n v="0.1607607549386538"/>
    <n v="0.1607607549386538"/>
    <n v="0.06171887683551236"/>
    <n v="0.06171887683551236"/>
    <n v="0.1369206091328996"/>
    <n v="0.1287622025252399"/>
    <n v="0.4068385136951955"/>
    <n v="0.9847684809098294"/>
    <n v="0.09933783615634439"/>
    <n v="0.3774945125168994"/>
    <n v="0.3462569509044935"/>
    <n v="-0.1305360791658058"/>
    <n v="0.05199792933621472"/>
    <n v="0.2591128871196713"/>
    <n v="0.2034860424183318"/>
    <n v="0.2297003723640292"/>
    <n v="-0.05944501924185819"/>
    <n v="0.1516612846108438"/>
    <n v="-0.4367538493443988"/>
    <n v="-0.09994738683431403"/>
    <m/>
    <n v="0.5242575557511125"/>
    <n v="0.5242575557511125"/>
    <s v=""/>
    <s v=""/>
    <m/>
    <n v="0.7166307493399953"/>
    <n v="0.7166307493399953"/>
    <s v=""/>
    <s v=""/>
    <m/>
    <n v="26503001"/>
    <s v=""/>
    <s v=""/>
    <s v=""/>
  </r>
  <r>
    <x v="1"/>
    <s v="08"/>
    <x v="0"/>
    <d v="2021-03-20T00:00:00"/>
    <d v="2021-03-26T00:00:00"/>
    <n v="202108"/>
    <n v="694522"/>
    <n v="34326"/>
    <n v="147832.626745767"/>
    <n v="876680.626745767"/>
    <n v="725775.49"/>
    <n v="78681.81572659632"/>
    <n v="154485.0949493265"/>
    <n v="958942.4006759227"/>
    <n v="928223"/>
    <n v="60412"/>
    <n v="195914"/>
    <n v="1184549"/>
    <n v="8275883"/>
    <n v="6985893.028895576"/>
    <n v="7638049.417343039"/>
    <n v="0.1846564162618394"/>
    <n v="0.1846564162618394"/>
    <n v="0.08350739145634334"/>
    <n v="0.08350739145634334"/>
    <n v="0.1597920703597671"/>
    <n v="0.1502708690524505"/>
    <n v="0.3364918605890095"/>
    <n v="0.7599487269125444"/>
    <n v="0.325241959861271"/>
    <n v="0.3511750617748204"/>
    <n v="0.2789395795110139"/>
    <n v="-0.2321987050995404"/>
    <n v="0.2681741242691589"/>
    <n v="0.2352660589051601"/>
    <n v="0.2202025038644464"/>
    <n v="0.2917190550665971"/>
    <n v="-0.01068852256332375"/>
    <n v="0.1676578984348769"/>
    <n v="-0.4117805391471036"/>
    <n v="-0.05329045221370698"/>
    <m/>
    <n v="0.5478816258339672"/>
    <n v="0.5478816258339672"/>
    <s v=""/>
    <s v=""/>
    <m/>
    <n v="0.734585795100076"/>
    <n v="0.734585795100076"/>
    <s v=""/>
    <s v=""/>
    <m/>
    <n v="26697709"/>
    <s v=""/>
    <s v=""/>
    <s v=""/>
  </r>
  <r>
    <x v="1"/>
    <s v="09"/>
    <x v="0"/>
    <d v="2021-03-27T00:00:00"/>
    <d v="2021-04-02T00:00:00"/>
    <n v="202109"/>
    <n v="732827"/>
    <n v="39325"/>
    <n v="129195.2803904813"/>
    <n v="901347.2803904813"/>
    <n v="765804.215"/>
    <n v="81986.43153499137"/>
    <n v="135009.0680080529"/>
    <n v="982799.7145430443"/>
    <n v="801500"/>
    <n v="57785"/>
    <n v="186817"/>
    <n v="1046102"/>
    <n v="9321985"/>
    <n v="7887240.309286058"/>
    <n v="8620849.131886084"/>
    <n v="0.1819070593075176"/>
    <n v="0.1819070593075176"/>
    <n v="0.08133025614850542"/>
    <n v="0.08133025614850542"/>
    <n v="0.1799903748050441"/>
    <n v="0.1692656586909104"/>
    <n v="0.09370970228989917"/>
    <n v="0.4694214876033058"/>
    <n v="0.4460048341964362"/>
    <n v="0.1605981653894912"/>
    <n v="0.046612155301339"/>
    <n v="-0.2951882534936567"/>
    <n v="0.3837366834415659"/>
    <n v="0.06441015857069954"/>
    <n v="0.2053918893981237"/>
    <n v="0.3127167178476349"/>
    <n v="0.03485262682417867"/>
    <n v="0.153485061624999"/>
    <n v="-0.3986223253607889"/>
    <n v="-0.009710404952939067"/>
    <m/>
    <n v="0.5067841367285408"/>
    <n v="0.5067841367285408"/>
    <s v=""/>
    <s v=""/>
    <m/>
    <n v="0.7134862078458888"/>
    <n v="0.7134862078458888"/>
    <s v=""/>
    <s v=""/>
    <m/>
    <n v="26283661"/>
    <s v=""/>
    <s v=""/>
    <s v=""/>
  </r>
  <r>
    <x v="1"/>
    <s v="10"/>
    <x v="0"/>
    <d v="2021-04-03T00:00:00"/>
    <d v="2021-04-09T00:00:00"/>
    <n v="202110"/>
    <n v="757086"/>
    <n v="32741"/>
    <n v="82474.45721583655"/>
    <n v="872301.4572158365"/>
    <n v="791154.87"/>
    <n v="90247.97105597898"/>
    <n v="86185.80779054918"/>
    <n v="967588.6488465283"/>
    <n v="757046"/>
    <n v="52807"/>
    <n v="161136"/>
    <n v="970989"/>
    <n v="10292974"/>
    <n v="8759541.766501894"/>
    <n v="9588437.780732611"/>
    <n v="0.1750584989916064"/>
    <n v="0.1750584989916064"/>
    <n v="0.07347768587319958"/>
    <n v="0.07347768587319958"/>
    <n v="0.1987383854531598"/>
    <n v="0.1868965702045664"/>
    <n v="-5.283415622536758e-05"/>
    <n v="0.6128707125622308"/>
    <n v="0.9537685416747315"/>
    <n v="0.1131346760547081"/>
    <n v="-0.04311275995811037"/>
    <n v="-0.4148677318491194"/>
    <n v="0.869634968109791"/>
    <n v="0.003514252836187559"/>
    <n v="0.1832224404715497"/>
    <n v="0.3396006532675688"/>
    <n v="0.08984797112284837"/>
    <n v="0.1322702779632055"/>
    <n v="-0.4004174657910703"/>
    <n v="0.0429167187778452"/>
    <m/>
    <n v="0.5035951931484292"/>
    <n v="0.5035951931484292"/>
    <s v=""/>
    <s v=""/>
    <m/>
    <n v="0.7124235825534584"/>
    <n v="0.7124235825534584"/>
    <s v=""/>
    <s v=""/>
    <m/>
    <n v="25067451"/>
    <s v=""/>
    <s v=""/>
    <s v=""/>
  </r>
  <r>
    <x v="1"/>
    <s v="11"/>
    <x v="0"/>
    <d v="2021-04-10T00:00:00"/>
    <d v="2021-04-16T00:00:00"/>
    <n v="202111"/>
    <n v="757998"/>
    <n v="37470"/>
    <n v="82474.45721583655"/>
    <n v="877942.4572158365"/>
    <n v="792107.9099999999"/>
    <n v="90247.97105597898"/>
    <n v="86185.80779054918"/>
    <n v="968541.6888465281"/>
    <n v="747808"/>
    <n v="53729"/>
    <n v="153301"/>
    <n v="954838"/>
    <n v="11247812"/>
    <n v="9637484.22371773"/>
    <n v="10556979.46957914"/>
    <n v="0.1670900557553467"/>
    <n v="0.1670900557553467"/>
    <n v="0.06543846489533811"/>
    <n v="0.06543846489533811"/>
    <n v="0.2171745500144736"/>
    <n v="0.2042342169625382"/>
    <n v="-0.01344330723827769"/>
    <n v="0.4339204697091006"/>
    <n v="0.8587694320777355"/>
    <n v="0.08758608511543842"/>
    <n v="-0.05592660979739483"/>
    <n v="-0.4046514356907481"/>
    <n v="0.7787267292609912"/>
    <n v="-0.01414878575113099"/>
    <n v="0.1640465201058563"/>
    <n v="0.3483699198793102"/>
    <n v="0.1332678413487975"/>
    <n v="0.1139201149338338"/>
    <n v="-0.4008387706762158"/>
    <n v="0.08446683382660058"/>
    <m/>
    <n v="0.499805895869247"/>
    <n v="0.499805895869247"/>
    <s v=""/>
    <s v=""/>
    <m/>
    <n v="0.7080075080799046"/>
    <n v="0.7080075080799046"/>
    <s v=""/>
    <s v=""/>
    <m/>
    <n v="25081152"/>
    <s v=""/>
    <s v=""/>
    <s v=""/>
  </r>
  <r>
    <x v="1"/>
    <s v="12"/>
    <x v="0"/>
    <d v="2021-04-17T00:00:00"/>
    <d v="2021-04-23T00:00:00"/>
    <n v="202112"/>
    <n v="756190"/>
    <n v="36517"/>
    <n v="82474.45721583655"/>
    <n v="875181.4572158365"/>
    <n v="790218.5499999999"/>
    <n v="90247.97105597898"/>
    <n v="86185.80779054918"/>
    <n v="966652.3288465282"/>
    <n v="700052"/>
    <n v="50497"/>
    <n v="138699"/>
    <n v="889248"/>
    <n v="12137060"/>
    <n v="10512665.68093357"/>
    <n v="11523631.79842567"/>
    <n v="0.1545178329044115"/>
    <n v="0.1545178329044115"/>
    <n v="0.05323219383477151"/>
    <n v="0.05323219383477151"/>
    <n v="0.2343442923831468"/>
    <n v="0.2203809012212636"/>
    <n v="-0.07423795606924188"/>
    <n v="0.3828353917353562"/>
    <n v="0.6817206767062827"/>
    <n v="0.01607271574161606"/>
    <n v="-0.1141033072432935"/>
    <n v="-0.440463875152631"/>
    <n v="0.6093020829725195"/>
    <n v="-0.08007463131950654"/>
    <n v="0.1429227423439228"/>
    <n v="0.3512333516861039"/>
    <n v="0.1625827980329047"/>
    <n v="0.09370597353485421"/>
    <n v="-0.4044248640567262"/>
    <n v="0.1125194239549325"/>
    <m/>
    <n v="0.4886253171218828"/>
    <n v="0.4886253171218828"/>
    <s v=""/>
    <s v=""/>
    <m/>
    <n v="0.7027063248947425"/>
    <n v="0.7027063248947425"/>
    <s v=""/>
    <s v=""/>
    <m/>
    <n v="24784845"/>
    <s v=""/>
    <s v=""/>
    <s v=""/>
  </r>
  <r>
    <x v="1"/>
    <s v="13"/>
    <x v="0"/>
    <d v="2021-04-24T00:00:00"/>
    <d v="2021-04-30T00:00:00"/>
    <n v="202113"/>
    <n v="771982"/>
    <n v="31907"/>
    <n v="82474.45721583655"/>
    <n v="886363.4572158365"/>
    <n v="806721.1899999999"/>
    <n v="90247.97105597898"/>
    <n v="86185.80779054918"/>
    <n v="983154.9688465281"/>
    <n v="683911"/>
    <n v="45967"/>
    <n v="151067"/>
    <n v="880945"/>
    <n v="13018005"/>
    <n v="11399029.1381494"/>
    <n v="12506786.76727219"/>
    <n v="0.142027522013461"/>
    <n v="0.142027522013461"/>
    <n v="0.04087526574496048"/>
    <n v="0.04087526574496048"/>
    <n v="0.2513537191020945"/>
    <n v="0.2363768222290173"/>
    <n v="-0.1140842662134609"/>
    <n v="0.4406556554987933"/>
    <n v="0.8316822577523126"/>
    <n v="-0.006113132453425485"/>
    <n v="-0.1522337475726898"/>
    <n v="-0.4906589094231536"/>
    <n v="0.7528059882797253"/>
    <n v="-0.1039611984735677"/>
    <n v="0.1215937130762179"/>
    <n v="0.3572854291417165"/>
    <n v="0.1965317684483787"/>
    <n v="0.07329541921169191"/>
    <n v="-0.4115814196395426"/>
    <n v="0.1450064769840942"/>
    <m/>
    <n v="0.4936840211363933"/>
    <n v="0.4936840211363933"/>
    <s v=""/>
    <s v=""/>
    <m/>
    <n v="0.7043951546228644"/>
    <n v="0.7043951546228644"/>
    <s v=""/>
    <s v=""/>
    <m/>
    <n v="24726278"/>
    <s v=""/>
    <s v=""/>
    <s v=""/>
  </r>
  <r>
    <x v="1"/>
    <s v="14"/>
    <x v="1"/>
    <d v="2021-05-01T00:00:00"/>
    <d v="2021-05-07T00:00:00"/>
    <n v="202114"/>
    <n v="788479"/>
    <n v="38738"/>
    <n v="55842.25938678325"/>
    <n v="883059.2593867832"/>
    <n v="823960.5549999999"/>
    <n v="89305.40826309648"/>
    <n v="58355.16105918849"/>
    <n v="971621.1243222849"/>
    <n v="691822"/>
    <n v="48076"/>
    <n v="137857"/>
    <n v="877755"/>
    <n v="13895760"/>
    <n v="12282088.39753619"/>
    <n v="13478407.89159448"/>
    <n v="0.1313841384489236"/>
    <n v="-0.006006685656030242"/>
    <n v="0.03096449608605423"/>
    <n v="-0.0966077434635414"/>
    <n v="0.2683015527917005"/>
    <n v="0.2523148202245343"/>
    <n v="-0.1225866510078265"/>
    <n v="0.2410552945428261"/>
    <n v="1.468685929148275"/>
    <n v="-0.006006685656030242"/>
    <n v="-0.1603700009644272"/>
    <n v="-0.4616675413613628"/>
    <n v="1.362378879567728"/>
    <n v="-0.0966077434635414"/>
    <n v="0.1025134333209785"/>
    <n v="0.3484600502960726"/>
    <n v="0.2387840259333669"/>
    <n v="0.05503677829758713"/>
    <n v="-0.4153824935845087"/>
    <n v="0.1854392592663796"/>
    <m/>
    <n v="0.4879999999999999"/>
    <n v="0.4879999999999999"/>
    <s v=""/>
    <s v=""/>
    <m/>
    <n v="0.7093344503437142"/>
    <n v="0.7093344503437142"/>
    <s v=""/>
    <s v=""/>
    <m/>
    <n v="24760784"/>
    <s v=""/>
    <s v=""/>
    <s v=""/>
  </r>
  <r>
    <x v="1"/>
    <s v="15"/>
    <x v="1"/>
    <d v="2021-05-08T00:00:00"/>
    <d v="2021-05-14T00:00:00"/>
    <n v="202115"/>
    <n v="781264"/>
    <n v="44125"/>
    <n v="55842.25938678325"/>
    <n v="881231.2593867832"/>
    <n v="816420.8799999999"/>
    <n v="89305.40826309648"/>
    <n v="58355.16105918849"/>
    <n v="964081.4493222849"/>
    <n v="678876"/>
    <n v="46239"/>
    <n v="122594"/>
    <n v="847709"/>
    <n v="14743469"/>
    <n v="13163319.65692297"/>
    <n v="14442489.34091677"/>
    <n v="0.1200418575451052"/>
    <n v="-0.02200687378887944"/>
    <n v="0.02083987406731436"/>
    <n v="-0.1086109904006221"/>
    <n v="0.2846692535159142"/>
    <n v="0.2677072524439825"/>
    <n v="-0.1310542915070962"/>
    <n v="0.0479093484419264"/>
    <n v="1.195362461086515"/>
    <n v="-0.03804025223765906"/>
    <n v="-0.1684730062268862"/>
    <n v="-0.4822374042143284"/>
    <n v="1.10082532161389"/>
    <n v="-0.1207081096769268"/>
    <n v="0.0857289710926683"/>
    <n v="0.3245349122503176"/>
    <n v="0.2695337223647738"/>
    <n v="0.0389750919547065"/>
    <n v="-0.4200982791388249"/>
    <n v="0.2148648060906924"/>
    <m/>
    <n v="0.4848741400381261"/>
    <n v="0.4848741400381261"/>
    <s v=""/>
    <s v=""/>
    <m/>
    <n v="0.6998437567761754"/>
    <n v="0.6998437567761754"/>
    <s v=""/>
    <s v=""/>
    <m/>
    <n v="24040617"/>
    <s v=""/>
    <s v=""/>
    <s v=""/>
  </r>
  <r>
    <x v="1"/>
    <s v="16"/>
    <x v="1"/>
    <d v="2021-05-15T00:00:00"/>
    <d v="2021-05-21T00:00:00"/>
    <n v="202116"/>
    <n v="777474"/>
    <n v="48226"/>
    <n v="55842.25938678325"/>
    <n v="881542.2593867832"/>
    <n v="812460.33"/>
    <n v="89305.40826309648"/>
    <n v="58355.16105918849"/>
    <n v="960120.899322285"/>
    <n v="748189"/>
    <n v="47316"/>
    <n v="144400"/>
    <n v="939905"/>
    <n v="15683374"/>
    <n v="14044861.91630975"/>
    <n v="15402610.24023905"/>
    <n v="0.1166627406843712"/>
    <n v="0.007383770433607717"/>
    <n v="0.01822832334142044"/>
    <n v="-0.07958167171383124"/>
    <n v="0.3028170893289019"/>
    <n v="0.2847737505054877"/>
    <n v="-0.03766685445429685"/>
    <n v="-0.01886948948699874"/>
    <n v="1.585855257034543"/>
    <n v="0.06620526695318607"/>
    <n v="-0.07910703775530792"/>
    <n v="-0.470177664261882"/>
    <n v="1.474502638310567"/>
    <n v="-0.02105557678887593"/>
    <n v="0.07749354940778508"/>
    <n v="0.2970491095879044"/>
    <n v="0.3105297056679726"/>
    <n v="0.03109430565338278"/>
    <n v="-0.423398004494643"/>
    <n v="0.2540954121224617"/>
    <m/>
    <n v="0.4601594208314869"/>
    <n v="0.4601594208314869"/>
    <s v=""/>
    <s v=""/>
    <m/>
    <n v="0.6692240321757338"/>
    <n v="0.6692240321757338"/>
    <s v=""/>
    <s v=""/>
    <m/>
    <n v="24851970"/>
    <s v=""/>
    <s v=""/>
    <s v=""/>
  </r>
  <r>
    <x v="1"/>
    <s v="17"/>
    <x v="1"/>
    <d v="2021-05-22T00:00:00"/>
    <d v="2021-05-28T00:00:00"/>
    <n v="202117"/>
    <n v="793614"/>
    <n v="50443"/>
    <n v="55842.25938678325"/>
    <n v="899899.2593867832"/>
    <n v="829326.6299999999"/>
    <n v="89305.40826309648"/>
    <n v="58355.16105918849"/>
    <n v="976987.1993222849"/>
    <n v="721953"/>
    <n v="48050"/>
    <n v="139350"/>
    <n v="909353"/>
    <n v="16592727"/>
    <n v="14944761.17569654"/>
    <n v="16379597.43956134"/>
    <n v="0.110270469024518"/>
    <n v="0.008176016164188615"/>
    <n v="0.01301189246103784"/>
    <n v="-0.07696959586019358"/>
    <n v="0.3203750222477053"/>
    <n v="0.3012854950027761"/>
    <n v="-0.09029704617106049"/>
    <n v="-0.04743968439624924"/>
    <n v="1.495421953377864"/>
    <n v="0.01050533214090965"/>
    <n v="-0.1294708575799621"/>
    <n v="-0.4619586771448015"/>
    <n v="1.387963591749152"/>
    <n v="-0.06922731369377333"/>
    <n v="0.06679181401939682"/>
    <n v="0.2704369093362207"/>
    <n v="0.346317811369097"/>
    <n v="0.02085341054487722"/>
    <n v="-0.4257817015652693"/>
    <n v="0.2883424032240163"/>
    <m/>
    <n v="0.4720941035240274"/>
    <n v="0.4720941035240274"/>
    <s v=""/>
    <s v=""/>
    <m/>
    <n v="0.6945281087774192"/>
    <n v="0.6945281087774192"/>
    <s v=""/>
    <s v=""/>
    <m/>
    <n v="24883278"/>
    <s v=""/>
    <s v=""/>
    <s v=""/>
  </r>
  <r>
    <x v="1"/>
    <s v="18"/>
    <x v="1"/>
    <d v="2021-05-29T00:00:00"/>
    <d v="2021-06-04T00:00:00"/>
    <n v="202118"/>
    <n v="809814"/>
    <n v="48346"/>
    <n v="51848.88863310508"/>
    <n v="910008.8886331051"/>
    <n v="846255.6299999999"/>
    <n v="87269.58298151428"/>
    <n v="54182.0886215948"/>
    <n v="987707.301603109"/>
    <n v="728976"/>
    <n v="44346"/>
    <n v="120959"/>
    <n v="894281"/>
    <n v="17487008"/>
    <n v="15854770.06432964"/>
    <n v="17367304.74116445"/>
    <n v="0.1029493287539121"/>
    <n v="0.00297640146486966"/>
    <n v="0.006892448806511187"/>
    <n v="-0.08055005166017881"/>
    <n v="0.3376419425839888"/>
    <n v="0.3175235668855099"/>
    <n v="-0.09982292230067646"/>
    <n v="-0.08273693790592807"/>
    <n v="1.332914035167355"/>
    <n v="-0.01728322528445791"/>
    <n v="-0.1385865285173936"/>
    <n v="-0.4918504422165795"/>
    <n v="1.232453622169718"/>
    <n v="-0.09458905634439718"/>
    <n v="0.05661075825342166"/>
    <n v="0.2460905807485609"/>
    <n v="0.3732309388677073"/>
    <n v="0.01111077344825029"/>
    <n v="-0.4295453998230025"/>
    <n v="0.3140965922179018"/>
    <m/>
    <n v="0.4781401326458061"/>
    <n v="0.4781401326458061"/>
    <s v=""/>
    <s v=""/>
    <m/>
    <n v="0.704609011582365"/>
    <n v="0.704609011582365"/>
    <s v=""/>
    <s v=""/>
    <m/>
    <n v="24913575"/>
    <s v=""/>
    <s v=""/>
    <s v=""/>
  </r>
  <r>
    <x v="1"/>
    <s v="19"/>
    <x v="1"/>
    <d v="2021-06-05T00:00:00"/>
    <d v="2021-06-11T00:00:00"/>
    <n v="202119"/>
    <n v="803002"/>
    <n v="44035"/>
    <n v="48826.18064331561"/>
    <n v="895863.1806433157"/>
    <n v="839137.09"/>
    <n v="85742.71402032762"/>
    <n v="51023.35877226481"/>
    <n v="975903.1627925924"/>
    <n v="788147"/>
    <n v="48667"/>
    <n v="114581"/>
    <n v="951395"/>
    <n v="18438403"/>
    <n v="16750633.24497296"/>
    <n v="18343207.90395704"/>
    <n v="0.10075856418942"/>
    <n v="0.01285481732266613"/>
    <n v="0.005189664563657104"/>
    <n v="-0.07128052053508027"/>
    <n v="0.3560116291515648"/>
    <n v="0.3347986967371712"/>
    <n v="-0.01849933125944891"/>
    <n v="0.1051890541614624"/>
    <n v="1.346712327081974"/>
    <n v="0.06198694237752589"/>
    <n v="-0.0607649102961233"/>
    <n v="-0.4324065833924714"/>
    <n v="1.245657729265047"/>
    <n v="-0.02511331423751217"/>
    <n v="0.0523197342468007"/>
    <n v="0.2377662157847145"/>
    <n v="0.3976118654296281"/>
    <n v="0.007004530379713492"/>
    <n v="-0.4296970515478741"/>
    <n v="0.3374276224206967"/>
    <m/>
    <n v="0.4991808283193618"/>
    <n v="0.4991808283193618"/>
    <s v=""/>
    <s v=""/>
    <m/>
    <n v="0.7200353338932848"/>
    <n v="0.7200353338932848"/>
    <s v=""/>
    <s v=""/>
    <m/>
    <n v="24857578"/>
    <s v=""/>
    <s v=""/>
    <s v=""/>
  </r>
  <r>
    <x v="1"/>
    <s v="20"/>
    <x v="1"/>
    <d v="2021-06-12T00:00:00"/>
    <d v="2021-06-18T00:00:00"/>
    <n v="202120"/>
    <n v="801050"/>
    <n v="41626"/>
    <n v="48826.18064331561"/>
    <n v="891502.1806433157"/>
    <n v="837097.25"/>
    <n v="85742.71402032762"/>
    <n v="51023.35877226481"/>
    <n v="973863.3227925925"/>
    <n v="839201"/>
    <n v="53412"/>
    <n v="128690"/>
    <n v="1021303"/>
    <n v="19459706"/>
    <n v="17642135.42561628"/>
    <n v="19317071.22674963"/>
    <n v="0.1030244089241388"/>
    <n v="0.03181024050989056"/>
    <n v="0.007383871580534995"/>
    <n v="-0.05412159531229266"/>
    <n v="0.375731110545229"/>
    <n v="0.3533431939679652"/>
    <n v="0.04762624055926601"/>
    <n v="0.2831403449766972"/>
    <n v="1.635676153744331"/>
    <n v="0.1455978708465064"/>
    <n v="0.002513148860541659"/>
    <n v="-0.3770666043141899"/>
    <n v="1.522178137554384"/>
    <n v="0.04871286976017575"/>
    <n v="0.05206667008597687"/>
    <n v="0.2401662049861495"/>
    <n v="0.4278616845132435"/>
    <n v="0.006762363718638031"/>
    <n v="-0.4270478864512164"/>
    <n v="0.3663748177160224"/>
    <m/>
    <n v="0.5362417110056362"/>
    <n v="0.5362417110056362"/>
    <s v=""/>
    <s v=""/>
    <m/>
    <n v="0.7269486098999405"/>
    <n v="0.7269486098999405"/>
    <s v=""/>
    <s v=""/>
    <m/>
    <n v="25845018"/>
    <s v=""/>
    <s v=""/>
    <s v=""/>
  </r>
  <r>
    <x v="1"/>
    <s v="21"/>
    <x v="1"/>
    <d v="2021-06-19T00:00:00"/>
    <d v="2021-06-25T00:00:00"/>
    <n v="202121"/>
    <n v="801559"/>
    <n v="42905"/>
    <n v="48826.18064331561"/>
    <n v="893290.1806433157"/>
    <n v="837629.1549999999"/>
    <n v="85742.71402032762"/>
    <n v="51023.35877226481"/>
    <n v="974395.2277925924"/>
    <n v="834329"/>
    <n v="53116"/>
    <n v="170017"/>
    <n v="1057462"/>
    <n v="20517168"/>
    <n v="18535425.60625959"/>
    <n v="20291466.45454222"/>
    <n v="0.1069164763646515"/>
    <n v="0.05083329289661531"/>
    <n v="0.01112297851726995"/>
    <n v="-0.03667674184936853"/>
    <n v="0.3961487556843374"/>
    <n v="0.37254425489765"/>
    <n v="0.04088282958584455"/>
    <n v="0.2379909101503321"/>
    <n v="2.482086818176626"/>
    <n v="0.1837833023513744"/>
    <n v="-0.003939875994407038"/>
    <n v="-0.3805187926824031"/>
    <n v="2.3321404958628"/>
    <n v="0.08524956797621863"/>
    <n v="0.05149416378742666"/>
    <n v="0.2400537423859932"/>
    <n v="0.4768558085144343"/>
    <n v="0.006214510801365369"/>
    <n v="-0.4248180724927746"/>
    <n v="0.413259146903765"/>
    <m/>
    <n v="0.5064020594235017"/>
    <n v="0.5064020594235017"/>
    <s v=""/>
    <s v=""/>
    <m/>
    <n v="0.7058322202921503"/>
    <n v="0.7058322202921503"/>
    <s v=""/>
    <s v=""/>
    <m/>
    <n v="27864208"/>
    <s v=""/>
    <s v=""/>
    <s v=""/>
  </r>
  <r>
    <x v="1"/>
    <s v="22"/>
    <x v="1"/>
    <d v="2021-06-26T00:00:00"/>
    <d v="2021-07-02T00:00:00"/>
    <n v="202122"/>
    <n v="825737"/>
    <n v="56811"/>
    <n v="47421.4971140244"/>
    <n v="929969.4971140244"/>
    <n v="862895.1649999999"/>
    <n v="85916.45812867414"/>
    <n v="49555.4644841555"/>
    <n v="998367.0876128296"/>
    <n v="785205"/>
    <n v="49055"/>
    <n v="138345"/>
    <n v="972605"/>
    <n v="21489773"/>
    <n v="19465395.10337362"/>
    <n v="21289833.54215505"/>
    <n v="0.1039988084431707"/>
    <n v="0.05025832407351283"/>
    <n v="0.009391311465590135"/>
    <n v="-0.03544086498241461"/>
    <n v="0.4149279683184769"/>
    <n v="0.39020450922879"/>
    <n v="-0.04908584694642482"/>
    <n v="-0.1365228564890603"/>
    <n v="1.917347794131239"/>
    <n v="0.04584613045727459"/>
    <n v="-0.0900343032980141"/>
    <n v="-0.4290383813712153"/>
    <n v="1.79172037715908"/>
    <n v="-0.02580422364926782"/>
    <n v="0.04645581370744423"/>
    <n v="0.2159263152196469"/>
    <n v="0.5094682978226484"/>
    <n v="0.001393123165018384"/>
    <n v="-0.4250114463654734"/>
    <n v="0.4444672706436825"/>
    <m/>
    <n v="0.4992225739668552"/>
    <n v="0.4992225739668552"/>
    <s v=""/>
    <s v=""/>
    <m/>
    <n v="0.7084957421356131"/>
    <n v="0.7084957421356131"/>
    <s v=""/>
    <s v=""/>
    <m/>
    <n v="25909879"/>
    <s v=""/>
    <s v=""/>
    <s v=""/>
  </r>
  <r>
    <x v="1"/>
    <s v="23"/>
    <x v="1"/>
    <d v="2021-07-03T00:00:00"/>
    <d v="2021-07-09T00:00:00"/>
    <n v="202123"/>
    <n v="834758"/>
    <n v="84558"/>
    <n v="43900.1819258384"/>
    <n v="963216.1819258383"/>
    <n v="872322.11"/>
    <n v="86350.81839954045"/>
    <n v="45875.69011250112"/>
    <n v="1004548.618512042"/>
    <n v="683555"/>
    <n v="39786"/>
    <n v="132627"/>
    <n v="855968"/>
    <n v="22345741"/>
    <n v="20428611.28529945"/>
    <n v="22294382.1606671"/>
    <n v="0.09384532741489493"/>
    <n v="0.03301967333494571"/>
    <n v="0.002303667307879786"/>
    <n v="-0.04698389899783051"/>
    <n v="0.4314551351333907"/>
    <n v="0.4057469057611103"/>
    <n v="-0.1811339334274125"/>
    <n v="-0.5294827219186831"/>
    <n v="2.021103653375512"/>
    <n v="-0.1113438332310905"/>
    <n v="-0.2163961085429784"/>
    <n v="-0.5392516164014522"/>
    <n v="1.891008280742117"/>
    <n v="-0.1479078421631024"/>
    <n v="0.03548612806437745"/>
    <n v="0.1510305234264158"/>
    <n v="0.540499816692618"/>
    <n v="-0.009104183670452182"/>
    <n v="-0.4300407682298756"/>
    <n v="0.4741625040120749"/>
    <m/>
    <n v="0.5092696516283437"/>
    <n v="0.5092696516283437"/>
    <s v=""/>
    <s v=""/>
    <m/>
    <n v="0.7137594822235862"/>
    <n v="0.7137594822235862"/>
    <s v=""/>
    <s v=""/>
    <m/>
    <n v="24950992"/>
    <s v=""/>
    <s v=""/>
    <s v=""/>
  </r>
  <r>
    <x v="1"/>
    <s v="24"/>
    <x v="1"/>
    <d v="2021-07-10T00:00:00"/>
    <d v="2021-07-16T00:00:00"/>
    <n v="202124"/>
    <n v="879306"/>
    <n v="84200"/>
    <n v="43900.1819258384"/>
    <n v="1007406.181925838"/>
    <n v="918874.7699999999"/>
    <n v="86350.81839954045"/>
    <n v="45875.69011250112"/>
    <n v="1051101.278512042"/>
    <n v="683684"/>
    <n v="40892"/>
    <n v="154585"/>
    <n v="879161"/>
    <n v="23224902"/>
    <n v="21436017.46722529"/>
    <n v="23345483.43917914"/>
    <n v="0.08345228004734717"/>
    <n v="0.01692825231567818"/>
    <n v="-0.005165086407110886"/>
    <n v="-0.05829111110236296"/>
    <n v="0.4484301160954903"/>
    <n v="0.4217104334604532"/>
    <n v="-0.2224731777106036"/>
    <n v="-0.5143467933491687"/>
    <n v="2.521283812926881"/>
    <n v="-0.1273023575065567"/>
    <n v="-0.2559551939814387"/>
    <n v="-0.5264433996352532"/>
    <n v="2.369649581748212"/>
    <n v="-0.1635810763691995"/>
    <n v="0.02302194540788149"/>
    <n v="0.09794931849232658"/>
    <n v="0.58034428147992"/>
    <n v="-0.02103163118863016"/>
    <n v="-0.4341058468529816"/>
    <n v="0.5122911784496846"/>
    <m/>
    <n v="0.5027394286706608"/>
    <n v="0.5027394286706608"/>
    <s v=""/>
    <s v=""/>
    <m/>
    <n v="0.7078545957583001"/>
    <n v="0.7078545957583001"/>
    <s v=""/>
    <s v=""/>
    <m/>
    <n v="24845607"/>
    <s v=""/>
    <s v=""/>
    <s v=""/>
  </r>
  <r>
    <x v="1"/>
    <s v="25"/>
    <x v="1"/>
    <d v="2021-07-17T00:00:00"/>
    <d v="2021-07-23T00:00:00"/>
    <n v="202125"/>
    <n v="864684"/>
    <n v="81650"/>
    <n v="43900.1819258384"/>
    <n v="990234.1819258383"/>
    <n v="903594.7799999999"/>
    <n v="86350.81839954045"/>
    <n v="45875.69011250112"/>
    <n v="1035821.288512042"/>
    <n v="675090"/>
    <n v="43532"/>
    <n v="133471"/>
    <n v="852093"/>
    <n v="24076995"/>
    <n v="22426251.64915113"/>
    <n v="24381304.72769118"/>
    <n v="0.07360763522473701"/>
    <n v="0.002880824157359685"/>
    <n v="-0.01248127329894511"/>
    <n v="-0.06867882663846725"/>
    <n v="0.4648824637916896"/>
    <n v="0.4371824689669375"/>
    <n v="-0.2192639160664474"/>
    <n v="-0.466846295162278"/>
    <n v="2.040329086231936"/>
    <n v="-0.1395035481982424"/>
    <n v="-0.2528841302071266"/>
    <n v="-0.4958704409889916"/>
    <n v="1.909405824145393"/>
    <n v="-0.1773745051870554"/>
    <n v="0.01203194151218367"/>
    <n v="0.05739404663073921"/>
    <n v="0.6091334994213162"/>
    <n v="-0.03154838132805382"/>
    <n v="-0.4366049376674925"/>
    <n v="0.5398406693026954"/>
    <m/>
    <n v="0.4899424110886401"/>
    <n v="0.4899424110886401"/>
    <s v=""/>
    <s v=""/>
    <m/>
    <n v="0.7049588471380068"/>
    <n v="0.7049588471380068"/>
    <s v=""/>
    <s v=""/>
    <m/>
    <n v="23950052"/>
    <s v=""/>
    <s v=""/>
    <s v=""/>
  </r>
  <r>
    <x v="1"/>
    <s v="26"/>
    <x v="1"/>
    <d v="2021-07-24T00:00:00"/>
    <d v="2021-07-30T00:00:00"/>
    <n v="202126"/>
    <n v="858485"/>
    <n v="79843"/>
    <n v="43900.1819258384"/>
    <n v="982228.1819258383"/>
    <n v="897116.825"/>
    <n v="86350.81839954045"/>
    <n v="45875.69011250112"/>
    <n v="1029343.333512042"/>
    <n v="676884"/>
    <n v="43061"/>
    <n v="107878"/>
    <n v="827823"/>
    <n v="24904818"/>
    <n v="23408479.83107696"/>
    <n v="25410648.06120322"/>
    <n v="0.06392291083065138"/>
    <n v="-0.010211765389052"/>
    <n v="-0.01990622435070899"/>
    <n v="-0.0788173610025833"/>
    <n v="0.4808662024527404"/>
    <n v="0.4522138174806377"/>
    <n v="-0.2115366022702785"/>
    <n v="-0.4606790826997984"/>
    <n v="1.457347447494428"/>
    <n v="-0.1571988920365721"/>
    <n v="-0.2454895715505057"/>
    <n v="-0.5013249347474724"/>
    <n v="1.351528657889405"/>
    <n v="-0.1957756240811017"/>
    <n v="0.002397531048006885"/>
    <n v="0.02340364863876565"/>
    <n v="0.6255358652873129"/>
    <n v="-0.04076791287272052"/>
    <n v="-0.4391217735809991"/>
    <n v="0.5555367131936013"/>
    <m/>
    <n v="0.4896093022666675"/>
    <n v="0.4896093022666675"/>
    <s v=""/>
    <s v=""/>
    <m/>
    <n v="0.7083419687506354"/>
    <n v="0.7083419687506354"/>
    <s v=""/>
    <s v=""/>
    <m/>
    <n v="23270426"/>
    <s v=""/>
    <s v=""/>
    <s v=""/>
  </r>
  <r>
    <x v="1"/>
    <s v="27"/>
    <x v="2"/>
    <d v="2021-07-31T00:00:00"/>
    <d v="2021-08-06T00:00:00"/>
    <n v="202127"/>
    <n v="899427"/>
    <n v="79008"/>
    <n v="34922.86922890269"/>
    <n v="1013357.869228903"/>
    <n v="939901.215"/>
    <n v="79721.72518388971"/>
    <n v="36494.39834420331"/>
    <n v="1056117.338528093"/>
    <n v="733195"/>
    <n v="49328"/>
    <n v="100142"/>
    <n v="882665"/>
    <n v="25787483"/>
    <n v="24421837.70030587"/>
    <n v="26466765.39973131"/>
    <n v="0.0559190228209987"/>
    <n v="-0.1289701034525456"/>
    <n v="-0.025665486109542"/>
    <n v="-0.1642358592179093"/>
    <n v="0.4979088392063175"/>
    <n v="0.4682409697050204"/>
    <n v="-0.1848198908860864"/>
    <n v="-0.375658161198866"/>
    <n v="1.86751925632505"/>
    <n v="-0.1289701034525456"/>
    <n v="-0.2199233405608482"/>
    <n v="-0.3812477102544153"/>
    <n v="1.744037565861292"/>
    <n v="-0.1642358592179093"/>
    <n v="-0.00568999566490247"/>
    <n v="-0.0009251864455169789"/>
    <n v="0.6443520049431701"/>
    <n v="-0.04850717288507411"/>
    <n v="-0.4371159549081159"/>
    <n v="0.5735425884623642"/>
    <m/>
    <n v="0.5021689295827219"/>
    <n v="0.5021689295827219"/>
    <s v=""/>
    <s v=""/>
    <m/>
    <n v="0.7117341286947378"/>
    <n v="0.7117341286947378"/>
    <s v=""/>
    <s v=""/>
    <m/>
    <n v="23143626"/>
    <s v=""/>
    <s v=""/>
    <s v=""/>
  </r>
  <r>
    <x v="1"/>
    <s v="28"/>
    <x v="2"/>
    <d v="2021-08-07T00:00:00"/>
    <d v="2021-08-13T00:00:00"/>
    <n v="202128"/>
    <n v="863575"/>
    <n v="77934"/>
    <n v="33416.55639130983"/>
    <n v="974925.5563913098"/>
    <n v="902435.8749999999"/>
    <n v="78616.87631461458"/>
    <n v="34920.30142891877"/>
    <n v="1015973.052743533"/>
    <n v="734965"/>
    <n v="98945"/>
    <n v="114068"/>
    <n v="947978"/>
    <n v="26735461"/>
    <n v="25396763.25669718"/>
    <n v="27482738.45247484"/>
    <n v="0.05271135261497562"/>
    <n v="-0.07928468526615584"/>
    <n v="-0.02719079300511085"/>
    <n v="-0.1165235803846625"/>
    <n v="0.5162125497923071"/>
    <n v="0.4854540547501575"/>
    <n v="-0.1489274237906377"/>
    <n v="0.2695999178792312"/>
    <n v="2.413517499058163"/>
    <n v="-0.02764062980465531"/>
    <n v="-0.185576482096304"/>
    <n v="0.2585720094504251"/>
    <n v="2.266523922543697"/>
    <n v="-0.06692603958335253"/>
    <n v="-0.01139440376504153"/>
    <n v="0.01442037893890991"/>
    <n v="0.669632430169214"/>
    <n v="-0.05396593661726468"/>
    <n v="-0.4141245250699441"/>
    <n v="0.5977343829370476"/>
    <m/>
    <n v="0.4984150686952595"/>
    <n v="0.4984150686952595"/>
    <s v=""/>
    <s v=""/>
    <m/>
    <n v="0.7121917026505168"/>
    <n v="0.7121917026505168"/>
    <s v=""/>
    <s v=""/>
    <m/>
    <n v="23823434"/>
    <s v=""/>
    <s v=""/>
    <s v=""/>
  </r>
  <r>
    <x v="1"/>
    <s v="29"/>
    <x v="2"/>
    <d v="2021-08-14T00:00:00"/>
    <d v="2021-08-20T00:00:00"/>
    <n v="202129"/>
    <n v="829749"/>
    <n v="75642"/>
    <n v="33416.55639130983"/>
    <n v="938807.5563913098"/>
    <n v="867087.705"/>
    <n v="78616.87631461458"/>
    <n v="34920.30142891877"/>
    <n v="980624.8827435332"/>
    <n v="632782"/>
    <n v="107307"/>
    <n v="120863"/>
    <n v="860952"/>
    <n v="27596413"/>
    <n v="26335570.81308849"/>
    <n v="28463363.33521838"/>
    <n v="0.04787601513785633"/>
    <n v="-0.08045393308877868"/>
    <n v="-0.03045846427241017"/>
    <n v="-0.1182947774687768"/>
    <n v="0.5328359484750075"/>
    <n v="0.5010869491799658"/>
    <n v="-0.2373814249851461"/>
    <n v="0.4186166415483461"/>
    <n v="2.616859815975267"/>
    <n v="-0.08293026175735041"/>
    <n v="-0.2702214593159292"/>
    <n v="0.3649359403516779"/>
    <n v="2.461109871746667"/>
    <n v="-0.1220373711186276"/>
    <n v="-0.01972308170914217"/>
    <n v="0.03551286588558633"/>
    <n v="0.6970652637778483"/>
    <n v="-0.06193596335803064"/>
    <n v="-0.389201431163161"/>
    <n v="0.6239858983520086"/>
    <m/>
    <n v="0.5176566292277135"/>
    <n v="0.5176566292277135"/>
    <s v=""/>
    <s v=""/>
    <m/>
    <n v="0.7327702065008118"/>
    <n v="0.7327702065008118"/>
    <s v=""/>
    <s v=""/>
    <m/>
    <n v="23233322"/>
    <s v=""/>
    <s v=""/>
    <s v=""/>
  </r>
  <r>
    <x v="1"/>
    <s v="30"/>
    <x v="2"/>
    <d v="2021-08-21T00:00:00"/>
    <d v="2021-08-27T00:00:00"/>
    <n v="202130"/>
    <n v="815798"/>
    <n v="72205"/>
    <n v="33416.55639130983"/>
    <n v="921419.5563913098"/>
    <n v="852508.9099999999"/>
    <n v="78616.87631461458"/>
    <n v="34920.30142891877"/>
    <n v="966046.0877435332"/>
    <n v="625657"/>
    <n v="112935"/>
    <n v="122748"/>
    <n v="861340"/>
    <n v="28457753"/>
    <n v="27256990.3694798"/>
    <n v="29429409.42296191"/>
    <n v="0.0440533827925742"/>
    <n v="-0.07680257997305606"/>
    <n v="-0.03301651110279458"/>
    <n v="-0.1159129193863946"/>
    <n v="0.5494668387236591"/>
    <n v="0.5167268887911998"/>
    <n v="-0.2330736285207858"/>
    <n v="0.5640883595318884"/>
    <n v="2.673268979682219"/>
    <n v="-0.06520325727251564"/>
    <n v="-0.2660991660485987"/>
    <n v="0.4365236230965057"/>
    <n v="2.515089932710258"/>
    <n v="-0.1083862240859575"/>
    <n v="-0.02718351353431969"/>
    <n v="0.06059329607763764"/>
    <n v="0.724519540307123"/>
    <n v="-0.06907513256872688"/>
    <n v="-0.3636043616339182"/>
    <n v="0.6502579333082523"/>
    <m/>
    <n v="0.5044511539103554"/>
    <n v="0.5044511539103554"/>
    <s v=""/>
    <s v=""/>
    <m/>
    <n v="0.7066669180108723"/>
    <n v="0.7066669180108723"/>
    <s v=""/>
    <s v=""/>
    <m/>
    <n v="23181453"/>
    <s v=""/>
    <s v=""/>
    <s v=""/>
  </r>
  <r>
    <x v="1"/>
    <s v="31"/>
    <x v="2"/>
    <d v="2021-08-28T00:00:00"/>
    <d v="2021-09-03T00:00:00"/>
    <n v="202131"/>
    <n v="828844"/>
    <n v="68124"/>
    <n v="37579.83401895808"/>
    <n v="934547.834018958"/>
    <n v="866141.98"/>
    <n v="71506.14105942346"/>
    <n v="39270.92654981119"/>
    <n v="976919.0476092346"/>
    <n v="718051"/>
    <n v="96874"/>
    <n v="115705"/>
    <n v="930630"/>
    <n v="29388383"/>
    <n v="28191538.20349875"/>
    <n v="30406328.47057115"/>
    <n v="0.04245404375816242"/>
    <n v="-0.06261545419320258"/>
    <n v="-0.03347807912936174"/>
    <n v="-0.1025116435406087"/>
    <n v="0.5674355913557239"/>
    <n v="0.5336249743328009"/>
    <n v="-0.1336717162698892"/>
    <n v="0.4220245434795373"/>
    <n v="2.078911948935957"/>
    <n v="-0.004192224171243986"/>
    <n v="-0.1709777189185542"/>
    <n v="0.3547647595679255"/>
    <n v="1.946327223862161"/>
    <n v="-0.04738268510836741"/>
    <n v="-0.03083694003655824"/>
    <n v="0.07608028379857346"/>
    <n v="0.7453540522688558"/>
    <n v="-0.07257123448474467"/>
    <n v="-0.3439049057489171"/>
    <n v="0.6701952653290493"/>
    <m/>
    <n v="0.5400525789510838"/>
    <n v="0.5400525789510838"/>
    <s v=""/>
    <s v=""/>
    <m/>
    <n v="0.793873131387507"/>
    <n v="0.793873131387507"/>
    <s v=""/>
    <s v=""/>
    <m/>
    <n v="22851991"/>
    <s v=""/>
    <s v=""/>
    <s v=""/>
  </r>
  <r>
    <x v="1"/>
    <s v="32"/>
    <x v="2"/>
    <d v="2021-09-04T00:00:00"/>
    <d v="2021-09-10T00:00:00"/>
    <n v="202132"/>
    <n v="832307"/>
    <n v="63676"/>
    <n v="43163.05200544186"/>
    <n v="939146.0520054419"/>
    <n v="869760.8149999999"/>
    <n v="62025.16071916864"/>
    <n v="45105.38934568674"/>
    <n v="976891.3650648553"/>
    <n v="711630"/>
    <n v="97244"/>
    <n v="143570"/>
    <n v="952444"/>
    <n v="30340827"/>
    <n v="29130684.2555042"/>
    <n v="31383219.835636"/>
    <n v="0.04154185785276043"/>
    <n v="-0.05001488992694969"/>
    <n v="-0.03321497415164365"/>
    <n v="-0.08983781102969512"/>
    <n v="0.5858255321827918"/>
    <n v="0.5509191515950691"/>
    <n v="-0.1449909708797354"/>
    <n v="0.5271687920095482"/>
    <n v="2.326224475088072"/>
    <n v="0.01415961656460341"/>
    <n v="-0.1818095415117086"/>
    <n v="0.5678153651272542"/>
    <n v="2.182989928313945"/>
    <n v="-0.0250256742347521"/>
    <n v="-0.03463875254106208"/>
    <n v="0.09345124629884083"/>
    <n v="0.7728004980618515"/>
    <n v="-0.07620933257517892"/>
    <n v="-0.3227221074767402"/>
    <n v="0.6964598067577534"/>
    <m/>
    <n v="0.5494525890773341"/>
    <n v="0.5494525890773341"/>
    <s v=""/>
    <s v=""/>
    <m/>
    <n v="0.8099075207636363"/>
    <n v="0.8099075207636363"/>
    <s v=""/>
    <s v=""/>
    <m/>
    <n v="26228080"/>
    <s v=""/>
    <s v=""/>
    <s v=""/>
  </r>
  <r>
    <x v="1"/>
    <s v="33"/>
    <x v="2"/>
    <d v="2021-09-11T00:00:00"/>
    <d v="2021-09-17T00:00:00"/>
    <n v="202133"/>
    <n v="834660"/>
    <n v="59310"/>
    <n v="43163.05200544186"/>
    <n v="937133.0520054419"/>
    <n v="872219.7"/>
    <n v="62025.16071916864"/>
    <n v="45105.38934568674"/>
    <n v="979350.2500648553"/>
    <n v="872482"/>
    <n v="69085"/>
    <n v="143131"/>
    <n v="1084698"/>
    <n v="31425525"/>
    <n v="30067817.30750964"/>
    <n v="32362570.08570085"/>
    <n v="0.04515484707801742"/>
    <n v="-0.02081745773108612"/>
    <n v="-0.02895459424944991"/>
    <n v="-0.06202817335667676"/>
    <n v="0.6067690543586247"/>
    <n v="0.5706147552085391"/>
    <n v="0.04531425969855984"/>
    <n v="0.1648120047209576"/>
    <n v="2.316053739247968"/>
    <n v="0.1574642444621634"/>
    <n v="0.0003007269842678628"/>
    <n v="0.1138221844002338"/>
    <n v="2.173257166744468"/>
    <n v="0.1075690233684714"/>
    <n v="-0.03205475230920285"/>
    <n v="0.09592222534892225"/>
    <n v="0.7991366120799981"/>
    <n v="-0.07373660508057689"/>
    <n v="-0.3128097918487703"/>
    <n v="0.7216618297416257"/>
    <m/>
    <n v="0.5664671167745564"/>
    <n v="0.5664671167745564"/>
    <s v=""/>
    <s v=""/>
    <m/>
    <n v="0.8321898243466325"/>
    <n v="0.8321898243466325"/>
    <s v=""/>
    <s v=""/>
    <m/>
    <n v="26572556"/>
    <s v=""/>
    <s v=""/>
    <s v=""/>
  </r>
  <r>
    <x v="1"/>
    <s v="34"/>
    <x v="2"/>
    <d v="2021-09-18T00:00:00"/>
    <d v="2021-09-24T00:00:00"/>
    <n v="202134"/>
    <n v="829997"/>
    <n v="56186"/>
    <n v="43163.05200544186"/>
    <n v="929346.0520054419"/>
    <n v="867346.865"/>
    <n v="62025.16071916864"/>
    <n v="45105.38934568674"/>
    <n v="974477.4150648554"/>
    <n v="938840"/>
    <n v="19561"/>
    <n v="103109"/>
    <n v="1061510"/>
    <n v="32487035"/>
    <n v="30997163.35951508"/>
    <n v="33337047.50076571"/>
    <n v="0.04806477364412065"/>
    <n v="-0.0008521278313798897"/>
    <n v="-0.02549753395966414"/>
    <n v="-0.04342229308361623"/>
    <n v="0.6272648589280703"/>
    <n v="0.5898893184434068"/>
    <n v="0.1311366185660912"/>
    <n v="-0.6518527747125619"/>
    <n v="1.388825516485728"/>
    <n v="0.1422117710721003"/>
    <n v="0.082427386187647"/>
    <n v="-0.684627983657046"/>
    <n v="1.285957432043759"/>
    <n v="0.0893120595610235"/>
    <n v="-0.02697334647274485"/>
    <n v="0.07217223882891877"/>
    <n v="0.8090309925242667"/>
    <n v="-0.06887401576339203"/>
    <n v="-0.3210649709892961"/>
    <n v="0.7311301363868588"/>
    <m/>
    <n v="0.5151344881190629"/>
    <n v="0.5151344881190629"/>
    <s v=""/>
    <s v=""/>
    <m/>
    <n v="0.8744137503749343"/>
    <n v="0.8744137503749343"/>
    <s v=""/>
    <s v=""/>
    <m/>
    <n v="25550993"/>
    <s v=""/>
    <s v=""/>
    <s v=""/>
  </r>
  <r>
    <x v="1"/>
    <s v="35"/>
    <x v="2"/>
    <d v="2021-09-25T00:00:00"/>
    <d v="2021-10-01T00:00:00"/>
    <n v="202135"/>
    <n v="831043"/>
    <n v="55473"/>
    <n v="43758.33747480278"/>
    <n v="930274.3374748027"/>
    <n v="868439.9349999999"/>
    <n v="61712.0466625004"/>
    <n v="45727.4626611689"/>
    <n v="975879.4443236692"/>
    <n v="842696"/>
    <n v="16172"/>
    <n v="86054"/>
    <n v="944922"/>
    <n v="33431957"/>
    <n v="31927437.69698988"/>
    <n v="34312926.94508938"/>
    <n v="0.04712308320163006"/>
    <n v="0.0009603444712193987"/>
    <n v="-0.02567457875275936"/>
    <n v="-0.04213975868192532"/>
    <n v="0.6455095637781136"/>
    <n v="0.6070469136059748"/>
    <n v="0.01402213844530298"/>
    <n v="-0.7084707875903593"/>
    <n v="0.9665737997827772"/>
    <n v="0.01574553003897528"/>
    <n v="-0.02964388665521234"/>
    <n v="-0.7379441960749782"/>
    <n v="0.8818888036198826"/>
    <n v="-0.03172261133661258"/>
    <n v="-0.025733875117252"/>
    <n v="0.04843724736298349"/>
    <n v="0.8116660343081286"/>
    <n v="-0.06768791877248992"/>
    <n v="-0.3300748505414391"/>
    <n v="0.7336517074718938"/>
    <m/>
    <n v="0.5173044359660274"/>
    <n v="0.5173044359660274"/>
    <s v=""/>
    <s v=""/>
    <m/>
    <n v="0.7224458563073672"/>
    <n v="0.7224458563073672"/>
    <s v=""/>
    <s v=""/>
    <m/>
    <n v="23260884"/>
    <s v=""/>
    <s v=""/>
    <s v=""/>
  </r>
  <r>
    <x v="1"/>
    <s v="36"/>
    <x v="2"/>
    <d v="2021-10-02T00:00:00"/>
    <d v="2021-10-08T00:00:00"/>
    <n v="202136"/>
    <n v="853250"/>
    <n v="56786"/>
    <n v="47340.12155435558"/>
    <n v="957376.1215543556"/>
    <n v="891646.2499999999"/>
    <n v="59833.36232249098"/>
    <n v="49470.42702430158"/>
    <n v="1000950.039346793"/>
    <n v="801638"/>
    <n v="15796"/>
    <n v="85812"/>
    <n v="903246"/>
    <n v="34335203"/>
    <n v="32884813.81854424"/>
    <n v="35313876.98443617"/>
    <n v="0.04410513586784748"/>
    <n v="-0.00484881469226861"/>
    <n v="-0.02771358083587083"/>
    <n v="-0.04774643976205206"/>
    <n v="0.662949581765823"/>
    <n v="0.6234477691265459"/>
    <n v="-0.06048871960152358"/>
    <n v="-0.7218328461240446"/>
    <n v="0.8126696168591643"/>
    <n v="-0.05654007900935754"/>
    <n v="-0.1009461431593526"/>
    <n v="-0.7360001279075306"/>
    <n v="0.7346120735494397"/>
    <n v="-0.09761130476657254"/>
    <n v="-0.02678026167769998"/>
    <n v="0.02518695938055293"/>
    <n v="0.8116838713280983"/>
    <n v="-0.06868924562459322"/>
    <n v="-0.3384063236923649"/>
    <n v="0.7336687763905252"/>
    <m/>
    <n v="0.5114399013802888"/>
    <n v="0.5114399013802888"/>
    <s v=""/>
    <s v=""/>
    <m/>
    <n v="0.7413486662368928"/>
    <n v="0.7413486662368928"/>
    <s v=""/>
    <s v=""/>
    <m/>
    <n v="24231561"/>
    <s v=""/>
    <s v=""/>
    <s v=""/>
  </r>
  <r>
    <x v="1"/>
    <s v="37"/>
    <x v="2"/>
    <d v="2021-10-09T00:00:00"/>
    <d v="2021-10-15T00:00:00"/>
    <n v="202137"/>
    <n v="860057"/>
    <n v="57959"/>
    <n v="47340.12155435558"/>
    <n v="965356.1215543556"/>
    <n v="898759.5649999999"/>
    <n v="59833.36232249098"/>
    <n v="49470.42702430158"/>
    <n v="1008063.354346793"/>
    <n v="808080"/>
    <n v="14274"/>
    <n v="96457"/>
    <n v="918811"/>
    <n v="35254014"/>
    <n v="33850169.94009859"/>
    <n v="36321940.33878296"/>
    <n v="0.04147228986990781"/>
    <n v="-0.008858154959197395"/>
    <n v="-0.02940168748756722"/>
    <n v="-0.05151509677132637"/>
    <n v="0.6806901312587686"/>
    <n v="0.6401312489999263"/>
    <n v="-0.06043436655942569"/>
    <n v="-0.7537224589796235"/>
    <n v="1.03753173487839"/>
    <n v="-0.04821549324140773"/>
    <n v="-0.1008941306788762"/>
    <n v="-0.7614374414884838"/>
    <n v="0.949791133854919"/>
    <n v="-0.08853843755150348"/>
    <n v="-0.02777150875920209"/>
    <n v="0.001907438442696918"/>
    <n v="0.8156278459362196"/>
    <n v="-0.06963780742507375"/>
    <n v="-0.3469142656764744"/>
    <n v="0.7374429147715027"/>
    <m/>
    <n v="0.4803819079943948"/>
    <n v="0.4803819079943948"/>
    <s v=""/>
    <s v=""/>
    <m/>
    <n v="0.7411276694544044"/>
    <n v="0.7411276694544044"/>
    <s v=""/>
    <s v=""/>
    <m/>
    <n v="24884724"/>
    <s v=""/>
    <s v=""/>
    <s v=""/>
  </r>
  <r>
    <x v="1"/>
    <s v="38"/>
    <x v="2"/>
    <d v="2021-10-16T00:00:00"/>
    <d v="2021-10-22T00:00:00"/>
    <n v="202138"/>
    <n v="865429"/>
    <n v="57208"/>
    <n v="47340.12155435558"/>
    <n v="969977.1215543556"/>
    <n v="904373.3049999999"/>
    <n v="59833.36232249098"/>
    <n v="49470.42702430158"/>
    <n v="1013677.094346793"/>
    <n v="781837"/>
    <n v="15960"/>
    <n v="179893"/>
    <n v="977690"/>
    <n v="36231704"/>
    <n v="34820147.06165294"/>
    <n v="37335617.43312975"/>
    <n v="0.04053851167968192"/>
    <n v="-0.007429346550592353"/>
    <n v="-0.02956730085171144"/>
    <n v="-0.05015387069542776"/>
    <n v="0.6995675258848214"/>
    <n v="0.6578838351546472"/>
    <n v="-0.09659024599360544"/>
    <n v="-0.7210180394350441"/>
    <n v="2.800011366541342"/>
    <n v="0.007951608624835238"/>
    <n v="-0.1354930583670865"/>
    <n v="-0.7332591821603056"/>
    <n v="2.636374513436691"/>
    <n v="-0.03550153648286036"/>
    <n v="-0.02975244385892206"/>
    <n v="-0.01880780862908216"/>
    <n v="0.8496863150305221"/>
    <n v="-0.07153343909944687"/>
    <n v="-0.3545311894770083"/>
    <n v="0.7700347512253807"/>
    <m/>
    <n v="0.4727605134876722"/>
    <n v="0.4727605134876722"/>
    <s v=""/>
    <s v=""/>
    <m/>
    <n v="0.7407981316321572"/>
    <n v="0.7407981316321572"/>
    <s v=""/>
    <s v=""/>
    <m/>
    <n v="26421771"/>
    <s v=""/>
    <s v=""/>
    <s v=""/>
  </r>
  <r>
    <x v="1"/>
    <s v="39"/>
    <x v="2"/>
    <d v="2021-10-23T00:00:00"/>
    <d v="2021-10-29T00:00:00"/>
    <n v="202139"/>
    <n v="908664"/>
    <n v="55831"/>
    <n v="47340.12155435558"/>
    <n v="1011835.121554356"/>
    <n v="949553.8799999999"/>
    <n v="59833.36232249098"/>
    <n v="49470.42702430158"/>
    <n v="1058857.669346792"/>
    <n v="723298"/>
    <n v="17734"/>
    <n v="273049"/>
    <n v="1014081"/>
    <n v="37245785"/>
    <n v="35831982.1832073"/>
    <n v="38394475.10247654"/>
    <n v="0.03945645009433174"/>
    <n v="-0.006643485048818842"/>
    <n v="-0.02991810929595051"/>
    <n v="-0.04951236944467852"/>
    <n v="0.7191475637493614"/>
    <n v="0.6762971975909671"/>
    <n v="-0.2039983976475352"/>
    <n v="-0.6823628450144186"/>
    <n v="4.767813664916072"/>
    <n v="0.002219609102117603"/>
    <n v="-0.2382759786100815"/>
    <n v="-0.7036101714555676"/>
    <n v="4.519438913795285"/>
    <n v="-0.04228771311106905"/>
    <n v="-0.03486416259609193"/>
    <n v="-0.03685933121504814"/>
    <n v="0.915799396275671"/>
    <n v="-0.07642503597712136"/>
    <n v="-0.3612803406236763"/>
    <n v="0.8333008576800685"/>
    <m/>
    <n v="0.4849011953335871"/>
    <n v="0.4849011953335871"/>
    <s v=""/>
    <s v=""/>
    <m/>
    <n v="0.7228181948774298"/>
    <n v="0.7228181948774298"/>
    <s v=""/>
    <s v=""/>
    <m/>
    <n v="28318990"/>
    <s v=""/>
    <s v=""/>
    <s v=""/>
  </r>
  <r>
    <x v="1"/>
    <s v="40"/>
    <x v="3"/>
    <d v="2021-10-30T00:00:00"/>
    <d v="2021-11-05T00:00:00"/>
    <n v="202140"/>
    <n v="999595"/>
    <n v="58290"/>
    <n v="47251.13141963342"/>
    <n v="1105136.131419634"/>
    <n v="1044576.775"/>
    <n v="93022.33956071956"/>
    <n v="49377.43233351692"/>
    <n v="1186976.546894236"/>
    <n v="1017495"/>
    <n v="50901"/>
    <n v="170932"/>
    <n v="1239328"/>
    <n v="38485113"/>
    <n v="36937118.31462693"/>
    <n v="39581451.64937078"/>
    <n v="0.04190891861642787"/>
    <n v="0.1214256459138536"/>
    <n v="-0.02769829310664529"/>
    <n v="0.04410487573890398"/>
    <n v="0.7430767066546959"/>
    <n v="0.6988005238947628"/>
    <n v="0.01790725243723701"/>
    <n v="-0.1267627380339681"/>
    <n v="2.617521842640485"/>
    <n v="0.1214256459138536"/>
    <n v="-0.02592607422273951"/>
    <n v="-0.4528088603192484"/>
    <n v="2.461743390086588"/>
    <n v="0.04410487573890398"/>
    <n v="-0.03321436897462238"/>
    <n v="-0.0393422847474556"/>
    <n v="0.9439849763829757"/>
    <n v="-0.0748462861001169"/>
    <n v="-0.3639512785370791"/>
    <n v="0.8602727046727048"/>
    <m/>
    <n v="0.5667044632227642"/>
    <n v="0.5667044632227642"/>
    <s v=""/>
    <s v=""/>
    <m/>
    <n v="0.7064462289035692"/>
    <n v="0.7064462289035692"/>
    <s v=""/>
    <s v=""/>
    <m/>
    <n v="30597086"/>
    <s v=""/>
    <s v=""/>
    <s v=""/>
  </r>
  <r>
    <x v="1"/>
    <s v="41"/>
    <x v="3"/>
    <d v="2021-11-06T00:00:00"/>
    <d v="2021-11-12T00:00:00"/>
    <n v="202141"/>
    <n v="1102538"/>
    <n v="68856"/>
    <n v="47215.09362227926"/>
    <n v="1218609.093622279"/>
    <n v="1152152.21"/>
    <n v="106297.930456011"/>
    <n v="49339.77283528182"/>
    <n v="1307789.913291293"/>
    <n v="805853"/>
    <n v="71063"/>
    <n v="172412"/>
    <n v="1049328"/>
    <n v="39534441"/>
    <n v="38155727.40824921"/>
    <n v="40889241.56266207"/>
    <n v="0.03613385683882187"/>
    <n v="-0.01510028925020379"/>
    <n v="-0.03313342363139371"/>
    <n v="-0.08261713610267218"/>
    <n v="0.7633372992230628"/>
    <n v="0.7178538902220863"/>
    <n v="-0.2690927659636221"/>
    <n v="0.03205239920994529"/>
    <n v="2.651628891796678"/>
    <n v="-0.1389133681245528"/>
    <n v="-0.3005672401565762"/>
    <n v="-0.3314733438821954"/>
    <n v="2.494381714637969"/>
    <n v="-0.1976325942450696"/>
    <n v="-0.04107695368218778"/>
    <n v="-0.03708667613395211"/>
    <n v="0.97178693028888"/>
    <n v="-0.08237029060496426"/>
    <n v="-0.3629032152479365"/>
    <n v="0.8868774452525177"/>
    <m/>
    <n v="0.6453843398953789"/>
    <n v="0.6453843398953789"/>
    <s v=""/>
    <s v=""/>
    <m/>
    <n v="0.73379572311063"/>
    <n v="0.73379572311063"/>
    <s v=""/>
    <s v=""/>
    <m/>
    <n v="37657922"/>
    <s v=""/>
    <s v=""/>
    <s v=""/>
  </r>
  <r>
    <x v="1"/>
    <s v="42"/>
    <x v="3"/>
    <d v="2021-11-13T00:00:00"/>
    <d v="2021-11-19T00:00:00"/>
    <n v="202142"/>
    <n v="1177849"/>
    <n v="87601"/>
    <n v="47215.09362227926"/>
    <n v="1312665.093622279"/>
    <n v="1230852.205"/>
    <n v="106297.930456011"/>
    <n v="49339.77283528182"/>
    <n v="1386489.908291293"/>
    <n v="833888"/>
    <n v="83113"/>
    <n v="171978"/>
    <n v="1088979"/>
    <n v="40623420"/>
    <n v="39468392.5018715"/>
    <n v="42275731.47095337"/>
    <n v="0.02926461973524086"/>
    <n v="-0.07116229907719862"/>
    <n v="-0.03908416042638152"/>
    <n v="-0.1297573055382749"/>
    <n v="0.7843634796304355"/>
    <n v="0.7376272268811315"/>
    <n v="-0.2920246992611107"/>
    <n v="-0.05123229186881428"/>
    <n v="2.642436915953698"/>
    <n v="-0.1704060652706327"/>
    <n v="-0.3225116739340772"/>
    <n v="-0.2181127173083166"/>
    <n v="2.485585565505932"/>
    <n v="-0.2145784881030578"/>
    <n v="-0.04970594914613014"/>
    <n v="-0.03763327975382835"/>
    <n v="0.9985508499912921"/>
    <n v="-0.09062770253218178"/>
    <n v="-0.3583768889694303"/>
    <n v="0.9124888516663092"/>
    <m/>
    <n v="0.6663079294615788"/>
    <n v="0.6663079294615788"/>
    <s v=""/>
    <s v=""/>
    <m/>
    <n v="0.7461858710264972"/>
    <n v="0.7461858710264972"/>
    <s v=""/>
    <s v=""/>
    <m/>
    <n v="30759452"/>
    <s v=""/>
    <s v=""/>
    <s v=""/>
  </r>
  <r>
    <x v="1"/>
    <s v="43"/>
    <x v="3"/>
    <d v="2021-11-20T00:00:00"/>
    <d v="2021-11-26T00:00:00"/>
    <n v="202143"/>
    <n v="1358857"/>
    <n v="159345"/>
    <n v="47215.09362227926"/>
    <n v="1565417.093622279"/>
    <n v="1420005.565"/>
    <n v="106297.930456011"/>
    <n v="49339.77283528182"/>
    <n v="1575643.268291293"/>
    <n v="1092914"/>
    <n v="111280"/>
    <n v="273479"/>
    <n v="1477673"/>
    <n v="42101093"/>
    <n v="41033809.59549378"/>
    <n v="43851374.73924466"/>
    <n v="0.02600985419163782"/>
    <n v="-0.06661493833263465"/>
    <n v="-0.03991395365943351"/>
    <n v="-0.1102442186612053"/>
    <n v="0.8128946258518995"/>
    <n v="0.7644583463985706"/>
    <n v="-0.195710806950253"/>
    <n v="-0.3016410932253915"/>
    <n v="4.792194381479616"/>
    <n v="-0.05605157499541857"/>
    <n v="-0.2303452698088545"/>
    <n v="0.04686892324823466"/>
    <n v="4.542769743042696"/>
    <n v="-0.0621779499604227"/>
    <n v="-0.05527694604262956"/>
    <n v="-0.05497116899613042"/>
    <n v="1.058367003573681"/>
    <n v="-0.0959588000407936"/>
    <n v="-0.3460924409261485"/>
    <n v="0.9697291900226626"/>
    <m/>
    <n v="0.7198738243036171"/>
    <n v="0.7198738243036171"/>
    <s v=""/>
    <s v=""/>
    <m/>
    <n v="0.7390095620172831"/>
    <n v="0.7390095620172831"/>
    <s v=""/>
    <s v=""/>
    <m/>
    <n v="35948465"/>
    <s v=""/>
    <s v=""/>
    <s v=""/>
  </r>
  <r>
    <x v="1"/>
    <s v="44"/>
    <x v="3"/>
    <d v="2021-11-27T00:00:00"/>
    <d v="2021-12-03T00:00:00"/>
    <n v="202144"/>
    <n v="1273647"/>
    <n v="134492"/>
    <n v="45263.32964990071"/>
    <n v="1453402.329649901"/>
    <n v="1330961.115"/>
    <n v="114046.8898859858"/>
    <n v="47300.17948414624"/>
    <n v="1492308.184370132"/>
    <n v="984008"/>
    <n v="121290"/>
    <n v="219898"/>
    <n v="1325196"/>
    <n v="43426289"/>
    <n v="42487211.92514368"/>
    <n v="45343682.92361479"/>
    <n v="0.02210258174885271"/>
    <n v="-0.071331232781492"/>
    <n v="-0.0422858003582286"/>
    <n v="-0.1106174748148974"/>
    <n v="0.8384817218116275"/>
    <n v="0.7885208367195226"/>
    <n v="-0.2274091643917036"/>
    <n v="-0.09816197245932845"/>
    <n v="3.858193193051638"/>
    <n v="-0.0882111766538749"/>
    <n v="-0.2606786262121564"/>
    <n v="0.06350993105778913"/>
    <n v="3.648988701484821"/>
    <n v="-0.111982354664004"/>
    <n v="-0.0612204487302751"/>
    <n v="-0.05723946482312869"/>
    <n v="1.100058083262313"/>
    <n v="-0.1016463624213158"/>
    <n v="-0.3331904029598626"/>
    <n v="1.009624960059631"/>
    <m/>
    <n v="0.6747378474664036"/>
    <n v="0.6747378474664036"/>
    <s v=""/>
    <s v=""/>
    <m/>
    <n v="0.737839258530041"/>
    <n v="0.737839258530041"/>
    <s v=""/>
    <s v=""/>
    <m/>
    <n v="35453586"/>
    <s v=""/>
    <s v=""/>
    <s v=""/>
  </r>
  <r>
    <x v="1"/>
    <s v="45"/>
    <x v="3"/>
    <d v="2021-12-04T00:00:00"/>
    <d v="2021-12-10T00:00:00"/>
    <n v="202145"/>
    <n v="1084730"/>
    <n v="133532"/>
    <n v="42645.89101367158"/>
    <n v="1260907.891013672"/>
    <n v="1133542.85"/>
    <n v="124378.8357926188"/>
    <n v="44564.9561092868"/>
    <n v="1302486.641901905"/>
    <n v="885676"/>
    <n v="92638"/>
    <n v="158744"/>
    <n v="1137058"/>
    <n v="44563347"/>
    <n v="43748119.81615736"/>
    <n v="46646169.5655167"/>
    <n v="0.0186345650343025"/>
    <n v="-0.07561460660544095"/>
    <n v="-0.04465152412120943"/>
    <n v="-0.1132049262395972"/>
    <n v="0.8604362192276901"/>
    <n v="0.8091671766717718"/>
    <n v="-0.183505572815355"/>
    <n v="-0.3062486894527154"/>
    <n v="2.722375033719175"/>
    <n v="-0.09822279002005929"/>
    <n v="-0.2186656199189999"/>
    <n v="-0.2551948294928682"/>
    <n v="2.562081371980072"/>
    <n v="-0.1270098568230571"/>
    <n v="-0.0647137763865766"/>
    <n v="-0.06958011137895004"/>
    <n v="1.122503510350686"/>
    <n v="-0.1049892597000732"/>
    <n v="-0.330600042139509"/>
    <n v="1.03110383765616"/>
    <m/>
    <n v="0.6692097967990712"/>
    <n v="0.6692097967990712"/>
    <s v=""/>
    <s v=""/>
    <m/>
    <n v="0.7307997178636877"/>
    <n v="0.7307997178636877"/>
    <s v=""/>
    <s v=""/>
    <m/>
    <n v="33077975"/>
    <s v=""/>
    <s v=""/>
    <s v=""/>
  </r>
  <r>
    <x v="1"/>
    <s v="46"/>
    <x v="3"/>
    <d v="2021-12-11T00:00:00"/>
    <d v="2021-12-17T00:00:00"/>
    <n v="202146"/>
    <n v="1105700"/>
    <n v="128633"/>
    <n v="42645.89101367158"/>
    <n v="1276978.891013672"/>
    <n v="1155456.5"/>
    <n v="124378.8357926188"/>
    <n v="44564.9561092868"/>
    <n v="1324400.291901906"/>
    <n v="929602"/>
    <n v="103978"/>
    <n v="144725"/>
    <n v="1178305"/>
    <n v="45741652"/>
    <n v="45025098.70717103"/>
    <n v="47970569.8574186"/>
    <n v="0.01591453019324196"/>
    <n v="-0.07584473906603861"/>
    <n v="-0.04646427724422586"/>
    <n v="-0.112804622613469"/>
    <n v="0.883187120305589"/>
    <n v="0.8305624666195451"/>
    <n v="-0.1592638147779687"/>
    <n v="-0.1916693228020804"/>
    <n v="2.393644652742829"/>
    <n v="-0.07727135640851812"/>
    <n v="-0.1954677653377691"/>
    <n v="-0.1640217619228551"/>
    <n v="2.24750684472998"/>
    <n v="-0.1103105252960231"/>
    <n v="-0.06738910618185723"/>
    <n v="-0.07514316137437749"/>
    <n v="1.139850274977669"/>
    <n v="-0.1075493839060834"/>
    <n v="-0.3252455363636437"/>
    <n v="1.047703612418823"/>
    <m/>
    <n v="0.6731198066805627"/>
    <n v="0.6731198066805627"/>
    <s v=""/>
    <s v=""/>
    <m/>
    <n v="0.7174370610784909"/>
    <n v="0.7174370610784909"/>
    <s v=""/>
    <s v=""/>
    <m/>
    <n v="33067744"/>
    <s v=""/>
    <s v=""/>
    <s v=""/>
  </r>
  <r>
    <x v="1"/>
    <s v="47"/>
    <x v="3"/>
    <d v="2021-12-18T00:00:00"/>
    <d v="2021-12-24T00:00:00"/>
    <n v="202147"/>
    <n v="1125013"/>
    <n v="114442"/>
    <n v="42645.89101367158"/>
    <n v="1282100.891013672"/>
    <n v="1175638.585"/>
    <n v="124378.8357926188"/>
    <n v="44564.9561092868"/>
    <n v="1344582.376901906"/>
    <n v="1050161"/>
    <n v="143393"/>
    <n v="137781"/>
    <n v="1331335"/>
    <n v="47072987"/>
    <n v="46307199.5981847"/>
    <n v="49315152.23432051"/>
    <n v="0.01653711320183815"/>
    <n v="-0.06186176279748223"/>
    <n v="-0.04546605115739843"/>
    <n v="-0.1001288765012075"/>
    <n v="0.9088927490575205"/>
    <n v="0.8547364269631054"/>
    <n v="-0.06653434226982269"/>
    <n v="0.2529753062686775"/>
    <n v="2.23081536638148"/>
    <n v="0.03840111907839194"/>
    <n v="-0.1067314280093996"/>
    <n v="0.1528729874838526"/>
    <n v="2.091689345819598"/>
    <n v="-0.009852410034132064"/>
    <n v="-0.06736518649692946"/>
    <n v="-0.06235991393983964"/>
    <n v="1.154537812636147"/>
    <n v="-0.1075264942554347"/>
    <n v="-0.3103554827725794"/>
    <n v="1.061758672379089"/>
    <m/>
    <n v="0.6533595325652046"/>
    <n v="0.6533595325652046"/>
    <s v=""/>
    <s v=""/>
    <m/>
    <n v="0.6934017846648076"/>
    <n v="0.6934017846648076"/>
    <s v=""/>
    <s v=""/>
    <m/>
    <n v="32664690"/>
    <s v=""/>
    <s v=""/>
    <s v=""/>
  </r>
  <r>
    <x v="1"/>
    <s v="48"/>
    <x v="3"/>
    <d v="2021-12-25T00:00:00"/>
    <d v="2021-12-31T00:00:00"/>
    <n v="202148"/>
    <n v="1111335"/>
    <n v="95892"/>
    <n v="42645.89101367158"/>
    <n v="1249872.891013672"/>
    <n v="1161345.075"/>
    <n v="124378.8357926188"/>
    <n v="44564.9561092868"/>
    <n v="1330288.866901906"/>
    <n v="908074"/>
    <n v="95646"/>
    <n v="148127"/>
    <n v="1151847"/>
    <n v="48224834"/>
    <n v="47557072.48919838"/>
    <n v="50645441.10122241"/>
    <n v="0.01404126612194823"/>
    <n v="-0.06362776631322486"/>
    <n v="-0.04779516277456186"/>
    <n v="-0.1038217720036181"/>
    <n v="0.9311327948469168"/>
    <n v="0.8756513009053128"/>
    <n v="-0.1828980460437222"/>
    <n v="-0.002565386059316777"/>
    <n v="2.473417871665828"/>
    <n v="-0.07842868800376224"/>
    <n v="-0.218084254587294"/>
    <n v="-0.2310106507229741"/>
    <n v="2.323844853268735"/>
    <n v="-0.1341376834322283"/>
    <n v="-0.07047303379187631"/>
    <n v="-0.06046966873828863"/>
    <n v="1.172057872757057"/>
    <n v="-0.1105005108056233"/>
    <n v="-0.3079590765933383"/>
    <n v="1.078524280150295"/>
    <m/>
    <n v="0.6977531346123169"/>
    <n v="0.6977531346123169"/>
    <s v=""/>
    <s v=""/>
    <m/>
    <n v="0.7024035995525976"/>
    <n v="0.7024035995525976"/>
    <s v=""/>
    <s v=""/>
    <m/>
    <n v="29802634"/>
    <s v=""/>
    <s v=""/>
    <s v=""/>
  </r>
  <r>
    <x v="1"/>
    <s v="49"/>
    <x v="3"/>
    <d v="2022-01-01T00:00:00"/>
    <d v="2022-01-07T00:00:00"/>
    <n v="202149"/>
    <n v="1009469"/>
    <n v="77398"/>
    <n v="25181.3832652156"/>
    <n v="1112048.383265216"/>
    <n v="1054895.105"/>
    <n v="71144.17103826597"/>
    <n v="26314.5455121503"/>
    <n v="1152353.821550416"/>
    <n v="802566"/>
    <n v="95206"/>
    <n v="120465"/>
    <n v="1018237"/>
    <n v="49243071"/>
    <n v="48669120.87246359"/>
    <n v="51797794.92277282"/>
    <n v="0.01179290106842967"/>
    <n v="-0.06542366718832504"/>
    <n v="-0.04932109420066533"/>
    <n v="-0.104901907821909"/>
    <n v="0.950793077423038"/>
    <n v="0.8941401266766971"/>
    <n v="-0.2049622128069312"/>
    <n v="0.23008346468901"/>
    <n v="3.783891287116256"/>
    <n v="-0.08435908426013361"/>
    <n v="-0.2391982897673982"/>
    <n v="0.3382122331398312"/>
    <n v="3.577886399154312"/>
    <n v="-0.1163851058956623"/>
    <n v="-0.07368081930190917"/>
    <n v="-0.05324051601372004"/>
    <n v="1.192385415261233"/>
    <n v="-0.1135701620113962"/>
    <n v="-0.2969856152053337"/>
    <n v="1.097976473934195"/>
    <m/>
    <n v="0.6825951771090295"/>
    <n v="0.6825951771090295"/>
    <s v=""/>
    <s v=""/>
    <m/>
    <n v="0.6920139856642804"/>
    <n v="0.6920139856642804"/>
    <s v=""/>
    <s v=""/>
    <m/>
    <n v="28827141"/>
    <s v=""/>
    <s v=""/>
    <s v=""/>
  </r>
  <r>
    <x v="1"/>
    <s v="50"/>
    <x v="3"/>
    <d v="2022-01-08T00:00:00"/>
    <d v="2022-01-14T00:00:00"/>
    <n v="202150"/>
    <n v="960170"/>
    <n v="66548"/>
    <n v="25181.3832652156"/>
    <n v="1051899.383265216"/>
    <n v="1003377.65"/>
    <n v="71144.17103826597"/>
    <n v="26314.5455121503"/>
    <n v="1100836.366550416"/>
    <n v="813897"/>
    <n v="75822"/>
    <n v="98142"/>
    <n v="987861"/>
    <n v="50230932"/>
    <n v="49721020.2557288"/>
    <n v="52898631.28932324"/>
    <n v="0.01025545617625268"/>
    <n v="-0.06507945818866867"/>
    <n v="-0.05043040291028611"/>
    <n v="-0.104729235350088"/>
    <n v="0.9698668553410764"/>
    <n v="0.9120773946362637"/>
    <n v="-0.1523407313288272"/>
    <n v="0.139358057342069"/>
    <n v="2.897403052340211"/>
    <n v="-0.06087881054405908"/>
    <n v="-0.1888428050993561"/>
    <n v="0.06575140160418758"/>
    <n v="2.729572298890155"/>
    <n v="-0.1026268480795526"/>
    <n v="-0.07542577310322318"/>
    <n v="-0.04920659499615709"/>
    <n v="1.205552854128419"/>
    <n v="-0.1152399742614574"/>
    <n v="-0.2909283796875528"/>
    <n v="1.110576893902794"/>
    <m/>
    <n v="0.681956800198234"/>
    <n v="0.681956800198234"/>
    <s v=""/>
    <s v=""/>
    <m/>
    <n v="0.7020586960282796"/>
    <n v="0.7020586960282796"/>
    <s v=""/>
    <s v=""/>
    <m/>
    <n v="28659465"/>
    <s v=""/>
    <s v=""/>
    <s v=""/>
  </r>
  <r>
    <x v="1"/>
    <s v="51"/>
    <x v="3"/>
    <d v="2022-01-15T00:00:00"/>
    <d v="2022-01-21T00:00:00"/>
    <n v="202151"/>
    <n v="955632"/>
    <n v="62025"/>
    <n v="25181.3832652156"/>
    <n v="1042838.383265216"/>
    <n v="998635.4399999999"/>
    <n v="71144.17103826597"/>
    <n v="26314.5455121503"/>
    <n v="1096094.156550416"/>
    <n v="727710"/>
    <n v="117009"/>
    <n v="103750"/>
    <n v="948469"/>
    <n v="51179401"/>
    <n v="50763858.63899402"/>
    <n v="53994725.44587366"/>
    <n v="0.008185791469500048"/>
    <n v="-0.06685432060347907"/>
    <n v="-0.05214073083297444"/>
    <n v="-0.1068338204009995"/>
    <n v="0.9881800462334631"/>
    <n v="0.9292993951042874"/>
    <n v="-0.2385039429403787"/>
    <n v="0.8864812575574366"/>
    <n v="3.120107259687972"/>
    <n v="-0.09049281727599723"/>
    <n v="-0.2712956391773959"/>
    <n v="0.6446744447561972"/>
    <n v="2.942686372907151"/>
    <n v="-0.1346829153938894"/>
    <n v="-0.07894854505319349"/>
    <n v="-0.0312906042984642"/>
    <n v="1.220225183929226"/>
    <n v="-0.1186110478977926"/>
    <n v="-0.2755616362445793"/>
    <n v="1.124617400889212"/>
    <m/>
    <n v="0.6681394956685682"/>
    <n v="0.6681394956685682"/>
    <s v=""/>
    <s v=""/>
    <m/>
    <n v="0.6839468749492095"/>
    <n v="0.6839468749492095"/>
    <s v=""/>
    <s v=""/>
    <m/>
    <n v="27838397"/>
    <s v=""/>
    <s v=""/>
    <s v=""/>
  </r>
  <r>
    <x v="1"/>
    <s v="52"/>
    <x v="3"/>
    <d v="2022-01-22T00:00:00"/>
    <d v="2022-01-28T00:00:00"/>
    <n v="202152"/>
    <n v="938678"/>
    <n v="63857"/>
    <n v="25181.3832652156"/>
    <n v="1027716.383265216"/>
    <n v="980918.5099999999"/>
    <n v="71144.17103826597"/>
    <n v="26314.5455121503"/>
    <n v="1078377.226550416"/>
    <n v="684674"/>
    <n v="112015"/>
    <n v="114596"/>
    <n v="911285"/>
    <n v="52090686"/>
    <n v="51791575.02225923"/>
    <n v="55073102.67242407"/>
    <n v="0.005775282516745639"/>
    <n v="-0.06984462888829812"/>
    <n v="-0.05415377975276869"/>
    <n v="-0.109944691927269"/>
    <n v="1.005775282516746"/>
    <n v="0.9458462202472313"/>
    <n v="-0.2705975851143843"/>
    <n v="0.7541538124246363"/>
    <n v="3.550822279818822"/>
    <n v="-0.1132913566049174"/>
    <n v="-0.3020072584826643"/>
    <n v="0.5744789540066613"/>
    <n v="3.354853856285954"/>
    <n v="-0.1549478442575439"/>
    <n v="-0.08293055766452828"/>
    <n v="-0.016106502785178"/>
    <n v="1.237950051927859"/>
    <n v="-0.1224215862818451"/>
    <n v="-0.2618258069314161"/>
    <n v="1.141578997060152"/>
    <m/>
    <n v="0.6665539147986826"/>
    <n v="0.6665539147986826"/>
    <s v=""/>
    <s v=""/>
    <m/>
    <n v="0.6900000000000001"/>
    <n v="0.6900000000000001"/>
    <s v=""/>
    <s v=""/>
    <m/>
    <n v="27852753"/>
    <s v=""/>
    <s v=""/>
    <s v=""/>
  </r>
  <r>
    <x v="2"/>
    <s v="01"/>
    <x v="0"/>
    <d v="2022-01-29T00:00:00"/>
    <d v="2022-02-04T00:00:00"/>
    <n v="202201"/>
    <n v="797390.6553354708"/>
    <n v="57619.40862015437"/>
    <n v="108347.1666567485"/>
    <n v="963357.2306123737"/>
    <m/>
    <m/>
    <m/>
    <n v="0"/>
    <n v="687854"/>
    <n v="68061"/>
    <n v="78269"/>
    <n v="834184"/>
    <n v="834184"/>
    <n v="963357.2306123737"/>
    <n v="0"/>
    <n v="-0.1340865325007865"/>
    <n v="-0.1340865325007865"/>
    <s v=""/>
    <s v=""/>
    <n v="0.01539104133299058"/>
    <s v=""/>
    <n v="-0.1373688725877876"/>
    <n v="0.1812165662559981"/>
    <n v="-0.2776091667633382"/>
    <n v="-0.1340865325007865"/>
    <s v=""/>
    <s v=""/>
    <s v=""/>
    <s v=""/>
    <n v="-0.1373688725877876"/>
    <n v="0.1812165662559981"/>
    <n v="-0.2776091667633382"/>
    <s v=""/>
    <s v=""/>
    <s v=""/>
    <n v="0.5201052154082028"/>
    <n v="0.590385896651567"/>
    <n v="0.07028068124336428"/>
    <n v="0.07028068124336428"/>
    <n v="0.07028068124336428"/>
    <n v="0.6959733631001741"/>
    <n v="0.6900000000000001"/>
    <n v="-0.005973363100174045"/>
    <n v="-0.005973363100174045"/>
    <n v="-0.005973363100174045"/>
    <m/>
    <n v="27794650"/>
    <s v=""/>
    <s v=""/>
    <s v=""/>
  </r>
  <r>
    <x v="2"/>
    <s v="02"/>
    <x v="0"/>
    <d v="2022-02-05T00:00:00"/>
    <d v="2022-02-11T00:00:00"/>
    <n v="202202"/>
    <n v="770713.8265169041"/>
    <n v="26814.4308901474"/>
    <n v="88289.38798101421"/>
    <n v="885817.6453880657"/>
    <m/>
    <m/>
    <m/>
    <n v="0"/>
    <n v="754806"/>
    <n v="36743"/>
    <n v="47538"/>
    <n v="839087"/>
    <n v="1673271"/>
    <n v="1849174.876000439"/>
    <n v="0"/>
    <n v="-0.09512560346964039"/>
    <n v="-0.09512560346964039"/>
    <s v=""/>
    <s v=""/>
    <n v="0.03087254505276352"/>
    <s v=""/>
    <n v="-0.02064038034557714"/>
    <n v="0.3702696190170018"/>
    <n v="-0.4615660943280908"/>
    <n v="-0.05275424985194732"/>
    <s v=""/>
    <s v=""/>
    <s v=""/>
    <s v=""/>
    <n v="-0.07999752778219826"/>
    <n v="0.2412558828052924"/>
    <n v="-0.3602054295969667"/>
    <s v=""/>
    <s v=""/>
    <s v=""/>
    <n v="0.5182531851915405"/>
    <n v="0.5959027250422675"/>
    <n v="0.07764953985072698"/>
    <n v="0.07396511054704558"/>
    <n v="0.07396511054704558"/>
    <n v="0.7023062875100229"/>
    <n v="0.6900000000000001"/>
    <n v="-0.01230628751002283"/>
    <n v="-0.009139825305098381"/>
    <n v="-0.009139825305098381"/>
    <m/>
    <n v="26955785"/>
    <s v=""/>
    <s v=""/>
    <s v=""/>
  </r>
  <r>
    <x v="2"/>
    <s v="03"/>
    <x v="0"/>
    <d v="2022-02-12T00:00:00"/>
    <d v="2022-02-18T00:00:00"/>
    <n v="202203"/>
    <n v="733710.1181037091"/>
    <n v="26814.4308901474"/>
    <n v="88289.38798101421"/>
    <n v="848813.9369748706"/>
    <m/>
    <m/>
    <m/>
    <n v="0"/>
    <n v="707698"/>
    <n v="27169"/>
    <n v="87866"/>
    <n v="822733"/>
    <n v="2496004"/>
    <n v="2697988.81297531"/>
    <n v="0"/>
    <n v="-0.07486495570475082"/>
    <n v="-0.07486495570475082"/>
    <s v=""/>
    <s v=""/>
    <n v="0.04605231067883084"/>
    <s v=""/>
    <n v="-0.03545285455642622"/>
    <n v="0.01322307049160165"/>
    <n v="-0.004795457197021902"/>
    <n v="-0.03072632981006618"/>
    <s v=""/>
    <s v=""/>
    <s v=""/>
    <s v=""/>
    <n v="-0.06579878325516475"/>
    <n v="0.1862926005496546"/>
    <n v="-0.2500753071618733"/>
    <s v=""/>
    <s v=""/>
    <s v=""/>
    <n v="0.5331032085908001"/>
    <n v="0.6"/>
    <n v="0.06689679140919991"/>
    <n v="0.07160900416776372"/>
    <n v="0.07160900416776372"/>
    <n v="0.7073372831846094"/>
    <n v="0.6900000000000001"/>
    <n v="-0.01733728318460936"/>
    <n v="-0.01187231126493538"/>
    <n v="-0.01187231126493538"/>
    <m/>
    <n v="26601343"/>
    <s v=""/>
    <s v=""/>
    <s v=""/>
  </r>
  <r>
    <x v="2"/>
    <s v="04"/>
    <x v="0"/>
    <d v="2022-02-19T00:00:00"/>
    <d v="2022-02-25T00:00:00"/>
    <n v="202204"/>
    <n v="718895.5308343822"/>
    <n v="26814.4308901474"/>
    <n v="88289.38798101421"/>
    <n v="833999.3497055437"/>
    <m/>
    <m/>
    <m/>
    <n v="0"/>
    <n v="810255"/>
    <n v="28001"/>
    <n v="161620"/>
    <n v="999876"/>
    <n v="3495880"/>
    <n v="3531988.162680854"/>
    <n v="0"/>
    <n v="-0.01022318337937089"/>
    <n v="-0.01022318337937089"/>
    <s v=""/>
    <s v=""/>
    <n v="0.06450043824285183"/>
    <s v=""/>
    <n v="0.1270830951745965"/>
    <n v="0.04425113904948064"/>
    <n v="0.8305710765007777"/>
    <n v="0.1988930211432678"/>
    <s v=""/>
    <s v=""/>
    <s v=""/>
    <s v=""/>
    <n v="-0.01989503401133697"/>
    <n v="0.1587054179338718"/>
    <n v="0.005566945486590535"/>
    <s v=""/>
    <s v=""/>
    <s v=""/>
    <n v="0.5547584589429964"/>
    <n v="0.66"/>
    <n v="0.1052415410570037"/>
    <n v="0.08001713839007374"/>
    <n v="0.08001713839007374"/>
    <n v="0.7128142482831583"/>
    <n v="0.72"/>
    <n v="0.00718575171684166"/>
    <n v="-0.007107795519491145"/>
    <n v="-0.007107795519491145"/>
    <m/>
    <n v="27802242"/>
    <s v=""/>
    <s v=""/>
    <s v=""/>
  </r>
  <r>
    <x v="2"/>
    <s v="05"/>
    <x v="0"/>
    <d v="2022-02-26T00:00:00"/>
    <d v="2022-03-04T00:00:00"/>
    <n v="202205"/>
    <n v="731462.2133262444"/>
    <n v="25097.86752891402"/>
    <n v="112312.3584054114"/>
    <n v="868872.4392605698"/>
    <m/>
    <m/>
    <m/>
    <n v="0"/>
    <n v="803410"/>
    <n v="30086"/>
    <n v="155249"/>
    <n v="988745"/>
    <n v="4484625"/>
    <n v="4400860.601941423"/>
    <n v="0"/>
    <n v="0.01903364037970756"/>
    <n v="0.01903364037970756"/>
    <s v=""/>
    <s v=""/>
    <n v="0.08274319423288254"/>
    <s v=""/>
    <n v="0.09836159047311677"/>
    <n v="0.1987472627042675"/>
    <n v="0.3822966786931956"/>
    <n v="0.1379633595484333"/>
    <s v=""/>
    <s v=""/>
    <s v=""/>
    <s v=""/>
    <n v="0.003158345298789555"/>
    <n v="0.1648647793710856"/>
    <n v="0.09271213983084525"/>
    <s v=""/>
    <s v=""/>
    <s v=""/>
    <n v="0.5616367409276154"/>
    <n v="0.65"/>
    <n v="0.08836325907238463"/>
    <n v="0.08168636252653594"/>
    <n v="0.08168636252653594"/>
    <n v="0.7187136524525645"/>
    <n v="0.72"/>
    <n v="0.001286347547435507"/>
    <n v="-0.005428966906105837"/>
    <n v="-0.005428966906105837"/>
    <m/>
    <n v="28110247"/>
    <s v=""/>
    <s v=""/>
    <s v=""/>
  </r>
  <r>
    <x v="2"/>
    <s v="06"/>
    <x v="0"/>
    <d v="2022-03-05T00:00:00"/>
    <d v="2022-03-11T00:00:00"/>
    <n v="202206"/>
    <n v="765935.9726297921"/>
    <n v="23806.96355967338"/>
    <n v="130496.1006921547"/>
    <n v="920239.0368816202"/>
    <m/>
    <m/>
    <m/>
    <n v="0"/>
    <n v="715014"/>
    <n v="46570"/>
    <n v="166562"/>
    <n v="928146"/>
    <n v="5412771"/>
    <n v="5321099.638823044"/>
    <n v="0"/>
    <n v="0.01722789787812218"/>
    <n v="0.01722789787812218"/>
    <s v=""/>
    <s v=""/>
    <n v="0.09986787349914739"/>
    <s v=""/>
    <n v="-0.06648332817553237"/>
    <n v="0.956150345812472"/>
    <n v="0.2763753025305036"/>
    <n v="0.008592292656018907"/>
    <s v=""/>
    <s v=""/>
    <s v=""/>
    <s v=""/>
    <n v="-0.008647715815418566"/>
    <n v="0.2656208112117397"/>
    <n v="0.13161863495966"/>
    <s v=""/>
    <s v=""/>
    <s v=""/>
    <n v="0.5444422590218411"/>
    <n v="0.6399999999999999"/>
    <n v="0.09555774097815883"/>
    <n v="0.08399825893513968"/>
    <n v="0.08399825893513968"/>
    <n v="0.7230380828083579"/>
    <n v="0.7100000000000001"/>
    <n v="-0.01303808280835783"/>
    <n v="-0.006697152889814539"/>
    <n v="-0.006697152889814539"/>
    <m/>
    <n v="27772565"/>
    <s v=""/>
    <s v=""/>
    <s v=""/>
  </r>
  <r>
    <x v="2"/>
    <s v="07"/>
    <x v="0"/>
    <d v="2022-03-12T00:00:00"/>
    <d v="2022-03-18T00:00:00"/>
    <n v="202207"/>
    <n v="809002.3110130799"/>
    <n v="23806.96355967338"/>
    <n v="130496.1006921547"/>
    <n v="963305.3752649081"/>
    <m/>
    <m/>
    <m/>
    <n v="0"/>
    <n v="742840"/>
    <n v="68978"/>
    <n v="148632"/>
    <n v="960450"/>
    <n v="6373221"/>
    <n v="6284405.014087952"/>
    <n v="0"/>
    <n v="0.01413275969848327"/>
    <n v="0.01413275969848327"/>
    <s v=""/>
    <s v=""/>
    <n v="0.1175885749849956"/>
    <s v=""/>
    <n v="-0.0817825982848277"/>
    <n v="1.897387557514552"/>
    <n v="0.1389765610746376"/>
    <n v="-0.002964143394427632"/>
    <s v=""/>
    <s v=""/>
    <s v=""/>
    <s v=""/>
    <n v="-0.019754353741259"/>
    <n v="0.4499287432225791"/>
    <n v="0.1329048440473837"/>
    <s v=""/>
    <s v=""/>
    <s v=""/>
    <n v="0.5186026425718153"/>
    <n v="0.64"/>
    <n v="0.1213973574281847"/>
    <n v="0.08934098729128892"/>
    <n v="0.08934098729128892"/>
    <n v="0.7247397532397618"/>
    <n v="0.7058222851154307"/>
    <n v="-0.01891746812433115"/>
    <n v="-0.008442912209031261"/>
    <n v="-0.008442912209031261"/>
    <m/>
    <n v="27567107"/>
    <s v=""/>
    <s v=""/>
    <s v=""/>
  </r>
  <r>
    <x v="2"/>
    <s v="08"/>
    <x v="0"/>
    <d v="2022-03-19T00:00:00"/>
    <d v="2022-03-25T00:00:00"/>
    <n v="202208"/>
    <n v="845615.2330742461"/>
    <n v="23806.96355967338"/>
    <n v="130496.1006921547"/>
    <n v="999918.2973260742"/>
    <m/>
    <m/>
    <m/>
    <n v="0"/>
    <n v="709124"/>
    <n v="64896"/>
    <n v="131634"/>
    <n v="905654"/>
    <n v="7278875"/>
    <n v="7284323.311414026"/>
    <n v="0"/>
    <n v="-0.000747950246179796"/>
    <n v="-0.000747950246179796"/>
    <s v=""/>
    <s v=""/>
    <n v="0.1342982675077343"/>
    <s v=""/>
    <n v="-0.1614105656280934"/>
    <n v="1.725925120074"/>
    <n v="0.008719795471357816"/>
    <n v="-0.09427199960051791"/>
    <s v=""/>
    <s v=""/>
    <s v=""/>
    <s v=""/>
    <n v="-0.03916014841475179"/>
    <n v="0.5794257602115425"/>
    <n v="0.1144266580527931"/>
    <s v=""/>
    <s v=""/>
    <s v=""/>
    <n v="0.5089457335501512"/>
    <n v="0.63"/>
    <n v="0.1210542664498488"/>
    <n v="0.09330514718610894"/>
    <n v="0.09330514718610894"/>
    <n v="0.7244404117077812"/>
    <n v="0.7100000000000001"/>
    <n v="-0.0144404117077811"/>
    <n v="-0.009192599646374977"/>
    <n v="-0.009192599646374977"/>
    <m/>
    <n v="27664652"/>
    <s v=""/>
    <s v=""/>
    <s v=""/>
  </r>
  <r>
    <x v="2"/>
    <s v="09"/>
    <x v="0"/>
    <d v="2022-03-26T00:00:00"/>
    <d v="2022-04-01T00:00:00"/>
    <n v="202209"/>
    <n v="860649.1560145649"/>
    <n v="28253.47450004343"/>
    <n v="131116.0124240569"/>
    <n v="1020018.642938665"/>
    <m/>
    <m/>
    <m/>
    <n v="0"/>
    <n v="683159"/>
    <n v="58167"/>
    <n v="121757"/>
    <n v="863083"/>
    <n v="8141958"/>
    <n v="8304341.954352691"/>
    <n v="0"/>
    <n v="-0.01955410257011125"/>
    <n v="-0.01955410257011125"/>
    <s v=""/>
    <s v=""/>
    <n v="0.1502225073958184"/>
    <s v=""/>
    <n v="-0.2062282345531763"/>
    <n v="1.058755640829612"/>
    <n v="-0.07137962977235679"/>
    <n v="-0.1538556613892222"/>
    <s v=""/>
    <s v=""/>
    <s v=""/>
    <s v=""/>
    <n v="-0.05960367758638896"/>
    <n v="0.6309513864025609"/>
    <n v="0.09026099377645624"/>
    <s v=""/>
    <s v=""/>
    <s v=""/>
    <n v="0.5239745534151815"/>
    <n v="0.63"/>
    <n v="0.1060254465848185"/>
    <n v="0.09471851378596563"/>
    <n v="0.09471851378596563"/>
    <n v="0.7238056969630576"/>
    <n v="0.7000000000000001"/>
    <n v="-0.02380569696305757"/>
    <n v="-0.0108162771260063"/>
    <n v="-0.0108162771260063"/>
    <m/>
    <n v="27269896"/>
    <s v=""/>
    <s v=""/>
    <s v=""/>
  </r>
  <r>
    <x v="2"/>
    <s v="10"/>
    <x v="0"/>
    <d v="2022-04-02T00:00:00"/>
    <d v="2022-04-08T00:00:00"/>
    <n v="202210"/>
    <n v="833352.0106277397"/>
    <n v="54754.05574931802"/>
    <n v="134845.9707152265"/>
    <n v="1022952.037092284"/>
    <m/>
    <m/>
    <m/>
    <n v="0"/>
    <n v="676878"/>
    <n v="57062"/>
    <n v="122092"/>
    <n v="856032"/>
    <n v="8997990"/>
    <n v="9327293.991444975"/>
    <n v="0"/>
    <n v="-0.03530541567007683"/>
    <n v="-0.03530541567007683"/>
    <s v=""/>
    <s v=""/>
    <n v="0.1660166534048075"/>
    <s v=""/>
    <n v="-0.1877646044315324"/>
    <n v="0.04215111043551745"/>
    <n v="-0.09458177094635534"/>
    <n v="-0.1631748420646879"/>
    <s v=""/>
    <s v=""/>
    <s v=""/>
    <s v=""/>
    <n v="-0.07318024706659132"/>
    <n v="0.5294390412765368"/>
    <n v="0.06845366012619669"/>
    <s v=""/>
    <s v=""/>
    <s v=""/>
    <n v="0.5484386868213886"/>
    <n v="0.62"/>
    <n v="0.07156131317861136"/>
    <n v="0.09240279372523019"/>
    <n v="0.09240279372523019"/>
    <n v="0.7233904214736353"/>
    <n v="0.7000000000000001"/>
    <n v="-0.02339042147363524"/>
    <n v="-0.01207369156076921"/>
    <n v="-0.01207369156076921"/>
    <m/>
    <n v="27241552"/>
    <s v=""/>
    <s v=""/>
    <s v=""/>
  </r>
  <r>
    <x v="2"/>
    <s v="11"/>
    <x v="0"/>
    <d v="2022-04-09T00:00:00"/>
    <d v="2022-04-15T00:00:00"/>
    <n v="202211"/>
    <n v="820630.2684597626"/>
    <n v="54754.05574931802"/>
    <n v="134845.9707152265"/>
    <n v="1010230.294924307"/>
    <m/>
    <m/>
    <m/>
    <n v="0"/>
    <n v="656593"/>
    <n v="58761"/>
    <n v="118188"/>
    <n v="833542"/>
    <n v="9831532"/>
    <n v="10337524.28636928"/>
    <n v="0"/>
    <n v="-0.04894714366344632"/>
    <n v="-0.04894714366344632"/>
    <s v=""/>
    <s v=""/>
    <n v="0.1813958495711013"/>
    <s v=""/>
    <n v="-0.199891808484768"/>
    <n v="0.07318077530232792"/>
    <n v="-0.123533321958915"/>
    <n v="-0.1748990263032506"/>
    <s v=""/>
    <s v=""/>
    <s v=""/>
    <s v=""/>
    <n v="-0.08514974931236619"/>
    <n v="0.4623450245267968"/>
    <n v="0.04819369312014188"/>
    <s v=""/>
    <s v=""/>
    <s v=""/>
    <n v="0.5622371890813199"/>
    <n v="0.61"/>
    <n v="0.04776281091868007"/>
    <n v="0.08834461347008915"/>
    <n v="0.08834461347008915"/>
    <n v="0.7223445678346209"/>
    <n v="0.6900000000000001"/>
    <n v="-0.03234456783462081"/>
    <n v="-0.01391649849475574"/>
    <n v="-0.01391649849475574"/>
    <m/>
    <n v="27295240"/>
    <s v=""/>
    <s v=""/>
    <s v=""/>
  </r>
  <r>
    <x v="2"/>
    <s v="12"/>
    <x v="0"/>
    <d v="2022-04-16T00:00:00"/>
    <d v="2022-04-22T00:00:00"/>
    <n v="202212"/>
    <n v="804074.8611379747"/>
    <n v="54754.05574931802"/>
    <n v="134845.9707152265"/>
    <n v="993674.8876025191"/>
    <m/>
    <m/>
    <m/>
    <n v="0"/>
    <n v="618161"/>
    <n v="54409"/>
    <n v="155044"/>
    <n v="827614"/>
    <n v="10659146"/>
    <n v="11331199.1739718"/>
    <n v="0"/>
    <n v="-0.05930997802205562"/>
    <n v="-0.05930997802205562"/>
    <s v=""/>
    <s v=""/>
    <n v="0.1966656716748118"/>
    <s v=""/>
    <n v="-0.2312146171002764"/>
    <n v="-0.006301921284110779"/>
    <n v="0.1497859311453107"/>
    <n v="-0.1671179272761749"/>
    <s v=""/>
    <s v=""/>
    <s v=""/>
    <s v=""/>
    <n v="-0.09752376056167689"/>
    <n v="0.4022642585305263"/>
    <n v="0.05789114883988034"/>
    <s v=""/>
    <s v=""/>
    <s v=""/>
    <n v="0.5632213751981282"/>
    <n v="0.6"/>
    <n v="0.03677862480187177"/>
    <n v="0.08404744774773776"/>
    <n v="0.08404744774773776"/>
    <n v="0.7203991697953211"/>
    <n v="0.6799999999999999"/>
    <n v="-0.04039916979532121"/>
    <n v="-0.01612338776980282"/>
    <n v="-0.01612338776980282"/>
    <m/>
    <n v="26715368"/>
    <s v=""/>
    <s v=""/>
    <s v=""/>
  </r>
  <r>
    <x v="2"/>
    <s v="13"/>
    <x v="0"/>
    <d v="2022-04-23T00:00:00"/>
    <d v="2022-04-29T00:00:00"/>
    <n v="202213"/>
    <n v="792116.5232860366"/>
    <n v="54754.05574931802"/>
    <n v="134845.9707152265"/>
    <n v="981716.549750581"/>
    <m/>
    <m/>
    <m/>
    <n v="0"/>
    <n v="577975"/>
    <n v="54372"/>
    <n v="194481"/>
    <n v="826828"/>
    <n v="11485974"/>
    <n v="12312915.72372238"/>
    <n v="0"/>
    <n v="-0.06716051195974448"/>
    <n v="-0.06716051195974448"/>
    <s v=""/>
    <s v=""/>
    <n v="0.2119209917520057"/>
    <s v=""/>
    <n v="-0.2703409372117203"/>
    <n v="-0.006977670312993678"/>
    <n v="0.4422455411049198"/>
    <n v="-0.1577731879837746"/>
    <s v=""/>
    <s v=""/>
    <s v=""/>
    <s v=""/>
    <n v="-0.1108354436573755"/>
    <n v="0.355760986593691"/>
    <n v="0.09138265712114735"/>
    <s v=""/>
    <s v=""/>
    <s v=""/>
    <n v="0.5673121683743889"/>
    <n v="0.59"/>
    <n v="0.02268783162561105"/>
    <n v="0.079327477276805"/>
    <n v="0.079327477276805"/>
    <n v="0.7194358548900833"/>
    <n v="0.6799999999999999"/>
    <n v="-0.03943585489008339"/>
    <n v="-0.01791665447136281"/>
    <n v="-0.01791665447136281"/>
    <m/>
    <n v="26419113"/>
    <s v=""/>
    <s v=""/>
    <s v=""/>
  </r>
  <r>
    <x v="2"/>
    <s v="14"/>
    <x v="1"/>
    <d v="2022-04-30T00:00:00"/>
    <d v="2022-05-06T00:00:00"/>
    <n v="202214"/>
    <n v="789343.260356747"/>
    <n v="71558.32549324857"/>
    <n v="86422.65929744768"/>
    <n v="947324.2451474431"/>
    <m/>
    <m/>
    <m/>
    <n v="0"/>
    <n v="631674"/>
    <n v="62882"/>
    <n v="102546"/>
    <n v="797102"/>
    <n v="12283076"/>
    <n v="13260239.96886983"/>
    <n v="0"/>
    <n v="-0.0736912733980567"/>
    <n v="-0.1585753198199443"/>
    <s v=""/>
    <s v=""/>
    <n v="0.2266278547805576"/>
    <s v=""/>
    <n v="-0.1997473954303324"/>
    <n v="-0.1212483024643607"/>
    <n v="0.1865638113154948"/>
    <n v="-0.1585753198199443"/>
    <s v=""/>
    <s v=""/>
    <s v=""/>
    <s v=""/>
    <n v="-0.1171736297674628"/>
    <n v="0.2940815484022938"/>
    <n v="0.09641700096614958"/>
    <s v=""/>
    <s v=""/>
    <s v=""/>
    <n v="0.5862539255271422"/>
    <n v="0.59"/>
    <n v="0.003746074472857797"/>
    <n v="0.07392880564795157"/>
    <n v="0.003746074472857797"/>
    <n v="0.7220276861394772"/>
    <n v="0.68"/>
    <n v="-0.04202768613947716"/>
    <n v="-0.01963887101908524"/>
    <n v="-0.04202768613947716"/>
    <m/>
    <n v="26453237"/>
    <s v=""/>
    <s v=""/>
    <s v=""/>
  </r>
  <r>
    <x v="2"/>
    <s v="15"/>
    <x v="1"/>
    <d v="2022-05-07T00:00:00"/>
    <d v="2022-05-13T00:00:00"/>
    <n v="202215"/>
    <n v="792491.8365856898"/>
    <n v="74389.80705120333"/>
    <n v="78297.66041529282"/>
    <n v="945179.304052186"/>
    <m/>
    <m/>
    <m/>
    <n v="0"/>
    <n v="660623"/>
    <n v="68625"/>
    <n v="88859"/>
    <n v="818107"/>
    <n v="13101183"/>
    <n v="14205419.27292201"/>
    <n v="0"/>
    <n v="-0.07773345169944235"/>
    <n v="-0.1465226045768324"/>
    <s v=""/>
    <s v=""/>
    <n v="0.2417222687849126"/>
    <s v=""/>
    <n v="-0.1663977223460411"/>
    <n v="-0.0774945826547897"/>
    <n v="0.1348870391361576"/>
    <n v="-0.1344425375242557"/>
    <s v=""/>
    <s v=""/>
    <s v=""/>
    <s v=""/>
    <n v="-0.1204613187511503"/>
    <n v="0.250052386288381"/>
    <n v="0.09817617062633088"/>
    <s v=""/>
    <s v=""/>
    <s v=""/>
    <n v="0.6104985293806471"/>
    <n v="0.6"/>
    <n v="-0.0104985293806471"/>
    <n v="0.06830031664604497"/>
    <n v="-0.003376227453894654"/>
    <n v="0.7281275712313608"/>
    <n v="0.6800000000000002"/>
    <n v="-0.04812757123136069"/>
    <n v="-0.02153811769990366"/>
    <n v="-0.04507762868541887"/>
    <m/>
    <n v="26760396"/>
    <s v=""/>
    <s v=""/>
    <s v=""/>
  </r>
  <r>
    <x v="2"/>
    <s v="16"/>
    <x v="1"/>
    <d v="2022-05-14T00:00:00"/>
    <d v="2022-05-20T00:00:00"/>
    <n v="202216"/>
    <n v="797605.2208315469"/>
    <n v="74389.80705120333"/>
    <n v="78297.66041529282"/>
    <n v="950292.6882980431"/>
    <m/>
    <m/>
    <m/>
    <n v="0"/>
    <n v="644714"/>
    <n v="75621"/>
    <n v="99078"/>
    <n v="819413"/>
    <n v="13920596"/>
    <n v="15155711.96122005"/>
    <n v="0"/>
    <n v="-0.08149508016386353"/>
    <n v="-0.1435819536109143"/>
    <s v=""/>
    <s v=""/>
    <n v="0.2568407790318004"/>
    <s v=""/>
    <n v="-0.1916878385928185"/>
    <n v="0.01655055978232634"/>
    <n v="0.265401794568161"/>
    <n v="-0.1377256606408771"/>
    <s v=""/>
    <s v=""/>
    <s v=""/>
    <s v=""/>
    <n v="-0.1249476721781135"/>
    <n v="0.2253152379843053"/>
    <n v="0.1054887243630362"/>
    <s v=""/>
    <s v=""/>
    <s v=""/>
    <n v="0.6172254241586542"/>
    <n v="0.59"/>
    <n v="-0.02722542415865425"/>
    <n v="0.06232995784575124"/>
    <n v="-0.01132595968881456"/>
    <n v="0.7336233342107897"/>
    <n v="0.68"/>
    <n v="-0.05362333421078969"/>
    <n v="-0.02354344373183415"/>
    <n v="-0.04792619719387581"/>
    <m/>
    <n v="26991610"/>
    <s v=""/>
    <s v=""/>
    <s v=""/>
  </r>
  <r>
    <x v="2"/>
    <s v="17"/>
    <x v="1"/>
    <d v="2022-05-21T00:00:00"/>
    <d v="2022-05-27T00:00:00"/>
    <n v="202217"/>
    <n v="800902.5156146449"/>
    <n v="74389.80705120333"/>
    <n v="78297.66041529282"/>
    <n v="953589.983081141"/>
    <m/>
    <m/>
    <m/>
    <n v="0"/>
    <n v="648269"/>
    <n v="76732"/>
    <n v="96481"/>
    <n v="821482"/>
    <n v="14742078"/>
    <n v="16109301.9443012"/>
    <n v="0"/>
    <n v="-0.08487170636123453"/>
    <n v="-0.1423148724042201"/>
    <s v=""/>
    <s v=""/>
    <n v="0.2719974631881829"/>
    <s v=""/>
    <n v="-0.1905768962375"/>
    <n v="0.03148540158444701"/>
    <n v="0.2322334982713694"/>
    <n v="-0.1385375113256616"/>
    <s v=""/>
    <s v=""/>
    <s v=""/>
    <s v=""/>
    <n v="-0.1288516408481913"/>
    <n v="0.2067479500204981"/>
    <n v="0.1107988976579488"/>
    <s v=""/>
    <s v=""/>
    <s v=""/>
    <n v="0.5954110257028702"/>
    <n v="0.5899999999999999"/>
    <n v="-0.005411025702870331"/>
    <n v="0.05834519410759709"/>
    <n v="-0.009847226192328473"/>
    <n v="0.7334280805599961"/>
    <n v="0.68"/>
    <n v="-0.05342808055999604"/>
    <n v="-0.02530136354525536"/>
    <n v="-0.04930166803540581"/>
    <m/>
    <n v="26795793"/>
    <s v=""/>
    <s v=""/>
    <s v=""/>
  </r>
  <r>
    <x v="2"/>
    <s v="18"/>
    <x v="1"/>
    <d v="2022-05-28T00:00:00"/>
    <d v="2022-06-03T00:00:00"/>
    <n v="202218"/>
    <n v="796469.5061309231"/>
    <n v="81976.58865470564"/>
    <n v="79412.50521288189"/>
    <n v="957858.5999985107"/>
    <m/>
    <m/>
    <m/>
    <n v="0"/>
    <n v="661329"/>
    <n v="78922"/>
    <n v="110668"/>
    <n v="850919"/>
    <n v="15592997"/>
    <n v="17067160.54429971"/>
    <n v="0"/>
    <n v="-0.08637427066285286"/>
    <n v="-0.1361355683190775"/>
    <s v=""/>
    <s v=""/>
    <n v="0.2876972722231524"/>
    <s v=""/>
    <n v="-0.169674425813747"/>
    <n v="-0.03726171953277913"/>
    <n v="0.3935840420010828"/>
    <n v="-0.1116444535745432"/>
    <s v=""/>
    <s v=""/>
    <s v=""/>
    <s v=""/>
    <n v="-0.1311316745258155"/>
    <n v="0.1834494207021271"/>
    <n v="0.1223255218277175"/>
    <s v=""/>
    <s v=""/>
    <s v=""/>
    <n v="0.5576488815159643"/>
    <n v="0.595870839529416"/>
    <n v="0.03822195801345174"/>
    <n v="0.05722723654681128"/>
    <n v="-0.0002333893511724527"/>
    <n v="0.7259948764942953"/>
    <n v="0.68"/>
    <n v="-0.04599487649429523"/>
    <n v="-0.02645100315353544"/>
    <n v="-0.04864030972718369"/>
    <m/>
    <n v="27456517"/>
    <s v=""/>
    <s v=""/>
    <s v=""/>
  </r>
  <r>
    <x v="2"/>
    <s v="19"/>
    <x v="1"/>
    <d v="2022-06-04T00:00:00"/>
    <d v="2022-06-10T00:00:00"/>
    <n v="202219"/>
    <n v="790237.3161696783"/>
    <n v="92066.17193294305"/>
    <n v="80907.58242913593"/>
    <n v="963211.0705317573"/>
    <m/>
    <m/>
    <m/>
    <n v="0"/>
    <n v="700280"/>
    <n v="81123"/>
    <n v="114870"/>
    <n v="896273"/>
    <n v="16489270"/>
    <n v="18030371.61483146"/>
    <n v="0"/>
    <n v="-0.08547253754680129"/>
    <n v="-0.1249086839864624"/>
    <s v=""/>
    <s v=""/>
    <n v="0.304233881398878"/>
    <s v=""/>
    <n v="-0.1138358241619191"/>
    <n v="-0.1188620282910597"/>
    <n v="0.4197680433797479"/>
    <n v="-0.06949470638330912"/>
    <s v=""/>
    <s v=""/>
    <s v=""/>
    <s v=""/>
    <n v="-0.1302235494089755"/>
    <n v="0.1541710454161631"/>
    <n v="0.1341853331684852"/>
    <s v=""/>
    <s v=""/>
    <s v=""/>
    <n v="0.5273772074625471"/>
    <n v="0.6"/>
    <n v="0.07262279253745285"/>
    <n v="0.05803752896737124"/>
    <n v="0.0119093076302651"/>
    <n v="0.7149078508806302"/>
    <n v="0.6799999999999999"/>
    <n v="-0.03490785088063031"/>
    <n v="-0.02689610040232993"/>
    <n v="-0.04635156658609141"/>
    <m/>
    <n v="27965103"/>
    <s v=""/>
    <s v=""/>
    <s v=""/>
  </r>
  <r>
    <x v="2"/>
    <s v="20"/>
    <x v="1"/>
    <d v="2022-06-11T00:00:00"/>
    <d v="2022-06-17T00:00:00"/>
    <n v="202220"/>
    <n v="794084.2954354134"/>
    <n v="92066.17193294305"/>
    <n v="80907.58242913593"/>
    <n v="967058.0497974923"/>
    <m/>
    <m/>
    <m/>
    <n v="0"/>
    <n v="693850"/>
    <n v="87071"/>
    <n v="116561"/>
    <n v="897482"/>
    <n v="17386752"/>
    <n v="18997429.66462896"/>
    <n v="0"/>
    <n v="-0.08478397830985807"/>
    <n v="-0.1172465115392192"/>
    <s v=""/>
    <s v=""/>
    <n v="0.3207927971268409"/>
    <s v=""/>
    <n v="-0.1262262659160798"/>
    <n v="-0.05425632268691816"/>
    <n v="0.4406684330494195"/>
    <n v="-0.07194609445840605"/>
    <s v=""/>
    <s v=""/>
    <s v=""/>
    <s v=""/>
    <n v="-0.1300232184765147"/>
    <n v="0.1357675412783208"/>
    <n v="0.1459370445433277"/>
    <s v=""/>
    <s v=""/>
    <s v=""/>
    <n v="0.5163697693103922"/>
    <n v="0.5899999999999999"/>
    <n v="0.07363023068960761"/>
    <n v="0.05881716405348314"/>
    <n v="0.02072658235302827"/>
    <n v="0.705701129568384"/>
    <n v="0.6799999999999999"/>
    <n v="-0.02570112956838411"/>
    <n v="-0.02683635186063271"/>
    <n v="-0.04340150415499044"/>
    <m/>
    <n v="27909434"/>
    <s v=""/>
    <s v=""/>
    <s v=""/>
  </r>
  <r>
    <x v="2"/>
    <s v="21"/>
    <x v="1"/>
    <d v="2022-06-18T00:00:00"/>
    <d v="2022-06-24T00:00:00"/>
    <n v="202221"/>
    <n v="802036.3429484633"/>
    <n v="92066.17193294305"/>
    <n v="80907.58242913593"/>
    <n v="975010.0973105422"/>
    <m/>
    <m/>
    <m/>
    <n v="0"/>
    <n v="694525"/>
    <n v="79933"/>
    <n v="92859"/>
    <n v="867317"/>
    <n v="18254069"/>
    <n v="19972439.7619395"/>
    <n v="0"/>
    <n v="-0.08603709824245476"/>
    <n v="-0.1163817795687225"/>
    <s v=""/>
    <s v=""/>
    <n v="0.3367951560737943"/>
    <s v=""/>
    <n v="-0.1340479691396873"/>
    <n v="-0.1317875141130047"/>
    <n v="0.1477169038060417"/>
    <n v="-0.1104533149016629"/>
    <s v=""/>
    <s v=""/>
    <s v=""/>
    <s v=""/>
    <n v="-0.1302171303403556"/>
    <n v="0.1140599557087296"/>
    <n v="0.1460027708297156"/>
    <s v=""/>
    <s v=""/>
    <s v=""/>
    <n v="0.5182059671182859"/>
    <n v="0.5900000000000001"/>
    <n v="0.07179403288171415"/>
    <n v="0.05943511018816083"/>
    <n v="0.02711001366911403"/>
    <n v="0.7013076988569331"/>
    <n v="0.6840538217469745"/>
    <n v="-0.01725387710995863"/>
    <n v="-0.026380043539172"/>
    <n v="-0.04013305077436147"/>
    <m/>
    <n v="27419862"/>
    <s v=""/>
    <s v=""/>
    <s v=""/>
  </r>
  <r>
    <x v="2"/>
    <s v="22"/>
    <x v="1"/>
    <d v="2022-06-25T00:00:00"/>
    <d v="2022-07-01T00:00:00"/>
    <n v="202222"/>
    <n v="810750.664922412"/>
    <n v="91433.15218938279"/>
    <n v="80535.63538999457"/>
    <n v="982719.4525017894"/>
    <m/>
    <m/>
    <m/>
    <n v="0"/>
    <n v="681796"/>
    <n v="97302"/>
    <n v="115072"/>
    <n v="894170"/>
    <n v="19148239"/>
    <n v="20955159.21444129"/>
    <n v="0"/>
    <n v="-0.08622794014354451"/>
    <n v="-0.1133939921701264"/>
    <s v=""/>
    <s v=""/>
    <n v="0.353292964025901"/>
    <s v=""/>
    <n v="-0.1590558854919383"/>
    <n v="0.06418730701158859"/>
    <n v="0.428833328783746"/>
    <n v="-0.0901065428962069"/>
    <s v=""/>
    <s v=""/>
    <s v=""/>
    <s v=""/>
    <n v="-0.1315564447082278"/>
    <n v="0.1103410997085157"/>
    <n v="0.1560304681564375"/>
    <s v=""/>
    <s v=""/>
    <s v=""/>
    <n v="0.5208976319782156"/>
    <n v="0.59"/>
    <n v="0.06910236802178438"/>
    <n v="0.05987453099878004"/>
    <n v="0.03177583081941071"/>
    <n v="0.7004762381982251"/>
    <n v="0.6783388970981162"/>
    <n v="-0.0221373411001089"/>
    <n v="-0.02618719342830544"/>
    <n v="-0.03813352747722232"/>
    <m/>
    <n v="27711887"/>
    <s v=""/>
    <s v=""/>
    <s v=""/>
  </r>
  <r>
    <x v="2"/>
    <s v="23"/>
    <x v="1"/>
    <d v="2022-07-02T00:00:00"/>
    <d v="2022-07-08T00:00:00"/>
    <n v="202223"/>
    <n v="813828.5924854395"/>
    <n v="87660.44334607168"/>
    <n v="78297.66041529282"/>
    <n v="979786.696246804"/>
    <m/>
    <m/>
    <m/>
    <n v="0"/>
    <n v="700469"/>
    <n v="98954"/>
    <n v="132656"/>
    <n v="932079"/>
    <n v="20080318"/>
    <n v="21934945.91068809"/>
    <n v="0"/>
    <n v="-0.08455128716704052"/>
    <n v="-0.106805545918765"/>
    <s v=""/>
    <s v=""/>
    <n v="0.3704902087759952"/>
    <s v=""/>
    <n v="-0.1392917298951593"/>
    <n v="0.128832985812573"/>
    <n v="0.6942524118394999"/>
    <n v="-0.04869192083292651"/>
    <s v=""/>
    <s v=""/>
    <s v=""/>
    <s v=""/>
    <n v="-0.1319009848813603"/>
    <n v="0.1115748858262557"/>
    <n v="0.1739645551534728"/>
    <s v=""/>
    <s v=""/>
    <s v=""/>
    <n v="0.5211918508818754"/>
    <n v="0.6"/>
    <n v="0.07880814911812462"/>
    <n v="0.06069773178657756"/>
    <n v="0.03647906264928213"/>
    <n v="0.7002212018333791"/>
    <n v="0.6763819429313486"/>
    <n v="-0.02383925890203054"/>
    <n v="-0.02608510931846741"/>
    <n v="-0.03670410061970319"/>
    <m/>
    <n v="27835029"/>
    <s v=""/>
    <s v=""/>
    <s v=""/>
  </r>
  <r>
    <x v="2"/>
    <s v="24"/>
    <x v="1"/>
    <d v="2022-07-09T00:00:00"/>
    <d v="2022-07-15T00:00:00"/>
    <n v="202224"/>
    <n v="801697.6046151745"/>
    <n v="87660.44334607168"/>
    <n v="78297.66041529282"/>
    <n v="967655.7083765389"/>
    <m/>
    <m/>
    <m/>
    <n v="0"/>
    <n v="720919"/>
    <n v="127141"/>
    <n v="137514"/>
    <n v="985574"/>
    <n v="21065892"/>
    <n v="22902601.61906463"/>
    <n v="0"/>
    <n v="-0.080196549266076"/>
    <n v="-0.09535390429156965"/>
    <s v=""/>
    <s v=""/>
    <n v="0.3886744584987432"/>
    <s v=""/>
    <n v="-0.1007594436482685"/>
    <n v="0.4503805268023158"/>
    <n v="0.7562976884701558"/>
    <n v="0.01851721791991801"/>
    <s v=""/>
    <s v=""/>
    <s v=""/>
    <s v=""/>
    <n v="-0.1305920086080643"/>
    <n v="0.1327662394971507"/>
    <n v="0.1927427621638085"/>
    <s v=""/>
    <s v=""/>
    <s v=""/>
    <n v="0.5239170985526866"/>
    <n v="0.6064616202382124"/>
    <n v="0.08254452168552573"/>
    <n v="0.06160801469903388"/>
    <n v="0.04066683165257701"/>
    <n v="0.6990561773690173"/>
    <n v="0.6809723253882825"/>
    <n v="-0.01808385198073481"/>
    <n v="-0.02575172359606182"/>
    <n v="-0.03501135074343331"/>
    <m/>
    <n v="28984140"/>
    <s v=""/>
    <s v=""/>
    <s v=""/>
  </r>
  <r>
    <x v="2"/>
    <s v="25"/>
    <x v="1"/>
    <d v="2022-07-16T00:00:00"/>
    <d v="2022-07-22T00:00:00"/>
    <n v="202225"/>
    <n v="772530.9859057155"/>
    <n v="87660.44334607168"/>
    <n v="78297.66041529282"/>
    <n v="938489.08966708"/>
    <m/>
    <m/>
    <m/>
    <n v="0"/>
    <n v="679337"/>
    <n v="131375"/>
    <n v="151869"/>
    <n v="962581"/>
    <n v="22028473"/>
    <n v="23841090.70873171"/>
    <n v="0"/>
    <n v="-0.07602914358560975"/>
    <n v="-0.08550147671171315"/>
    <s v=""/>
    <s v=""/>
    <n v="0.4064344778198419"/>
    <s v=""/>
    <n v="-0.120634625155462"/>
    <n v="0.4986805334915898"/>
    <n v="0.9396364999220013"/>
    <n v="0.0256709540879867"/>
    <s v=""/>
    <s v=""/>
    <s v=""/>
    <s v=""/>
    <n v="-0.1302043954534962"/>
    <n v="0.1543059171405059"/>
    <n v="0.2160750872780157"/>
    <s v=""/>
    <s v=""/>
    <s v=""/>
    <n v="0.5308368354203783"/>
    <n v="0.6008155122644218"/>
    <n v="0.06997867684404346"/>
    <n v="0.06194284118483406"/>
    <n v="0.04310948541853254"/>
    <n v="0.6976755417804398"/>
    <n v="0.6751681541183904"/>
    <n v="-0.02250738766204941"/>
    <n v="-0.02562195015870128"/>
    <n v="-0.03396935381998467"/>
    <m/>
    <n v="28710796"/>
    <s v=""/>
    <s v=""/>
    <s v=""/>
  </r>
  <r>
    <x v="2"/>
    <s v="26"/>
    <x v="1"/>
    <d v="2022-07-23T00:00:00"/>
    <d v="2022-07-29T00:00:00"/>
    <n v="202226"/>
    <n v="730628.1750664605"/>
    <n v="87660.44334607168"/>
    <n v="78297.66041529282"/>
    <n v="896586.278827825"/>
    <m/>
    <m/>
    <m/>
    <n v="0"/>
    <n v="662641"/>
    <n v="123545"/>
    <n v="142190"/>
    <n v="928376"/>
    <n v="22956849"/>
    <n v="24737676.98755953"/>
    <n v="0"/>
    <n v="-0.07198848899414056"/>
    <n v="-0.07677300541890375"/>
    <s v=""/>
    <s v=""/>
    <n v="0.4235634006816524"/>
    <s v=""/>
    <n v="-0.09305304310263718"/>
    <n v="0.4093586033127952"/>
    <n v="0.8160185022875595"/>
    <n v="0.03545639937043887"/>
    <s v=""/>
    <s v=""/>
    <s v=""/>
    <s v=""/>
    <n v="-0.1288852070641809"/>
    <n v="0.1684850275494159"/>
    <n v="0.2342490695461921"/>
    <s v=""/>
    <s v=""/>
    <s v=""/>
    <n v="0.535840399024745"/>
    <n v="0.5938231091875271"/>
    <n v="0.05798271016278211"/>
    <n v="0.06179052845321686"/>
    <n v="0.04425357962962873"/>
    <n v="0.6972192771059071"/>
    <n v="0.6682082902952611"/>
    <n v="-0.02901098681064607"/>
    <n v="-0.02575229772223764"/>
    <n v="-0.03358794097311235"/>
    <m/>
    <n v="28432676"/>
    <s v=""/>
    <s v=""/>
    <s v=""/>
  </r>
  <r>
    <x v="2"/>
    <s v="27"/>
    <x v="2"/>
    <d v="2022-07-30T00:00:00"/>
    <d v="2022-08-05T00:00:00"/>
    <n v="202227"/>
    <n v="687165.7644514525"/>
    <n v="86019.91162033699"/>
    <n v="161891.612979428"/>
    <n v="935077.2890512176"/>
    <m/>
    <m/>
    <m/>
    <n v="0"/>
    <n v="799801"/>
    <n v="122323"/>
    <n v="112225"/>
    <n v="1034349"/>
    <n v="23991198"/>
    <n v="25672754.27661075"/>
    <n v="0"/>
    <n v="-0.06549964442820766"/>
    <n v="0.1061641771339663"/>
    <s v=""/>
    <s v=""/>
    <n v="0.442647569416293"/>
    <s v=""/>
    <n v="0.1639127578459345"/>
    <n v="0.422031221560569"/>
    <n v="-0.3067892898549307"/>
    <n v="0.1061641771339663"/>
    <s v=""/>
    <s v=""/>
    <s v=""/>
    <s v=""/>
    <n v="-0.1194228686251165"/>
    <n v="0.1816010851287235"/>
    <n v="0.2023587099800976"/>
    <s v=""/>
    <s v=""/>
    <s v=""/>
    <n v="0.5325416703205508"/>
    <n v="0.5932479889585562"/>
    <n v="0.06070631863800546"/>
    <n v="0.06175037253413485"/>
    <n v="0.06070631863800546"/>
    <n v="0.6978972184958656"/>
    <n v="0.6649647625393067"/>
    <n v="-0.03293245595655891"/>
    <n v="-0.02601822950869404"/>
    <n v="-0.03293245595655891"/>
    <m/>
    <n v="28452630"/>
    <s v=""/>
    <s v=""/>
    <s v=""/>
  </r>
  <r>
    <x v="2"/>
    <s v="28"/>
    <x v="2"/>
    <d v="2022-08-06T00:00:00"/>
    <d v="2022-08-12T00:00:00"/>
    <n v="202228"/>
    <n v="656017.0541775981"/>
    <n v="85357.96523085299"/>
    <n v="195744.1510382321"/>
    <n v="937119.1704466832"/>
    <m/>
    <m/>
    <m/>
    <n v="0"/>
    <n v="770172"/>
    <n v="112133"/>
    <n v="115415"/>
    <n v="997720"/>
    <n v="24988918"/>
    <n v="26609873.44705743"/>
    <n v="0"/>
    <n v="-0.06091556392714381"/>
    <n v="0.08539303644713403"/>
    <s v=""/>
    <s v=""/>
    <n v="0.4610559178846781"/>
    <s v=""/>
    <n v="0.1740121618720871"/>
    <n v="0.3136793935602047"/>
    <n v="-0.4103782954032812"/>
    <n v="0.06466715383106614"/>
    <s v=""/>
    <s v=""/>
    <s v=""/>
    <s v=""/>
    <n v="-0.1106407427272131"/>
    <n v="0.1880499420894646"/>
    <n v="0.161595188209968"/>
    <s v=""/>
    <s v=""/>
    <s v=""/>
    <n v="0.5229212907631894"/>
    <n v="0.5903332594853182"/>
    <n v="0.06741196872212885"/>
    <n v="0.0619525723979919"/>
    <n v="0.06405914368006727"/>
    <n v="0.6987125181806733"/>
    <n v="0.6660787378024439"/>
    <n v="-0.03263378037822939"/>
    <n v="-0.02625449918260603"/>
    <n v="-0.03278311816739421"/>
    <m/>
    <n v="28192586"/>
    <s v=""/>
    <s v=""/>
    <s v=""/>
  </r>
  <r>
    <x v="2"/>
    <s v="29"/>
    <x v="2"/>
    <d v="2022-08-13T00:00:00"/>
    <d v="2022-08-19T00:00:00"/>
    <n v="202229"/>
    <n v="647565.1572639223"/>
    <n v="85357.96523085299"/>
    <n v="195744.1510382321"/>
    <n v="928667.2735330074"/>
    <m/>
    <m/>
    <m/>
    <n v="0"/>
    <n v="739549"/>
    <n v="103300"/>
    <n v="146819"/>
    <n v="989668"/>
    <n v="25978586"/>
    <n v="27538540.72059044"/>
    <n v="0"/>
    <n v="-0.0566462375918152"/>
    <n v="0.07885898352151455"/>
    <s v=""/>
    <s v=""/>
    <n v="0.4793157036081374"/>
    <s v=""/>
    <n v="0.1420456948683368"/>
    <n v="0.2101975453681713"/>
    <n v="-0.2499443829035597"/>
    <n v="0.06568631005475445"/>
    <s v=""/>
    <s v=""/>
    <s v=""/>
    <s v=""/>
    <n v="-0.103389817206176"/>
    <n v="0.189080979757515"/>
    <n v="0.135924509198541"/>
    <s v=""/>
    <s v=""/>
    <s v=""/>
    <n v="0.5155314014603728"/>
    <n v="0.5848515193882985"/>
    <n v="0.0693201179279257"/>
    <n v="0.06220662569212754"/>
    <n v="0.06581280176268678"/>
    <n v="0.6998565878803329"/>
    <n v="0.6650972717078624"/>
    <n v="-0.03475931617247052"/>
    <n v="-0.02654776873398068"/>
    <n v="-0.03344185083575291"/>
    <m/>
    <n v="28395929"/>
    <s v=""/>
    <s v=""/>
    <s v=""/>
  </r>
  <r>
    <x v="2"/>
    <s v="30"/>
    <x v="2"/>
    <d v="2022-08-20T00:00:00"/>
    <d v="2022-08-26T00:00:00"/>
    <n v="202230"/>
    <n v="663484.9541131783"/>
    <n v="85357.96523085299"/>
    <n v="195744.1510382321"/>
    <n v="944587.0703822634"/>
    <m/>
    <m/>
    <m/>
    <n v="0"/>
    <n v="664171"/>
    <n v="88220"/>
    <n v="187101"/>
    <n v="939492"/>
    <n v="26918078"/>
    <n v="28483127.79097271"/>
    <n v="0"/>
    <n v="-0.05494655651788094"/>
    <n v="0.05761074111297715"/>
    <s v=""/>
    <s v=""/>
    <n v="0.4966497212877068"/>
    <s v=""/>
    <n v="0.001034003683985096"/>
    <n v="0.03352979140735779"/>
    <n v="-0.04415534764328133"/>
    <n v="-0.005393965831229863"/>
    <s v=""/>
    <s v=""/>
    <s v=""/>
    <s v=""/>
    <n v="-0.1004073601663688"/>
    <n v="0.1821617158167426"/>
    <n v="0.1253511701698038"/>
    <s v=""/>
    <s v=""/>
    <s v=""/>
    <n v="0.5144613619088151"/>
    <n v="0.5904870484238737"/>
    <n v="0.07602568651505859"/>
    <n v="0.06266726105289189"/>
    <n v="0.06836602295077976"/>
    <n v="0.7015353297492569"/>
    <n v="0.666015972368364"/>
    <n v="-0.03551935738089296"/>
    <n v="-0.02684682168887775"/>
    <n v="-0.033961227472038"/>
    <m/>
    <n v="28073251"/>
    <s v=""/>
    <s v=""/>
    <s v=""/>
  </r>
  <r>
    <x v="2"/>
    <s v="31"/>
    <x v="2"/>
    <d v="2022-08-27T00:00:00"/>
    <d v="2022-09-02T00:00:00"/>
    <n v="202231"/>
    <n v="694866.6986071385"/>
    <n v="85825.66755442062"/>
    <n v="197604.7455470028"/>
    <n v="978297.1117085619"/>
    <m/>
    <m/>
    <m/>
    <n v="0"/>
    <n v="665253"/>
    <n v="88780"/>
    <n v="191667"/>
    <n v="945700"/>
    <n v="27863778"/>
    <n v="29461424.90268127"/>
    <n v="0"/>
    <n v="-0.05422843287311152"/>
    <n v="0.03877875961413291"/>
    <s v=""/>
    <s v=""/>
    <n v="0.514098279146176"/>
    <s v=""/>
    <n v="-0.04261781240416207"/>
    <n v="0.03442248140634718"/>
    <n v="-0.03004859792494419"/>
    <n v="-0.03332025753570111"/>
    <s v=""/>
    <s v=""/>
    <s v=""/>
    <s v=""/>
    <n v="-0.09872896497705208"/>
    <n v="0.1758368231951775"/>
    <n v="0.1166555985900408"/>
    <s v=""/>
    <s v=""/>
    <s v=""/>
    <n v="0.5150368446392046"/>
    <n v="0.5979259038572755"/>
    <n v="0.08288905921807088"/>
    <n v="0.06331957712273639"/>
    <n v="0.07127063020423796"/>
    <n v="0.7035705518841811"/>
    <n v="0.6683844011104235"/>
    <n v="-0.03518615077375753"/>
    <n v="-0.02711583230451897"/>
    <n v="-0.03420621213238195"/>
    <m/>
    <n v="28436052"/>
    <s v=""/>
    <s v=""/>
    <s v=""/>
  </r>
  <r>
    <x v="2"/>
    <s v="32"/>
    <x v="2"/>
    <d v="2022-09-03T00:00:00"/>
    <d v="2022-09-09T00:00:00"/>
    <n v="202232"/>
    <n v="726218.3448391523"/>
    <n v="86989.57027721286"/>
    <n v="202268.9560728398"/>
    <n v="1015476.871189205"/>
    <m/>
    <m/>
    <m/>
    <n v="0"/>
    <n v="643475"/>
    <n v="92594"/>
    <n v="222055"/>
    <n v="958124"/>
    <n v="28821902"/>
    <n v="30476901.77387048"/>
    <n v="0"/>
    <n v="-0.05430341266806193"/>
    <n v="0.02192425255570818"/>
    <s v=""/>
    <s v=""/>
    <n v="0.5317760649657677"/>
    <s v=""/>
    <n v="-0.1139372826742333"/>
    <n v="0.06442645600992503"/>
    <n v="0.09782046791221388"/>
    <n v="-0.05647875674611891"/>
    <s v=""/>
    <s v=""/>
    <s v=""/>
    <s v=""/>
    <n v="-0.0991769933491855"/>
    <n v="0.1712035755972328"/>
    <n v="0.115635224274355"/>
    <s v=""/>
    <s v=""/>
    <s v=""/>
    <n v="0.5113271890943862"/>
    <n v="0.5857687783123222"/>
    <n v="0.07444158921793598"/>
    <n v="0.06366714000071128"/>
    <n v="0.07179912337318761"/>
    <n v="0.7049374515456192"/>
    <n v="0.665227126172684"/>
    <n v="-0.03971032537293517"/>
    <n v="-0.02750941021290698"/>
    <n v="-0.03512356433914077"/>
    <m/>
    <n v="28993970"/>
    <s v=""/>
    <s v=""/>
    <s v=""/>
  </r>
  <r>
    <x v="2"/>
    <s v="33"/>
    <x v="2"/>
    <d v="2022-09-10T00:00:00"/>
    <d v="2022-09-16T00:00:00"/>
    <n v="202233"/>
    <n v="744076.5425478243"/>
    <n v="86989.57027721286"/>
    <n v="202268.9560728398"/>
    <n v="1033335.068897877"/>
    <m/>
    <m/>
    <m/>
    <n v="0"/>
    <n v="605349"/>
    <n v="93281"/>
    <n v="225135"/>
    <n v="923765"/>
    <n v="29745667"/>
    <n v="31510236.84276835"/>
    <n v="0"/>
    <n v="-0.0559998914503026"/>
    <n v="0.002400590786758583"/>
    <s v=""/>
    <s v=""/>
    <n v="0.5488199129620971"/>
    <s v=""/>
    <n v="-0.1864425695679122"/>
    <n v="0.0723239545009593"/>
    <n v="0.1130477181032459"/>
    <n v="-0.1060353724515911"/>
    <s v=""/>
    <s v=""/>
    <s v=""/>
    <s v=""/>
    <n v="-0.1017338298611082"/>
    <n v="0.167255630957746"/>
    <n v="0.1155022523434199"/>
    <s v=""/>
    <s v=""/>
    <s v=""/>
    <n v="0.5052475721813352"/>
    <n v="0.6182570413717724"/>
    <n v="0.1130094691904372"/>
    <n v="0.0651623620973697"/>
    <n v="0.07768631563279482"/>
    <n v="0.7050170793343444"/>
    <n v="0.7023811674914049"/>
    <n v="-0.002635911842939542"/>
    <n v="-0.02675566783805938"/>
    <n v="-0.03048247112539759"/>
    <m/>
    <n v="28090800"/>
    <s v=""/>
    <s v=""/>
    <s v=""/>
  </r>
  <r>
    <x v="2"/>
    <s v="34"/>
    <x v="2"/>
    <d v="2022-09-17T00:00:00"/>
    <d v="2022-09-23T00:00:00"/>
    <n v="202234"/>
    <n v="740078.5168931733"/>
    <n v="86989.57027721286"/>
    <n v="202268.9560728398"/>
    <n v="1029337.043243226"/>
    <m/>
    <m/>
    <m/>
    <n v="0"/>
    <n v="646038"/>
    <n v="117096"/>
    <n v="227737"/>
    <n v="990871"/>
    <n v="30736538"/>
    <n v="32539573.88601158"/>
    <n v="0"/>
    <n v="-0.05541055615318569"/>
    <n v="-0.002846474228138884"/>
    <s v=""/>
    <s v=""/>
    <n v="0.5671018945353011"/>
    <s v=""/>
    <n v="-0.1270682971422444"/>
    <n v="0.3460924065591529"/>
    <n v="0.1259117781672281"/>
    <n v="-0.03736972597627264"/>
    <s v=""/>
    <s v=""/>
    <s v=""/>
    <s v=""/>
    <n v="-0.1024512220335845"/>
    <n v="0.1741218606941672"/>
    <n v="0.1160110506858401"/>
    <s v=""/>
    <s v=""/>
    <s v=""/>
    <n v="0.5048871263735784"/>
    <n v="0.6240996428774086"/>
    <n v="0.1192125165038302"/>
    <n v="0.06675207252108906"/>
    <n v="0.08287709074167415"/>
    <n v="0.7049228387753194"/>
    <n v="0.7165936561376107"/>
    <n v="0.01167081736229136"/>
    <n v="-0.02562547709687268"/>
    <n v="-0.0252133100644365"/>
    <m/>
    <n v="28269213"/>
    <s v=""/>
    <s v=""/>
    <s v=""/>
  </r>
  <r>
    <x v="2"/>
    <s v="35"/>
    <x v="2"/>
    <d v="2022-09-24T00:00:00"/>
    <d v="2022-09-30T00:00:00"/>
    <n v="202235"/>
    <n v="718895.8747520593"/>
    <n v="86989.57027721286"/>
    <n v="202268.9560728398"/>
    <n v="1008154.401102112"/>
    <m/>
    <m/>
    <m/>
    <n v="0"/>
    <n v="655067"/>
    <n v="112778"/>
    <n v="268598"/>
    <n v="1036443"/>
    <n v="31772981"/>
    <n v="33547728.28711369"/>
    <n v="0"/>
    <n v="-0.05290215992942215"/>
    <n v="0.0006902003449349436"/>
    <s v=""/>
    <s v=""/>
    <n v="0.5862246984398219"/>
    <s v=""/>
    <n v="-0.08878737101401968"/>
    <n v="0.2964542719386498"/>
    <n v="0.3279249827307866"/>
    <n v="0.02805978813063059"/>
    <s v=""/>
    <s v=""/>
    <s v=""/>
    <s v=""/>
    <n v="-0.1020854406045071"/>
    <n v="0.1786450101083996"/>
    <n v="0.1258863260228444"/>
    <s v=""/>
    <s v=""/>
    <s v=""/>
    <n v="0.514252272716001"/>
    <n v="0.6169215431569509"/>
    <n v="0.1026692704409499"/>
    <n v="0.06777827817594229"/>
    <n v="0.08507622181937158"/>
    <n v="0.7072059884004019"/>
    <n v="0.7329844567383996"/>
    <n v="0.02577846833799768"/>
    <n v="-0.02415679294159068"/>
    <n v="-0.01954755690861054"/>
    <m/>
    <n v="28516338"/>
    <s v=""/>
    <s v=""/>
    <s v=""/>
  </r>
  <r>
    <x v="2"/>
    <s v="36"/>
    <x v="2"/>
    <d v="2022-10-01T00:00:00"/>
    <d v="2022-10-07T00:00:00"/>
    <n v="202236"/>
    <n v="697457.4931978874"/>
    <n v="83187.68919790559"/>
    <n v="260992.2013843094"/>
    <n v="1041637.383780102"/>
    <m/>
    <m/>
    <m/>
    <n v="0"/>
    <n v="733153"/>
    <n v="119469"/>
    <n v="294948"/>
    <n v="1147570"/>
    <n v="32920551"/>
    <n v="34589365.67089379"/>
    <n v="0"/>
    <n v="-0.04824646646521358"/>
    <n v="0.01136996105604049"/>
    <s v=""/>
    <s v=""/>
    <n v="0.6073978416582246"/>
    <s v=""/>
    <n v="0.05117947279976365"/>
    <n v="0.4361379808949886"/>
    <n v="0.1301027327084419"/>
    <n v="0.1016981704664517"/>
    <s v=""/>
    <s v=""/>
    <s v=""/>
    <s v=""/>
    <n v="-0.09820565567169492"/>
    <n v="0.1874385954996536"/>
    <n v="0.1261254766649642"/>
    <s v=""/>
    <s v=""/>
    <s v=""/>
    <n v="0.5281566148700412"/>
    <n v="0.6188504209530746"/>
    <n v="0.09069380608303346"/>
    <n v="0.0684148206178059"/>
    <n v="0.08563798024573765"/>
    <n v="0.7140064022010176"/>
    <n v="0.7406403494255465"/>
    <n v="0.02663394722452883"/>
    <n v="-0.0227459390480873"/>
    <n v="-0.0149294064952965"/>
    <m/>
    <n v="29198398"/>
    <s v=""/>
    <s v=""/>
    <s v=""/>
  </r>
  <r>
    <x v="2"/>
    <s v="37"/>
    <x v="2"/>
    <d v="2022-10-08T00:00:00"/>
    <d v="2022-10-14T00:00:00"/>
    <n v="202237"/>
    <n v="692807.5375347415"/>
    <n v="83187.68919790559"/>
    <n v="260992.2013843094"/>
    <n v="1036987.428116956"/>
    <m/>
    <m/>
    <m/>
    <n v="0"/>
    <n v="713163"/>
    <n v="125470"/>
    <n v="297181"/>
    <n v="1135814"/>
    <n v="34056365"/>
    <n v="35626353.09901074"/>
    <n v="0"/>
    <n v="-0.04406816759064625"/>
    <n v="0.01936322528016565"/>
    <s v=""/>
    <s v=""/>
    <n v="0.6283540817930022"/>
    <s v=""/>
    <n v="0.02938112154161976"/>
    <n v="0.5082760587507573"/>
    <n v="0.1386585439095278"/>
    <n v="0.09530161041826757"/>
    <s v=""/>
    <s v=""/>
    <s v=""/>
    <s v=""/>
    <n v="-0.09507611977238095"/>
    <n v="0.1980336164061078"/>
    <n v="0.126798185118433"/>
    <s v=""/>
    <s v=""/>
    <s v=""/>
    <n v="0.5392801073879351"/>
    <n v="0.630001099367364"/>
    <n v="0.09072099197942896"/>
    <n v="0.06901769011406589"/>
    <n v="0.08610007222152782"/>
    <n v="0.7256166806569849"/>
    <n v="0.7385043187891769"/>
    <n v="0.01288763813219196"/>
    <n v="-0.02178286939456631"/>
    <n v="-0.01240058425643398"/>
    <m/>
    <n v="30307214"/>
    <s v=""/>
    <s v=""/>
    <s v=""/>
  </r>
  <r>
    <x v="2"/>
    <s v="38"/>
    <x v="2"/>
    <d v="2022-10-15T00:00:00"/>
    <d v="2022-10-21T00:00:00"/>
    <n v="202238"/>
    <n v="721443.2676133115"/>
    <n v="83187.68919790559"/>
    <n v="260992.2013843094"/>
    <n v="1065623.158195527"/>
    <m/>
    <m/>
    <m/>
    <n v="0"/>
    <n v="702825"/>
    <n v="121916"/>
    <n v="278673"/>
    <n v="1103414"/>
    <n v="35159779"/>
    <n v="36691976.25720627"/>
    <n v="0"/>
    <n v="-0.04175837372361069"/>
    <n v="0.02079843617304777"/>
    <s v=""/>
    <s v=""/>
    <n v="0.6487125284683166"/>
    <s v=""/>
    <n v="-0.02580697394946208"/>
    <n v="0.4655533910788023"/>
    <n v="0.06774454762215565"/>
    <n v="0.03546360785595781"/>
    <s v=""/>
    <s v=""/>
    <s v=""/>
    <s v=""/>
    <n v="-0.09335087782319262"/>
    <n v="0.2065855168414306"/>
    <n v="0.123789964922951"/>
    <s v=""/>
    <s v=""/>
    <s v=""/>
    <n v="0.5485298271527548"/>
    <n v="0.5125076210495664"/>
    <n v="-0.0360222061031884"/>
    <n v="0.06625348231887496"/>
    <n v="0.07592321569446814"/>
    <n v="0.7408504510519063"/>
    <n v="0.7443666862104813"/>
    <n v="0.003516235158575021"/>
    <n v="-0.02111710348527307"/>
    <n v="-0.01107418263851656"/>
    <m/>
    <n v="29781374"/>
    <s v=""/>
    <s v=""/>
    <s v=""/>
  </r>
  <r>
    <x v="2"/>
    <s v="39"/>
    <x v="2"/>
    <d v="2022-10-22T00:00:00"/>
    <d v="2022-10-28T00:00:00"/>
    <n v="202239"/>
    <n v="786092.6870163155"/>
    <n v="83187.68919790559"/>
    <n v="260992.2013843094"/>
    <n v="1130272.577598531"/>
    <m/>
    <m/>
    <m/>
    <n v="0"/>
    <n v="683080"/>
    <n v="119727"/>
    <n v="282082"/>
    <n v="1084889"/>
    <n v="36244668"/>
    <n v="37822248.8348048"/>
    <n v="0"/>
    <n v="-0.0417103922533838"/>
    <n v="0.01553334378285531"/>
    <s v=""/>
    <s v=""/>
    <n v="0.6687291811980584"/>
    <s v=""/>
    <n v="-0.1310439452214081"/>
    <n v="0.4392394013393792"/>
    <n v="0.08080624058431551"/>
    <n v="-0.04015277243561566"/>
    <s v=""/>
    <s v=""/>
    <s v=""/>
    <s v=""/>
    <n v="-0.09434677460578234"/>
    <n v="0.2137924599490095"/>
    <n v="0.1217064870439175"/>
    <s v=""/>
    <s v=""/>
    <s v=""/>
    <n v="0.5645154440700999"/>
    <n v="0.5227817502543591"/>
    <n v="-0.04173369381574077"/>
    <n v="0.06348458036670523"/>
    <n v="0.06687268419368297"/>
    <n v="0.7581965753803033"/>
    <n v="0.7573868310854681"/>
    <n v="-0.0008097442948351574"/>
    <n v="-0.02059640196756962"/>
    <n v="-0.01028461045823337"/>
    <m/>
    <n v="29885774"/>
    <s v=""/>
    <s v=""/>
    <s v=""/>
  </r>
  <r>
    <x v="2"/>
    <s v="40"/>
    <x v="3"/>
    <d v="2022-10-29T00:00:00"/>
    <d v="2022-11-04T00:00:00"/>
    <n v="202240"/>
    <n v="848459.0466921368"/>
    <n v="117668.3677630548"/>
    <n v="265943.8686524709"/>
    <n v="1232071.283107663"/>
    <m/>
    <m/>
    <m/>
    <n v="0"/>
    <n v="719355"/>
    <n v="128495"/>
    <n v="259807"/>
    <n v="1107657"/>
    <n v="37352325"/>
    <n v="39054320.11791246"/>
    <n v="0"/>
    <n v="-0.04358020092972581"/>
    <n v="-0.1009797767494844"/>
    <s v=""/>
    <s v=""/>
    <n v="0.6891659129859808"/>
    <s v=""/>
    <n v="-0.1521629679069026"/>
    <n v="0.09200970866483371"/>
    <n v="-0.02307580424232447"/>
    <n v="-0.1009797767494844"/>
    <s v=""/>
    <s v=""/>
    <s v=""/>
    <s v=""/>
    <n v="-0.09594982740182911"/>
    <n v="0.2086803178208514"/>
    <n v="0.11489212133258"/>
    <s v=""/>
    <s v=""/>
    <s v=""/>
    <n v="0.5919650734413845"/>
    <n v="0.5573147874124494"/>
    <n v="-0.03465028602893505"/>
    <n v="0.06103120870681433"/>
    <n v="-0.03465028602893505"/>
    <n v="0.7759847305566772"/>
    <n v="0.7788056331272492"/>
    <n v="0.002820902570571993"/>
    <n v="-0.02001096935411606"/>
    <n v="0.002820902570571993"/>
    <m/>
    <n v="31358928"/>
    <s v=""/>
    <s v=""/>
    <s v=""/>
  </r>
  <r>
    <x v="2"/>
    <s v="41"/>
    <x v="3"/>
    <d v="2022-11-05T00:00:00"/>
    <d v="2022-11-11T00:00:00"/>
    <n v="202241"/>
    <n v="918232.4460673782"/>
    <n v="143598.8086818683"/>
    <n v="269691.941430453"/>
    <n v="1331523.196179699"/>
    <m/>
    <m/>
    <m/>
    <n v="0"/>
    <n v="855103"/>
    <n v="159065"/>
    <n v="281815"/>
    <n v="1295983"/>
    <n v="38648308"/>
    <n v="40385843.31409216"/>
    <n v="0"/>
    <n v="-0.04302337580470594"/>
    <n v="-0.06239461060620888"/>
    <s v=""/>
    <s v=""/>
    <n v="0.7130773377074489"/>
    <s v=""/>
    <n v="-0.06875105136803872"/>
    <n v="0.107704175682932"/>
    <n v="0.04495150468807485"/>
    <n v="-0.02669138343340061"/>
    <s v=""/>
    <s v=""/>
    <s v=""/>
    <s v=""/>
    <n v="-0.09515745500213513"/>
    <n v="0.2037595818946989"/>
    <n v="0.1117059566843499"/>
    <s v=""/>
    <s v=""/>
    <s v=""/>
    <n v="0.6230339243107329"/>
    <n v="0.5920002909046628"/>
    <n v="-0.03103363340607013"/>
    <n v="0.05878572475284161"/>
    <n v="-0.03284195971750259"/>
    <n v="0.7910204099808347"/>
    <n v="0.8065934834350016"/>
    <n v="0.01557307345416692"/>
    <n v="-0.01914306587098713"/>
    <n v="0.009196988012369456"/>
    <m/>
    <n v="33728216"/>
    <s v=""/>
    <s v=""/>
    <s v=""/>
  </r>
  <r>
    <x v="2"/>
    <s v="42"/>
    <x v="3"/>
    <d v="2022-11-12T00:00:00"/>
    <d v="2022-11-18T00:00:00"/>
    <n v="202242"/>
    <n v="983640.4495442524"/>
    <n v="143598.8086818683"/>
    <n v="269691.941430453"/>
    <n v="1396931.199656574"/>
    <m/>
    <m/>
    <m/>
    <n v="0"/>
    <n v="883636"/>
    <n v="171740"/>
    <n v="279747"/>
    <n v="1335123"/>
    <n v="39983431"/>
    <n v="41782774.51374874"/>
    <n v="0"/>
    <n v="-0.04306424201572967"/>
    <n v="-0.05599324355424151"/>
    <s v=""/>
    <s v=""/>
    <n v="0.737710911688281"/>
    <s v=""/>
    <n v="-0.1016676872027652"/>
    <n v="0.1959709246646764"/>
    <n v="0.03728349655616237"/>
    <n v="-0.04424570062703781"/>
    <s v=""/>
    <s v=""/>
    <s v=""/>
    <s v=""/>
    <n v="-0.09535447667213026"/>
    <n v="0.2033976644694744"/>
    <n v="0.1084633387637619"/>
    <s v=""/>
    <s v=""/>
    <s v=""/>
    <n v="0.6438695655908806"/>
    <n v="0.6040236491625294"/>
    <n v="-0.03984591642835122"/>
    <n v="0.05643735234376557"/>
    <n v="-0.0351766119544521"/>
    <n v="0.7989081399024111"/>
    <n v="0.805825406641415"/>
    <n v="0.006917266739003947"/>
    <n v="-0.01852258176122545"/>
    <n v="0.008437080921247619"/>
    <m/>
    <n v="34939643"/>
    <s v=""/>
    <s v=""/>
    <s v=""/>
  </r>
  <r>
    <x v="2"/>
    <s v="43"/>
    <x v="3"/>
    <d v="2022-11-19T00:00:00"/>
    <d v="2022-11-25T00:00:00"/>
    <n v="202243"/>
    <n v="1111761.903094734"/>
    <n v="143598.8086818683"/>
    <n v="269691.941430453"/>
    <n v="1525052.653207055"/>
    <m/>
    <m/>
    <m/>
    <n v="0"/>
    <n v="1176076"/>
    <n v="263118"/>
    <n v="335018"/>
    <n v="1774212"/>
    <n v="41757643"/>
    <n v="43307827.16695579"/>
    <n v="0"/>
    <n v="-0.03579454958522121"/>
    <n v="0.004994308018251736"/>
    <s v=""/>
    <s v=""/>
    <n v="0.7704458601235037"/>
    <s v=""/>
    <n v="0.05784880443037244"/>
    <n v="0.8323132511699098"/>
    <n v="0.2422247332384346"/>
    <n v="0.1633775373387822"/>
    <s v=""/>
    <s v=""/>
    <s v=""/>
    <s v=""/>
    <n v="-0.09028743765243419"/>
    <n v="0.2313239788031056"/>
    <n v="0.1140480507823864"/>
    <s v=""/>
    <s v=""/>
    <s v=""/>
    <n v="0.6488423681013054"/>
    <n v="0.6223598279368097"/>
    <n v="-0.02648254016449569"/>
    <n v="0.05450898275055016"/>
    <n v="-0.033003094006963"/>
    <n v="0.7938865871090368"/>
    <n v="0.804484845937345"/>
    <n v="0.01059825882830823"/>
    <n v="-0.01784535291030609"/>
    <n v="0.008977375398012799"/>
    <m/>
    <n v="39411535"/>
    <s v=""/>
    <s v=""/>
    <s v=""/>
  </r>
  <r>
    <x v="2"/>
    <s v="44"/>
    <x v="3"/>
    <d v="2022-11-26T00:00:00"/>
    <d v="2022-12-02T00:00:00"/>
    <n v="202244"/>
    <n v="1003259.985821852"/>
    <n v="146082.1834806905"/>
    <n v="267211.148752092"/>
    <n v="1416553.318054634"/>
    <m/>
    <m/>
    <m/>
    <n v="0"/>
    <n v="919299"/>
    <n v="267820"/>
    <n v="320272"/>
    <n v="1507391"/>
    <n v="43265034"/>
    <n v="44724380.48501042"/>
    <n v="0"/>
    <n v="-0.03262977528552979"/>
    <n v="0.01713012092298372"/>
    <s v=""/>
    <s v=""/>
    <n v="0.7982578502671387"/>
    <s v=""/>
    <n v="-0.08368816359507525"/>
    <n v="0.8333515670335057"/>
    <n v="0.1985727447964225"/>
    <n v="0.06412584742670591"/>
    <s v=""/>
    <s v=""/>
    <s v=""/>
    <s v=""/>
    <n v="-0.09009618313041801"/>
    <n v="0.2573433248095629"/>
    <n v="0.1174057075112473"/>
    <s v=""/>
    <s v=""/>
    <s v=""/>
    <n v="0.628324531450641"/>
    <n v="0.5835030479856869"/>
    <n v="-0.04482148346495418"/>
    <n v="0.05225147215474324"/>
    <n v="-0.03536677189856119"/>
    <n v="0.7786130796689386"/>
    <n v="0.7755961502887283"/>
    <n v="-0.003016929380210254"/>
    <n v="-0.01750834328462214"/>
    <n v="0.006578514442368122"/>
    <m/>
    <n v="38632190"/>
    <s v=""/>
    <s v=""/>
    <s v=""/>
  </r>
  <r>
    <x v="2"/>
    <s v="45"/>
    <x v="3"/>
    <d v="2022-12-03T00:00:00"/>
    <d v="2022-12-09T00:00:00"/>
    <n v="202245"/>
    <n v="941198.3065020505"/>
    <n v="152262.1970158267"/>
    <n v="260992.2013843094"/>
    <n v="1354452.704902187"/>
    <m/>
    <m/>
    <m/>
    <n v="0"/>
    <n v="873099"/>
    <n v="199986"/>
    <n v="325784"/>
    <n v="1398869"/>
    <n v="44663903"/>
    <n v="46078833.18991261"/>
    <n v="0"/>
    <n v="-0.03070672783924489"/>
    <n v="0.01969950743512561"/>
    <s v=""/>
    <s v=""/>
    <n v="0.8240675644290493"/>
    <s v=""/>
    <n v="-0.07235383450182842"/>
    <n v="0.3134317244825562"/>
    <n v="0.2482518568448913"/>
    <n v="0.03279279884565689"/>
    <s v=""/>
    <s v=""/>
    <s v=""/>
    <s v=""/>
    <n v="-0.0896265656993227"/>
    <n v="0.25976107632106"/>
    <n v="0.1222928485836745"/>
    <s v=""/>
    <s v=""/>
    <s v=""/>
    <n v="0.6122272238313179"/>
    <n v="0.5838771131989812"/>
    <n v="-0.02835011063233672"/>
    <n v="0.0504603258705858"/>
    <n v="-0.03419732835419043"/>
    <n v="0.7549486715087441"/>
    <n v="0.7726782266441977"/>
    <n v="0.0177295551354536"/>
    <n v="-0.01672527887528708"/>
    <n v="0.008437021224549146"/>
    <m/>
    <n v="37468944"/>
    <s v=""/>
    <s v=""/>
    <s v=""/>
  </r>
  <r>
    <x v="2"/>
    <s v="46"/>
    <x v="3"/>
    <d v="2022-12-10T00:00:00"/>
    <d v="2022-12-16T00:00:00"/>
    <n v="202246"/>
    <n v="881242.0587961866"/>
    <n v="152262.1970158267"/>
    <n v="260992.2013843094"/>
    <n v="1294496.457196323"/>
    <m/>
    <m/>
    <m/>
    <n v="0"/>
    <n v="886666"/>
    <n v="214084"/>
    <n v="305133"/>
    <n v="1405883"/>
    <n v="46069786"/>
    <n v="47373329.64710893"/>
    <n v="0"/>
    <n v="-0.02751640336069316"/>
    <n v="0.02869174631449445"/>
    <s v=""/>
    <s v=""/>
    <n v="0.8500066898046844"/>
    <s v=""/>
    <n v="0.006154882361405711"/>
    <n v="0.406022008061182"/>
    <n v="0.1691268872463112"/>
    <n v="0.08604623225074182"/>
    <s v=""/>
    <s v=""/>
    <s v=""/>
    <s v=""/>
    <n v="-0.08731025492431954"/>
    <n v="0.2658052713608698"/>
    <n v="0.123979130211793"/>
    <s v=""/>
    <s v=""/>
    <s v=""/>
    <n v="0.5873668207549502"/>
    <n v="0.5785589897289606"/>
    <n v="-0.008807831025989588"/>
    <n v="0.04917188767718206"/>
    <n v="-0.03057025730730467"/>
    <n v="0.7274979821427776"/>
    <n v="0.7533406025960462"/>
    <n v="0.02584262045326857"/>
    <n v="-0.01579988975944902"/>
    <n v="0.01092353540008062"/>
    <m/>
    <n v="37477724"/>
    <s v=""/>
    <s v=""/>
    <s v=""/>
  </r>
  <r>
    <x v="2"/>
    <s v="47"/>
    <x v="3"/>
    <d v="2022-12-17T00:00:00"/>
    <d v="2022-12-23T00:00:00"/>
    <n v="202247"/>
    <n v="832846.4687139465"/>
    <n v="152262.1970158267"/>
    <n v="260992.2013843094"/>
    <n v="1246100.867114083"/>
    <m/>
    <m/>
    <m/>
    <n v="0"/>
    <n v="1064684"/>
    <n v="289507"/>
    <n v="291985"/>
    <n v="1646176"/>
    <n v="47715962"/>
    <n v="48619430.51422302"/>
    <n v="0"/>
    <n v="-0.01858245776775846"/>
    <n v="0.06243409998988803"/>
    <s v=""/>
    <s v=""/>
    <n v="0.8803793208517641"/>
    <s v=""/>
    <n v="0.2783676703871354"/>
    <n v="0.9013714873029683"/>
    <n v="0.1187499030672334"/>
    <n v="0.321061595769911"/>
    <s v=""/>
    <s v=""/>
    <s v=""/>
    <s v=""/>
    <n v="-0.07913935775415937"/>
    <n v="0.2910275751078635"/>
    <n v="0.1237973929600542"/>
    <s v=""/>
    <s v=""/>
    <s v=""/>
    <n v="0.5606643757894618"/>
    <n v="0.5427008874302164"/>
    <n v="-0.01796348835924544"/>
    <n v="0.04774347542108781"/>
    <n v="-0.02899441118879731"/>
    <n v="0.7029282397364149"/>
    <n v="0.7279036405571548"/>
    <n v="0.0249754008207399"/>
    <n v="-0.01493233038540243"/>
    <n v="0.01268001857766299"/>
    <m/>
    <n v="39040868"/>
    <s v=""/>
    <s v=""/>
    <s v=""/>
  </r>
  <r>
    <x v="2"/>
    <s v="48"/>
    <x v="3"/>
    <d v="2022-12-24T00:00:00"/>
    <d v="2022-12-30T00:00:00"/>
    <n v="202248"/>
    <n v="808119.4089103024"/>
    <n v="152262.1970158267"/>
    <n v="260992.2013843094"/>
    <n v="1221373.807310438"/>
    <m/>
    <m/>
    <m/>
    <n v="0"/>
    <n v="892320"/>
    <n v="150959"/>
    <n v="213886"/>
    <n v="1257165"/>
    <n v="48973127"/>
    <n v="49840804.32153346"/>
    <n v="0"/>
    <n v="-0.01740897510272688"/>
    <n v="0.05906729091156171"/>
    <s v=""/>
    <s v=""/>
    <n v="0.9035745373476319"/>
    <s v=""/>
    <n v="0.1041932543152708"/>
    <n v="-0.008558900642233969"/>
    <n v="-0.1804889231726345"/>
    <n v="0.0293040447366204"/>
    <s v=""/>
    <s v=""/>
    <s v=""/>
    <s v=""/>
    <n v="-0.0752488529999662"/>
    <n v="0.2795923566306788"/>
    <n v="0.1135773739790542"/>
    <s v=""/>
    <s v=""/>
    <s v=""/>
    <n v="0.5379781606438"/>
    <n v="0.5341504612600233"/>
    <n v="-0.003827699383776695"/>
    <n v="0.04666907594598646"/>
    <n v="-0.02619810987712845"/>
    <n v="0.6848577142185118"/>
    <n v="0.7071718015534534"/>
    <n v="0.02231408733494156"/>
    <n v="-0.01415636334956194"/>
    <n v="0.01375047066180501"/>
    <m/>
    <n v="34439400"/>
    <s v=""/>
    <s v=""/>
    <s v=""/>
  </r>
  <r>
    <x v="2"/>
    <s v="49"/>
    <x v="3"/>
    <d v="2022-12-31T00:00:00"/>
    <d v="2023-01-06T00:00:00"/>
    <n v="202249"/>
    <n v="841613.232598874"/>
    <n v="106322.6512376695"/>
    <n v="152970.968221572"/>
    <n v="1100906.852058115"/>
    <m/>
    <m/>
    <m/>
    <n v="0"/>
    <n v="765482"/>
    <n v="134733"/>
    <n v="185915"/>
    <n v="1086130"/>
    <n v="50059257"/>
    <n v="50941711.17359157"/>
    <n v="0"/>
    <n v="-0.01732282157904896"/>
    <n v="0.05298438634624048"/>
    <s v=""/>
    <s v=""/>
    <n v="0.9236140870429044"/>
    <s v=""/>
    <n v="-0.09045869248488791"/>
    <n v="0.2672088066993656"/>
    <n v="0.2153613339931926"/>
    <n v="-0.01342243626741946"/>
    <s v=""/>
    <s v=""/>
    <s v=""/>
    <s v=""/>
    <n v="-0.0755777305641927"/>
    <n v="0.2792708594337261"/>
    <n v="0.1155423795301647"/>
    <s v=""/>
    <s v=""/>
    <s v=""/>
    <n v="0.5281377338301363"/>
    <n v="0.527570066145017"/>
    <n v="-0.0005676676851192886"/>
    <n v="0.04570506076984149"/>
    <n v="-0.02363506565792739"/>
    <n v="0.6749876522891171"/>
    <n v="0.7213783644723364"/>
    <n v="0.04639071218321933"/>
    <n v="-0.01292070874685214"/>
    <n v="0.01701449481394657"/>
    <m/>
    <n v="32586405"/>
    <s v=""/>
    <s v=""/>
    <s v=""/>
  </r>
  <r>
    <x v="2"/>
    <s v="50"/>
    <x v="3"/>
    <d v="2023-01-07T00:00:00"/>
    <d v="2023-01-13T00:00:00"/>
    <n v="202250"/>
    <n v="855926.0074168764"/>
    <n v="98581.94136846189"/>
    <n v="134845.9707152265"/>
    <n v="1089353.919500565"/>
    <m/>
    <m/>
    <m/>
    <n v="0"/>
    <n v="651255"/>
    <n v="123397"/>
    <n v="221652"/>
    <n v="996304"/>
    <n v="51055561"/>
    <n v="52031065.09309214"/>
    <n v="0"/>
    <n v="-0.01874849364215014"/>
    <n v="0.04237346241714546"/>
    <s v=""/>
    <s v=""/>
    <n v="0.941996309723061"/>
    <s v=""/>
    <n v="-0.2391223138955187"/>
    <n v="0.2517201252792216"/>
    <n v="0.6437421068227112"/>
    <n v="-0.08541752853216444"/>
    <s v=""/>
    <s v=""/>
    <s v=""/>
    <s v=""/>
    <n v="-0.07909675780670022"/>
    <n v="0.2786232599618785"/>
    <n v="0.1243809666705664"/>
    <s v=""/>
    <s v=""/>
    <s v=""/>
    <n v="0.5330989438704554"/>
    <n v="0.5262956993232868"/>
    <n v="-0.00680324454716863"/>
    <n v="0.04465489466350125"/>
    <n v="-0.02210490010240396"/>
    <n v="0.6734058610542041"/>
    <n v="0.7199333237504439"/>
    <n v="0.04652746269623986"/>
    <n v="-0.01173174531799037"/>
    <n v="0.01969749189415515"/>
    <m/>
    <n v="31101308"/>
    <s v=""/>
    <s v=""/>
    <s v=""/>
  </r>
  <r>
    <x v="2"/>
    <s v="51"/>
    <x v="3"/>
    <d v="2023-01-14T00:00:00"/>
    <d v="2023-01-20T00:00:00"/>
    <n v="202251"/>
    <n v="858381.2120255644"/>
    <n v="98581.94136846189"/>
    <n v="134845.9707152265"/>
    <n v="1091809.124109253"/>
    <m/>
    <m/>
    <m/>
    <n v="0"/>
    <n v="626257"/>
    <n v="114198"/>
    <n v="222209"/>
    <n v="962664"/>
    <n v="52018225"/>
    <n v="53122874.21720139"/>
    <n v="0"/>
    <n v="-0.02079422910524109"/>
    <n v="0.03090929983473223"/>
    <s v=""/>
    <s v=""/>
    <n v="0.9597578604286392"/>
    <s v=""/>
    <n v="-0.2704208908275257"/>
    <n v="0.1584068888760388"/>
    <n v="0.6478727456326485"/>
    <n v="-0.1182854413445347"/>
    <s v=""/>
    <s v=""/>
    <s v=""/>
    <s v=""/>
    <n v="-0.08313812452426339"/>
    <n v="0.2758623855267366"/>
    <n v="0.1329966046637809"/>
    <s v=""/>
    <s v=""/>
    <s v=""/>
    <n v="0.5428275458436411"/>
    <n v="0.5181321495243389"/>
    <n v="-0.02469539631930218"/>
    <n v="0.04329508503638746"/>
    <n v="-0.02232077478714545"/>
    <n v="0.6787129081374469"/>
    <n v="0.632998140169436"/>
    <n v="-0.04571476796801088"/>
    <n v="-0.01239807909544177"/>
    <n v="0.01424647023897452"/>
    <m/>
    <n v="31322146"/>
    <s v=""/>
    <s v=""/>
    <s v=""/>
  </r>
  <r>
    <x v="2"/>
    <s v="52"/>
    <x v="3"/>
    <d v="2023-01-21T00:00:00"/>
    <d v="2023-01-27T00:00:00"/>
    <n v="202252"/>
    <n v="843019.5379196543"/>
    <n v="98581.94136846189"/>
    <n v="134845.9707152265"/>
    <n v="1076447.450003343"/>
    <m/>
    <m/>
    <m/>
    <n v="0"/>
    <n v="600619"/>
    <n v="110372"/>
    <n v="220421"/>
    <n v="931412"/>
    <n v="52949637"/>
    <n v="54199321.66720473"/>
    <n v="0"/>
    <n v="-0.02305720124834876"/>
    <n v="0.02002165899582309"/>
    <s v=""/>
    <s v=""/>
    <n v="0.9769427987516512"/>
    <s v=""/>
    <n v="-0.2875384579079077"/>
    <n v="0.1195965353073272"/>
    <n v="0.6346131725766915"/>
    <n v="-0.1347352813208785"/>
    <s v=""/>
    <s v=""/>
    <s v=""/>
    <s v=""/>
    <n v="-0.08729225593543177"/>
    <n v="0.272354172368044"/>
    <n v="0.141118548885617"/>
    <s v=""/>
    <s v=""/>
    <s v=""/>
    <n v="0.5440857338208627"/>
    <n v="0.523928423184004"/>
    <n v="-0.02015731063685866"/>
    <n v="0.04207484665805583"/>
    <n v="-0.0221543544678926"/>
    <n v="0.6875756845886567"/>
    <n v="0.7227892490439918"/>
    <n v="0.03521356445533508"/>
    <n v="-0.01148247056561913"/>
    <n v="0.01585932364023301"/>
    <m/>
    <n v="30737292"/>
    <s v=""/>
    <s v=""/>
    <s v=""/>
  </r>
  <r>
    <x v="3"/>
    <s v="01"/>
    <x v="0"/>
    <d v="2023-01-28T00:00:00"/>
    <d v="2023-02-03T00:00:00"/>
    <n v="202301"/>
    <n v="707890.20088"/>
    <n v="133339.2451686134"/>
    <n v="138423.3995288417"/>
    <n v="979652.8455774551"/>
    <n v="655606"/>
    <n v="132261.7010577981"/>
    <n v="141539.7141596919"/>
    <n v="929407.4152174898"/>
    <n v="650867"/>
    <n v="115527"/>
    <n v="177771"/>
    <n v="944165"/>
    <n v="944165"/>
    <n v="979652.8455774551"/>
    <n v="929407.4152174898"/>
    <n v="-0.03622491961071872"/>
    <n v="-0.03622491961071872"/>
    <n v="0.01587848831511285"/>
    <n v="0.01587848831511285"/>
    <n v="0.01879716570234159"/>
    <n v="0.01700928773675423"/>
    <n v="-0.08055373673644972"/>
    <n v="-0.1335859157301289"/>
    <n v="0.2842554120552421"/>
    <n v="-0.03622491961071872"/>
    <n v="-0.007228426829528733"/>
    <n v="-0.1265271875679644"/>
    <n v="0.25597964539783"/>
    <n v="0.01587848831511285"/>
    <n v="-0.08055373673644972"/>
    <n v="-0.1335859157301289"/>
    <n v="0.2842554120552421"/>
    <n v="-0.007228426829528733"/>
    <n v="-0.1265271875679644"/>
    <n v="0.25597964539783"/>
    <n v="0.5330137745859923"/>
    <n v="0.5182159134025722"/>
    <n v="-0.01479786118342008"/>
    <n v="-0.01479786118342008"/>
    <n v="-0.01479786118342008"/>
    <n v="0.6842583341336221"/>
    <n v="0.7213856913869833"/>
    <n v="0.03712735725336114"/>
    <n v="0.03712735725336114"/>
    <n v="0.03712735725336114"/>
    <n v="28871626.42"/>
    <n v="31008980"/>
    <n v="0.07402955236769793"/>
    <n v="0.07402955236769793"/>
    <n v="0.07402955236769793"/>
  </r>
  <r>
    <x v="3"/>
    <s v="02"/>
    <x v="0"/>
    <d v="2023-02-04T00:00:00"/>
    <d v="2023-02-10T00:00:00"/>
    <n v="202302"/>
    <n v="689291.73879"/>
    <n v="107244.0192979167"/>
    <n v="128569.7142857143"/>
    <n v="925105.472373631"/>
    <n v="723311"/>
    <n v="117253.75"/>
    <n v="148897.75"/>
    <n v="989462.5"/>
    <n v="724470"/>
    <n v="120774"/>
    <n v="94501"/>
    <n v="939745"/>
    <n v="1883910"/>
    <n v="1904758.317951086"/>
    <n v="1918869.91521749"/>
    <n v="-0.01094538753531327"/>
    <n v="-0.01094538753531327"/>
    <n v="-0.01821901262834036"/>
    <n v="-0.01821901262834036"/>
    <n v="0.03750633463250422"/>
    <n v="0.0339389484466684"/>
    <n v="0.05103537331196351"/>
    <n v="0.1261607014606374"/>
    <n v="-0.2649824219878488"/>
    <n v="0.01582471195290513"/>
    <n v="0.00160235362105654"/>
    <n v="0.03002249395008683"/>
    <n v="-0.3653295634084464"/>
    <n v="-0.05024697752567686"/>
    <n v="-0.01563500003096197"/>
    <n v="-0.01779951101763289"/>
    <n v="0.01977161923775506"/>
    <n v="-0.002596240382851223"/>
    <n v="-0.0529604519550857"/>
    <n v="-0.06254518235878781"/>
    <n v="0.5320816250713708"/>
    <n v="0.5145928875002099"/>
    <n v="-0.01748873757116087"/>
    <n v="-0.01614329937729053"/>
    <n v="-0.01614329937729053"/>
    <n v="0.6877022183388273"/>
    <n v="0.7077494385013485"/>
    <n v="0.02004722016252125"/>
    <n v="0.02858728870794114"/>
    <n v="0.02858728870794114"/>
    <n v="28914303.39"/>
    <n v="31469112"/>
    <n v="0.08835795127208845"/>
    <n v="0.08119904283668733"/>
    <n v="0.08119904283668733"/>
  </r>
  <r>
    <x v="3"/>
    <s v="03"/>
    <x v="0"/>
    <d v="2023-02-11T00:00:00"/>
    <d v="2023-02-17T00:00:00"/>
    <n v="202303"/>
    <n v="675918.86119"/>
    <n v="107244.0192979167"/>
    <n v="128569.7142857143"/>
    <n v="911732.594773631"/>
    <n v="694727"/>
    <n v="117253.75"/>
    <n v="148897.75"/>
    <n v="960878.5"/>
    <n v="698694"/>
    <n v="111617"/>
    <n v="137724"/>
    <n v="948035"/>
    <n v="2831945"/>
    <n v="2816490.912724717"/>
    <n v="2879748.41521749"/>
    <n v="0.005487000581277268"/>
    <n v="0.005487000581277268"/>
    <n v="-0.01659985815597009"/>
    <n v="-0.01659985815597009"/>
    <n v="0.05638054728243237"/>
    <n v="0.0510179548698188"/>
    <n v="0.03369507808955485"/>
    <n v="0.04077598667703275"/>
    <n v="0.07120094934599108"/>
    <n v="0.03981694351443288"/>
    <n v="0.005710156651461684"/>
    <n v="-0.04807308934682264"/>
    <n v="-0.07504310844186701"/>
    <n v="-0.0133664141720311"/>
    <n v="0.0004486994262962174"/>
    <n v="0.0002608082798203348"/>
    <n v="0.03648768507659428"/>
    <n v="0.0001866279843598662"/>
    <n v="-0.05139799362495368"/>
    <n v="-0.06678092994618789"/>
    <n v="0.534145932719421"/>
    <n v="0.5699056001275524"/>
    <n v="0.03575966740813141"/>
    <n v="0.001157689551183561"/>
    <n v="0.001157689551183561"/>
    <n v="0.6923181732074548"/>
    <n v="0.751379537345255"/>
    <n v="0.05906136413780017"/>
    <n v="0.03874531385122737"/>
    <n v="0.03874531385122737"/>
    <n v="29283435.72"/>
    <n v="30327203"/>
    <n v="0.03564360719077531"/>
    <n v="0.06587769917794639"/>
    <n v="0.06587769917794639"/>
  </r>
  <r>
    <x v="3"/>
    <s v="04"/>
    <x v="0"/>
    <d v="2023-02-18T00:00:00"/>
    <d v="2023-02-24T00:00:00"/>
    <n v="202304"/>
    <n v="667450.23736"/>
    <n v="107244.0192979167"/>
    <n v="128569.7142857143"/>
    <n v="903263.970943631"/>
    <n v="714805"/>
    <n v="117253.75"/>
    <n v="148897.75"/>
    <n v="980956.5"/>
    <n v="714316"/>
    <n v="117781"/>
    <n v="193827"/>
    <n v="1025924"/>
    <n v="3857869"/>
    <n v="3719754.883668348"/>
    <n v="3860704.91521749"/>
    <n v="0.03712989717092507"/>
    <n v="0.03712989717092507"/>
    <n v="-0.0007345589159927224"/>
    <n v="-0.0007345589159927224"/>
    <n v="0.0768054342735929"/>
    <n v="0.06950014443630544"/>
    <n v="0.07021611502509995"/>
    <n v="0.09825238527112901"/>
    <n v="0.5075634341791222"/>
    <n v="0.1357964371458624"/>
    <n v="-0.0006841026573680686"/>
    <n v="0.004496657889406563"/>
    <n v="0.3017456610324871"/>
    <n v="0.04584046285436716"/>
    <n v="0.0174402742782136"/>
    <n v="0.02335391589431879"/>
    <n v="0.1520425678040218"/>
    <n v="-3.657947482638146e-05"/>
    <n v="-0.03785760782159675"/>
    <n v="0.02650316590566981"/>
    <n v="0.5387921854567238"/>
    <n v="0.5769123669541358"/>
    <n v="0.03812018149741203"/>
    <n v="0.01039831253774071"/>
    <n v="0.01039831253774071"/>
    <n v="0.6972693836180359"/>
    <n v="0.7599822661197126"/>
    <n v="0.06271288250167673"/>
    <n v="0.04473720601383968"/>
    <n v="0.04473720601383968"/>
    <n v="29831986.78"/>
    <n v="31066342"/>
    <n v="0.04137690288960361"/>
    <n v="0.05962535550073134"/>
    <n v="0.05962535550073134"/>
  </r>
  <r>
    <x v="3"/>
    <s v="05"/>
    <x v="0"/>
    <d v="2023-02-25T00:00:00"/>
    <d v="2023-03-03T00:00:00"/>
    <n v="202305"/>
    <n v="662997.2735300001"/>
    <n v="102789.5366899245"/>
    <n v="138629.3218516687"/>
    <n v="904416.1320715933"/>
    <n v="743892"/>
    <n v="114832.2142898931"/>
    <n v="156231.7457392163"/>
    <n v="1014955.960029109"/>
    <n v="742260"/>
    <n v="116699"/>
    <n v="193534"/>
    <n v="1052493"/>
    <n v="4910362"/>
    <n v="4624171.015739942"/>
    <n v="4875660.875246599"/>
    <n v="0.06189022492591856"/>
    <n v="0.06189022492591856"/>
    <n v="0.007117214597425425"/>
    <n v="0.007117214597425425"/>
    <n v="0.09775927742765454"/>
    <n v="0.08846097890689021"/>
    <n v="0.1195521152718788"/>
    <n v="0.1353198366097794"/>
    <n v="0.3960538608641431"/>
    <n v="0.1637264779756107"/>
    <n v="-0.002193866851639803"/>
    <n v="0.01625663775318453"/>
    <n v="0.2387623212189476"/>
    <n v="0.03698391008986635"/>
    <n v="0.03733124275373356"/>
    <n v="0.04398437477455386"/>
    <n v="0.2030821974302426"/>
    <n v="-0.0004908925837001643"/>
    <n v="-0.02748104433254117"/>
    <n v="0.07104741084137367"/>
    <n v="0.5453115705781311"/>
    <n v="0.5555405913541154"/>
    <n v="0.01022902077598431"/>
    <n v="0.01036445418538945"/>
    <n v="0.01036445418538945"/>
    <n v="0.7017549121893064"/>
    <n v="0.7540459800827676"/>
    <n v="0.05229106789346116"/>
    <n v="0.04624797838976391"/>
    <n v="0.04624797838976391"/>
    <n v="30397269.02"/>
    <n v="31135929"/>
    <n v="0.02430020866394278"/>
    <n v="0.05233548420476564"/>
    <n v="0.05233548420476564"/>
  </r>
  <r>
    <x v="3"/>
    <s v="06"/>
    <x v="0"/>
    <d v="2023-03-04T00:00:00"/>
    <d v="2023-03-10T00:00:00"/>
    <n v="202306"/>
    <n v="661270.49657"/>
    <n v="96865.56581747311"/>
    <n v="152119.8903225807"/>
    <n v="910255.9527100538"/>
    <n v="736491"/>
    <n v="111611.8387096774"/>
    <n v="166067.0967741935"/>
    <n v="1014169.935483871"/>
    <n v="736865"/>
    <n v="113408"/>
    <n v="157318"/>
    <n v="1007591"/>
    <n v="5917953"/>
    <n v="5534426.968449996"/>
    <n v="5889830.81073047"/>
    <n v="0.06929823696949367"/>
    <n v="0.06929823696949367"/>
    <n v="0.004774702393538277"/>
    <n v="0.004774702393538277"/>
    <n v="0.1178191769019923"/>
    <n v="0.106612896463635"/>
    <n v="0.1143170666498923"/>
    <n v="0.170777242076904"/>
    <n v="0.03417113742585776"/>
    <n v="0.1069315141528666"/>
    <n v="0.0005078134016573976"/>
    <n v="0.01609292805393814"/>
    <n v="-0.05268410747307728"/>
    <n v="-0.006487014901237598"/>
    <n v="0.04985540591998894"/>
    <n v="0.06274314596261044"/>
    <n v="0.1715503441541748"/>
    <n v="-0.0003185883164293912"/>
    <n v="-0.02063572829370242"/>
    <n v="0.04848067140914991"/>
    <n v="0.5528009513392101"/>
    <n v="0.5578618954152812"/>
    <n v="0.00506094407607105"/>
    <n v="0.009480535833836456"/>
    <n v="0.009480535833836456"/>
    <n v="0.705111757410957"/>
    <n v="0.7612832982858109"/>
    <n v="0.05617154087485388"/>
    <n v="0.04790190547061224"/>
    <n v="0.04790190547061224"/>
    <n v="30834646.56"/>
    <n v="30178740"/>
    <n v="-0.02127173920167025"/>
    <n v="0.03959416561287887"/>
    <n v="0.03959416561287887"/>
  </r>
  <r>
    <x v="3"/>
    <s v="07"/>
    <x v="0"/>
    <d v="2023-03-11T00:00:00"/>
    <d v="2023-03-17T00:00:00"/>
    <n v="202307"/>
    <n v="660788.8099699999"/>
    <n v="96865.56581747311"/>
    <n v="152119.8903225807"/>
    <n v="909774.2661100538"/>
    <n v="711015"/>
    <n v="111611.8387096774"/>
    <n v="166067.0967741935"/>
    <n v="988693.935483871"/>
    <n v="714673"/>
    <n v="112943"/>
    <n v="163584"/>
    <n v="991200"/>
    <n v="6909153"/>
    <n v="6444201.23456005"/>
    <n v="6878524.746214341"/>
    <n v="0.07215041065856664"/>
    <n v="0.07215041065856664"/>
    <n v="0.004452735857716439"/>
    <n v="0.004452735857716439"/>
    <n v="0.1375527516947043"/>
    <n v="0.1244695274599871"/>
    <n v="0.08154525200335394"/>
    <n v="0.1659767745828493"/>
    <n v="0.07536233199425046"/>
    <n v="0.08950103000615806"/>
    <n v="0.005144757846177628"/>
    <n v="0.01192670334717061"/>
    <n v="-0.01495237059253152"/>
    <n v="0.002534722249411203"/>
    <n v="0.05428664468820821"/>
    <n v="0.07604794993654518"/>
    <n v="0.1564189222610013"/>
    <n v="0.0004614599605168301"/>
    <n v="-0.0162147984762373"/>
    <n v="0.03869602357879809"/>
    <n v="0.5602839094378647"/>
    <n v="0.5287912755432027"/>
    <n v="-0.03149263389466195"/>
    <n v="0.003627225872622319"/>
    <n v="0.003627225872622319"/>
    <n v="0.7068945633082809"/>
    <n v="0.7477574127729124"/>
    <n v="0.04086284946463148"/>
    <n v="0.04689632604118654"/>
    <n v="0.04689632604118654"/>
    <n v="31045301.4"/>
    <n v="30225835"/>
    <n v="-0.02639582684161024"/>
    <n v="0.02980024068028642"/>
    <n v="0.02980024068028642"/>
  </r>
  <r>
    <x v="3"/>
    <s v="08"/>
    <x v="0"/>
    <d v="2023-03-18T00:00:00"/>
    <d v="2023-03-24T00:00:00"/>
    <n v="202308"/>
    <n v="660102.95841"/>
    <n v="96865.56581747311"/>
    <n v="152119.8903225807"/>
    <n v="909088.4145500538"/>
    <n v="682922"/>
    <n v="111611.8387096774"/>
    <n v="166067.0967741935"/>
    <n v="960600.935483871"/>
    <n v="682761"/>
    <n v="111525"/>
    <n v="161520"/>
    <n v="955806"/>
    <n v="7864959"/>
    <n v="7353289.649110104"/>
    <n v="7839125.681698212"/>
    <n v="0.06958373398929263"/>
    <n v="0.06958373398929263"/>
    <n v="0.003295433617310106"/>
    <n v="0.003295433617310106"/>
    <n v="0.1565816754117371"/>
    <n v="0.1416885297260276"/>
    <n v="0.03432501142636424"/>
    <n v="0.1513379296224846"/>
    <n v="0.06179408660817276"/>
    <n v="0.05138948500742768"/>
    <n v="-0.0002357516671011028"/>
    <n v="-0.0007780421027137052"/>
    <n v="-0.02738108187906951"/>
    <n v="-0.004991599848334194"/>
    <n v="0.05184003472222831"/>
    <n v="0.08464355568328874"/>
    <n v="0.143556762818543"/>
    <n v="0.0003773772159874067"/>
    <n v="-0.01436951416876486"/>
    <n v="0.02986562742675525"/>
    <n v="0.5668370081570673"/>
    <n v="0.5425029456406253"/>
    <n v="-0.02433406251644199"/>
    <n v="0.0001320648239893085"/>
    <n v="0.0001320648239893085"/>
    <n v="0.7069231854987617"/>
    <n v="0.7433185224345722"/>
    <n v="0.03639533693581054"/>
    <n v="0.04558370240301446"/>
    <n v="0.04558370240301446"/>
    <n v="30992593.99"/>
    <n v="29310952"/>
    <n v="-0.05425947858841995"/>
    <n v="0.01895285702844007"/>
    <n v="0.01895285702844007"/>
  </r>
  <r>
    <x v="3"/>
    <s v="09"/>
    <x v="0"/>
    <d v="2023-03-25T00:00:00"/>
    <d v="2023-03-31T00:00:00"/>
    <n v="202309"/>
    <n v="658003.37185"/>
    <n v="96865.56581747311"/>
    <n v="152119.8903225807"/>
    <n v="906988.8279900538"/>
    <n v="677098"/>
    <n v="111611.8387096774"/>
    <n v="166067.0967741935"/>
    <n v="954776.935483871"/>
    <n v="678505"/>
    <n v="109104"/>
    <n v="174365"/>
    <n v="961974"/>
    <n v="8826933"/>
    <n v="8260278.477100158"/>
    <n v="8793902.617182083"/>
    <n v="0.06859992970827422"/>
    <n v="0.06859992970827422"/>
    <n v="0.003756055104974676"/>
    <n v="0.003756055104974676"/>
    <n v="0.1757333964343808"/>
    <n v="0.1590186495263553"/>
    <n v="0.03115732992729048"/>
    <n v="0.1263445278953736"/>
    <n v="0.1462340633446884"/>
    <n v="0.06062386912945428"/>
    <n v="0.002077985756862466"/>
    <n v="-0.02246928944698035"/>
    <n v="0.04996717222731584"/>
    <n v="0.007537953891273652"/>
    <n v="0.04958822571705324"/>
    <n v="0.0889165796425555"/>
    <n v="0.143877135215335"/>
    <n v="0.000559002262981334"/>
    <n v="-0.01523436505592779"/>
    <n v="0.03223527799635195"/>
    <n v="0.5717050196811142"/>
    <n v="0.542100102930601"/>
    <n v="-0.02960491675051324"/>
    <n v="-0.003172044239844407"/>
    <n v="-0.003172044239844407"/>
    <n v="0.7052927000230851"/>
    <n v="0.7346978153006497"/>
    <n v="0.02940511527756462"/>
    <n v="0.04378608161129782"/>
    <n v="0.04378608161129782"/>
    <n v="30704194.13"/>
    <n v="31213112"/>
    <n v="0.01657486491406579"/>
    <n v="0.01868330747540026"/>
    <n v="0.01868330747540026"/>
  </r>
  <r>
    <x v="3"/>
    <s v="10"/>
    <x v="0"/>
    <d v="2023-04-01T00:00:00"/>
    <d v="2023-04-07T00:00:00"/>
    <n v="202310"/>
    <n v="653685.2881100001"/>
    <n v="100094.4180113889"/>
    <n v="161507.22"/>
    <n v="915286.9261213889"/>
    <n v="694723"/>
    <n v="108219.5333333333"/>
    <n v="215960.5"/>
    <n v="1018903.033333333"/>
    <n v="694276"/>
    <n v="118369"/>
    <n v="210578"/>
    <n v="1023223"/>
    <n v="9850156"/>
    <n v="9175565.403221548"/>
    <n v="9812805.650515417"/>
    <n v="0.07352033004326941"/>
    <n v="0.07352033004326941"/>
    <n v="0.003806286480627641"/>
    <n v="0.003806286480627641"/>
    <n v="0.1961045098324067"/>
    <n v="0.1774521801336802"/>
    <n v="0.06209518957870364"/>
    <n v="0.1825734376769321"/>
    <n v="0.3038302560096076"/>
    <n v="0.1179259430001911"/>
    <n v="-0.0006434219106031813"/>
    <n v="0.09378590309944057"/>
    <n v="-0.02492353925833657"/>
    <n v="0.004239821185470394"/>
    <n v="0.05080894110020262"/>
    <n v="0.0978838377084601"/>
    <n v="0.1619079209714001"/>
    <n v="0.0004402530922200665"/>
    <n v="-0.005006452630977321"/>
    <n v="0.02463750892989092"/>
    <n v="0.5743905441079785"/>
    <n v="0.5384437591146862"/>
    <n v="-0.03594678499329229"/>
    <n v="-0.006449518315189029"/>
    <n v="-0.006449518315189029"/>
    <n v="0.7023454775263981"/>
    <n v="0.7302726133046825"/>
    <n v="0.02792713577828443"/>
    <n v="0.04220018702799644"/>
    <n v="0.04220018702799644"/>
    <n v="30260328.02"/>
    <n v="31960755"/>
    <n v="0.0561932765195452"/>
    <n v="0.02245258498787805"/>
    <n v="0.02245258498787805"/>
  </r>
  <r>
    <x v="3"/>
    <s v="11"/>
    <x v="0"/>
    <d v="2023-04-08T00:00:00"/>
    <d v="2023-04-14T00:00:00"/>
    <n v="202311"/>
    <n v="646850.27183"/>
    <n v="100094.4180113889"/>
    <n v="161507.22"/>
    <n v="908451.9098413888"/>
    <n v="733513"/>
    <n v="108219.5333333333"/>
    <n v="215960.5"/>
    <n v="1057693.033333333"/>
    <n v="733608"/>
    <n v="106862"/>
    <n v="211495"/>
    <n v="1051965"/>
    <n v="10902121"/>
    <n v="10084017.31306294"/>
    <n v="10870498.68384875"/>
    <n v="0.08112874676219417"/>
    <n v="0.08112874676219417"/>
    <n v="0.002909003263873666"/>
    <n v="0.002909003263873666"/>
    <n v="0.2170478411548596"/>
    <n v="0.1964035025974388"/>
    <n v="0.1341233542726268"/>
    <n v="0.06761198199724849"/>
    <n v="0.3095080207559762"/>
    <n v="0.1579754399808218"/>
    <n v="0.0001295137236831945"/>
    <n v="-0.01254425417962124"/>
    <n v="-0.0206773923935164"/>
    <n v="-0.00541559143609105"/>
    <n v="0.05814692039211522"/>
    <n v="0.09523869392928264"/>
    <n v="0.1768606536558959"/>
    <n v="0.0004109111323575831"/>
    <n v="-0.005652969615479564"/>
    <n v="0.01932079637470374"/>
    <n v="0.574706994350729"/>
    <n v="0.5206182756906698"/>
    <n v="-0.05408871866005927"/>
    <n v="-0.01078035471017724"/>
    <n v="-0.01078035471017724"/>
    <n v="0.6986099753154242"/>
    <n v="0.7180025090786279"/>
    <n v="0.01939253376320371"/>
    <n v="0.04012676400392445"/>
    <n v="0.04012676400392445"/>
    <n v="29771474.37"/>
    <n v="31311036"/>
    <n v="0.05171264314512336"/>
    <n v="0.02508509095124145"/>
    <n v="0.02508509095124145"/>
  </r>
  <r>
    <x v="3"/>
    <s v="12"/>
    <x v="0"/>
    <d v="2023-04-15T00:00:00"/>
    <d v="2023-04-21T00:00:00"/>
    <n v="202312"/>
    <n v="637732.11268"/>
    <n v="100094.4180113889"/>
    <n v="161507.22"/>
    <n v="899333.7506913889"/>
    <n v="717589"/>
    <n v="108219.5333333333"/>
    <n v="215960.5"/>
    <n v="1041769.033333333"/>
    <n v="719324"/>
    <n v="103386"/>
    <n v="212659"/>
    <n v="1035369"/>
    <n v="11937490"/>
    <n v="10983351.06375433"/>
    <n v="11912267.71718208"/>
    <n v="0.08687138658386195"/>
    <n v="0.08687138658386195"/>
    <n v="0.002117336800744996"/>
    <n v="0.002117336800744996"/>
    <n v="0.2376607664974297"/>
    <n v="0.2150558453920939"/>
    <n v="0.1279406912365113"/>
    <n v="0.032884770739529"/>
    <n v="0.3167151288964047"/>
    <n v="0.1512622529778629"/>
    <n v="0.002417818556304407"/>
    <n v="-0.04466414873962976"/>
    <n v="-0.01528751785627469"/>
    <n v="-0.006143428273016727"/>
    <n v="0.06372319593933673"/>
    <n v="0.09022805825208935"/>
    <n v="0.1897254346088804"/>
    <n v="0.0005806244204951128"/>
    <n v="-0.008734642180774022"/>
    <n v="0.01568665468554276"/>
    <n v="0.5727888584753055"/>
    <n v="0.5224539354028098"/>
    <n v="-0.05033492307249565"/>
    <n v="-0.01407656874037044"/>
    <n v="-0.01407656874037044"/>
    <n v="0.6947152666199176"/>
    <n v="0.7204224639120702"/>
    <n v="0.02570719729215265"/>
    <n v="0.03892513344461024"/>
    <n v="0.03892513344461024"/>
    <n v="29350993.82"/>
    <n v="30942509"/>
    <n v="0.05422355337472529"/>
    <n v="0.02745906312070456"/>
    <n v="0.02745906312070456"/>
  </r>
  <r>
    <x v="3"/>
    <s v="13"/>
    <x v="0"/>
    <d v="2023-04-22T00:00:00"/>
    <d v="2023-04-28T00:00:00"/>
    <n v="202313"/>
    <n v="627045.4075900001"/>
    <n v="100094.4180113889"/>
    <n v="161507.22"/>
    <n v="888647.0456013889"/>
    <n v="765878"/>
    <n v="108219.5333333333"/>
    <n v="215960.5"/>
    <n v="1090058.033333333"/>
    <n v="765631"/>
    <n v="101664"/>
    <n v="221982"/>
    <n v="1089277"/>
    <n v="13026767"/>
    <n v="11871998.10935571"/>
    <n v="13002325.75051542"/>
    <n v="0.09726828458086367"/>
    <n v="0.09726828458086367"/>
    <n v="0.001879759817863036"/>
    <n v="0.001879759817863036"/>
    <n v="0.2593469339202313"/>
    <n v="0.2346793496715667"/>
    <n v="0.2210136470700628"/>
    <n v="0.01568101418435242"/>
    <n v="0.3744401024300956"/>
    <n v="0.2257701248112916"/>
    <n v="-0.0003225056732273357"/>
    <n v="-0.06057624840370768"/>
    <n v="0.02788241368213162"/>
    <n v="-0.0007165061945783036"/>
    <n v="0.07517957245085127"/>
    <n v="0.08468318295092581"/>
    <n v="0.2052854484509623"/>
    <n v="0.0005058600864502605"/>
    <n v="-0.01253003377877493"/>
    <n v="0.01684560525851353"/>
    <n v="0.5690588294637211"/>
    <n v="0.5234322674474233"/>
    <n v="-0.04562656201629778"/>
    <n v="-0.01650349130005713"/>
    <n v="-0.01650349130005713"/>
    <n v="0.6912934623859561"/>
    <n v="0.7209292131346376"/>
    <n v="0.02963575074868152"/>
    <n v="0.0382105655449233"/>
    <n v="0.0382105655449233"/>
    <n v="29089037.11"/>
    <n v="31245722"/>
    <n v="0.07414081400647632"/>
    <n v="0.03094676565511834"/>
    <n v="0.03094676565511834"/>
  </r>
  <r>
    <x v="3"/>
    <s v="14"/>
    <x v="1"/>
    <d v="2023-04-29T00:00:00"/>
    <d v="2023-05-05T00:00:00"/>
    <n v="202314"/>
    <n v="615865.54949"/>
    <n v="97793.83828955999"/>
    <n v="157381.0386215033"/>
    <n v="871040.4264010632"/>
    <n v="681284"/>
    <n v="108470.5303885676"/>
    <n v="168156.5301097121"/>
    <n v="957911.0604982798"/>
    <n v="680547"/>
    <n v="110184"/>
    <n v="155451"/>
    <n v="946182"/>
    <n v="13972949"/>
    <n v="12743038.53575678"/>
    <n v="13960236.8110137"/>
    <n v="0.09651626343215636"/>
    <n v="0.08626645942187139"/>
    <n v="0.0009105998099026014"/>
    <n v="-0.01224441493783213"/>
    <n v="0.2781842556156691"/>
    <n v="0.2517249739950033"/>
    <n v="0.1050252779418541"/>
    <n v="0.1266967523429614"/>
    <n v="-0.01226347620023649"/>
    <n v="0.08626645942187139"/>
    <n v="-0.00108178087258759"/>
    <n v="0.01579663716305602"/>
    <n v="-0.07555775622524141"/>
    <n v="-0.01224441493783213"/>
    <n v="0.07717210967079358"/>
    <n v="0.08752951723792113"/>
    <n v="0.188782398042445"/>
    <n v="0.0003969654643065645"/>
    <n v="-0.01059349659129161"/>
    <n v="0.01047938766005974"/>
    <n v="0.5641570692698373"/>
    <n v="0.5209792817899124"/>
    <n v="-0.04317778747992496"/>
    <n v="-0.0184087981700477"/>
    <n v="-0.04317778747992496"/>
    <n v="0.6888836812178036"/>
    <n v="0.7204053135737722"/>
    <n v="0.03152163235596861"/>
    <n v="0.03773278460285512"/>
    <n v="0.03152163235596861"/>
    <n v="29033494.51"/>
    <n v="31121509"/>
    <n v="0.07191743623148161"/>
    <n v="0.03378992209425347"/>
    <n v="0.07191743623148161"/>
  </r>
  <r>
    <x v="3"/>
    <s v="15"/>
    <x v="1"/>
    <d v="2023-05-06T00:00:00"/>
    <d v="2023-05-12T00:00:00"/>
    <n v="202315"/>
    <n v="605457.9863600001"/>
    <n v="96865.56581747311"/>
    <n v="155710.0838709677"/>
    <n v="858033.6360484409"/>
    <n v="666634"/>
    <n v="108571.8064516129"/>
    <n v="148797.6451612903"/>
    <n v="924003.4516129032"/>
    <n v="663216"/>
    <n v="108238"/>
    <n v="145413"/>
    <n v="916867"/>
    <n v="14889816"/>
    <n v="13601072.17180522"/>
    <n v="14884240.2626266"/>
    <n v="0.09475310563135775"/>
    <n v="0.07748363153438276"/>
    <n v="0.0003746067837537836"/>
    <n v="-0.01002463820209287"/>
    <n v="0.2964379516603317"/>
    <n v="0.2682424837727801"/>
    <n v="0.09539557647466146"/>
    <n v="0.1174043024118223"/>
    <n v="-0.06612984602526184"/>
    <n v="0.06856766620771215"/>
    <n v="-0.005127251235310548"/>
    <n v="-0.003074522406161462"/>
    <n v="-0.02274663122270171"/>
    <n v="-0.007723403630631509"/>
    <n v="0.07829450540256833"/>
    <n v="0.08940819341292849"/>
    <n v="0.1709859967933667"/>
    <n v="4.953069431268275e-05"/>
    <n v="-0.01011193834521729"/>
    <n v="0.008570178360598257"/>
    <n v="0.5588428100691546"/>
    <n v="0.5272606368041624"/>
    <n v="-0.03158217326499224"/>
    <n v="-0.0192870231763772"/>
    <n v="-0.0373799803724586"/>
    <n v="0.6878508977810432"/>
    <n v="0.719299890864339"/>
    <n v="0.03144899308329574"/>
    <n v="0.03731386516821777"/>
    <n v="0.03148531271963217"/>
    <n v="29181893.61"/>
    <n v="31061103"/>
    <n v="0.06439641700825183"/>
    <n v="0.0357855211915914"/>
    <n v="0.0681473405592059"/>
  </r>
  <r>
    <x v="3"/>
    <s v="16"/>
    <x v="1"/>
    <d v="2023-05-13T00:00:00"/>
    <d v="2023-05-19T00:00:00"/>
    <n v="202316"/>
    <n v="597081.29119"/>
    <n v="96865.56581747311"/>
    <n v="155710.0838709677"/>
    <n v="849656.9408784409"/>
    <n v="672337"/>
    <n v="108571.8064516129"/>
    <n v="148797.6451612903"/>
    <n v="929706.4516129032"/>
    <n v="672621"/>
    <n v="107179"/>
    <n v="150810"/>
    <n v="930610"/>
    <n v="15820426"/>
    <n v="14450729.11268366"/>
    <n v="15813946.7142395"/>
    <n v="0.09478392935302704"/>
    <n v="0.08334641976797208"/>
    <n v="0.0004097197162467037"/>
    <n v="-0.006388472683848123"/>
    <n v="0.3149652539584004"/>
    <n v="0.2850075759555034"/>
    <n v="0.1265149485080117"/>
    <n v="0.106471624828588"/>
    <n v="-0.03146927770604924"/>
    <n v="0.09527734692293999"/>
    <n v="0.000422407215429077"/>
    <n v="-0.01282843582632698"/>
    <n v="0.01352410407119264"/>
    <n v="0.0009718641680169782"/>
    <n v="0.08105563823271367"/>
    <n v="0.09041774200078878"/>
    <n v="0.1577741849866723"/>
    <n v="7.177187367624072e-05"/>
    <n v="-0.01027544643342471"/>
    <n v="0.00883936918487449"/>
    <n v="0.5538820506947731"/>
    <n v="0.5218934501639022"/>
    <n v="-0.03198860053087094"/>
    <n v="-0.02008087176103301"/>
    <n v="-0.03558285375859604"/>
    <n v="0.6883308985113132"/>
    <n v="0.725262909361522"/>
    <n v="0.03693201085020881"/>
    <n v="0.0372899992733422"/>
    <n v="0.03330087876315779"/>
    <n v="29485481.21"/>
    <n v="31336641"/>
    <n v="0.06278207829866367"/>
    <n v="0.03745412975320095"/>
    <n v="0.06634351192240318"/>
  </r>
  <r>
    <x v="3"/>
    <s v="17"/>
    <x v="1"/>
    <d v="2023-05-20T00:00:00"/>
    <d v="2023-05-26T00:00:00"/>
    <n v="202317"/>
    <n v="591791.92781"/>
    <n v="96865.56581747311"/>
    <n v="155710.0838709677"/>
    <n v="844367.5774984409"/>
    <n v="675072"/>
    <n v="108571.8064516129"/>
    <n v="148797.6451612903"/>
    <n v="932441.4516129032"/>
    <n v="674962"/>
    <n v="110334"/>
    <n v="160494"/>
    <n v="945790"/>
    <n v="16766216"/>
    <n v="15295096.6901821"/>
    <n v="16746388.16585241"/>
    <n v="0.09618241320188625"/>
    <n v="0.09241639167085935"/>
    <n v="0.001184006601974374"/>
    <n v="-0.001232195093247124"/>
    <n v="0.3337947714152196"/>
    <n v="0.3020461383344782"/>
    <n v="0.1405393826471768"/>
    <n v="0.1390425386860992"/>
    <n v="0.03072322620413326"/>
    <n v="0.1201164341269918"/>
    <n v="-0.0001629455821008374"/>
    <n v="0.01623067356047403"/>
    <n v="0.07860577918441747"/>
    <n v="0.01431569603003702"/>
    <n v="0.08425023709663293"/>
    <n v="0.0931339014177246"/>
    <n v="0.1499910160940743"/>
    <n v="5.850891658321089e-05"/>
    <n v="-0.008770600383064764"/>
    <n v="0.01243501505821332"/>
    <n v="0.5499368222789197"/>
    <n v="0.5225451959075526"/>
    <n v="-0.02739162637136716"/>
    <n v="-0.0205109161498761"/>
    <n v="-0.03353504691178888"/>
    <n v="0.6902089777710735"/>
    <n v="0.7316149122209555"/>
    <n v="0.04140593444988205"/>
    <n v="0.03753211310725635"/>
    <n v="0.03532714268483883"/>
    <n v="29863869.04"/>
    <n v="31922565"/>
    <n v="0.06893600950508327"/>
    <n v="0.03930883207932778"/>
    <n v="0.06700205979457241"/>
  </r>
  <r>
    <x v="3"/>
    <s v="18"/>
    <x v="1"/>
    <d v="2023-05-27T00:00:00"/>
    <d v="2023-06-02T00:00:00"/>
    <n v="202318"/>
    <n v="590278.19369"/>
    <n v="97791.12171528062"/>
    <n v="158377.0763676766"/>
    <n v="846446.3917729572"/>
    <n v="716566"/>
    <n v="108397.522045691"/>
    <n v="157091.9659984642"/>
    <n v="982055.4880441552"/>
    <n v="713824"/>
    <n v="112428"/>
    <n v="168049"/>
    <n v="994301"/>
    <n v="17760517"/>
    <n v="16141543.08195506"/>
    <n v="17728443.65389656"/>
    <n v="0.1002985842075299"/>
    <n v="0.1087247072884312"/>
    <n v="0.001809146179416077"/>
    <n v="0.001614876474705706"/>
    <n v="0.3535900833098608"/>
    <n v="0.3199586343557695"/>
    <n v="0.2093009832155233"/>
    <n v="0.1496749196449012"/>
    <n v="0.06106896183554844"/>
    <n v="0.1746768722320953"/>
    <n v="-0.003826584013196244"/>
    <n v="0.03718238090913228"/>
    <n v="0.06974916846888868"/>
    <n v="0.01246926686416949"/>
    <n v="0.09060836759034174"/>
    <n v="0.09615222262501866"/>
    <n v="0.144775317060001"/>
    <n v="-0.0001613302775078651"/>
    <n v="-0.00630559754562332"/>
    <n v="0.01539262104788897"/>
    <n v="0.547471157036635"/>
    <n v="0.5238201007026079"/>
    <n v="-0.02365105633402709"/>
    <n v="-0.02068536838232893"/>
    <n v="-0.03155824879623659"/>
    <n v="0.6931353950787971"/>
    <n v="0.7189788607603423"/>
    <n v="0.02584346568154527"/>
    <n v="0.03688274380582801"/>
    <n v="0.03343040728418012"/>
    <n v="30226241.85"/>
    <n v="31931250"/>
    <n v="0.05640820841906935"/>
    <n v="0.04027106100417788"/>
    <n v="0.06483540311956948"/>
  </r>
  <r>
    <x v="3"/>
    <s v="19"/>
    <x v="1"/>
    <d v="2023-06-03T00:00:00"/>
    <d v="2023-06-09T00:00:00"/>
    <n v="202319"/>
    <n v="592746.7321200001"/>
    <n v="100094.4180113889"/>
    <n v="165062.7966666667"/>
    <n v="857903.9467980557"/>
    <n v="748543"/>
    <n v="107963.8058027497"/>
    <n v="177884.491382716"/>
    <n v="1034391.297185466"/>
    <n v="748454"/>
    <n v="119235"/>
    <n v="149509"/>
    <n v="1017198"/>
    <n v="18777715"/>
    <n v="16999447.02875312"/>
    <n v="18762834.95108202"/>
    <n v="0.1046074009489306"/>
    <n v="0.1216002519779129"/>
    <n v="0.0007930597352037161"/>
    <n v="-0.0016597839242527"/>
    <n v="0.3738412463566699"/>
    <n v="0.3382836235973225"/>
    <n v="0.2626876867344372"/>
    <n v="0.1912252687900464"/>
    <n v="-0.09422957190090842"/>
    <n v="0.1856781913598551"/>
    <n v="-0.0001188976451587109"/>
    <n v="0.1043978962527754"/>
    <n v="-0.1595163870787731"/>
    <n v="-0.01662165684518802"/>
    <n v="0.09896743783362871"/>
    <n v="0.1010778930448357"/>
    <n v="0.1310064633017392"/>
    <n v="-0.0001589620523582136"/>
    <n v="-0.0006909906569472213"/>
    <n v="0.005736313019051087"/>
    <n v="0.5466865497230818"/>
    <n v="0.5254466459642205"/>
    <n v="-0.02123990375886131"/>
    <n v="-0.02071455445477799"/>
    <n v="-0.0298385246233408"/>
    <n v="0.6965755952103403"/>
    <n v="0.719097809983024"/>
    <n v="0.02252221477268368"/>
    <n v="0.03612692648829408"/>
    <n v="0.03161237519893068"/>
    <n v="30493757.03"/>
    <n v="31930389"/>
    <n v="0.04711233084813493"/>
    <n v="0.04063858088830541"/>
    <n v="0.06180405524309696"/>
  </r>
  <r>
    <x v="3"/>
    <s v="20"/>
    <x v="1"/>
    <d v="2023-06-10T00:00:00"/>
    <d v="2023-06-16T00:00:00"/>
    <n v="202320"/>
    <n v="598877.79424"/>
    <n v="100094.4180113889"/>
    <n v="165062.7966666667"/>
    <n v="864035.0089180556"/>
    <n v="729611"/>
    <n v="107963.8058027497"/>
    <n v="177884.491382716"/>
    <n v="1015459.297185466"/>
    <n v="729622"/>
    <n v="120954"/>
    <n v="144433"/>
    <n v="995009"/>
    <n v="19772724"/>
    <n v="17863482.03767117"/>
    <n v="19778294.24826749"/>
    <n v="0.1068796082590477"/>
    <n v="0.1259242419259348"/>
    <n v="-0.0002816344118238279"/>
    <n v="-0.00442910821708109"/>
    <n v="0.3936506536618773"/>
    <n v="0.3562088743550398"/>
    <n v="0.2183153341424517"/>
    <n v="0.2083990536439071"/>
    <n v="-0.124981504513868"/>
    <n v="0.1515841253306971"/>
    <n v="1.507652708077067e-05"/>
    <n v="0.1203198988833665"/>
    <n v="-0.1880517583218967"/>
    <n v="-0.02013896297187634"/>
    <n v="0.1045509155742927"/>
    <n v="0.1063642475525433"/>
    <n v="0.1170625272947325"/>
    <n v="-0.0001499828484959886"/>
    <n v="0.005150134413051122"/>
    <n v="-0.004402522099926309"/>
    <n v="0.5474956660522967"/>
    <n v="0.522083668648296"/>
    <n v="-0.02541199740400069"/>
    <n v="-0.0209494266022392"/>
    <n v="-0.02920616359200645"/>
    <n v="0.6998884317545566"/>
    <n v="0.7237881857502635"/>
    <n v="0.02389975399570687"/>
    <n v="0.03551556786366472"/>
    <n v="0.03051057216989883"/>
    <n v="30617700.52"/>
    <n v="32751177"/>
    <n v="0.0696811466493501"/>
    <n v="0.04212494467098526"/>
    <n v="0.06295855792970917"/>
  </r>
  <r>
    <x v="3"/>
    <s v="21"/>
    <x v="1"/>
    <d v="2023-06-17T00:00:00"/>
    <d v="2023-06-23T00:00:00"/>
    <n v="202321"/>
    <n v="607856.0519600001"/>
    <n v="100094.4180113889"/>
    <n v="165062.7966666667"/>
    <n v="873013.2666380557"/>
    <n v="741508.21040928"/>
    <n v="107963.8058027497"/>
    <n v="177884.491382716"/>
    <n v="1027356.507594746"/>
    <n v="708839"/>
    <n v="116623"/>
    <n v="147765"/>
    <n v="973227"/>
    <n v="20745951"/>
    <n v="18736495.30430923"/>
    <n v="20805650.75586224"/>
    <n v="0.1072482160112738"/>
    <n v="0.1245082896493599"/>
    <n v="-0.002869401037379982"/>
    <n v="-0.01078271189386171"/>
    <n v="0.4130264080956816"/>
    <n v="0.3737417188008497"/>
    <n v="0.1661297073778993"/>
    <n v="0.1651299075112305"/>
    <n v="-0.1047952477238008"/>
    <n v="0.1147906191023464"/>
    <n v="-0.04405778648256375"/>
    <n v="0.08020460313404154"/>
    <n v="-0.169320502021249"/>
    <n v="-0.05268814398370247"/>
    <n v="0.107342405615759"/>
    <n v="0.1091229986991826"/>
    <n v="0.1056019678954692"/>
    <n v="-0.002337560822571527"/>
    <n v="0.008606149993160894"/>
    <n v="-0.01260191194800275"/>
    <n v="0.5495378603674628"/>
    <n v="0.5213575129263885"/>
    <n v="-0.02818034744107423"/>
    <n v="-0.02129375616599338"/>
    <n v="-0.02907793657313984"/>
    <n v="0.7024217617832327"/>
    <n v="0.7279045208014026"/>
    <n v="0.02548275901816988"/>
    <n v="0.03503781506149828"/>
    <n v="0.02988209552593268"/>
    <n v="30589187.8"/>
    <n v="32503287"/>
    <n v="0.06257437145813993"/>
    <n v="0.04311968504034613"/>
    <n v="0.06290948752024872"/>
  </r>
  <r>
    <x v="3"/>
    <s v="22"/>
    <x v="1"/>
    <d v="2023-06-24T00:00:00"/>
    <d v="2023-06-30T00:00:00"/>
    <n v="202322"/>
    <n v="618473.46419"/>
    <n v="100094.4180113889"/>
    <n v="165062.7966666667"/>
    <n v="883630.6788680556"/>
    <n v="752165.4487477549"/>
    <n v="107963.8058027497"/>
    <n v="177884.491382716"/>
    <n v="1038013.745933221"/>
    <n v="688740"/>
    <n v="113601"/>
    <n v="186614"/>
    <n v="988955"/>
    <n v="21734906"/>
    <n v="19620125.98317728"/>
    <n v="21843664.50179546"/>
    <n v="0.1077862608342055"/>
    <n v="0.1239023338040153"/>
    <n v="-0.004978949470063387"/>
    <n v="-0.01506556360152544"/>
    <n v="0.4327152876952846"/>
    <n v="0.3915579057530262"/>
    <n v="0.113612854679265"/>
    <n v="0.1349384137192775"/>
    <n v="0.1305636628516269"/>
    <n v="0.1191949574078466"/>
    <n v="-0.08432379984131011"/>
    <n v="0.05221374103418919"/>
    <n v="0.04907402859815679"/>
    <n v="-0.04726213513590283"/>
    <n v="0.1076188710239454"/>
    <n v="0.1102805604621997"/>
    <n v="0.1068280823732068"/>
    <n v="-0.006281665067704556"/>
    <n v="0.01052574729778155"/>
    <n v="-0.009680743023946392"/>
    <n v="0.5522344010826512"/>
    <n v="0.5325892880061194"/>
    <n v="-0.01964511307653183"/>
    <n v="-0.02121881784374502"/>
    <n v="-0.0280298450735168"/>
    <n v="0.7036123097814045"/>
    <n v="0.7332813176786683"/>
    <n v="0.02966900789726379"/>
    <n v="0.03479377837221487"/>
    <n v="0.02985841912274723"/>
    <n v="30438396.23"/>
    <n v="32806529"/>
    <n v="0.07780083918041569"/>
    <n v="0.04472089116633682"/>
    <n v="0.06458869629891595"/>
  </r>
  <r>
    <x v="3"/>
    <s v="23"/>
    <x v="1"/>
    <d v="2023-07-01T00:00:00"/>
    <d v="2023-07-07T00:00:00"/>
    <n v="202323"/>
    <n v="629290.8432999999"/>
    <n v="96865.56581747311"/>
    <n v="164959.964516129"/>
    <n v="891116.3736336021"/>
    <n v="758385.770540659"/>
    <n v="104481.1023897578"/>
    <n v="177773.671469534"/>
    <n v="1040640.544399951"/>
    <n v="726466"/>
    <n v="119471"/>
    <n v="194635"/>
    <n v="1040572"/>
    <n v="22775478"/>
    <n v="20511242.35681088"/>
    <n v="22884305.04619541"/>
    <n v="0.1103899804702597"/>
    <n v="0.1284217369906686"/>
    <n v="-0.004755532054642853"/>
    <n v="-0.01348599219776259"/>
    <n v="0.4534317983784989"/>
    <n v="0.4103039814482806"/>
    <n v="0.1544201027785717"/>
    <n v="0.2333691440477728"/>
    <n v="0.1798923488551643"/>
    <n v="0.1677172934854514"/>
    <n v="-0.04208909473328215"/>
    <n v="0.1434699411413527"/>
    <n v="0.09484716376212976"/>
    <n v="-6.58675085453142e-05"/>
    <n v="0.1096282928194785"/>
    <n v="0.1153996682227962"/>
    <n v="0.1102469233488566"/>
    <n v="-0.007938147996013112"/>
    <n v="0.01595774193223276"/>
    <n v="-0.004956660984074435"/>
    <n v="0.5548759134751966"/>
    <n v="0.5458893906469946"/>
    <n v="-0.008986522828202004"/>
    <n v="-0.0206869789300258"/>
    <n v="-0.02612551284898534"/>
    <n v="0.7030759650443578"/>
    <n v="0.740869015624995"/>
    <n v="0.0377930505806372"/>
    <n v="0.03492418151171151"/>
    <n v="0.03065188226853621"/>
    <n v="30223945.13"/>
    <n v="33563838"/>
    <n v="0.1105048614810002"/>
    <n v="0.0476044992460849"/>
    <n v="0.06921221559215596"/>
  </r>
  <r>
    <x v="3"/>
    <s v="24"/>
    <x v="1"/>
    <d v="2023-07-08T00:00:00"/>
    <d v="2023-07-14T00:00:00"/>
    <n v="202324"/>
    <n v="638836.6592299999"/>
    <n v="96865.56581747311"/>
    <n v="164959.964516129"/>
    <n v="900662.189563602"/>
    <n v="758806.327173662"/>
    <n v="104481.1023897578"/>
    <n v="177773.671469534"/>
    <n v="1041061.101032954"/>
    <n v="749502"/>
    <n v="126860"/>
    <n v="211279"/>
    <n v="1087641"/>
    <n v="23863119"/>
    <n v="21411904.54637448"/>
    <n v="23925366.14722836"/>
    <n v="0.1144790482470444"/>
    <n v="0.1358970941214359"/>
    <n v="-0.002601721822993786"/>
    <n v="-0.00793628820955683"/>
    <n v="0.4750853950503311"/>
    <n v="0.4298980129187239"/>
    <n v="0.1732294776310848"/>
    <n v="0.3096501210662039"/>
    <n v="0.2807895577556465"/>
    <n v="0.2076014876643095"/>
    <n v="-0.01226179440057917"/>
    <n v="0.2141908641694803"/>
    <n v="0.1884718263030751"/>
    <n v="0.04474271387224915"/>
    <n v="0.1122846653840672"/>
    <n v="0.1231557473644536"/>
    <n v="0.1178702818392048"/>
    <n v="-0.008129421195045006"/>
    <n v="0.02373943666025524"/>
    <n v="0.003407232914906411"/>
    <n v="0.5567301462472756"/>
    <n v="0.5445604590247018"/>
    <n v="-0.01216968722257372"/>
    <n v="-0.02033209177554862"/>
    <n v="-0.02485680142840252"/>
    <n v="0.7006757839436213"/>
    <n v="0.7465323922369702"/>
    <n v="0.04585660829334892"/>
    <n v="0.03537969929427998"/>
    <n v="0.03203413008897382"/>
    <n v="30015468.95"/>
    <n v="34683545"/>
    <n v="0.1555223427552013"/>
    <n v="0.05210641700754115"/>
    <n v="0.0770586079604505"/>
  </r>
  <r>
    <x v="3"/>
    <s v="25"/>
    <x v="1"/>
    <d v="2023-07-15T00:00:00"/>
    <d v="2023-07-21T00:00:00"/>
    <n v="202325"/>
    <n v="645816.3328100001"/>
    <n v="96865.56581747311"/>
    <n v="164959.964516129"/>
    <n v="907641.8631436022"/>
    <n v="752812.9680942241"/>
    <n v="104481.1023897578"/>
    <n v="177773.671469534"/>
    <n v="1035067.741953516"/>
    <n v="713691"/>
    <n v="124343"/>
    <n v="203937"/>
    <n v="1041971"/>
    <n v="24905090"/>
    <n v="22319546.40951809"/>
    <n v="24960433.88918187"/>
    <n v="0.1158421207600939"/>
    <n v="0.136948369007817"/>
    <n v="-0.002217264708922473"/>
    <n v="-0.006672053617618467"/>
    <n v="0.4958297581055541"/>
    <n v="0.4486692918290346"/>
    <n v="0.1050990254375757"/>
    <n v="0.2836656550822561"/>
    <n v="0.2362817887249242"/>
    <n v="0.1479979519577812"/>
    <n v="-0.0519677127683692"/>
    <n v="0.1901003832841377"/>
    <n v="0.1471721223631797"/>
    <n v="0.006669378019119154"/>
    <n v="0.1119935614859588"/>
    <n v="0.1293185557402314"/>
    <n v="0.1229368680697958"/>
    <n v="-0.009972564972306475"/>
    <n v="0.03002330556037469"/>
    <n v="0.009366002392109607"/>
    <n v="0.5571553335321376"/>
    <n v="0.5448158181377497"/>
    <n v="-0.01233951539438793"/>
    <n v="-0.0200123887203022"/>
    <n v="-0.02381369425890123"/>
    <n v="0.6965577815000178"/>
    <n v="0.7428929241656916"/>
    <n v="0.04633514266567385"/>
    <n v="0.03581791702913562"/>
    <n v="0.03322588113703207"/>
    <n v="29874074.48"/>
    <n v="34013951"/>
    <n v="0.1385775657341803"/>
    <n v="0.05555354483241737"/>
    <n v="0.08216305193342133"/>
  </r>
  <r>
    <x v="3"/>
    <s v="26"/>
    <x v="1"/>
    <d v="2023-07-22T00:00:00"/>
    <d v="2023-07-28T00:00:00"/>
    <n v="202326"/>
    <n v="649303.51116"/>
    <n v="96865.56581747311"/>
    <n v="164959.964516129"/>
    <n v="911129.0414936021"/>
    <n v="740695.388485905"/>
    <n v="104481.1023897578"/>
    <n v="177773.671469534"/>
    <n v="1022950.162345197"/>
    <n v="673354"/>
    <n v="117697"/>
    <n v="228122"/>
    <n v="1019173"/>
    <n v="25924263"/>
    <n v="23230675.45101169"/>
    <n v="25983384.05152707"/>
    <n v="0.1159496009777454"/>
    <n v="0.1354751624734225"/>
    <n v="-0.002275340710425899"/>
    <n v="-0.006437248726103295"/>
    <n v="0.5161202409770359"/>
    <n v="0.4670298610203635"/>
    <n v="0.03704044168347886"/>
    <n v="0.2150551024683036"/>
    <n v="0.3828931199709087"/>
    <n v="0.1185824988404307"/>
    <n v="-0.09091644086452477"/>
    <n v="0.1264907941049609"/>
    <n v="0.2832158896999233"/>
    <n v="-0.003692420690894038"/>
    <n v="0.109060152167161"/>
    <n v="0.1324887081243169"/>
    <n v="0.1336034627117906"/>
    <n v="-0.01318798834319335"/>
    <n v="0.03353449730568192"/>
    <n v="0.02026480329997082"/>
    <n v="0.5557035359852741"/>
    <n v="0.5257166343180638"/>
    <n v="-0.0299869016672103"/>
    <n v="-0.02039602383364481"/>
    <n v="-0.02428855636723282"/>
    <n v="0.6911487564431608"/>
    <s v=""/>
    <s v=""/>
    <s v="-"/>
    <s v="-"/>
    <n v="29835845.64"/>
    <n v="33794420"/>
    <n v="0.1326784703126651"/>
    <n v="0.05850658510200479"/>
    <n v="0.08602878681270831"/>
  </r>
  <r>
    <x v="3"/>
    <s v="27"/>
    <x v="2"/>
    <d v="2023-07-29T00:00:00"/>
    <d v="2023-08-04T00:00:00"/>
    <n v="202327"/>
    <n v="648886.8338200001"/>
    <n v="96865.56581747311"/>
    <n v="162222.1009196976"/>
    <n v="907974.5005571707"/>
    <n v="723688.093617555"/>
    <n v="104481.1023897578"/>
    <n v="174823.1369871336"/>
    <n v="1002992.332994446"/>
    <n v="696898"/>
    <n v="119304"/>
    <n v="218461"/>
    <n v="1034663"/>
    <n v="26958926"/>
    <n v="24138649.95156886"/>
    <n v="26986376.38452152"/>
    <n v="0.1168365278957055"/>
    <n v="0.1395286975185845"/>
    <n v="-0.00101719416235746"/>
    <n v="0.03157618055862965"/>
    <n v="0.5367191107265837"/>
    <n v="0.4856694851089215"/>
    <n v="0.0739900452246165"/>
    <n v="0.2316451051843165"/>
    <n v="0.346678404246173"/>
    <n v="0.1395286975185845"/>
    <n v="-0.03701883982039456"/>
    <n v="0.141871565969381"/>
    <n v="0.2496114860133076"/>
    <n v="0.03157618055862965"/>
    <n v="0.1077401364132189"/>
    <n v="0.1360243347044976"/>
    <n v="0.1418678255515116"/>
    <n v="-0.01407835432656612"/>
    <n v="0.03733923067583422"/>
    <n v="0.02890287677681469"/>
    <n v="0.5521995276657771"/>
    <n v="0.5279042460364484"/>
    <n v="-0.0242952816293287"/>
    <n v="-0.02054044078904049"/>
    <n v="-0.0242952816293287"/>
    <n v="0.6851153635385073"/>
    <s v=""/>
    <s v=""/>
    <s v="-"/>
    <s v="-"/>
    <n v="29902748.99"/>
    <n v="33747168"/>
    <n v="0.1285640665105954"/>
    <n v="0.06109567845521036"/>
    <n v="0.1285640665105954"/>
  </r>
  <r>
    <x v="3"/>
    <s v="28"/>
    <x v="2"/>
    <d v="2023-08-05T00:00:00"/>
    <d v="2023-08-11T00:00:00"/>
    <n v="202328"/>
    <n v="644751.23965"/>
    <n v="96865.56581747311"/>
    <n v="160149.7258064516"/>
    <n v="901766.5312739247"/>
    <n v="703886.5858046617"/>
    <n v="104481.1023897578"/>
    <n v="172589.7845878136"/>
    <n v="980957.472782233"/>
    <n v="743369"/>
    <n v="118247"/>
    <n v="183153"/>
    <n v="1044769"/>
    <n v="28003695"/>
    <n v="25040416.48284278"/>
    <n v="27967333.85730375"/>
    <n v="0.1183398255052028"/>
    <n v="0.1490218564012065"/>
    <n v="0.001300129032026254"/>
    <n v="0.04812732355692884"/>
    <n v="0.557519178525824"/>
    <n v="0.504491170449345"/>
    <n v="0.152954743295312"/>
    <n v="0.2207330747730996"/>
    <n v="0.1436360510622974"/>
    <n v="0.1585803683843265"/>
    <n v="0.05609201111597151"/>
    <n v="0.1317549039527712"/>
    <n v="0.06120417519156152"/>
    <n v="0.06505024834234874"/>
    <n v="0.1093701754021121"/>
    <n v="0.1389408073023068"/>
    <n v="0.1419330352014603"/>
    <n v="-0.01161780598823625"/>
    <n v="0.04054255411336682"/>
    <n v="0.03006086818187081"/>
    <n v="0.5467839034508742"/>
    <n v="0.5280334540726654"/>
    <n v="-0.0187504493782088"/>
    <n v="-0.020476512524368"/>
    <n v="-0.0215228655037687"/>
    <n v="0.6792887811585896"/>
    <s v=""/>
    <s v=""/>
    <s v="-"/>
    <s v="-"/>
    <n v="30043397.85"/>
    <n v="33812105"/>
    <n v="0.1254421077408192"/>
    <n v="0.06339935848444278"/>
    <n v="0.1269994246722796"/>
  </r>
  <r>
    <x v="3"/>
    <s v="29"/>
    <x v="2"/>
    <d v="2023-08-12T00:00:00"/>
    <d v="2023-08-18T00:00:00"/>
    <n v="202329"/>
    <n v="637681.2230999999"/>
    <n v="96865.56581747311"/>
    <n v="160149.7258064516"/>
    <n v="894696.5147239247"/>
    <n v="684044.3299178212"/>
    <n v="104481.1023897578"/>
    <n v="172589.7845878136"/>
    <n v="961115.2168953926"/>
    <n v="725079"/>
    <n v="125193"/>
    <n v="196227"/>
    <n v="1046499"/>
    <n v="29050194"/>
    <n v="25935112.9975667"/>
    <n v="28928449.07419914"/>
    <n v="0.1201105621836143"/>
    <n v="0.1558525372426844"/>
    <n v="0.004208484370820997"/>
    <n v="0.06141323737695514"/>
    <n v="0.5783536885006004"/>
    <n v="0.5233440220242558"/>
    <n v="0.1370555909975328"/>
    <n v="0.2924407031896679"/>
    <n v="0.2252721571134593"/>
    <n v="0.1696692484858029"/>
    <n v="0.05998831989018694"/>
    <n v="0.198235825776208"/>
    <n v="0.1369560514177466"/>
    <n v="0.08883823874978813"/>
    <n v="0.1103233364040312"/>
    <n v="0.1440498190410442"/>
    <n v="0.1448971514589033"/>
    <n v="-0.009258104456857374"/>
    <n v="0.04571718784307288"/>
    <n v="0.03376039988429791"/>
    <n v="0.5399137165677365"/>
    <s v=""/>
    <s v=""/>
    <s v="-"/>
    <s v="-"/>
    <n v="0.6745639506857932"/>
    <s v=""/>
    <s v=""/>
    <s v="-"/>
    <s v="-"/>
    <n v="30203609.33"/>
    <n v="33784381"/>
    <n v="0.1185544294020306"/>
    <n v="0.06531553932466849"/>
    <n v="0.1241700289115713"/>
  </r>
  <r>
    <x v="3"/>
    <s v="30"/>
    <x v="2"/>
    <d v="2023-08-19T00:00:00"/>
    <d v="2023-08-25T00:00:00"/>
    <n v="202330"/>
    <n v="628983.5478099999"/>
    <n v="96865.56581747311"/>
    <n v="160149.7258064516"/>
    <n v="885998.8394339246"/>
    <n v="667271.8433574596"/>
    <n v="104481.1023897578"/>
    <n v="172589.7845878136"/>
    <n v="944342.7303350309"/>
    <n v="0"/>
    <n v="0"/>
    <n v="0"/>
    <n v="0"/>
    <n v="0"/>
    <n v="26821111.83700063"/>
    <n v="29872791.80453417"/>
    <s v=""/>
    <s v="-"/>
    <s v=""/>
    <s v="-"/>
    <s v=""/>
    <s v=""/>
    <s v=""/>
    <s v=""/>
    <s v=""/>
    <s v=""/>
    <s v=""/>
    <s v=""/>
    <s v=""/>
    <s v=""/>
    <s v="-"/>
    <s v="-"/>
    <s v="-"/>
    <s v="-"/>
    <s v="-"/>
    <s v="-"/>
    <n v="0.5323195184823171"/>
    <s v=""/>
    <s v=""/>
    <s v="-"/>
    <s v="-"/>
    <n v="0.6717858792082303"/>
    <s v=""/>
    <s v=""/>
    <s v="-"/>
    <s v="-"/>
    <n v="30324148.26"/>
    <n v="0"/>
    <s v=""/>
    <s v="-"/>
    <s v="-"/>
  </r>
  <r>
    <x v="3"/>
    <s v="31"/>
    <x v="2"/>
    <d v="2023-08-26T00:00:00"/>
    <d v="2023-09-01T00:00:00"/>
    <n v="202331"/>
    <n v="620337.4575100001"/>
    <n v="97329.49071604204"/>
    <n v="163217.4291827982"/>
    <n v="880884.3774088402"/>
    <n v="656672.6232291885"/>
    <n v="105120.4119279628"/>
    <n v="175895.7800382387"/>
    <n v="937688.81519539"/>
    <n v="0"/>
    <n v="0"/>
    <n v="0"/>
    <n v="0"/>
    <n v="0"/>
    <n v="27701996.21440947"/>
    <n v="30810480.61972956"/>
    <s v=""/>
    <s v="-"/>
    <s v=""/>
    <s v="-"/>
    <s v=""/>
    <s v=""/>
    <s v=""/>
    <s v=""/>
    <s v=""/>
    <s v=""/>
    <s v=""/>
    <s v=""/>
    <s v=""/>
    <s v=""/>
    <s v="-"/>
    <s v="-"/>
    <s v="-"/>
    <s v="-"/>
    <s v="-"/>
    <s v="-"/>
    <n v="0.5249234414036159"/>
    <s v=""/>
    <s v=""/>
    <s v="-"/>
    <s v="-"/>
    <n v="0.6716374310998574"/>
    <s v=""/>
    <s v=""/>
    <s v="-"/>
    <s v="-"/>
    <n v="30361113.87"/>
    <n v="0"/>
    <s v=""/>
    <s v="-"/>
    <s v="-"/>
  </r>
  <r>
    <x v="3"/>
    <s v="32"/>
    <x v="2"/>
    <d v="2023-09-02T00:00:00"/>
    <d v="2023-09-08T00:00:00"/>
    <n v="202332"/>
    <n v="613590.0227500001"/>
    <n v="100094.4180113889"/>
    <n v="181675.55"/>
    <n v="895359.990761389"/>
    <n v="654959.7920659718"/>
    <n v="108930.6070647427"/>
    <n v="195787.6848148148"/>
    <n v="959678.0839455292"/>
    <n v="0"/>
    <n v="0"/>
    <n v="0"/>
    <n v="0"/>
    <n v="0"/>
    <n v="28597356.20517085"/>
    <n v="31770158.70367509"/>
    <s v=""/>
    <s v="-"/>
    <s v=""/>
    <s v="-"/>
    <s v=""/>
    <s v=""/>
    <s v=""/>
    <s v=""/>
    <s v=""/>
    <s v=""/>
    <s v=""/>
    <s v=""/>
    <s v=""/>
    <s v=""/>
    <s v="-"/>
    <s v="-"/>
    <s v="-"/>
    <s v="-"/>
    <s v="-"/>
    <s v="-"/>
    <n v="0.518728184639404"/>
    <s v=""/>
    <s v=""/>
    <s v="-"/>
    <s v="-"/>
    <n v="0.6745431226480163"/>
    <s v=""/>
    <s v=""/>
    <s v="-"/>
    <s v="-"/>
    <n v="30303571.03"/>
    <n v="0"/>
    <s v=""/>
    <s v="-"/>
    <s v="-"/>
  </r>
  <r>
    <x v="3"/>
    <s v="33"/>
    <x v="2"/>
    <d v="2023-09-09T00:00:00"/>
    <d v="2023-09-15T00:00:00"/>
    <n v="202333"/>
    <n v="610521.67657"/>
    <n v="100094.4180113889"/>
    <n v="181675.55"/>
    <n v="892291.6445813889"/>
    <n v="664101.0600641633"/>
    <n v="108930.6070647427"/>
    <n v="195787.6848148148"/>
    <n v="968819.3519437207"/>
    <n v="0"/>
    <n v="0"/>
    <n v="0"/>
    <n v="0"/>
    <n v="0"/>
    <n v="29489647.84975224"/>
    <n v="32738978.05561881"/>
    <s v=""/>
    <s v="-"/>
    <s v=""/>
    <s v="-"/>
    <s v=""/>
    <s v=""/>
    <s v=""/>
    <s v=""/>
    <s v=""/>
    <s v=""/>
    <s v=""/>
    <s v=""/>
    <s v=""/>
    <s v=""/>
    <s v="-"/>
    <s v="-"/>
    <s v="-"/>
    <s v="-"/>
    <s v="-"/>
    <s v="-"/>
    <n v="0.5146907551940763"/>
    <s v=""/>
    <s v=""/>
    <s v="-"/>
    <s v="-"/>
    <n v="0.6806016493429613"/>
    <s v=""/>
    <s v=""/>
    <s v="-"/>
    <s v="-"/>
    <n v="30183489.39"/>
    <n v="0"/>
    <s v=""/>
    <s v="-"/>
    <s v="-"/>
  </r>
  <r>
    <x v="3"/>
    <s v="34"/>
    <x v="2"/>
    <d v="2023-09-16T00:00:00"/>
    <d v="2023-09-22T00:00:00"/>
    <n v="202334"/>
    <n v="612611.2496099999"/>
    <n v="100094.4180113889"/>
    <n v="181675.55"/>
    <n v="894381.2176213888"/>
    <n v="685037.3014752155"/>
    <n v="108930.6070647427"/>
    <n v="195787.6848148148"/>
    <n v="989755.5933547729"/>
    <n v="0"/>
    <n v="0"/>
    <n v="0"/>
    <n v="0"/>
    <n v="0"/>
    <n v="30384029.06737363"/>
    <n v="33728733.64897358"/>
    <s v=""/>
    <s v="-"/>
    <s v=""/>
    <s v="-"/>
    <s v=""/>
    <s v=""/>
    <s v=""/>
    <s v=""/>
    <s v=""/>
    <s v=""/>
    <s v=""/>
    <s v=""/>
    <s v=""/>
    <s v=""/>
    <s v="-"/>
    <s v="-"/>
    <s v="-"/>
    <s v="-"/>
    <s v="-"/>
    <s v="-"/>
    <n v="0.5135970421884983"/>
    <s v=""/>
    <s v=""/>
    <s v="-"/>
    <s v="-"/>
    <n v="0.689556431951472"/>
    <s v=""/>
    <s v=""/>
    <s v="-"/>
    <s v="-"/>
    <n v="30074749.01"/>
    <n v="0"/>
    <s v=""/>
    <s v="-"/>
    <s v="-"/>
  </r>
  <r>
    <x v="3"/>
    <s v="35"/>
    <x v="2"/>
    <d v="2023-09-23T00:00:00"/>
    <d v="2023-09-29T00:00:00"/>
    <n v="202335"/>
    <n v="620830.3497500001"/>
    <n v="100094.4180113889"/>
    <n v="181675.55"/>
    <n v="902600.3177613888"/>
    <n v="717511.9292256117"/>
    <n v="108930.6070647427"/>
    <n v="195787.6848148148"/>
    <n v="1022230.221105169"/>
    <n v="0"/>
    <n v="0"/>
    <n v="0"/>
    <n v="0"/>
    <n v="0"/>
    <n v="31286629.38513502"/>
    <n v="34750963.87007875"/>
    <s v=""/>
    <s v="-"/>
    <s v=""/>
    <s v="-"/>
    <s v=""/>
    <s v=""/>
    <s v=""/>
    <s v=""/>
    <s v=""/>
    <s v=""/>
    <s v=""/>
    <s v=""/>
    <s v=""/>
    <s v=""/>
    <s v="-"/>
    <s v="-"/>
    <s v="-"/>
    <s v="-"/>
    <s v="-"/>
    <s v="-"/>
    <n v="0.5159534713377915"/>
    <s v=""/>
    <s v=""/>
    <s v="-"/>
    <s v="-"/>
    <n v="0.7008087942615393"/>
    <s v=""/>
    <s v=""/>
    <s v="-"/>
    <s v="-"/>
    <n v="30080527.94"/>
    <n v="0"/>
    <s v=""/>
    <s v="-"/>
    <s v="-"/>
  </r>
  <r>
    <x v="3"/>
    <s v="36"/>
    <x v="2"/>
    <d v="2023-09-30T00:00:00"/>
    <d v="2023-10-06T00:00:00"/>
    <n v="202336"/>
    <n v="635493.65198"/>
    <n v="97331.16732667314"/>
    <n v="203046.5970469539"/>
    <n v="935871.416353627"/>
    <n v="657346.1526156571"/>
    <n v="117485.2894345463"/>
    <n v="218818.7851659165"/>
    <n v="993650.2272161199"/>
    <n v="0"/>
    <n v="0"/>
    <n v="0"/>
    <n v="0"/>
    <n v="0"/>
    <n v="32222500.80148865"/>
    <n v="35744614.09729487"/>
    <s v=""/>
    <s v="-"/>
    <s v=""/>
    <s v="-"/>
    <s v=""/>
    <s v=""/>
    <s v=""/>
    <s v=""/>
    <s v=""/>
    <s v=""/>
    <s v=""/>
    <s v=""/>
    <s v=""/>
    <s v=""/>
    <s v="-"/>
    <s v="-"/>
    <s v="-"/>
    <s v="-"/>
    <s v="-"/>
    <s v="-"/>
    <n v="0.5219100527604906"/>
    <s v=""/>
    <s v=""/>
    <s v="-"/>
    <s v="-"/>
    <n v="0.7134730721121756"/>
    <s v=""/>
    <s v=""/>
    <s v="-"/>
    <s v="-"/>
    <n v="30311217.77"/>
    <n v="0"/>
    <s v=""/>
    <s v="-"/>
    <s v="-"/>
  </r>
  <r>
    <x v="3"/>
    <s v="37"/>
    <x v="2"/>
    <d v="2023-10-07T00:00:00"/>
    <d v="2023-10-13T00:00:00"/>
    <n v="202337"/>
    <n v="656184.97039"/>
    <n v="96865.56581747311"/>
    <n v="206632.4677419354"/>
    <n v="959683.0039494085"/>
    <n v="690187.984199748"/>
    <n v="118926.7341229124"/>
    <n v="222683.1979689367"/>
    <n v="1031797.916291597"/>
    <n v="0"/>
    <n v="0"/>
    <n v="0"/>
    <n v="0"/>
    <n v="0"/>
    <n v="33182183.80543806"/>
    <n v="36776412.01358646"/>
    <s v=""/>
    <s v="-"/>
    <s v=""/>
    <s v="-"/>
    <s v=""/>
    <s v=""/>
    <s v=""/>
    <s v=""/>
    <s v=""/>
    <s v=""/>
    <s v=""/>
    <s v=""/>
    <s v=""/>
    <s v=""/>
    <s v="-"/>
    <s v="-"/>
    <s v="-"/>
    <s v="-"/>
    <s v="-"/>
    <s v="-"/>
    <n v="0.5312253368931535"/>
    <s v=""/>
    <s v=""/>
    <s v="-"/>
    <s v="-"/>
    <n v="0.7264676748778497"/>
    <s v=""/>
    <s v=""/>
    <s v="-"/>
    <s v="-"/>
    <n v="30857454.98"/>
    <n v="0"/>
    <s v=""/>
    <s v="-"/>
    <s v="-"/>
  </r>
  <r>
    <x v="3"/>
    <s v="38"/>
    <x v="2"/>
    <d v="2023-10-14T00:00:00"/>
    <d v="2023-10-20T00:00:00"/>
    <n v="202338"/>
    <n v="681769.71678"/>
    <n v="96865.56581747311"/>
    <n v="206632.4677419354"/>
    <n v="985267.7503394085"/>
    <n v="744077.703290939"/>
    <n v="118926.7341229124"/>
    <n v="222683.1979689367"/>
    <n v="1085687.635382788"/>
    <n v="0"/>
    <n v="0"/>
    <n v="0"/>
    <n v="0"/>
    <n v="0"/>
    <n v="34167451.55577747"/>
    <n v="37862099.64896925"/>
    <s v=""/>
    <s v="-"/>
    <s v=""/>
    <s v="-"/>
    <s v=""/>
    <s v=""/>
    <s v=""/>
    <s v=""/>
    <s v=""/>
    <s v=""/>
    <s v=""/>
    <s v=""/>
    <s v=""/>
    <s v=""/>
    <s v="-"/>
    <s v="-"/>
    <s v="-"/>
    <s v="-"/>
    <s v="-"/>
    <s v="-"/>
    <n v="0.5432786051641791"/>
    <s v=""/>
    <s v=""/>
    <s v="-"/>
    <s v="-"/>
    <n v="0.7386315505092073"/>
    <s v=""/>
    <s v=""/>
    <s v="-"/>
    <s v="-"/>
    <n v="31764320.58"/>
    <n v="0"/>
    <s v=""/>
    <s v="-"/>
    <s v="-"/>
  </r>
  <r>
    <x v="3"/>
    <s v="39"/>
    <x v="2"/>
    <d v="2023-10-21T00:00:00"/>
    <d v="2023-10-27T00:00:00"/>
    <n v="202339"/>
    <n v="710493.6771"/>
    <n v="96865.56581747311"/>
    <n v="206632.4677419354"/>
    <n v="1013991.710659408"/>
    <n v="797863.4066172611"/>
    <n v="118926.7341229124"/>
    <n v="222683.1979689367"/>
    <n v="1139473.33870911"/>
    <n v="0"/>
    <n v="0"/>
    <n v="0"/>
    <n v="0"/>
    <n v="0"/>
    <n v="35181443.26643687"/>
    <n v="39001572.98767836"/>
    <s v=""/>
    <s v="-"/>
    <s v=""/>
    <s v="-"/>
    <s v=""/>
    <s v=""/>
    <s v=""/>
    <s v=""/>
    <s v=""/>
    <s v=""/>
    <s v=""/>
    <s v=""/>
    <s v=""/>
    <s v=""/>
    <s v="-"/>
    <s v="-"/>
    <s v="-"/>
    <s v="-"/>
    <s v="-"/>
    <s v="-"/>
    <n v="0.5571287014862163"/>
    <s v=""/>
    <s v=""/>
    <s v="-"/>
    <s v="-"/>
    <n v="0.748852229274264"/>
    <s v=""/>
    <s v=""/>
    <s v="-"/>
    <s v="-"/>
    <n v="33012872.15"/>
    <n v="0"/>
    <s v=""/>
    <s v="-"/>
    <s v="-"/>
  </r>
  <r>
    <x v="3"/>
    <s v="40"/>
    <x v="3"/>
    <d v="2023-10-28T00:00:00"/>
    <d v="2023-11-03T00:00:00"/>
    <n v="202340"/>
    <n v="740157.3109000002"/>
    <n v="130330.8556676503"/>
    <n v="229714.9435373505"/>
    <n v="1100203.110105001"/>
    <n v="866080.4296340951"/>
    <n v="143333.8665545826"/>
    <n v="247474.6444626208"/>
    <n v="1256888.940651299"/>
    <n v="0"/>
    <n v="0"/>
    <n v="0"/>
    <n v="0"/>
    <n v="0"/>
    <n v="36281646.37654188"/>
    <n v="40258461.92832965"/>
    <s v=""/>
    <s v="-"/>
    <s v=""/>
    <s v="-"/>
    <s v=""/>
    <s v=""/>
    <s v=""/>
    <s v=""/>
    <s v=""/>
    <s v=""/>
    <s v=""/>
    <s v=""/>
    <s v=""/>
    <s v=""/>
    <s v="-"/>
    <s v="-"/>
    <s v="-"/>
    <s v="-"/>
    <s v="-"/>
    <s v="-"/>
    <n v="0.5716130118267914"/>
    <s v=""/>
    <s v=""/>
    <s v="-"/>
    <s v="-"/>
    <n v="0.7561900620518194"/>
    <s v=""/>
    <s v=""/>
    <s v="-"/>
    <s v="-"/>
    <n v="34513861.52"/>
    <n v="0"/>
    <s v=""/>
    <s v="-"/>
    <s v="-"/>
  </r>
  <r>
    <x v="3"/>
    <s v="41"/>
    <x v="3"/>
    <d v="2023-11-04T00:00:00"/>
    <d v="2023-11-10T00:00:00"/>
    <n v="202341"/>
    <n v="768345.3594"/>
    <n v="174836.0024505556"/>
    <n v="260670.0000000001"/>
    <n v="1203851.361850556"/>
    <n v="932423.6222673187"/>
    <n v="175792.6624079686"/>
    <n v="280721.5384615384"/>
    <n v="1388937.823136826"/>
    <n v="0"/>
    <n v="0"/>
    <n v="0"/>
    <n v="0"/>
    <n v="0"/>
    <n v="37485497.73839243"/>
    <n v="41647399.75146648"/>
    <s v=""/>
    <s v="-"/>
    <s v=""/>
    <s v="-"/>
    <s v=""/>
    <s v=""/>
    <s v=""/>
    <s v=""/>
    <s v=""/>
    <s v=""/>
    <s v=""/>
    <s v=""/>
    <s v=""/>
    <s v=""/>
    <s v="-"/>
    <s v="-"/>
    <s v="-"/>
    <s v="-"/>
    <s v="-"/>
    <s v="-"/>
    <n v="0.5854749767106634"/>
    <s v=""/>
    <s v=""/>
    <s v="-"/>
    <s v="-"/>
    <n v="0.7599836312494856"/>
    <s v=""/>
    <s v=""/>
    <s v="-"/>
    <s v="-"/>
    <n v="36116010.48"/>
    <n v="0"/>
    <s v=""/>
    <s v="-"/>
    <s v="-"/>
  </r>
  <r>
    <x v="3"/>
    <s v="42"/>
    <x v="3"/>
    <d v="2023-11-11T00:00:00"/>
    <d v="2023-11-17T00:00:00"/>
    <n v="202342"/>
    <n v="792684.6274"/>
    <n v="174836.0024505556"/>
    <n v="260670.0000000001"/>
    <n v="1228190.629850556"/>
    <n v="962613.4507398977"/>
    <n v="175792.6624079686"/>
    <n v="280721.5384615384"/>
    <n v="1419127.651609405"/>
    <n v="0"/>
    <n v="0"/>
    <n v="0"/>
    <n v="0"/>
    <n v="0"/>
    <n v="38713688.36824299"/>
    <n v="43066527.40307589"/>
    <s v=""/>
    <s v="-"/>
    <s v=""/>
    <s v="-"/>
    <s v=""/>
    <s v=""/>
    <s v=""/>
    <s v=""/>
    <s v=""/>
    <s v=""/>
    <s v=""/>
    <s v=""/>
    <s v=""/>
    <s v=""/>
    <s v="-"/>
    <s v="-"/>
    <s v="-"/>
    <s v="-"/>
    <s v="-"/>
    <s v="-"/>
    <n v="0.5975048334068802"/>
    <s v=""/>
    <s v=""/>
    <s v="-"/>
    <s v="-"/>
    <n v="0.7599235566482544"/>
    <s v=""/>
    <s v=""/>
    <s v="-"/>
    <s v="-"/>
    <n v="37628095.81"/>
    <n v="0"/>
    <s v=""/>
    <s v="-"/>
    <s v="-"/>
  </r>
  <r>
    <x v="3"/>
    <s v="43"/>
    <x v="3"/>
    <d v="2023-11-18T00:00:00"/>
    <d v="2023-11-24T00:00:00"/>
    <n v="202343"/>
    <n v="814487.4907"/>
    <n v="174836.0024505556"/>
    <n v="260670.0000000001"/>
    <n v="1249993.493150556"/>
    <n v="1057207.500179331"/>
    <n v="175792.6624079686"/>
    <n v="280721.5384615384"/>
    <n v="1513721.701048838"/>
    <n v="0"/>
    <n v="0"/>
    <n v="0"/>
    <n v="0"/>
    <n v="0"/>
    <n v="39963681.86139354"/>
    <n v="44580249.10412472"/>
    <s v=""/>
    <s v="-"/>
    <s v=""/>
    <s v="-"/>
    <s v=""/>
    <s v=""/>
    <s v=""/>
    <s v=""/>
    <s v=""/>
    <s v=""/>
    <s v=""/>
    <s v=""/>
    <s v=""/>
    <s v=""/>
    <s v="-"/>
    <s v="-"/>
    <s v="-"/>
    <s v="-"/>
    <s v="-"/>
    <s v="-"/>
    <n v="0.6284805127121834"/>
    <s v=""/>
    <s v=""/>
    <s v="-"/>
    <s v="-"/>
    <n v="0.7570004857567596"/>
    <s v=""/>
    <s v=""/>
    <s v="-"/>
    <s v="-"/>
    <n v="41363018.28"/>
    <n v="0"/>
    <s v=""/>
    <s v="-"/>
    <s v="-"/>
  </r>
  <r>
    <x v="3"/>
    <s v="44"/>
    <x v="3"/>
    <d v="2023-11-25T00:00:00"/>
    <d v="2023-12-01T00:00:00"/>
    <n v="202344"/>
    <n v="822033.0974"/>
    <n v="174122.9921423783"/>
    <n v="258812.7284910064"/>
    <n v="1254968.818033385"/>
    <n v="985244.5460530448"/>
    <n v="175119.0012648846"/>
    <n v="278721.3999133914"/>
    <n v="1439084.947231321"/>
    <n v="0"/>
    <n v="0"/>
    <n v="0"/>
    <n v="0"/>
    <n v="0"/>
    <n v="41218650.67942692"/>
    <n v="46019334.05135605"/>
    <s v=""/>
    <s v="-"/>
    <s v=""/>
    <s v="-"/>
    <s v=""/>
    <s v=""/>
    <s v=""/>
    <s v=""/>
    <s v=""/>
    <s v=""/>
    <s v=""/>
    <s v=""/>
    <s v=""/>
    <s v=""/>
    <s v="-"/>
    <s v="-"/>
    <s v="-"/>
    <s v="-"/>
    <s v="-"/>
    <s v="-"/>
    <n v="0.6122639385212131"/>
    <s v=""/>
    <s v=""/>
    <s v="-"/>
    <s v="-"/>
    <n v="0.7489202630189996"/>
    <s v=""/>
    <s v=""/>
    <s v="-"/>
    <s v="-"/>
    <n v="39613681.98"/>
    <n v="0"/>
    <s v=""/>
    <s v="-"/>
    <s v="-"/>
  </r>
  <r>
    <x v="3"/>
    <s v="45"/>
    <x v="3"/>
    <d v="2023-12-02T00:00:00"/>
    <d v="2023-12-08T00:00:00"/>
    <n v="202345"/>
    <n v="824612.8049"/>
    <n v="169873.5507586022"/>
    <n v="247637.6774193548"/>
    <n v="1242124.033077957"/>
    <n v="992394.7474559522"/>
    <n v="171104.0753834039"/>
    <n v="266686.729528536"/>
    <n v="1430185.552367892"/>
    <n v="0"/>
    <n v="0"/>
    <n v="0"/>
    <n v="0"/>
    <n v="0"/>
    <n v="42460774.71250488"/>
    <n v="47449519.60372394"/>
    <s v=""/>
    <s v="-"/>
    <s v=""/>
    <s v="-"/>
    <s v=""/>
    <s v=""/>
    <s v=""/>
    <s v=""/>
    <s v=""/>
    <s v=""/>
    <s v=""/>
    <s v=""/>
    <s v=""/>
    <s v=""/>
    <s v="-"/>
    <s v="-"/>
    <s v="-"/>
    <s v="-"/>
    <s v="-"/>
    <s v="-"/>
    <n v="0.6139226029590013"/>
    <s v=""/>
    <s v=""/>
    <s v="-"/>
    <s v="-"/>
    <n v="0.7391968981924876"/>
    <s v=""/>
    <s v=""/>
    <s v="-"/>
    <s v="-"/>
    <n v="39805466.38"/>
    <n v="0"/>
    <s v=""/>
    <s v="-"/>
    <s v="-"/>
  </r>
  <r>
    <x v="3"/>
    <s v="46"/>
    <x v="3"/>
    <d v="2023-12-09T00:00:00"/>
    <d v="2023-12-15T00:00:00"/>
    <n v="202346"/>
    <n v="818732.6744000001"/>
    <n v="169873.5507586022"/>
    <n v="247637.6774193548"/>
    <n v="1236243.902577957"/>
    <n v="969561.1770023422"/>
    <n v="171104.0753834039"/>
    <n v="266686.729528536"/>
    <n v="1407351.981914282"/>
    <n v="0"/>
    <n v="0"/>
    <n v="0"/>
    <n v="0"/>
    <n v="0"/>
    <n v="43697018.61508284"/>
    <n v="48856871.58563823"/>
    <s v=""/>
    <s v="-"/>
    <s v=""/>
    <s v="-"/>
    <s v=""/>
    <s v=""/>
    <s v=""/>
    <s v=""/>
    <s v=""/>
    <s v=""/>
    <s v=""/>
    <s v=""/>
    <s v=""/>
    <s v=""/>
    <s v="-"/>
    <s v="-"/>
    <s v="-"/>
    <s v="-"/>
    <s v="-"/>
    <s v="-"/>
    <n v="0.611726251284561"/>
    <s v=""/>
    <s v=""/>
    <s v="-"/>
    <s v="-"/>
    <n v="0.7279148867923781"/>
    <s v=""/>
    <s v=""/>
    <s v="-"/>
    <s v="-"/>
    <n v="39398500.55"/>
    <n v="0"/>
    <s v=""/>
    <s v="-"/>
    <s v="-"/>
  </r>
  <r>
    <x v="3"/>
    <s v="47"/>
    <x v="3"/>
    <d v="2023-12-16T00:00:00"/>
    <d v="2023-12-22T00:00:00"/>
    <n v="202347"/>
    <n v="805051.7936999999"/>
    <n v="169873.5507586022"/>
    <n v="247637.6774193548"/>
    <n v="1222563.021877957"/>
    <n v="937546.3545056341"/>
    <n v="171104.0753834039"/>
    <n v="266686.729528536"/>
    <n v="1375337.159417574"/>
    <n v="0"/>
    <n v="0"/>
    <n v="0"/>
    <n v="0"/>
    <n v="0"/>
    <n v="44919581.6369608"/>
    <n v="50232208.7450558"/>
    <s v=""/>
    <s v="-"/>
    <s v=""/>
    <s v="-"/>
    <s v=""/>
    <s v=""/>
    <s v=""/>
    <s v=""/>
    <s v=""/>
    <s v=""/>
    <s v=""/>
    <s v=""/>
    <s v=""/>
    <s v=""/>
    <s v="-"/>
    <s v="-"/>
    <s v="-"/>
    <s v="-"/>
    <s v="-"/>
    <s v="-"/>
    <n v="0.6061544191720308"/>
    <s v=""/>
    <s v=""/>
    <s v="-"/>
    <s v="-"/>
    <n v="0.7161872567686273"/>
    <s v=""/>
    <s v=""/>
    <s v="-"/>
    <s v="-"/>
    <n v="38454947.96"/>
    <n v="0"/>
    <s v=""/>
    <s v="-"/>
    <s v="-"/>
  </r>
  <r>
    <x v="3"/>
    <s v="48"/>
    <x v="3"/>
    <d v="2023-12-23T00:00:00"/>
    <d v="2023-12-29T00:00:00"/>
    <n v="202348"/>
    <n v="784904.9129999999"/>
    <n v="169873.5507586022"/>
    <n v="247637.6774193548"/>
    <n v="1202416.141177957"/>
    <n v="899784.0686657772"/>
    <n v="171104.0753834039"/>
    <n v="266686.729528536"/>
    <n v="1337574.873577717"/>
    <n v="0"/>
    <n v="0"/>
    <n v="0"/>
    <n v="0"/>
    <n v="0"/>
    <n v="46121997.77813876"/>
    <n v="51569783.61863352"/>
    <s v=""/>
    <s v="-"/>
    <s v=""/>
    <s v="-"/>
    <s v=""/>
    <s v=""/>
    <s v=""/>
    <s v=""/>
    <s v=""/>
    <s v=""/>
    <s v=""/>
    <s v=""/>
    <s v=""/>
    <s v=""/>
    <s v="-"/>
    <s v="-"/>
    <s v="-"/>
    <s v="-"/>
    <s v="-"/>
    <s v="-"/>
    <n v="0.598032344094639"/>
    <s v=""/>
    <s v=""/>
    <s v="-"/>
    <s v="-"/>
    <n v="0.7051143777181704"/>
    <s v=""/>
    <s v=""/>
    <s v="-"/>
    <s v="-"/>
    <n v="37117476.07"/>
    <n v="0"/>
    <s v=""/>
    <s v="-"/>
    <s v="-"/>
  </r>
  <r>
    <x v="3"/>
    <s v="49"/>
    <x v="3"/>
    <d v="2023-12-30T00:00:00"/>
    <d v="2024-01-05T00:00:00"/>
    <n v="202349"/>
    <n v="760138.9061000001"/>
    <n v="157823.4839551593"/>
    <n v="175132.8917764351"/>
    <n v="1093095.281831595"/>
    <n v="772155.3642064143"/>
    <n v="151469.331516188"/>
    <n v="173706.5978694957"/>
    <n v="1097331.293592098"/>
    <n v="0"/>
    <n v="0"/>
    <n v="0"/>
    <n v="0"/>
    <n v="0"/>
    <n v="47215093.05997035"/>
    <n v="52667114.91222561"/>
    <s v=""/>
    <s v="-"/>
    <s v=""/>
    <s v="-"/>
    <s v=""/>
    <s v=""/>
    <s v=""/>
    <s v=""/>
    <s v=""/>
    <s v=""/>
    <s v=""/>
    <s v=""/>
    <s v=""/>
    <s v=""/>
    <s v="-"/>
    <s v="-"/>
    <s v="-"/>
    <s v="-"/>
    <s v="-"/>
    <s v="-"/>
    <n v="0.5884308003350488"/>
    <s v=""/>
    <s v=""/>
    <s v="-"/>
    <s v="-"/>
    <n v="0.6956619445813353"/>
    <s v=""/>
    <s v=""/>
    <s v="-"/>
    <s v="-"/>
    <n v="35584551.08"/>
    <n v="0"/>
    <s v=""/>
    <s v="-"/>
    <s v="-"/>
  </r>
  <r>
    <x v="3"/>
    <s v="50"/>
    <x v="3"/>
    <d v="2024-01-06T00:00:00"/>
    <d v="2024-01-12T00:00:00"/>
    <n v="202350"/>
    <n v="732895.6303"/>
    <n v="152961.3419505556"/>
    <n v="145771.0666666667"/>
    <n v="1031628.038917222"/>
    <n v="698820.2087110268"/>
    <n v="143546.8100510662"/>
    <n v="136052.9955555555"/>
    <n v="978420.0143176486"/>
    <n v="0"/>
    <n v="0"/>
    <n v="0"/>
    <n v="0"/>
    <n v="0"/>
    <n v="48246721.09888757"/>
    <n v="53645534.92654326"/>
    <s v=""/>
    <s v="-"/>
    <s v=""/>
    <s v="-"/>
    <s v=""/>
    <s v=""/>
    <s v=""/>
    <s v=""/>
    <s v=""/>
    <s v=""/>
    <s v=""/>
    <s v=""/>
    <s v=""/>
    <s v=""/>
    <s v="-"/>
    <s v="-"/>
    <s v="-"/>
    <s v="-"/>
    <s v="-"/>
    <s v="-"/>
    <n v="0.5785382846777871"/>
    <s v=""/>
    <s v=""/>
    <s v="-"/>
    <s v="-"/>
    <n v="0.6885580660832487"/>
    <s v=""/>
    <s v=""/>
    <s v="-"/>
    <s v="-"/>
    <n v="34075328.99"/>
    <n v="0"/>
    <s v=""/>
    <s v="-"/>
    <s v="-"/>
  </r>
  <r>
    <x v="3"/>
    <s v="51"/>
    <x v="3"/>
    <d v="2024-01-13T00:00:00"/>
    <d v="2024-01-19T00:00:00"/>
    <n v="202351"/>
    <n v="705368.25931"/>
    <n v="152961.3419505556"/>
    <n v="145771.0666666667"/>
    <n v="1004100.667927222"/>
    <n v="665305.7457101687"/>
    <n v="143546.8100510662"/>
    <n v="136052.9955555555"/>
    <n v="944905.5513167905"/>
    <n v="0"/>
    <n v="0"/>
    <n v="0"/>
    <n v="0"/>
    <n v="0"/>
    <n v="49250821.76681479"/>
    <n v="54590440.47786005"/>
    <s v=""/>
    <s v="-"/>
    <s v=""/>
    <s v="-"/>
    <s v=""/>
    <s v=""/>
    <s v=""/>
    <s v=""/>
    <s v=""/>
    <s v=""/>
    <s v=""/>
    <s v=""/>
    <s v=""/>
    <s v=""/>
    <s v="-"/>
    <s v="-"/>
    <s v="-"/>
    <s v="-"/>
    <s v="-"/>
    <s v="-"/>
    <n v="0.5695213322830025"/>
    <s v=""/>
    <s v=""/>
    <s v="-"/>
    <s v="-"/>
    <n v="0.6842215599389248"/>
    <s v=""/>
    <s v=""/>
    <s v="-"/>
    <s v="-"/>
    <n v="32791066.52"/>
    <n v="0"/>
    <s v=""/>
    <s v="-"/>
    <s v="-"/>
  </r>
  <r>
    <x v="3"/>
    <s v="52"/>
    <x v="3"/>
    <d v="2024-01-20T00:00:00"/>
    <d v="2024-01-26T00:00:00"/>
    <n v="202352"/>
    <n v="679560.94496"/>
    <n v="152961.3419505556"/>
    <n v="145771.0666666667"/>
    <n v="978293.3535772222"/>
    <n v="638750.8318612798"/>
    <n v="143546.8100510662"/>
    <n v="136052.9955555555"/>
    <n v="918350.6374679016"/>
    <n v="0"/>
    <n v="0"/>
    <n v="0"/>
    <n v="0"/>
    <n v="0"/>
    <n v="50229115.12039201"/>
    <n v="55508791.11532795"/>
    <s v=""/>
    <s v="-"/>
    <s v=""/>
    <s v="-"/>
    <s v=""/>
    <s v=""/>
    <s v=""/>
    <s v=""/>
    <s v=""/>
    <s v=""/>
    <s v=""/>
    <s v=""/>
    <s v=""/>
    <s v=""/>
    <s v="-"/>
    <s v="-"/>
    <s v="-"/>
    <s v="-"/>
    <s v="-"/>
    <s v="-"/>
    <n v="0.5623900955351845"/>
    <s v=""/>
    <s v=""/>
    <s v="-"/>
    <s v="-"/>
    <n v="0.6827295133602713"/>
    <s v=""/>
    <s v=""/>
    <s v="-"/>
    <s v="-"/>
    <n v="31880677.36"/>
    <n v="0"/>
    <s v=""/>
    <s v="-"/>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1100-000000000000}" name="PivotTable2"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8" firstHeaderRow="1" firstDataRow="2" firstDataCol="1"/>
  <pivotFields count="56">
    <pivotField axis="axisRow" showAll="0">
      <items count="5">
        <item x="0"/>
        <item x="1"/>
        <item x="2"/>
        <item x="3"/>
        <item t="default"/>
      </items>
    </pivotField>
    <pivotField showAll="0"/>
    <pivotField axis="axisCol" showAll="0">
      <items count="5">
        <item x="0"/>
        <item x="1"/>
        <item x="2"/>
        <item x="3"/>
        <item t="default"/>
      </items>
    </pivotField>
    <pivotField numFmtId="15" showAll="0"/>
    <pivotField numFmtId="15" showAll="0"/>
    <pivotField showAll="0"/>
    <pivotField numFmtId="168" showAll="0"/>
    <pivotField numFmtId="168" showAll="0"/>
    <pivotField numFmtId="168" showAll="0"/>
    <pivotField dataField="1" numFmtId="168" showAll="0"/>
    <pivotField showAll="0"/>
    <pivotField showAll="0"/>
    <pivotField showAll="0"/>
    <pivotField numFmtId="168" showAll="0"/>
    <pivotField numFmtId="168" showAll="0"/>
    <pivotField numFmtId="168" showAll="0"/>
    <pivotField numFmtId="168" showAll="0"/>
    <pivotField dataField="1" numFmtId="168" showAll="0"/>
    <pivotField numFmtId="168" showAll="0"/>
    <pivotField numFmtId="168" showAll="0"/>
    <pivotField numFmtId="168"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8" showAll="0"/>
    <pivotField showAll="0"/>
    <pivotField showAll="0"/>
    <pivotField showAll="0"/>
  </pivotFields>
  <rowFields count="2">
    <field x="0"/>
    <field x="-2"/>
  </rowFields>
  <rowItems count="14">
    <i>
      <x/>
    </i>
    <i r="1">
      <x/>
    </i>
    <i r="1" i="1">
      <x v="1"/>
    </i>
    <i>
      <x v="1"/>
    </i>
    <i r="1">
      <x/>
    </i>
    <i r="1" i="1">
      <x v="1"/>
    </i>
    <i>
      <x v="2"/>
    </i>
    <i r="1">
      <x/>
    </i>
    <i r="1" i="1">
      <x v="1"/>
    </i>
    <i>
      <x v="3"/>
    </i>
    <i r="1">
      <x/>
    </i>
    <i r="1" i="1">
      <x v="1"/>
    </i>
    <i t="grand">
      <x/>
    </i>
    <i t="grand" i="1">
      <x/>
    </i>
  </rowItems>
  <colFields count="1">
    <field x="2"/>
  </colFields>
  <colItems count="5">
    <i>
      <x/>
    </i>
    <i>
      <x v="1"/>
    </i>
    <i>
      <x v="2"/>
    </i>
    <i>
      <x v="3"/>
    </i>
    <i t="grand">
      <x/>
    </i>
  </colItems>
  <dataFields count="2">
    <dataField name="Sum of Installs__x000a_Forecast_All" fld="9" baseField="0" baseItem="0" numFmtId="168"/>
    <dataField name="Sum of Installs_All" fld="17" baseField="0" baseItem="0"/>
  </dataFields>
  <formats count="1">
    <format dxfId="97">
      <pivotArea outline="0" collapsedLevelsAreSubtotals="1" fieldPosition="0"/>
    </format>
  </formats>
  <pivotTableStyleInfo name="PivotStyleMedium9"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1200-000001000000}"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9" firstHeaderRow="1" firstDataRow="2" firstDataCol="1"/>
  <pivotFields count="47">
    <pivotField axis="axisRow" showAll="0">
      <items count="5">
        <item x="0"/>
        <item x="1"/>
        <item x="2"/>
        <item x="3"/>
        <item t="default"/>
      </items>
    </pivotField>
    <pivotField showAll="0"/>
    <pivotField axis="axisCol" showAll="0">
      <items count="5">
        <item x="0"/>
        <item x="1"/>
        <item x="2"/>
        <item x="3"/>
        <item t="default"/>
      </items>
    </pivotField>
    <pivotField numFmtId="15" showAll="0"/>
    <pivotField numFmtId="15" showAll="0"/>
    <pivotField showAll="0"/>
    <pivotField showAll="0"/>
    <pivotField showAll="0"/>
    <pivotField numFmtId="168" showAll="0"/>
    <pivotField showAll="0"/>
    <pivotField dataField="1" showAll="0"/>
    <pivotField showAll="0"/>
    <pivotField showAll="0"/>
    <pivotField numFmtId="168" showAll="0"/>
    <pivotField showAll="0"/>
    <pivotField showAll="0"/>
    <pivotField showAll="0"/>
    <pivotField showAll="0"/>
    <pivotField numFmtId="168" showAll="0"/>
    <pivotField showAll="0"/>
    <pivotField showAll="0"/>
    <pivotField showAll="0"/>
    <pivotField showAll="0">
      <items count="2">
        <item x="0"/>
        <item t="default"/>
      </items>
    </pivotField>
    <pivotField showAll="0"/>
    <pivotField showAll="0"/>
    <pivotField showAll="0"/>
    <pivotField showAll="0"/>
    <pivotField showAll="0"/>
    <pivotField numFmtId="168"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5">
    <i>
      <x/>
    </i>
    <i>
      <x v="1"/>
    </i>
    <i>
      <x v="2"/>
    </i>
    <i>
      <x v="3"/>
    </i>
    <i t="grand">
      <x/>
    </i>
  </rowItems>
  <colFields count="1">
    <field x="2"/>
  </colFields>
  <colItems count="5">
    <i>
      <x/>
    </i>
    <i>
      <x v="1"/>
    </i>
    <i>
      <x v="2"/>
    </i>
    <i>
      <x v="3"/>
    </i>
    <i t="grand">
      <x/>
    </i>
  </colItems>
  <dataFields count="1">
    <dataField name="Sum of mWeb__x000a_Order" fld="10" baseField="0" baseItem="0"/>
  </dataFields>
  <pivotTableStyleInfo name="PivotStyleMedium9"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20.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
  <sheetViews>
    <sheetView showGridLines="0" workbookViewId="0">
      <selection activeCell="C11" sqref="C11"/>
    </sheetView>
  </sheetViews>
  <sheetFormatPr defaultRowHeight="15"/>
  <cols>
    <col min="1" max="1" width="16.42578125" customWidth="1"/>
    <col min="2" max="2" width="68.42578125" customWidth="1"/>
    <col min="3" max="3" width="47.42578125" customWidth="1"/>
    <col min="4" max="5" width="40.42578125" customWidth="1"/>
  </cols>
  <sheetData>
    <row r="1" spans="1:9" s="37" customFormat="1" ht="23.25" customHeight="1">
      <c r="A1" s="35" t="s">
        <v>0</v>
      </c>
      <c r="B1" s="36" t="s">
        <v>1</v>
      </c>
      <c r="C1" s="36" t="s">
        <v>2</v>
      </c>
      <c r="D1" s="36" t="s">
        <v>3</v>
      </c>
      <c r="E1" s="35" t="s">
        <v>4</v>
      </c>
    </row>
    <row r="2" spans="1:9" s="42" customFormat="1" ht="60" customHeight="1">
      <c r="A2" s="40">
        <v>0</v>
      </c>
      <c r="B2" s="41" t="s">
        <v>5</v>
      </c>
      <c r="C2" s="41" t="s">
        <v>6</v>
      </c>
      <c r="D2" s="41"/>
      <c r="E2" s="41" t="s">
        <v>7</v>
      </c>
    </row>
    <row r="3" spans="1:9" s="42" customFormat="1" ht="51" customHeight="1">
      <c r="A3" s="40" t="s">
        <v>8</v>
      </c>
      <c r="B3" s="150" t="s">
        <v>9</v>
      </c>
      <c r="C3" s="150"/>
      <c r="D3" s="150"/>
      <c r="E3" s="150"/>
    </row>
    <row r="4" spans="1:9" s="42" customFormat="1" ht="75" customHeight="1">
      <c r="A4" s="40">
        <v>1</v>
      </c>
      <c r="B4" s="150" t="s">
        <v>10</v>
      </c>
      <c r="C4" s="150" t="s">
        <v>11</v>
      </c>
      <c r="D4" s="150"/>
      <c r="E4" s="150" t="s">
        <v>12</v>
      </c>
    </row>
    <row r="5" spans="1:9" s="42" customFormat="1" ht="45" customHeight="1">
      <c r="A5" s="40">
        <v>2</v>
      </c>
      <c r="B5" s="150" t="s">
        <v>13</v>
      </c>
      <c r="C5" s="150" t="s">
        <v>14</v>
      </c>
      <c r="D5" s="150"/>
      <c r="E5" s="152"/>
    </row>
    <row r="6" spans="1:9" s="42" customFormat="1" ht="30" customHeight="1">
      <c r="A6" s="40">
        <v>3</v>
      </c>
      <c r="B6" s="150" t="s">
        <v>15</v>
      </c>
      <c r="C6" s="150"/>
      <c r="D6" s="150"/>
      <c r="E6" s="153"/>
      <c r="I6" s="42" t="s">
        <v>16</v>
      </c>
    </row>
    <row r="7" spans="1:9" s="42" customFormat="1">
      <c r="A7" s="40">
        <v>5</v>
      </c>
      <c r="B7" s="150" t="s">
        <v>17</v>
      </c>
      <c r="C7" s="150"/>
      <c r="D7" s="154"/>
      <c r="E7" s="155"/>
    </row>
    <row r="8" spans="1:9" s="42" customFormat="1" ht="90" customHeight="1">
      <c r="A8" s="40">
        <v>6</v>
      </c>
      <c r="B8" s="150" t="s">
        <v>18</v>
      </c>
      <c r="C8" s="150" t="s">
        <v>19</v>
      </c>
      <c r="D8" s="150"/>
      <c r="E8" s="151" t="s">
        <v>20</v>
      </c>
      <c r="H8" s="40" t="s">
        <v>21</v>
      </c>
    </row>
    <row r="9" spans="1:9" s="42" customFormat="1">
      <c r="A9" s="43">
        <v>7</v>
      </c>
      <c r="B9" s="156" t="s">
        <v>22</v>
      </c>
      <c r="C9" s="156"/>
      <c r="D9" s="156"/>
      <c r="E9" s="153"/>
    </row>
    <row r="10" spans="1:9" s="42" customFormat="1" ht="75" customHeight="1">
      <c r="A10" s="44">
        <v>8</v>
      </c>
      <c r="B10" s="157" t="s">
        <v>23</v>
      </c>
      <c r="C10" s="157" t="s">
        <v>24</v>
      </c>
      <c r="D10" s="157"/>
      <c r="E10" s="155" t="s">
        <v>25</v>
      </c>
    </row>
    <row r="11" spans="1:9" s="42" customFormat="1" ht="60" customHeight="1">
      <c r="A11" s="44">
        <v>9</v>
      </c>
      <c r="B11" s="45" t="s">
        <v>26</v>
      </c>
      <c r="C11" s="45" t="s">
        <v>27</v>
      </c>
      <c r="D11" s="45"/>
      <c r="E11" s="44" t="s">
        <v>28</v>
      </c>
    </row>
    <row r="12" spans="1:9" s="42" customFormat="1">
      <c r="A12" s="44">
        <v>10</v>
      </c>
      <c r="B12" s="45" t="s">
        <v>29</v>
      </c>
      <c r="C12" s="45"/>
      <c r="D12" s="45"/>
      <c r="E12" s="44"/>
    </row>
    <row r="13" spans="1:9" ht="60" customHeight="1">
      <c r="A13" s="44">
        <v>11</v>
      </c>
      <c r="B13" s="45" t="s">
        <v>30</v>
      </c>
      <c r="C13" s="39" t="s">
        <v>31</v>
      </c>
      <c r="D13" s="39"/>
      <c r="E13" s="45" t="s">
        <v>32</v>
      </c>
    </row>
    <row r="14" spans="1:9" ht="45" customHeight="1">
      <c r="A14" s="44">
        <v>12</v>
      </c>
      <c r="B14" s="45" t="s">
        <v>33</v>
      </c>
      <c r="C14" s="38"/>
      <c r="D14" s="38"/>
      <c r="E14" s="39" t="s">
        <v>34</v>
      </c>
    </row>
  </sheetData>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87"/>
  <sheetViews>
    <sheetView showGridLines="0" workbookViewId="0">
      <selection activeCell="L19" sqref="L19"/>
    </sheetView>
  </sheetViews>
  <sheetFormatPr defaultRowHeight="15"/>
  <cols>
    <col min="1" max="1" width="28.5703125" customWidth="1"/>
    <col min="2" max="2" width="30" customWidth="1"/>
    <col min="3" max="3" width="38.42578125" customWidth="1"/>
    <col min="4" max="4" width="21.42578125" bestFit="1" customWidth="1"/>
    <col min="5" max="5" width="16.42578125" customWidth="1"/>
    <col min="10" max="10" width="25" customWidth="1"/>
  </cols>
  <sheetData>
    <row r="1" spans="1:13">
      <c r="A1" t="s">
        <v>35</v>
      </c>
      <c r="B1" t="s">
        <v>1</v>
      </c>
      <c r="C1" t="s">
        <v>36</v>
      </c>
      <c r="D1" t="s">
        <v>37</v>
      </c>
      <c r="E1" t="s">
        <v>38</v>
      </c>
    </row>
    <row r="2" spans="1:13">
      <c r="A2" t="s">
        <v>39</v>
      </c>
      <c r="B2" t="s">
        <v>40</v>
      </c>
    </row>
    <row r="3" spans="1:13">
      <c r="A3" t="s">
        <v>39</v>
      </c>
      <c r="B3" t="s">
        <v>41</v>
      </c>
      <c r="C3" t="s">
        <v>42</v>
      </c>
      <c r="J3" s="28" t="s">
        <v>43</v>
      </c>
      <c r="K3" s="28"/>
      <c r="L3" s="28"/>
      <c r="M3" s="28"/>
    </row>
    <row r="4" spans="1:13">
      <c r="A4" t="s">
        <v>39</v>
      </c>
      <c r="B4" t="s">
        <v>44</v>
      </c>
      <c r="C4" t="s">
        <v>42</v>
      </c>
      <c r="J4" t="s">
        <v>45</v>
      </c>
      <c r="K4" t="s">
        <v>46</v>
      </c>
    </row>
    <row r="5" spans="1:13">
      <c r="A5" t="s">
        <v>39</v>
      </c>
      <c r="B5" t="s">
        <v>47</v>
      </c>
      <c r="C5" t="s">
        <v>42</v>
      </c>
    </row>
    <row r="6" spans="1:13">
      <c r="A6" t="s">
        <v>39</v>
      </c>
      <c r="B6" t="s">
        <v>48</v>
      </c>
      <c r="C6" t="s">
        <v>42</v>
      </c>
      <c r="D6" t="s">
        <v>49</v>
      </c>
    </row>
    <row r="7" spans="1:13">
      <c r="A7" t="s">
        <v>39</v>
      </c>
      <c r="B7" t="s">
        <v>50</v>
      </c>
      <c r="D7" t="s">
        <v>51</v>
      </c>
    </row>
    <row r="8" spans="1:13" ht="17.25" customHeight="1">
      <c r="A8" t="s">
        <v>39</v>
      </c>
      <c r="B8" t="s">
        <v>52</v>
      </c>
      <c r="D8" s="138" t="s">
        <v>53</v>
      </c>
    </row>
    <row r="9" spans="1:13" ht="17.25" customHeight="1">
      <c r="A9" t="s">
        <v>39</v>
      </c>
      <c r="B9" t="s">
        <v>54</v>
      </c>
      <c r="D9" s="138" t="s">
        <v>55</v>
      </c>
    </row>
    <row r="10" spans="1:13" ht="17.25" customHeight="1">
      <c r="A10" t="s">
        <v>39</v>
      </c>
      <c r="B10" t="s">
        <v>56</v>
      </c>
      <c r="D10" s="138"/>
    </row>
    <row r="11" spans="1:13">
      <c r="A11" t="s">
        <v>39</v>
      </c>
      <c r="B11" t="s">
        <v>57</v>
      </c>
    </row>
    <row r="12" spans="1:13">
      <c r="A12" t="s">
        <v>39</v>
      </c>
      <c r="B12" t="s">
        <v>58</v>
      </c>
    </row>
    <row r="13" spans="1:13">
      <c r="A13" t="s">
        <v>39</v>
      </c>
      <c r="B13" t="s">
        <v>59</v>
      </c>
    </row>
    <row r="14" spans="1:13">
      <c r="A14" t="s">
        <v>39</v>
      </c>
      <c r="B14" t="s">
        <v>60</v>
      </c>
    </row>
    <row r="15" spans="1:13">
      <c r="A15" t="s">
        <v>39</v>
      </c>
      <c r="B15" t="s">
        <v>61</v>
      </c>
    </row>
    <row r="16" spans="1:13">
      <c r="A16" t="s">
        <v>39</v>
      </c>
      <c r="B16" t="s">
        <v>62</v>
      </c>
    </row>
    <row r="17" spans="1:2">
      <c r="A17" t="s">
        <v>39</v>
      </c>
      <c r="B17" t="s">
        <v>63</v>
      </c>
    </row>
    <row r="18" spans="1:2">
      <c r="A18" t="s">
        <v>39</v>
      </c>
      <c r="B18" t="s">
        <v>64</v>
      </c>
    </row>
    <row r="19" spans="1:2">
      <c r="A19" t="s">
        <v>39</v>
      </c>
      <c r="B19" t="s">
        <v>65</v>
      </c>
    </row>
    <row r="20" spans="1:2">
      <c r="A20" t="s">
        <v>39</v>
      </c>
      <c r="B20" t="s">
        <v>66</v>
      </c>
    </row>
    <row r="21" spans="1:2">
      <c r="A21" t="s">
        <v>39</v>
      </c>
      <c r="B21" t="s">
        <v>67</v>
      </c>
    </row>
    <row r="22" spans="1:2">
      <c r="A22" t="s">
        <v>39</v>
      </c>
      <c r="B22" t="s">
        <v>68</v>
      </c>
    </row>
    <row r="23" spans="1:2">
      <c r="A23" t="s">
        <v>39</v>
      </c>
      <c r="B23" t="s">
        <v>69</v>
      </c>
    </row>
    <row r="24" spans="1:2">
      <c r="A24" t="s">
        <v>39</v>
      </c>
      <c r="B24" t="s">
        <v>70</v>
      </c>
    </row>
    <row r="25" spans="1:2">
      <c r="A25" t="s">
        <v>39</v>
      </c>
      <c r="B25" t="s">
        <v>71</v>
      </c>
    </row>
    <row r="26" spans="1:2">
      <c r="A26" t="s">
        <v>39</v>
      </c>
      <c r="B26" t="s">
        <v>72</v>
      </c>
    </row>
    <row r="27" spans="1:2">
      <c r="A27" t="s">
        <v>39</v>
      </c>
      <c r="B27" t="s">
        <v>73</v>
      </c>
    </row>
    <row r="28" spans="1:2">
      <c r="A28" t="s">
        <v>39</v>
      </c>
      <c r="B28" t="s">
        <v>74</v>
      </c>
    </row>
    <row r="29" spans="1:2">
      <c r="A29" t="s">
        <v>39</v>
      </c>
      <c r="B29" t="s">
        <v>75</v>
      </c>
    </row>
    <row r="30" spans="1:2">
      <c r="A30" t="s">
        <v>39</v>
      </c>
      <c r="B30" t="s">
        <v>76</v>
      </c>
    </row>
    <row r="31" spans="1:2">
      <c r="A31" t="s">
        <v>39</v>
      </c>
      <c r="B31" t="s">
        <v>77</v>
      </c>
    </row>
    <row r="32" spans="1:2">
      <c r="A32" t="s">
        <v>39</v>
      </c>
      <c r="B32" t="s">
        <v>78</v>
      </c>
    </row>
    <row r="33" spans="1:2">
      <c r="A33" t="s">
        <v>39</v>
      </c>
      <c r="B33" t="s">
        <v>79</v>
      </c>
    </row>
    <row r="34" spans="1:2">
      <c r="A34" t="s">
        <v>39</v>
      </c>
      <c r="B34" t="s">
        <v>80</v>
      </c>
    </row>
    <row r="35" spans="1:2">
      <c r="A35" t="s">
        <v>39</v>
      </c>
      <c r="B35" t="s">
        <v>81</v>
      </c>
    </row>
    <row r="36" spans="1:2">
      <c r="A36" t="s">
        <v>39</v>
      </c>
      <c r="B36" t="s">
        <v>82</v>
      </c>
    </row>
    <row r="37" spans="1:2">
      <c r="A37" t="s">
        <v>39</v>
      </c>
      <c r="B37" t="s">
        <v>83</v>
      </c>
    </row>
    <row r="38" spans="1:2">
      <c r="A38" t="s">
        <v>39</v>
      </c>
      <c r="B38" t="s">
        <v>84</v>
      </c>
    </row>
    <row r="39" spans="1:2">
      <c r="A39" t="s">
        <v>39</v>
      </c>
      <c r="B39" t="s">
        <v>85</v>
      </c>
    </row>
    <row r="40" spans="1:2">
      <c r="A40" t="s">
        <v>39</v>
      </c>
      <c r="B40" s="18" t="s">
        <v>86</v>
      </c>
    </row>
    <row r="41" spans="1:2">
      <c r="A41" t="s">
        <v>39</v>
      </c>
      <c r="B41" t="s">
        <v>87</v>
      </c>
    </row>
    <row r="42" spans="1:2">
      <c r="A42" t="s">
        <v>39</v>
      </c>
      <c r="B42" t="s">
        <v>88</v>
      </c>
    </row>
    <row r="43" spans="1:2">
      <c r="A43" t="s">
        <v>39</v>
      </c>
      <c r="B43" t="s">
        <v>89</v>
      </c>
    </row>
    <row r="44" spans="1:2">
      <c r="A44" t="s">
        <v>39</v>
      </c>
      <c r="B44" t="s">
        <v>90</v>
      </c>
    </row>
    <row r="45" spans="1:2">
      <c r="A45" t="s">
        <v>39</v>
      </c>
      <c r="B45" t="s">
        <v>91</v>
      </c>
    </row>
    <row r="46" spans="1:2">
      <c r="A46" t="s">
        <v>39</v>
      </c>
      <c r="B46" t="s">
        <v>92</v>
      </c>
    </row>
    <row r="47" spans="1:2">
      <c r="A47" t="s">
        <v>39</v>
      </c>
      <c r="B47" t="s">
        <v>93</v>
      </c>
    </row>
    <row r="48" spans="1:2">
      <c r="A48" t="s">
        <v>39</v>
      </c>
      <c r="B48" t="s">
        <v>94</v>
      </c>
    </row>
    <row r="49" spans="1:2">
      <c r="A49" t="s">
        <v>39</v>
      </c>
      <c r="B49" t="s">
        <v>95</v>
      </c>
    </row>
    <row r="50" spans="1:2">
      <c r="A50" t="s">
        <v>39</v>
      </c>
      <c r="B50" t="s">
        <v>96</v>
      </c>
    </row>
    <row r="51" spans="1:2">
      <c r="A51" t="s">
        <v>39</v>
      </c>
      <c r="B51" t="s">
        <v>97</v>
      </c>
    </row>
    <row r="52" spans="1:2">
      <c r="A52" t="s">
        <v>39</v>
      </c>
      <c r="B52" t="s">
        <v>98</v>
      </c>
    </row>
    <row r="53" spans="1:2">
      <c r="A53" t="s">
        <v>39</v>
      </c>
      <c r="B53" t="s">
        <v>99</v>
      </c>
    </row>
    <row r="54" spans="1:2">
      <c r="A54" t="s">
        <v>39</v>
      </c>
      <c r="B54" t="s">
        <v>100</v>
      </c>
    </row>
    <row r="55" spans="1:2">
      <c r="A55" t="s">
        <v>39</v>
      </c>
      <c r="B55" t="s">
        <v>101</v>
      </c>
    </row>
    <row r="56" spans="1:2">
      <c r="A56" t="s">
        <v>39</v>
      </c>
      <c r="B56" t="s">
        <v>102</v>
      </c>
    </row>
    <row r="57" spans="1:2">
      <c r="A57" t="s">
        <v>39</v>
      </c>
      <c r="B57" t="s">
        <v>103</v>
      </c>
    </row>
    <row r="58" spans="1:2">
      <c r="A58" t="s">
        <v>39</v>
      </c>
      <c r="B58" t="s">
        <v>104</v>
      </c>
    </row>
    <row r="59" spans="1:2">
      <c r="A59" t="s">
        <v>39</v>
      </c>
      <c r="B59" t="s">
        <v>105</v>
      </c>
    </row>
    <row r="60" spans="1:2">
      <c r="A60" t="s">
        <v>39</v>
      </c>
      <c r="B60" t="s">
        <v>106</v>
      </c>
    </row>
    <row r="61" spans="1:2">
      <c r="A61" t="s">
        <v>39</v>
      </c>
      <c r="B61" t="s">
        <v>107</v>
      </c>
    </row>
    <row r="62" spans="1:2">
      <c r="A62" t="s">
        <v>39</v>
      </c>
      <c r="B62" t="s">
        <v>108</v>
      </c>
    </row>
    <row r="63" spans="1:2">
      <c r="A63" t="s">
        <v>39</v>
      </c>
      <c r="B63" t="s">
        <v>109</v>
      </c>
    </row>
    <row r="64" spans="1:2">
      <c r="A64" t="s">
        <v>39</v>
      </c>
      <c r="B64" t="s">
        <v>110</v>
      </c>
    </row>
    <row r="65" spans="1:3">
      <c r="A65" t="s">
        <v>39</v>
      </c>
      <c r="B65" t="s">
        <v>111</v>
      </c>
    </row>
    <row r="66" spans="1:3">
      <c r="A66" t="s">
        <v>39</v>
      </c>
      <c r="B66" t="s">
        <v>112</v>
      </c>
    </row>
    <row r="67" spans="1:3">
      <c r="A67" t="s">
        <v>39</v>
      </c>
      <c r="B67" t="s">
        <v>113</v>
      </c>
    </row>
    <row r="68" spans="1:3">
      <c r="A68" t="s">
        <v>39</v>
      </c>
      <c r="B68" t="s">
        <v>114</v>
      </c>
    </row>
    <row r="69" spans="1:3">
      <c r="A69" t="s">
        <v>39</v>
      </c>
      <c r="B69" t="s">
        <v>115</v>
      </c>
    </row>
    <row r="70" spans="1:3">
      <c r="A70" t="s">
        <v>39</v>
      </c>
      <c r="B70" t="s">
        <v>116</v>
      </c>
    </row>
    <row r="71" spans="1:3">
      <c r="A71" t="s">
        <v>39</v>
      </c>
      <c r="B71" t="s">
        <v>117</v>
      </c>
    </row>
    <row r="72" spans="1:3">
      <c r="A72" t="s">
        <v>39</v>
      </c>
      <c r="B72" t="s">
        <v>118</v>
      </c>
    </row>
    <row r="73" spans="1:3">
      <c r="A73" t="s">
        <v>39</v>
      </c>
      <c r="B73" t="s">
        <v>119</v>
      </c>
    </row>
    <row r="74" spans="1:3">
      <c r="A74" t="s">
        <v>39</v>
      </c>
      <c r="B74" t="s">
        <v>120</v>
      </c>
    </row>
    <row r="75" spans="1:3">
      <c r="A75" t="s">
        <v>39</v>
      </c>
      <c r="B75" t="s">
        <v>121</v>
      </c>
    </row>
    <row r="76" spans="1:3">
      <c r="A76" t="s">
        <v>39</v>
      </c>
      <c r="B76" t="s">
        <v>122</v>
      </c>
    </row>
    <row r="77" spans="1:3">
      <c r="A77" t="s">
        <v>39</v>
      </c>
      <c r="B77" t="s">
        <v>123</v>
      </c>
    </row>
    <row r="78" spans="1:3">
      <c r="A78" t="s">
        <v>39</v>
      </c>
      <c r="B78" t="s">
        <v>124</v>
      </c>
    </row>
    <row r="79" spans="1:3">
      <c r="A79" t="s">
        <v>39</v>
      </c>
      <c r="B79" t="s">
        <v>125</v>
      </c>
      <c r="C79" s="28" t="s">
        <v>126</v>
      </c>
    </row>
    <row r="80" spans="1:3">
      <c r="A80" t="s">
        <v>39</v>
      </c>
      <c r="B80" t="s">
        <v>127</v>
      </c>
      <c r="C80" s="28" t="s">
        <v>128</v>
      </c>
    </row>
    <row r="81" spans="1:2">
      <c r="A81" t="s">
        <v>39</v>
      </c>
      <c r="B81" t="s">
        <v>129</v>
      </c>
    </row>
    <row r="82" spans="1:2">
      <c r="A82" t="s">
        <v>39</v>
      </c>
      <c r="B82" t="s">
        <v>130</v>
      </c>
    </row>
    <row r="83" spans="1:2">
      <c r="A83" t="s">
        <v>39</v>
      </c>
      <c r="B83" t="s">
        <v>131</v>
      </c>
    </row>
    <row r="84" spans="1:2">
      <c r="A84" t="s">
        <v>39</v>
      </c>
      <c r="B84" t="s">
        <v>132</v>
      </c>
    </row>
    <row r="85" spans="1:2">
      <c r="A85" t="s">
        <v>39</v>
      </c>
      <c r="B85" t="s">
        <v>133</v>
      </c>
    </row>
    <row r="86" spans="1:2">
      <c r="A86" t="s">
        <v>134</v>
      </c>
    </row>
    <row r="87" spans="1:2">
      <c r="A87" t="s">
        <v>135</v>
      </c>
    </row>
  </sheetData>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O53"/>
  <sheetViews>
    <sheetView showGridLines="0" zoomScale="80" zoomScaleNormal="80" workbookViewId="0">
      <selection activeCell="C2" sqref="C2"/>
    </sheetView>
  </sheetViews>
  <sheetFormatPr defaultColWidth="9.42578125" defaultRowHeight="15"/>
  <cols>
    <col min="1" max="1" width="4" style="78" customWidth="1"/>
    <col min="2" max="2" width="9.42578125" style="78" customWidth="1"/>
    <col min="3" max="3" width="29" style="78" bestFit="1" customWidth="1"/>
    <col min="4" max="4" width="76" style="158" bestFit="1" customWidth="1"/>
    <col min="5" max="5" width="72.5703125" style="159" bestFit="1" customWidth="1"/>
    <col min="6" max="75" width="9.42578125" style="78" customWidth="1"/>
    <col min="76" max="16384" width="9.42578125" style="78"/>
  </cols>
  <sheetData>
    <row r="1" spans="2:15" ht="15.75" customHeight="1" thickBot="1"/>
    <row r="2" spans="2:15" ht="18" customHeight="1" thickBot="1">
      <c r="B2" s="160" t="s">
        <v>136</v>
      </c>
      <c r="C2" s="161">
        <f>'Overall Metrics'!A1</f>
        <v>202505</v>
      </c>
    </row>
    <row r="3" spans="2:15" ht="15.75" customHeight="1" thickBot="1"/>
    <row r="4" spans="2:15" ht="18" customHeight="1" thickBot="1">
      <c r="B4" s="392" t="s">
        <v>137</v>
      </c>
      <c r="C4" s="393" t="s">
        <v>138</v>
      </c>
      <c r="D4" s="393" t="s">
        <v>2</v>
      </c>
      <c r="E4" s="394" t="s">
        <v>139</v>
      </c>
    </row>
    <row r="5" spans="2:15" ht="17.25" customHeight="1">
      <c r="B5" s="987">
        <v>1</v>
      </c>
      <c r="C5" s="988" t="s">
        <v>140</v>
      </c>
      <c r="D5" s="395" t="s">
        <v>141</v>
      </c>
      <c r="E5" s="396" t="str">
        <f>IFERROR(IF(VLOOKUP(C2,'Overall Metrics'!$F$7:$BK$1085,COLUMNS('Overall Metrics'!F7:N7),FALSE)=SUM(VLOOKUP(C2,'Overall Metrics'!$F$7:$BK$1085,COLUMNS('Overall Metrics'!F7:AV7),FALSE),VLOOKUP(C2,'Overall Metrics'!$F$7:$BK$1085,COLUMNS('Overall Metrics'!F7:AY7),FALSE)),"OK","Sum of attributed and misattributed does not equal paid overall."),"")</f>
        <v>OK</v>
      </c>
    </row>
    <row r="6" spans="2:15" ht="17.25" customHeight="1">
      <c r="B6" s="984"/>
      <c r="C6" s="986"/>
      <c r="D6" s="397" t="s">
        <v>142</v>
      </c>
      <c r="E6" s="398" t="str">
        <f>IFERROR(IF(VLOOKUP(C2,'Overall Metrics'!$F$7:$BK$1085,COLUMNS('Overall Metrics'!F7:H7),FALSE)=SUM(VLOOKUP(C2,'Overall Metrics'!$F$7:$BK$1085,COLUMNS('Overall Metrics'!F7:AZ7),FALSE),VLOOKUP(C2,'Overall Metrics'!$F$7:$BK$1085,COLUMNS('Overall Metrics'!F7:BB7),FALSE),VLOOKUP(C2,'Overall Metrics'!$F$7:$BK$1085,COLUMNS('Overall Metrics'!F7:BD7),FALSE)),"OK","Sum of category installs does not equal all Android installs."),"")</f>
        <v>OK</v>
      </c>
      <c r="J6" s="425"/>
      <c r="K6" s="425"/>
      <c r="L6" s="405"/>
    </row>
    <row r="7" spans="2:15" ht="17.25" customHeight="1">
      <c r="B7" s="984"/>
      <c r="C7" s="986"/>
      <c r="D7" s="397" t="s">
        <v>143</v>
      </c>
      <c r="E7" s="398" t="str">
        <f>IFERROR(IF(VLOOKUP(C2,'Overall Metrics'!$F$7:$BK$1085,COLUMNS('Overall Metrics'!F7:I7),FALSE)=SUM(VLOOKUP(C2,'Overall Metrics'!$F$7:$BK$1085,COLUMNS('Overall Metrics'!F7:BA7),FALSE),VLOOKUP(C2,'Overall Metrics'!$F$7:$BK$1085,COLUMNS('Overall Metrics'!F7:BC7),FALSE),VLOOKUP(C2,'Overall Metrics'!$F$7:$BK$1085,COLUMNS('Overall Metrics'!F7:BE7),FALSE)),"OK","Sum of category installs does not equal all iOS installs."),"")</f>
        <v>OK</v>
      </c>
      <c r="J7" s="426"/>
      <c r="K7" s="426"/>
    </row>
    <row r="8" spans="2:15" ht="17.25" customHeight="1">
      <c r="B8" s="984"/>
      <c r="C8" s="986"/>
      <c r="D8" s="397" t="s">
        <v>144</v>
      </c>
      <c r="E8" s="398" t="str">
        <f>IFERROR(IF(OR('Overall Metrics'!G1&gt;=0.1,'Overall Metrics'!G1&lt;=-0.1),"WoW variation in installs is more than 10% - debug / figure out the drivers", "No action."),"")</f>
        <v>No action.</v>
      </c>
      <c r="J8" s="426"/>
      <c r="K8" s="426"/>
    </row>
    <row r="9" spans="2:15" ht="17.25" customHeight="1">
      <c r="B9" s="984"/>
      <c r="C9" s="986"/>
      <c r="D9" s="397" t="s">
        <v>145</v>
      </c>
      <c r="E9" s="398" t="str">
        <f>IFERROR(IF(OR('Overall Metrics'!G2&gt;=0.1,'Overall Metrics'!G2&lt;=-0.1),"YoY variation in installs is more than 10% - debug / figure out the drivers", "No action."),"")</f>
        <v>No action.</v>
      </c>
      <c r="J9" s="426"/>
      <c r="K9" s="426"/>
    </row>
    <row r="10" spans="2:15" ht="17.25" customHeight="1">
      <c r="B10" s="984"/>
      <c r="C10" s="986"/>
      <c r="D10" s="397" t="s">
        <v>146</v>
      </c>
      <c r="E10" s="398" t="str">
        <f>IFERROR(IF(ABS(VLOOKUP(C2,'Overall Metrics'!$F$7:$BK$1085,COLUMNS('Overall Metrics'!$F:$W),FALSE)-SUM(VLOOKUP(C2,'Overall Metrics'!$F$7:$BK$1085,COLUMNS('Overall Metrics'!$F:$Z),FALSE),VLOOKUP(C2,'Overall Metrics'!$F$7:$BK$1085,COLUMNS('Overall Metrics'!$F:$AA),FALSE))&lt;=1),"OK","Sum of Android and iOS does not equal all spend."),"")</f>
        <v>OK</v>
      </c>
    </row>
    <row r="11" spans="2:15" ht="17.25" customHeight="1">
      <c r="B11" s="983">
        <v>2</v>
      </c>
      <c r="C11" s="985" t="s">
        <v>147</v>
      </c>
      <c r="D11" s="397" t="s">
        <v>148</v>
      </c>
      <c r="E11" s="398" t="str">
        <f>IFERROR(IF(VLOOKUP(C2,'Overall Metrics'!$F$7:$BK$334,COLUMNS('Overall Metrics'!$F:$AY),FALSE)=VLOOKUP(C2,'Channel &amp; Campaign Metrics'!$F$6:$BX$400,COLUMNS('Channel &amp; Campaign Metrics'!$F:$Y),FALSE),"OK","There is a discrepancy."),"")</f>
        <v>OK</v>
      </c>
      <c r="J11" s="405"/>
    </row>
    <row r="12" spans="2:15" ht="17.25" customHeight="1">
      <c r="B12" s="984"/>
      <c r="C12" s="986"/>
      <c r="D12" s="397" t="s">
        <v>149</v>
      </c>
      <c r="E12" s="398" t="str">
        <f>IFERROR(IF(OR('Channel &amp; Campaign Metrics'!AR1&gt;=0.1,'Channel &amp; Campaign Metrics'!AR1&lt;=-0.1),"More than 10% variation WoW. Debug / figure out the reason","OK"),"")</f>
        <v>OK</v>
      </c>
    </row>
    <row r="13" spans="2:15" ht="17.25" customHeight="1">
      <c r="B13" s="984"/>
      <c r="C13" s="986"/>
      <c r="D13" s="397" t="s">
        <v>150</v>
      </c>
      <c r="E13" s="398" t="str">
        <f>IFERROR(IF(OR('Channel &amp; Campaign Metrics'!BI1&gt;=0.1,'Channel &amp; Campaign Metrics'!BI1&lt;=-0.1),"More than 10% variation WoW. Debug / figure out the reason","OK"),"")</f>
        <v>More than 10% variation WoW. Debug / figure out the reason</v>
      </c>
      <c r="K13" s="405"/>
    </row>
    <row r="14" spans="2:15" ht="17.25" customHeight="1">
      <c r="B14" s="984"/>
      <c r="C14" s="986"/>
      <c r="D14" s="397" t="s">
        <v>151</v>
      </c>
      <c r="E14" s="398" t="str">
        <f>IFERROR(IF(OR('Channel &amp; Campaign Metrics'!BN1&gt;=0.1,'Channel &amp; Campaign Metrics'!BN1&lt;=-0.1),"More than 10% variation WoW. Debug / figure out the reason","OK"),"")</f>
        <v>OK</v>
      </c>
      <c r="J14" s="425"/>
    </row>
    <row r="15" spans="2:15" ht="17.25" customHeight="1">
      <c r="B15" s="984"/>
      <c r="C15" s="986"/>
      <c r="D15" s="397" t="s">
        <v>152</v>
      </c>
      <c r="E15" s="398" t="str">
        <f>IFERROR(IF(OR('Channel &amp; Campaign Metrics'!BX1&gt;=0.1,'Channel &amp; Campaign Metrics'!BX1&lt;=-0.1),"More than 10% variation WoW. Debug / figure out the reason","OK"),"")</f>
        <v>More than 10% variation WoW. Debug / figure out the reason</v>
      </c>
      <c r="J15" s="426"/>
      <c r="K15" s="426"/>
    </row>
    <row r="16" spans="2:15" ht="17.25" customHeight="1">
      <c r="B16" s="983">
        <v>3</v>
      </c>
      <c r="C16" s="985" t="s">
        <v>153</v>
      </c>
      <c r="D16" s="397" t="s">
        <v>154</v>
      </c>
      <c r="E16" s="398" t="str">
        <f>IFERROR(IF(OR('Glass Metrics'!I1&gt;=0.1,'Glass Metrics'!I1&lt;=-0.1),"More than 10% variation WoW. Debug / figure out the reason.","OK"),"")</f>
        <v>More than 10% variation WoW. Debug / figure out the reason.</v>
      </c>
      <c r="K16" s="427"/>
      <c r="O16" s="428"/>
    </row>
    <row r="17" spans="2:10" ht="17.25" customHeight="1">
      <c r="B17" s="984"/>
      <c r="C17" s="986"/>
      <c r="D17" s="397" t="s">
        <v>155</v>
      </c>
      <c r="E17" s="398" t="str">
        <f>IFERROR(IF(OR('Glass Metrics'!N1&gt;=0.1,'Glass Metrics'!N1&lt;=-0.1),"More than 10% variation WoW. Debug / figure out the reason.","OK"),"")</f>
        <v>More than 10% variation WoW. Debug / figure out the reason.</v>
      </c>
      <c r="J17" s="426"/>
    </row>
    <row r="18" spans="2:10" ht="17.25" customHeight="1">
      <c r="B18" s="984"/>
      <c r="C18" s="986"/>
      <c r="D18" s="397" t="s">
        <v>156</v>
      </c>
      <c r="E18" s="398" t="str">
        <f>IFERROR(IF(OR('Glass Metrics'!S1&gt;=0.1,'Glass Metrics'!S1&lt;=-0.1),"More than 10% variation WoW. Debug / figure out the reason.","OK"),"")</f>
        <v>More than 10% variation WoW. Debug / figure out the reason.</v>
      </c>
      <c r="J18" s="425"/>
    </row>
    <row r="19" spans="2:10" ht="17.25" customHeight="1">
      <c r="B19" s="984"/>
      <c r="C19" s="986"/>
      <c r="D19" s="397" t="s">
        <v>157</v>
      </c>
      <c r="E19" s="398" t="str">
        <f>IFERROR(IF(OR('Glass Metrics'!AC1&gt;=0.1,'Glass Metrics'!AC1&lt;=-0.1),"More than 10% variation WoW. Debug / figure out the reason.","OK"),"")</f>
        <v>More than 10% variation WoW. Debug / figure out the reason.</v>
      </c>
      <c r="J19" s="425"/>
    </row>
    <row r="20" spans="2:10" ht="17.25" customHeight="1">
      <c r="B20" s="399">
        <v>4</v>
      </c>
      <c r="C20" s="397" t="s">
        <v>158</v>
      </c>
      <c r="D20" s="397" t="s">
        <v>159</v>
      </c>
      <c r="E20" s="398" t="str">
        <f>IFERROR(IF(ABS((VLOOKUP(C2,'Glass Metrics'!$F$7:$AU$400,COLUMNS('Glass Metrics'!F:AC),FALSE)/VLOOKUP(C2,'Lifecycle (Glass)'!F6:Y400,COLUMNS('Lifecycle (Glass)'!F:G),FALSE))-1)&lt;=0.03,"OK","More than 3% discrepancy."),"")</f>
        <v>More than 3% discrepancy.</v>
      </c>
    </row>
    <row r="21" spans="2:10" ht="18" customHeight="1" thickBot="1">
      <c r="B21" s="400">
        <v>5</v>
      </c>
      <c r="C21" s="401" t="s">
        <v>160</v>
      </c>
      <c r="D21" s="401" t="s">
        <v>161</v>
      </c>
      <c r="E21" s="402" t="str">
        <f>IFERROR(IF(ABS(VLOOKUP(C2,'Glass Metrics'!$F$7:$AU$400,COLUMNS('Glass Metrics'!F:X),FALSE)/VLOOKUP(C2,'Customer Segmentation'!$F$9:$R$400,COLUMNS('Customer Segmentation'!F:J),FALSE) - 1)&lt;0.015,"OK","Numbers vary signficantly."),"")</f>
        <v>Numbers vary signficantly.</v>
      </c>
    </row>
    <row r="24" spans="2:10">
      <c r="B24" s="426"/>
      <c r="C24" s="405"/>
      <c r="D24" s="406"/>
    </row>
    <row r="25" spans="2:10">
      <c r="B25" s="426"/>
      <c r="C25" s="426"/>
    </row>
    <row r="26" spans="2:10">
      <c r="B26" s="426"/>
      <c r="C26" s="405"/>
    </row>
    <row r="27" spans="2:10">
      <c r="B27" s="405"/>
      <c r="C27" s="405"/>
    </row>
    <row r="28" spans="2:10" ht="15" customHeight="1">
      <c r="B28" s="405"/>
      <c r="C28" s="405"/>
    </row>
    <row r="30" spans="2:10">
      <c r="B30" s="405"/>
    </row>
    <row r="31" spans="2:10">
      <c r="C31" s="426"/>
      <c r="E31" s="626"/>
      <c r="F31" s="627"/>
    </row>
    <row r="32" spans="2:10">
      <c r="C32" s="426"/>
      <c r="F32" s="627"/>
    </row>
    <row r="33" spans="2:6">
      <c r="B33" s="426"/>
      <c r="F33" s="627"/>
    </row>
    <row r="34" spans="2:6">
      <c r="B34" s="405"/>
    </row>
    <row r="36" spans="2:6">
      <c r="D36" s="406"/>
    </row>
    <row r="37" spans="2:6">
      <c r="C37" s="405"/>
    </row>
    <row r="38" spans="2:6">
      <c r="D38" s="406"/>
    </row>
    <row r="39" spans="2:6">
      <c r="C39" s="405"/>
    </row>
    <row r="40" spans="2:6">
      <c r="C40" s="405"/>
      <c r="D40" s="406"/>
    </row>
    <row r="41" spans="2:6">
      <c r="C41" s="405"/>
      <c r="D41" s="677"/>
    </row>
    <row r="42" spans="2:6">
      <c r="C42" s="405"/>
      <c r="D42" s="678"/>
    </row>
    <row r="43" spans="2:6">
      <c r="D43" s="677"/>
    </row>
    <row r="44" spans="2:6">
      <c r="D44" s="678"/>
    </row>
    <row r="45" spans="2:6">
      <c r="D45" s="677"/>
    </row>
    <row r="46" spans="2:6">
      <c r="D46" s="678"/>
    </row>
    <row r="47" spans="2:6">
      <c r="D47" s="677"/>
    </row>
    <row r="48" spans="2:6">
      <c r="D48" s="678"/>
    </row>
    <row r="49" spans="4:4">
      <c r="D49" s="677"/>
    </row>
    <row r="50" spans="4:4">
      <c r="D50" s="678"/>
    </row>
    <row r="51" spans="4:4">
      <c r="D51" s="677"/>
    </row>
    <row r="52" spans="4:4">
      <c r="D52" s="678"/>
    </row>
    <row r="53" spans="4:4">
      <c r="D53" s="677"/>
    </row>
  </sheetData>
  <sheetProtection algorithmName="SHA-512" hashValue="GleQ1+cap8L64c/eVf/WmzWN1hiiIZYgsGm7f6/ICzT6wKGJveuWJgafDVuotqU2XpemCagdJGrqCFcTWsKD1g==" saltValue="PWjQkjVhHXt7AaconXGItA==" spinCount="100000" sheet="1" objects="1" scenarios="1"/>
  <mergeCells count="6">
    <mergeCell ref="B11:B15"/>
    <mergeCell ref="C11:C15"/>
    <mergeCell ref="C16:C19"/>
    <mergeCell ref="B5:B10"/>
    <mergeCell ref="B16:B19"/>
    <mergeCell ref="C5:C10"/>
  </mergeCell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sheetPr>
  <dimension ref="A1:BP385"/>
  <sheetViews>
    <sheetView showGridLines="0" tabSelected="1" zoomScale="80" zoomScaleNormal="80" zoomScaleSheetLayoutView="50" workbookViewId="0">
      <pane xSplit="6" ySplit="6" topLeftCell="G200" activePane="bottomRight" state="frozen"/>
      <selection pane="topRight" activeCell="C189" sqref="C189"/>
      <selection pane="bottomLeft" activeCell="C189" sqref="C189"/>
      <selection pane="bottomRight" activeCell="E5" sqref="E5"/>
    </sheetView>
  </sheetViews>
  <sheetFormatPr defaultColWidth="8.42578125" defaultRowHeight="15"/>
  <cols>
    <col min="1" max="2" width="7.42578125" style="78" bestFit="1" customWidth="1"/>
    <col min="3" max="3" width="8" style="78" bestFit="1" customWidth="1"/>
    <col min="4" max="5" width="11" style="78" bestFit="1" customWidth="1"/>
    <col min="6" max="6" width="17" style="78" customWidth="1"/>
    <col min="7" max="8" width="11.42578125" style="78" bestFit="1" customWidth="1"/>
    <col min="9" max="9" width="11.42578125" style="93" bestFit="1" customWidth="1"/>
    <col min="10" max="10" width="12.42578125" style="78" customWidth="1"/>
    <col min="11" max="14" width="11.42578125" style="78" bestFit="1" customWidth="1"/>
    <col min="15" max="15" width="13.5703125" style="78" bestFit="1" customWidth="1"/>
    <col min="16" max="16" width="13.42578125" style="78" bestFit="1" customWidth="1"/>
    <col min="17" max="18" width="11.5703125" style="78" bestFit="1" customWidth="1"/>
    <col min="19" max="19" width="18.42578125" style="78" bestFit="1" customWidth="1"/>
    <col min="20" max="20" width="14.5703125" style="78" bestFit="1" customWidth="1"/>
    <col min="21" max="21" width="15.42578125" style="78" customWidth="1"/>
    <col min="22" max="22" width="22.5703125" style="78" bestFit="1" customWidth="1"/>
    <col min="23" max="23" width="11.5703125" style="78" bestFit="1" customWidth="1"/>
    <col min="24" max="25" width="11.42578125" style="78" bestFit="1" customWidth="1"/>
    <col min="26" max="27" width="12.42578125" style="78" bestFit="1" customWidth="1"/>
    <col min="28" max="31" width="16.5703125" style="78" customWidth="1"/>
    <col min="32" max="32" width="12" style="78" customWidth="1"/>
    <col min="33" max="36" width="9.42578125" style="78" bestFit="1" customWidth="1"/>
    <col min="37" max="37" width="11" style="78" customWidth="1"/>
    <col min="38" max="38" width="11.5703125" style="78" bestFit="1" customWidth="1"/>
    <col min="39" max="39" width="11" style="78" customWidth="1"/>
    <col min="40" max="40" width="12" style="78" customWidth="1"/>
    <col min="41" max="41" width="12.42578125" style="78" bestFit="1" customWidth="1"/>
    <col min="42" max="42" width="9.42578125" style="78" bestFit="1" customWidth="1"/>
    <col min="43" max="43" width="12.42578125" style="78" customWidth="1"/>
    <col min="44" max="44" width="12.5703125" style="78" bestFit="1" customWidth="1"/>
    <col min="45" max="45" width="12.5703125" style="78" customWidth="1"/>
    <col min="46" max="46" width="16.42578125" style="78" customWidth="1"/>
    <col min="47" max="47" width="16" style="78" customWidth="1"/>
    <col min="48" max="48" width="16" style="78" bestFit="1" customWidth="1"/>
    <col min="49" max="49" width="17.5703125" style="78" bestFit="1" customWidth="1"/>
    <col min="50" max="50" width="16.42578125" style="78" customWidth="1"/>
    <col min="51" max="51" width="16.5703125" style="78" customWidth="1"/>
    <col min="52" max="52" width="13.42578125" style="78" bestFit="1" customWidth="1"/>
    <col min="53" max="54" width="12.42578125" style="78" bestFit="1" customWidth="1"/>
    <col min="55" max="56" width="11.5703125" style="78" bestFit="1" customWidth="1"/>
    <col min="57" max="57" width="11.42578125" style="78" bestFit="1" customWidth="1"/>
    <col min="58" max="58" width="15" style="78" customWidth="1"/>
    <col min="59" max="59" width="14.5703125" style="78" customWidth="1"/>
    <col min="60" max="60" width="15.42578125" style="78" bestFit="1" customWidth="1"/>
    <col min="61" max="61" width="14.42578125" style="78" customWidth="1"/>
    <col min="62" max="62" width="12" style="78" bestFit="1" customWidth="1"/>
    <col min="63" max="63" width="11.5703125" style="78" bestFit="1" customWidth="1"/>
    <col min="64" max="64" width="12.42578125" style="78" customWidth="1"/>
    <col min="65" max="65" width="13.42578125" style="78" bestFit="1" customWidth="1"/>
    <col min="66" max="66" width="12.42578125" style="78" customWidth="1"/>
    <col min="67" max="133" width="8.42578125" style="78" customWidth="1"/>
    <col min="134" max="16384" width="8.42578125" style="78"/>
  </cols>
  <sheetData>
    <row r="1" spans="1:66" s="89" customFormat="1" ht="15.75" customHeight="1" thickBot="1">
      <c r="A1" s="979">
        <f>VLOOKUP(E1,E7:F319,2,FALSE)</f>
        <v>202505</v>
      </c>
      <c r="B1" s="980"/>
      <c r="C1" s="980"/>
      <c r="D1" s="976">
        <f>E1-6</f>
        <v>45717</v>
      </c>
      <c r="E1" s="976">
        <v>45723</v>
      </c>
      <c r="F1" s="94" t="s">
        <v>162</v>
      </c>
      <c r="G1" s="168">
        <f>IFERROR(VLOOKUP($A$1,$F$7:G319,COLUMNS($F$7:G319),FALSE)/VLOOKUP(($A$1-IF(RIGHT($A$1,2)="01",48,1)),$F$7:G319,COLUMNS($F$7:G319),FALSE)-1,"NA")</f>
        <v>-6.5550208238861374E-2</v>
      </c>
      <c r="H1" s="168">
        <f>IFERROR(VLOOKUP($A$1,$F$7:H319,COLUMNS($F$7:H319),FALSE)/VLOOKUP(($A$1-IF(RIGHT($A$1,2)="01",48,1)),$F$7:H319,COLUMNS($F$7:H319),FALSE)-1,"NA")</f>
        <v>-0.18452122616664912</v>
      </c>
      <c r="I1" s="168">
        <f>IFERROR(VLOOKUP($A$1,$F$7:I319,COLUMNS($F$7:I319),FALSE)/VLOOKUP(($A$1-IF(RIGHT($A$1,2)="01",48,1)),$F$7:I319,COLUMNS($F$7:I319),FALSE)-1,"NA")</f>
        <v>1.2695850379489837E-2</v>
      </c>
      <c r="J1" s="168">
        <f>IFERROR(VLOOKUP($A$1,$F$7:J319,COLUMNS($F$7:J319),FALSE)-VLOOKUP(($A$1-IF(RIGHT($A$1,2)="01",48,1)),$F$7:J319,COLUMNS($F$7:J319),FALSE),"NA")</f>
        <v>-5.0512999707872708E-2</v>
      </c>
      <c r="K1" s="168">
        <f>IFERROR(VLOOKUP($A$1,$F$7:K319,COLUMNS($F$7:K319),FALSE)-VLOOKUP(($A$1-IF(RIGHT($A$1,2)="01",48,1)),$F$7:K319,COLUMNS($F$7:K319),FALSE),"NA")</f>
        <v>5.0512999707872708E-2</v>
      </c>
      <c r="L1" s="168">
        <f>IFERROR(VLOOKUP($A$1,$F$7:L319,COLUMNS($F$7:L319),FALSE)/VLOOKUP(($A$1-IF(RIGHT($A$1,2)="01",48,1)),$F$7:L319,COLUMNS($F$7:L319),FALSE)-1,"NA")</f>
        <v>-6.5550208238861374E-2</v>
      </c>
      <c r="M1" s="168">
        <f>IFERROR(VLOOKUP($A$1,$F$7:M319,COLUMNS($F$7:M319),FALSE)/VLOOKUP(($A$1-IF(RIGHT($A$1,2)="01",48,1)),$F$7:M319,COLUMNS($F$7:M319),FALSE)-1,"NA")</f>
        <v>-0.14241587562924807</v>
      </c>
      <c r="N1" s="168">
        <f>IFERROR(VLOOKUP($A$1,$F$7:N319,COLUMNS($F$7:N319),FALSE)/VLOOKUP(($A$1-IF(RIGHT($A$1,2)="01",48,1)),$F$7:N319,COLUMNS($F$7:N319),FALSE)-1,"NA")</f>
        <v>0.12931912033035631</v>
      </c>
      <c r="O1" s="168">
        <f>IFERROR(VLOOKUP($A$1,$F$7:O319,COLUMNS($F$7:O319),FALSE)-VLOOKUP(($A$1-IF(RIGHT($A$1,2)="01",48,1)),$F$7:O319,COLUMNS($F$7:O319),FALSE),"NA")</f>
        <v>5.5511151231257827E-17</v>
      </c>
      <c r="P1" s="168">
        <f>IFERROR(VLOOKUP($A$1,$F$7:P319,COLUMNS($F$7:P319),FALSE)-VLOOKUP(($A$1-IF(RIGHT($A$1,2)="01",48,1)),$F$7:P319,COLUMNS($F$7:P319),FALSE),"NA")</f>
        <v>-3.1460512050262901E-2</v>
      </c>
      <c r="Q1" s="168">
        <f>IFERROR(VLOOKUP($A$1,$F$7:Q319,COLUMNS($F$7:Q319),FALSE)-VLOOKUP(($A$1-IF(RIGHT($A$1,2)="01",48,1)),$F$7:Q319,COLUMNS($F$7:Q319),FALSE),"NA")</f>
        <v>3.9327827491671186E-2</v>
      </c>
      <c r="R1" s="168">
        <f>IFERROR(VLOOKUP($A$1,$F$7:R319,COLUMNS($F$7:R319),FALSE)/VLOOKUP(($A$1-IF(RIGHT($A$1,2)="01",48,1)),$F$7:R319,COLUMNS($F$7:R319),FALSE)-1,"NA")</f>
        <v>0.20210638581522455</v>
      </c>
      <c r="S1" s="168">
        <f>IFERROR(VLOOKUP($A$1,$F$7:S319,COLUMNS($F$7:S319),FALSE)/VLOOKUP(($A$1-IF(RIGHT($A$1,2)="01",48,1)),$F$7:S319,COLUMNS($F$7:S319),FALSE)-1,"NA")</f>
        <v>-0.31147280546803191</v>
      </c>
      <c r="T1" s="168">
        <f>IFERROR(VLOOKUP($A$1,$F$7:T319,COLUMNS($F$7:T319),FALSE)/VLOOKUP(($A$1-IF(RIGHT($A$1,2)="01",48,1)),$F$7:T319,COLUMNS($F$7:T319),FALSE)-1,"NA")</f>
        <v>0.25157674008509212</v>
      </c>
      <c r="U1" s="168">
        <f>IFERROR(VLOOKUP($A$1,$F$7:U319,COLUMNS($F$7:U319),FALSE)/VLOOKUP(($A$1-IF(RIGHT($A$1,2)="01",48,1)),$F$7:U319,COLUMNS($F$7:U319),FALSE)-1,"NA")</f>
        <v>0.2970095193247293</v>
      </c>
      <c r="V1" s="170">
        <f>IFERROR(VLOOKUP($A$1,$F$7:V319,COLUMNS($F$7:V319),FALSE)/VLOOKUP(($A$1-IF(RIGHT($A$1,2)="01",48,1)),$F$7:V319,COLUMNS($F$7:V319),FALSE)-1,"NA")</f>
        <v>0.19622233097830888</v>
      </c>
      <c r="W1" s="168">
        <f>IFERROR(VLOOKUP($A$1,$F$7:W319,COLUMNS($F$7:W319),FALSE)/VLOOKUP(($A$1-IF(RIGHT($A$1,2)="01",48,1)),$F$7:W319,COLUMNS($F$7:W319),FALSE)-1,"NA")</f>
        <v>-7.0066834347617957E-2</v>
      </c>
      <c r="X1" s="168">
        <f>IFERROR(VLOOKUP($A$1,$F$7:X319,COLUMNS($F$7:X319),FALSE)/VLOOKUP(($A$1-IF(RIGHT($A$1,2)="01",48,1)),$F$7:X319,COLUMNS($F$7:X319),FALSE)-1,"NA")</f>
        <v>-5.853266121088363E-2</v>
      </c>
      <c r="Y1" s="168">
        <f>IFERROR(VLOOKUP($A$1,$F$7:Y319,COLUMNS($F$7:Y319),FALSE)/VLOOKUP(($A$1-IF(RIGHT($A$1,2)="01",48,1)),$F$7:Y319,COLUMNS($F$7:Y319),FALSE)-1,"NA")</f>
        <v>-9.4199354556948944E-2</v>
      </c>
      <c r="Z1" s="168">
        <f>IFERROR(VLOOKUP($A$1,$F$7:Z319,COLUMNS($F$7:Z319),FALSE)/VLOOKUP(($A$1-IF(RIGHT($A$1,2)="01",48,1)),$F$7:Z319,COLUMNS($F$7:Z319),FALSE)-1,"NA")</f>
        <v>-7.0066834347618068E-2</v>
      </c>
      <c r="AA1" s="170">
        <f>IFERROR(VLOOKUP($A$1,$F$7:AA319,COLUMNS($F$7:AA319),FALSE)/VLOOKUP(($A$1-IF(RIGHT($A$1,2)="01",48,1)),$F$7:AA319,COLUMNS($F$7:AA319),FALSE)-1,"NA")</f>
        <v>-7.0066834347617846E-2</v>
      </c>
      <c r="AB1" s="168">
        <f>IFERROR(VLOOKUP($A$1,$F$7:AB319,COLUMNS($F$7:AB319),FALSE)/VLOOKUP(($A$1-IF(RIGHT($A$1,2)="01",48,1)),$F$7:AB319,COLUMNS($F$7:AB319),FALSE)-1,"NA")</f>
        <v>-0.15015512704708789</v>
      </c>
      <c r="AC1" s="168">
        <f>IFERROR(VLOOKUP($A$1,$F$7:AC319,COLUMNS($F$7:AC319),FALSE)/VLOOKUP(($A$1-IF(RIGHT($A$1,2)="01",48,1)),$F$7:AC319,COLUMNS($F$7:AC319),FALSE)-1,"NA")</f>
        <v>-0.17094709607135561</v>
      </c>
      <c r="AD1" s="168">
        <f>IFERROR(VLOOKUP($A$1,$F$7:AD319,COLUMNS($F$7:AD319),FALSE)/VLOOKUP(($A$1-IF(RIGHT($A$1,2)="01",48,1)),$F$7:AD319,COLUMNS($F$7:AD319),FALSE)-1,"NA")</f>
        <v>-0.16849721513716098</v>
      </c>
      <c r="AE1" s="170">
        <f>IFERROR(VLOOKUP($A$1,$F$7:AE319,COLUMNS($F$7:AE319),FALSE)/VLOOKUP(($A$1-IF(RIGHT($A$1,2)="01",48,1)),$F$7:AE319,COLUMNS($F$7:AE319),FALSE)-1,"NA")</f>
        <v>0.17178858069613678</v>
      </c>
      <c r="AF1" s="168">
        <f>IFERROR(VLOOKUP($A$1,$F$7:AF319,COLUMNS($F$7:AF319),FALSE)/VLOOKUP(($A$1-IF(RIGHT($A$1,2)="01",48,1)),$F$7:AF319,COLUMNS($F$7:AF319),FALSE)-1,"NA")</f>
        <v>0.37882643996495902</v>
      </c>
      <c r="AG1" s="168">
        <f>IFERROR(VLOOKUP($A$1,$F$7:AG319,COLUMNS($F$7:AG319),FALSE)-VLOOKUP(($A$1-IF(RIGHT($A$1,2)="01",48,1)),$F$7:AG319,COLUMNS($F$7:AG319),FALSE),"NA")</f>
        <v>-0.29773575630421834</v>
      </c>
      <c r="AH1" s="168">
        <f>IFERROR(VLOOKUP($A$1,$F$7:AH319,COLUMNS($F$7:AH319),FALSE)/VLOOKUP(($A$1-IF(RIGHT($A$1,2)="01",48,1)),$F$7:AH319,COLUMNS($F$7:AH319),FALSE)-1,"NA")</f>
        <v>2.955035707112863E-3</v>
      </c>
      <c r="AI1" s="170">
        <f>IFERROR(VLOOKUP($A$1,$F$7:AI319,COLUMNS($F$7:AI319),FALSE)-VLOOKUP(($A$1-IF(RIGHT($A$1,2)="01",48,1)),$F$7:AI319,COLUMNS($F$7:AI319),FALSE),"NA")</f>
        <v>0.28064232262887678</v>
      </c>
      <c r="AJ1" s="169">
        <f t="array" ref="AJ1">IFERROR(VLOOKUP($A$1-IF(RIGHT($A$1,2)="01",48,1),$F$7:AJ319,COLUMNS($F$7:AJ319),FALSE)-VLOOKUP(($A$1-IFERROR(_xlfn.IFS(RIGHT($A$1,2)="01",49,RIGHT($A$1,2)="02",49),2)),$F$7:AJ319,COLUMNS($F$7:AJ319),FALSE),"NA")</f>
        <v>3.4551405628394483E-2</v>
      </c>
      <c r="AK1" s="168">
        <f t="array" ref="AK1">IFERROR(VLOOKUP($A$1-IF(RIGHT($A$1,2)="01",48,1),$F$7:AK319,COLUMNS($F$7:AK319),FALSE)-VLOOKUP(($A$1-IFERROR(_xlfn.IFS(RIGHT($A$1,2)="01",49,RIGHT($A$1,2)="02",49),2)),$F$7:AK319,COLUMNS($F$7:AK319),FALSE),"NA")</f>
        <v>0.47562073553195061</v>
      </c>
      <c r="AL1" s="168">
        <f t="array" ref="AL1">IFERROR(VLOOKUP($A$1-IF(RIGHT($A$1,2)="01",48,1),$F$7:AL319,COLUMNS($F$7:AL319),FALSE)-VLOOKUP(($A$1-IFERROR(_xlfn.IFS(RIGHT($A$1,2)="01",49,RIGHT($A$1,2)="02",49),2)),$F$7:AL319,COLUMNS($F$7:AL319),FALSE),"NA")</f>
        <v>-0.46020712709673711</v>
      </c>
      <c r="AM1" s="163">
        <f t="array" ref="AM1">IFERROR(VLOOKUP($A$1-IF(RIGHT($A$1,2)="01",48,1),$F$7:AM319,COLUMNS($F$7:AM319),FALSE)/VLOOKUP(($A$1-IFERROR(_xlfn.IFS(RIGHT($A$1,2)="01",49,RIGHT($A$1,2)="02",49),2)),$F$7:AM319,COLUMNS($F$7:AM319),FALSE)-1,"NA")</f>
        <v>0.41287156940713943</v>
      </c>
      <c r="AN1" s="163">
        <f t="array" ref="AN1">IFERROR(VLOOKUP($A$1-IF(RIGHT($A$1,2)="01",48,1),$F$7:AN319,COLUMNS($F$7:AN319),FALSE)/VLOOKUP(($A$1-IFERROR(_xlfn.IFS(RIGHT($A$1,2)="01",49,RIGHT($A$1,2)="02",49),2)),$F$7:AN319,COLUMNS($F$7:AN319),FALSE)-1,"NA")</f>
        <v>0.39315551082033218</v>
      </c>
      <c r="AO1" s="163">
        <f t="array" ref="AO1">IFERROR(VLOOKUP($A$1-IF(RIGHT($A$1,2)="01",48,1),$F$7:AO319,COLUMNS($F$7:AO319),FALSE)-VLOOKUP(($A$1-IFERROR(_xlfn.IFS(RIGHT($A$1,2)="01",49,RIGHT($A$1,2)="02",49),2)),$F$7:AO319,COLUMNS($F$7:AO319),FALSE),"NA")</f>
        <v>3.4551405628394483E-2</v>
      </c>
      <c r="AP1" s="679">
        <f t="array" ref="AP1">IFERROR(VLOOKUP($A$1-IFERROR(_xlfn.IFS(RIGHT($A$1,2)="01",51,RIGHT($A$1,2)="02",51,RIGHT($A$1,2)="03",51,RIGHT($A$1,2)="04",51),4),$F$7:AP319,COLUMNS($F$7:AP319),FALSE)-VLOOKUP(($A$1-IFERROR(_xlfn.IFS(RIGHT($A$1,2)="01",52,RIGHT($A$1,2)="02",52,RIGHT($A$1,2)="03",52,RIGHT($A$1,2)="04",52,RIGHT($A$1,2)="05",52),5)),$F$7:AP319,COLUMNS($F$7:AP319),FALSE),"NA")</f>
        <v>0.5368819582751363</v>
      </c>
      <c r="AQ1" s="164">
        <f t="array" ref="AQ1">IFERROR(VLOOKUP($A$1-IFERROR(_xlfn.IFS(RIGHT($A$1,2)="01",51,RIGHT($A$1,2)="02",51,RIGHT($A$1,2)="03",51,RIGHT($A$1,2)="04",51),4),$F$7:AQ319,COLUMNS($F$7:AQ319),FALSE)-VLOOKUP(($A$1-IFERROR(_xlfn.IFS(RIGHT($A$1,2)="01",52,RIGHT($A$1,2)="02",52,RIGHT($A$1,2)="03",52,RIGHT($A$1,2)="04",52,RIGHT($A$1,2)="05",52),5)),$F$7:AQ319,COLUMNS($F$7:AQ319),FALSE),"NA")</f>
        <v>0.49505614440597723</v>
      </c>
      <c r="AR1" s="164">
        <f t="array" ref="AR1">IFERROR(VLOOKUP($A$1-IFERROR(_xlfn.IFS(RIGHT($A$1,2)="01",51,RIGHT($A$1,2)="02",51,RIGHT($A$1,2)="03",51,RIGHT($A$1,2)="04",51),4),$F$7:AR319,COLUMNS($F$7:AR319),FALSE)-VLOOKUP(($A$1-IFERROR(_xlfn.IFS(RIGHT($A$1,2)="01",52,RIGHT($A$1,2)="02",52,RIGHT($A$1,2)="03",52,RIGHT($A$1,2)="04",52,RIGHT($A$1,2)="05",52),5)),$F$7:AR319,COLUMNS($F$7:AR319),FALSE),"NA")</f>
        <v>0.57870777214429558</v>
      </c>
      <c r="AS1" s="166">
        <f t="array" ref="AS1">IFERROR(VLOOKUP($A$1-IFERROR(_xlfn.IFS(RIGHT($A$1,2)="01",51,RIGHT($A$1,2)="02",51,RIGHT($A$1,2)="03",51,RIGHT($A$1,2)="04",51),4),$F$7:AS319,COLUMNS($F$7:AS319),FALSE)-VLOOKUP(($A$1-IFERROR(_xlfn.IFS(RIGHT($A$1,2)="01",52,RIGHT($A$1,2)="02",52,RIGHT($A$1,2)="03",52,RIGHT($A$1,2)="04",52,RIGHT($A$1,2)="05",52),5)),$F$7:AS319,COLUMNS($F$7:AS319),FALSE),"NA")</f>
        <v>0.5368819582751363</v>
      </c>
      <c r="AT1" s="168">
        <f>IFERROR(VLOOKUP($A$1,$F$7:AT319,COLUMNS($F$7:AT319),FALSE)/VLOOKUP(($A$1-IF(RIGHT($A$1,2)="01",48,1)),$F$7:AT319,COLUMNS($F$7:AT319),FALSE)-1,"NA")</f>
        <v>0.20189423835832665</v>
      </c>
      <c r="AU1" s="168">
        <f>IFERROR(VLOOKUP($A$1,$F$7:AU319,COLUMNS($F$7:AU319),FALSE)/VLOOKUP(($A$1-IF(RIGHT($A$1,2)="01",48,1)),$F$7:AU319,COLUMNS($F$7:AU319),FALSE)-1,"NA")</f>
        <v>0.10597791597918516</v>
      </c>
      <c r="AV1" s="168">
        <f>IFERROR(VLOOKUP($A$1,$F$7:AV319,COLUMNS($F$7:AV319),FALSE)/VLOOKUP(($A$1-IF(RIGHT($A$1,2)="01",48,1)),$F$7:AV319,COLUMNS($F$7:AV319),FALSE)-1,"NA")</f>
        <v>0.12931912033035631</v>
      </c>
      <c r="AW1" s="168">
        <f>IFERROR(VLOOKUP($A$1,$F$7:AW319,COLUMNS($F$7:AW319),FALSE)/VLOOKUP(($A$1-IF(RIGHT($A$1,2)="01",48,1)),$F$7:AW319,COLUMNS($F$7:AW319),FALSE)-1,"NA")</f>
        <v>0.20189423835832709</v>
      </c>
      <c r="AX1" s="168">
        <f>IFERROR(VLOOKUP($A$1,$F$7:AX319,COLUMNS($F$7:AX319),FALSE)/VLOOKUP(($A$1-IF(RIGHT($A$1,2)="01",48,1)),$F$7:AX319,COLUMNS($F$7:AX319),FALSE)-1,"NA")</f>
        <v>0.10597791597918516</v>
      </c>
      <c r="AY1" s="170">
        <f>IFERROR(VLOOKUP($A$1,$F$7:AY319,COLUMNS($F$7:AY319),FALSE)/VLOOKUP(($A$1-IF(RIGHT($A$1,2)="01",48,1)),$F$7:AY319,COLUMNS($F$7:AY319),FALSE)-1,"NA")</f>
        <v>0.12931912033035631</v>
      </c>
      <c r="AZ1" s="168">
        <f>IFERROR(VLOOKUP($A$1,$F$7:AZ319,COLUMNS($F$7:AZ319),FALSE)/VLOOKUP(($A$1-IF(RIGHT($A$1,2)="01",48,1)),$F$7:AZ319,COLUMNS($F$7:AZ319),FALSE)-1,"NA")</f>
        <v>-0.18452122616664912</v>
      </c>
      <c r="BA1" s="168">
        <f>IFERROR(VLOOKUP($A$1,$F$7:BA319,COLUMNS($F$7:BA319),FALSE)/VLOOKUP(($A$1-IF(RIGHT($A$1,2)="01",48,1)),$F$7:BA319,COLUMNS($F$7:BA319),FALSE)-1,"NA")</f>
        <v>1.2695850379489837E-2</v>
      </c>
      <c r="BB1" s="168">
        <f>IFERROR(VLOOKUP($A$1,$F$7:BB319,COLUMNS($F$7:BB319),FALSE)/VLOOKUP(($A$1-IF(RIGHT($A$1,2)="01",48,1)),$F$7:BB319,COLUMNS($F$7:BB319),FALSE)-1,"NA")</f>
        <v>-0.26564192763099204</v>
      </c>
      <c r="BC1" s="168">
        <f>IFERROR(VLOOKUP($A$1,$F$7:BC319,COLUMNS($F$7:BC319),FALSE)/VLOOKUP(($A$1-IF(RIGHT($A$1,2)="01",48,1)),$F$7:BC319,COLUMNS($F$7:BC319),FALSE)-1,"NA")</f>
        <v>-3.8604026845637573E-2</v>
      </c>
      <c r="BD1" s="168">
        <f>IFERROR(VLOOKUP($A$1,$F$7:BD319,COLUMNS($F$7:BD319),FALSE)/VLOOKUP(($A$1-IF(RIGHT($A$1,2)="01",48,1)),$F$7:BD319,COLUMNS($F$7:BD319),FALSE)-1,"NA")</f>
        <v>0.20189423835832687</v>
      </c>
      <c r="BE1" s="168">
        <f>IFERROR(VLOOKUP($A$1,$F$7:BE319,COLUMNS($F$7:BE319),FALSE)/VLOOKUP(($A$1-IF(RIGHT($A$1,2)="01",48,1)),$F$7:BE319,COLUMNS($F$7:BE319),FALSE)-1,"NA")</f>
        <v>0.10597791597918516</v>
      </c>
      <c r="BF1" s="163">
        <f>IFERROR(VLOOKUP($A$1,$F$7:BF319,COLUMNS($F$7:BF319),FALSE)-VLOOKUP(($A$1-IF(RIGHT($A$1,2)="01",48,1)),$F$7:BF319,COLUMNS($F$7:BF319),FALSE),"NA")</f>
        <v>-5.0512999707872708E-2</v>
      </c>
      <c r="BG1" s="163">
        <f>IFERROR(VLOOKUP($A$1,$F$7:BG319,COLUMNS($F$7:BG319),FALSE)-VLOOKUP(($A$1-IF(RIGHT($A$1,2)="01",48,1)),$F$7:BG319,COLUMNS($F$7:BG319),FALSE),"NA")</f>
        <v>5.0512999707872708E-2</v>
      </c>
      <c r="BH1" s="163">
        <f>IFERROR(VLOOKUP($A$1,$F$7:BH319,COLUMNS($F$7:BH319),FALSE)-VLOOKUP(($A$1-IF(RIGHT($A$1,2)="01",48,1)),$F$7:BH319,COLUMNS($F$7:BH319),FALSE),"NA")</f>
        <v>-8.2130114460021553E-2</v>
      </c>
      <c r="BI1" s="163">
        <f>IFERROR(VLOOKUP($A$1,$F$7:BI319,COLUMNS($F$7:BI319),FALSE)-VLOOKUP(($A$1-IF(RIGHT($A$1,2)="01",48,1)),$F$7:BI319,COLUMNS($F$7:BI319),FALSE),"NA")</f>
        <v>8.2124045753187547E-2</v>
      </c>
      <c r="BJ1" s="163">
        <f>IFERROR(VLOOKUP($A$1,$F$7:BJ319,COLUMNS($F$7:BJ319),FALSE)-VLOOKUP(($A$1-IF(RIGHT($A$1,2)="01",48,1)),$F$7:BJ319,COLUMNS($F$7:BJ319),FALSE),"NA")</f>
        <v>1.56387418860231E-2</v>
      </c>
      <c r="BK1" s="163">
        <f>IFERROR(VLOOKUP($A$1,$F$7:BK319,COLUMNS($F$7:BK319),FALSE)-VLOOKUP(($A$1-IF(RIGHT($A$1,2)="01",48,1)),$F$7:BK319,COLUMNS($F$7:BK319),FALSE),"NA")</f>
        <v>-1.5638741886022989E-2</v>
      </c>
      <c r="BL1" s="162">
        <f>IFERROR(VLOOKUP($A$1,$F$7:BL319,COLUMNS($F$7:BL319),FALSE)/VLOOKUP(($A$1-IF(RIGHT($A$1,2)="01",48,1)),$F$7:BL319,COLUMNS($F$7:BL319),FALSE)-1,"NA")</f>
        <v>0.11650752005857412</v>
      </c>
      <c r="BM1" s="163">
        <f>IFERROR(VLOOKUP($A$1,$F$7:BM319,COLUMNS($F$7:BM319),FALSE)/VLOOKUP(($A$1-IF(RIGHT($A$1,2)="01",48,1)),$F$7:BM319,COLUMNS($F$7:BM319),FALSE)-1,"NA")</f>
        <v>0.27885642559555612</v>
      </c>
      <c r="BN1" s="165">
        <f>IFERROR(VLOOKUP($A$1,$F$7:BN319,COLUMNS($F$7:BN319),FALSE)/VLOOKUP(($A$1-IF(RIGHT($A$1,2)="01",48,1)),$F$7:BN319,COLUMNS($F$7:BN319),FALSE)-1,"NA")</f>
        <v>0.20307449126354604</v>
      </c>
    </row>
    <row r="2" spans="1:66" s="89" customFormat="1" ht="15.75" customHeight="1">
      <c r="A2" s="981"/>
      <c r="B2" s="977"/>
      <c r="C2" s="977"/>
      <c r="D2" s="977"/>
      <c r="E2" s="977"/>
      <c r="F2" s="95" t="s">
        <v>163</v>
      </c>
      <c r="G2" s="168">
        <f>IFERROR(VLOOKUP($A$1,$F$7:G319,COLUMNS($F$7:G319),FALSE)/VLOOKUP(($A$1-99),$F$7:G267,COLUMNS($F$7:G319),FALSE)-1,"NA")</f>
        <v>6.1082968619935896E-2</v>
      </c>
      <c r="H2" s="168">
        <f>IFERROR(VLOOKUP($A$1,$F$7:H319,COLUMNS($F$7:H319),FALSE)/VLOOKUP(($A$1-99),$F$7:H319,COLUMNS($F$7:H319),FALSE)-1,"NA")</f>
        <v>-0.15347915611888163</v>
      </c>
      <c r="I2" s="168">
        <f>IFERROR(VLOOKUP($A$1,$F$7:I319,COLUMNS($F$7:I319),FALSE)/VLOOKUP(($A$1-99),$F$7:I319,COLUMNS($F$7:I319),FALSE)-1,"NA")</f>
        <v>0.22560359536995511</v>
      </c>
      <c r="J2" s="168">
        <f>IFERROR(VLOOKUP($A$1,$F$7:J319,COLUMNS($F$7:J319),FALSE)-VLOOKUP(($A$1-99),$F$7:J319,COLUMNS($F$7:J319),FALSE),"NA")</f>
        <v>-8.7758673185730496E-2</v>
      </c>
      <c r="K2" s="168">
        <f>IFERROR(VLOOKUP($A$1,$F$7:K319,COLUMNS($F$7:K319),FALSE)-VLOOKUP(($A$1-99),$F$7:K319,COLUMNS($F$7:K319),FALSE),"NA")</f>
        <v>8.7758673185730496E-2</v>
      </c>
      <c r="L2" s="168">
        <f>IFERROR(VLOOKUP($A$1,$F$7:L319,COLUMNS($F$7:L319),FALSE)/VLOOKUP(($A$1-99),$F$7:L319,COLUMNS($F$7:L319),FALSE)-1,"NA")</f>
        <v>6.1082968619936118E-2</v>
      </c>
      <c r="M2" s="168">
        <f>IFERROR(VLOOKUP($A$1,$F$7:M319,COLUMNS($F$7:M319),FALSE)/VLOOKUP(($A$1-99),$F$7:M319,COLUMNS($F$7:M319),FALSE)-1,"NA")</f>
        <v>6.1727726969352581E-2</v>
      </c>
      <c r="N2" s="168">
        <f>IFERROR(VLOOKUP($A$1,$F$7:N319,COLUMNS($F$7:N319),FALSE)/VLOOKUP(($A$1-99),$F$7:N319,COLUMNS($F$7:N319),FALSE)-1,"NA")</f>
        <v>5.9843541584051252E-2</v>
      </c>
      <c r="O2" s="169">
        <f>IFERROR(VLOOKUP($A$1,$F$7:O319,COLUMNS($F$7:O319),FALSE)-VLOOKUP(($A$1-99),$F$7:O319,COLUMNS($F$7:O319),FALSE),"NA")</f>
        <v>5.5511151231257827E-17</v>
      </c>
      <c r="P2" s="169">
        <f>IFERROR(VLOOKUP($A$1,$F$7:P319,COLUMNS($F$7:P319),FALSE)-VLOOKUP(($A$1-99),$F$7:P319,COLUMNS($F$7:P319),FALSE),"NA")</f>
        <v>2.1315421896828113E-4</v>
      </c>
      <c r="Q2" s="169">
        <f>IFERROR(VLOOKUP($A$1,$F$7:Q319,COLUMNS($F$7:Q319),FALSE)-VLOOKUP(($A$1-99),$F$7:Q319,COLUMNS($F$7:Q319),FALSE),"NA")</f>
        <v>-2.6653383994543201E-4</v>
      </c>
      <c r="R2" s="168">
        <f>IFERROR(VLOOKUP($A$1,$F$7:R319,COLUMNS($F$7:R319),FALSE)/VLOOKUP(($A$1-99),$F$7:R319,COLUMNS($F$7:R319),FALSE)-1,"NA")</f>
        <v>2.8694204539692736E-2</v>
      </c>
      <c r="S2" s="168">
        <f>IFERROR(VLOOKUP($A$1,$F$7:S319,COLUMNS($F$7:S319),FALSE)/VLOOKUP(($A$1-99),$F$7:S319,COLUMNS($F$7:S319),FALSE)-1,"NA")</f>
        <v>-0.19808274336867981</v>
      </c>
      <c r="T2" s="168">
        <f>IFERROR(VLOOKUP($A$1,$F$7:T319,COLUMNS($F$7:T319),FALSE)/VLOOKUP(($A$1-99),$F$7:T319,COLUMNS($F$7:T319),FALSE)-1,"NA")</f>
        <v>-0.12029184705631202</v>
      </c>
      <c r="U2" s="168">
        <f>IFERROR(VLOOKUP($A$1,$F$7:U319,COLUMNS($F$7:U319),FALSE)/VLOOKUP(($A$1-99),$F$7:U319,COLUMNS($F$7:U319),FALSE)-1,"NA")</f>
        <v>-0.22562581577475294</v>
      </c>
      <c r="V2" s="168">
        <f>IFERROR(VLOOKUP($A$1,$F$7:V319,COLUMNS($F$7:V319),FALSE)/VLOOKUP(($A$1-99),$F$7:V319,COLUMNS($F$7:V319),FALSE)-1,"NA")</f>
        <v>-0.13307500605454559</v>
      </c>
      <c r="W2" s="167">
        <f>IFERROR(VLOOKUP($A$1,$F$7:W319,COLUMNS($F$7:W319),FALSE)/VLOOKUP(($A$1-99),$F$7:W319,COLUMNS($F$7:W319),FALSE)-1,"NA")</f>
        <v>0.22851983692727829</v>
      </c>
      <c r="X2" s="168">
        <f>IFERROR(VLOOKUP($A$1,$F$7:X319,COLUMNS($F$7:X319),FALSE)/VLOOKUP(($A$1-99),$F$7:X319,COLUMNS($F$7:X319),FALSE)-1,"NA")</f>
        <v>-7.9418141011136312E-2</v>
      </c>
      <c r="Y2" s="168">
        <f>IFERROR(VLOOKUP($A$1,$F$7:Y319,COLUMNS($F$7:Y319),FALSE)/VLOOKUP(($A$1-99),$F$7:Y319,COLUMNS($F$7:Y319),FALSE)-1,"NA")</f>
        <v>3.5071297185551735</v>
      </c>
      <c r="Z2" s="168">
        <f>IFERROR(VLOOKUP($A$1,$F$7:Z319,COLUMNS($F$7:Z319),FALSE)/VLOOKUP(($A$1-99),$F$7:Z319,COLUMNS($F$7:Z319),FALSE)-1,"NA")</f>
        <v>0.22851983692727829</v>
      </c>
      <c r="AA2" s="170">
        <f>IFERROR(VLOOKUP($A$1,$F$7:AA319,COLUMNS($F$7:AA319),FALSE)/VLOOKUP(($A$1-99),$F$7:AA319,COLUMNS($F$7:AA319),FALSE)-1,"NA")</f>
        <v>0.22851983692727829</v>
      </c>
      <c r="AB2" s="168">
        <f>IFERROR(VLOOKUP($A$1,$F$7:AB319,COLUMNS($F$7:AB319),FALSE)/VLOOKUP(($A$1-99),$F$7:AB319,COLUMNS($F$7:AB319),FALSE)-1,"NA")</f>
        <v>-0.24138656345967779</v>
      </c>
      <c r="AC2" s="168">
        <f>IFERROR(VLOOKUP($A$1,$F$7:AC319,COLUMNS($F$7:AC319),FALSE)/VLOOKUP(($A$1-99),$F$7:AC319,COLUMNS($F$7:AC319),FALSE)-1,"NA")</f>
        <v>-0.14903416079615339</v>
      </c>
      <c r="AD2" s="168">
        <f>IFERROR(VLOOKUP($A$1,$F$7:AD319,COLUMNS($F$7:AD319),FALSE)/VLOOKUP(($A$1-99),$F$7:AD319,COLUMNS($F$7:AD319),FALSE)-1,"NA")</f>
        <v>4.8567906817303275E-2</v>
      </c>
      <c r="AE2" s="168">
        <f>IFERROR(VLOOKUP($A$1,$F$7:AE319,COLUMNS($F$7:AE319),FALSE)/VLOOKUP(($A$1-99),$F$7:AE319,COLUMNS($F$7:AE319),FALSE)-1,"NA")</f>
        <v>0.12478793967174728</v>
      </c>
      <c r="AF2" s="167">
        <f>IFERROR(VLOOKUP($A$1,$F$7:AF319,COLUMNS($F$7:AF319),FALSE)/VLOOKUP(($A$1-99),$F$7:AF319,COLUMNS($F$7:AF319),FALSE)-1,"NA")</f>
        <v>0.48268918726429888</v>
      </c>
      <c r="AG2" s="787">
        <f>IFERROR(VLOOKUP($A$1,$F$7:AG319,COLUMNS($F$7:AG319),FALSE)-VLOOKUP(($A$1-99),$F$7:AG319,COLUMNS($F$7:AG319),FALSE),"NA")</f>
        <v>-0.23174495890263658</v>
      </c>
      <c r="AH2" s="168">
        <f>IFERROR(VLOOKUP($A$1,$F$7:AH319,COLUMNS($F$7:AH319),FALSE)/VLOOKUP(($A$1-99),$F$7:AH319,COLUMNS($F$7:AH319),FALSE)-1,"NA")</f>
        <v>0.23220916576196626</v>
      </c>
      <c r="AI2" s="786">
        <f>IFERROR(VLOOKUP($A$1,$F$7:AI319,COLUMNS($F$7:AI319),FALSE)-VLOOKUP(($A$1-99),$F$7:AI319,COLUMNS($F$7:AI319),FALSE),"NA")</f>
        <v>0.88357987440947827</v>
      </c>
      <c r="AJ2" s="169">
        <f>IFERROR(VLOOKUP(($A$1-IF(RIGHT($A$1,2)="01",48,1)),$F$7:AJ319,COLUMNS($F$7:AJ319),FALSE)-VLOOKUP(($A$1-IF(RIGHT($A$1,2)="01",100,100)),$F$7:AJ319,COLUMNS($F$7:AJ319),FALSE),"NA")</f>
        <v>-0.32647401533261894</v>
      </c>
      <c r="AK2" s="169">
        <f>IFERROR(VLOOKUP(($A$1-IF(RIGHT($A$1,2)="01",48,1)),$F$7:AK319,COLUMNS($F$7:AK319),FALSE)-VLOOKUP(($A$1-IF(RIGHT($A$1,2)="01",100,100)),$F$7:AK319,COLUMNS($F$7:AK319),FALSE),"NA")</f>
        <v>-0.42592910570359033</v>
      </c>
      <c r="AL2" s="169">
        <f>IFERROR(VLOOKUP(($A$1-IF(RIGHT($A$1,2)="01",48,1)),$F$7:AL319,COLUMNS($F$7:AL319),FALSE)-VLOOKUP(($A$1-IF(RIGHT($A$1,2)="01",100,100)),$F$7:AL319,COLUMNS($F$7:AL319),FALSE),"NA")</f>
        <v>-0.25597689067999213</v>
      </c>
      <c r="AM2" s="168">
        <f>IFERROR(VLOOKUP(($A$1-IF(RIGHT($A$1,2)="01",48,1)),$F$7:AM319,COLUMNS($F$7:AM319),FALSE)/VLOOKUP(($A$1-IF(RIGHT($A$1,2)="01",100,100)),$F$7:AM319,COLUMNS($F$7:AM319),FALSE)-1,"NA")</f>
        <v>0.81324141118471727</v>
      </c>
      <c r="AN2" s="168">
        <f>IFERROR(VLOOKUP(($A$1-IF(RIGHT($A$1,2)="01",48,1)),$F$7:AN319,COLUMNS($F$7:AN319),FALSE)/VLOOKUP(($A$1-IF(RIGHT($A$1,2)="01",100,100)),$F$7:AN319,COLUMNS($F$7:AN319),FALSE)-1,"NA")</f>
        <v>0.48150923200428153</v>
      </c>
      <c r="AO2" s="168">
        <f>IFERROR(VLOOKUP(($A$1-IF(RIGHT($A$1,2)="01",48,1)),$F$7:AO319,COLUMNS($F$7:AO319),FALSE)-VLOOKUP(($A$1-IF(RIGHT($A$1,2)="01",100,100)),$F$7:AO319,COLUMNS($F$7:AO319),FALSE),"NA")</f>
        <v>-0.32647401533261894</v>
      </c>
      <c r="AP2" s="680">
        <f>IFERROR(VLOOKUP(($A$1-IF(OR(RIGHT($A$1,2)="01",RIGHT($A$1,2)="02",RIGHT($A$1,2)="03",RIGHT($A$1,2)="04"),51,4)),$F$7:AP319,COLUMNS($F$7:AP319),FALSE)-VLOOKUP(($A$1-IF(OR(RIGHT($A$1,2)="01",RIGHT($A$1,2)="02",RIGHT($A$1,2)="03"),151,103)),$F$7:AP319,COLUMNS($F$7:AP319),FALSE),"NA")</f>
        <v>0.66889426698691135</v>
      </c>
      <c r="AQ2" s="169">
        <f>IFERROR(VLOOKUP(($A$1-IF(OR(RIGHT($A$1,2)="01",RIGHT($A$1,2)="02",RIGHT($A$1,2)="03",RIGHT($A$1,2)="04"),51,4)),$F$7:AQ319,COLUMNS($F$7:AQ319),FALSE)-VLOOKUP(($A$1-IF(OR(RIGHT($A$1,2)="01",RIGHT($A$1,2)="02",RIGHT($A$1,2)="03"),151,103)),$F$7:AQ319,COLUMNS($F$7:AQ319),FALSE),"NA")</f>
        <v>0.25645790284775838</v>
      </c>
      <c r="AR2" s="169">
        <f>IFERROR(VLOOKUP(($A$1-IF(OR(RIGHT($A$1,2)="01",RIGHT($A$1,2)="02",RIGHT($A$1,2)="03",RIGHT($A$1,2)="04"),51,4)),$F$7:AR319,COLUMNS($F$7:AR319),FALSE)-VLOOKUP(($A$1-IF(OR(RIGHT($A$1,2)="01",RIGHT($A$1,2)="02",RIGHT($A$1,2)="03"),151,103)),$F$7:AR319,COLUMNS($F$7:AR319),FALSE),"NA")</f>
        <v>0.28981003397263499</v>
      </c>
      <c r="AS2" s="171">
        <f>IFERROR(VLOOKUP(($A$1-IF(OR(RIGHT($A$1,2)="01",RIGHT($A$1,2)="02",RIGHT($A$1,2)="03",RIGHT($A$1,2)="04"),51,4)),$F$7:AS319,COLUMNS($F$7:AS319),FALSE)-VLOOKUP(($A$1-IF(OR(RIGHT($A$1,2)="01",RIGHT($A$1,2)="02",RIGHT($A$1,2)="03"),151,103)),$F$7:AS319,COLUMNS($F$7:AS319),FALSE),"NA")</f>
        <v>0.66889426698691135</v>
      </c>
      <c r="AT2" s="168">
        <f>IFERROR(VLOOKUP($A$1,$F$7:AT319,COLUMNS($F$7:AT319),FALSE)/VLOOKUP(($A$1-99),$F$7:AT319,COLUMNS($F$7:AT319),FALSE)-1,"NA")</f>
        <v>0.50281259251949084</v>
      </c>
      <c r="AU2" s="168">
        <f>IFERROR(VLOOKUP($A$1,$F$7:AU319,COLUMNS($F$7:AU319),FALSE)/VLOOKUP(($A$1-99),$F$7:AU319,COLUMNS($F$7:AU319),FALSE)-1,"NA")</f>
        <v>-3.9144337854228661E-2</v>
      </c>
      <c r="AV2" s="168">
        <f>IFERROR(VLOOKUP($A$1,$F$7:AV319,COLUMNS($F$7:AV319),FALSE)/VLOOKUP(($A$1-99),$F$7:AV319,COLUMNS($F$7:AV319),FALSE)-1,"NA")</f>
        <v>5.9843541584051252E-2</v>
      </c>
      <c r="AW2" s="168">
        <f>IFERROR(VLOOKUP($A$1,$F$7:AW319,COLUMNS($F$7:AW319),FALSE)/VLOOKUP(($A$1-99),$F$7:AW319,COLUMNS($F$7:AW319),FALSE)-1,"NA")</f>
        <v>0.50281259251949151</v>
      </c>
      <c r="AX2" s="168">
        <f>IFERROR(VLOOKUP($A$1,$F$7:AX319,COLUMNS($F$7:AX319),FALSE)/VLOOKUP(($A$1-99),$F$7:AX319,COLUMNS($F$7:AX319),FALSE)-1,"NA")</f>
        <v>-3.9144337854228661E-2</v>
      </c>
      <c r="AY2" s="168">
        <f>IFERROR(VLOOKUP($A$1,$F$7:AY319,COLUMNS($F$7:AY319),FALSE)/VLOOKUP(($A$1-99),$F$7:AY319,COLUMNS($F$7:AY319),FALSE)-1,"NA")</f>
        <v>5.9843541584051252E-2</v>
      </c>
      <c r="AZ2" s="167">
        <f>IFERROR(VLOOKUP($A$1,$F$7:AZ319,COLUMNS($F$7:AZ319),FALSE)/VLOOKUP(($A$1-99),$F$7:AZ319,COLUMNS($F$7:AZ319),FALSE)-1,"NA")</f>
        <v>-0.15347915611888141</v>
      </c>
      <c r="BA2" s="168">
        <f>IFERROR(VLOOKUP($A$1,$F$7:BA319,COLUMNS($F$7:BA319),FALSE)/VLOOKUP(($A$1-99),$F$7:BA319,COLUMNS($F$7:BA319),FALSE)-1,"NA")</f>
        <v>0.22560359536995511</v>
      </c>
      <c r="BB2" s="168">
        <f>IFERROR(VLOOKUP($A$1,$F$7:BB319,COLUMNS($F$7:BB319),FALSE)/VLOOKUP(($A$1-99),$F$7:BB319,COLUMNS($F$7:BB319),FALSE)-1,"NA")</f>
        <v>-0.26392508559456285</v>
      </c>
      <c r="BC2" s="168">
        <f>IFERROR(VLOOKUP($A$1,$F$7:BC319,COLUMNS($F$7:BC319),FALSE)/VLOOKUP(($A$1-99),$F$7:BC319,COLUMNS($F$7:BC319),FALSE)-1,"NA")</f>
        <v>0.4843490947675575</v>
      </c>
      <c r="BD2" s="168">
        <f>IFERROR(VLOOKUP($A$1,$F$7:BD319,COLUMNS($F$7:BD319),FALSE)/VLOOKUP(($A$1-99),$F$7:BD319,COLUMNS($F$7:BD319),FALSE)-1,"NA")</f>
        <v>0.50281259251949084</v>
      </c>
      <c r="BE2" s="168">
        <f>IFERROR(VLOOKUP($A$1,$F$7:BE319,COLUMNS($F$7:BE319),FALSE)/VLOOKUP(($A$1-99),$F$7:BE319,COLUMNS($F$7:BE319),FALSE)-1,"NA")</f>
        <v>-3.9144337854228661E-2</v>
      </c>
      <c r="BF2" s="168">
        <f>IFERROR(VLOOKUP($A$1,$F$7:BF319,COLUMNS($F$7:BF319),FALSE)-VLOOKUP(($A$1-99),$F$7:BF319,COLUMNS($F$7:BF319),FALSE),"NA")</f>
        <v>-8.775867318573044E-2</v>
      </c>
      <c r="BG2" s="168">
        <f>IFERROR(VLOOKUP($A$1,$F$7:BG319,COLUMNS($F$7:BG319),FALSE)-VLOOKUP(($A$1-99),$F$7:BG319,COLUMNS($F$7:BG319),FALSE),"NA")</f>
        <v>8.7758673185730496E-2</v>
      </c>
      <c r="BH2" s="168">
        <f>IFERROR(VLOOKUP($A$1,$F$7:BH319,COLUMNS($F$7:BH319),FALSE)-VLOOKUP(($A$1-99),$F$7:BH319,COLUMNS($F$7:BH319),FALSE),"NA")</f>
        <v>-0.21654122187136243</v>
      </c>
      <c r="BI2" s="168">
        <f>IFERROR(VLOOKUP($A$1,$F$7:BI319,COLUMNS($F$7:BI319),FALSE)-VLOOKUP(($A$1-99),$F$7:BI319,COLUMNS($F$7:BI319),FALSE),"NA")</f>
        <v>0.21654148405610463</v>
      </c>
      <c r="BJ2" s="168">
        <f>IFERROR(VLOOKUP($A$1,$F$7:BJ319,COLUMNS($F$7:BJ319),FALSE)-VLOOKUP(($A$1-99),$F$7:BJ319,COLUMNS($F$7:BJ319),FALSE),"NA")</f>
        <v>7.6339422992768607E-2</v>
      </c>
      <c r="BK2" s="168">
        <f>IFERROR(VLOOKUP($A$1,$F$7:BK319,COLUMNS($F$7:BK319),FALSE)-VLOOKUP(($A$1-99),$F$7:BK319,COLUMNS($F$7:BK319),FALSE),"NA")</f>
        <v>-7.6339422992768524E-2</v>
      </c>
      <c r="BL2" s="167">
        <f>IFERROR(VLOOKUP($A$1,$F$7:BL319,COLUMNS($F$7:BL319),FALSE)/VLOOKUP(($A$1-99),$F$7:BL319,COLUMNS($F$7:BL319),FALSE)-1,"NA")</f>
        <v>-2.8586595885865984E-2</v>
      </c>
      <c r="BM2" s="168">
        <f>IFERROR(VLOOKUP($A$1,$F$7:BM319,COLUMNS($F$7:BM319),FALSE)/VLOOKUP(($A$1-99),$F$7:BM319,COLUMNS($F$7:BM319),FALSE)-1,"NA")</f>
        <v>0.56067791086124008</v>
      </c>
      <c r="BN2" s="170">
        <f>IFERROR(VLOOKUP($A$1,$F$7:BN319,COLUMNS($F$7:BN319),FALSE)/VLOOKUP(($A$1-99),$F$7:BN319,COLUMNS($F$7:BN319),FALSE)-1,"NA")</f>
        <v>0.23590681344402586</v>
      </c>
    </row>
    <row r="3" spans="1:66" s="89" customFormat="1" ht="15.75" customHeight="1">
      <c r="A3" s="981"/>
      <c r="B3" s="977"/>
      <c r="C3" s="977"/>
      <c r="D3" s="977"/>
      <c r="E3" s="977"/>
      <c r="F3" s="95" t="s">
        <v>164</v>
      </c>
      <c r="G3" s="79" t="s">
        <v>165</v>
      </c>
      <c r="H3" s="79" t="s">
        <v>165</v>
      </c>
      <c r="I3" s="79" t="s">
        <v>165</v>
      </c>
      <c r="J3" s="79" t="s">
        <v>166</v>
      </c>
      <c r="K3" s="79" t="s">
        <v>166</v>
      </c>
      <c r="L3" s="79" t="s">
        <v>165</v>
      </c>
      <c r="M3" s="79" t="s">
        <v>165</v>
      </c>
      <c r="N3" s="79" t="s">
        <v>165</v>
      </c>
      <c r="O3" s="79" t="s">
        <v>166</v>
      </c>
      <c r="P3" s="79" t="s">
        <v>166</v>
      </c>
      <c r="Q3" s="79" t="s">
        <v>166</v>
      </c>
      <c r="R3" s="79" t="s">
        <v>167</v>
      </c>
      <c r="S3" s="79" t="s">
        <v>167</v>
      </c>
      <c r="T3" s="79" t="s">
        <v>166</v>
      </c>
      <c r="U3" s="79" t="s">
        <v>166</v>
      </c>
      <c r="V3" s="79" t="s">
        <v>166</v>
      </c>
      <c r="W3" s="86" t="s">
        <v>166</v>
      </c>
      <c r="X3" s="79" t="s">
        <v>167</v>
      </c>
      <c r="Y3" s="79" t="s">
        <v>167</v>
      </c>
      <c r="Z3" s="79" t="s">
        <v>168</v>
      </c>
      <c r="AA3" s="97" t="s">
        <v>168</v>
      </c>
      <c r="AB3" s="90" t="s">
        <v>169</v>
      </c>
      <c r="AC3" s="90" t="s">
        <v>170</v>
      </c>
      <c r="AD3" s="90" t="s">
        <v>170</v>
      </c>
      <c r="AE3" s="90" t="s">
        <v>171</v>
      </c>
      <c r="AF3" s="122" t="s">
        <v>166</v>
      </c>
      <c r="AG3" s="90" t="s">
        <v>166</v>
      </c>
      <c r="AH3" s="90" t="s">
        <v>166</v>
      </c>
      <c r="AI3" s="114" t="s">
        <v>166</v>
      </c>
      <c r="AJ3" s="79" t="s">
        <v>166</v>
      </c>
      <c r="AK3" s="79" t="s">
        <v>172</v>
      </c>
      <c r="AL3" s="79" t="s">
        <v>172</v>
      </c>
      <c r="AM3" s="79" t="s">
        <v>172</v>
      </c>
      <c r="AN3" s="79" t="s">
        <v>172</v>
      </c>
      <c r="AO3" s="79" t="s">
        <v>166</v>
      </c>
      <c r="AP3" s="86" t="s">
        <v>166</v>
      </c>
      <c r="AQ3" s="79" t="s">
        <v>172</v>
      </c>
      <c r="AR3" s="79" t="s">
        <v>172</v>
      </c>
      <c r="AS3" s="97" t="s">
        <v>166</v>
      </c>
      <c r="AT3" s="79" t="s">
        <v>165</v>
      </c>
      <c r="AU3" s="79" t="s">
        <v>165</v>
      </c>
      <c r="AV3" s="79" t="s">
        <v>166</v>
      </c>
      <c r="AW3" s="79" t="s">
        <v>166</v>
      </c>
      <c r="AX3" s="79" t="s">
        <v>166</v>
      </c>
      <c r="AY3" s="79" t="s">
        <v>166</v>
      </c>
      <c r="AZ3" s="86" t="s">
        <v>166</v>
      </c>
      <c r="BA3" s="79" t="s">
        <v>166</v>
      </c>
      <c r="BB3" s="79" t="s">
        <v>165</v>
      </c>
      <c r="BC3" s="79" t="s">
        <v>165</v>
      </c>
      <c r="BD3" s="79" t="s">
        <v>165</v>
      </c>
      <c r="BE3" s="79" t="s">
        <v>165</v>
      </c>
      <c r="BF3" s="79" t="s">
        <v>166</v>
      </c>
      <c r="BG3" s="79" t="s">
        <v>166</v>
      </c>
      <c r="BH3" s="79" t="s">
        <v>166</v>
      </c>
      <c r="BI3" s="79" t="s">
        <v>166</v>
      </c>
      <c r="BJ3" s="79" t="s">
        <v>166</v>
      </c>
      <c r="BK3" s="97" t="s">
        <v>166</v>
      </c>
      <c r="BL3" s="420" t="s">
        <v>173</v>
      </c>
      <c r="BM3" s="536" t="s">
        <v>173</v>
      </c>
      <c r="BN3" s="308" t="s">
        <v>166</v>
      </c>
    </row>
    <row r="4" spans="1:66" s="89" customFormat="1" ht="16.5" customHeight="1" thickBot="1">
      <c r="A4" s="982"/>
      <c r="B4" s="978"/>
      <c r="C4" s="978"/>
      <c r="D4" s="978"/>
      <c r="E4" s="978"/>
      <c r="F4" s="96" t="s">
        <v>174</v>
      </c>
      <c r="G4" s="146" t="s">
        <v>175</v>
      </c>
      <c r="H4" s="146" t="s">
        <v>175</v>
      </c>
      <c r="I4" s="146" t="s">
        <v>175</v>
      </c>
      <c r="J4" s="88"/>
      <c r="K4" s="88"/>
      <c r="L4" s="146" t="s">
        <v>175</v>
      </c>
      <c r="M4" s="88"/>
      <c r="N4" s="88"/>
      <c r="O4" s="88"/>
      <c r="P4" s="88"/>
      <c r="Q4" s="88"/>
      <c r="R4" s="88"/>
      <c r="S4" s="88"/>
      <c r="T4" s="88"/>
      <c r="U4" s="88"/>
      <c r="V4" s="88"/>
      <c r="W4" s="87"/>
      <c r="X4" s="88"/>
      <c r="Y4" s="88"/>
      <c r="Z4" s="88"/>
      <c r="AA4" s="98"/>
      <c r="AB4" s="124"/>
      <c r="AC4" s="124"/>
      <c r="AD4" s="124"/>
      <c r="AE4" s="124"/>
      <c r="AF4" s="123"/>
      <c r="AG4" s="124"/>
      <c r="AH4" s="124"/>
      <c r="AI4" s="98"/>
      <c r="AJ4" s="88"/>
      <c r="AK4" s="141" t="s">
        <v>176</v>
      </c>
      <c r="AL4" s="88"/>
      <c r="AM4" s="88"/>
      <c r="AN4" s="88"/>
      <c r="AO4" s="141" t="s">
        <v>176</v>
      </c>
      <c r="AP4" s="87"/>
      <c r="AQ4" s="141" t="s">
        <v>176</v>
      </c>
      <c r="AR4" s="88"/>
      <c r="AS4" s="142" t="s">
        <v>176</v>
      </c>
      <c r="AT4" s="88"/>
      <c r="AU4" s="88"/>
      <c r="AV4" s="88"/>
      <c r="AW4" s="88"/>
      <c r="AX4" s="88"/>
      <c r="AY4" s="88"/>
      <c r="AZ4" s="87"/>
      <c r="BA4" s="88"/>
      <c r="BB4" s="88"/>
      <c r="BC4" s="88"/>
      <c r="BD4" s="106"/>
      <c r="BE4" s="88"/>
      <c r="BF4" s="88"/>
      <c r="BG4" s="88"/>
      <c r="BH4" s="88"/>
      <c r="BI4" s="88"/>
      <c r="BJ4" s="88"/>
      <c r="BK4" s="98"/>
      <c r="BL4" s="417"/>
      <c r="BM4" s="418"/>
      <c r="BN4" s="419"/>
    </row>
    <row r="5" spans="1:66" ht="16.5" customHeight="1" thickBot="1">
      <c r="I5" s="78"/>
    </row>
    <row r="6" spans="1:66" s="80" customFormat="1" ht="30.75" customHeight="1" thickBot="1">
      <c r="A6" s="81" t="s">
        <v>41</v>
      </c>
      <c r="B6" s="82" t="s">
        <v>44</v>
      </c>
      <c r="C6" s="82" t="s">
        <v>177</v>
      </c>
      <c r="D6" s="82" t="s">
        <v>47</v>
      </c>
      <c r="E6" s="82" t="s">
        <v>48</v>
      </c>
      <c r="F6" s="82" t="s">
        <v>178</v>
      </c>
      <c r="G6" s="81" t="s">
        <v>50</v>
      </c>
      <c r="H6" s="82" t="s">
        <v>179</v>
      </c>
      <c r="I6" s="128" t="s">
        <v>180</v>
      </c>
      <c r="J6" s="82" t="s">
        <v>181</v>
      </c>
      <c r="K6" s="82" t="s">
        <v>182</v>
      </c>
      <c r="L6" s="82" t="s">
        <v>183</v>
      </c>
      <c r="M6" s="82" t="s">
        <v>184</v>
      </c>
      <c r="N6" s="82" t="s">
        <v>62</v>
      </c>
      <c r="O6" s="82" t="s">
        <v>185</v>
      </c>
      <c r="P6" s="82" t="s">
        <v>186</v>
      </c>
      <c r="Q6" s="82" t="s">
        <v>187</v>
      </c>
      <c r="R6" s="82" t="s">
        <v>188</v>
      </c>
      <c r="S6" s="82" t="s">
        <v>189</v>
      </c>
      <c r="T6" s="82" t="s">
        <v>190</v>
      </c>
      <c r="U6" s="82" t="s">
        <v>191</v>
      </c>
      <c r="V6" s="83" t="s">
        <v>192</v>
      </c>
      <c r="W6" s="81" t="s">
        <v>193</v>
      </c>
      <c r="X6" s="82" t="s">
        <v>194</v>
      </c>
      <c r="Y6" s="82" t="s">
        <v>195</v>
      </c>
      <c r="Z6" s="82" t="s">
        <v>196</v>
      </c>
      <c r="AA6" s="83" t="s">
        <v>197</v>
      </c>
      <c r="AB6" s="81" t="s">
        <v>84</v>
      </c>
      <c r="AC6" s="82" t="s">
        <v>109</v>
      </c>
      <c r="AD6" s="82" t="s">
        <v>113</v>
      </c>
      <c r="AE6" s="82" t="s">
        <v>198</v>
      </c>
      <c r="AF6" s="129" t="s">
        <v>199</v>
      </c>
      <c r="AG6" s="82" t="s">
        <v>200</v>
      </c>
      <c r="AH6" s="82" t="s">
        <v>201</v>
      </c>
      <c r="AI6" s="130" t="s">
        <v>202</v>
      </c>
      <c r="AJ6" s="81" t="s">
        <v>203</v>
      </c>
      <c r="AK6" s="82" t="s">
        <v>204</v>
      </c>
      <c r="AL6" s="82" t="s">
        <v>205</v>
      </c>
      <c r="AM6" s="82" t="s">
        <v>206</v>
      </c>
      <c r="AN6" s="82" t="s">
        <v>207</v>
      </c>
      <c r="AO6" s="83" t="s">
        <v>208</v>
      </c>
      <c r="AP6" s="81" t="s">
        <v>209</v>
      </c>
      <c r="AQ6" s="82" t="s">
        <v>210</v>
      </c>
      <c r="AR6" s="82" t="s">
        <v>211</v>
      </c>
      <c r="AS6" s="83" t="s">
        <v>212</v>
      </c>
      <c r="AT6" s="81" t="s">
        <v>213</v>
      </c>
      <c r="AU6" s="82" t="s">
        <v>214</v>
      </c>
      <c r="AV6" s="82" t="s">
        <v>215</v>
      </c>
      <c r="AW6" s="82" t="s">
        <v>216</v>
      </c>
      <c r="AX6" s="82" t="s">
        <v>217</v>
      </c>
      <c r="AY6" s="83" t="s">
        <v>218</v>
      </c>
      <c r="AZ6" s="81" t="s">
        <v>219</v>
      </c>
      <c r="BA6" s="82" t="s">
        <v>220</v>
      </c>
      <c r="BB6" s="82" t="s">
        <v>221</v>
      </c>
      <c r="BC6" s="82" t="s">
        <v>222</v>
      </c>
      <c r="BD6" s="82" t="s">
        <v>223</v>
      </c>
      <c r="BE6" s="82" t="s">
        <v>63</v>
      </c>
      <c r="BF6" s="82" t="s">
        <v>224</v>
      </c>
      <c r="BG6" s="82" t="s">
        <v>225</v>
      </c>
      <c r="BH6" s="82" t="s">
        <v>226</v>
      </c>
      <c r="BI6" s="82" t="s">
        <v>227</v>
      </c>
      <c r="BJ6" s="82" t="s">
        <v>228</v>
      </c>
      <c r="BK6" s="83" t="s">
        <v>229</v>
      </c>
      <c r="BL6" s="81" t="s">
        <v>230</v>
      </c>
      <c r="BM6" s="82" t="s">
        <v>231</v>
      </c>
      <c r="BN6" s="83" t="s">
        <v>232</v>
      </c>
    </row>
    <row r="7" spans="1:66" s="89" customFormat="1" ht="16.350000000000001" customHeight="1">
      <c r="A7" s="341">
        <f t="shared" ref="A7:A70" si="0">LEFT(F7,4)+1</f>
        <v>2021</v>
      </c>
      <c r="B7" s="172" t="str">
        <f t="shared" ref="B7:B70" si="1">RIGHT(F7,2)</f>
        <v>01</v>
      </c>
      <c r="C7" s="172" t="str">
        <f t="array" ref="C7">_xlfn.IFS(_xlfn.NUMBERVALUE(B7)&lt;=13,"Q1",AND(_xlfn.NUMBERVALUE(B7)&gt;13,_xlfn.NUMBERVALUE(B7)&lt;=26),"Q2", AND(_xlfn.NUMBERVALUE(B7)&gt;26,_xlfn.NUMBERVALUE(B7)&lt;=39),"Q3",_xlfn.NUMBERVALUE(B7)&gt;39,"Q4")</f>
        <v>Q1</v>
      </c>
      <c r="D7" s="173">
        <v>43862</v>
      </c>
      <c r="E7" s="174">
        <f t="shared" ref="E7:E70" si="2">D7+6</f>
        <v>43868</v>
      </c>
      <c r="F7" s="443">
        <v>202001</v>
      </c>
      <c r="G7" s="179">
        <f t="shared" ref="G7:G70" si="3">SUM(H7:I7)</f>
        <v>0</v>
      </c>
      <c r="H7" s="100"/>
      <c r="I7" s="100"/>
      <c r="J7" s="343">
        <f t="shared" ref="J7:J70" si="4">IFERROR(H7/G7,0)</f>
        <v>0</v>
      </c>
      <c r="K7" s="343">
        <f t="shared" ref="K7:K70" si="5">IFERROR(I7/G7,0)</f>
        <v>0</v>
      </c>
      <c r="L7" s="102"/>
      <c r="M7" s="102"/>
      <c r="N7" s="102"/>
      <c r="O7" s="343">
        <f t="shared" ref="O7:O70" si="6">IFERROR(L7/$G7,0)</f>
        <v>0</v>
      </c>
      <c r="P7" s="343">
        <f t="shared" ref="P7:P70" si="7">IFERROR(M7/$G7,0)</f>
        <v>0</v>
      </c>
      <c r="Q7" s="343">
        <f t="shared" ref="Q7:Q70" si="8">IFERROR(N7/$G7,0)</f>
        <v>0</v>
      </c>
      <c r="R7" s="345">
        <f>Forecast!J2</f>
        <v>0</v>
      </c>
      <c r="S7" s="345">
        <f>Forecast!N2</f>
        <v>0</v>
      </c>
      <c r="T7" s="345">
        <f t="shared" ref="T7:T70" si="9">IF(OR(RIGHT(F7,2) = "01",G7 = 0),G7,T6+G7)</f>
        <v>0</v>
      </c>
      <c r="U7" s="345">
        <f t="shared" ref="U7:U70" si="10">IF(RIGHT(F7,2)="01",R7,R7+U6)</f>
        <v>0</v>
      </c>
      <c r="V7" s="346">
        <f t="shared" ref="V7:V70" si="11">IF(RIGHT(F7,2)="01",S7,S7+V6)</f>
        <v>0</v>
      </c>
      <c r="W7" s="347">
        <f t="shared" ref="W7:W70" si="12">X7+Y7</f>
        <v>0</v>
      </c>
      <c r="X7" s="348">
        <f>'Channel &amp; Campaign Metrics'!AR6</f>
        <v>0</v>
      </c>
      <c r="Y7" s="348">
        <f>'Channel &amp; Campaign Metrics'!BS6</f>
        <v>0</v>
      </c>
      <c r="Z7" s="108"/>
      <c r="AA7" s="109"/>
      <c r="AB7" s="353">
        <f>'Glass Metrics'!AC7</f>
        <v>0</v>
      </c>
      <c r="AC7" s="345">
        <f>'Glass Metrics'!I7</f>
        <v>0</v>
      </c>
      <c r="AD7" s="348">
        <f>'Glass Metrics'!N7</f>
        <v>0</v>
      </c>
      <c r="AE7" s="345">
        <f>'Glass Metrics'!S7</f>
        <v>0</v>
      </c>
      <c r="AF7" s="354" t="str">
        <f t="shared" ref="AF7:AF70" si="13">IFERROR(AE7/AB7,"")</f>
        <v/>
      </c>
      <c r="AG7" s="355" t="str">
        <f t="shared" ref="AG7:AG70" si="14">IFERROR(AC7/AE7,"")</f>
        <v/>
      </c>
      <c r="AH7" s="184" t="str">
        <f t="shared" ref="AH7:AH70" si="15">IFERROR(AD7/AC7,"")</f>
        <v/>
      </c>
      <c r="AI7" s="356" t="str">
        <f t="shared" ref="AI7:AI70" si="16">IFERROR(G7/AB7,"")</f>
        <v/>
      </c>
      <c r="AJ7" s="357"/>
      <c r="AK7" s="101"/>
      <c r="AL7" s="101"/>
      <c r="AM7" s="101"/>
      <c r="AN7" s="101"/>
      <c r="AO7" s="369">
        <f t="shared" ref="AO7:AO38" si="17">AJ7</f>
        <v>0</v>
      </c>
      <c r="AP7" s="357"/>
      <c r="AQ7" s="101"/>
      <c r="AR7" s="101"/>
      <c r="AS7" s="369">
        <f t="shared" ref="AS7:AS38" si="18">AP7</f>
        <v>0</v>
      </c>
      <c r="AT7" s="116"/>
      <c r="AU7" s="117"/>
      <c r="AV7" s="378">
        <f t="shared" ref="AV7:AV70" si="19">SUM(AT7:AU7)</f>
        <v>0</v>
      </c>
      <c r="AW7" s="378"/>
      <c r="AX7" s="378"/>
      <c r="AY7" s="379"/>
      <c r="AZ7" s="188"/>
      <c r="BA7" s="172"/>
      <c r="BB7" s="85"/>
      <c r="BC7" s="85"/>
      <c r="BD7" s="85"/>
      <c r="BE7" s="85"/>
      <c r="BF7" s="387"/>
      <c r="BG7" s="387"/>
      <c r="BH7" s="387"/>
      <c r="BI7" s="387"/>
      <c r="BJ7" s="387"/>
      <c r="BK7" s="388"/>
      <c r="BL7" s="421"/>
      <c r="BM7" s="422"/>
      <c r="BN7" s="512">
        <f t="shared" ref="BN7:BN70" si="20">SUM(BL7:BM7)</f>
        <v>0</v>
      </c>
    </row>
    <row r="8" spans="1:66" s="89" customFormat="1" ht="16.350000000000001" customHeight="1">
      <c r="A8" s="175">
        <f t="shared" si="0"/>
        <v>2021</v>
      </c>
      <c r="B8" s="454" t="str">
        <f t="shared" si="1"/>
        <v>02</v>
      </c>
      <c r="C8" s="454" t="str">
        <f t="array" ref="C8">_xlfn.IFS(_xlfn.NUMBERVALUE(B8)&lt;=13,"Q1",AND(_xlfn.NUMBERVALUE(B8)&gt;13,_xlfn.NUMBERVALUE(B8)&lt;=26),"Q2", AND(_xlfn.NUMBERVALUE(B8)&gt;26,_xlfn.NUMBERVALUE(B8)&lt;=39),"Q3",_xlfn.NUMBERVALUE(B8)&gt;39,"Q4")</f>
        <v>Q1</v>
      </c>
      <c r="D8" s="448">
        <f t="shared" ref="D8:D71" si="21">E7+1</f>
        <v>43869</v>
      </c>
      <c r="E8" s="448">
        <f t="shared" si="2"/>
        <v>43875</v>
      </c>
      <c r="F8" s="480">
        <v>202002</v>
      </c>
      <c r="G8" s="180">
        <f t="shared" si="3"/>
        <v>0</v>
      </c>
      <c r="H8" s="429"/>
      <c r="I8" s="429"/>
      <c r="J8" s="474">
        <f t="shared" si="4"/>
        <v>0</v>
      </c>
      <c r="K8" s="474">
        <f t="shared" si="5"/>
        <v>0</v>
      </c>
      <c r="L8" s="481"/>
      <c r="M8" s="481"/>
      <c r="N8" s="481"/>
      <c r="O8" s="474">
        <f t="shared" si="6"/>
        <v>0</v>
      </c>
      <c r="P8" s="474">
        <f t="shared" si="7"/>
        <v>0</v>
      </c>
      <c r="Q8" s="474">
        <f t="shared" si="8"/>
        <v>0</v>
      </c>
      <c r="R8" s="449">
        <f>Forecast!J3</f>
        <v>0</v>
      </c>
      <c r="S8" s="449">
        <f>Forecast!N3</f>
        <v>0</v>
      </c>
      <c r="T8" s="475">
        <f t="shared" si="9"/>
        <v>0</v>
      </c>
      <c r="U8" s="475">
        <f t="shared" si="10"/>
        <v>0</v>
      </c>
      <c r="V8" s="349">
        <f t="shared" si="11"/>
        <v>0</v>
      </c>
      <c r="W8" s="350">
        <f t="shared" si="12"/>
        <v>0</v>
      </c>
      <c r="X8" s="469">
        <f>'Channel &amp; Campaign Metrics'!AR7</f>
        <v>0</v>
      </c>
      <c r="Y8" s="469">
        <f>'Channel &amp; Campaign Metrics'!BS7</f>
        <v>0</v>
      </c>
      <c r="Z8" s="430"/>
      <c r="AA8" s="111"/>
      <c r="AB8" s="358">
        <f>'Glass Metrics'!AC8</f>
        <v>0</v>
      </c>
      <c r="AC8" s="475">
        <f>'Glass Metrics'!I8</f>
        <v>0</v>
      </c>
      <c r="AD8" s="469">
        <f>'Glass Metrics'!N8</f>
        <v>0</v>
      </c>
      <c r="AE8" s="475">
        <f>'Glass Metrics'!S8</f>
        <v>0</v>
      </c>
      <c r="AF8" s="359" t="str">
        <f t="shared" si="13"/>
        <v/>
      </c>
      <c r="AG8" s="477" t="str">
        <f t="shared" si="14"/>
        <v/>
      </c>
      <c r="AH8" s="472" t="str">
        <f t="shared" si="15"/>
        <v/>
      </c>
      <c r="AI8" s="360" t="str">
        <f t="shared" si="16"/>
        <v/>
      </c>
      <c r="AJ8" s="361"/>
      <c r="AK8" s="482"/>
      <c r="AL8" s="482"/>
      <c r="AM8" s="482"/>
      <c r="AN8" s="482"/>
      <c r="AO8" s="370">
        <f t="shared" si="17"/>
        <v>0</v>
      </c>
      <c r="AP8" s="361"/>
      <c r="AQ8" s="482"/>
      <c r="AR8" s="482"/>
      <c r="AS8" s="370">
        <f t="shared" si="18"/>
        <v>0</v>
      </c>
      <c r="AT8" s="118"/>
      <c r="AU8" s="483"/>
      <c r="AV8" s="484">
        <f t="shared" si="19"/>
        <v>0</v>
      </c>
      <c r="AW8" s="484"/>
      <c r="AX8" s="484"/>
      <c r="AY8" s="380"/>
      <c r="AZ8" s="175"/>
      <c r="BA8" s="454"/>
      <c r="BB8" s="79"/>
      <c r="BC8" s="79"/>
      <c r="BD8" s="79"/>
      <c r="BE8" s="79"/>
      <c r="BF8" s="485"/>
      <c r="BG8" s="485"/>
      <c r="BH8" s="485"/>
      <c r="BI8" s="485"/>
      <c r="BJ8" s="485"/>
      <c r="BK8" s="389"/>
      <c r="BL8" s="125"/>
      <c r="BM8" s="92"/>
      <c r="BN8" s="386">
        <f t="shared" si="20"/>
        <v>0</v>
      </c>
    </row>
    <row r="9" spans="1:66" s="89" customFormat="1" ht="16.350000000000001" customHeight="1">
      <c r="A9" s="175">
        <f t="shared" si="0"/>
        <v>2021</v>
      </c>
      <c r="B9" s="454" t="str">
        <f t="shared" si="1"/>
        <v>03</v>
      </c>
      <c r="C9" s="454" t="str">
        <f t="array" ref="C9">_xlfn.IFS(_xlfn.NUMBERVALUE(B9)&lt;=13,"Q1",AND(_xlfn.NUMBERVALUE(B9)&gt;13,_xlfn.NUMBERVALUE(B9)&lt;=26),"Q2", AND(_xlfn.NUMBERVALUE(B9)&gt;26,_xlfn.NUMBERVALUE(B9)&lt;=39),"Q3",_xlfn.NUMBERVALUE(B9)&gt;39,"Q4")</f>
        <v>Q1</v>
      </c>
      <c r="D9" s="448">
        <f t="shared" si="21"/>
        <v>43876</v>
      </c>
      <c r="E9" s="448">
        <f t="shared" si="2"/>
        <v>43882</v>
      </c>
      <c r="F9" s="480">
        <v>202003</v>
      </c>
      <c r="G9" s="180">
        <f t="shared" si="3"/>
        <v>0</v>
      </c>
      <c r="H9" s="429"/>
      <c r="I9" s="429"/>
      <c r="J9" s="474">
        <f t="shared" si="4"/>
        <v>0</v>
      </c>
      <c r="K9" s="474">
        <f t="shared" si="5"/>
        <v>0</v>
      </c>
      <c r="L9" s="481"/>
      <c r="M9" s="481"/>
      <c r="N9" s="481"/>
      <c r="O9" s="474">
        <f t="shared" si="6"/>
        <v>0</v>
      </c>
      <c r="P9" s="474">
        <f t="shared" si="7"/>
        <v>0</v>
      </c>
      <c r="Q9" s="474">
        <f t="shared" si="8"/>
        <v>0</v>
      </c>
      <c r="R9" s="449">
        <f>Forecast!J4</f>
        <v>0</v>
      </c>
      <c r="S9" s="449">
        <f>Forecast!N4</f>
        <v>0</v>
      </c>
      <c r="T9" s="475">
        <f t="shared" si="9"/>
        <v>0</v>
      </c>
      <c r="U9" s="475">
        <f t="shared" si="10"/>
        <v>0</v>
      </c>
      <c r="V9" s="349">
        <f t="shared" si="11"/>
        <v>0</v>
      </c>
      <c r="W9" s="350">
        <f t="shared" si="12"/>
        <v>0</v>
      </c>
      <c r="X9" s="469">
        <f>'Channel &amp; Campaign Metrics'!AR8</f>
        <v>0</v>
      </c>
      <c r="Y9" s="469">
        <f>'Channel &amp; Campaign Metrics'!BS8</f>
        <v>0</v>
      </c>
      <c r="Z9" s="430"/>
      <c r="AA9" s="111"/>
      <c r="AB9" s="358">
        <f>'Glass Metrics'!AC9</f>
        <v>0</v>
      </c>
      <c r="AC9" s="475">
        <f>'Glass Metrics'!I9</f>
        <v>0</v>
      </c>
      <c r="AD9" s="469">
        <f>'Glass Metrics'!N9</f>
        <v>0</v>
      </c>
      <c r="AE9" s="475">
        <f>'Glass Metrics'!S9</f>
        <v>0</v>
      </c>
      <c r="AF9" s="359" t="str">
        <f t="shared" si="13"/>
        <v/>
      </c>
      <c r="AG9" s="477" t="str">
        <f t="shared" si="14"/>
        <v/>
      </c>
      <c r="AH9" s="472" t="str">
        <f t="shared" si="15"/>
        <v/>
      </c>
      <c r="AI9" s="360" t="str">
        <f t="shared" si="16"/>
        <v/>
      </c>
      <c r="AJ9" s="361"/>
      <c r="AK9" s="482"/>
      <c r="AL9" s="482"/>
      <c r="AM9" s="482"/>
      <c r="AN9" s="482"/>
      <c r="AO9" s="370">
        <f t="shared" si="17"/>
        <v>0</v>
      </c>
      <c r="AP9" s="361"/>
      <c r="AQ9" s="482"/>
      <c r="AR9" s="482"/>
      <c r="AS9" s="370">
        <f t="shared" si="18"/>
        <v>0</v>
      </c>
      <c r="AT9" s="118"/>
      <c r="AU9" s="483"/>
      <c r="AV9" s="484">
        <f t="shared" si="19"/>
        <v>0</v>
      </c>
      <c r="AW9" s="484"/>
      <c r="AX9" s="484"/>
      <c r="AY9" s="380"/>
      <c r="AZ9" s="175"/>
      <c r="BA9" s="454"/>
      <c r="BB9" s="79"/>
      <c r="BC9" s="79"/>
      <c r="BD9" s="79"/>
      <c r="BE9" s="79"/>
      <c r="BF9" s="485"/>
      <c r="BG9" s="485"/>
      <c r="BH9" s="485"/>
      <c r="BI9" s="485"/>
      <c r="BJ9" s="485"/>
      <c r="BK9" s="389"/>
      <c r="BL9" s="125"/>
      <c r="BM9" s="92"/>
      <c r="BN9" s="386">
        <f t="shared" si="20"/>
        <v>0</v>
      </c>
    </row>
    <row r="10" spans="1:66" s="89" customFormat="1" ht="16.350000000000001" customHeight="1">
      <c r="A10" s="175">
        <f t="shared" si="0"/>
        <v>2021</v>
      </c>
      <c r="B10" s="454" t="str">
        <f t="shared" si="1"/>
        <v>04</v>
      </c>
      <c r="C10" s="454" t="str">
        <f t="array" ref="C10">_xlfn.IFS(_xlfn.NUMBERVALUE(B10)&lt;=13,"Q1",AND(_xlfn.NUMBERVALUE(B10)&gt;13,_xlfn.NUMBERVALUE(B10)&lt;=26),"Q2", AND(_xlfn.NUMBERVALUE(B10)&gt;26,_xlfn.NUMBERVALUE(B10)&lt;=39),"Q3",_xlfn.NUMBERVALUE(B10)&gt;39,"Q4")</f>
        <v>Q1</v>
      </c>
      <c r="D10" s="448">
        <f t="shared" si="21"/>
        <v>43883</v>
      </c>
      <c r="E10" s="448">
        <f t="shared" si="2"/>
        <v>43889</v>
      </c>
      <c r="F10" s="480">
        <v>202004</v>
      </c>
      <c r="G10" s="180">
        <f t="shared" si="3"/>
        <v>0</v>
      </c>
      <c r="H10" s="429"/>
      <c r="I10" s="429"/>
      <c r="J10" s="474">
        <f t="shared" si="4"/>
        <v>0</v>
      </c>
      <c r="K10" s="474">
        <f t="shared" si="5"/>
        <v>0</v>
      </c>
      <c r="L10" s="481"/>
      <c r="M10" s="481"/>
      <c r="N10" s="481"/>
      <c r="O10" s="474">
        <f t="shared" si="6"/>
        <v>0</v>
      </c>
      <c r="P10" s="474">
        <f t="shared" si="7"/>
        <v>0</v>
      </c>
      <c r="Q10" s="474">
        <f t="shared" si="8"/>
        <v>0</v>
      </c>
      <c r="R10" s="449">
        <f>Forecast!J5</f>
        <v>0</v>
      </c>
      <c r="S10" s="449">
        <f>Forecast!N5</f>
        <v>0</v>
      </c>
      <c r="T10" s="475">
        <f t="shared" si="9"/>
        <v>0</v>
      </c>
      <c r="U10" s="475">
        <f t="shared" si="10"/>
        <v>0</v>
      </c>
      <c r="V10" s="349">
        <f t="shared" si="11"/>
        <v>0</v>
      </c>
      <c r="W10" s="350">
        <f t="shared" si="12"/>
        <v>0</v>
      </c>
      <c r="X10" s="469">
        <f>'Channel &amp; Campaign Metrics'!AR9</f>
        <v>0</v>
      </c>
      <c r="Y10" s="469">
        <f>'Channel &amp; Campaign Metrics'!BS9</f>
        <v>0</v>
      </c>
      <c r="Z10" s="430"/>
      <c r="AA10" s="111"/>
      <c r="AB10" s="358">
        <f>'Glass Metrics'!AC10</f>
        <v>0</v>
      </c>
      <c r="AC10" s="475">
        <f>'Glass Metrics'!I10</f>
        <v>0</v>
      </c>
      <c r="AD10" s="469">
        <f>'Glass Metrics'!N10</f>
        <v>0</v>
      </c>
      <c r="AE10" s="475">
        <f>'Glass Metrics'!S10</f>
        <v>0</v>
      </c>
      <c r="AF10" s="359" t="str">
        <f t="shared" si="13"/>
        <v/>
      </c>
      <c r="AG10" s="477" t="str">
        <f t="shared" si="14"/>
        <v/>
      </c>
      <c r="AH10" s="472" t="str">
        <f t="shared" si="15"/>
        <v/>
      </c>
      <c r="AI10" s="360" t="str">
        <f t="shared" si="16"/>
        <v/>
      </c>
      <c r="AJ10" s="361"/>
      <c r="AK10" s="482"/>
      <c r="AL10" s="482"/>
      <c r="AM10" s="482"/>
      <c r="AN10" s="482"/>
      <c r="AO10" s="370">
        <f t="shared" si="17"/>
        <v>0</v>
      </c>
      <c r="AP10" s="361"/>
      <c r="AQ10" s="482"/>
      <c r="AR10" s="482"/>
      <c r="AS10" s="370">
        <f t="shared" si="18"/>
        <v>0</v>
      </c>
      <c r="AT10" s="118"/>
      <c r="AU10" s="483"/>
      <c r="AV10" s="484">
        <f t="shared" si="19"/>
        <v>0</v>
      </c>
      <c r="AW10" s="484"/>
      <c r="AX10" s="484"/>
      <c r="AY10" s="380"/>
      <c r="AZ10" s="175"/>
      <c r="BA10" s="454"/>
      <c r="BB10" s="79"/>
      <c r="BC10" s="79"/>
      <c r="BD10" s="79"/>
      <c r="BE10" s="79"/>
      <c r="BF10" s="485"/>
      <c r="BG10" s="485"/>
      <c r="BH10" s="485"/>
      <c r="BI10" s="485"/>
      <c r="BJ10" s="485"/>
      <c r="BK10" s="389"/>
      <c r="BL10" s="125"/>
      <c r="BM10" s="92"/>
      <c r="BN10" s="386">
        <f t="shared" si="20"/>
        <v>0</v>
      </c>
    </row>
    <row r="11" spans="1:66" s="89" customFormat="1" ht="16.350000000000001" customHeight="1">
      <c r="A11" s="175">
        <f t="shared" si="0"/>
        <v>2021</v>
      </c>
      <c r="B11" s="454" t="str">
        <f t="shared" si="1"/>
        <v>05</v>
      </c>
      <c r="C11" s="454" t="str">
        <f t="array" ref="C11">_xlfn.IFS(_xlfn.NUMBERVALUE(B11)&lt;=13,"Q1",AND(_xlfn.NUMBERVALUE(B11)&gt;13,_xlfn.NUMBERVALUE(B11)&lt;=26),"Q2", AND(_xlfn.NUMBERVALUE(B11)&gt;26,_xlfn.NUMBERVALUE(B11)&lt;=39),"Q3",_xlfn.NUMBERVALUE(B11)&gt;39,"Q4")</f>
        <v>Q1</v>
      </c>
      <c r="D11" s="448">
        <f t="shared" si="21"/>
        <v>43890</v>
      </c>
      <c r="E11" s="448">
        <f t="shared" si="2"/>
        <v>43896</v>
      </c>
      <c r="F11" s="480">
        <v>202005</v>
      </c>
      <c r="G11" s="180">
        <f t="shared" si="3"/>
        <v>0</v>
      </c>
      <c r="H11" s="429"/>
      <c r="I11" s="429"/>
      <c r="J11" s="474">
        <f t="shared" si="4"/>
        <v>0</v>
      </c>
      <c r="K11" s="474">
        <f t="shared" si="5"/>
        <v>0</v>
      </c>
      <c r="L11" s="481"/>
      <c r="M11" s="481"/>
      <c r="N11" s="481"/>
      <c r="O11" s="474">
        <f t="shared" si="6"/>
        <v>0</v>
      </c>
      <c r="P11" s="474">
        <f t="shared" si="7"/>
        <v>0</v>
      </c>
      <c r="Q11" s="474">
        <f t="shared" si="8"/>
        <v>0</v>
      </c>
      <c r="R11" s="449">
        <f>Forecast!J6</f>
        <v>0</v>
      </c>
      <c r="S11" s="449">
        <f>Forecast!N6</f>
        <v>0</v>
      </c>
      <c r="T11" s="475">
        <f t="shared" si="9"/>
        <v>0</v>
      </c>
      <c r="U11" s="475">
        <f t="shared" si="10"/>
        <v>0</v>
      </c>
      <c r="V11" s="349">
        <f t="shared" si="11"/>
        <v>0</v>
      </c>
      <c r="W11" s="350">
        <f t="shared" si="12"/>
        <v>0</v>
      </c>
      <c r="X11" s="469">
        <f>'Channel &amp; Campaign Metrics'!AR10</f>
        <v>0</v>
      </c>
      <c r="Y11" s="469">
        <f>'Channel &amp; Campaign Metrics'!BS10</f>
        <v>0</v>
      </c>
      <c r="Z11" s="430"/>
      <c r="AA11" s="111"/>
      <c r="AB11" s="358">
        <f>'Glass Metrics'!AC11</f>
        <v>0</v>
      </c>
      <c r="AC11" s="475">
        <f>'Glass Metrics'!I11</f>
        <v>0</v>
      </c>
      <c r="AD11" s="469">
        <f>'Glass Metrics'!N11</f>
        <v>0</v>
      </c>
      <c r="AE11" s="475">
        <f>'Glass Metrics'!S11</f>
        <v>0</v>
      </c>
      <c r="AF11" s="359" t="str">
        <f t="shared" si="13"/>
        <v/>
      </c>
      <c r="AG11" s="477" t="str">
        <f t="shared" si="14"/>
        <v/>
      </c>
      <c r="AH11" s="472" t="str">
        <f t="shared" si="15"/>
        <v/>
      </c>
      <c r="AI11" s="360" t="str">
        <f t="shared" si="16"/>
        <v/>
      </c>
      <c r="AJ11" s="361"/>
      <c r="AK11" s="482"/>
      <c r="AL11" s="482"/>
      <c r="AM11" s="482"/>
      <c r="AN11" s="482"/>
      <c r="AO11" s="370">
        <f t="shared" si="17"/>
        <v>0</v>
      </c>
      <c r="AP11" s="361"/>
      <c r="AQ11" s="482"/>
      <c r="AR11" s="482"/>
      <c r="AS11" s="370">
        <f t="shared" si="18"/>
        <v>0</v>
      </c>
      <c r="AT11" s="118"/>
      <c r="AU11" s="483"/>
      <c r="AV11" s="484">
        <f t="shared" si="19"/>
        <v>0</v>
      </c>
      <c r="AW11" s="484"/>
      <c r="AX11" s="484"/>
      <c r="AY11" s="380"/>
      <c r="AZ11" s="175"/>
      <c r="BA11" s="454"/>
      <c r="BB11" s="79"/>
      <c r="BC11" s="79"/>
      <c r="BD11" s="79"/>
      <c r="BE11" s="79"/>
      <c r="BF11" s="485"/>
      <c r="BG11" s="485"/>
      <c r="BH11" s="485"/>
      <c r="BI11" s="485"/>
      <c r="BJ11" s="485"/>
      <c r="BK11" s="389"/>
      <c r="BL11" s="125"/>
      <c r="BM11" s="92"/>
      <c r="BN11" s="386">
        <f t="shared" si="20"/>
        <v>0</v>
      </c>
    </row>
    <row r="12" spans="1:66" s="89" customFormat="1" ht="16.350000000000001" customHeight="1">
      <c r="A12" s="175">
        <f t="shared" si="0"/>
        <v>2021</v>
      </c>
      <c r="B12" s="454" t="str">
        <f t="shared" si="1"/>
        <v>06</v>
      </c>
      <c r="C12" s="454" t="str">
        <f t="array" ref="C12">_xlfn.IFS(_xlfn.NUMBERVALUE(B12)&lt;=13,"Q1",AND(_xlfn.NUMBERVALUE(B12)&gt;13,_xlfn.NUMBERVALUE(B12)&lt;=26),"Q2", AND(_xlfn.NUMBERVALUE(B12)&gt;26,_xlfn.NUMBERVALUE(B12)&lt;=39),"Q3",_xlfn.NUMBERVALUE(B12)&gt;39,"Q4")</f>
        <v>Q1</v>
      </c>
      <c r="D12" s="448">
        <f t="shared" si="21"/>
        <v>43897</v>
      </c>
      <c r="E12" s="448">
        <f t="shared" si="2"/>
        <v>43903</v>
      </c>
      <c r="F12" s="480">
        <v>202006</v>
      </c>
      <c r="G12" s="180">
        <f t="shared" si="3"/>
        <v>0</v>
      </c>
      <c r="H12" s="429"/>
      <c r="I12" s="429"/>
      <c r="J12" s="474">
        <f t="shared" si="4"/>
        <v>0</v>
      </c>
      <c r="K12" s="474">
        <f t="shared" si="5"/>
        <v>0</v>
      </c>
      <c r="L12" s="481"/>
      <c r="M12" s="481"/>
      <c r="N12" s="481"/>
      <c r="O12" s="474">
        <f t="shared" si="6"/>
        <v>0</v>
      </c>
      <c r="P12" s="474">
        <f t="shared" si="7"/>
        <v>0</v>
      </c>
      <c r="Q12" s="474">
        <f t="shared" si="8"/>
        <v>0</v>
      </c>
      <c r="R12" s="449">
        <f>Forecast!J7</f>
        <v>0</v>
      </c>
      <c r="S12" s="449">
        <f>Forecast!N7</f>
        <v>0</v>
      </c>
      <c r="T12" s="475">
        <f t="shared" si="9"/>
        <v>0</v>
      </c>
      <c r="U12" s="475">
        <f t="shared" si="10"/>
        <v>0</v>
      </c>
      <c r="V12" s="349">
        <f t="shared" si="11"/>
        <v>0</v>
      </c>
      <c r="W12" s="350">
        <f t="shared" si="12"/>
        <v>0</v>
      </c>
      <c r="X12" s="469">
        <f>'Channel &amp; Campaign Metrics'!AR11</f>
        <v>0</v>
      </c>
      <c r="Y12" s="469">
        <f>'Channel &amp; Campaign Metrics'!BS11</f>
        <v>0</v>
      </c>
      <c r="Z12" s="430"/>
      <c r="AA12" s="111"/>
      <c r="AB12" s="358">
        <f>'Glass Metrics'!AC12</f>
        <v>0</v>
      </c>
      <c r="AC12" s="475">
        <f>'Glass Metrics'!I12</f>
        <v>0</v>
      </c>
      <c r="AD12" s="469">
        <f>'Glass Metrics'!N12</f>
        <v>0</v>
      </c>
      <c r="AE12" s="475">
        <f>'Glass Metrics'!S12</f>
        <v>0</v>
      </c>
      <c r="AF12" s="359" t="str">
        <f t="shared" si="13"/>
        <v/>
      </c>
      <c r="AG12" s="477" t="str">
        <f t="shared" si="14"/>
        <v/>
      </c>
      <c r="AH12" s="472" t="str">
        <f t="shared" si="15"/>
        <v/>
      </c>
      <c r="AI12" s="360" t="str">
        <f t="shared" si="16"/>
        <v/>
      </c>
      <c r="AJ12" s="361"/>
      <c r="AK12" s="482"/>
      <c r="AL12" s="482"/>
      <c r="AM12" s="482"/>
      <c r="AN12" s="482"/>
      <c r="AO12" s="370">
        <f t="shared" si="17"/>
        <v>0</v>
      </c>
      <c r="AP12" s="361"/>
      <c r="AQ12" s="482"/>
      <c r="AR12" s="482"/>
      <c r="AS12" s="370">
        <f t="shared" si="18"/>
        <v>0</v>
      </c>
      <c r="AT12" s="118"/>
      <c r="AU12" s="483"/>
      <c r="AV12" s="484">
        <f t="shared" si="19"/>
        <v>0</v>
      </c>
      <c r="AW12" s="484"/>
      <c r="AX12" s="484"/>
      <c r="AY12" s="380"/>
      <c r="AZ12" s="175"/>
      <c r="BA12" s="454"/>
      <c r="BB12" s="79"/>
      <c r="BC12" s="79"/>
      <c r="BD12" s="79"/>
      <c r="BE12" s="79"/>
      <c r="BF12" s="485"/>
      <c r="BG12" s="485"/>
      <c r="BH12" s="485"/>
      <c r="BI12" s="485"/>
      <c r="BJ12" s="485"/>
      <c r="BK12" s="389"/>
      <c r="BL12" s="125"/>
      <c r="BM12" s="92"/>
      <c r="BN12" s="386">
        <f t="shared" si="20"/>
        <v>0</v>
      </c>
    </row>
    <row r="13" spans="1:66" s="89" customFormat="1" ht="16.350000000000001" customHeight="1">
      <c r="A13" s="175">
        <f t="shared" si="0"/>
        <v>2021</v>
      </c>
      <c r="B13" s="454" t="str">
        <f t="shared" si="1"/>
        <v>07</v>
      </c>
      <c r="C13" s="454" t="str">
        <f t="array" ref="C13">_xlfn.IFS(_xlfn.NUMBERVALUE(B13)&lt;=13,"Q1",AND(_xlfn.NUMBERVALUE(B13)&gt;13,_xlfn.NUMBERVALUE(B13)&lt;=26),"Q2", AND(_xlfn.NUMBERVALUE(B13)&gt;26,_xlfn.NUMBERVALUE(B13)&lt;=39),"Q3",_xlfn.NUMBERVALUE(B13)&gt;39,"Q4")</f>
        <v>Q1</v>
      </c>
      <c r="D13" s="448">
        <f t="shared" si="21"/>
        <v>43904</v>
      </c>
      <c r="E13" s="448">
        <f t="shared" si="2"/>
        <v>43910</v>
      </c>
      <c r="F13" s="480">
        <v>202007</v>
      </c>
      <c r="G13" s="180">
        <f t="shared" si="3"/>
        <v>0</v>
      </c>
      <c r="H13" s="429"/>
      <c r="I13" s="429"/>
      <c r="J13" s="474">
        <f t="shared" si="4"/>
        <v>0</v>
      </c>
      <c r="K13" s="474">
        <f t="shared" si="5"/>
        <v>0</v>
      </c>
      <c r="L13" s="481"/>
      <c r="M13" s="481"/>
      <c r="N13" s="481"/>
      <c r="O13" s="474">
        <f t="shared" si="6"/>
        <v>0</v>
      </c>
      <c r="P13" s="474">
        <f t="shared" si="7"/>
        <v>0</v>
      </c>
      <c r="Q13" s="474">
        <f t="shared" si="8"/>
        <v>0</v>
      </c>
      <c r="R13" s="449">
        <f>Forecast!J8</f>
        <v>0</v>
      </c>
      <c r="S13" s="449">
        <f>Forecast!N8</f>
        <v>0</v>
      </c>
      <c r="T13" s="475">
        <f t="shared" si="9"/>
        <v>0</v>
      </c>
      <c r="U13" s="475">
        <f t="shared" si="10"/>
        <v>0</v>
      </c>
      <c r="V13" s="349">
        <f t="shared" si="11"/>
        <v>0</v>
      </c>
      <c r="W13" s="350">
        <f t="shared" si="12"/>
        <v>0</v>
      </c>
      <c r="X13" s="469">
        <f>'Channel &amp; Campaign Metrics'!AR12</f>
        <v>0</v>
      </c>
      <c r="Y13" s="469">
        <f>'Channel &amp; Campaign Metrics'!BS12</f>
        <v>0</v>
      </c>
      <c r="Z13" s="430"/>
      <c r="AA13" s="111"/>
      <c r="AB13" s="358">
        <f>'Glass Metrics'!AC13</f>
        <v>0</v>
      </c>
      <c r="AC13" s="475">
        <f>'Glass Metrics'!I13</f>
        <v>0</v>
      </c>
      <c r="AD13" s="469">
        <f>'Glass Metrics'!N13</f>
        <v>0</v>
      </c>
      <c r="AE13" s="475">
        <f>'Glass Metrics'!S13</f>
        <v>0</v>
      </c>
      <c r="AF13" s="359" t="str">
        <f t="shared" si="13"/>
        <v/>
      </c>
      <c r="AG13" s="477" t="str">
        <f t="shared" si="14"/>
        <v/>
      </c>
      <c r="AH13" s="472" t="str">
        <f t="shared" si="15"/>
        <v/>
      </c>
      <c r="AI13" s="360" t="str">
        <f t="shared" si="16"/>
        <v/>
      </c>
      <c r="AJ13" s="361"/>
      <c r="AK13" s="482"/>
      <c r="AL13" s="482"/>
      <c r="AM13" s="482"/>
      <c r="AN13" s="482"/>
      <c r="AO13" s="370">
        <f t="shared" si="17"/>
        <v>0</v>
      </c>
      <c r="AP13" s="361"/>
      <c r="AQ13" s="482"/>
      <c r="AR13" s="482"/>
      <c r="AS13" s="370">
        <f t="shared" si="18"/>
        <v>0</v>
      </c>
      <c r="AT13" s="118"/>
      <c r="AU13" s="483"/>
      <c r="AV13" s="484">
        <f t="shared" si="19"/>
        <v>0</v>
      </c>
      <c r="AW13" s="484"/>
      <c r="AX13" s="484"/>
      <c r="AY13" s="380"/>
      <c r="AZ13" s="175"/>
      <c r="BA13" s="454"/>
      <c r="BB13" s="79"/>
      <c r="BC13" s="79"/>
      <c r="BD13" s="79"/>
      <c r="BE13" s="79"/>
      <c r="BF13" s="485"/>
      <c r="BG13" s="485"/>
      <c r="BH13" s="485"/>
      <c r="BI13" s="485"/>
      <c r="BJ13" s="485"/>
      <c r="BK13" s="389"/>
      <c r="BL13" s="125"/>
      <c r="BM13" s="92"/>
      <c r="BN13" s="386">
        <f t="shared" si="20"/>
        <v>0</v>
      </c>
    </row>
    <row r="14" spans="1:66" s="89" customFormat="1" ht="16.350000000000001" customHeight="1">
      <c r="A14" s="175">
        <f t="shared" si="0"/>
        <v>2021</v>
      </c>
      <c r="B14" s="454" t="str">
        <f t="shared" si="1"/>
        <v>08</v>
      </c>
      <c r="C14" s="454" t="str">
        <f t="array" ref="C14">_xlfn.IFS(_xlfn.NUMBERVALUE(B14)&lt;=13,"Q1",AND(_xlfn.NUMBERVALUE(B14)&gt;13,_xlfn.NUMBERVALUE(B14)&lt;=26),"Q2", AND(_xlfn.NUMBERVALUE(B14)&gt;26,_xlfn.NUMBERVALUE(B14)&lt;=39),"Q3",_xlfn.NUMBERVALUE(B14)&gt;39,"Q4")</f>
        <v>Q1</v>
      </c>
      <c r="D14" s="448">
        <f t="shared" si="21"/>
        <v>43911</v>
      </c>
      <c r="E14" s="448">
        <f t="shared" si="2"/>
        <v>43917</v>
      </c>
      <c r="F14" s="480">
        <v>202008</v>
      </c>
      <c r="G14" s="180">
        <f t="shared" si="3"/>
        <v>0</v>
      </c>
      <c r="H14" s="429"/>
      <c r="I14" s="429"/>
      <c r="J14" s="474">
        <f t="shared" si="4"/>
        <v>0</v>
      </c>
      <c r="K14" s="474">
        <f t="shared" si="5"/>
        <v>0</v>
      </c>
      <c r="L14" s="481"/>
      <c r="M14" s="481"/>
      <c r="N14" s="481"/>
      <c r="O14" s="474">
        <f t="shared" si="6"/>
        <v>0</v>
      </c>
      <c r="P14" s="474">
        <f t="shared" si="7"/>
        <v>0</v>
      </c>
      <c r="Q14" s="474">
        <f t="shared" si="8"/>
        <v>0</v>
      </c>
      <c r="R14" s="449">
        <f>Forecast!J9</f>
        <v>0</v>
      </c>
      <c r="S14" s="449">
        <f>Forecast!N9</f>
        <v>0</v>
      </c>
      <c r="T14" s="475">
        <f t="shared" si="9"/>
        <v>0</v>
      </c>
      <c r="U14" s="475">
        <f t="shared" si="10"/>
        <v>0</v>
      </c>
      <c r="V14" s="349">
        <f t="shared" si="11"/>
        <v>0</v>
      </c>
      <c r="W14" s="350">
        <f t="shared" si="12"/>
        <v>0</v>
      </c>
      <c r="X14" s="469">
        <f>'Channel &amp; Campaign Metrics'!AR13</f>
        <v>0</v>
      </c>
      <c r="Y14" s="469">
        <f>'Channel &amp; Campaign Metrics'!BS13</f>
        <v>0</v>
      </c>
      <c r="Z14" s="430"/>
      <c r="AA14" s="111"/>
      <c r="AB14" s="358">
        <f>'Glass Metrics'!AC14</f>
        <v>0</v>
      </c>
      <c r="AC14" s="475">
        <f>'Glass Metrics'!I14</f>
        <v>0</v>
      </c>
      <c r="AD14" s="469">
        <f>'Glass Metrics'!N14</f>
        <v>0</v>
      </c>
      <c r="AE14" s="475">
        <f>'Glass Metrics'!S14</f>
        <v>0</v>
      </c>
      <c r="AF14" s="359" t="str">
        <f t="shared" si="13"/>
        <v/>
      </c>
      <c r="AG14" s="477" t="str">
        <f t="shared" si="14"/>
        <v/>
      </c>
      <c r="AH14" s="472" t="str">
        <f t="shared" si="15"/>
        <v/>
      </c>
      <c r="AI14" s="360" t="str">
        <f t="shared" si="16"/>
        <v/>
      </c>
      <c r="AJ14" s="361"/>
      <c r="AK14" s="482"/>
      <c r="AL14" s="482"/>
      <c r="AM14" s="482"/>
      <c r="AN14" s="482"/>
      <c r="AO14" s="370">
        <f t="shared" si="17"/>
        <v>0</v>
      </c>
      <c r="AP14" s="361"/>
      <c r="AQ14" s="482"/>
      <c r="AR14" s="482"/>
      <c r="AS14" s="370">
        <f t="shared" si="18"/>
        <v>0</v>
      </c>
      <c r="AT14" s="118"/>
      <c r="AU14" s="483"/>
      <c r="AV14" s="484">
        <f t="shared" si="19"/>
        <v>0</v>
      </c>
      <c r="AW14" s="484"/>
      <c r="AX14" s="484"/>
      <c r="AY14" s="380"/>
      <c r="AZ14" s="175"/>
      <c r="BA14" s="454"/>
      <c r="BB14" s="79"/>
      <c r="BC14" s="79"/>
      <c r="BD14" s="79"/>
      <c r="BE14" s="79"/>
      <c r="BF14" s="485"/>
      <c r="BG14" s="485"/>
      <c r="BH14" s="485"/>
      <c r="BI14" s="485"/>
      <c r="BJ14" s="485"/>
      <c r="BK14" s="389"/>
      <c r="BL14" s="125"/>
      <c r="BM14" s="92"/>
      <c r="BN14" s="386">
        <f t="shared" si="20"/>
        <v>0</v>
      </c>
    </row>
    <row r="15" spans="1:66" s="89" customFormat="1" ht="16.350000000000001" customHeight="1">
      <c r="A15" s="175">
        <f t="shared" si="0"/>
        <v>2021</v>
      </c>
      <c r="B15" s="454" t="str">
        <f t="shared" si="1"/>
        <v>09</v>
      </c>
      <c r="C15" s="454" t="str">
        <f t="array" ref="C15">_xlfn.IFS(_xlfn.NUMBERVALUE(B15)&lt;=13,"Q1",AND(_xlfn.NUMBERVALUE(B15)&gt;13,_xlfn.NUMBERVALUE(B15)&lt;=26),"Q2", AND(_xlfn.NUMBERVALUE(B15)&gt;26,_xlfn.NUMBERVALUE(B15)&lt;=39),"Q3",_xlfn.NUMBERVALUE(B15)&gt;39,"Q4")</f>
        <v>Q1</v>
      </c>
      <c r="D15" s="448">
        <f t="shared" si="21"/>
        <v>43918</v>
      </c>
      <c r="E15" s="448">
        <f t="shared" si="2"/>
        <v>43924</v>
      </c>
      <c r="F15" s="480">
        <v>202009</v>
      </c>
      <c r="G15" s="180">
        <f t="shared" si="3"/>
        <v>0</v>
      </c>
      <c r="H15" s="429"/>
      <c r="I15" s="429"/>
      <c r="J15" s="474">
        <f t="shared" si="4"/>
        <v>0</v>
      </c>
      <c r="K15" s="474">
        <f t="shared" si="5"/>
        <v>0</v>
      </c>
      <c r="L15" s="481"/>
      <c r="M15" s="481"/>
      <c r="N15" s="481"/>
      <c r="O15" s="474">
        <f t="shared" si="6"/>
        <v>0</v>
      </c>
      <c r="P15" s="474">
        <f t="shared" si="7"/>
        <v>0</v>
      </c>
      <c r="Q15" s="474">
        <f t="shared" si="8"/>
        <v>0</v>
      </c>
      <c r="R15" s="449">
        <f>Forecast!J10</f>
        <v>0</v>
      </c>
      <c r="S15" s="449">
        <f>Forecast!N10</f>
        <v>0</v>
      </c>
      <c r="T15" s="475">
        <f t="shared" si="9"/>
        <v>0</v>
      </c>
      <c r="U15" s="475">
        <f t="shared" si="10"/>
        <v>0</v>
      </c>
      <c r="V15" s="349">
        <f t="shared" si="11"/>
        <v>0</v>
      </c>
      <c r="W15" s="350">
        <f t="shared" si="12"/>
        <v>0</v>
      </c>
      <c r="X15" s="469">
        <f>'Channel &amp; Campaign Metrics'!AR14</f>
        <v>0</v>
      </c>
      <c r="Y15" s="469">
        <f>'Channel &amp; Campaign Metrics'!BS14</f>
        <v>0</v>
      </c>
      <c r="Z15" s="430"/>
      <c r="AA15" s="111"/>
      <c r="AB15" s="358">
        <f>'Glass Metrics'!AC15</f>
        <v>0</v>
      </c>
      <c r="AC15" s="475">
        <f>'Glass Metrics'!I15</f>
        <v>0</v>
      </c>
      <c r="AD15" s="469">
        <f>'Glass Metrics'!N15</f>
        <v>0</v>
      </c>
      <c r="AE15" s="475">
        <f>'Glass Metrics'!S15</f>
        <v>0</v>
      </c>
      <c r="AF15" s="359" t="str">
        <f t="shared" si="13"/>
        <v/>
      </c>
      <c r="AG15" s="477" t="str">
        <f t="shared" si="14"/>
        <v/>
      </c>
      <c r="AH15" s="472" t="str">
        <f t="shared" si="15"/>
        <v/>
      </c>
      <c r="AI15" s="360" t="str">
        <f t="shared" si="16"/>
        <v/>
      </c>
      <c r="AJ15" s="361"/>
      <c r="AK15" s="482"/>
      <c r="AL15" s="482"/>
      <c r="AM15" s="482"/>
      <c r="AN15" s="482"/>
      <c r="AO15" s="370">
        <f t="shared" si="17"/>
        <v>0</v>
      </c>
      <c r="AP15" s="361"/>
      <c r="AQ15" s="482"/>
      <c r="AR15" s="482"/>
      <c r="AS15" s="370">
        <f t="shared" si="18"/>
        <v>0</v>
      </c>
      <c r="AT15" s="118"/>
      <c r="AU15" s="483"/>
      <c r="AV15" s="484">
        <f t="shared" si="19"/>
        <v>0</v>
      </c>
      <c r="AW15" s="484"/>
      <c r="AX15" s="484"/>
      <c r="AY15" s="380"/>
      <c r="AZ15" s="175"/>
      <c r="BA15" s="454"/>
      <c r="BB15" s="79"/>
      <c r="BC15" s="79"/>
      <c r="BD15" s="79"/>
      <c r="BE15" s="79"/>
      <c r="BF15" s="485"/>
      <c r="BG15" s="485"/>
      <c r="BH15" s="485"/>
      <c r="BI15" s="485"/>
      <c r="BJ15" s="485"/>
      <c r="BK15" s="389"/>
      <c r="BL15" s="125"/>
      <c r="BM15" s="92"/>
      <c r="BN15" s="386">
        <f t="shared" si="20"/>
        <v>0</v>
      </c>
    </row>
    <row r="16" spans="1:66" s="89" customFormat="1" ht="16.350000000000001" customHeight="1">
      <c r="A16" s="175">
        <f t="shared" si="0"/>
        <v>2021</v>
      </c>
      <c r="B16" s="454" t="str">
        <f t="shared" si="1"/>
        <v>10</v>
      </c>
      <c r="C16" s="454" t="str">
        <f t="array" ref="C16">_xlfn.IFS(_xlfn.NUMBERVALUE(B16)&lt;=13,"Q1",AND(_xlfn.NUMBERVALUE(B16)&gt;13,_xlfn.NUMBERVALUE(B16)&lt;=26),"Q2", AND(_xlfn.NUMBERVALUE(B16)&gt;26,_xlfn.NUMBERVALUE(B16)&lt;=39),"Q3",_xlfn.NUMBERVALUE(B16)&gt;39,"Q4")</f>
        <v>Q1</v>
      </c>
      <c r="D16" s="448">
        <f t="shared" si="21"/>
        <v>43925</v>
      </c>
      <c r="E16" s="448">
        <f t="shared" si="2"/>
        <v>43931</v>
      </c>
      <c r="F16" s="480">
        <v>202010</v>
      </c>
      <c r="G16" s="180">
        <f t="shared" si="3"/>
        <v>0</v>
      </c>
      <c r="H16" s="429"/>
      <c r="I16" s="429"/>
      <c r="J16" s="474">
        <f t="shared" si="4"/>
        <v>0</v>
      </c>
      <c r="K16" s="474">
        <f t="shared" si="5"/>
        <v>0</v>
      </c>
      <c r="L16" s="481"/>
      <c r="M16" s="481"/>
      <c r="N16" s="481"/>
      <c r="O16" s="474">
        <f t="shared" si="6"/>
        <v>0</v>
      </c>
      <c r="P16" s="474">
        <f t="shared" si="7"/>
        <v>0</v>
      </c>
      <c r="Q16" s="474">
        <f t="shared" si="8"/>
        <v>0</v>
      </c>
      <c r="R16" s="449">
        <f>Forecast!J11</f>
        <v>0</v>
      </c>
      <c r="S16" s="449">
        <f>Forecast!N11</f>
        <v>0</v>
      </c>
      <c r="T16" s="475">
        <f t="shared" si="9"/>
        <v>0</v>
      </c>
      <c r="U16" s="475">
        <f t="shared" si="10"/>
        <v>0</v>
      </c>
      <c r="V16" s="349">
        <f t="shared" si="11"/>
        <v>0</v>
      </c>
      <c r="W16" s="350">
        <f t="shared" si="12"/>
        <v>0</v>
      </c>
      <c r="X16" s="469">
        <f>'Channel &amp; Campaign Metrics'!AR15</f>
        <v>0</v>
      </c>
      <c r="Y16" s="469">
        <f>'Channel &amp; Campaign Metrics'!BS15</f>
        <v>0</v>
      </c>
      <c r="Z16" s="430"/>
      <c r="AA16" s="111"/>
      <c r="AB16" s="358">
        <f>'Glass Metrics'!AC16</f>
        <v>0</v>
      </c>
      <c r="AC16" s="475">
        <f>'Glass Metrics'!I16</f>
        <v>0</v>
      </c>
      <c r="AD16" s="469">
        <f>'Glass Metrics'!N16</f>
        <v>0</v>
      </c>
      <c r="AE16" s="475">
        <f>'Glass Metrics'!S16</f>
        <v>0</v>
      </c>
      <c r="AF16" s="359" t="str">
        <f t="shared" si="13"/>
        <v/>
      </c>
      <c r="AG16" s="477" t="str">
        <f t="shared" si="14"/>
        <v/>
      </c>
      <c r="AH16" s="472" t="str">
        <f t="shared" si="15"/>
        <v/>
      </c>
      <c r="AI16" s="360" t="str">
        <f t="shared" si="16"/>
        <v/>
      </c>
      <c r="AJ16" s="361"/>
      <c r="AK16" s="482"/>
      <c r="AL16" s="482"/>
      <c r="AM16" s="482"/>
      <c r="AN16" s="482"/>
      <c r="AO16" s="370">
        <f t="shared" si="17"/>
        <v>0</v>
      </c>
      <c r="AP16" s="361"/>
      <c r="AQ16" s="482"/>
      <c r="AR16" s="482"/>
      <c r="AS16" s="370">
        <f t="shared" si="18"/>
        <v>0</v>
      </c>
      <c r="AT16" s="118"/>
      <c r="AU16" s="483"/>
      <c r="AV16" s="484">
        <f t="shared" si="19"/>
        <v>0</v>
      </c>
      <c r="AW16" s="484"/>
      <c r="AX16" s="484"/>
      <c r="AY16" s="380"/>
      <c r="AZ16" s="175"/>
      <c r="BA16" s="454"/>
      <c r="BB16" s="79"/>
      <c r="BC16" s="79"/>
      <c r="BD16" s="79"/>
      <c r="BE16" s="79"/>
      <c r="BF16" s="485"/>
      <c r="BG16" s="485"/>
      <c r="BH16" s="485"/>
      <c r="BI16" s="485"/>
      <c r="BJ16" s="485"/>
      <c r="BK16" s="389"/>
      <c r="BL16" s="125"/>
      <c r="BM16" s="92"/>
      <c r="BN16" s="386">
        <f t="shared" si="20"/>
        <v>0</v>
      </c>
    </row>
    <row r="17" spans="1:66" s="89" customFormat="1" ht="16.350000000000001" customHeight="1">
      <c r="A17" s="175">
        <f t="shared" si="0"/>
        <v>2021</v>
      </c>
      <c r="B17" s="454" t="str">
        <f t="shared" si="1"/>
        <v>11</v>
      </c>
      <c r="C17" s="454" t="str">
        <f t="array" ref="C17">_xlfn.IFS(_xlfn.NUMBERVALUE(B17)&lt;=13,"Q1",AND(_xlfn.NUMBERVALUE(B17)&gt;13,_xlfn.NUMBERVALUE(B17)&lt;=26),"Q2", AND(_xlfn.NUMBERVALUE(B17)&gt;26,_xlfn.NUMBERVALUE(B17)&lt;=39),"Q3",_xlfn.NUMBERVALUE(B17)&gt;39,"Q4")</f>
        <v>Q1</v>
      </c>
      <c r="D17" s="448">
        <f t="shared" si="21"/>
        <v>43932</v>
      </c>
      <c r="E17" s="448">
        <f t="shared" si="2"/>
        <v>43938</v>
      </c>
      <c r="F17" s="480">
        <v>202011</v>
      </c>
      <c r="G17" s="180">
        <f t="shared" si="3"/>
        <v>0</v>
      </c>
      <c r="H17" s="429"/>
      <c r="I17" s="429"/>
      <c r="J17" s="474">
        <f t="shared" si="4"/>
        <v>0</v>
      </c>
      <c r="K17" s="474">
        <f t="shared" si="5"/>
        <v>0</v>
      </c>
      <c r="L17" s="481"/>
      <c r="M17" s="481"/>
      <c r="N17" s="481"/>
      <c r="O17" s="474">
        <f t="shared" si="6"/>
        <v>0</v>
      </c>
      <c r="P17" s="474">
        <f t="shared" si="7"/>
        <v>0</v>
      </c>
      <c r="Q17" s="474">
        <f t="shared" si="8"/>
        <v>0</v>
      </c>
      <c r="R17" s="449">
        <f>Forecast!J12</f>
        <v>0</v>
      </c>
      <c r="S17" s="449">
        <f>Forecast!N12</f>
        <v>0</v>
      </c>
      <c r="T17" s="475">
        <f t="shared" si="9"/>
        <v>0</v>
      </c>
      <c r="U17" s="475">
        <f t="shared" si="10"/>
        <v>0</v>
      </c>
      <c r="V17" s="349">
        <f t="shared" si="11"/>
        <v>0</v>
      </c>
      <c r="W17" s="350">
        <f t="shared" si="12"/>
        <v>0</v>
      </c>
      <c r="X17" s="469">
        <f>'Channel &amp; Campaign Metrics'!AR16</f>
        <v>0</v>
      </c>
      <c r="Y17" s="469">
        <f>'Channel &amp; Campaign Metrics'!BS16</f>
        <v>0</v>
      </c>
      <c r="Z17" s="430"/>
      <c r="AA17" s="111"/>
      <c r="AB17" s="358">
        <f>'Glass Metrics'!AC17</f>
        <v>0</v>
      </c>
      <c r="AC17" s="475">
        <f>'Glass Metrics'!I17</f>
        <v>0</v>
      </c>
      <c r="AD17" s="469">
        <f>'Glass Metrics'!N17</f>
        <v>0</v>
      </c>
      <c r="AE17" s="475">
        <f>'Glass Metrics'!S17</f>
        <v>0</v>
      </c>
      <c r="AF17" s="359" t="str">
        <f t="shared" si="13"/>
        <v/>
      </c>
      <c r="AG17" s="477" t="str">
        <f t="shared" si="14"/>
        <v/>
      </c>
      <c r="AH17" s="472" t="str">
        <f t="shared" si="15"/>
        <v/>
      </c>
      <c r="AI17" s="360" t="str">
        <f t="shared" si="16"/>
        <v/>
      </c>
      <c r="AJ17" s="361"/>
      <c r="AK17" s="482"/>
      <c r="AL17" s="482"/>
      <c r="AM17" s="482"/>
      <c r="AN17" s="482"/>
      <c r="AO17" s="370">
        <f t="shared" si="17"/>
        <v>0</v>
      </c>
      <c r="AP17" s="361"/>
      <c r="AQ17" s="482"/>
      <c r="AR17" s="482"/>
      <c r="AS17" s="370">
        <f t="shared" si="18"/>
        <v>0</v>
      </c>
      <c r="AT17" s="118"/>
      <c r="AU17" s="483"/>
      <c r="AV17" s="484">
        <f t="shared" si="19"/>
        <v>0</v>
      </c>
      <c r="AW17" s="484"/>
      <c r="AX17" s="484"/>
      <c r="AY17" s="380"/>
      <c r="AZ17" s="175"/>
      <c r="BA17" s="454"/>
      <c r="BB17" s="79"/>
      <c r="BC17" s="79"/>
      <c r="BD17" s="79"/>
      <c r="BE17" s="79"/>
      <c r="BF17" s="485"/>
      <c r="BG17" s="485"/>
      <c r="BH17" s="485"/>
      <c r="BI17" s="485"/>
      <c r="BJ17" s="485"/>
      <c r="BK17" s="389"/>
      <c r="BL17" s="125"/>
      <c r="BM17" s="92"/>
      <c r="BN17" s="386">
        <f t="shared" si="20"/>
        <v>0</v>
      </c>
    </row>
    <row r="18" spans="1:66" s="89" customFormat="1" ht="16.350000000000001" customHeight="1">
      <c r="A18" s="175">
        <f t="shared" si="0"/>
        <v>2021</v>
      </c>
      <c r="B18" s="454" t="str">
        <f t="shared" si="1"/>
        <v>12</v>
      </c>
      <c r="C18" s="454" t="str">
        <f t="array" ref="C18">_xlfn.IFS(_xlfn.NUMBERVALUE(B18)&lt;=13,"Q1",AND(_xlfn.NUMBERVALUE(B18)&gt;13,_xlfn.NUMBERVALUE(B18)&lt;=26),"Q2", AND(_xlfn.NUMBERVALUE(B18)&gt;26,_xlfn.NUMBERVALUE(B18)&lt;=39),"Q3",_xlfn.NUMBERVALUE(B18)&gt;39,"Q4")</f>
        <v>Q1</v>
      </c>
      <c r="D18" s="448">
        <f t="shared" si="21"/>
        <v>43939</v>
      </c>
      <c r="E18" s="448">
        <f t="shared" si="2"/>
        <v>43945</v>
      </c>
      <c r="F18" s="480">
        <v>202012</v>
      </c>
      <c r="G18" s="180">
        <f t="shared" si="3"/>
        <v>0</v>
      </c>
      <c r="H18" s="429"/>
      <c r="I18" s="429"/>
      <c r="J18" s="474">
        <f t="shared" si="4"/>
        <v>0</v>
      </c>
      <c r="K18" s="474">
        <f t="shared" si="5"/>
        <v>0</v>
      </c>
      <c r="L18" s="481"/>
      <c r="M18" s="481"/>
      <c r="N18" s="481"/>
      <c r="O18" s="474">
        <f t="shared" si="6"/>
        <v>0</v>
      </c>
      <c r="P18" s="474">
        <f t="shared" si="7"/>
        <v>0</v>
      </c>
      <c r="Q18" s="474">
        <f t="shared" si="8"/>
        <v>0</v>
      </c>
      <c r="R18" s="449">
        <f>Forecast!J13</f>
        <v>0</v>
      </c>
      <c r="S18" s="449">
        <f>Forecast!N13</f>
        <v>0</v>
      </c>
      <c r="T18" s="475">
        <f t="shared" si="9"/>
        <v>0</v>
      </c>
      <c r="U18" s="475">
        <f t="shared" si="10"/>
        <v>0</v>
      </c>
      <c r="V18" s="349">
        <f t="shared" si="11"/>
        <v>0</v>
      </c>
      <c r="W18" s="350">
        <f t="shared" si="12"/>
        <v>0</v>
      </c>
      <c r="X18" s="469">
        <f>'Channel &amp; Campaign Metrics'!AR17</f>
        <v>0</v>
      </c>
      <c r="Y18" s="469">
        <f>'Channel &amp; Campaign Metrics'!BS17</f>
        <v>0</v>
      </c>
      <c r="Z18" s="430"/>
      <c r="AA18" s="111"/>
      <c r="AB18" s="358">
        <f>'Glass Metrics'!AC18</f>
        <v>0</v>
      </c>
      <c r="AC18" s="475">
        <f>'Glass Metrics'!I18</f>
        <v>0</v>
      </c>
      <c r="AD18" s="469">
        <f>'Glass Metrics'!N18</f>
        <v>0</v>
      </c>
      <c r="AE18" s="475">
        <f>'Glass Metrics'!S18</f>
        <v>0</v>
      </c>
      <c r="AF18" s="359" t="str">
        <f t="shared" si="13"/>
        <v/>
      </c>
      <c r="AG18" s="477" t="str">
        <f t="shared" si="14"/>
        <v/>
      </c>
      <c r="AH18" s="472" t="str">
        <f t="shared" si="15"/>
        <v/>
      </c>
      <c r="AI18" s="360" t="str">
        <f t="shared" si="16"/>
        <v/>
      </c>
      <c r="AJ18" s="361"/>
      <c r="AK18" s="482"/>
      <c r="AL18" s="482"/>
      <c r="AM18" s="482"/>
      <c r="AN18" s="482"/>
      <c r="AO18" s="370">
        <f t="shared" si="17"/>
        <v>0</v>
      </c>
      <c r="AP18" s="361"/>
      <c r="AQ18" s="482"/>
      <c r="AR18" s="482"/>
      <c r="AS18" s="370">
        <f t="shared" si="18"/>
        <v>0</v>
      </c>
      <c r="AT18" s="118"/>
      <c r="AU18" s="483"/>
      <c r="AV18" s="484">
        <f t="shared" si="19"/>
        <v>0</v>
      </c>
      <c r="AW18" s="484"/>
      <c r="AX18" s="484"/>
      <c r="AY18" s="380"/>
      <c r="AZ18" s="175"/>
      <c r="BA18" s="454"/>
      <c r="BB18" s="79"/>
      <c r="BC18" s="79"/>
      <c r="BD18" s="79"/>
      <c r="BE18" s="79"/>
      <c r="BF18" s="485"/>
      <c r="BG18" s="485"/>
      <c r="BH18" s="485"/>
      <c r="BI18" s="485"/>
      <c r="BJ18" s="485"/>
      <c r="BK18" s="389"/>
      <c r="BL18" s="125"/>
      <c r="BM18" s="92"/>
      <c r="BN18" s="386">
        <f t="shared" si="20"/>
        <v>0</v>
      </c>
    </row>
    <row r="19" spans="1:66" s="89" customFormat="1" ht="16.350000000000001" customHeight="1">
      <c r="A19" s="175">
        <f t="shared" si="0"/>
        <v>2021</v>
      </c>
      <c r="B19" s="454" t="str">
        <f t="shared" si="1"/>
        <v>13</v>
      </c>
      <c r="C19" s="454" t="str">
        <f t="array" ref="C19">_xlfn.IFS(_xlfn.NUMBERVALUE(B19)&lt;=13,"Q1",AND(_xlfn.NUMBERVALUE(B19)&gt;13,_xlfn.NUMBERVALUE(B19)&lt;=26),"Q2", AND(_xlfn.NUMBERVALUE(B19)&gt;26,_xlfn.NUMBERVALUE(B19)&lt;=39),"Q3",_xlfn.NUMBERVALUE(B19)&gt;39,"Q4")</f>
        <v>Q1</v>
      </c>
      <c r="D19" s="448">
        <f t="shared" si="21"/>
        <v>43946</v>
      </c>
      <c r="E19" s="448">
        <f t="shared" si="2"/>
        <v>43952</v>
      </c>
      <c r="F19" s="480">
        <v>202013</v>
      </c>
      <c r="G19" s="180">
        <f t="shared" si="3"/>
        <v>0</v>
      </c>
      <c r="H19" s="429"/>
      <c r="I19" s="429"/>
      <c r="J19" s="474">
        <f t="shared" si="4"/>
        <v>0</v>
      </c>
      <c r="K19" s="474">
        <f t="shared" si="5"/>
        <v>0</v>
      </c>
      <c r="L19" s="481"/>
      <c r="M19" s="481"/>
      <c r="N19" s="481"/>
      <c r="O19" s="474">
        <f t="shared" si="6"/>
        <v>0</v>
      </c>
      <c r="P19" s="474">
        <f t="shared" si="7"/>
        <v>0</v>
      </c>
      <c r="Q19" s="474">
        <f t="shared" si="8"/>
        <v>0</v>
      </c>
      <c r="R19" s="449">
        <f>Forecast!J14</f>
        <v>0</v>
      </c>
      <c r="S19" s="449">
        <f>Forecast!N14</f>
        <v>0</v>
      </c>
      <c r="T19" s="475">
        <f t="shared" si="9"/>
        <v>0</v>
      </c>
      <c r="U19" s="475">
        <f t="shared" si="10"/>
        <v>0</v>
      </c>
      <c r="V19" s="349">
        <f t="shared" si="11"/>
        <v>0</v>
      </c>
      <c r="W19" s="350">
        <f t="shared" si="12"/>
        <v>0</v>
      </c>
      <c r="X19" s="469">
        <f>'Channel &amp; Campaign Metrics'!AR18</f>
        <v>0</v>
      </c>
      <c r="Y19" s="469">
        <f>'Channel &amp; Campaign Metrics'!BS18</f>
        <v>0</v>
      </c>
      <c r="Z19" s="430"/>
      <c r="AA19" s="111"/>
      <c r="AB19" s="358">
        <f>'Glass Metrics'!AC19</f>
        <v>0</v>
      </c>
      <c r="AC19" s="475">
        <f>'Glass Metrics'!I19</f>
        <v>0</v>
      </c>
      <c r="AD19" s="469">
        <f>'Glass Metrics'!N19</f>
        <v>0</v>
      </c>
      <c r="AE19" s="475">
        <f>'Glass Metrics'!S19</f>
        <v>0</v>
      </c>
      <c r="AF19" s="359" t="str">
        <f t="shared" si="13"/>
        <v/>
      </c>
      <c r="AG19" s="477" t="str">
        <f t="shared" si="14"/>
        <v/>
      </c>
      <c r="AH19" s="472" t="str">
        <f t="shared" si="15"/>
        <v/>
      </c>
      <c r="AI19" s="360" t="str">
        <f t="shared" si="16"/>
        <v/>
      </c>
      <c r="AJ19" s="361"/>
      <c r="AK19" s="482"/>
      <c r="AL19" s="482"/>
      <c r="AM19" s="482"/>
      <c r="AN19" s="482"/>
      <c r="AO19" s="370">
        <f t="shared" si="17"/>
        <v>0</v>
      </c>
      <c r="AP19" s="361"/>
      <c r="AQ19" s="482"/>
      <c r="AR19" s="482"/>
      <c r="AS19" s="370">
        <f t="shared" si="18"/>
        <v>0</v>
      </c>
      <c r="AT19" s="118"/>
      <c r="AU19" s="483"/>
      <c r="AV19" s="484">
        <f t="shared" si="19"/>
        <v>0</v>
      </c>
      <c r="AW19" s="484"/>
      <c r="AX19" s="484"/>
      <c r="AY19" s="380"/>
      <c r="AZ19" s="175"/>
      <c r="BA19" s="454"/>
      <c r="BB19" s="79"/>
      <c r="BC19" s="79"/>
      <c r="BD19" s="79"/>
      <c r="BE19" s="79"/>
      <c r="BF19" s="485"/>
      <c r="BG19" s="485"/>
      <c r="BH19" s="485"/>
      <c r="BI19" s="485"/>
      <c r="BJ19" s="485"/>
      <c r="BK19" s="389"/>
      <c r="BL19" s="125"/>
      <c r="BM19" s="92"/>
      <c r="BN19" s="386">
        <f t="shared" si="20"/>
        <v>0</v>
      </c>
    </row>
    <row r="20" spans="1:66" s="89" customFormat="1" ht="16.350000000000001" customHeight="1">
      <c r="A20" s="175">
        <f t="shared" si="0"/>
        <v>2021</v>
      </c>
      <c r="B20" s="454" t="str">
        <f t="shared" si="1"/>
        <v>14</v>
      </c>
      <c r="C20" s="454" t="str">
        <f t="array" ref="C20">_xlfn.IFS(_xlfn.NUMBERVALUE(B20)&lt;=13,"Q1",AND(_xlfn.NUMBERVALUE(B20)&gt;13,_xlfn.NUMBERVALUE(B20)&lt;=26),"Q2", AND(_xlfn.NUMBERVALUE(B20)&gt;26,_xlfn.NUMBERVALUE(B20)&lt;=39),"Q3",_xlfn.NUMBERVALUE(B20)&gt;39,"Q4")</f>
        <v>Q2</v>
      </c>
      <c r="D20" s="448">
        <f t="shared" si="21"/>
        <v>43953</v>
      </c>
      <c r="E20" s="448">
        <f t="shared" si="2"/>
        <v>43959</v>
      </c>
      <c r="F20" s="480">
        <v>202014</v>
      </c>
      <c r="G20" s="180">
        <f t="shared" si="3"/>
        <v>0</v>
      </c>
      <c r="H20" s="429"/>
      <c r="I20" s="429"/>
      <c r="J20" s="474">
        <f t="shared" si="4"/>
        <v>0</v>
      </c>
      <c r="K20" s="474">
        <f t="shared" si="5"/>
        <v>0</v>
      </c>
      <c r="L20" s="481"/>
      <c r="M20" s="481"/>
      <c r="N20" s="481"/>
      <c r="O20" s="474">
        <f t="shared" si="6"/>
        <v>0</v>
      </c>
      <c r="P20" s="474">
        <f t="shared" si="7"/>
        <v>0</v>
      </c>
      <c r="Q20" s="474">
        <f t="shared" si="8"/>
        <v>0</v>
      </c>
      <c r="R20" s="449">
        <f>Forecast!J15</f>
        <v>0</v>
      </c>
      <c r="S20" s="449">
        <f>Forecast!N15</f>
        <v>0</v>
      </c>
      <c r="T20" s="475">
        <f t="shared" si="9"/>
        <v>0</v>
      </c>
      <c r="U20" s="475">
        <f t="shared" si="10"/>
        <v>0</v>
      </c>
      <c r="V20" s="349">
        <f t="shared" si="11"/>
        <v>0</v>
      </c>
      <c r="W20" s="350">
        <f t="shared" si="12"/>
        <v>0</v>
      </c>
      <c r="X20" s="469">
        <f>'Channel &amp; Campaign Metrics'!AR19</f>
        <v>0</v>
      </c>
      <c r="Y20" s="469">
        <f>'Channel &amp; Campaign Metrics'!BS19</f>
        <v>0</v>
      </c>
      <c r="Z20" s="430"/>
      <c r="AA20" s="111"/>
      <c r="AB20" s="358">
        <f>'Glass Metrics'!AC20</f>
        <v>0</v>
      </c>
      <c r="AC20" s="475">
        <f>'Glass Metrics'!I20</f>
        <v>0</v>
      </c>
      <c r="AD20" s="469">
        <f>'Glass Metrics'!N20</f>
        <v>0</v>
      </c>
      <c r="AE20" s="475">
        <f>'Glass Metrics'!S20</f>
        <v>0</v>
      </c>
      <c r="AF20" s="359" t="str">
        <f t="shared" si="13"/>
        <v/>
      </c>
      <c r="AG20" s="477" t="str">
        <f t="shared" si="14"/>
        <v/>
      </c>
      <c r="AH20" s="472" t="str">
        <f t="shared" si="15"/>
        <v/>
      </c>
      <c r="AI20" s="360" t="str">
        <f t="shared" si="16"/>
        <v/>
      </c>
      <c r="AJ20" s="361"/>
      <c r="AK20" s="482"/>
      <c r="AL20" s="482"/>
      <c r="AM20" s="482"/>
      <c r="AN20" s="482"/>
      <c r="AO20" s="370">
        <f t="shared" si="17"/>
        <v>0</v>
      </c>
      <c r="AP20" s="361"/>
      <c r="AQ20" s="482"/>
      <c r="AR20" s="482"/>
      <c r="AS20" s="370">
        <f t="shared" si="18"/>
        <v>0</v>
      </c>
      <c r="AT20" s="118"/>
      <c r="AU20" s="483"/>
      <c r="AV20" s="484">
        <f t="shared" si="19"/>
        <v>0</v>
      </c>
      <c r="AW20" s="484"/>
      <c r="AX20" s="484"/>
      <c r="AY20" s="380"/>
      <c r="AZ20" s="175"/>
      <c r="BA20" s="454"/>
      <c r="BB20" s="79"/>
      <c r="BC20" s="79"/>
      <c r="BD20" s="79"/>
      <c r="BE20" s="79"/>
      <c r="BF20" s="485"/>
      <c r="BG20" s="485"/>
      <c r="BH20" s="485"/>
      <c r="BI20" s="485"/>
      <c r="BJ20" s="485"/>
      <c r="BK20" s="389"/>
      <c r="BL20" s="125"/>
      <c r="BM20" s="92"/>
      <c r="BN20" s="386">
        <f t="shared" si="20"/>
        <v>0</v>
      </c>
    </row>
    <row r="21" spans="1:66" s="89" customFormat="1" ht="16.350000000000001" customHeight="1">
      <c r="A21" s="175">
        <f t="shared" si="0"/>
        <v>2021</v>
      </c>
      <c r="B21" s="454" t="str">
        <f t="shared" si="1"/>
        <v>15</v>
      </c>
      <c r="C21" s="454" t="str">
        <f t="array" ref="C21">_xlfn.IFS(_xlfn.NUMBERVALUE(B21)&lt;=13,"Q1",AND(_xlfn.NUMBERVALUE(B21)&gt;13,_xlfn.NUMBERVALUE(B21)&lt;=26),"Q2", AND(_xlfn.NUMBERVALUE(B21)&gt;26,_xlfn.NUMBERVALUE(B21)&lt;=39),"Q3",_xlfn.NUMBERVALUE(B21)&gt;39,"Q4")</f>
        <v>Q2</v>
      </c>
      <c r="D21" s="448">
        <f t="shared" si="21"/>
        <v>43960</v>
      </c>
      <c r="E21" s="448">
        <f t="shared" si="2"/>
        <v>43966</v>
      </c>
      <c r="F21" s="480">
        <v>202015</v>
      </c>
      <c r="G21" s="180">
        <f t="shared" si="3"/>
        <v>0</v>
      </c>
      <c r="H21" s="429"/>
      <c r="I21" s="429"/>
      <c r="J21" s="474">
        <f t="shared" si="4"/>
        <v>0</v>
      </c>
      <c r="K21" s="474">
        <f t="shared" si="5"/>
        <v>0</v>
      </c>
      <c r="L21" s="481"/>
      <c r="M21" s="481"/>
      <c r="N21" s="481"/>
      <c r="O21" s="474">
        <f t="shared" si="6"/>
        <v>0</v>
      </c>
      <c r="P21" s="474">
        <f t="shared" si="7"/>
        <v>0</v>
      </c>
      <c r="Q21" s="474">
        <f t="shared" si="8"/>
        <v>0</v>
      </c>
      <c r="R21" s="449">
        <f>Forecast!J16</f>
        <v>0</v>
      </c>
      <c r="S21" s="449">
        <f>Forecast!N16</f>
        <v>0</v>
      </c>
      <c r="T21" s="475">
        <f t="shared" si="9"/>
        <v>0</v>
      </c>
      <c r="U21" s="475">
        <f t="shared" si="10"/>
        <v>0</v>
      </c>
      <c r="V21" s="349">
        <f t="shared" si="11"/>
        <v>0</v>
      </c>
      <c r="W21" s="350">
        <f t="shared" si="12"/>
        <v>0</v>
      </c>
      <c r="X21" s="469">
        <f>'Channel &amp; Campaign Metrics'!AR20</f>
        <v>0</v>
      </c>
      <c r="Y21" s="469">
        <f>'Channel &amp; Campaign Metrics'!BS20</f>
        <v>0</v>
      </c>
      <c r="Z21" s="430"/>
      <c r="AA21" s="111"/>
      <c r="AB21" s="358">
        <f>'Glass Metrics'!AC21</f>
        <v>0</v>
      </c>
      <c r="AC21" s="475">
        <f>'Glass Metrics'!I21</f>
        <v>0</v>
      </c>
      <c r="AD21" s="469">
        <f>'Glass Metrics'!N21</f>
        <v>0</v>
      </c>
      <c r="AE21" s="475">
        <f>'Glass Metrics'!S21</f>
        <v>0</v>
      </c>
      <c r="AF21" s="359" t="str">
        <f t="shared" si="13"/>
        <v/>
      </c>
      <c r="AG21" s="477" t="str">
        <f t="shared" si="14"/>
        <v/>
      </c>
      <c r="AH21" s="472" t="str">
        <f t="shared" si="15"/>
        <v/>
      </c>
      <c r="AI21" s="360" t="str">
        <f t="shared" si="16"/>
        <v/>
      </c>
      <c r="AJ21" s="361"/>
      <c r="AK21" s="482"/>
      <c r="AL21" s="482"/>
      <c r="AM21" s="482"/>
      <c r="AN21" s="482"/>
      <c r="AO21" s="370">
        <f t="shared" si="17"/>
        <v>0</v>
      </c>
      <c r="AP21" s="361"/>
      <c r="AQ21" s="482"/>
      <c r="AR21" s="482"/>
      <c r="AS21" s="370">
        <f t="shared" si="18"/>
        <v>0</v>
      </c>
      <c r="AT21" s="118"/>
      <c r="AU21" s="483"/>
      <c r="AV21" s="484">
        <f t="shared" si="19"/>
        <v>0</v>
      </c>
      <c r="AW21" s="484"/>
      <c r="AX21" s="484"/>
      <c r="AY21" s="380"/>
      <c r="AZ21" s="175"/>
      <c r="BA21" s="454"/>
      <c r="BB21" s="79"/>
      <c r="BC21" s="79"/>
      <c r="BD21" s="79"/>
      <c r="BE21" s="79"/>
      <c r="BF21" s="485"/>
      <c r="BG21" s="485"/>
      <c r="BH21" s="485"/>
      <c r="BI21" s="485"/>
      <c r="BJ21" s="485"/>
      <c r="BK21" s="389"/>
      <c r="BL21" s="125"/>
      <c r="BM21" s="92"/>
      <c r="BN21" s="386">
        <f t="shared" si="20"/>
        <v>0</v>
      </c>
    </row>
    <row r="22" spans="1:66" s="89" customFormat="1" ht="16.350000000000001" customHeight="1">
      <c r="A22" s="175">
        <f t="shared" si="0"/>
        <v>2021</v>
      </c>
      <c r="B22" s="454" t="str">
        <f t="shared" si="1"/>
        <v>16</v>
      </c>
      <c r="C22" s="454" t="str">
        <f t="array" ref="C22">_xlfn.IFS(_xlfn.NUMBERVALUE(B22)&lt;=13,"Q1",AND(_xlfn.NUMBERVALUE(B22)&gt;13,_xlfn.NUMBERVALUE(B22)&lt;=26),"Q2", AND(_xlfn.NUMBERVALUE(B22)&gt;26,_xlfn.NUMBERVALUE(B22)&lt;=39),"Q3",_xlfn.NUMBERVALUE(B22)&gt;39,"Q4")</f>
        <v>Q2</v>
      </c>
      <c r="D22" s="448">
        <f t="shared" si="21"/>
        <v>43967</v>
      </c>
      <c r="E22" s="448">
        <f t="shared" si="2"/>
        <v>43973</v>
      </c>
      <c r="F22" s="480">
        <v>202016</v>
      </c>
      <c r="G22" s="180">
        <f t="shared" si="3"/>
        <v>0</v>
      </c>
      <c r="H22" s="429"/>
      <c r="I22" s="429"/>
      <c r="J22" s="474">
        <f t="shared" si="4"/>
        <v>0</v>
      </c>
      <c r="K22" s="474">
        <f t="shared" si="5"/>
        <v>0</v>
      </c>
      <c r="L22" s="481"/>
      <c r="M22" s="481"/>
      <c r="N22" s="481"/>
      <c r="O22" s="474">
        <f t="shared" si="6"/>
        <v>0</v>
      </c>
      <c r="P22" s="474">
        <f t="shared" si="7"/>
        <v>0</v>
      </c>
      <c r="Q22" s="474">
        <f t="shared" si="8"/>
        <v>0</v>
      </c>
      <c r="R22" s="449">
        <f>Forecast!J17</f>
        <v>0</v>
      </c>
      <c r="S22" s="449">
        <f>Forecast!N17</f>
        <v>0</v>
      </c>
      <c r="T22" s="475">
        <f t="shared" si="9"/>
        <v>0</v>
      </c>
      <c r="U22" s="475">
        <f t="shared" si="10"/>
        <v>0</v>
      </c>
      <c r="V22" s="349">
        <f t="shared" si="11"/>
        <v>0</v>
      </c>
      <c r="W22" s="350">
        <f t="shared" si="12"/>
        <v>0</v>
      </c>
      <c r="X22" s="469">
        <f>'Channel &amp; Campaign Metrics'!AR21</f>
        <v>0</v>
      </c>
      <c r="Y22" s="469">
        <f>'Channel &amp; Campaign Metrics'!BS21</f>
        <v>0</v>
      </c>
      <c r="Z22" s="430"/>
      <c r="AA22" s="111"/>
      <c r="AB22" s="358">
        <f>'Glass Metrics'!AC22</f>
        <v>0</v>
      </c>
      <c r="AC22" s="475">
        <f>'Glass Metrics'!I22</f>
        <v>0</v>
      </c>
      <c r="AD22" s="469">
        <f>'Glass Metrics'!N22</f>
        <v>0</v>
      </c>
      <c r="AE22" s="475">
        <f>'Glass Metrics'!S22</f>
        <v>0</v>
      </c>
      <c r="AF22" s="359" t="str">
        <f t="shared" si="13"/>
        <v/>
      </c>
      <c r="AG22" s="477" t="str">
        <f t="shared" si="14"/>
        <v/>
      </c>
      <c r="AH22" s="472" t="str">
        <f t="shared" si="15"/>
        <v/>
      </c>
      <c r="AI22" s="360" t="str">
        <f t="shared" si="16"/>
        <v/>
      </c>
      <c r="AJ22" s="361"/>
      <c r="AK22" s="482"/>
      <c r="AL22" s="482"/>
      <c r="AM22" s="482"/>
      <c r="AN22" s="482"/>
      <c r="AO22" s="370">
        <f t="shared" si="17"/>
        <v>0</v>
      </c>
      <c r="AP22" s="361"/>
      <c r="AQ22" s="482"/>
      <c r="AR22" s="482"/>
      <c r="AS22" s="370">
        <f t="shared" si="18"/>
        <v>0</v>
      </c>
      <c r="AT22" s="118"/>
      <c r="AU22" s="483"/>
      <c r="AV22" s="484">
        <f t="shared" si="19"/>
        <v>0</v>
      </c>
      <c r="AW22" s="484"/>
      <c r="AX22" s="484"/>
      <c r="AY22" s="380"/>
      <c r="AZ22" s="175"/>
      <c r="BA22" s="454"/>
      <c r="BB22" s="79"/>
      <c r="BC22" s="79"/>
      <c r="BD22" s="79"/>
      <c r="BE22" s="79"/>
      <c r="BF22" s="485"/>
      <c r="BG22" s="485"/>
      <c r="BH22" s="485"/>
      <c r="BI22" s="485"/>
      <c r="BJ22" s="485"/>
      <c r="BK22" s="389"/>
      <c r="BL22" s="125"/>
      <c r="BM22" s="92"/>
      <c r="BN22" s="386">
        <f t="shared" si="20"/>
        <v>0</v>
      </c>
    </row>
    <row r="23" spans="1:66" s="89" customFormat="1" ht="16.350000000000001" customHeight="1">
      <c r="A23" s="175">
        <f t="shared" si="0"/>
        <v>2021</v>
      </c>
      <c r="B23" s="454" t="str">
        <f t="shared" si="1"/>
        <v>17</v>
      </c>
      <c r="C23" s="454" t="str">
        <f t="array" ref="C23">_xlfn.IFS(_xlfn.NUMBERVALUE(B23)&lt;=13,"Q1",AND(_xlfn.NUMBERVALUE(B23)&gt;13,_xlfn.NUMBERVALUE(B23)&lt;=26),"Q2", AND(_xlfn.NUMBERVALUE(B23)&gt;26,_xlfn.NUMBERVALUE(B23)&lt;=39),"Q3",_xlfn.NUMBERVALUE(B23)&gt;39,"Q4")</f>
        <v>Q2</v>
      </c>
      <c r="D23" s="448">
        <f t="shared" si="21"/>
        <v>43974</v>
      </c>
      <c r="E23" s="448">
        <f t="shared" si="2"/>
        <v>43980</v>
      </c>
      <c r="F23" s="480">
        <v>202017</v>
      </c>
      <c r="G23" s="180">
        <f t="shared" si="3"/>
        <v>0</v>
      </c>
      <c r="H23" s="429"/>
      <c r="I23" s="429"/>
      <c r="J23" s="474">
        <f t="shared" si="4"/>
        <v>0</v>
      </c>
      <c r="K23" s="474">
        <f t="shared" si="5"/>
        <v>0</v>
      </c>
      <c r="L23" s="481"/>
      <c r="M23" s="481"/>
      <c r="N23" s="481"/>
      <c r="O23" s="474">
        <f t="shared" si="6"/>
        <v>0</v>
      </c>
      <c r="P23" s="474">
        <f t="shared" si="7"/>
        <v>0</v>
      </c>
      <c r="Q23" s="474">
        <f t="shared" si="8"/>
        <v>0</v>
      </c>
      <c r="R23" s="449">
        <f>Forecast!J18</f>
        <v>0</v>
      </c>
      <c r="S23" s="449">
        <f>Forecast!N18</f>
        <v>0</v>
      </c>
      <c r="T23" s="475">
        <f t="shared" si="9"/>
        <v>0</v>
      </c>
      <c r="U23" s="475">
        <f t="shared" si="10"/>
        <v>0</v>
      </c>
      <c r="V23" s="349">
        <f t="shared" si="11"/>
        <v>0</v>
      </c>
      <c r="W23" s="350">
        <f t="shared" si="12"/>
        <v>0</v>
      </c>
      <c r="X23" s="469">
        <f>'Channel &amp; Campaign Metrics'!AR22</f>
        <v>0</v>
      </c>
      <c r="Y23" s="469">
        <f>'Channel &amp; Campaign Metrics'!BS22</f>
        <v>0</v>
      </c>
      <c r="Z23" s="430"/>
      <c r="AA23" s="111"/>
      <c r="AB23" s="358">
        <f>'Glass Metrics'!AC23</f>
        <v>0</v>
      </c>
      <c r="AC23" s="475">
        <f>'Glass Metrics'!I23</f>
        <v>0</v>
      </c>
      <c r="AD23" s="469">
        <f>'Glass Metrics'!N23</f>
        <v>0</v>
      </c>
      <c r="AE23" s="475">
        <f>'Glass Metrics'!S23</f>
        <v>0</v>
      </c>
      <c r="AF23" s="359" t="str">
        <f t="shared" si="13"/>
        <v/>
      </c>
      <c r="AG23" s="477" t="str">
        <f t="shared" si="14"/>
        <v/>
      </c>
      <c r="AH23" s="472" t="str">
        <f t="shared" si="15"/>
        <v/>
      </c>
      <c r="AI23" s="360" t="str">
        <f t="shared" si="16"/>
        <v/>
      </c>
      <c r="AJ23" s="361"/>
      <c r="AK23" s="482"/>
      <c r="AL23" s="482"/>
      <c r="AM23" s="482"/>
      <c r="AN23" s="482"/>
      <c r="AO23" s="370">
        <f t="shared" si="17"/>
        <v>0</v>
      </c>
      <c r="AP23" s="361"/>
      <c r="AQ23" s="482"/>
      <c r="AR23" s="482"/>
      <c r="AS23" s="370">
        <f t="shared" si="18"/>
        <v>0</v>
      </c>
      <c r="AT23" s="118"/>
      <c r="AU23" s="483"/>
      <c r="AV23" s="484">
        <f t="shared" si="19"/>
        <v>0</v>
      </c>
      <c r="AW23" s="484"/>
      <c r="AX23" s="484"/>
      <c r="AY23" s="380"/>
      <c r="AZ23" s="175"/>
      <c r="BA23" s="454"/>
      <c r="BB23" s="79"/>
      <c r="BC23" s="79"/>
      <c r="BD23" s="79"/>
      <c r="BE23" s="79"/>
      <c r="BF23" s="485"/>
      <c r="BG23" s="485"/>
      <c r="BH23" s="485"/>
      <c r="BI23" s="485"/>
      <c r="BJ23" s="485"/>
      <c r="BK23" s="389"/>
      <c r="BL23" s="125"/>
      <c r="BM23" s="92"/>
      <c r="BN23" s="386">
        <f t="shared" si="20"/>
        <v>0</v>
      </c>
    </row>
    <row r="24" spans="1:66" s="89" customFormat="1" ht="16.350000000000001" customHeight="1">
      <c r="A24" s="175">
        <f t="shared" si="0"/>
        <v>2021</v>
      </c>
      <c r="B24" s="454" t="str">
        <f t="shared" si="1"/>
        <v>18</v>
      </c>
      <c r="C24" s="454" t="str">
        <f t="array" ref="C24">_xlfn.IFS(_xlfn.NUMBERVALUE(B24)&lt;=13,"Q1",AND(_xlfn.NUMBERVALUE(B24)&gt;13,_xlfn.NUMBERVALUE(B24)&lt;=26),"Q2", AND(_xlfn.NUMBERVALUE(B24)&gt;26,_xlfn.NUMBERVALUE(B24)&lt;=39),"Q3",_xlfn.NUMBERVALUE(B24)&gt;39,"Q4")</f>
        <v>Q2</v>
      </c>
      <c r="D24" s="448">
        <f t="shared" si="21"/>
        <v>43981</v>
      </c>
      <c r="E24" s="448">
        <f t="shared" si="2"/>
        <v>43987</v>
      </c>
      <c r="F24" s="480">
        <v>202018</v>
      </c>
      <c r="G24" s="180">
        <f t="shared" si="3"/>
        <v>0</v>
      </c>
      <c r="H24" s="429"/>
      <c r="I24" s="429"/>
      <c r="J24" s="474">
        <f t="shared" si="4"/>
        <v>0</v>
      </c>
      <c r="K24" s="474">
        <f t="shared" si="5"/>
        <v>0</v>
      </c>
      <c r="L24" s="481"/>
      <c r="M24" s="481"/>
      <c r="N24" s="481"/>
      <c r="O24" s="474">
        <f t="shared" si="6"/>
        <v>0</v>
      </c>
      <c r="P24" s="474">
        <f t="shared" si="7"/>
        <v>0</v>
      </c>
      <c r="Q24" s="474">
        <f t="shared" si="8"/>
        <v>0</v>
      </c>
      <c r="R24" s="449">
        <f>Forecast!J19</f>
        <v>0</v>
      </c>
      <c r="S24" s="449">
        <f>Forecast!N19</f>
        <v>0</v>
      </c>
      <c r="T24" s="475">
        <f t="shared" si="9"/>
        <v>0</v>
      </c>
      <c r="U24" s="475">
        <f t="shared" si="10"/>
        <v>0</v>
      </c>
      <c r="V24" s="349">
        <f t="shared" si="11"/>
        <v>0</v>
      </c>
      <c r="W24" s="350">
        <f t="shared" si="12"/>
        <v>0</v>
      </c>
      <c r="X24" s="469">
        <f>'Channel &amp; Campaign Metrics'!AR23</f>
        <v>0</v>
      </c>
      <c r="Y24" s="469">
        <f>'Channel &amp; Campaign Metrics'!BS23</f>
        <v>0</v>
      </c>
      <c r="Z24" s="430"/>
      <c r="AA24" s="111"/>
      <c r="AB24" s="358">
        <f>'Glass Metrics'!AC24</f>
        <v>0</v>
      </c>
      <c r="AC24" s="475">
        <f>'Glass Metrics'!I24</f>
        <v>0</v>
      </c>
      <c r="AD24" s="469">
        <f>'Glass Metrics'!N24</f>
        <v>0</v>
      </c>
      <c r="AE24" s="475">
        <f>'Glass Metrics'!S24</f>
        <v>0</v>
      </c>
      <c r="AF24" s="359" t="str">
        <f t="shared" si="13"/>
        <v/>
      </c>
      <c r="AG24" s="477" t="str">
        <f t="shared" si="14"/>
        <v/>
      </c>
      <c r="AH24" s="472" t="str">
        <f t="shared" si="15"/>
        <v/>
      </c>
      <c r="AI24" s="360" t="str">
        <f t="shared" si="16"/>
        <v/>
      </c>
      <c r="AJ24" s="361"/>
      <c r="AK24" s="482"/>
      <c r="AL24" s="482"/>
      <c r="AM24" s="482"/>
      <c r="AN24" s="482"/>
      <c r="AO24" s="370">
        <f t="shared" si="17"/>
        <v>0</v>
      </c>
      <c r="AP24" s="361"/>
      <c r="AQ24" s="482"/>
      <c r="AR24" s="482"/>
      <c r="AS24" s="370">
        <f t="shared" si="18"/>
        <v>0</v>
      </c>
      <c r="AT24" s="118"/>
      <c r="AU24" s="483"/>
      <c r="AV24" s="484">
        <f t="shared" si="19"/>
        <v>0</v>
      </c>
      <c r="AW24" s="484"/>
      <c r="AX24" s="484"/>
      <c r="AY24" s="380"/>
      <c r="AZ24" s="175"/>
      <c r="BA24" s="454"/>
      <c r="BB24" s="79"/>
      <c r="BC24" s="79"/>
      <c r="BD24" s="79"/>
      <c r="BE24" s="79"/>
      <c r="BF24" s="485"/>
      <c r="BG24" s="485"/>
      <c r="BH24" s="485"/>
      <c r="BI24" s="485"/>
      <c r="BJ24" s="485"/>
      <c r="BK24" s="389"/>
      <c r="BL24" s="125"/>
      <c r="BM24" s="92"/>
      <c r="BN24" s="386">
        <f t="shared" si="20"/>
        <v>0</v>
      </c>
    </row>
    <row r="25" spans="1:66" s="89" customFormat="1" ht="16.350000000000001" customHeight="1">
      <c r="A25" s="175">
        <f t="shared" si="0"/>
        <v>2021</v>
      </c>
      <c r="B25" s="454" t="str">
        <f t="shared" si="1"/>
        <v>19</v>
      </c>
      <c r="C25" s="454" t="str">
        <f t="array" ref="C25">_xlfn.IFS(_xlfn.NUMBERVALUE(B25)&lt;=13,"Q1",AND(_xlfn.NUMBERVALUE(B25)&gt;13,_xlfn.NUMBERVALUE(B25)&lt;=26),"Q2", AND(_xlfn.NUMBERVALUE(B25)&gt;26,_xlfn.NUMBERVALUE(B25)&lt;=39),"Q3",_xlfn.NUMBERVALUE(B25)&gt;39,"Q4")</f>
        <v>Q2</v>
      </c>
      <c r="D25" s="448">
        <f t="shared" si="21"/>
        <v>43988</v>
      </c>
      <c r="E25" s="448">
        <f t="shared" si="2"/>
        <v>43994</v>
      </c>
      <c r="F25" s="480">
        <v>202019</v>
      </c>
      <c r="G25" s="180">
        <f t="shared" si="3"/>
        <v>0</v>
      </c>
      <c r="H25" s="429"/>
      <c r="I25" s="429"/>
      <c r="J25" s="474">
        <f t="shared" si="4"/>
        <v>0</v>
      </c>
      <c r="K25" s="474">
        <f t="shared" si="5"/>
        <v>0</v>
      </c>
      <c r="L25" s="486"/>
      <c r="M25" s="486"/>
      <c r="N25" s="486"/>
      <c r="O25" s="474">
        <f t="shared" si="6"/>
        <v>0</v>
      </c>
      <c r="P25" s="474">
        <f t="shared" si="7"/>
        <v>0</v>
      </c>
      <c r="Q25" s="474">
        <f t="shared" si="8"/>
        <v>0</v>
      </c>
      <c r="R25" s="449">
        <f>Forecast!J20</f>
        <v>0</v>
      </c>
      <c r="S25" s="449">
        <f>Forecast!N20</f>
        <v>0</v>
      </c>
      <c r="T25" s="475">
        <f t="shared" si="9"/>
        <v>0</v>
      </c>
      <c r="U25" s="475">
        <f t="shared" si="10"/>
        <v>0</v>
      </c>
      <c r="V25" s="349">
        <f t="shared" si="11"/>
        <v>0</v>
      </c>
      <c r="W25" s="350">
        <f t="shared" si="12"/>
        <v>0</v>
      </c>
      <c r="X25" s="469">
        <f>'Channel &amp; Campaign Metrics'!AR24</f>
        <v>0</v>
      </c>
      <c r="Y25" s="469">
        <f>'Channel &amp; Campaign Metrics'!BS24</f>
        <v>0</v>
      </c>
      <c r="Z25" s="430"/>
      <c r="AA25" s="111"/>
      <c r="AB25" s="358">
        <f>'Glass Metrics'!AC25</f>
        <v>0</v>
      </c>
      <c r="AC25" s="475">
        <f>'Glass Metrics'!I25</f>
        <v>0</v>
      </c>
      <c r="AD25" s="469">
        <f>'Glass Metrics'!N25</f>
        <v>0</v>
      </c>
      <c r="AE25" s="475">
        <f>'Glass Metrics'!S25</f>
        <v>0</v>
      </c>
      <c r="AF25" s="359" t="str">
        <f t="shared" si="13"/>
        <v/>
      </c>
      <c r="AG25" s="477" t="str">
        <f t="shared" si="14"/>
        <v/>
      </c>
      <c r="AH25" s="472" t="str">
        <f t="shared" si="15"/>
        <v/>
      </c>
      <c r="AI25" s="360" t="str">
        <f t="shared" si="16"/>
        <v/>
      </c>
      <c r="AJ25" s="361"/>
      <c r="AK25" s="482"/>
      <c r="AL25" s="482"/>
      <c r="AM25" s="482"/>
      <c r="AN25" s="482"/>
      <c r="AO25" s="370">
        <f t="shared" si="17"/>
        <v>0</v>
      </c>
      <c r="AP25" s="361"/>
      <c r="AQ25" s="482"/>
      <c r="AR25" s="482"/>
      <c r="AS25" s="370">
        <f t="shared" si="18"/>
        <v>0</v>
      </c>
      <c r="AT25" s="118"/>
      <c r="AU25" s="483"/>
      <c r="AV25" s="484">
        <f t="shared" si="19"/>
        <v>0</v>
      </c>
      <c r="AW25" s="484"/>
      <c r="AX25" s="484"/>
      <c r="AY25" s="380"/>
      <c r="AZ25" s="175"/>
      <c r="BA25" s="454"/>
      <c r="BB25" s="79"/>
      <c r="BC25" s="79"/>
      <c r="BD25" s="79"/>
      <c r="BE25" s="79"/>
      <c r="BF25" s="485"/>
      <c r="BG25" s="485"/>
      <c r="BH25" s="485"/>
      <c r="BI25" s="485"/>
      <c r="BJ25" s="485"/>
      <c r="BK25" s="389"/>
      <c r="BL25" s="125"/>
      <c r="BM25" s="92"/>
      <c r="BN25" s="386">
        <f t="shared" si="20"/>
        <v>0</v>
      </c>
    </row>
    <row r="26" spans="1:66" s="89" customFormat="1" ht="16.350000000000001" customHeight="1">
      <c r="A26" s="175">
        <f t="shared" si="0"/>
        <v>2021</v>
      </c>
      <c r="B26" s="454" t="str">
        <f t="shared" si="1"/>
        <v>20</v>
      </c>
      <c r="C26" s="454" t="str">
        <f t="array" ref="C26">_xlfn.IFS(_xlfn.NUMBERVALUE(B26)&lt;=13,"Q1",AND(_xlfn.NUMBERVALUE(B26)&gt;13,_xlfn.NUMBERVALUE(B26)&lt;=26),"Q2", AND(_xlfn.NUMBERVALUE(B26)&gt;26,_xlfn.NUMBERVALUE(B26)&lt;=39),"Q3",_xlfn.NUMBERVALUE(B26)&gt;39,"Q4")</f>
        <v>Q2</v>
      </c>
      <c r="D26" s="448">
        <f t="shared" si="21"/>
        <v>43995</v>
      </c>
      <c r="E26" s="448">
        <f t="shared" si="2"/>
        <v>44001</v>
      </c>
      <c r="F26" s="480">
        <v>202020</v>
      </c>
      <c r="G26" s="180">
        <f t="shared" si="3"/>
        <v>0</v>
      </c>
      <c r="H26" s="429"/>
      <c r="I26" s="429"/>
      <c r="J26" s="474">
        <f t="shared" si="4"/>
        <v>0</v>
      </c>
      <c r="K26" s="474">
        <f t="shared" si="5"/>
        <v>0</v>
      </c>
      <c r="L26" s="486"/>
      <c r="M26" s="486"/>
      <c r="N26" s="486"/>
      <c r="O26" s="474">
        <f t="shared" si="6"/>
        <v>0</v>
      </c>
      <c r="P26" s="474">
        <f t="shared" si="7"/>
        <v>0</v>
      </c>
      <c r="Q26" s="474">
        <f t="shared" si="8"/>
        <v>0</v>
      </c>
      <c r="R26" s="449">
        <f>Forecast!J21</f>
        <v>0</v>
      </c>
      <c r="S26" s="449">
        <f>Forecast!N21</f>
        <v>0</v>
      </c>
      <c r="T26" s="475">
        <f t="shared" si="9"/>
        <v>0</v>
      </c>
      <c r="U26" s="475">
        <f t="shared" si="10"/>
        <v>0</v>
      </c>
      <c r="V26" s="349">
        <f t="shared" si="11"/>
        <v>0</v>
      </c>
      <c r="W26" s="350">
        <f t="shared" si="12"/>
        <v>0</v>
      </c>
      <c r="X26" s="469">
        <f>'Channel &amp; Campaign Metrics'!AR25</f>
        <v>0</v>
      </c>
      <c r="Y26" s="469">
        <f>'Channel &amp; Campaign Metrics'!BS25</f>
        <v>0</v>
      </c>
      <c r="Z26" s="430"/>
      <c r="AA26" s="111"/>
      <c r="AB26" s="358">
        <f>'Glass Metrics'!AC26</f>
        <v>0</v>
      </c>
      <c r="AC26" s="475">
        <f>'Glass Metrics'!I26</f>
        <v>0</v>
      </c>
      <c r="AD26" s="469">
        <f>'Glass Metrics'!N26</f>
        <v>0</v>
      </c>
      <c r="AE26" s="475">
        <f>'Glass Metrics'!S26</f>
        <v>0</v>
      </c>
      <c r="AF26" s="359" t="str">
        <f t="shared" si="13"/>
        <v/>
      </c>
      <c r="AG26" s="477" t="str">
        <f t="shared" si="14"/>
        <v/>
      </c>
      <c r="AH26" s="472" t="str">
        <f t="shared" si="15"/>
        <v/>
      </c>
      <c r="AI26" s="360" t="str">
        <f t="shared" si="16"/>
        <v/>
      </c>
      <c r="AJ26" s="361"/>
      <c r="AK26" s="482"/>
      <c r="AL26" s="482"/>
      <c r="AM26" s="482"/>
      <c r="AN26" s="482"/>
      <c r="AO26" s="370">
        <f t="shared" si="17"/>
        <v>0</v>
      </c>
      <c r="AP26" s="362"/>
      <c r="AQ26" s="487"/>
      <c r="AR26" s="487"/>
      <c r="AS26" s="371">
        <f t="shared" si="18"/>
        <v>0</v>
      </c>
      <c r="AT26" s="118"/>
      <c r="AU26" s="483"/>
      <c r="AV26" s="484">
        <f t="shared" si="19"/>
        <v>0</v>
      </c>
      <c r="AW26" s="484"/>
      <c r="AX26" s="484"/>
      <c r="AY26" s="380"/>
      <c r="AZ26" s="175"/>
      <c r="BA26" s="454"/>
      <c r="BB26" s="79"/>
      <c r="BC26" s="79"/>
      <c r="BD26" s="79"/>
      <c r="BE26" s="79"/>
      <c r="BF26" s="485"/>
      <c r="BG26" s="485"/>
      <c r="BH26" s="485"/>
      <c r="BI26" s="485"/>
      <c r="BJ26" s="485"/>
      <c r="BK26" s="389"/>
      <c r="BL26" s="125"/>
      <c r="BM26" s="92"/>
      <c r="BN26" s="386">
        <f t="shared" si="20"/>
        <v>0</v>
      </c>
    </row>
    <row r="27" spans="1:66" s="89" customFormat="1" ht="16.350000000000001" customHeight="1">
      <c r="A27" s="175">
        <f t="shared" si="0"/>
        <v>2021</v>
      </c>
      <c r="B27" s="454" t="str">
        <f t="shared" si="1"/>
        <v>21</v>
      </c>
      <c r="C27" s="454" t="str">
        <f t="array" ref="C27">_xlfn.IFS(_xlfn.NUMBERVALUE(B27)&lt;=13,"Q1",AND(_xlfn.NUMBERVALUE(B27)&gt;13,_xlfn.NUMBERVALUE(B27)&lt;=26),"Q2", AND(_xlfn.NUMBERVALUE(B27)&gt;26,_xlfn.NUMBERVALUE(B27)&lt;=39),"Q3",_xlfn.NUMBERVALUE(B27)&gt;39,"Q4")</f>
        <v>Q2</v>
      </c>
      <c r="D27" s="448">
        <f t="shared" si="21"/>
        <v>44002</v>
      </c>
      <c r="E27" s="448">
        <f t="shared" si="2"/>
        <v>44008</v>
      </c>
      <c r="F27" s="480">
        <v>202021</v>
      </c>
      <c r="G27" s="180">
        <f t="shared" si="3"/>
        <v>0</v>
      </c>
      <c r="H27" s="429"/>
      <c r="I27" s="429"/>
      <c r="J27" s="474">
        <f t="shared" si="4"/>
        <v>0</v>
      </c>
      <c r="K27" s="474">
        <f t="shared" si="5"/>
        <v>0</v>
      </c>
      <c r="L27" s="486"/>
      <c r="M27" s="486"/>
      <c r="N27" s="486"/>
      <c r="O27" s="474">
        <f t="shared" si="6"/>
        <v>0</v>
      </c>
      <c r="P27" s="474">
        <f t="shared" si="7"/>
        <v>0</v>
      </c>
      <c r="Q27" s="474">
        <f t="shared" si="8"/>
        <v>0</v>
      </c>
      <c r="R27" s="449">
        <f>Forecast!J22</f>
        <v>0</v>
      </c>
      <c r="S27" s="449">
        <f>Forecast!N22</f>
        <v>0</v>
      </c>
      <c r="T27" s="475">
        <f t="shared" si="9"/>
        <v>0</v>
      </c>
      <c r="U27" s="475">
        <f t="shared" si="10"/>
        <v>0</v>
      </c>
      <c r="V27" s="349">
        <f t="shared" si="11"/>
        <v>0</v>
      </c>
      <c r="W27" s="350">
        <f t="shared" si="12"/>
        <v>0</v>
      </c>
      <c r="X27" s="469">
        <f>'Channel &amp; Campaign Metrics'!AR26</f>
        <v>0</v>
      </c>
      <c r="Y27" s="469">
        <f>'Channel &amp; Campaign Metrics'!BS26</f>
        <v>0</v>
      </c>
      <c r="Z27" s="430"/>
      <c r="AA27" s="111"/>
      <c r="AB27" s="358">
        <f>'Glass Metrics'!AC27</f>
        <v>0</v>
      </c>
      <c r="AC27" s="475">
        <f>'Glass Metrics'!I27</f>
        <v>0</v>
      </c>
      <c r="AD27" s="469">
        <f>'Glass Metrics'!N27</f>
        <v>0</v>
      </c>
      <c r="AE27" s="475">
        <f>'Glass Metrics'!S27</f>
        <v>0</v>
      </c>
      <c r="AF27" s="359" t="str">
        <f t="shared" si="13"/>
        <v/>
      </c>
      <c r="AG27" s="477" t="str">
        <f t="shared" si="14"/>
        <v/>
      </c>
      <c r="AH27" s="472" t="str">
        <f t="shared" si="15"/>
        <v/>
      </c>
      <c r="AI27" s="360" t="str">
        <f t="shared" si="16"/>
        <v/>
      </c>
      <c r="AJ27" s="361"/>
      <c r="AK27" s="482"/>
      <c r="AL27" s="482"/>
      <c r="AM27" s="482"/>
      <c r="AN27" s="482"/>
      <c r="AO27" s="370">
        <f t="shared" si="17"/>
        <v>0</v>
      </c>
      <c r="AP27" s="362"/>
      <c r="AQ27" s="487"/>
      <c r="AR27" s="487"/>
      <c r="AS27" s="371">
        <f t="shared" si="18"/>
        <v>0</v>
      </c>
      <c r="AT27" s="118"/>
      <c r="AU27" s="483"/>
      <c r="AV27" s="484">
        <f t="shared" si="19"/>
        <v>0</v>
      </c>
      <c r="AW27" s="484"/>
      <c r="AX27" s="484"/>
      <c r="AY27" s="380"/>
      <c r="AZ27" s="175"/>
      <c r="BA27" s="454"/>
      <c r="BB27" s="79"/>
      <c r="BC27" s="79"/>
      <c r="BD27" s="79"/>
      <c r="BE27" s="79"/>
      <c r="BF27" s="485"/>
      <c r="BG27" s="485"/>
      <c r="BH27" s="485"/>
      <c r="BI27" s="485"/>
      <c r="BJ27" s="485"/>
      <c r="BK27" s="389"/>
      <c r="BL27" s="125"/>
      <c r="BM27" s="92"/>
      <c r="BN27" s="386">
        <f t="shared" si="20"/>
        <v>0</v>
      </c>
    </row>
    <row r="28" spans="1:66" s="89" customFormat="1" ht="16.350000000000001" customHeight="1">
      <c r="A28" s="175">
        <f t="shared" si="0"/>
        <v>2021</v>
      </c>
      <c r="B28" s="454" t="str">
        <f t="shared" si="1"/>
        <v>22</v>
      </c>
      <c r="C28" s="454" t="str">
        <f t="array" ref="C28">_xlfn.IFS(_xlfn.NUMBERVALUE(B28)&lt;=13,"Q1",AND(_xlfn.NUMBERVALUE(B28)&gt;13,_xlfn.NUMBERVALUE(B28)&lt;=26),"Q2", AND(_xlfn.NUMBERVALUE(B28)&gt;26,_xlfn.NUMBERVALUE(B28)&lt;=39),"Q3",_xlfn.NUMBERVALUE(B28)&gt;39,"Q4")</f>
        <v>Q2</v>
      </c>
      <c r="D28" s="448">
        <f t="shared" si="21"/>
        <v>44009</v>
      </c>
      <c r="E28" s="448">
        <f t="shared" si="2"/>
        <v>44015</v>
      </c>
      <c r="F28" s="480">
        <v>202022</v>
      </c>
      <c r="G28" s="180">
        <f t="shared" si="3"/>
        <v>0</v>
      </c>
      <c r="H28" s="429"/>
      <c r="I28" s="429"/>
      <c r="J28" s="474">
        <f t="shared" si="4"/>
        <v>0</v>
      </c>
      <c r="K28" s="474">
        <f t="shared" si="5"/>
        <v>0</v>
      </c>
      <c r="L28" s="486"/>
      <c r="M28" s="486"/>
      <c r="N28" s="486"/>
      <c r="O28" s="474">
        <f t="shared" si="6"/>
        <v>0</v>
      </c>
      <c r="P28" s="474">
        <f t="shared" si="7"/>
        <v>0</v>
      </c>
      <c r="Q28" s="474">
        <f t="shared" si="8"/>
        <v>0</v>
      </c>
      <c r="R28" s="449">
        <f>Forecast!J23</f>
        <v>0</v>
      </c>
      <c r="S28" s="449">
        <f>Forecast!N23</f>
        <v>0</v>
      </c>
      <c r="T28" s="475">
        <f t="shared" si="9"/>
        <v>0</v>
      </c>
      <c r="U28" s="475">
        <f t="shared" si="10"/>
        <v>0</v>
      </c>
      <c r="V28" s="349">
        <f t="shared" si="11"/>
        <v>0</v>
      </c>
      <c r="W28" s="350">
        <f t="shared" si="12"/>
        <v>0</v>
      </c>
      <c r="X28" s="469">
        <f>'Channel &amp; Campaign Metrics'!AR27</f>
        <v>0</v>
      </c>
      <c r="Y28" s="469">
        <f>'Channel &amp; Campaign Metrics'!BS27</f>
        <v>0</v>
      </c>
      <c r="Z28" s="430"/>
      <c r="AA28" s="111"/>
      <c r="AB28" s="358">
        <f>'Glass Metrics'!AC28</f>
        <v>0</v>
      </c>
      <c r="AC28" s="475">
        <f>'Glass Metrics'!I28</f>
        <v>0</v>
      </c>
      <c r="AD28" s="469">
        <f>'Glass Metrics'!N28</f>
        <v>0</v>
      </c>
      <c r="AE28" s="475">
        <f>'Glass Metrics'!S28</f>
        <v>0</v>
      </c>
      <c r="AF28" s="359" t="str">
        <f t="shared" si="13"/>
        <v/>
      </c>
      <c r="AG28" s="477" t="str">
        <f t="shared" si="14"/>
        <v/>
      </c>
      <c r="AH28" s="472" t="str">
        <f t="shared" si="15"/>
        <v/>
      </c>
      <c r="AI28" s="360" t="str">
        <f t="shared" si="16"/>
        <v/>
      </c>
      <c r="AJ28" s="361"/>
      <c r="AK28" s="482"/>
      <c r="AL28" s="482"/>
      <c r="AM28" s="482"/>
      <c r="AN28" s="482"/>
      <c r="AO28" s="370">
        <f t="shared" si="17"/>
        <v>0</v>
      </c>
      <c r="AP28" s="361"/>
      <c r="AQ28" s="482"/>
      <c r="AR28" s="482"/>
      <c r="AS28" s="370">
        <f t="shared" si="18"/>
        <v>0</v>
      </c>
      <c r="AT28" s="118"/>
      <c r="AU28" s="483"/>
      <c r="AV28" s="484">
        <f t="shared" si="19"/>
        <v>0</v>
      </c>
      <c r="AW28" s="484"/>
      <c r="AX28" s="484"/>
      <c r="AY28" s="380"/>
      <c r="AZ28" s="175"/>
      <c r="BA28" s="454"/>
      <c r="BB28" s="79"/>
      <c r="BC28" s="79"/>
      <c r="BD28" s="79"/>
      <c r="BE28" s="79"/>
      <c r="BF28" s="485"/>
      <c r="BG28" s="485"/>
      <c r="BH28" s="485"/>
      <c r="BI28" s="485"/>
      <c r="BJ28" s="485"/>
      <c r="BK28" s="389"/>
      <c r="BL28" s="125"/>
      <c r="BM28" s="92"/>
      <c r="BN28" s="386">
        <f t="shared" si="20"/>
        <v>0</v>
      </c>
    </row>
    <row r="29" spans="1:66" s="89" customFormat="1" ht="16.350000000000001" customHeight="1">
      <c r="A29" s="175">
        <f t="shared" si="0"/>
        <v>2021</v>
      </c>
      <c r="B29" s="454" t="str">
        <f t="shared" si="1"/>
        <v>23</v>
      </c>
      <c r="C29" s="454" t="str">
        <f t="array" ref="C29">_xlfn.IFS(_xlfn.NUMBERVALUE(B29)&lt;=13,"Q1",AND(_xlfn.NUMBERVALUE(B29)&gt;13,_xlfn.NUMBERVALUE(B29)&lt;=26),"Q2", AND(_xlfn.NUMBERVALUE(B29)&gt;26,_xlfn.NUMBERVALUE(B29)&lt;=39),"Q3",_xlfn.NUMBERVALUE(B29)&gt;39,"Q4")</f>
        <v>Q2</v>
      </c>
      <c r="D29" s="448">
        <f t="shared" si="21"/>
        <v>44016</v>
      </c>
      <c r="E29" s="448">
        <f t="shared" si="2"/>
        <v>44022</v>
      </c>
      <c r="F29" s="480">
        <v>202023</v>
      </c>
      <c r="G29" s="180">
        <f t="shared" si="3"/>
        <v>0</v>
      </c>
      <c r="H29" s="429"/>
      <c r="I29" s="429"/>
      <c r="J29" s="474">
        <f t="shared" si="4"/>
        <v>0</v>
      </c>
      <c r="K29" s="474">
        <f t="shared" si="5"/>
        <v>0</v>
      </c>
      <c r="L29" s="486"/>
      <c r="M29" s="486"/>
      <c r="N29" s="486"/>
      <c r="O29" s="474">
        <f t="shared" si="6"/>
        <v>0</v>
      </c>
      <c r="P29" s="474">
        <f t="shared" si="7"/>
        <v>0</v>
      </c>
      <c r="Q29" s="474">
        <f t="shared" si="8"/>
        <v>0</v>
      </c>
      <c r="R29" s="449">
        <f>Forecast!J24</f>
        <v>0</v>
      </c>
      <c r="S29" s="449">
        <f>Forecast!N24</f>
        <v>0</v>
      </c>
      <c r="T29" s="475">
        <f t="shared" si="9"/>
        <v>0</v>
      </c>
      <c r="U29" s="475">
        <f t="shared" si="10"/>
        <v>0</v>
      </c>
      <c r="V29" s="349">
        <f t="shared" si="11"/>
        <v>0</v>
      </c>
      <c r="W29" s="350">
        <f t="shared" si="12"/>
        <v>0</v>
      </c>
      <c r="X29" s="469">
        <f>'Channel &amp; Campaign Metrics'!AR28</f>
        <v>0</v>
      </c>
      <c r="Y29" s="469">
        <f>'Channel &amp; Campaign Metrics'!BS28</f>
        <v>0</v>
      </c>
      <c r="Z29" s="430"/>
      <c r="AA29" s="111"/>
      <c r="AB29" s="358">
        <f>'Glass Metrics'!AC29</f>
        <v>0</v>
      </c>
      <c r="AC29" s="475">
        <f>'Glass Metrics'!I29</f>
        <v>0</v>
      </c>
      <c r="AD29" s="469">
        <f>'Glass Metrics'!N29</f>
        <v>0</v>
      </c>
      <c r="AE29" s="475">
        <f>'Glass Metrics'!S29</f>
        <v>0</v>
      </c>
      <c r="AF29" s="359" t="str">
        <f t="shared" si="13"/>
        <v/>
      </c>
      <c r="AG29" s="477" t="str">
        <f t="shared" si="14"/>
        <v/>
      </c>
      <c r="AH29" s="472" t="str">
        <f t="shared" si="15"/>
        <v/>
      </c>
      <c r="AI29" s="360" t="str">
        <f t="shared" si="16"/>
        <v/>
      </c>
      <c r="AJ29" s="361"/>
      <c r="AK29" s="482"/>
      <c r="AL29" s="482"/>
      <c r="AM29" s="482"/>
      <c r="AN29" s="482"/>
      <c r="AO29" s="370">
        <f t="shared" si="17"/>
        <v>0</v>
      </c>
      <c r="AP29" s="361"/>
      <c r="AQ29" s="482"/>
      <c r="AR29" s="482"/>
      <c r="AS29" s="370">
        <f t="shared" si="18"/>
        <v>0</v>
      </c>
      <c r="AT29" s="118"/>
      <c r="AU29" s="483"/>
      <c r="AV29" s="484">
        <f t="shared" si="19"/>
        <v>0</v>
      </c>
      <c r="AW29" s="484"/>
      <c r="AX29" s="484"/>
      <c r="AY29" s="380"/>
      <c r="AZ29" s="175"/>
      <c r="BA29" s="454"/>
      <c r="BB29" s="79"/>
      <c r="BC29" s="79"/>
      <c r="BD29" s="79"/>
      <c r="BE29" s="79"/>
      <c r="BF29" s="485"/>
      <c r="BG29" s="485"/>
      <c r="BH29" s="485"/>
      <c r="BI29" s="485"/>
      <c r="BJ29" s="485"/>
      <c r="BK29" s="389"/>
      <c r="BL29" s="125"/>
      <c r="BM29" s="92"/>
      <c r="BN29" s="386">
        <f t="shared" si="20"/>
        <v>0</v>
      </c>
    </row>
    <row r="30" spans="1:66" s="89" customFormat="1" ht="16.350000000000001" customHeight="1">
      <c r="A30" s="175">
        <f t="shared" si="0"/>
        <v>2021</v>
      </c>
      <c r="B30" s="454" t="str">
        <f t="shared" si="1"/>
        <v>24</v>
      </c>
      <c r="C30" s="454" t="str">
        <f t="array" ref="C30">_xlfn.IFS(_xlfn.NUMBERVALUE(B30)&lt;=13,"Q1",AND(_xlfn.NUMBERVALUE(B30)&gt;13,_xlfn.NUMBERVALUE(B30)&lt;=26),"Q2", AND(_xlfn.NUMBERVALUE(B30)&gt;26,_xlfn.NUMBERVALUE(B30)&lt;=39),"Q3",_xlfn.NUMBERVALUE(B30)&gt;39,"Q4")</f>
        <v>Q2</v>
      </c>
      <c r="D30" s="448">
        <f t="shared" si="21"/>
        <v>44023</v>
      </c>
      <c r="E30" s="448">
        <f t="shared" si="2"/>
        <v>44029</v>
      </c>
      <c r="F30" s="480">
        <v>202024</v>
      </c>
      <c r="G30" s="180">
        <f t="shared" si="3"/>
        <v>0</v>
      </c>
      <c r="H30" s="429"/>
      <c r="I30" s="429"/>
      <c r="J30" s="474">
        <f t="shared" si="4"/>
        <v>0</v>
      </c>
      <c r="K30" s="474">
        <f t="shared" si="5"/>
        <v>0</v>
      </c>
      <c r="L30" s="486"/>
      <c r="M30" s="481"/>
      <c r="N30" s="481"/>
      <c r="O30" s="474">
        <f t="shared" si="6"/>
        <v>0</v>
      </c>
      <c r="P30" s="474">
        <f t="shared" si="7"/>
        <v>0</v>
      </c>
      <c r="Q30" s="474">
        <f t="shared" si="8"/>
        <v>0</v>
      </c>
      <c r="R30" s="449">
        <f>Forecast!J25</f>
        <v>0</v>
      </c>
      <c r="S30" s="449">
        <f>Forecast!N25</f>
        <v>0</v>
      </c>
      <c r="T30" s="475">
        <f t="shared" si="9"/>
        <v>0</v>
      </c>
      <c r="U30" s="475">
        <f t="shared" si="10"/>
        <v>0</v>
      </c>
      <c r="V30" s="349">
        <f t="shared" si="11"/>
        <v>0</v>
      </c>
      <c r="W30" s="350">
        <f t="shared" si="12"/>
        <v>0</v>
      </c>
      <c r="X30" s="469">
        <f>'Channel &amp; Campaign Metrics'!AR29</f>
        <v>0</v>
      </c>
      <c r="Y30" s="469">
        <f>'Channel &amp; Campaign Metrics'!BS29</f>
        <v>0</v>
      </c>
      <c r="Z30" s="430"/>
      <c r="AA30" s="111"/>
      <c r="AB30" s="358">
        <f>'Glass Metrics'!AC30</f>
        <v>0</v>
      </c>
      <c r="AC30" s="475">
        <f>'Glass Metrics'!I30</f>
        <v>0</v>
      </c>
      <c r="AD30" s="469">
        <f>'Glass Metrics'!N30</f>
        <v>0</v>
      </c>
      <c r="AE30" s="475">
        <f>'Glass Metrics'!S30</f>
        <v>0</v>
      </c>
      <c r="AF30" s="359" t="str">
        <f t="shared" si="13"/>
        <v/>
      </c>
      <c r="AG30" s="477" t="str">
        <f t="shared" si="14"/>
        <v/>
      </c>
      <c r="AH30" s="472" t="str">
        <f t="shared" si="15"/>
        <v/>
      </c>
      <c r="AI30" s="360" t="str">
        <f t="shared" si="16"/>
        <v/>
      </c>
      <c r="AJ30" s="361"/>
      <c r="AK30" s="482"/>
      <c r="AL30" s="482"/>
      <c r="AM30" s="482"/>
      <c r="AN30" s="482"/>
      <c r="AO30" s="370">
        <f t="shared" si="17"/>
        <v>0</v>
      </c>
      <c r="AP30" s="361"/>
      <c r="AQ30" s="482"/>
      <c r="AR30" s="482"/>
      <c r="AS30" s="370">
        <f t="shared" si="18"/>
        <v>0</v>
      </c>
      <c r="AT30" s="118"/>
      <c r="AU30" s="483"/>
      <c r="AV30" s="484">
        <f t="shared" si="19"/>
        <v>0</v>
      </c>
      <c r="AW30" s="484"/>
      <c r="AX30" s="484"/>
      <c r="AY30" s="380"/>
      <c r="AZ30" s="175"/>
      <c r="BA30" s="454"/>
      <c r="BB30" s="79"/>
      <c r="BC30" s="79"/>
      <c r="BD30" s="79"/>
      <c r="BE30" s="79"/>
      <c r="BF30" s="485"/>
      <c r="BG30" s="485"/>
      <c r="BH30" s="485"/>
      <c r="BI30" s="485"/>
      <c r="BJ30" s="485"/>
      <c r="BK30" s="389"/>
      <c r="BL30" s="125"/>
      <c r="BM30" s="92"/>
      <c r="BN30" s="386">
        <f t="shared" si="20"/>
        <v>0</v>
      </c>
    </row>
    <row r="31" spans="1:66" s="89" customFormat="1" ht="16.350000000000001" customHeight="1">
      <c r="A31" s="175">
        <f t="shared" si="0"/>
        <v>2021</v>
      </c>
      <c r="B31" s="454" t="str">
        <f t="shared" si="1"/>
        <v>25</v>
      </c>
      <c r="C31" s="454" t="str">
        <f t="array" ref="C31">_xlfn.IFS(_xlfn.NUMBERVALUE(B31)&lt;=13,"Q1",AND(_xlfn.NUMBERVALUE(B31)&gt;13,_xlfn.NUMBERVALUE(B31)&lt;=26),"Q2", AND(_xlfn.NUMBERVALUE(B31)&gt;26,_xlfn.NUMBERVALUE(B31)&lt;=39),"Q3",_xlfn.NUMBERVALUE(B31)&gt;39,"Q4")</f>
        <v>Q2</v>
      </c>
      <c r="D31" s="448">
        <f t="shared" si="21"/>
        <v>44030</v>
      </c>
      <c r="E31" s="448">
        <f t="shared" si="2"/>
        <v>44036</v>
      </c>
      <c r="F31" s="480">
        <v>202025</v>
      </c>
      <c r="G31" s="180">
        <f t="shared" si="3"/>
        <v>0</v>
      </c>
      <c r="H31" s="429"/>
      <c r="I31" s="429"/>
      <c r="J31" s="474">
        <f t="shared" si="4"/>
        <v>0</v>
      </c>
      <c r="K31" s="474">
        <f t="shared" si="5"/>
        <v>0</v>
      </c>
      <c r="L31" s="486"/>
      <c r="M31" s="486"/>
      <c r="N31" s="486"/>
      <c r="O31" s="474">
        <f t="shared" si="6"/>
        <v>0</v>
      </c>
      <c r="P31" s="474">
        <f t="shared" si="7"/>
        <v>0</v>
      </c>
      <c r="Q31" s="474">
        <f t="shared" si="8"/>
        <v>0</v>
      </c>
      <c r="R31" s="449">
        <f>Forecast!J26</f>
        <v>0</v>
      </c>
      <c r="S31" s="449">
        <f>Forecast!N26</f>
        <v>0</v>
      </c>
      <c r="T31" s="475">
        <f t="shared" si="9"/>
        <v>0</v>
      </c>
      <c r="U31" s="475">
        <f t="shared" si="10"/>
        <v>0</v>
      </c>
      <c r="V31" s="349">
        <f t="shared" si="11"/>
        <v>0</v>
      </c>
      <c r="W31" s="350">
        <f t="shared" si="12"/>
        <v>0</v>
      </c>
      <c r="X31" s="469">
        <f>'Channel &amp; Campaign Metrics'!AR30</f>
        <v>0</v>
      </c>
      <c r="Y31" s="469">
        <f>'Channel &amp; Campaign Metrics'!BS30</f>
        <v>0</v>
      </c>
      <c r="Z31" s="430"/>
      <c r="AA31" s="111"/>
      <c r="AB31" s="358">
        <f>'Glass Metrics'!AC31</f>
        <v>0</v>
      </c>
      <c r="AC31" s="475">
        <f>'Glass Metrics'!I31</f>
        <v>0</v>
      </c>
      <c r="AD31" s="469">
        <f>'Glass Metrics'!N31</f>
        <v>0</v>
      </c>
      <c r="AE31" s="475">
        <f>'Glass Metrics'!S31</f>
        <v>0</v>
      </c>
      <c r="AF31" s="359" t="str">
        <f t="shared" si="13"/>
        <v/>
      </c>
      <c r="AG31" s="477" t="str">
        <f t="shared" si="14"/>
        <v/>
      </c>
      <c r="AH31" s="472" t="str">
        <f t="shared" si="15"/>
        <v/>
      </c>
      <c r="AI31" s="360" t="str">
        <f t="shared" si="16"/>
        <v/>
      </c>
      <c r="AJ31" s="361"/>
      <c r="AK31" s="482"/>
      <c r="AL31" s="482"/>
      <c r="AM31" s="482"/>
      <c r="AN31" s="482"/>
      <c r="AO31" s="370">
        <f t="shared" si="17"/>
        <v>0</v>
      </c>
      <c r="AP31" s="361"/>
      <c r="AQ31" s="482"/>
      <c r="AR31" s="482"/>
      <c r="AS31" s="370">
        <f t="shared" si="18"/>
        <v>0</v>
      </c>
      <c r="AT31" s="118"/>
      <c r="AU31" s="483"/>
      <c r="AV31" s="484">
        <f t="shared" si="19"/>
        <v>0</v>
      </c>
      <c r="AW31" s="484"/>
      <c r="AX31" s="484"/>
      <c r="AY31" s="380"/>
      <c r="AZ31" s="175"/>
      <c r="BA31" s="454"/>
      <c r="BB31" s="79"/>
      <c r="BC31" s="79"/>
      <c r="BD31" s="79"/>
      <c r="BE31" s="79"/>
      <c r="BF31" s="485"/>
      <c r="BG31" s="485"/>
      <c r="BH31" s="485"/>
      <c r="BI31" s="485"/>
      <c r="BJ31" s="485"/>
      <c r="BK31" s="389"/>
      <c r="BL31" s="125"/>
      <c r="BM31" s="92"/>
      <c r="BN31" s="386">
        <f t="shared" si="20"/>
        <v>0</v>
      </c>
    </row>
    <row r="32" spans="1:66" s="89" customFormat="1" ht="16.350000000000001" customHeight="1">
      <c r="A32" s="175">
        <f t="shared" si="0"/>
        <v>2021</v>
      </c>
      <c r="B32" s="454" t="str">
        <f t="shared" si="1"/>
        <v>26</v>
      </c>
      <c r="C32" s="454" t="str">
        <f t="array" ref="C32">_xlfn.IFS(_xlfn.NUMBERVALUE(B32)&lt;=13,"Q1",AND(_xlfn.NUMBERVALUE(B32)&gt;13,_xlfn.NUMBERVALUE(B32)&lt;=26),"Q2", AND(_xlfn.NUMBERVALUE(B32)&gt;26,_xlfn.NUMBERVALUE(B32)&lt;=39),"Q3",_xlfn.NUMBERVALUE(B32)&gt;39,"Q4")</f>
        <v>Q2</v>
      </c>
      <c r="D32" s="448">
        <f t="shared" si="21"/>
        <v>44037</v>
      </c>
      <c r="E32" s="448">
        <f t="shared" si="2"/>
        <v>44043</v>
      </c>
      <c r="F32" s="480">
        <v>202026</v>
      </c>
      <c r="G32" s="180">
        <f t="shared" si="3"/>
        <v>0</v>
      </c>
      <c r="H32" s="429"/>
      <c r="I32" s="429"/>
      <c r="J32" s="474">
        <f t="shared" si="4"/>
        <v>0</v>
      </c>
      <c r="K32" s="474">
        <f t="shared" si="5"/>
        <v>0</v>
      </c>
      <c r="L32" s="486"/>
      <c r="M32" s="486"/>
      <c r="N32" s="486"/>
      <c r="O32" s="474">
        <f t="shared" si="6"/>
        <v>0</v>
      </c>
      <c r="P32" s="474">
        <f t="shared" si="7"/>
        <v>0</v>
      </c>
      <c r="Q32" s="474">
        <f t="shared" si="8"/>
        <v>0</v>
      </c>
      <c r="R32" s="449">
        <f>Forecast!J27</f>
        <v>0</v>
      </c>
      <c r="S32" s="449">
        <f>Forecast!N27</f>
        <v>0</v>
      </c>
      <c r="T32" s="475">
        <f t="shared" si="9"/>
        <v>0</v>
      </c>
      <c r="U32" s="475">
        <f t="shared" si="10"/>
        <v>0</v>
      </c>
      <c r="V32" s="349">
        <f t="shared" si="11"/>
        <v>0</v>
      </c>
      <c r="W32" s="350">
        <f t="shared" si="12"/>
        <v>0</v>
      </c>
      <c r="X32" s="469">
        <f>'Channel &amp; Campaign Metrics'!AR31</f>
        <v>0</v>
      </c>
      <c r="Y32" s="469">
        <f>'Channel &amp; Campaign Metrics'!BS31</f>
        <v>0</v>
      </c>
      <c r="Z32" s="430"/>
      <c r="AA32" s="111"/>
      <c r="AB32" s="358">
        <f>'Glass Metrics'!AC32</f>
        <v>0</v>
      </c>
      <c r="AC32" s="475">
        <f>'Glass Metrics'!I32</f>
        <v>0</v>
      </c>
      <c r="AD32" s="469">
        <f>'Glass Metrics'!N32</f>
        <v>0</v>
      </c>
      <c r="AE32" s="475">
        <f>'Glass Metrics'!S32</f>
        <v>0</v>
      </c>
      <c r="AF32" s="359" t="str">
        <f t="shared" si="13"/>
        <v/>
      </c>
      <c r="AG32" s="477" t="str">
        <f t="shared" si="14"/>
        <v/>
      </c>
      <c r="AH32" s="472" t="str">
        <f t="shared" si="15"/>
        <v/>
      </c>
      <c r="AI32" s="360" t="str">
        <f t="shared" si="16"/>
        <v/>
      </c>
      <c r="AJ32" s="361"/>
      <c r="AK32" s="482"/>
      <c r="AL32" s="482"/>
      <c r="AM32" s="482"/>
      <c r="AN32" s="482"/>
      <c r="AO32" s="370">
        <f t="shared" si="17"/>
        <v>0</v>
      </c>
      <c r="AP32" s="361"/>
      <c r="AQ32" s="482"/>
      <c r="AR32" s="482"/>
      <c r="AS32" s="370">
        <f t="shared" si="18"/>
        <v>0</v>
      </c>
      <c r="AT32" s="118"/>
      <c r="AU32" s="483"/>
      <c r="AV32" s="484">
        <f t="shared" si="19"/>
        <v>0</v>
      </c>
      <c r="AW32" s="484"/>
      <c r="AX32" s="484"/>
      <c r="AY32" s="380"/>
      <c r="AZ32" s="175"/>
      <c r="BA32" s="454"/>
      <c r="BB32" s="79"/>
      <c r="BC32" s="79"/>
      <c r="BD32" s="79"/>
      <c r="BE32" s="79"/>
      <c r="BF32" s="485"/>
      <c r="BG32" s="485"/>
      <c r="BH32" s="485"/>
      <c r="BI32" s="485"/>
      <c r="BJ32" s="485"/>
      <c r="BK32" s="389"/>
      <c r="BL32" s="125"/>
      <c r="BM32" s="92"/>
      <c r="BN32" s="386">
        <f t="shared" si="20"/>
        <v>0</v>
      </c>
    </row>
    <row r="33" spans="1:66" s="89" customFormat="1" ht="16.350000000000001" customHeight="1">
      <c r="A33" s="175">
        <f t="shared" si="0"/>
        <v>2021</v>
      </c>
      <c r="B33" s="454" t="str">
        <f t="shared" si="1"/>
        <v>27</v>
      </c>
      <c r="C33" s="454" t="str">
        <f t="array" ref="C33">_xlfn.IFS(_xlfn.NUMBERVALUE(B33)&lt;=13,"Q1",AND(_xlfn.NUMBERVALUE(B33)&gt;13,_xlfn.NUMBERVALUE(B33)&lt;=26),"Q2", AND(_xlfn.NUMBERVALUE(B33)&gt;26,_xlfn.NUMBERVALUE(B33)&lt;=39),"Q3",_xlfn.NUMBERVALUE(B33)&gt;39,"Q4")</f>
        <v>Q3</v>
      </c>
      <c r="D33" s="448">
        <f t="shared" si="21"/>
        <v>44044</v>
      </c>
      <c r="E33" s="448">
        <f t="shared" si="2"/>
        <v>44050</v>
      </c>
      <c r="F33" s="480">
        <v>202027</v>
      </c>
      <c r="G33" s="180">
        <f t="shared" si="3"/>
        <v>0</v>
      </c>
      <c r="H33" s="429"/>
      <c r="I33" s="429"/>
      <c r="J33" s="474">
        <f t="shared" si="4"/>
        <v>0</v>
      </c>
      <c r="K33" s="474">
        <f t="shared" si="5"/>
        <v>0</v>
      </c>
      <c r="L33" s="486"/>
      <c r="M33" s="486"/>
      <c r="N33" s="486"/>
      <c r="O33" s="474">
        <f t="shared" si="6"/>
        <v>0</v>
      </c>
      <c r="P33" s="474">
        <f t="shared" si="7"/>
        <v>0</v>
      </c>
      <c r="Q33" s="474">
        <f t="shared" si="8"/>
        <v>0</v>
      </c>
      <c r="R33" s="449">
        <f>Forecast!J28</f>
        <v>0</v>
      </c>
      <c r="S33" s="449">
        <f>Forecast!N28</f>
        <v>0</v>
      </c>
      <c r="T33" s="475">
        <f t="shared" si="9"/>
        <v>0</v>
      </c>
      <c r="U33" s="475">
        <f t="shared" si="10"/>
        <v>0</v>
      </c>
      <c r="V33" s="349">
        <f t="shared" si="11"/>
        <v>0</v>
      </c>
      <c r="W33" s="350">
        <f t="shared" si="12"/>
        <v>0</v>
      </c>
      <c r="X33" s="469">
        <f>'Channel &amp; Campaign Metrics'!AR32</f>
        <v>0</v>
      </c>
      <c r="Y33" s="469">
        <f>'Channel &amp; Campaign Metrics'!BS32</f>
        <v>0</v>
      </c>
      <c r="Z33" s="430"/>
      <c r="AA33" s="111"/>
      <c r="AB33" s="358">
        <f>'Glass Metrics'!AC33</f>
        <v>0</v>
      </c>
      <c r="AC33" s="475">
        <f>'Glass Metrics'!I33</f>
        <v>0</v>
      </c>
      <c r="AD33" s="469">
        <f>'Glass Metrics'!N33</f>
        <v>0</v>
      </c>
      <c r="AE33" s="475">
        <f>'Glass Metrics'!S33</f>
        <v>0</v>
      </c>
      <c r="AF33" s="359" t="str">
        <f t="shared" si="13"/>
        <v/>
      </c>
      <c r="AG33" s="477" t="str">
        <f t="shared" si="14"/>
        <v/>
      </c>
      <c r="AH33" s="472" t="str">
        <f t="shared" si="15"/>
        <v/>
      </c>
      <c r="AI33" s="360" t="str">
        <f t="shared" si="16"/>
        <v/>
      </c>
      <c r="AJ33" s="361"/>
      <c r="AK33" s="482"/>
      <c r="AL33" s="482"/>
      <c r="AM33" s="482"/>
      <c r="AN33" s="482"/>
      <c r="AO33" s="370">
        <f t="shared" si="17"/>
        <v>0</v>
      </c>
      <c r="AP33" s="361"/>
      <c r="AQ33" s="482"/>
      <c r="AR33" s="482"/>
      <c r="AS33" s="370">
        <f t="shared" si="18"/>
        <v>0</v>
      </c>
      <c r="AT33" s="118"/>
      <c r="AU33" s="483"/>
      <c r="AV33" s="484">
        <f t="shared" si="19"/>
        <v>0</v>
      </c>
      <c r="AW33" s="484"/>
      <c r="AX33" s="484"/>
      <c r="AY33" s="380"/>
      <c r="AZ33" s="175"/>
      <c r="BA33" s="454"/>
      <c r="BB33" s="79"/>
      <c r="BC33" s="79"/>
      <c r="BD33" s="79"/>
      <c r="BE33" s="79"/>
      <c r="BF33" s="485"/>
      <c r="BG33" s="485"/>
      <c r="BH33" s="485"/>
      <c r="BI33" s="485"/>
      <c r="BJ33" s="485"/>
      <c r="BK33" s="389"/>
      <c r="BL33" s="125"/>
      <c r="BM33" s="92"/>
      <c r="BN33" s="386">
        <f t="shared" si="20"/>
        <v>0</v>
      </c>
    </row>
    <row r="34" spans="1:66" s="89" customFormat="1" ht="16.5" customHeight="1">
      <c r="A34" s="175">
        <f t="shared" si="0"/>
        <v>2021</v>
      </c>
      <c r="B34" s="454" t="str">
        <f t="shared" si="1"/>
        <v>28</v>
      </c>
      <c r="C34" s="454" t="str">
        <f t="array" ref="C34">_xlfn.IFS(_xlfn.NUMBERVALUE(B34)&lt;=13,"Q1",AND(_xlfn.NUMBERVALUE(B34)&gt;13,_xlfn.NUMBERVALUE(B34)&lt;=26),"Q2", AND(_xlfn.NUMBERVALUE(B34)&gt;26,_xlfn.NUMBERVALUE(B34)&lt;=39),"Q3",_xlfn.NUMBERVALUE(B34)&gt;39,"Q4")</f>
        <v>Q3</v>
      </c>
      <c r="D34" s="448">
        <f t="shared" si="21"/>
        <v>44051</v>
      </c>
      <c r="E34" s="448">
        <f t="shared" si="2"/>
        <v>44057</v>
      </c>
      <c r="F34" s="480">
        <v>202028</v>
      </c>
      <c r="G34" s="180">
        <f t="shared" si="3"/>
        <v>0</v>
      </c>
      <c r="H34" s="429"/>
      <c r="I34" s="429"/>
      <c r="J34" s="474">
        <f t="shared" si="4"/>
        <v>0</v>
      </c>
      <c r="K34" s="474">
        <f t="shared" si="5"/>
        <v>0</v>
      </c>
      <c r="L34" s="486"/>
      <c r="M34" s="486"/>
      <c r="N34" s="486"/>
      <c r="O34" s="474">
        <f t="shared" si="6"/>
        <v>0</v>
      </c>
      <c r="P34" s="474">
        <f t="shared" si="7"/>
        <v>0</v>
      </c>
      <c r="Q34" s="474">
        <f t="shared" si="8"/>
        <v>0</v>
      </c>
      <c r="R34" s="449">
        <f>Forecast!J29</f>
        <v>0</v>
      </c>
      <c r="S34" s="449">
        <f>Forecast!N29</f>
        <v>0</v>
      </c>
      <c r="T34" s="475">
        <f t="shared" si="9"/>
        <v>0</v>
      </c>
      <c r="U34" s="475">
        <f t="shared" si="10"/>
        <v>0</v>
      </c>
      <c r="V34" s="349">
        <f t="shared" si="11"/>
        <v>0</v>
      </c>
      <c r="W34" s="350">
        <f t="shared" si="12"/>
        <v>0</v>
      </c>
      <c r="X34" s="469">
        <f>'Channel &amp; Campaign Metrics'!AR33</f>
        <v>0</v>
      </c>
      <c r="Y34" s="469">
        <f>'Channel &amp; Campaign Metrics'!BS33</f>
        <v>0</v>
      </c>
      <c r="Z34" s="430"/>
      <c r="AA34" s="111"/>
      <c r="AB34" s="358">
        <f>'Glass Metrics'!AC34</f>
        <v>0</v>
      </c>
      <c r="AC34" s="475">
        <f>'Glass Metrics'!I34</f>
        <v>0</v>
      </c>
      <c r="AD34" s="469">
        <f>'Glass Metrics'!N34</f>
        <v>0</v>
      </c>
      <c r="AE34" s="475">
        <f>'Glass Metrics'!S34</f>
        <v>0</v>
      </c>
      <c r="AF34" s="359" t="str">
        <f t="shared" si="13"/>
        <v/>
      </c>
      <c r="AG34" s="477" t="str">
        <f t="shared" si="14"/>
        <v/>
      </c>
      <c r="AH34" s="472" t="str">
        <f t="shared" si="15"/>
        <v/>
      </c>
      <c r="AI34" s="360" t="str">
        <f t="shared" si="16"/>
        <v/>
      </c>
      <c r="AJ34" s="361"/>
      <c r="AK34" s="482"/>
      <c r="AL34" s="482"/>
      <c r="AM34" s="482"/>
      <c r="AN34" s="482"/>
      <c r="AO34" s="370">
        <f t="shared" si="17"/>
        <v>0</v>
      </c>
      <c r="AP34" s="361"/>
      <c r="AQ34" s="482"/>
      <c r="AR34" s="482"/>
      <c r="AS34" s="370">
        <f t="shared" si="18"/>
        <v>0</v>
      </c>
      <c r="AT34" s="118"/>
      <c r="AU34" s="483"/>
      <c r="AV34" s="484">
        <f t="shared" si="19"/>
        <v>0</v>
      </c>
      <c r="AW34" s="484"/>
      <c r="AX34" s="484"/>
      <c r="AY34" s="380"/>
      <c r="AZ34" s="175"/>
      <c r="BA34" s="454"/>
      <c r="BB34" s="79"/>
      <c r="BC34" s="79"/>
      <c r="BD34" s="79"/>
      <c r="BE34" s="79"/>
      <c r="BF34" s="485"/>
      <c r="BG34" s="485"/>
      <c r="BH34" s="485"/>
      <c r="BI34" s="485"/>
      <c r="BJ34" s="485"/>
      <c r="BK34" s="389"/>
      <c r="BL34" s="125"/>
      <c r="BM34" s="92"/>
      <c r="BN34" s="386">
        <f t="shared" si="20"/>
        <v>0</v>
      </c>
    </row>
    <row r="35" spans="1:66" s="89" customFormat="1" ht="16.350000000000001" customHeight="1">
      <c r="A35" s="175">
        <f t="shared" si="0"/>
        <v>2021</v>
      </c>
      <c r="B35" s="454" t="str">
        <f t="shared" si="1"/>
        <v>29</v>
      </c>
      <c r="C35" s="454" t="str">
        <f t="array" ref="C35">_xlfn.IFS(_xlfn.NUMBERVALUE(B35)&lt;=13,"Q1",AND(_xlfn.NUMBERVALUE(B35)&gt;13,_xlfn.NUMBERVALUE(B35)&lt;=26),"Q2", AND(_xlfn.NUMBERVALUE(B35)&gt;26,_xlfn.NUMBERVALUE(B35)&lt;=39),"Q3",_xlfn.NUMBERVALUE(B35)&gt;39,"Q4")</f>
        <v>Q3</v>
      </c>
      <c r="D35" s="448">
        <f t="shared" si="21"/>
        <v>44058</v>
      </c>
      <c r="E35" s="448">
        <f t="shared" si="2"/>
        <v>44064</v>
      </c>
      <c r="F35" s="480">
        <v>202029</v>
      </c>
      <c r="G35" s="180">
        <f t="shared" si="3"/>
        <v>0</v>
      </c>
      <c r="H35" s="429"/>
      <c r="I35" s="429"/>
      <c r="J35" s="474">
        <f t="shared" si="4"/>
        <v>0</v>
      </c>
      <c r="K35" s="474">
        <f t="shared" si="5"/>
        <v>0</v>
      </c>
      <c r="L35" s="486"/>
      <c r="M35" s="486"/>
      <c r="N35" s="486"/>
      <c r="O35" s="474">
        <f t="shared" si="6"/>
        <v>0</v>
      </c>
      <c r="P35" s="474">
        <f t="shared" si="7"/>
        <v>0</v>
      </c>
      <c r="Q35" s="474">
        <f t="shared" si="8"/>
        <v>0</v>
      </c>
      <c r="R35" s="449">
        <f>Forecast!J30</f>
        <v>0</v>
      </c>
      <c r="S35" s="449">
        <f>Forecast!N30</f>
        <v>0</v>
      </c>
      <c r="T35" s="475">
        <f t="shared" si="9"/>
        <v>0</v>
      </c>
      <c r="U35" s="475">
        <f t="shared" si="10"/>
        <v>0</v>
      </c>
      <c r="V35" s="349">
        <f t="shared" si="11"/>
        <v>0</v>
      </c>
      <c r="W35" s="350">
        <f t="shared" si="12"/>
        <v>0</v>
      </c>
      <c r="X35" s="469">
        <f>'Channel &amp; Campaign Metrics'!AR34</f>
        <v>0</v>
      </c>
      <c r="Y35" s="469">
        <f>'Channel &amp; Campaign Metrics'!BS34</f>
        <v>0</v>
      </c>
      <c r="Z35" s="430"/>
      <c r="AA35" s="111"/>
      <c r="AB35" s="358">
        <f>'Glass Metrics'!AC35</f>
        <v>0</v>
      </c>
      <c r="AC35" s="475">
        <f>'Glass Metrics'!I35</f>
        <v>0</v>
      </c>
      <c r="AD35" s="469">
        <f>'Glass Metrics'!N35</f>
        <v>0</v>
      </c>
      <c r="AE35" s="475">
        <f>'Glass Metrics'!S35</f>
        <v>0</v>
      </c>
      <c r="AF35" s="359" t="str">
        <f t="shared" si="13"/>
        <v/>
      </c>
      <c r="AG35" s="477" t="str">
        <f t="shared" si="14"/>
        <v/>
      </c>
      <c r="AH35" s="472" t="str">
        <f t="shared" si="15"/>
        <v/>
      </c>
      <c r="AI35" s="360" t="str">
        <f t="shared" si="16"/>
        <v/>
      </c>
      <c r="AJ35" s="361"/>
      <c r="AK35" s="482"/>
      <c r="AL35" s="482"/>
      <c r="AM35" s="482"/>
      <c r="AN35" s="482"/>
      <c r="AO35" s="370">
        <f t="shared" si="17"/>
        <v>0</v>
      </c>
      <c r="AP35" s="361"/>
      <c r="AQ35" s="482"/>
      <c r="AR35" s="482"/>
      <c r="AS35" s="370">
        <f t="shared" si="18"/>
        <v>0</v>
      </c>
      <c r="AT35" s="118"/>
      <c r="AU35" s="483"/>
      <c r="AV35" s="484">
        <f t="shared" si="19"/>
        <v>0</v>
      </c>
      <c r="AW35" s="484"/>
      <c r="AX35" s="484"/>
      <c r="AY35" s="380"/>
      <c r="AZ35" s="175"/>
      <c r="BA35" s="454"/>
      <c r="BB35" s="79"/>
      <c r="BC35" s="79"/>
      <c r="BD35" s="79"/>
      <c r="BE35" s="79"/>
      <c r="BF35" s="485"/>
      <c r="BG35" s="485"/>
      <c r="BH35" s="485"/>
      <c r="BI35" s="485"/>
      <c r="BJ35" s="485"/>
      <c r="BK35" s="389"/>
      <c r="BL35" s="125"/>
      <c r="BM35" s="92"/>
      <c r="BN35" s="386">
        <f t="shared" si="20"/>
        <v>0</v>
      </c>
    </row>
    <row r="36" spans="1:66" s="89" customFormat="1" ht="16.350000000000001" customHeight="1">
      <c r="A36" s="175">
        <f t="shared" si="0"/>
        <v>2021</v>
      </c>
      <c r="B36" s="454" t="str">
        <f t="shared" si="1"/>
        <v>30</v>
      </c>
      <c r="C36" s="454" t="str">
        <f t="array" ref="C36">_xlfn.IFS(_xlfn.NUMBERVALUE(B36)&lt;=13,"Q1",AND(_xlfn.NUMBERVALUE(B36)&gt;13,_xlfn.NUMBERVALUE(B36)&lt;=26),"Q2", AND(_xlfn.NUMBERVALUE(B36)&gt;26,_xlfn.NUMBERVALUE(B36)&lt;=39),"Q3",_xlfn.NUMBERVALUE(B36)&gt;39,"Q4")</f>
        <v>Q3</v>
      </c>
      <c r="D36" s="448">
        <f t="shared" si="21"/>
        <v>44065</v>
      </c>
      <c r="E36" s="448">
        <f t="shared" si="2"/>
        <v>44071</v>
      </c>
      <c r="F36" s="480">
        <v>202030</v>
      </c>
      <c r="G36" s="180">
        <f t="shared" si="3"/>
        <v>0</v>
      </c>
      <c r="H36" s="429"/>
      <c r="I36" s="429"/>
      <c r="J36" s="474">
        <f t="shared" si="4"/>
        <v>0</v>
      </c>
      <c r="K36" s="474">
        <f t="shared" si="5"/>
        <v>0</v>
      </c>
      <c r="L36" s="486"/>
      <c r="M36" s="486"/>
      <c r="N36" s="486"/>
      <c r="O36" s="474">
        <f t="shared" si="6"/>
        <v>0</v>
      </c>
      <c r="P36" s="474">
        <f t="shared" si="7"/>
        <v>0</v>
      </c>
      <c r="Q36" s="474">
        <f t="shared" si="8"/>
        <v>0</v>
      </c>
      <c r="R36" s="449">
        <f>Forecast!J31</f>
        <v>0</v>
      </c>
      <c r="S36" s="449">
        <f>Forecast!N31</f>
        <v>0</v>
      </c>
      <c r="T36" s="475">
        <f t="shared" si="9"/>
        <v>0</v>
      </c>
      <c r="U36" s="475">
        <f t="shared" si="10"/>
        <v>0</v>
      </c>
      <c r="V36" s="349">
        <f t="shared" si="11"/>
        <v>0</v>
      </c>
      <c r="W36" s="350">
        <f t="shared" si="12"/>
        <v>0</v>
      </c>
      <c r="X36" s="469">
        <f>'Channel &amp; Campaign Metrics'!AR35</f>
        <v>0</v>
      </c>
      <c r="Y36" s="469">
        <f>'Channel &amp; Campaign Metrics'!BS35</f>
        <v>0</v>
      </c>
      <c r="Z36" s="430"/>
      <c r="AA36" s="111"/>
      <c r="AB36" s="358">
        <f>'Glass Metrics'!AC36</f>
        <v>0</v>
      </c>
      <c r="AC36" s="475">
        <f>'Glass Metrics'!I36</f>
        <v>0</v>
      </c>
      <c r="AD36" s="469">
        <f>'Glass Metrics'!N36</f>
        <v>0</v>
      </c>
      <c r="AE36" s="475">
        <f>'Glass Metrics'!S36</f>
        <v>0</v>
      </c>
      <c r="AF36" s="359" t="str">
        <f t="shared" si="13"/>
        <v/>
      </c>
      <c r="AG36" s="477" t="str">
        <f t="shared" si="14"/>
        <v/>
      </c>
      <c r="AH36" s="472" t="str">
        <f t="shared" si="15"/>
        <v/>
      </c>
      <c r="AI36" s="360" t="str">
        <f t="shared" si="16"/>
        <v/>
      </c>
      <c r="AJ36" s="361"/>
      <c r="AK36" s="482"/>
      <c r="AL36" s="482"/>
      <c r="AM36" s="482"/>
      <c r="AN36" s="482"/>
      <c r="AO36" s="370">
        <f t="shared" si="17"/>
        <v>0</v>
      </c>
      <c r="AP36" s="361"/>
      <c r="AQ36" s="482"/>
      <c r="AR36" s="482"/>
      <c r="AS36" s="370">
        <f t="shared" si="18"/>
        <v>0</v>
      </c>
      <c r="AT36" s="118"/>
      <c r="AU36" s="483"/>
      <c r="AV36" s="484">
        <f t="shared" si="19"/>
        <v>0</v>
      </c>
      <c r="AW36" s="484"/>
      <c r="AX36" s="484"/>
      <c r="AY36" s="380"/>
      <c r="AZ36" s="175"/>
      <c r="BA36" s="454"/>
      <c r="BB36" s="79"/>
      <c r="BC36" s="79"/>
      <c r="BD36" s="79"/>
      <c r="BE36" s="79"/>
      <c r="BF36" s="485"/>
      <c r="BG36" s="485"/>
      <c r="BH36" s="485"/>
      <c r="BI36" s="485"/>
      <c r="BJ36" s="485"/>
      <c r="BK36" s="389"/>
      <c r="BL36" s="125"/>
      <c r="BM36" s="92"/>
      <c r="BN36" s="386">
        <f t="shared" si="20"/>
        <v>0</v>
      </c>
    </row>
    <row r="37" spans="1:66" s="89" customFormat="1" ht="16.350000000000001" customHeight="1">
      <c r="A37" s="175">
        <f t="shared" si="0"/>
        <v>2021</v>
      </c>
      <c r="B37" s="454" t="str">
        <f t="shared" si="1"/>
        <v>31</v>
      </c>
      <c r="C37" s="454" t="str">
        <f t="array" ref="C37">_xlfn.IFS(_xlfn.NUMBERVALUE(B37)&lt;=13,"Q1",AND(_xlfn.NUMBERVALUE(B37)&gt;13,_xlfn.NUMBERVALUE(B37)&lt;=26),"Q2", AND(_xlfn.NUMBERVALUE(B37)&gt;26,_xlfn.NUMBERVALUE(B37)&lt;=39),"Q3",_xlfn.NUMBERVALUE(B37)&gt;39,"Q4")</f>
        <v>Q3</v>
      </c>
      <c r="D37" s="448">
        <f t="shared" si="21"/>
        <v>44072</v>
      </c>
      <c r="E37" s="448">
        <f t="shared" si="2"/>
        <v>44078</v>
      </c>
      <c r="F37" s="480">
        <v>202031</v>
      </c>
      <c r="G37" s="180">
        <f t="shared" si="3"/>
        <v>0</v>
      </c>
      <c r="H37" s="429"/>
      <c r="I37" s="429"/>
      <c r="J37" s="474">
        <f t="shared" si="4"/>
        <v>0</v>
      </c>
      <c r="K37" s="474">
        <f t="shared" si="5"/>
        <v>0</v>
      </c>
      <c r="L37" s="486"/>
      <c r="M37" s="486"/>
      <c r="N37" s="486"/>
      <c r="O37" s="474">
        <f t="shared" si="6"/>
        <v>0</v>
      </c>
      <c r="P37" s="474">
        <f t="shared" si="7"/>
        <v>0</v>
      </c>
      <c r="Q37" s="474">
        <f t="shared" si="8"/>
        <v>0</v>
      </c>
      <c r="R37" s="449">
        <f>Forecast!J32</f>
        <v>0</v>
      </c>
      <c r="S37" s="449">
        <f>Forecast!N32</f>
        <v>0</v>
      </c>
      <c r="T37" s="475">
        <f t="shared" si="9"/>
        <v>0</v>
      </c>
      <c r="U37" s="475">
        <f t="shared" si="10"/>
        <v>0</v>
      </c>
      <c r="V37" s="349">
        <f t="shared" si="11"/>
        <v>0</v>
      </c>
      <c r="W37" s="350">
        <f t="shared" si="12"/>
        <v>0</v>
      </c>
      <c r="X37" s="469">
        <f>'Channel &amp; Campaign Metrics'!AR36</f>
        <v>0</v>
      </c>
      <c r="Y37" s="469">
        <f>'Channel &amp; Campaign Metrics'!BS36</f>
        <v>0</v>
      </c>
      <c r="Z37" s="430"/>
      <c r="AA37" s="111"/>
      <c r="AB37" s="358">
        <f>'Glass Metrics'!AC37</f>
        <v>0</v>
      </c>
      <c r="AC37" s="475">
        <f>'Glass Metrics'!I37</f>
        <v>0</v>
      </c>
      <c r="AD37" s="469">
        <f>'Glass Metrics'!N37</f>
        <v>0</v>
      </c>
      <c r="AE37" s="475">
        <f>'Glass Metrics'!S37</f>
        <v>0</v>
      </c>
      <c r="AF37" s="359" t="str">
        <f t="shared" si="13"/>
        <v/>
      </c>
      <c r="AG37" s="477" t="str">
        <f t="shared" si="14"/>
        <v/>
      </c>
      <c r="AH37" s="472" t="str">
        <f t="shared" si="15"/>
        <v/>
      </c>
      <c r="AI37" s="360" t="str">
        <f t="shared" si="16"/>
        <v/>
      </c>
      <c r="AJ37" s="361"/>
      <c r="AK37" s="482"/>
      <c r="AL37" s="482"/>
      <c r="AM37" s="482"/>
      <c r="AN37" s="482"/>
      <c r="AO37" s="370">
        <f t="shared" si="17"/>
        <v>0</v>
      </c>
      <c r="AP37" s="361"/>
      <c r="AQ37" s="482"/>
      <c r="AR37" s="482"/>
      <c r="AS37" s="370">
        <f t="shared" si="18"/>
        <v>0</v>
      </c>
      <c r="AT37" s="118"/>
      <c r="AU37" s="483"/>
      <c r="AV37" s="484">
        <f t="shared" si="19"/>
        <v>0</v>
      </c>
      <c r="AW37" s="484"/>
      <c r="AX37" s="484"/>
      <c r="AY37" s="380"/>
      <c r="AZ37" s="175"/>
      <c r="BA37" s="454"/>
      <c r="BB37" s="79"/>
      <c r="BC37" s="79"/>
      <c r="BD37" s="79"/>
      <c r="BE37" s="79"/>
      <c r="BF37" s="485"/>
      <c r="BG37" s="485"/>
      <c r="BH37" s="485"/>
      <c r="BI37" s="485"/>
      <c r="BJ37" s="485"/>
      <c r="BK37" s="389"/>
      <c r="BL37" s="125"/>
      <c r="BM37" s="92"/>
      <c r="BN37" s="386">
        <f t="shared" si="20"/>
        <v>0</v>
      </c>
    </row>
    <row r="38" spans="1:66" s="89" customFormat="1" ht="16.350000000000001" customHeight="1">
      <c r="A38" s="175">
        <f t="shared" si="0"/>
        <v>2021</v>
      </c>
      <c r="B38" s="454" t="str">
        <f t="shared" si="1"/>
        <v>32</v>
      </c>
      <c r="C38" s="454" t="str">
        <f t="array" ref="C38">_xlfn.IFS(_xlfn.NUMBERVALUE(B38)&lt;=13,"Q1",AND(_xlfn.NUMBERVALUE(B38)&gt;13,_xlfn.NUMBERVALUE(B38)&lt;=26),"Q2", AND(_xlfn.NUMBERVALUE(B38)&gt;26,_xlfn.NUMBERVALUE(B38)&lt;=39),"Q3",_xlfn.NUMBERVALUE(B38)&gt;39,"Q4")</f>
        <v>Q3</v>
      </c>
      <c r="D38" s="448">
        <f t="shared" si="21"/>
        <v>44079</v>
      </c>
      <c r="E38" s="448">
        <f t="shared" si="2"/>
        <v>44085</v>
      </c>
      <c r="F38" s="480">
        <v>202032</v>
      </c>
      <c r="G38" s="180">
        <f t="shared" si="3"/>
        <v>0</v>
      </c>
      <c r="H38" s="429"/>
      <c r="I38" s="429"/>
      <c r="J38" s="474">
        <f t="shared" si="4"/>
        <v>0</v>
      </c>
      <c r="K38" s="474">
        <f t="shared" si="5"/>
        <v>0</v>
      </c>
      <c r="L38" s="486"/>
      <c r="M38" s="486"/>
      <c r="N38" s="486"/>
      <c r="O38" s="474">
        <f t="shared" si="6"/>
        <v>0</v>
      </c>
      <c r="P38" s="474">
        <f t="shared" si="7"/>
        <v>0</v>
      </c>
      <c r="Q38" s="474">
        <f t="shared" si="8"/>
        <v>0</v>
      </c>
      <c r="R38" s="449">
        <f>Forecast!J33</f>
        <v>0</v>
      </c>
      <c r="S38" s="449">
        <f>Forecast!N33</f>
        <v>0</v>
      </c>
      <c r="T38" s="475">
        <f t="shared" si="9"/>
        <v>0</v>
      </c>
      <c r="U38" s="475">
        <f t="shared" si="10"/>
        <v>0</v>
      </c>
      <c r="V38" s="349">
        <f t="shared" si="11"/>
        <v>0</v>
      </c>
      <c r="W38" s="350">
        <f t="shared" si="12"/>
        <v>0</v>
      </c>
      <c r="X38" s="469">
        <f>'Channel &amp; Campaign Metrics'!AR37</f>
        <v>0</v>
      </c>
      <c r="Y38" s="469">
        <f>'Channel &amp; Campaign Metrics'!BS37</f>
        <v>0</v>
      </c>
      <c r="Z38" s="430"/>
      <c r="AA38" s="111"/>
      <c r="AB38" s="358">
        <f>'Glass Metrics'!AC38</f>
        <v>0</v>
      </c>
      <c r="AC38" s="475">
        <f>'Glass Metrics'!I38</f>
        <v>0</v>
      </c>
      <c r="AD38" s="469">
        <f>'Glass Metrics'!N38</f>
        <v>0</v>
      </c>
      <c r="AE38" s="475">
        <f>'Glass Metrics'!S38</f>
        <v>0</v>
      </c>
      <c r="AF38" s="359" t="str">
        <f t="shared" si="13"/>
        <v/>
      </c>
      <c r="AG38" s="477" t="str">
        <f t="shared" si="14"/>
        <v/>
      </c>
      <c r="AH38" s="472" t="str">
        <f t="shared" si="15"/>
        <v/>
      </c>
      <c r="AI38" s="360" t="str">
        <f t="shared" si="16"/>
        <v/>
      </c>
      <c r="AJ38" s="362"/>
      <c r="AK38" s="487"/>
      <c r="AL38" s="487"/>
      <c r="AM38" s="487"/>
      <c r="AN38" s="487"/>
      <c r="AO38" s="371">
        <f t="shared" si="17"/>
        <v>0</v>
      </c>
      <c r="AP38" s="361"/>
      <c r="AQ38" s="482"/>
      <c r="AR38" s="482"/>
      <c r="AS38" s="370">
        <f t="shared" si="18"/>
        <v>0</v>
      </c>
      <c r="AT38" s="118"/>
      <c r="AU38" s="483"/>
      <c r="AV38" s="484">
        <f t="shared" si="19"/>
        <v>0</v>
      </c>
      <c r="AW38" s="484"/>
      <c r="AX38" s="484"/>
      <c r="AY38" s="380"/>
      <c r="AZ38" s="175"/>
      <c r="BA38" s="454"/>
      <c r="BB38" s="79"/>
      <c r="BC38" s="79"/>
      <c r="BD38" s="79"/>
      <c r="BE38" s="79"/>
      <c r="BF38" s="485"/>
      <c r="BG38" s="485"/>
      <c r="BH38" s="485"/>
      <c r="BI38" s="485"/>
      <c r="BJ38" s="485"/>
      <c r="BK38" s="389"/>
      <c r="BL38" s="125"/>
      <c r="BM38" s="92"/>
      <c r="BN38" s="386">
        <f t="shared" si="20"/>
        <v>0</v>
      </c>
    </row>
    <row r="39" spans="1:66" s="89" customFormat="1" ht="16.350000000000001" customHeight="1">
      <c r="A39" s="175">
        <f t="shared" si="0"/>
        <v>2021</v>
      </c>
      <c r="B39" s="454" t="str">
        <f t="shared" si="1"/>
        <v>33</v>
      </c>
      <c r="C39" s="454" t="str">
        <f t="array" ref="C39">_xlfn.IFS(_xlfn.NUMBERVALUE(B39)&lt;=13,"Q1",AND(_xlfn.NUMBERVALUE(B39)&gt;13,_xlfn.NUMBERVALUE(B39)&lt;=26),"Q2", AND(_xlfn.NUMBERVALUE(B39)&gt;26,_xlfn.NUMBERVALUE(B39)&lt;=39),"Q3",_xlfn.NUMBERVALUE(B39)&gt;39,"Q4")</f>
        <v>Q3</v>
      </c>
      <c r="D39" s="448">
        <f t="shared" si="21"/>
        <v>44086</v>
      </c>
      <c r="E39" s="448">
        <f t="shared" si="2"/>
        <v>44092</v>
      </c>
      <c r="F39" s="480">
        <v>202033</v>
      </c>
      <c r="G39" s="180">
        <f t="shared" si="3"/>
        <v>0</v>
      </c>
      <c r="H39" s="429"/>
      <c r="I39" s="429"/>
      <c r="J39" s="474">
        <f t="shared" si="4"/>
        <v>0</v>
      </c>
      <c r="K39" s="474">
        <f t="shared" si="5"/>
        <v>0</v>
      </c>
      <c r="L39" s="481"/>
      <c r="M39" s="481"/>
      <c r="N39" s="481"/>
      <c r="O39" s="474">
        <f t="shared" si="6"/>
        <v>0</v>
      </c>
      <c r="P39" s="474">
        <f t="shared" si="7"/>
        <v>0</v>
      </c>
      <c r="Q39" s="474">
        <f t="shared" si="8"/>
        <v>0</v>
      </c>
      <c r="R39" s="449">
        <f>Forecast!J34</f>
        <v>0</v>
      </c>
      <c r="S39" s="449">
        <f>Forecast!N34</f>
        <v>0</v>
      </c>
      <c r="T39" s="475">
        <f t="shared" si="9"/>
        <v>0</v>
      </c>
      <c r="U39" s="475">
        <f t="shared" si="10"/>
        <v>0</v>
      </c>
      <c r="V39" s="349">
        <f t="shared" si="11"/>
        <v>0</v>
      </c>
      <c r="W39" s="350">
        <f t="shared" si="12"/>
        <v>0</v>
      </c>
      <c r="X39" s="469">
        <f>'Channel &amp; Campaign Metrics'!AR38</f>
        <v>0</v>
      </c>
      <c r="Y39" s="469">
        <f>'Channel &amp; Campaign Metrics'!BS38</f>
        <v>0</v>
      </c>
      <c r="Z39" s="430"/>
      <c r="AA39" s="111"/>
      <c r="AB39" s="358">
        <f>'Glass Metrics'!AC39</f>
        <v>0</v>
      </c>
      <c r="AC39" s="475">
        <f>'Glass Metrics'!I39</f>
        <v>0</v>
      </c>
      <c r="AD39" s="469">
        <f>'Glass Metrics'!N39</f>
        <v>0</v>
      </c>
      <c r="AE39" s="475">
        <f>'Glass Metrics'!S39</f>
        <v>0</v>
      </c>
      <c r="AF39" s="359" t="str">
        <f t="shared" si="13"/>
        <v/>
      </c>
      <c r="AG39" s="477" t="str">
        <f t="shared" si="14"/>
        <v/>
      </c>
      <c r="AH39" s="472" t="str">
        <f t="shared" si="15"/>
        <v/>
      </c>
      <c r="AI39" s="360" t="str">
        <f t="shared" si="16"/>
        <v/>
      </c>
      <c r="AJ39" s="362"/>
      <c r="AK39" s="487"/>
      <c r="AL39" s="487"/>
      <c r="AM39" s="487"/>
      <c r="AN39" s="487"/>
      <c r="AO39" s="371">
        <f t="shared" ref="AO39:AO58" si="22">AJ39</f>
        <v>0</v>
      </c>
      <c r="AP39" s="362"/>
      <c r="AQ39" s="487"/>
      <c r="AR39" s="487"/>
      <c r="AS39" s="371">
        <f t="shared" ref="AS39:AS58" si="23">AP39</f>
        <v>0</v>
      </c>
      <c r="AT39" s="118"/>
      <c r="AU39" s="483"/>
      <c r="AV39" s="484">
        <f t="shared" si="19"/>
        <v>0</v>
      </c>
      <c r="AW39" s="484"/>
      <c r="AX39" s="484"/>
      <c r="AY39" s="380"/>
      <c r="AZ39" s="175"/>
      <c r="BA39" s="454"/>
      <c r="BB39" s="79"/>
      <c r="BC39" s="79"/>
      <c r="BD39" s="79"/>
      <c r="BE39" s="79"/>
      <c r="BF39" s="485"/>
      <c r="BG39" s="485"/>
      <c r="BH39" s="485"/>
      <c r="BI39" s="485"/>
      <c r="BJ39" s="485"/>
      <c r="BK39" s="389"/>
      <c r="BL39" s="125"/>
      <c r="BM39" s="92"/>
      <c r="BN39" s="386">
        <f t="shared" si="20"/>
        <v>0</v>
      </c>
    </row>
    <row r="40" spans="1:66" s="89" customFormat="1" ht="16.350000000000001" customHeight="1">
      <c r="A40" s="175">
        <f t="shared" si="0"/>
        <v>2021</v>
      </c>
      <c r="B40" s="454" t="str">
        <f t="shared" si="1"/>
        <v>34</v>
      </c>
      <c r="C40" s="454" t="str">
        <f t="array" ref="C40">_xlfn.IFS(_xlfn.NUMBERVALUE(B40)&lt;=13,"Q1",AND(_xlfn.NUMBERVALUE(B40)&gt;13,_xlfn.NUMBERVALUE(B40)&lt;=26),"Q2", AND(_xlfn.NUMBERVALUE(B40)&gt;26,_xlfn.NUMBERVALUE(B40)&lt;=39),"Q3",_xlfn.NUMBERVALUE(B40)&gt;39,"Q4")</f>
        <v>Q3</v>
      </c>
      <c r="D40" s="448">
        <f t="shared" si="21"/>
        <v>44093</v>
      </c>
      <c r="E40" s="448">
        <f t="shared" si="2"/>
        <v>44099</v>
      </c>
      <c r="F40" s="480">
        <v>202034</v>
      </c>
      <c r="G40" s="180">
        <f t="shared" si="3"/>
        <v>0</v>
      </c>
      <c r="H40" s="429"/>
      <c r="I40" s="429"/>
      <c r="J40" s="474">
        <f t="shared" si="4"/>
        <v>0</v>
      </c>
      <c r="K40" s="474">
        <f t="shared" si="5"/>
        <v>0</v>
      </c>
      <c r="L40" s="481"/>
      <c r="M40" s="481"/>
      <c r="N40" s="481"/>
      <c r="O40" s="474">
        <f t="shared" si="6"/>
        <v>0</v>
      </c>
      <c r="P40" s="474">
        <f t="shared" si="7"/>
        <v>0</v>
      </c>
      <c r="Q40" s="474">
        <f t="shared" si="8"/>
        <v>0</v>
      </c>
      <c r="R40" s="449">
        <f>Forecast!J35</f>
        <v>0</v>
      </c>
      <c r="S40" s="449">
        <f>Forecast!N35</f>
        <v>0</v>
      </c>
      <c r="T40" s="475">
        <f t="shared" si="9"/>
        <v>0</v>
      </c>
      <c r="U40" s="475">
        <f t="shared" si="10"/>
        <v>0</v>
      </c>
      <c r="V40" s="349">
        <f t="shared" si="11"/>
        <v>0</v>
      </c>
      <c r="W40" s="350">
        <f t="shared" si="12"/>
        <v>0</v>
      </c>
      <c r="X40" s="469">
        <f>'Channel &amp; Campaign Metrics'!AR39</f>
        <v>0</v>
      </c>
      <c r="Y40" s="469">
        <f>'Channel &amp; Campaign Metrics'!BS39</f>
        <v>0</v>
      </c>
      <c r="Z40" s="430"/>
      <c r="AA40" s="111"/>
      <c r="AB40" s="358">
        <f>'Glass Metrics'!AC40</f>
        <v>0</v>
      </c>
      <c r="AC40" s="475">
        <f>'Glass Metrics'!I40</f>
        <v>0</v>
      </c>
      <c r="AD40" s="469">
        <f>'Glass Metrics'!N40</f>
        <v>0</v>
      </c>
      <c r="AE40" s="475">
        <f>'Glass Metrics'!S40</f>
        <v>0</v>
      </c>
      <c r="AF40" s="359" t="str">
        <f t="shared" si="13"/>
        <v/>
      </c>
      <c r="AG40" s="477" t="str">
        <f t="shared" si="14"/>
        <v/>
      </c>
      <c r="AH40" s="472" t="str">
        <f t="shared" si="15"/>
        <v/>
      </c>
      <c r="AI40" s="360" t="str">
        <f t="shared" si="16"/>
        <v/>
      </c>
      <c r="AJ40" s="362"/>
      <c r="AK40" s="487"/>
      <c r="AL40" s="487"/>
      <c r="AM40" s="487"/>
      <c r="AN40" s="487"/>
      <c r="AO40" s="371">
        <f t="shared" si="22"/>
        <v>0</v>
      </c>
      <c r="AP40" s="362"/>
      <c r="AQ40" s="487"/>
      <c r="AR40" s="487"/>
      <c r="AS40" s="371">
        <f t="shared" si="23"/>
        <v>0</v>
      </c>
      <c r="AT40" s="118"/>
      <c r="AU40" s="483"/>
      <c r="AV40" s="484">
        <f t="shared" si="19"/>
        <v>0</v>
      </c>
      <c r="AW40" s="484"/>
      <c r="AX40" s="484"/>
      <c r="AY40" s="380"/>
      <c r="AZ40" s="175"/>
      <c r="BA40" s="454"/>
      <c r="BB40" s="79"/>
      <c r="BC40" s="79"/>
      <c r="BD40" s="79"/>
      <c r="BE40" s="79"/>
      <c r="BF40" s="485"/>
      <c r="BG40" s="485"/>
      <c r="BH40" s="485"/>
      <c r="BI40" s="485"/>
      <c r="BJ40" s="485"/>
      <c r="BK40" s="389"/>
      <c r="BL40" s="125"/>
      <c r="BM40" s="92"/>
      <c r="BN40" s="386">
        <f t="shared" si="20"/>
        <v>0</v>
      </c>
    </row>
    <row r="41" spans="1:66" s="89" customFormat="1" ht="16.350000000000001" customHeight="1">
      <c r="A41" s="175">
        <f t="shared" si="0"/>
        <v>2021</v>
      </c>
      <c r="B41" s="454" t="str">
        <f t="shared" si="1"/>
        <v>35</v>
      </c>
      <c r="C41" s="454" t="str">
        <f t="array" ref="C41">_xlfn.IFS(_xlfn.NUMBERVALUE(B41)&lt;=13,"Q1",AND(_xlfn.NUMBERVALUE(B41)&gt;13,_xlfn.NUMBERVALUE(B41)&lt;=26),"Q2", AND(_xlfn.NUMBERVALUE(B41)&gt;26,_xlfn.NUMBERVALUE(B41)&lt;=39),"Q3",_xlfn.NUMBERVALUE(B41)&gt;39,"Q4")</f>
        <v>Q3</v>
      </c>
      <c r="D41" s="448">
        <f t="shared" si="21"/>
        <v>44100</v>
      </c>
      <c r="E41" s="448">
        <f t="shared" si="2"/>
        <v>44106</v>
      </c>
      <c r="F41" s="480">
        <v>202035</v>
      </c>
      <c r="G41" s="180">
        <f t="shared" si="3"/>
        <v>0</v>
      </c>
      <c r="H41" s="429"/>
      <c r="I41" s="429"/>
      <c r="J41" s="474">
        <f t="shared" si="4"/>
        <v>0</v>
      </c>
      <c r="K41" s="474">
        <f t="shared" si="5"/>
        <v>0</v>
      </c>
      <c r="L41" s="481"/>
      <c r="M41" s="481"/>
      <c r="N41" s="481"/>
      <c r="O41" s="474">
        <f t="shared" si="6"/>
        <v>0</v>
      </c>
      <c r="P41" s="474">
        <f t="shared" si="7"/>
        <v>0</v>
      </c>
      <c r="Q41" s="474">
        <f t="shared" si="8"/>
        <v>0</v>
      </c>
      <c r="R41" s="449">
        <f>Forecast!J36</f>
        <v>0</v>
      </c>
      <c r="S41" s="449">
        <f>Forecast!N36</f>
        <v>0</v>
      </c>
      <c r="T41" s="475">
        <f t="shared" si="9"/>
        <v>0</v>
      </c>
      <c r="U41" s="475">
        <f t="shared" si="10"/>
        <v>0</v>
      </c>
      <c r="V41" s="349">
        <f t="shared" si="11"/>
        <v>0</v>
      </c>
      <c r="W41" s="350">
        <f t="shared" si="12"/>
        <v>0</v>
      </c>
      <c r="X41" s="469">
        <f>'Channel &amp; Campaign Metrics'!AR40</f>
        <v>0</v>
      </c>
      <c r="Y41" s="469">
        <f>'Channel &amp; Campaign Metrics'!BS40</f>
        <v>0</v>
      </c>
      <c r="Z41" s="430"/>
      <c r="AA41" s="111"/>
      <c r="AB41" s="358">
        <f>'Glass Metrics'!AC41</f>
        <v>0</v>
      </c>
      <c r="AC41" s="475">
        <f>'Glass Metrics'!I41</f>
        <v>0</v>
      </c>
      <c r="AD41" s="469">
        <f>'Glass Metrics'!N41</f>
        <v>0</v>
      </c>
      <c r="AE41" s="475">
        <f>'Glass Metrics'!S41</f>
        <v>0</v>
      </c>
      <c r="AF41" s="359" t="str">
        <f t="shared" si="13"/>
        <v/>
      </c>
      <c r="AG41" s="477" t="str">
        <f t="shared" si="14"/>
        <v/>
      </c>
      <c r="AH41" s="472" t="str">
        <f t="shared" si="15"/>
        <v/>
      </c>
      <c r="AI41" s="360" t="str">
        <f t="shared" si="16"/>
        <v/>
      </c>
      <c r="AJ41" s="361"/>
      <c r="AK41" s="482"/>
      <c r="AL41" s="482"/>
      <c r="AM41" s="482"/>
      <c r="AN41" s="482"/>
      <c r="AO41" s="370">
        <f t="shared" si="22"/>
        <v>0</v>
      </c>
      <c r="AP41" s="362"/>
      <c r="AQ41" s="487"/>
      <c r="AR41" s="487"/>
      <c r="AS41" s="371">
        <f t="shared" si="23"/>
        <v>0</v>
      </c>
      <c r="AT41" s="118"/>
      <c r="AU41" s="483"/>
      <c r="AV41" s="484">
        <f t="shared" si="19"/>
        <v>0</v>
      </c>
      <c r="AW41" s="484"/>
      <c r="AX41" s="484"/>
      <c r="AY41" s="380"/>
      <c r="AZ41" s="175"/>
      <c r="BA41" s="454"/>
      <c r="BB41" s="79"/>
      <c r="BC41" s="79"/>
      <c r="BD41" s="79"/>
      <c r="BE41" s="79"/>
      <c r="BF41" s="485"/>
      <c r="BG41" s="485"/>
      <c r="BH41" s="485"/>
      <c r="BI41" s="485"/>
      <c r="BJ41" s="485"/>
      <c r="BK41" s="389"/>
      <c r="BL41" s="125"/>
      <c r="BM41" s="92"/>
      <c r="BN41" s="386">
        <f t="shared" si="20"/>
        <v>0</v>
      </c>
    </row>
    <row r="42" spans="1:66" s="89" customFormat="1" ht="16.350000000000001" customHeight="1">
      <c r="A42" s="175">
        <f t="shared" si="0"/>
        <v>2021</v>
      </c>
      <c r="B42" s="454" t="str">
        <f t="shared" si="1"/>
        <v>36</v>
      </c>
      <c r="C42" s="454" t="str">
        <f t="array" ref="C42">_xlfn.IFS(_xlfn.NUMBERVALUE(B42)&lt;=13,"Q1",AND(_xlfn.NUMBERVALUE(B42)&gt;13,_xlfn.NUMBERVALUE(B42)&lt;=26),"Q2", AND(_xlfn.NUMBERVALUE(B42)&gt;26,_xlfn.NUMBERVALUE(B42)&lt;=39),"Q3",_xlfn.NUMBERVALUE(B42)&gt;39,"Q4")</f>
        <v>Q3</v>
      </c>
      <c r="D42" s="448">
        <f t="shared" si="21"/>
        <v>44107</v>
      </c>
      <c r="E42" s="448">
        <f t="shared" si="2"/>
        <v>44113</v>
      </c>
      <c r="F42" s="480">
        <v>202036</v>
      </c>
      <c r="G42" s="180">
        <f t="shared" si="3"/>
        <v>0</v>
      </c>
      <c r="H42" s="429"/>
      <c r="I42" s="429"/>
      <c r="J42" s="474">
        <f t="shared" si="4"/>
        <v>0</v>
      </c>
      <c r="K42" s="474">
        <f t="shared" si="5"/>
        <v>0</v>
      </c>
      <c r="L42" s="481"/>
      <c r="M42" s="481"/>
      <c r="N42" s="481"/>
      <c r="O42" s="474">
        <f t="shared" si="6"/>
        <v>0</v>
      </c>
      <c r="P42" s="474">
        <f t="shared" si="7"/>
        <v>0</v>
      </c>
      <c r="Q42" s="474">
        <f t="shared" si="8"/>
        <v>0</v>
      </c>
      <c r="R42" s="449">
        <f>Forecast!J37</f>
        <v>0</v>
      </c>
      <c r="S42" s="449">
        <f>Forecast!N37</f>
        <v>0</v>
      </c>
      <c r="T42" s="475">
        <f t="shared" si="9"/>
        <v>0</v>
      </c>
      <c r="U42" s="475">
        <f t="shared" si="10"/>
        <v>0</v>
      </c>
      <c r="V42" s="349">
        <f t="shared" si="11"/>
        <v>0</v>
      </c>
      <c r="W42" s="350">
        <f t="shared" si="12"/>
        <v>0</v>
      </c>
      <c r="X42" s="469">
        <f>'Channel &amp; Campaign Metrics'!AR41</f>
        <v>0</v>
      </c>
      <c r="Y42" s="469">
        <f>'Channel &amp; Campaign Metrics'!BS41</f>
        <v>0</v>
      </c>
      <c r="Z42" s="430"/>
      <c r="AA42" s="111"/>
      <c r="AB42" s="358">
        <f>'Glass Metrics'!AC42</f>
        <v>0</v>
      </c>
      <c r="AC42" s="475">
        <f>'Glass Metrics'!I42</f>
        <v>0</v>
      </c>
      <c r="AD42" s="469">
        <f>'Glass Metrics'!N42</f>
        <v>0</v>
      </c>
      <c r="AE42" s="475">
        <f>'Glass Metrics'!S42</f>
        <v>0</v>
      </c>
      <c r="AF42" s="359" t="str">
        <f t="shared" si="13"/>
        <v/>
      </c>
      <c r="AG42" s="477" t="str">
        <f t="shared" si="14"/>
        <v/>
      </c>
      <c r="AH42" s="472" t="str">
        <f t="shared" si="15"/>
        <v/>
      </c>
      <c r="AI42" s="360" t="str">
        <f t="shared" si="16"/>
        <v/>
      </c>
      <c r="AJ42" s="361"/>
      <c r="AK42" s="482"/>
      <c r="AL42" s="482"/>
      <c r="AM42" s="482"/>
      <c r="AN42" s="482"/>
      <c r="AO42" s="370">
        <f t="shared" si="22"/>
        <v>0</v>
      </c>
      <c r="AP42" s="362"/>
      <c r="AQ42" s="487"/>
      <c r="AR42" s="487"/>
      <c r="AS42" s="371">
        <f t="shared" si="23"/>
        <v>0</v>
      </c>
      <c r="AT42" s="118"/>
      <c r="AU42" s="483"/>
      <c r="AV42" s="484">
        <f t="shared" si="19"/>
        <v>0</v>
      </c>
      <c r="AW42" s="484"/>
      <c r="AX42" s="484"/>
      <c r="AY42" s="380"/>
      <c r="AZ42" s="175"/>
      <c r="BA42" s="454"/>
      <c r="BB42" s="79"/>
      <c r="BC42" s="79"/>
      <c r="BD42" s="79"/>
      <c r="BE42" s="79"/>
      <c r="BF42" s="485"/>
      <c r="BG42" s="485"/>
      <c r="BH42" s="485"/>
      <c r="BI42" s="485"/>
      <c r="BJ42" s="485"/>
      <c r="BK42" s="389"/>
      <c r="BL42" s="125"/>
      <c r="BM42" s="92"/>
      <c r="BN42" s="386">
        <f t="shared" si="20"/>
        <v>0</v>
      </c>
    </row>
    <row r="43" spans="1:66" s="89" customFormat="1" ht="16.350000000000001" customHeight="1">
      <c r="A43" s="175">
        <f t="shared" si="0"/>
        <v>2021</v>
      </c>
      <c r="B43" s="454" t="str">
        <f t="shared" si="1"/>
        <v>37</v>
      </c>
      <c r="C43" s="454" t="str">
        <f t="array" ref="C43">_xlfn.IFS(_xlfn.NUMBERVALUE(B43)&lt;=13,"Q1",AND(_xlfn.NUMBERVALUE(B43)&gt;13,_xlfn.NUMBERVALUE(B43)&lt;=26),"Q2", AND(_xlfn.NUMBERVALUE(B43)&gt;26,_xlfn.NUMBERVALUE(B43)&lt;=39),"Q3",_xlfn.NUMBERVALUE(B43)&gt;39,"Q4")</f>
        <v>Q3</v>
      </c>
      <c r="D43" s="448">
        <f t="shared" si="21"/>
        <v>44114</v>
      </c>
      <c r="E43" s="448">
        <f t="shared" si="2"/>
        <v>44120</v>
      </c>
      <c r="F43" s="480">
        <v>202037</v>
      </c>
      <c r="G43" s="180">
        <f t="shared" si="3"/>
        <v>0</v>
      </c>
      <c r="H43" s="429"/>
      <c r="I43" s="429"/>
      <c r="J43" s="474">
        <f t="shared" si="4"/>
        <v>0</v>
      </c>
      <c r="K43" s="474">
        <f t="shared" si="5"/>
        <v>0</v>
      </c>
      <c r="L43" s="481"/>
      <c r="M43" s="481"/>
      <c r="N43" s="481"/>
      <c r="O43" s="474">
        <f t="shared" si="6"/>
        <v>0</v>
      </c>
      <c r="P43" s="474">
        <f t="shared" si="7"/>
        <v>0</v>
      </c>
      <c r="Q43" s="474">
        <f t="shared" si="8"/>
        <v>0</v>
      </c>
      <c r="R43" s="449">
        <f>Forecast!J38</f>
        <v>0</v>
      </c>
      <c r="S43" s="449">
        <f>Forecast!N38</f>
        <v>0</v>
      </c>
      <c r="T43" s="475">
        <f t="shared" si="9"/>
        <v>0</v>
      </c>
      <c r="U43" s="475">
        <f t="shared" si="10"/>
        <v>0</v>
      </c>
      <c r="V43" s="349">
        <f t="shared" si="11"/>
        <v>0</v>
      </c>
      <c r="W43" s="350">
        <f t="shared" si="12"/>
        <v>0</v>
      </c>
      <c r="X43" s="469">
        <f>'Channel &amp; Campaign Metrics'!AR42</f>
        <v>0</v>
      </c>
      <c r="Y43" s="469">
        <f>'Channel &amp; Campaign Metrics'!BS42</f>
        <v>0</v>
      </c>
      <c r="Z43" s="430"/>
      <c r="AA43" s="111"/>
      <c r="AB43" s="358">
        <f>'Glass Metrics'!AC43</f>
        <v>0</v>
      </c>
      <c r="AC43" s="475">
        <f>'Glass Metrics'!I43</f>
        <v>0</v>
      </c>
      <c r="AD43" s="469">
        <f>'Glass Metrics'!N43</f>
        <v>0</v>
      </c>
      <c r="AE43" s="475">
        <f>'Glass Metrics'!S43</f>
        <v>0</v>
      </c>
      <c r="AF43" s="359" t="str">
        <f t="shared" si="13"/>
        <v/>
      </c>
      <c r="AG43" s="477" t="str">
        <f t="shared" si="14"/>
        <v/>
      </c>
      <c r="AH43" s="472" t="str">
        <f t="shared" si="15"/>
        <v/>
      </c>
      <c r="AI43" s="360" t="str">
        <f t="shared" si="16"/>
        <v/>
      </c>
      <c r="AJ43" s="361"/>
      <c r="AK43" s="482"/>
      <c r="AL43" s="482"/>
      <c r="AM43" s="482"/>
      <c r="AN43" s="482"/>
      <c r="AO43" s="370">
        <f t="shared" si="22"/>
        <v>0</v>
      </c>
      <c r="AP43" s="361"/>
      <c r="AQ43" s="482"/>
      <c r="AR43" s="482"/>
      <c r="AS43" s="370">
        <f t="shared" si="23"/>
        <v>0</v>
      </c>
      <c r="AT43" s="118"/>
      <c r="AU43" s="483"/>
      <c r="AV43" s="484">
        <f t="shared" si="19"/>
        <v>0</v>
      </c>
      <c r="AW43" s="484"/>
      <c r="AX43" s="484"/>
      <c r="AY43" s="380"/>
      <c r="AZ43" s="175"/>
      <c r="BA43" s="454"/>
      <c r="BB43" s="79"/>
      <c r="BC43" s="79"/>
      <c r="BD43" s="79"/>
      <c r="BE43" s="79"/>
      <c r="BF43" s="485"/>
      <c r="BG43" s="485"/>
      <c r="BH43" s="485"/>
      <c r="BI43" s="485"/>
      <c r="BJ43" s="485"/>
      <c r="BK43" s="389"/>
      <c r="BL43" s="125"/>
      <c r="BM43" s="92"/>
      <c r="BN43" s="386">
        <f t="shared" si="20"/>
        <v>0</v>
      </c>
    </row>
    <row r="44" spans="1:66" s="89" customFormat="1" ht="16.350000000000001" customHeight="1">
      <c r="A44" s="175">
        <f t="shared" si="0"/>
        <v>2021</v>
      </c>
      <c r="B44" s="454" t="str">
        <f t="shared" si="1"/>
        <v>38</v>
      </c>
      <c r="C44" s="454" t="str">
        <f t="array" ref="C44">_xlfn.IFS(_xlfn.NUMBERVALUE(B44)&lt;=13,"Q1",AND(_xlfn.NUMBERVALUE(B44)&gt;13,_xlfn.NUMBERVALUE(B44)&lt;=26),"Q2", AND(_xlfn.NUMBERVALUE(B44)&gt;26,_xlfn.NUMBERVALUE(B44)&lt;=39),"Q3",_xlfn.NUMBERVALUE(B44)&gt;39,"Q4")</f>
        <v>Q3</v>
      </c>
      <c r="D44" s="448">
        <f t="shared" si="21"/>
        <v>44121</v>
      </c>
      <c r="E44" s="448">
        <f t="shared" si="2"/>
        <v>44127</v>
      </c>
      <c r="F44" s="480">
        <v>202038</v>
      </c>
      <c r="G44" s="180">
        <f t="shared" si="3"/>
        <v>0</v>
      </c>
      <c r="H44" s="429"/>
      <c r="I44" s="429"/>
      <c r="J44" s="474">
        <f t="shared" si="4"/>
        <v>0</v>
      </c>
      <c r="K44" s="474">
        <f t="shared" si="5"/>
        <v>0</v>
      </c>
      <c r="L44" s="481"/>
      <c r="M44" s="481"/>
      <c r="N44" s="481"/>
      <c r="O44" s="474">
        <f t="shared" si="6"/>
        <v>0</v>
      </c>
      <c r="P44" s="474">
        <f t="shared" si="7"/>
        <v>0</v>
      </c>
      <c r="Q44" s="474">
        <f t="shared" si="8"/>
        <v>0</v>
      </c>
      <c r="R44" s="449">
        <f>Forecast!J39</f>
        <v>0</v>
      </c>
      <c r="S44" s="449">
        <f>Forecast!N39</f>
        <v>0</v>
      </c>
      <c r="T44" s="475">
        <f t="shared" si="9"/>
        <v>0</v>
      </c>
      <c r="U44" s="475">
        <f t="shared" si="10"/>
        <v>0</v>
      </c>
      <c r="V44" s="349">
        <f t="shared" si="11"/>
        <v>0</v>
      </c>
      <c r="W44" s="350">
        <f t="shared" si="12"/>
        <v>0</v>
      </c>
      <c r="X44" s="469">
        <f>'Channel &amp; Campaign Metrics'!AR43</f>
        <v>0</v>
      </c>
      <c r="Y44" s="469">
        <f>'Channel &amp; Campaign Metrics'!BS43</f>
        <v>0</v>
      </c>
      <c r="Z44" s="430"/>
      <c r="AA44" s="111"/>
      <c r="AB44" s="358">
        <f>'Glass Metrics'!AC44</f>
        <v>0</v>
      </c>
      <c r="AC44" s="475">
        <f>'Glass Metrics'!I44</f>
        <v>0</v>
      </c>
      <c r="AD44" s="469">
        <f>'Glass Metrics'!N44</f>
        <v>0</v>
      </c>
      <c r="AE44" s="475">
        <f>'Glass Metrics'!S44</f>
        <v>0</v>
      </c>
      <c r="AF44" s="359" t="str">
        <f t="shared" si="13"/>
        <v/>
      </c>
      <c r="AG44" s="477" t="str">
        <f t="shared" si="14"/>
        <v/>
      </c>
      <c r="AH44" s="472" t="str">
        <f t="shared" si="15"/>
        <v/>
      </c>
      <c r="AI44" s="360" t="str">
        <f t="shared" si="16"/>
        <v/>
      </c>
      <c r="AJ44" s="361"/>
      <c r="AK44" s="482"/>
      <c r="AL44" s="482"/>
      <c r="AM44" s="482"/>
      <c r="AN44" s="482"/>
      <c r="AO44" s="370">
        <f t="shared" si="22"/>
        <v>0</v>
      </c>
      <c r="AP44" s="361"/>
      <c r="AQ44" s="482"/>
      <c r="AR44" s="482"/>
      <c r="AS44" s="370">
        <f t="shared" si="23"/>
        <v>0</v>
      </c>
      <c r="AT44" s="118"/>
      <c r="AU44" s="483"/>
      <c r="AV44" s="484">
        <f t="shared" si="19"/>
        <v>0</v>
      </c>
      <c r="AW44" s="484"/>
      <c r="AX44" s="484"/>
      <c r="AY44" s="380"/>
      <c r="AZ44" s="175"/>
      <c r="BA44" s="454"/>
      <c r="BB44" s="79"/>
      <c r="BC44" s="79"/>
      <c r="BD44" s="79"/>
      <c r="BE44" s="79"/>
      <c r="BF44" s="485"/>
      <c r="BG44" s="485"/>
      <c r="BH44" s="485"/>
      <c r="BI44" s="485"/>
      <c r="BJ44" s="485"/>
      <c r="BK44" s="389"/>
      <c r="BL44" s="125"/>
      <c r="BM44" s="92"/>
      <c r="BN44" s="386">
        <f t="shared" si="20"/>
        <v>0</v>
      </c>
    </row>
    <row r="45" spans="1:66" s="89" customFormat="1" ht="16.350000000000001" customHeight="1">
      <c r="A45" s="175">
        <f t="shared" si="0"/>
        <v>2021</v>
      </c>
      <c r="B45" s="454" t="str">
        <f t="shared" si="1"/>
        <v>39</v>
      </c>
      <c r="C45" s="454" t="str">
        <f t="array" ref="C45">_xlfn.IFS(_xlfn.NUMBERVALUE(B45)&lt;=13,"Q1",AND(_xlfn.NUMBERVALUE(B45)&gt;13,_xlfn.NUMBERVALUE(B45)&lt;=26),"Q2", AND(_xlfn.NUMBERVALUE(B45)&gt;26,_xlfn.NUMBERVALUE(B45)&lt;=39),"Q3",_xlfn.NUMBERVALUE(B45)&gt;39,"Q4")</f>
        <v>Q3</v>
      </c>
      <c r="D45" s="448">
        <f t="shared" si="21"/>
        <v>44128</v>
      </c>
      <c r="E45" s="448">
        <f t="shared" si="2"/>
        <v>44134</v>
      </c>
      <c r="F45" s="480">
        <v>202039</v>
      </c>
      <c r="G45" s="180">
        <f t="shared" si="3"/>
        <v>0</v>
      </c>
      <c r="H45" s="429"/>
      <c r="I45" s="429"/>
      <c r="J45" s="474">
        <f t="shared" si="4"/>
        <v>0</v>
      </c>
      <c r="K45" s="474">
        <f t="shared" si="5"/>
        <v>0</v>
      </c>
      <c r="L45" s="481"/>
      <c r="M45" s="481"/>
      <c r="N45" s="481"/>
      <c r="O45" s="474">
        <f t="shared" si="6"/>
        <v>0</v>
      </c>
      <c r="P45" s="474">
        <f t="shared" si="7"/>
        <v>0</v>
      </c>
      <c r="Q45" s="474">
        <f t="shared" si="8"/>
        <v>0</v>
      </c>
      <c r="R45" s="449">
        <f>Forecast!J40</f>
        <v>0</v>
      </c>
      <c r="S45" s="449">
        <f>Forecast!N40</f>
        <v>0</v>
      </c>
      <c r="T45" s="475">
        <f t="shared" si="9"/>
        <v>0</v>
      </c>
      <c r="U45" s="475">
        <f t="shared" si="10"/>
        <v>0</v>
      </c>
      <c r="V45" s="349">
        <f t="shared" si="11"/>
        <v>0</v>
      </c>
      <c r="W45" s="350">
        <f t="shared" si="12"/>
        <v>0</v>
      </c>
      <c r="X45" s="469">
        <f>'Channel &amp; Campaign Metrics'!AR44</f>
        <v>0</v>
      </c>
      <c r="Y45" s="469">
        <f>'Channel &amp; Campaign Metrics'!BS44</f>
        <v>0</v>
      </c>
      <c r="Z45" s="430"/>
      <c r="AA45" s="111"/>
      <c r="AB45" s="358">
        <f>'Glass Metrics'!AC45</f>
        <v>0</v>
      </c>
      <c r="AC45" s="475">
        <f>'Glass Metrics'!I45</f>
        <v>0</v>
      </c>
      <c r="AD45" s="469">
        <f>'Glass Metrics'!N45</f>
        <v>0</v>
      </c>
      <c r="AE45" s="475">
        <f>'Glass Metrics'!S45</f>
        <v>0</v>
      </c>
      <c r="AF45" s="359" t="str">
        <f t="shared" si="13"/>
        <v/>
      </c>
      <c r="AG45" s="477" t="str">
        <f t="shared" si="14"/>
        <v/>
      </c>
      <c r="AH45" s="472" t="str">
        <f t="shared" si="15"/>
        <v/>
      </c>
      <c r="AI45" s="360" t="str">
        <f t="shared" si="16"/>
        <v/>
      </c>
      <c r="AJ45" s="361"/>
      <c r="AK45" s="482"/>
      <c r="AL45" s="482"/>
      <c r="AM45" s="482"/>
      <c r="AN45" s="482"/>
      <c r="AO45" s="370">
        <f t="shared" si="22"/>
        <v>0</v>
      </c>
      <c r="AP45" s="361"/>
      <c r="AQ45" s="482"/>
      <c r="AR45" s="482"/>
      <c r="AS45" s="370">
        <f t="shared" si="23"/>
        <v>0</v>
      </c>
      <c r="AT45" s="118"/>
      <c r="AU45" s="483"/>
      <c r="AV45" s="484">
        <f t="shared" si="19"/>
        <v>0</v>
      </c>
      <c r="AW45" s="484"/>
      <c r="AX45" s="484"/>
      <c r="AY45" s="380"/>
      <c r="AZ45" s="175"/>
      <c r="BA45" s="454"/>
      <c r="BB45" s="79"/>
      <c r="BC45" s="79"/>
      <c r="BD45" s="79"/>
      <c r="BE45" s="79"/>
      <c r="BF45" s="485"/>
      <c r="BG45" s="485"/>
      <c r="BH45" s="485"/>
      <c r="BI45" s="485"/>
      <c r="BJ45" s="485"/>
      <c r="BK45" s="389"/>
      <c r="BL45" s="125"/>
      <c r="BM45" s="92"/>
      <c r="BN45" s="386">
        <f t="shared" si="20"/>
        <v>0</v>
      </c>
    </row>
    <row r="46" spans="1:66" s="89" customFormat="1" ht="16.350000000000001" customHeight="1">
      <c r="A46" s="175">
        <f t="shared" si="0"/>
        <v>2021</v>
      </c>
      <c r="B46" s="454" t="str">
        <f t="shared" si="1"/>
        <v>40</v>
      </c>
      <c r="C46" s="454" t="str">
        <f t="array" ref="C46">_xlfn.IFS(_xlfn.NUMBERVALUE(B46)&lt;=13,"Q1",AND(_xlfn.NUMBERVALUE(B46)&gt;13,_xlfn.NUMBERVALUE(B46)&lt;=26),"Q2", AND(_xlfn.NUMBERVALUE(B46)&gt;26,_xlfn.NUMBERVALUE(B46)&lt;=39),"Q3",_xlfn.NUMBERVALUE(B46)&gt;39,"Q4")</f>
        <v>Q4</v>
      </c>
      <c r="D46" s="448">
        <f t="shared" si="21"/>
        <v>44135</v>
      </c>
      <c r="E46" s="448">
        <f t="shared" si="2"/>
        <v>44141</v>
      </c>
      <c r="F46" s="480">
        <v>202040</v>
      </c>
      <c r="G46" s="180">
        <f t="shared" si="3"/>
        <v>0</v>
      </c>
      <c r="H46" s="429"/>
      <c r="I46" s="429"/>
      <c r="J46" s="474">
        <f t="shared" si="4"/>
        <v>0</v>
      </c>
      <c r="K46" s="474">
        <f t="shared" si="5"/>
        <v>0</v>
      </c>
      <c r="L46" s="481"/>
      <c r="M46" s="481"/>
      <c r="N46" s="481"/>
      <c r="O46" s="474">
        <f t="shared" si="6"/>
        <v>0</v>
      </c>
      <c r="P46" s="474">
        <f t="shared" si="7"/>
        <v>0</v>
      </c>
      <c r="Q46" s="474">
        <f t="shared" si="8"/>
        <v>0</v>
      </c>
      <c r="R46" s="449">
        <f>Forecast!J41</f>
        <v>0</v>
      </c>
      <c r="S46" s="449">
        <f>Forecast!N41</f>
        <v>0</v>
      </c>
      <c r="T46" s="475">
        <f t="shared" si="9"/>
        <v>0</v>
      </c>
      <c r="U46" s="475">
        <f t="shared" si="10"/>
        <v>0</v>
      </c>
      <c r="V46" s="349">
        <f t="shared" si="11"/>
        <v>0</v>
      </c>
      <c r="W46" s="350">
        <f t="shared" si="12"/>
        <v>0</v>
      </c>
      <c r="X46" s="469">
        <f>'Channel &amp; Campaign Metrics'!AR45</f>
        <v>0</v>
      </c>
      <c r="Y46" s="469">
        <f>'Channel &amp; Campaign Metrics'!BS45</f>
        <v>0</v>
      </c>
      <c r="Z46" s="430"/>
      <c r="AA46" s="111"/>
      <c r="AB46" s="358">
        <f>'Glass Metrics'!AC46</f>
        <v>0</v>
      </c>
      <c r="AC46" s="475">
        <f>'Glass Metrics'!I46</f>
        <v>0</v>
      </c>
      <c r="AD46" s="469">
        <f>'Glass Metrics'!N46</f>
        <v>0</v>
      </c>
      <c r="AE46" s="475">
        <f>'Glass Metrics'!S46</f>
        <v>0</v>
      </c>
      <c r="AF46" s="359" t="str">
        <f t="shared" si="13"/>
        <v/>
      </c>
      <c r="AG46" s="477" t="str">
        <f t="shared" si="14"/>
        <v/>
      </c>
      <c r="AH46" s="472" t="str">
        <f t="shared" si="15"/>
        <v/>
      </c>
      <c r="AI46" s="360" t="str">
        <f t="shared" si="16"/>
        <v/>
      </c>
      <c r="AJ46" s="361"/>
      <c r="AK46" s="482"/>
      <c r="AL46" s="482"/>
      <c r="AM46" s="482"/>
      <c r="AN46" s="482"/>
      <c r="AO46" s="370">
        <f t="shared" si="22"/>
        <v>0</v>
      </c>
      <c r="AP46" s="361"/>
      <c r="AQ46" s="482"/>
      <c r="AR46" s="482"/>
      <c r="AS46" s="370">
        <f t="shared" si="23"/>
        <v>0</v>
      </c>
      <c r="AT46" s="118"/>
      <c r="AU46" s="483"/>
      <c r="AV46" s="484">
        <f t="shared" si="19"/>
        <v>0</v>
      </c>
      <c r="AW46" s="484"/>
      <c r="AX46" s="484"/>
      <c r="AY46" s="380"/>
      <c r="AZ46" s="175"/>
      <c r="BA46" s="454"/>
      <c r="BB46" s="79"/>
      <c r="BC46" s="79"/>
      <c r="BD46" s="79"/>
      <c r="BE46" s="79"/>
      <c r="BF46" s="485"/>
      <c r="BG46" s="485"/>
      <c r="BH46" s="485"/>
      <c r="BI46" s="485"/>
      <c r="BJ46" s="485"/>
      <c r="BK46" s="389"/>
      <c r="BL46" s="125"/>
      <c r="BM46" s="92"/>
      <c r="BN46" s="386">
        <f t="shared" si="20"/>
        <v>0</v>
      </c>
    </row>
    <row r="47" spans="1:66" s="89" customFormat="1" ht="16.350000000000001" customHeight="1">
      <c r="A47" s="175">
        <f t="shared" si="0"/>
        <v>2021</v>
      </c>
      <c r="B47" s="454" t="str">
        <f t="shared" si="1"/>
        <v>41</v>
      </c>
      <c r="C47" s="454" t="str">
        <f t="array" ref="C47">_xlfn.IFS(_xlfn.NUMBERVALUE(B47)&lt;=13,"Q1",AND(_xlfn.NUMBERVALUE(B47)&gt;13,_xlfn.NUMBERVALUE(B47)&lt;=26),"Q2", AND(_xlfn.NUMBERVALUE(B47)&gt;26,_xlfn.NUMBERVALUE(B47)&lt;=39),"Q3",_xlfn.NUMBERVALUE(B47)&gt;39,"Q4")</f>
        <v>Q4</v>
      </c>
      <c r="D47" s="448">
        <f t="shared" si="21"/>
        <v>44142</v>
      </c>
      <c r="E47" s="448">
        <f t="shared" si="2"/>
        <v>44148</v>
      </c>
      <c r="F47" s="480">
        <v>202041</v>
      </c>
      <c r="G47" s="180">
        <f t="shared" si="3"/>
        <v>0</v>
      </c>
      <c r="H47" s="488"/>
      <c r="I47" s="488"/>
      <c r="J47" s="474">
        <f t="shared" si="4"/>
        <v>0</v>
      </c>
      <c r="K47" s="474">
        <f t="shared" si="5"/>
        <v>0</v>
      </c>
      <c r="L47" s="489"/>
      <c r="M47" s="489"/>
      <c r="N47" s="489"/>
      <c r="O47" s="474">
        <f t="shared" si="6"/>
        <v>0</v>
      </c>
      <c r="P47" s="474">
        <f t="shared" si="7"/>
        <v>0</v>
      </c>
      <c r="Q47" s="474">
        <f t="shared" si="8"/>
        <v>0</v>
      </c>
      <c r="R47" s="449">
        <f>Forecast!J42</f>
        <v>0</v>
      </c>
      <c r="S47" s="449">
        <f>Forecast!N42</f>
        <v>0</v>
      </c>
      <c r="T47" s="475">
        <f t="shared" si="9"/>
        <v>0</v>
      </c>
      <c r="U47" s="475">
        <f t="shared" si="10"/>
        <v>0</v>
      </c>
      <c r="V47" s="349">
        <f t="shared" si="11"/>
        <v>0</v>
      </c>
      <c r="W47" s="350">
        <f t="shared" si="12"/>
        <v>0</v>
      </c>
      <c r="X47" s="469">
        <f>'Channel &amp; Campaign Metrics'!AR46</f>
        <v>0</v>
      </c>
      <c r="Y47" s="469">
        <f>'Channel &amp; Campaign Metrics'!BS46</f>
        <v>0</v>
      </c>
      <c r="Z47" s="430"/>
      <c r="AA47" s="111"/>
      <c r="AB47" s="358">
        <f>'Glass Metrics'!AC47</f>
        <v>0</v>
      </c>
      <c r="AC47" s="475">
        <f>'Glass Metrics'!I47</f>
        <v>0</v>
      </c>
      <c r="AD47" s="469">
        <f>'Glass Metrics'!N47</f>
        <v>0</v>
      </c>
      <c r="AE47" s="475">
        <f>'Glass Metrics'!S47</f>
        <v>0</v>
      </c>
      <c r="AF47" s="359" t="str">
        <f t="shared" si="13"/>
        <v/>
      </c>
      <c r="AG47" s="477" t="str">
        <f t="shared" si="14"/>
        <v/>
      </c>
      <c r="AH47" s="472" t="str">
        <f t="shared" si="15"/>
        <v/>
      </c>
      <c r="AI47" s="360" t="str">
        <f t="shared" si="16"/>
        <v/>
      </c>
      <c r="AJ47" s="361"/>
      <c r="AK47" s="482"/>
      <c r="AL47" s="482"/>
      <c r="AM47" s="482"/>
      <c r="AN47" s="482"/>
      <c r="AO47" s="370">
        <f t="shared" si="22"/>
        <v>0</v>
      </c>
      <c r="AP47" s="361"/>
      <c r="AQ47" s="482"/>
      <c r="AR47" s="482"/>
      <c r="AS47" s="370">
        <f t="shared" si="23"/>
        <v>0</v>
      </c>
      <c r="AT47" s="119"/>
      <c r="AU47" s="490"/>
      <c r="AV47" s="491">
        <f t="shared" si="19"/>
        <v>0</v>
      </c>
      <c r="AW47" s="491"/>
      <c r="AX47" s="491"/>
      <c r="AY47" s="381"/>
      <c r="AZ47" s="175"/>
      <c r="BA47" s="454"/>
      <c r="BB47" s="79"/>
      <c r="BC47" s="79"/>
      <c r="BD47" s="79"/>
      <c r="BE47" s="79"/>
      <c r="BF47" s="485"/>
      <c r="BG47" s="485"/>
      <c r="BH47" s="485"/>
      <c r="BI47" s="485"/>
      <c r="BJ47" s="485"/>
      <c r="BK47" s="389"/>
      <c r="BL47" s="125"/>
      <c r="BM47" s="92"/>
      <c r="BN47" s="386">
        <f t="shared" si="20"/>
        <v>0</v>
      </c>
    </row>
    <row r="48" spans="1:66" s="89" customFormat="1" ht="15.6" customHeight="1">
      <c r="A48" s="175">
        <f t="shared" si="0"/>
        <v>2021</v>
      </c>
      <c r="B48" s="454" t="str">
        <f t="shared" si="1"/>
        <v>42</v>
      </c>
      <c r="C48" s="454" t="str">
        <f t="array" ref="C48">_xlfn.IFS(_xlfn.NUMBERVALUE(B48)&lt;=13,"Q1",AND(_xlfn.NUMBERVALUE(B48)&gt;13,_xlfn.NUMBERVALUE(B48)&lt;=26),"Q2", AND(_xlfn.NUMBERVALUE(B48)&gt;26,_xlfn.NUMBERVALUE(B48)&lt;=39),"Q3",_xlfn.NUMBERVALUE(B48)&gt;39,"Q4")</f>
        <v>Q4</v>
      </c>
      <c r="D48" s="448">
        <f t="shared" si="21"/>
        <v>44149</v>
      </c>
      <c r="E48" s="448">
        <f t="shared" si="2"/>
        <v>44155</v>
      </c>
      <c r="F48" s="480">
        <v>202042</v>
      </c>
      <c r="G48" s="180">
        <f t="shared" si="3"/>
        <v>0</v>
      </c>
      <c r="H48" s="488"/>
      <c r="I48" s="488"/>
      <c r="J48" s="474">
        <f t="shared" si="4"/>
        <v>0</v>
      </c>
      <c r="K48" s="474">
        <f t="shared" si="5"/>
        <v>0</v>
      </c>
      <c r="L48" s="489"/>
      <c r="M48" s="489"/>
      <c r="N48" s="489"/>
      <c r="O48" s="474">
        <f t="shared" si="6"/>
        <v>0</v>
      </c>
      <c r="P48" s="474">
        <f t="shared" si="7"/>
        <v>0</v>
      </c>
      <c r="Q48" s="474">
        <f t="shared" si="8"/>
        <v>0</v>
      </c>
      <c r="R48" s="449">
        <f>Forecast!J43</f>
        <v>0</v>
      </c>
      <c r="S48" s="449">
        <f>Forecast!N43</f>
        <v>0</v>
      </c>
      <c r="T48" s="475">
        <f t="shared" si="9"/>
        <v>0</v>
      </c>
      <c r="U48" s="475">
        <f t="shared" si="10"/>
        <v>0</v>
      </c>
      <c r="V48" s="349">
        <f t="shared" si="11"/>
        <v>0</v>
      </c>
      <c r="W48" s="350">
        <f t="shared" si="12"/>
        <v>0</v>
      </c>
      <c r="X48" s="469">
        <f>'Channel &amp; Campaign Metrics'!AR47</f>
        <v>0</v>
      </c>
      <c r="Y48" s="469">
        <f>'Channel &amp; Campaign Metrics'!BS47</f>
        <v>0</v>
      </c>
      <c r="Z48" s="430"/>
      <c r="AA48" s="111"/>
      <c r="AB48" s="358">
        <f>'Glass Metrics'!AC48</f>
        <v>0</v>
      </c>
      <c r="AC48" s="475">
        <f>'Glass Metrics'!I48</f>
        <v>0</v>
      </c>
      <c r="AD48" s="469">
        <f>'Glass Metrics'!N48</f>
        <v>0</v>
      </c>
      <c r="AE48" s="475">
        <f>'Glass Metrics'!S48</f>
        <v>0</v>
      </c>
      <c r="AF48" s="359" t="str">
        <f t="shared" si="13"/>
        <v/>
      </c>
      <c r="AG48" s="477" t="str">
        <f t="shared" si="14"/>
        <v/>
      </c>
      <c r="AH48" s="472" t="str">
        <f t="shared" si="15"/>
        <v/>
      </c>
      <c r="AI48" s="360" t="str">
        <f t="shared" si="16"/>
        <v/>
      </c>
      <c r="AJ48" s="361"/>
      <c r="AK48" s="482"/>
      <c r="AL48" s="482"/>
      <c r="AM48" s="482"/>
      <c r="AN48" s="482"/>
      <c r="AO48" s="370">
        <f t="shared" si="22"/>
        <v>0</v>
      </c>
      <c r="AP48" s="361"/>
      <c r="AQ48" s="482"/>
      <c r="AR48" s="482"/>
      <c r="AS48" s="370">
        <f t="shared" si="23"/>
        <v>0</v>
      </c>
      <c r="AT48" s="119"/>
      <c r="AU48" s="490"/>
      <c r="AV48" s="491">
        <f t="shared" si="19"/>
        <v>0</v>
      </c>
      <c r="AW48" s="491"/>
      <c r="AX48" s="491"/>
      <c r="AY48" s="381"/>
      <c r="AZ48" s="175"/>
      <c r="BA48" s="454"/>
      <c r="BB48" s="79"/>
      <c r="BC48" s="79"/>
      <c r="BD48" s="79"/>
      <c r="BE48" s="79"/>
      <c r="BF48" s="485"/>
      <c r="BG48" s="485"/>
      <c r="BH48" s="485"/>
      <c r="BI48" s="485"/>
      <c r="BJ48" s="485"/>
      <c r="BK48" s="389"/>
      <c r="BL48" s="125"/>
      <c r="BM48" s="92"/>
      <c r="BN48" s="386">
        <f t="shared" si="20"/>
        <v>0</v>
      </c>
    </row>
    <row r="49" spans="1:67" s="89" customFormat="1" ht="15.6" customHeight="1">
      <c r="A49" s="175">
        <f t="shared" si="0"/>
        <v>2021</v>
      </c>
      <c r="B49" s="454" t="str">
        <f t="shared" si="1"/>
        <v>43</v>
      </c>
      <c r="C49" s="454" t="str">
        <f t="array" ref="C49">_xlfn.IFS(_xlfn.NUMBERVALUE(B49)&lt;=13,"Q1",AND(_xlfn.NUMBERVALUE(B49)&gt;13,_xlfn.NUMBERVALUE(B49)&lt;=26),"Q2", AND(_xlfn.NUMBERVALUE(B49)&gt;26,_xlfn.NUMBERVALUE(B49)&lt;=39),"Q3",_xlfn.NUMBERVALUE(B49)&gt;39,"Q4")</f>
        <v>Q4</v>
      </c>
      <c r="D49" s="448">
        <f t="shared" si="21"/>
        <v>44156</v>
      </c>
      <c r="E49" s="448">
        <f t="shared" si="2"/>
        <v>44162</v>
      </c>
      <c r="F49" s="480">
        <v>202043</v>
      </c>
      <c r="G49" s="180">
        <f t="shared" si="3"/>
        <v>0</v>
      </c>
      <c r="H49" s="429"/>
      <c r="I49" s="429"/>
      <c r="J49" s="474">
        <f t="shared" si="4"/>
        <v>0</v>
      </c>
      <c r="K49" s="474">
        <f t="shared" si="5"/>
        <v>0</v>
      </c>
      <c r="L49" s="481"/>
      <c r="M49" s="481"/>
      <c r="N49" s="481"/>
      <c r="O49" s="474">
        <f t="shared" si="6"/>
        <v>0</v>
      </c>
      <c r="P49" s="474">
        <f t="shared" si="7"/>
        <v>0</v>
      </c>
      <c r="Q49" s="474">
        <f t="shared" si="8"/>
        <v>0</v>
      </c>
      <c r="R49" s="449">
        <f>Forecast!J44</f>
        <v>0</v>
      </c>
      <c r="S49" s="449">
        <f>Forecast!N44</f>
        <v>0</v>
      </c>
      <c r="T49" s="475">
        <f t="shared" si="9"/>
        <v>0</v>
      </c>
      <c r="U49" s="475">
        <f t="shared" si="10"/>
        <v>0</v>
      </c>
      <c r="V49" s="349">
        <f t="shared" si="11"/>
        <v>0</v>
      </c>
      <c r="W49" s="350">
        <f t="shared" si="12"/>
        <v>0</v>
      </c>
      <c r="X49" s="469">
        <f>'Channel &amp; Campaign Metrics'!AR48</f>
        <v>0</v>
      </c>
      <c r="Y49" s="469">
        <f>'Channel &amp; Campaign Metrics'!BS48</f>
        <v>0</v>
      </c>
      <c r="Z49" s="430"/>
      <c r="AA49" s="111"/>
      <c r="AB49" s="358">
        <f>'Glass Metrics'!AC49</f>
        <v>0</v>
      </c>
      <c r="AC49" s="475">
        <f>'Glass Metrics'!I49</f>
        <v>0</v>
      </c>
      <c r="AD49" s="469">
        <f>'Glass Metrics'!N49</f>
        <v>0</v>
      </c>
      <c r="AE49" s="475">
        <f>'Glass Metrics'!S49</f>
        <v>0</v>
      </c>
      <c r="AF49" s="359" t="str">
        <f t="shared" si="13"/>
        <v/>
      </c>
      <c r="AG49" s="477" t="str">
        <f t="shared" si="14"/>
        <v/>
      </c>
      <c r="AH49" s="472" t="str">
        <f t="shared" si="15"/>
        <v/>
      </c>
      <c r="AI49" s="360" t="str">
        <f t="shared" si="16"/>
        <v/>
      </c>
      <c r="AJ49" s="361"/>
      <c r="AK49" s="482"/>
      <c r="AL49" s="482"/>
      <c r="AM49" s="482"/>
      <c r="AN49" s="482"/>
      <c r="AO49" s="370">
        <f t="shared" si="22"/>
        <v>0</v>
      </c>
      <c r="AP49" s="361"/>
      <c r="AQ49" s="482"/>
      <c r="AR49" s="482"/>
      <c r="AS49" s="370">
        <f t="shared" si="23"/>
        <v>0</v>
      </c>
      <c r="AT49" s="118"/>
      <c r="AU49" s="483"/>
      <c r="AV49" s="484">
        <f t="shared" si="19"/>
        <v>0</v>
      </c>
      <c r="AW49" s="484"/>
      <c r="AX49" s="484"/>
      <c r="AY49" s="380"/>
      <c r="AZ49" s="175"/>
      <c r="BA49" s="454"/>
      <c r="BB49" s="79"/>
      <c r="BC49" s="79"/>
      <c r="BD49" s="79"/>
      <c r="BE49" s="79"/>
      <c r="BF49" s="485"/>
      <c r="BG49" s="485"/>
      <c r="BH49" s="485"/>
      <c r="BI49" s="485"/>
      <c r="BJ49" s="485"/>
      <c r="BK49" s="389"/>
      <c r="BL49" s="125"/>
      <c r="BM49" s="92"/>
      <c r="BN49" s="386">
        <f t="shared" si="20"/>
        <v>0</v>
      </c>
    </row>
    <row r="50" spans="1:67" s="89" customFormat="1" ht="15.6" customHeight="1">
      <c r="A50" s="175">
        <f t="shared" si="0"/>
        <v>2021</v>
      </c>
      <c r="B50" s="454" t="str">
        <f t="shared" si="1"/>
        <v>44</v>
      </c>
      <c r="C50" s="454" t="str">
        <f t="array" ref="C50">_xlfn.IFS(_xlfn.NUMBERVALUE(B50)&lt;=13,"Q1",AND(_xlfn.NUMBERVALUE(B50)&gt;13,_xlfn.NUMBERVALUE(B50)&lt;=26),"Q2", AND(_xlfn.NUMBERVALUE(B50)&gt;26,_xlfn.NUMBERVALUE(B50)&lt;=39),"Q3",_xlfn.NUMBERVALUE(B50)&gt;39,"Q4")</f>
        <v>Q4</v>
      </c>
      <c r="D50" s="448">
        <f t="shared" si="21"/>
        <v>44163</v>
      </c>
      <c r="E50" s="448">
        <f t="shared" si="2"/>
        <v>44169</v>
      </c>
      <c r="F50" s="480">
        <v>202044</v>
      </c>
      <c r="G50" s="180">
        <f t="shared" si="3"/>
        <v>0</v>
      </c>
      <c r="H50" s="429"/>
      <c r="I50" s="429"/>
      <c r="J50" s="474">
        <f t="shared" si="4"/>
        <v>0</v>
      </c>
      <c r="K50" s="474">
        <f t="shared" si="5"/>
        <v>0</v>
      </c>
      <c r="L50" s="481"/>
      <c r="M50" s="481"/>
      <c r="N50" s="481"/>
      <c r="O50" s="474">
        <f t="shared" si="6"/>
        <v>0</v>
      </c>
      <c r="P50" s="474">
        <f t="shared" si="7"/>
        <v>0</v>
      </c>
      <c r="Q50" s="474">
        <f t="shared" si="8"/>
        <v>0</v>
      </c>
      <c r="R50" s="449">
        <f>Forecast!J45</f>
        <v>0</v>
      </c>
      <c r="S50" s="449">
        <f>Forecast!N45</f>
        <v>0</v>
      </c>
      <c r="T50" s="475">
        <f t="shared" si="9"/>
        <v>0</v>
      </c>
      <c r="U50" s="475">
        <f t="shared" si="10"/>
        <v>0</v>
      </c>
      <c r="V50" s="349">
        <f t="shared" si="11"/>
        <v>0</v>
      </c>
      <c r="W50" s="350">
        <f t="shared" si="12"/>
        <v>0</v>
      </c>
      <c r="X50" s="469">
        <f>'Channel &amp; Campaign Metrics'!AR49</f>
        <v>0</v>
      </c>
      <c r="Y50" s="469">
        <f>'Channel &amp; Campaign Metrics'!BS49</f>
        <v>0</v>
      </c>
      <c r="Z50" s="430"/>
      <c r="AA50" s="111"/>
      <c r="AB50" s="358">
        <f>'Glass Metrics'!AC50</f>
        <v>0</v>
      </c>
      <c r="AC50" s="475">
        <f>'Glass Metrics'!I50</f>
        <v>0</v>
      </c>
      <c r="AD50" s="469">
        <f>'Glass Metrics'!N50</f>
        <v>0</v>
      </c>
      <c r="AE50" s="475">
        <f>'Glass Metrics'!S50</f>
        <v>0</v>
      </c>
      <c r="AF50" s="359" t="str">
        <f t="shared" si="13"/>
        <v/>
      </c>
      <c r="AG50" s="477" t="str">
        <f t="shared" si="14"/>
        <v/>
      </c>
      <c r="AH50" s="472" t="str">
        <f t="shared" si="15"/>
        <v/>
      </c>
      <c r="AI50" s="360" t="str">
        <f t="shared" si="16"/>
        <v/>
      </c>
      <c r="AJ50" s="361"/>
      <c r="AK50" s="482"/>
      <c r="AL50" s="482"/>
      <c r="AM50" s="482"/>
      <c r="AN50" s="482"/>
      <c r="AO50" s="370">
        <f t="shared" si="22"/>
        <v>0</v>
      </c>
      <c r="AP50" s="361"/>
      <c r="AQ50" s="482"/>
      <c r="AR50" s="482"/>
      <c r="AS50" s="370">
        <f t="shared" si="23"/>
        <v>0</v>
      </c>
      <c r="AT50" s="118"/>
      <c r="AU50" s="483"/>
      <c r="AV50" s="484">
        <f t="shared" si="19"/>
        <v>0</v>
      </c>
      <c r="AW50" s="484"/>
      <c r="AX50" s="484"/>
      <c r="AY50" s="380"/>
      <c r="AZ50" s="175"/>
      <c r="BA50" s="454"/>
      <c r="BB50" s="79"/>
      <c r="BC50" s="79"/>
      <c r="BD50" s="79"/>
      <c r="BE50" s="79"/>
      <c r="BF50" s="485"/>
      <c r="BG50" s="485"/>
      <c r="BH50" s="485"/>
      <c r="BI50" s="485"/>
      <c r="BJ50" s="485"/>
      <c r="BK50" s="389"/>
      <c r="BL50" s="125"/>
      <c r="BM50" s="92"/>
      <c r="BN50" s="386">
        <f t="shared" si="20"/>
        <v>0</v>
      </c>
    </row>
    <row r="51" spans="1:67" s="89" customFormat="1" ht="15.6" customHeight="1">
      <c r="A51" s="175">
        <f t="shared" si="0"/>
        <v>2021</v>
      </c>
      <c r="B51" s="454" t="str">
        <f t="shared" si="1"/>
        <v>45</v>
      </c>
      <c r="C51" s="454" t="str">
        <f t="array" ref="C51">_xlfn.IFS(_xlfn.NUMBERVALUE(B51)&lt;=13,"Q1",AND(_xlfn.NUMBERVALUE(B51)&gt;13,_xlfn.NUMBERVALUE(B51)&lt;=26),"Q2", AND(_xlfn.NUMBERVALUE(B51)&gt;26,_xlfn.NUMBERVALUE(B51)&lt;=39),"Q3",_xlfn.NUMBERVALUE(B51)&gt;39,"Q4")</f>
        <v>Q4</v>
      </c>
      <c r="D51" s="448">
        <f t="shared" si="21"/>
        <v>44170</v>
      </c>
      <c r="E51" s="448">
        <f t="shared" si="2"/>
        <v>44176</v>
      </c>
      <c r="F51" s="480">
        <v>202045</v>
      </c>
      <c r="G51" s="180">
        <f t="shared" si="3"/>
        <v>0</v>
      </c>
      <c r="H51" s="429"/>
      <c r="I51" s="429"/>
      <c r="J51" s="474">
        <f t="shared" si="4"/>
        <v>0</v>
      </c>
      <c r="K51" s="474">
        <f t="shared" si="5"/>
        <v>0</v>
      </c>
      <c r="L51" s="481"/>
      <c r="M51" s="481"/>
      <c r="N51" s="481"/>
      <c r="O51" s="474">
        <f t="shared" si="6"/>
        <v>0</v>
      </c>
      <c r="P51" s="474">
        <f t="shared" si="7"/>
        <v>0</v>
      </c>
      <c r="Q51" s="474">
        <f t="shared" si="8"/>
        <v>0</v>
      </c>
      <c r="R51" s="449">
        <f>Forecast!J46</f>
        <v>0</v>
      </c>
      <c r="S51" s="449">
        <f>Forecast!N46</f>
        <v>0</v>
      </c>
      <c r="T51" s="475">
        <f t="shared" si="9"/>
        <v>0</v>
      </c>
      <c r="U51" s="475">
        <f t="shared" si="10"/>
        <v>0</v>
      </c>
      <c r="V51" s="349">
        <f t="shared" si="11"/>
        <v>0</v>
      </c>
      <c r="W51" s="350">
        <f t="shared" si="12"/>
        <v>0</v>
      </c>
      <c r="X51" s="469">
        <f>'Channel &amp; Campaign Metrics'!AR50</f>
        <v>0</v>
      </c>
      <c r="Y51" s="469">
        <f>'Channel &amp; Campaign Metrics'!BS50</f>
        <v>0</v>
      </c>
      <c r="Z51" s="430"/>
      <c r="AA51" s="111"/>
      <c r="AB51" s="358">
        <f>'Glass Metrics'!AC51</f>
        <v>0</v>
      </c>
      <c r="AC51" s="475">
        <f>'Glass Metrics'!I51</f>
        <v>0</v>
      </c>
      <c r="AD51" s="469">
        <f>'Glass Metrics'!N51</f>
        <v>0</v>
      </c>
      <c r="AE51" s="475">
        <f>'Glass Metrics'!S51</f>
        <v>0</v>
      </c>
      <c r="AF51" s="359" t="str">
        <f t="shared" si="13"/>
        <v/>
      </c>
      <c r="AG51" s="477" t="str">
        <f t="shared" si="14"/>
        <v/>
      </c>
      <c r="AH51" s="472" t="str">
        <f t="shared" si="15"/>
        <v/>
      </c>
      <c r="AI51" s="360" t="str">
        <f t="shared" si="16"/>
        <v/>
      </c>
      <c r="AJ51" s="361"/>
      <c r="AK51" s="482"/>
      <c r="AL51" s="482"/>
      <c r="AM51" s="482"/>
      <c r="AN51" s="482"/>
      <c r="AO51" s="370">
        <f t="shared" si="22"/>
        <v>0</v>
      </c>
      <c r="AP51" s="361"/>
      <c r="AQ51" s="482"/>
      <c r="AR51" s="482"/>
      <c r="AS51" s="370">
        <f t="shared" si="23"/>
        <v>0</v>
      </c>
      <c r="AT51" s="118"/>
      <c r="AU51" s="483"/>
      <c r="AV51" s="484">
        <f t="shared" si="19"/>
        <v>0</v>
      </c>
      <c r="AW51" s="484"/>
      <c r="AX51" s="484"/>
      <c r="AY51" s="380"/>
      <c r="AZ51" s="175"/>
      <c r="BA51" s="454"/>
      <c r="BB51" s="79"/>
      <c r="BC51" s="79"/>
      <c r="BD51" s="79"/>
      <c r="BE51" s="79"/>
      <c r="BF51" s="485"/>
      <c r="BG51" s="485"/>
      <c r="BH51" s="485"/>
      <c r="BI51" s="485"/>
      <c r="BJ51" s="485"/>
      <c r="BK51" s="389"/>
      <c r="BL51" s="125"/>
      <c r="BM51" s="92"/>
      <c r="BN51" s="386">
        <f t="shared" si="20"/>
        <v>0</v>
      </c>
    </row>
    <row r="52" spans="1:67" s="89" customFormat="1" ht="15.6" customHeight="1">
      <c r="A52" s="175">
        <f t="shared" si="0"/>
        <v>2021</v>
      </c>
      <c r="B52" s="454" t="str">
        <f t="shared" si="1"/>
        <v>46</v>
      </c>
      <c r="C52" s="454" t="str">
        <f t="array" ref="C52">_xlfn.IFS(_xlfn.NUMBERVALUE(B52)&lt;=13,"Q1",AND(_xlfn.NUMBERVALUE(B52)&gt;13,_xlfn.NUMBERVALUE(B52)&lt;=26),"Q2", AND(_xlfn.NUMBERVALUE(B52)&gt;26,_xlfn.NUMBERVALUE(B52)&lt;=39),"Q3",_xlfn.NUMBERVALUE(B52)&gt;39,"Q4")</f>
        <v>Q4</v>
      </c>
      <c r="D52" s="448">
        <f t="shared" si="21"/>
        <v>44177</v>
      </c>
      <c r="E52" s="448">
        <f t="shared" si="2"/>
        <v>44183</v>
      </c>
      <c r="F52" s="480">
        <v>202046</v>
      </c>
      <c r="G52" s="180">
        <f t="shared" si="3"/>
        <v>0</v>
      </c>
      <c r="H52" s="429"/>
      <c r="I52" s="429"/>
      <c r="J52" s="474">
        <f t="shared" si="4"/>
        <v>0</v>
      </c>
      <c r="K52" s="474">
        <f t="shared" si="5"/>
        <v>0</v>
      </c>
      <c r="L52" s="481"/>
      <c r="M52" s="481"/>
      <c r="N52" s="481"/>
      <c r="O52" s="474">
        <f t="shared" si="6"/>
        <v>0</v>
      </c>
      <c r="P52" s="474">
        <f t="shared" si="7"/>
        <v>0</v>
      </c>
      <c r="Q52" s="474">
        <f t="shared" si="8"/>
        <v>0</v>
      </c>
      <c r="R52" s="449">
        <f>Forecast!J47</f>
        <v>0</v>
      </c>
      <c r="S52" s="449">
        <f>Forecast!N47</f>
        <v>0</v>
      </c>
      <c r="T52" s="475">
        <f t="shared" si="9"/>
        <v>0</v>
      </c>
      <c r="U52" s="475">
        <f t="shared" si="10"/>
        <v>0</v>
      </c>
      <c r="V52" s="349">
        <f t="shared" si="11"/>
        <v>0</v>
      </c>
      <c r="W52" s="350">
        <f t="shared" si="12"/>
        <v>0</v>
      </c>
      <c r="X52" s="469">
        <f>'Channel &amp; Campaign Metrics'!AR51</f>
        <v>0</v>
      </c>
      <c r="Y52" s="469">
        <f>'Channel &amp; Campaign Metrics'!BS51</f>
        <v>0</v>
      </c>
      <c r="Z52" s="430"/>
      <c r="AA52" s="111"/>
      <c r="AB52" s="358">
        <f>'Glass Metrics'!AC52</f>
        <v>0</v>
      </c>
      <c r="AC52" s="475">
        <f>'Glass Metrics'!I52</f>
        <v>0</v>
      </c>
      <c r="AD52" s="469">
        <f>'Glass Metrics'!N52</f>
        <v>0</v>
      </c>
      <c r="AE52" s="475">
        <f>'Glass Metrics'!S52</f>
        <v>0</v>
      </c>
      <c r="AF52" s="359" t="str">
        <f t="shared" si="13"/>
        <v/>
      </c>
      <c r="AG52" s="477" t="str">
        <f t="shared" si="14"/>
        <v/>
      </c>
      <c r="AH52" s="472" t="str">
        <f t="shared" si="15"/>
        <v/>
      </c>
      <c r="AI52" s="360" t="str">
        <f t="shared" si="16"/>
        <v/>
      </c>
      <c r="AJ52" s="361"/>
      <c r="AK52" s="482"/>
      <c r="AL52" s="482"/>
      <c r="AM52" s="482"/>
      <c r="AN52" s="482"/>
      <c r="AO52" s="370">
        <f t="shared" si="22"/>
        <v>0</v>
      </c>
      <c r="AP52" s="361"/>
      <c r="AQ52" s="482"/>
      <c r="AR52" s="482"/>
      <c r="AS52" s="370">
        <f t="shared" si="23"/>
        <v>0</v>
      </c>
      <c r="AT52" s="118"/>
      <c r="AU52" s="483"/>
      <c r="AV52" s="484">
        <f t="shared" si="19"/>
        <v>0</v>
      </c>
      <c r="AW52" s="484"/>
      <c r="AX52" s="484"/>
      <c r="AY52" s="380"/>
      <c r="AZ52" s="175"/>
      <c r="BA52" s="454"/>
      <c r="BB52" s="79"/>
      <c r="BC52" s="79"/>
      <c r="BD52" s="79"/>
      <c r="BE52" s="79"/>
      <c r="BF52" s="485"/>
      <c r="BG52" s="485"/>
      <c r="BH52" s="485"/>
      <c r="BI52" s="485"/>
      <c r="BJ52" s="485"/>
      <c r="BK52" s="389"/>
      <c r="BL52" s="125"/>
      <c r="BM52" s="92"/>
      <c r="BN52" s="386">
        <f t="shared" si="20"/>
        <v>0</v>
      </c>
    </row>
    <row r="53" spans="1:67" s="89" customFormat="1" ht="15.6" customHeight="1">
      <c r="A53" s="175">
        <f t="shared" si="0"/>
        <v>2021</v>
      </c>
      <c r="B53" s="454" t="str">
        <f t="shared" si="1"/>
        <v>47</v>
      </c>
      <c r="C53" s="454" t="str">
        <f t="array" ref="C53">_xlfn.IFS(_xlfn.NUMBERVALUE(B53)&lt;=13,"Q1",AND(_xlfn.NUMBERVALUE(B53)&gt;13,_xlfn.NUMBERVALUE(B53)&lt;=26),"Q2", AND(_xlfn.NUMBERVALUE(B53)&gt;26,_xlfn.NUMBERVALUE(B53)&lt;=39),"Q3",_xlfn.NUMBERVALUE(B53)&gt;39,"Q4")</f>
        <v>Q4</v>
      </c>
      <c r="D53" s="448">
        <f t="shared" si="21"/>
        <v>44184</v>
      </c>
      <c r="E53" s="448">
        <f t="shared" si="2"/>
        <v>44190</v>
      </c>
      <c r="F53" s="480">
        <v>202047</v>
      </c>
      <c r="G53" s="180">
        <f t="shared" si="3"/>
        <v>0</v>
      </c>
      <c r="H53" s="429"/>
      <c r="I53" s="429"/>
      <c r="J53" s="474">
        <f t="shared" si="4"/>
        <v>0</v>
      </c>
      <c r="K53" s="474">
        <f t="shared" si="5"/>
        <v>0</v>
      </c>
      <c r="L53" s="481"/>
      <c r="M53" s="481"/>
      <c r="N53" s="481"/>
      <c r="O53" s="474">
        <f t="shared" si="6"/>
        <v>0</v>
      </c>
      <c r="P53" s="474">
        <f t="shared" si="7"/>
        <v>0</v>
      </c>
      <c r="Q53" s="474">
        <f t="shared" si="8"/>
        <v>0</v>
      </c>
      <c r="R53" s="449">
        <f>Forecast!J48</f>
        <v>0</v>
      </c>
      <c r="S53" s="449">
        <f>Forecast!N48</f>
        <v>0</v>
      </c>
      <c r="T53" s="475">
        <f t="shared" si="9"/>
        <v>0</v>
      </c>
      <c r="U53" s="475">
        <f t="shared" si="10"/>
        <v>0</v>
      </c>
      <c r="V53" s="349">
        <f t="shared" si="11"/>
        <v>0</v>
      </c>
      <c r="W53" s="350">
        <f t="shared" si="12"/>
        <v>0</v>
      </c>
      <c r="X53" s="469">
        <f>'Channel &amp; Campaign Metrics'!AR52</f>
        <v>0</v>
      </c>
      <c r="Y53" s="469">
        <f>'Channel &amp; Campaign Metrics'!BS52</f>
        <v>0</v>
      </c>
      <c r="Z53" s="430"/>
      <c r="AA53" s="111"/>
      <c r="AB53" s="358">
        <f>'Glass Metrics'!AC53</f>
        <v>0</v>
      </c>
      <c r="AC53" s="475">
        <f>'Glass Metrics'!I53</f>
        <v>0</v>
      </c>
      <c r="AD53" s="469">
        <f>'Glass Metrics'!N53</f>
        <v>0</v>
      </c>
      <c r="AE53" s="475">
        <f>'Glass Metrics'!S53</f>
        <v>0</v>
      </c>
      <c r="AF53" s="359" t="str">
        <f t="shared" si="13"/>
        <v/>
      </c>
      <c r="AG53" s="477" t="str">
        <f t="shared" si="14"/>
        <v/>
      </c>
      <c r="AH53" s="472" t="str">
        <f t="shared" si="15"/>
        <v/>
      </c>
      <c r="AI53" s="360" t="str">
        <f t="shared" si="16"/>
        <v/>
      </c>
      <c r="AJ53" s="361"/>
      <c r="AK53" s="482"/>
      <c r="AL53" s="482"/>
      <c r="AM53" s="482"/>
      <c r="AN53" s="482"/>
      <c r="AO53" s="370">
        <f t="shared" si="22"/>
        <v>0</v>
      </c>
      <c r="AP53" s="361"/>
      <c r="AQ53" s="482"/>
      <c r="AR53" s="482"/>
      <c r="AS53" s="370">
        <f t="shared" si="23"/>
        <v>0</v>
      </c>
      <c r="AT53" s="118"/>
      <c r="AU53" s="483"/>
      <c r="AV53" s="484">
        <f t="shared" si="19"/>
        <v>0</v>
      </c>
      <c r="AW53" s="484"/>
      <c r="AX53" s="484"/>
      <c r="AY53" s="380"/>
      <c r="AZ53" s="175"/>
      <c r="BA53" s="454"/>
      <c r="BB53" s="79"/>
      <c r="BC53" s="79"/>
      <c r="BD53" s="79"/>
      <c r="BE53" s="79"/>
      <c r="BF53" s="485"/>
      <c r="BG53" s="485"/>
      <c r="BH53" s="485"/>
      <c r="BI53" s="485"/>
      <c r="BJ53" s="485"/>
      <c r="BK53" s="389"/>
      <c r="BL53" s="125"/>
      <c r="BM53" s="92"/>
      <c r="BN53" s="386">
        <f t="shared" si="20"/>
        <v>0</v>
      </c>
    </row>
    <row r="54" spans="1:67" s="89" customFormat="1" ht="15.6" customHeight="1">
      <c r="A54" s="175">
        <f t="shared" si="0"/>
        <v>2021</v>
      </c>
      <c r="B54" s="454" t="str">
        <f t="shared" si="1"/>
        <v>48</v>
      </c>
      <c r="C54" s="454" t="str">
        <f t="array" ref="C54">_xlfn.IFS(_xlfn.NUMBERVALUE(B54)&lt;=13,"Q1",AND(_xlfn.NUMBERVALUE(B54)&gt;13,_xlfn.NUMBERVALUE(B54)&lt;=26),"Q2", AND(_xlfn.NUMBERVALUE(B54)&gt;26,_xlfn.NUMBERVALUE(B54)&lt;=39),"Q3",_xlfn.NUMBERVALUE(B54)&gt;39,"Q4")</f>
        <v>Q4</v>
      </c>
      <c r="D54" s="448">
        <f t="shared" si="21"/>
        <v>44191</v>
      </c>
      <c r="E54" s="448">
        <f t="shared" si="2"/>
        <v>44197</v>
      </c>
      <c r="F54" s="480">
        <v>202048</v>
      </c>
      <c r="G54" s="180">
        <f t="shared" si="3"/>
        <v>0</v>
      </c>
      <c r="H54" s="429"/>
      <c r="I54" s="429"/>
      <c r="J54" s="474">
        <f t="shared" si="4"/>
        <v>0</v>
      </c>
      <c r="K54" s="474">
        <f t="shared" si="5"/>
        <v>0</v>
      </c>
      <c r="L54" s="481"/>
      <c r="M54" s="481"/>
      <c r="N54" s="481"/>
      <c r="O54" s="474">
        <f t="shared" si="6"/>
        <v>0</v>
      </c>
      <c r="P54" s="474">
        <f t="shared" si="7"/>
        <v>0</v>
      </c>
      <c r="Q54" s="474">
        <f t="shared" si="8"/>
        <v>0</v>
      </c>
      <c r="R54" s="449">
        <f>Forecast!J49</f>
        <v>0</v>
      </c>
      <c r="S54" s="449">
        <f>Forecast!N49</f>
        <v>0</v>
      </c>
      <c r="T54" s="475">
        <f t="shared" si="9"/>
        <v>0</v>
      </c>
      <c r="U54" s="475">
        <f t="shared" si="10"/>
        <v>0</v>
      </c>
      <c r="V54" s="349">
        <f t="shared" si="11"/>
        <v>0</v>
      </c>
      <c r="W54" s="350">
        <f t="shared" si="12"/>
        <v>0</v>
      </c>
      <c r="X54" s="469">
        <f>'Channel &amp; Campaign Metrics'!AR53</f>
        <v>0</v>
      </c>
      <c r="Y54" s="469">
        <f>'Channel &amp; Campaign Metrics'!BS53</f>
        <v>0</v>
      </c>
      <c r="Z54" s="430"/>
      <c r="AA54" s="111"/>
      <c r="AB54" s="358">
        <f>'Glass Metrics'!AC54</f>
        <v>0</v>
      </c>
      <c r="AC54" s="475">
        <f>'Glass Metrics'!I54</f>
        <v>0</v>
      </c>
      <c r="AD54" s="469">
        <f>'Glass Metrics'!N54</f>
        <v>0</v>
      </c>
      <c r="AE54" s="475">
        <f>'Glass Metrics'!S54</f>
        <v>0</v>
      </c>
      <c r="AF54" s="359" t="str">
        <f t="shared" si="13"/>
        <v/>
      </c>
      <c r="AG54" s="477" t="str">
        <f t="shared" si="14"/>
        <v/>
      </c>
      <c r="AH54" s="472" t="str">
        <f t="shared" si="15"/>
        <v/>
      </c>
      <c r="AI54" s="360" t="str">
        <f t="shared" si="16"/>
        <v/>
      </c>
      <c r="AJ54" s="362"/>
      <c r="AK54" s="487"/>
      <c r="AL54" s="487"/>
      <c r="AM54" s="487"/>
      <c r="AN54" s="487"/>
      <c r="AO54" s="371">
        <f t="shared" si="22"/>
        <v>0</v>
      </c>
      <c r="AP54" s="361"/>
      <c r="AQ54" s="482"/>
      <c r="AR54" s="482"/>
      <c r="AS54" s="370">
        <f t="shared" si="23"/>
        <v>0</v>
      </c>
      <c r="AT54" s="118"/>
      <c r="AU54" s="483"/>
      <c r="AV54" s="484">
        <f t="shared" si="19"/>
        <v>0</v>
      </c>
      <c r="AW54" s="484"/>
      <c r="AX54" s="484"/>
      <c r="AY54" s="380"/>
      <c r="AZ54" s="175"/>
      <c r="BA54" s="454"/>
      <c r="BB54" s="79"/>
      <c r="BC54" s="79"/>
      <c r="BD54" s="79"/>
      <c r="BE54" s="79"/>
      <c r="BF54" s="485"/>
      <c r="BG54" s="485"/>
      <c r="BH54" s="485"/>
      <c r="BI54" s="485"/>
      <c r="BJ54" s="485"/>
      <c r="BK54" s="389"/>
      <c r="BL54" s="125"/>
      <c r="BM54" s="92"/>
      <c r="BN54" s="386">
        <f t="shared" si="20"/>
        <v>0</v>
      </c>
    </row>
    <row r="55" spans="1:67" s="89" customFormat="1" ht="15.6" customHeight="1">
      <c r="A55" s="175">
        <f t="shared" si="0"/>
        <v>2021</v>
      </c>
      <c r="B55" s="454" t="str">
        <f t="shared" si="1"/>
        <v>49</v>
      </c>
      <c r="C55" s="454" t="str">
        <f t="array" ref="C55">_xlfn.IFS(_xlfn.NUMBERVALUE(B55)&lt;=13,"Q1",AND(_xlfn.NUMBERVALUE(B55)&gt;13,_xlfn.NUMBERVALUE(B55)&lt;=26),"Q2", AND(_xlfn.NUMBERVALUE(B55)&gt;26,_xlfn.NUMBERVALUE(B55)&lt;=39),"Q3",_xlfn.NUMBERVALUE(B55)&gt;39,"Q4")</f>
        <v>Q4</v>
      </c>
      <c r="D55" s="448">
        <f t="shared" si="21"/>
        <v>44198</v>
      </c>
      <c r="E55" s="448">
        <f t="shared" si="2"/>
        <v>44204</v>
      </c>
      <c r="F55" s="480">
        <v>202049</v>
      </c>
      <c r="G55" s="180">
        <f t="shared" si="3"/>
        <v>0</v>
      </c>
      <c r="H55" s="429"/>
      <c r="I55" s="429"/>
      <c r="J55" s="474">
        <f t="shared" si="4"/>
        <v>0</v>
      </c>
      <c r="K55" s="474">
        <f t="shared" si="5"/>
        <v>0</v>
      </c>
      <c r="L55" s="481"/>
      <c r="M55" s="481"/>
      <c r="N55" s="481"/>
      <c r="O55" s="474">
        <f t="shared" si="6"/>
        <v>0</v>
      </c>
      <c r="P55" s="474">
        <f t="shared" si="7"/>
        <v>0</v>
      </c>
      <c r="Q55" s="474">
        <f t="shared" si="8"/>
        <v>0</v>
      </c>
      <c r="R55" s="449">
        <f>Forecast!J50</f>
        <v>0</v>
      </c>
      <c r="S55" s="449">
        <f>Forecast!N50</f>
        <v>0</v>
      </c>
      <c r="T55" s="475">
        <f t="shared" si="9"/>
        <v>0</v>
      </c>
      <c r="U55" s="475">
        <f t="shared" si="10"/>
        <v>0</v>
      </c>
      <c r="V55" s="349">
        <f t="shared" si="11"/>
        <v>0</v>
      </c>
      <c r="W55" s="350">
        <f t="shared" si="12"/>
        <v>0</v>
      </c>
      <c r="X55" s="469">
        <f>'Channel &amp; Campaign Metrics'!AR54</f>
        <v>0</v>
      </c>
      <c r="Y55" s="469">
        <f>'Channel &amp; Campaign Metrics'!BS54</f>
        <v>0</v>
      </c>
      <c r="Z55" s="430"/>
      <c r="AA55" s="111"/>
      <c r="AB55" s="358">
        <f>'Glass Metrics'!AC55</f>
        <v>0</v>
      </c>
      <c r="AC55" s="475">
        <f>'Glass Metrics'!I55</f>
        <v>0</v>
      </c>
      <c r="AD55" s="469">
        <f>'Glass Metrics'!N55</f>
        <v>0</v>
      </c>
      <c r="AE55" s="475">
        <f>'Glass Metrics'!S55</f>
        <v>0</v>
      </c>
      <c r="AF55" s="359" t="str">
        <f t="shared" si="13"/>
        <v/>
      </c>
      <c r="AG55" s="477" t="str">
        <f t="shared" si="14"/>
        <v/>
      </c>
      <c r="AH55" s="472" t="str">
        <f t="shared" si="15"/>
        <v/>
      </c>
      <c r="AI55" s="360" t="str">
        <f t="shared" si="16"/>
        <v/>
      </c>
      <c r="AJ55" s="361"/>
      <c r="AK55" s="482"/>
      <c r="AL55" s="482"/>
      <c r="AM55" s="482"/>
      <c r="AN55" s="482"/>
      <c r="AO55" s="370">
        <f t="shared" si="22"/>
        <v>0</v>
      </c>
      <c r="AP55" s="361"/>
      <c r="AQ55" s="482"/>
      <c r="AR55" s="482"/>
      <c r="AS55" s="370">
        <f t="shared" si="23"/>
        <v>0</v>
      </c>
      <c r="AT55" s="118"/>
      <c r="AU55" s="483"/>
      <c r="AV55" s="484">
        <f t="shared" si="19"/>
        <v>0</v>
      </c>
      <c r="AW55" s="484"/>
      <c r="AX55" s="484"/>
      <c r="AY55" s="380"/>
      <c r="AZ55" s="175"/>
      <c r="BA55" s="454"/>
      <c r="BB55" s="79"/>
      <c r="BC55" s="79"/>
      <c r="BD55" s="79"/>
      <c r="BE55" s="79"/>
      <c r="BF55" s="485"/>
      <c r="BG55" s="485"/>
      <c r="BH55" s="485"/>
      <c r="BI55" s="485"/>
      <c r="BJ55" s="485"/>
      <c r="BK55" s="389"/>
      <c r="BL55" s="125"/>
      <c r="BM55" s="92"/>
      <c r="BN55" s="386">
        <f t="shared" si="20"/>
        <v>0</v>
      </c>
    </row>
    <row r="56" spans="1:67" s="89" customFormat="1" ht="15.6" customHeight="1">
      <c r="A56" s="175">
        <f t="shared" si="0"/>
        <v>2021</v>
      </c>
      <c r="B56" s="454" t="str">
        <f t="shared" si="1"/>
        <v>50</v>
      </c>
      <c r="C56" s="454" t="str">
        <f t="array" ref="C56">_xlfn.IFS(_xlfn.NUMBERVALUE(B56)&lt;=13,"Q1",AND(_xlfn.NUMBERVALUE(B56)&gt;13,_xlfn.NUMBERVALUE(B56)&lt;=26),"Q2", AND(_xlfn.NUMBERVALUE(B56)&gt;26,_xlfn.NUMBERVALUE(B56)&lt;=39),"Q3",_xlfn.NUMBERVALUE(B56)&gt;39,"Q4")</f>
        <v>Q4</v>
      </c>
      <c r="D56" s="448">
        <f t="shared" si="21"/>
        <v>44205</v>
      </c>
      <c r="E56" s="448">
        <f t="shared" si="2"/>
        <v>44211</v>
      </c>
      <c r="F56" s="480">
        <v>202050</v>
      </c>
      <c r="G56" s="180">
        <f t="shared" si="3"/>
        <v>0</v>
      </c>
      <c r="H56" s="429"/>
      <c r="I56" s="429"/>
      <c r="J56" s="474">
        <f t="shared" si="4"/>
        <v>0</v>
      </c>
      <c r="K56" s="474">
        <f t="shared" si="5"/>
        <v>0</v>
      </c>
      <c r="L56" s="481"/>
      <c r="M56" s="481"/>
      <c r="N56" s="481"/>
      <c r="O56" s="474">
        <f t="shared" si="6"/>
        <v>0</v>
      </c>
      <c r="P56" s="474">
        <f t="shared" si="7"/>
        <v>0</v>
      </c>
      <c r="Q56" s="474">
        <f t="shared" si="8"/>
        <v>0</v>
      </c>
      <c r="R56" s="449">
        <f>Forecast!J51</f>
        <v>0</v>
      </c>
      <c r="S56" s="449">
        <f>Forecast!N51</f>
        <v>0</v>
      </c>
      <c r="T56" s="475">
        <f t="shared" si="9"/>
        <v>0</v>
      </c>
      <c r="U56" s="475">
        <f t="shared" si="10"/>
        <v>0</v>
      </c>
      <c r="V56" s="349">
        <f t="shared" si="11"/>
        <v>0</v>
      </c>
      <c r="W56" s="350">
        <f t="shared" si="12"/>
        <v>0</v>
      </c>
      <c r="X56" s="469">
        <f>'Channel &amp; Campaign Metrics'!AR55</f>
        <v>0</v>
      </c>
      <c r="Y56" s="469">
        <f>'Channel &amp; Campaign Metrics'!BS55</f>
        <v>0</v>
      </c>
      <c r="Z56" s="430"/>
      <c r="AA56" s="111"/>
      <c r="AB56" s="358">
        <f>'Glass Metrics'!AC56</f>
        <v>0</v>
      </c>
      <c r="AC56" s="475">
        <f>'Glass Metrics'!I56</f>
        <v>0</v>
      </c>
      <c r="AD56" s="469">
        <f>'Glass Metrics'!N56</f>
        <v>0</v>
      </c>
      <c r="AE56" s="475">
        <f>'Glass Metrics'!S56</f>
        <v>0</v>
      </c>
      <c r="AF56" s="359" t="str">
        <f t="shared" si="13"/>
        <v/>
      </c>
      <c r="AG56" s="477" t="str">
        <f t="shared" si="14"/>
        <v/>
      </c>
      <c r="AH56" s="472" t="str">
        <f t="shared" si="15"/>
        <v/>
      </c>
      <c r="AI56" s="360" t="str">
        <f t="shared" si="16"/>
        <v/>
      </c>
      <c r="AJ56" s="361"/>
      <c r="AK56" s="482"/>
      <c r="AL56" s="482"/>
      <c r="AM56" s="482"/>
      <c r="AN56" s="482"/>
      <c r="AO56" s="370">
        <f t="shared" si="22"/>
        <v>0</v>
      </c>
      <c r="AP56" s="361"/>
      <c r="AQ56" s="482"/>
      <c r="AR56" s="482"/>
      <c r="AS56" s="370">
        <f t="shared" si="23"/>
        <v>0</v>
      </c>
      <c r="AT56" s="118"/>
      <c r="AU56" s="483"/>
      <c r="AV56" s="484">
        <f t="shared" si="19"/>
        <v>0</v>
      </c>
      <c r="AW56" s="484"/>
      <c r="AX56" s="484"/>
      <c r="AY56" s="380"/>
      <c r="AZ56" s="175"/>
      <c r="BA56" s="454"/>
      <c r="BB56" s="79"/>
      <c r="BC56" s="79"/>
      <c r="BD56" s="79"/>
      <c r="BE56" s="79"/>
      <c r="BF56" s="485"/>
      <c r="BG56" s="485"/>
      <c r="BH56" s="485"/>
      <c r="BI56" s="485"/>
      <c r="BJ56" s="485"/>
      <c r="BK56" s="389"/>
      <c r="BL56" s="125"/>
      <c r="BM56" s="92"/>
      <c r="BN56" s="386">
        <f t="shared" si="20"/>
        <v>0</v>
      </c>
    </row>
    <row r="57" spans="1:67" s="89" customFormat="1" ht="15.6" customHeight="1">
      <c r="A57" s="175">
        <f t="shared" si="0"/>
        <v>2021</v>
      </c>
      <c r="B57" s="454" t="str">
        <f t="shared" si="1"/>
        <v>51</v>
      </c>
      <c r="C57" s="454" t="str">
        <f t="array" ref="C57">_xlfn.IFS(_xlfn.NUMBERVALUE(B57)&lt;=13,"Q1",AND(_xlfn.NUMBERVALUE(B57)&gt;13,_xlfn.NUMBERVALUE(B57)&lt;=26),"Q2", AND(_xlfn.NUMBERVALUE(B57)&gt;26,_xlfn.NUMBERVALUE(B57)&lt;=39),"Q3",_xlfn.NUMBERVALUE(B57)&gt;39,"Q4")</f>
        <v>Q4</v>
      </c>
      <c r="D57" s="448">
        <f t="shared" si="21"/>
        <v>44212</v>
      </c>
      <c r="E57" s="448">
        <f t="shared" si="2"/>
        <v>44218</v>
      </c>
      <c r="F57" s="480">
        <v>202051</v>
      </c>
      <c r="G57" s="180">
        <f t="shared" si="3"/>
        <v>0</v>
      </c>
      <c r="H57" s="429"/>
      <c r="I57" s="429"/>
      <c r="J57" s="474">
        <f t="shared" si="4"/>
        <v>0</v>
      </c>
      <c r="K57" s="474">
        <f t="shared" si="5"/>
        <v>0</v>
      </c>
      <c r="L57" s="481"/>
      <c r="M57" s="481"/>
      <c r="N57" s="481"/>
      <c r="O57" s="474">
        <f t="shared" si="6"/>
        <v>0</v>
      </c>
      <c r="P57" s="474">
        <f t="shared" si="7"/>
        <v>0</v>
      </c>
      <c r="Q57" s="474">
        <f t="shared" si="8"/>
        <v>0</v>
      </c>
      <c r="R57" s="449">
        <f>Forecast!J52</f>
        <v>0</v>
      </c>
      <c r="S57" s="449">
        <f>Forecast!N52</f>
        <v>0</v>
      </c>
      <c r="T57" s="475">
        <f t="shared" si="9"/>
        <v>0</v>
      </c>
      <c r="U57" s="475">
        <f t="shared" si="10"/>
        <v>0</v>
      </c>
      <c r="V57" s="349">
        <f t="shared" si="11"/>
        <v>0</v>
      </c>
      <c r="W57" s="350">
        <f t="shared" si="12"/>
        <v>0</v>
      </c>
      <c r="X57" s="469">
        <f>'Channel &amp; Campaign Metrics'!AR56</f>
        <v>0</v>
      </c>
      <c r="Y57" s="469">
        <f>'Channel &amp; Campaign Metrics'!BS56</f>
        <v>0</v>
      </c>
      <c r="Z57" s="430"/>
      <c r="AA57" s="111"/>
      <c r="AB57" s="358">
        <f>'Glass Metrics'!AC57</f>
        <v>0</v>
      </c>
      <c r="AC57" s="475">
        <f>'Glass Metrics'!I57</f>
        <v>0</v>
      </c>
      <c r="AD57" s="469">
        <f>'Glass Metrics'!N57</f>
        <v>0</v>
      </c>
      <c r="AE57" s="475">
        <f>'Glass Metrics'!S57</f>
        <v>0</v>
      </c>
      <c r="AF57" s="359" t="str">
        <f t="shared" si="13"/>
        <v/>
      </c>
      <c r="AG57" s="477" t="str">
        <f t="shared" si="14"/>
        <v/>
      </c>
      <c r="AH57" s="472" t="str">
        <f t="shared" si="15"/>
        <v/>
      </c>
      <c r="AI57" s="360" t="str">
        <f t="shared" si="16"/>
        <v/>
      </c>
      <c r="AJ57" s="361"/>
      <c r="AK57" s="482"/>
      <c r="AL57" s="482"/>
      <c r="AM57" s="482"/>
      <c r="AN57" s="482"/>
      <c r="AO57" s="370">
        <f t="shared" si="22"/>
        <v>0</v>
      </c>
      <c r="AP57" s="361"/>
      <c r="AQ57" s="482"/>
      <c r="AR57" s="482"/>
      <c r="AS57" s="370">
        <f t="shared" si="23"/>
        <v>0</v>
      </c>
      <c r="AT57" s="118"/>
      <c r="AU57" s="483"/>
      <c r="AV57" s="484">
        <f t="shared" si="19"/>
        <v>0</v>
      </c>
      <c r="AW57" s="484"/>
      <c r="AX57" s="484"/>
      <c r="AY57" s="380"/>
      <c r="AZ57" s="175"/>
      <c r="BA57" s="454"/>
      <c r="BB57" s="79"/>
      <c r="BC57" s="79"/>
      <c r="BD57" s="79"/>
      <c r="BE57" s="79"/>
      <c r="BF57" s="485"/>
      <c r="BG57" s="485"/>
      <c r="BH57" s="485"/>
      <c r="BI57" s="485"/>
      <c r="BJ57" s="485"/>
      <c r="BK57" s="389"/>
      <c r="BL57" s="125"/>
      <c r="BM57" s="92"/>
      <c r="BN57" s="386">
        <f t="shared" si="20"/>
        <v>0</v>
      </c>
    </row>
    <row r="58" spans="1:67" s="89" customFormat="1" ht="15.6" customHeight="1">
      <c r="A58" s="175">
        <f t="shared" si="0"/>
        <v>2021</v>
      </c>
      <c r="B58" s="454" t="str">
        <f t="shared" si="1"/>
        <v>52</v>
      </c>
      <c r="C58" s="454" t="str">
        <f t="array" ref="C58">_xlfn.IFS(_xlfn.NUMBERVALUE(B58)&lt;=13,"Q1",AND(_xlfn.NUMBERVALUE(B58)&gt;13,_xlfn.NUMBERVALUE(B58)&lt;=26),"Q2", AND(_xlfn.NUMBERVALUE(B58)&gt;26,_xlfn.NUMBERVALUE(B58)&lt;=39),"Q3",_xlfn.NUMBERVALUE(B58)&gt;39,"Q4")</f>
        <v>Q4</v>
      </c>
      <c r="D58" s="448">
        <f t="shared" si="21"/>
        <v>44219</v>
      </c>
      <c r="E58" s="448">
        <f t="shared" si="2"/>
        <v>44225</v>
      </c>
      <c r="F58" s="480">
        <v>202052</v>
      </c>
      <c r="G58" s="180">
        <f t="shared" si="3"/>
        <v>0</v>
      </c>
      <c r="H58" s="429"/>
      <c r="I58" s="429"/>
      <c r="J58" s="474">
        <f t="shared" si="4"/>
        <v>0</v>
      </c>
      <c r="K58" s="474">
        <f t="shared" si="5"/>
        <v>0</v>
      </c>
      <c r="L58" s="481"/>
      <c r="M58" s="481"/>
      <c r="N58" s="481"/>
      <c r="O58" s="474">
        <f t="shared" si="6"/>
        <v>0</v>
      </c>
      <c r="P58" s="474">
        <f t="shared" si="7"/>
        <v>0</v>
      </c>
      <c r="Q58" s="474">
        <f t="shared" si="8"/>
        <v>0</v>
      </c>
      <c r="R58" s="449">
        <f>Forecast!J53</f>
        <v>0</v>
      </c>
      <c r="S58" s="449">
        <f>Forecast!N53</f>
        <v>0</v>
      </c>
      <c r="T58" s="475">
        <f t="shared" si="9"/>
        <v>0</v>
      </c>
      <c r="U58" s="475">
        <f t="shared" si="10"/>
        <v>0</v>
      </c>
      <c r="V58" s="349">
        <f t="shared" si="11"/>
        <v>0</v>
      </c>
      <c r="W58" s="350">
        <f t="shared" si="12"/>
        <v>0</v>
      </c>
      <c r="X58" s="469">
        <f>'Channel &amp; Campaign Metrics'!AR57</f>
        <v>0</v>
      </c>
      <c r="Y58" s="469">
        <f>'Channel &amp; Campaign Metrics'!BS57</f>
        <v>0</v>
      </c>
      <c r="Z58" s="430"/>
      <c r="AA58" s="111"/>
      <c r="AB58" s="358">
        <f>'Glass Metrics'!AC58</f>
        <v>0</v>
      </c>
      <c r="AC58" s="475">
        <f>'Glass Metrics'!I58</f>
        <v>0</v>
      </c>
      <c r="AD58" s="469">
        <f>'Glass Metrics'!N58</f>
        <v>0</v>
      </c>
      <c r="AE58" s="475">
        <f>'Glass Metrics'!S58</f>
        <v>0</v>
      </c>
      <c r="AF58" s="359" t="str">
        <f t="shared" si="13"/>
        <v/>
      </c>
      <c r="AG58" s="477" t="str">
        <f t="shared" si="14"/>
        <v/>
      </c>
      <c r="AH58" s="472" t="str">
        <f t="shared" si="15"/>
        <v/>
      </c>
      <c r="AI58" s="360" t="str">
        <f t="shared" si="16"/>
        <v/>
      </c>
      <c r="AJ58" s="361"/>
      <c r="AK58" s="482"/>
      <c r="AL58" s="482"/>
      <c r="AM58" s="482"/>
      <c r="AN58" s="482"/>
      <c r="AO58" s="370">
        <f t="shared" si="22"/>
        <v>0</v>
      </c>
      <c r="AP58" s="361"/>
      <c r="AQ58" s="482"/>
      <c r="AR58" s="482"/>
      <c r="AS58" s="370">
        <f t="shared" si="23"/>
        <v>0</v>
      </c>
      <c r="AT58" s="118"/>
      <c r="AU58" s="483"/>
      <c r="AV58" s="484">
        <f t="shared" si="19"/>
        <v>0</v>
      </c>
      <c r="AW58" s="484"/>
      <c r="AX58" s="484"/>
      <c r="AY58" s="380"/>
      <c r="AZ58" s="175"/>
      <c r="BA58" s="454"/>
      <c r="BB58" s="79"/>
      <c r="BC58" s="79"/>
      <c r="BD58" s="79"/>
      <c r="BE58" s="79"/>
      <c r="BF58" s="485"/>
      <c r="BG58" s="485"/>
      <c r="BH58" s="485"/>
      <c r="BI58" s="485"/>
      <c r="BJ58" s="485"/>
      <c r="BK58" s="389"/>
      <c r="BL58" s="125"/>
      <c r="BM58" s="92"/>
      <c r="BN58" s="386">
        <f t="shared" si="20"/>
        <v>0</v>
      </c>
    </row>
    <row r="59" spans="1:67" s="89" customFormat="1" ht="16.350000000000001" customHeight="1">
      <c r="A59" s="175">
        <f t="shared" si="0"/>
        <v>2022</v>
      </c>
      <c r="B59" s="454" t="str">
        <f t="shared" si="1"/>
        <v>01</v>
      </c>
      <c r="C59" s="454" t="str">
        <f t="array" ref="C59">_xlfn.IFS(_xlfn.NUMBERVALUE(B59)&lt;=13,"Q1",AND(_xlfn.NUMBERVALUE(B59)&gt;13,_xlfn.NUMBERVALUE(B59)&lt;=26),"Q2", AND(_xlfn.NUMBERVALUE(B59)&gt;26,_xlfn.NUMBERVALUE(B59)&lt;=39),"Q3",_xlfn.NUMBERVALUE(B59)&gt;39,"Q4")</f>
        <v>Q1</v>
      </c>
      <c r="D59" s="448">
        <f t="shared" si="21"/>
        <v>44226</v>
      </c>
      <c r="E59" s="448">
        <f t="shared" si="2"/>
        <v>44232</v>
      </c>
      <c r="F59" s="480">
        <v>202101</v>
      </c>
      <c r="G59" s="180">
        <f t="shared" si="3"/>
        <v>0</v>
      </c>
      <c r="H59" s="429"/>
      <c r="I59" s="429"/>
      <c r="J59" s="474">
        <f t="shared" si="4"/>
        <v>0</v>
      </c>
      <c r="K59" s="474">
        <f t="shared" si="5"/>
        <v>0</v>
      </c>
      <c r="L59" s="481"/>
      <c r="M59" s="481"/>
      <c r="N59" s="481"/>
      <c r="O59" s="474">
        <f t="shared" si="6"/>
        <v>0</v>
      </c>
      <c r="P59" s="474">
        <f t="shared" si="7"/>
        <v>0</v>
      </c>
      <c r="Q59" s="474">
        <f t="shared" si="8"/>
        <v>0</v>
      </c>
      <c r="R59" s="449">
        <f>Forecast!J54</f>
        <v>0</v>
      </c>
      <c r="S59" s="449">
        <f>Forecast!N54</f>
        <v>0</v>
      </c>
      <c r="T59" s="475">
        <f t="shared" si="9"/>
        <v>0</v>
      </c>
      <c r="U59" s="475">
        <f t="shared" si="10"/>
        <v>0</v>
      </c>
      <c r="V59" s="349">
        <f t="shared" si="11"/>
        <v>0</v>
      </c>
      <c r="W59" s="350">
        <f t="shared" si="12"/>
        <v>0</v>
      </c>
      <c r="X59" s="469">
        <f>'Channel &amp; Campaign Metrics'!AR58</f>
        <v>0</v>
      </c>
      <c r="Y59" s="469">
        <f>'Channel &amp; Campaign Metrics'!BS58</f>
        <v>0</v>
      </c>
      <c r="Z59" s="430"/>
      <c r="AA59" s="111"/>
      <c r="AB59" s="358">
        <f>'Glass Metrics'!AC59</f>
        <v>0</v>
      </c>
      <c r="AC59" s="475">
        <f>'Glass Metrics'!I59</f>
        <v>0</v>
      </c>
      <c r="AD59" s="469">
        <f>'Glass Metrics'!N59</f>
        <v>0</v>
      </c>
      <c r="AE59" s="475">
        <f>'Glass Metrics'!S59</f>
        <v>0</v>
      </c>
      <c r="AF59" s="359" t="str">
        <f t="shared" si="13"/>
        <v/>
      </c>
      <c r="AG59" s="477" t="str">
        <f t="shared" si="14"/>
        <v/>
      </c>
      <c r="AH59" s="472" t="str">
        <f t="shared" si="15"/>
        <v/>
      </c>
      <c r="AI59" s="360" t="str">
        <f t="shared" si="16"/>
        <v/>
      </c>
      <c r="AJ59" s="361" t="str">
        <f t="shared" ref="AJ59:AJ122" si="24">IFERROR(((AK59*AM59)+(AL59*AN59))/(AM59+AN59),"")</f>
        <v/>
      </c>
      <c r="AK59" s="478"/>
      <c r="AL59" s="478"/>
      <c r="AM59" s="481"/>
      <c r="AN59" s="481"/>
      <c r="AO59" s="372" t="str">
        <f t="shared" ref="AO59:AO90" si="25">IFERROR(((AM59*(AK59+0.1))+(AN59*AL59))/(AM59+AN59),"")</f>
        <v/>
      </c>
      <c r="AP59" s="361"/>
      <c r="AQ59" s="478"/>
      <c r="AR59" s="478"/>
      <c r="AS59" s="187" t="str">
        <f t="shared" ref="AS59:AS92" si="26">IFERROR(((AM59*(AQ59+0.15))+(AN59*AR59))/(AM59+AN59),"")</f>
        <v/>
      </c>
      <c r="AT59" s="118"/>
      <c r="AU59" s="483"/>
      <c r="AV59" s="484">
        <f t="shared" si="19"/>
        <v>0</v>
      </c>
      <c r="AW59" s="484"/>
      <c r="AX59" s="484"/>
      <c r="AY59" s="380"/>
      <c r="AZ59" s="358">
        <f t="shared" ref="AZ59:AZ122" si="27">H59-(BB59+BD59)</f>
        <v>0</v>
      </c>
      <c r="BA59" s="475">
        <f t="shared" ref="BA59:BA122" si="28">I59-(BC59+BE59)</f>
        <v>0</v>
      </c>
      <c r="BB59" s="481"/>
      <c r="BC59" s="481"/>
      <c r="BD59" s="481"/>
      <c r="BE59" s="481"/>
      <c r="BF59" s="453" t="str">
        <f t="shared" ref="BF59:BF122" si="29">IFERROR(AZ59/L59,"-")</f>
        <v>-</v>
      </c>
      <c r="BG59" s="453" t="str">
        <f t="shared" ref="BG59:BG122" si="30">IFERROR(BA59/L59,"-")</f>
        <v>-</v>
      </c>
      <c r="BH59" s="453" t="str">
        <f t="shared" ref="BH59:BH122" si="31">IFERROR(BB59/M59,"-")</f>
        <v>-</v>
      </c>
      <c r="BI59" s="453" t="str">
        <f t="shared" ref="BI59:BI122" si="32">IFERROR(BC59/M59,"-")</f>
        <v>-</v>
      </c>
      <c r="BJ59" s="453" t="str">
        <f t="shared" ref="BJ59:BJ122" si="33">IFERROR(BD59/N59,"-")</f>
        <v>-</v>
      </c>
      <c r="BK59" s="390" t="str">
        <f t="shared" ref="BK59:BK122" si="34">IFERROR(BE59/N59,"-")</f>
        <v>-</v>
      </c>
      <c r="BL59" s="125"/>
      <c r="BM59" s="92"/>
      <c r="BN59" s="386">
        <f t="shared" si="20"/>
        <v>0</v>
      </c>
      <c r="BO59" s="91"/>
    </row>
    <row r="60" spans="1:67" s="89" customFormat="1" ht="16.350000000000001" customHeight="1">
      <c r="A60" s="175">
        <f t="shared" si="0"/>
        <v>2022</v>
      </c>
      <c r="B60" s="454" t="str">
        <f t="shared" si="1"/>
        <v>02</v>
      </c>
      <c r="C60" s="454" t="str">
        <f t="array" ref="C60">_xlfn.IFS(_xlfn.NUMBERVALUE(B60)&lt;=13,"Q1",AND(_xlfn.NUMBERVALUE(B60)&gt;13,_xlfn.NUMBERVALUE(B60)&lt;=26),"Q2", AND(_xlfn.NUMBERVALUE(B60)&gt;26,_xlfn.NUMBERVALUE(B60)&lt;=39),"Q3",_xlfn.NUMBERVALUE(B60)&gt;39,"Q4")</f>
        <v>Q1</v>
      </c>
      <c r="D60" s="448">
        <f t="shared" si="21"/>
        <v>44233</v>
      </c>
      <c r="E60" s="448">
        <f t="shared" si="2"/>
        <v>44239</v>
      </c>
      <c r="F60" s="480">
        <v>202102</v>
      </c>
      <c r="G60" s="180">
        <f t="shared" si="3"/>
        <v>0</v>
      </c>
      <c r="H60" s="429"/>
      <c r="I60" s="429"/>
      <c r="J60" s="474">
        <f t="shared" si="4"/>
        <v>0</v>
      </c>
      <c r="K60" s="474">
        <f t="shared" si="5"/>
        <v>0</v>
      </c>
      <c r="L60" s="481"/>
      <c r="M60" s="481"/>
      <c r="N60" s="481"/>
      <c r="O60" s="474">
        <f t="shared" si="6"/>
        <v>0</v>
      </c>
      <c r="P60" s="474">
        <f t="shared" si="7"/>
        <v>0</v>
      </c>
      <c r="Q60" s="474">
        <f t="shared" si="8"/>
        <v>0</v>
      </c>
      <c r="R60" s="449">
        <f>Forecast!J55</f>
        <v>0</v>
      </c>
      <c r="S60" s="449">
        <f>Forecast!N55</f>
        <v>0</v>
      </c>
      <c r="T60" s="475">
        <f t="shared" si="9"/>
        <v>0</v>
      </c>
      <c r="U60" s="475">
        <f t="shared" si="10"/>
        <v>0</v>
      </c>
      <c r="V60" s="349">
        <f t="shared" si="11"/>
        <v>0</v>
      </c>
      <c r="W60" s="350">
        <f t="shared" si="12"/>
        <v>0</v>
      </c>
      <c r="X60" s="469">
        <f>'Channel &amp; Campaign Metrics'!AR59</f>
        <v>0</v>
      </c>
      <c r="Y60" s="469">
        <f>'Channel &amp; Campaign Metrics'!BS59</f>
        <v>0</v>
      </c>
      <c r="Z60" s="430"/>
      <c r="AA60" s="111"/>
      <c r="AB60" s="358">
        <f>'Glass Metrics'!AC60</f>
        <v>0</v>
      </c>
      <c r="AC60" s="475">
        <f>'Glass Metrics'!I60</f>
        <v>0</v>
      </c>
      <c r="AD60" s="469">
        <f>'Glass Metrics'!N60</f>
        <v>0</v>
      </c>
      <c r="AE60" s="475">
        <f>'Glass Metrics'!S60</f>
        <v>0</v>
      </c>
      <c r="AF60" s="359" t="str">
        <f t="shared" si="13"/>
        <v/>
      </c>
      <c r="AG60" s="477" t="str">
        <f t="shared" si="14"/>
        <v/>
      </c>
      <c r="AH60" s="472" t="str">
        <f t="shared" si="15"/>
        <v/>
      </c>
      <c r="AI60" s="360" t="str">
        <f t="shared" si="16"/>
        <v/>
      </c>
      <c r="AJ60" s="361" t="str">
        <f t="shared" si="24"/>
        <v/>
      </c>
      <c r="AK60" s="478"/>
      <c r="AL60" s="478"/>
      <c r="AM60" s="481"/>
      <c r="AN60" s="481"/>
      <c r="AO60" s="372" t="str">
        <f t="shared" si="25"/>
        <v/>
      </c>
      <c r="AP60" s="361"/>
      <c r="AQ60" s="478"/>
      <c r="AR60" s="478"/>
      <c r="AS60" s="187" t="str">
        <f t="shared" si="26"/>
        <v/>
      </c>
      <c r="AT60" s="118"/>
      <c r="AU60" s="483"/>
      <c r="AV60" s="484">
        <f t="shared" si="19"/>
        <v>0</v>
      </c>
      <c r="AW60" s="484"/>
      <c r="AX60" s="484"/>
      <c r="AY60" s="380"/>
      <c r="AZ60" s="358">
        <f t="shared" si="27"/>
        <v>0</v>
      </c>
      <c r="BA60" s="475">
        <f t="shared" si="28"/>
        <v>0</v>
      </c>
      <c r="BB60" s="481"/>
      <c r="BC60" s="481"/>
      <c r="BD60" s="481"/>
      <c r="BE60" s="481"/>
      <c r="BF60" s="453" t="str">
        <f t="shared" si="29"/>
        <v>-</v>
      </c>
      <c r="BG60" s="453" t="str">
        <f t="shared" si="30"/>
        <v>-</v>
      </c>
      <c r="BH60" s="453" t="str">
        <f t="shared" si="31"/>
        <v>-</v>
      </c>
      <c r="BI60" s="453" t="str">
        <f t="shared" si="32"/>
        <v>-</v>
      </c>
      <c r="BJ60" s="453" t="str">
        <f t="shared" si="33"/>
        <v>-</v>
      </c>
      <c r="BK60" s="390" t="str">
        <f t="shared" si="34"/>
        <v>-</v>
      </c>
      <c r="BL60" s="125"/>
      <c r="BM60" s="92"/>
      <c r="BN60" s="386">
        <f t="shared" si="20"/>
        <v>0</v>
      </c>
      <c r="BO60" s="91"/>
    </row>
    <row r="61" spans="1:67" s="89" customFormat="1" ht="16.350000000000001" customHeight="1">
      <c r="A61" s="175">
        <f t="shared" si="0"/>
        <v>2022</v>
      </c>
      <c r="B61" s="454" t="str">
        <f t="shared" si="1"/>
        <v>03</v>
      </c>
      <c r="C61" s="454" t="str">
        <f t="array" ref="C61">_xlfn.IFS(_xlfn.NUMBERVALUE(B61)&lt;=13,"Q1",AND(_xlfn.NUMBERVALUE(B61)&gt;13,_xlfn.NUMBERVALUE(B61)&lt;=26),"Q2", AND(_xlfn.NUMBERVALUE(B61)&gt;26,_xlfn.NUMBERVALUE(B61)&lt;=39),"Q3",_xlfn.NUMBERVALUE(B61)&gt;39,"Q4")</f>
        <v>Q1</v>
      </c>
      <c r="D61" s="448">
        <f t="shared" si="21"/>
        <v>44240</v>
      </c>
      <c r="E61" s="448">
        <f t="shared" si="2"/>
        <v>44246</v>
      </c>
      <c r="F61" s="480">
        <v>202103</v>
      </c>
      <c r="G61" s="180">
        <f t="shared" si="3"/>
        <v>0</v>
      </c>
      <c r="H61" s="429"/>
      <c r="I61" s="429"/>
      <c r="J61" s="474">
        <f t="shared" si="4"/>
        <v>0</v>
      </c>
      <c r="K61" s="474">
        <f t="shared" si="5"/>
        <v>0</v>
      </c>
      <c r="L61" s="481"/>
      <c r="M61" s="481"/>
      <c r="N61" s="481"/>
      <c r="O61" s="474">
        <f t="shared" si="6"/>
        <v>0</v>
      </c>
      <c r="P61" s="474">
        <f t="shared" si="7"/>
        <v>0</v>
      </c>
      <c r="Q61" s="474">
        <f t="shared" si="8"/>
        <v>0</v>
      </c>
      <c r="R61" s="449">
        <f>Forecast!J56</f>
        <v>0</v>
      </c>
      <c r="S61" s="449">
        <f>Forecast!N56</f>
        <v>0</v>
      </c>
      <c r="T61" s="475">
        <f t="shared" si="9"/>
        <v>0</v>
      </c>
      <c r="U61" s="475">
        <f t="shared" si="10"/>
        <v>0</v>
      </c>
      <c r="V61" s="349">
        <f t="shared" si="11"/>
        <v>0</v>
      </c>
      <c r="W61" s="350">
        <f t="shared" si="12"/>
        <v>0</v>
      </c>
      <c r="X61" s="469">
        <f>'Channel &amp; Campaign Metrics'!AR60</f>
        <v>0</v>
      </c>
      <c r="Y61" s="469">
        <f>'Channel &amp; Campaign Metrics'!BS60</f>
        <v>0</v>
      </c>
      <c r="Z61" s="430"/>
      <c r="AA61" s="111"/>
      <c r="AB61" s="358">
        <f>'Glass Metrics'!AC61</f>
        <v>0</v>
      </c>
      <c r="AC61" s="475">
        <f>'Glass Metrics'!I61</f>
        <v>0</v>
      </c>
      <c r="AD61" s="469">
        <f>'Glass Metrics'!N61</f>
        <v>0</v>
      </c>
      <c r="AE61" s="475">
        <f>'Glass Metrics'!S61</f>
        <v>0</v>
      </c>
      <c r="AF61" s="359" t="str">
        <f t="shared" si="13"/>
        <v/>
      </c>
      <c r="AG61" s="477" t="str">
        <f t="shared" si="14"/>
        <v/>
      </c>
      <c r="AH61" s="472" t="str">
        <f t="shared" si="15"/>
        <v/>
      </c>
      <c r="AI61" s="360" t="str">
        <f t="shared" si="16"/>
        <v/>
      </c>
      <c r="AJ61" s="361" t="str">
        <f t="shared" si="24"/>
        <v/>
      </c>
      <c r="AK61" s="478"/>
      <c r="AL61" s="482"/>
      <c r="AM61" s="481"/>
      <c r="AN61" s="481"/>
      <c r="AO61" s="372" t="str">
        <f t="shared" si="25"/>
        <v/>
      </c>
      <c r="AP61" s="361"/>
      <c r="AQ61" s="478"/>
      <c r="AR61" s="478"/>
      <c r="AS61" s="187" t="str">
        <f t="shared" si="26"/>
        <v/>
      </c>
      <c r="AT61" s="118"/>
      <c r="AU61" s="483"/>
      <c r="AV61" s="484">
        <f t="shared" si="19"/>
        <v>0</v>
      </c>
      <c r="AW61" s="484"/>
      <c r="AX61" s="484"/>
      <c r="AY61" s="380"/>
      <c r="AZ61" s="358">
        <f t="shared" si="27"/>
        <v>0</v>
      </c>
      <c r="BA61" s="475">
        <f t="shared" si="28"/>
        <v>0</v>
      </c>
      <c r="BB61" s="481"/>
      <c r="BC61" s="481"/>
      <c r="BD61" s="481"/>
      <c r="BE61" s="481"/>
      <c r="BF61" s="453" t="str">
        <f t="shared" si="29"/>
        <v>-</v>
      </c>
      <c r="BG61" s="453" t="str">
        <f t="shared" si="30"/>
        <v>-</v>
      </c>
      <c r="BH61" s="453" t="str">
        <f t="shared" si="31"/>
        <v>-</v>
      </c>
      <c r="BI61" s="453" t="str">
        <f t="shared" si="32"/>
        <v>-</v>
      </c>
      <c r="BJ61" s="453" t="str">
        <f t="shared" si="33"/>
        <v>-</v>
      </c>
      <c r="BK61" s="390" t="str">
        <f t="shared" si="34"/>
        <v>-</v>
      </c>
      <c r="BL61" s="125"/>
      <c r="BM61" s="92"/>
      <c r="BN61" s="386">
        <f t="shared" si="20"/>
        <v>0</v>
      </c>
    </row>
    <row r="62" spans="1:67" s="89" customFormat="1" ht="16.350000000000001" customHeight="1">
      <c r="A62" s="175">
        <f t="shared" si="0"/>
        <v>2022</v>
      </c>
      <c r="B62" s="454" t="str">
        <f t="shared" si="1"/>
        <v>04</v>
      </c>
      <c r="C62" s="454" t="str">
        <f t="array" ref="C62">_xlfn.IFS(_xlfn.NUMBERVALUE(B62)&lt;=13,"Q1",AND(_xlfn.NUMBERVALUE(B62)&gt;13,_xlfn.NUMBERVALUE(B62)&lt;=26),"Q2", AND(_xlfn.NUMBERVALUE(B62)&gt;26,_xlfn.NUMBERVALUE(B62)&lt;=39),"Q3",_xlfn.NUMBERVALUE(B62)&gt;39,"Q4")</f>
        <v>Q1</v>
      </c>
      <c r="D62" s="448">
        <f t="shared" si="21"/>
        <v>44247</v>
      </c>
      <c r="E62" s="448">
        <f t="shared" si="2"/>
        <v>44253</v>
      </c>
      <c r="F62" s="480">
        <v>202104</v>
      </c>
      <c r="G62" s="180">
        <f t="shared" si="3"/>
        <v>0</v>
      </c>
      <c r="H62" s="429"/>
      <c r="I62" s="429"/>
      <c r="J62" s="474">
        <f t="shared" si="4"/>
        <v>0</v>
      </c>
      <c r="K62" s="474">
        <f t="shared" si="5"/>
        <v>0</v>
      </c>
      <c r="L62" s="481"/>
      <c r="M62" s="481"/>
      <c r="N62" s="481"/>
      <c r="O62" s="474">
        <f t="shared" si="6"/>
        <v>0</v>
      </c>
      <c r="P62" s="474">
        <f t="shared" si="7"/>
        <v>0</v>
      </c>
      <c r="Q62" s="474">
        <f t="shared" si="8"/>
        <v>0</v>
      </c>
      <c r="R62" s="449">
        <f>Forecast!J57</f>
        <v>0</v>
      </c>
      <c r="S62" s="449">
        <f>Forecast!N57</f>
        <v>0</v>
      </c>
      <c r="T62" s="475">
        <f t="shared" si="9"/>
        <v>0</v>
      </c>
      <c r="U62" s="475">
        <f t="shared" si="10"/>
        <v>0</v>
      </c>
      <c r="V62" s="349">
        <f t="shared" si="11"/>
        <v>0</v>
      </c>
      <c r="W62" s="350">
        <f t="shared" si="12"/>
        <v>0</v>
      </c>
      <c r="X62" s="469">
        <f>'Channel &amp; Campaign Metrics'!AR61</f>
        <v>0</v>
      </c>
      <c r="Y62" s="469">
        <f>'Channel &amp; Campaign Metrics'!BS61</f>
        <v>0</v>
      </c>
      <c r="Z62" s="430"/>
      <c r="AA62" s="111"/>
      <c r="AB62" s="358">
        <f>'Glass Metrics'!AC62</f>
        <v>0</v>
      </c>
      <c r="AC62" s="475">
        <f>'Glass Metrics'!I62</f>
        <v>0</v>
      </c>
      <c r="AD62" s="469">
        <f>'Glass Metrics'!N62</f>
        <v>0</v>
      </c>
      <c r="AE62" s="475">
        <f>'Glass Metrics'!S62</f>
        <v>0</v>
      </c>
      <c r="AF62" s="359" t="str">
        <f t="shared" si="13"/>
        <v/>
      </c>
      <c r="AG62" s="477" t="str">
        <f t="shared" si="14"/>
        <v/>
      </c>
      <c r="AH62" s="472" t="str">
        <f t="shared" si="15"/>
        <v/>
      </c>
      <c r="AI62" s="360" t="str">
        <f t="shared" si="16"/>
        <v/>
      </c>
      <c r="AJ62" s="361" t="str">
        <f t="shared" si="24"/>
        <v/>
      </c>
      <c r="AK62" s="478"/>
      <c r="AL62" s="482"/>
      <c r="AM62" s="481"/>
      <c r="AN62" s="481"/>
      <c r="AO62" s="372" t="str">
        <f t="shared" si="25"/>
        <v/>
      </c>
      <c r="AP62" s="361"/>
      <c r="AQ62" s="482"/>
      <c r="AR62" s="478"/>
      <c r="AS62" s="187" t="str">
        <f t="shared" si="26"/>
        <v/>
      </c>
      <c r="AT62" s="118"/>
      <c r="AU62" s="483"/>
      <c r="AV62" s="484">
        <f t="shared" si="19"/>
        <v>0</v>
      </c>
      <c r="AW62" s="484"/>
      <c r="AX62" s="484"/>
      <c r="AY62" s="380"/>
      <c r="AZ62" s="358">
        <f t="shared" si="27"/>
        <v>0</v>
      </c>
      <c r="BA62" s="475">
        <f t="shared" si="28"/>
        <v>0</v>
      </c>
      <c r="BB62" s="481"/>
      <c r="BC62" s="481"/>
      <c r="BD62" s="481"/>
      <c r="BE62" s="481"/>
      <c r="BF62" s="453" t="str">
        <f t="shared" si="29"/>
        <v>-</v>
      </c>
      <c r="BG62" s="453" t="str">
        <f t="shared" si="30"/>
        <v>-</v>
      </c>
      <c r="BH62" s="453" t="str">
        <f t="shared" si="31"/>
        <v>-</v>
      </c>
      <c r="BI62" s="453" t="str">
        <f t="shared" si="32"/>
        <v>-</v>
      </c>
      <c r="BJ62" s="453" t="str">
        <f t="shared" si="33"/>
        <v>-</v>
      </c>
      <c r="BK62" s="390" t="str">
        <f t="shared" si="34"/>
        <v>-</v>
      </c>
      <c r="BL62" s="125"/>
      <c r="BM62" s="92"/>
      <c r="BN62" s="386">
        <f t="shared" si="20"/>
        <v>0</v>
      </c>
    </row>
    <row r="63" spans="1:67" s="89" customFormat="1" ht="16.350000000000001" customHeight="1">
      <c r="A63" s="175">
        <f t="shared" si="0"/>
        <v>2022</v>
      </c>
      <c r="B63" s="454" t="str">
        <f t="shared" si="1"/>
        <v>05</v>
      </c>
      <c r="C63" s="454" t="str">
        <f t="array" ref="C63">_xlfn.IFS(_xlfn.NUMBERVALUE(B63)&lt;=13,"Q1",AND(_xlfn.NUMBERVALUE(B63)&gt;13,_xlfn.NUMBERVALUE(B63)&lt;=26),"Q2", AND(_xlfn.NUMBERVALUE(B63)&gt;26,_xlfn.NUMBERVALUE(B63)&lt;=39),"Q3",_xlfn.NUMBERVALUE(B63)&gt;39,"Q4")</f>
        <v>Q1</v>
      </c>
      <c r="D63" s="448">
        <f t="shared" si="21"/>
        <v>44254</v>
      </c>
      <c r="E63" s="448">
        <f t="shared" si="2"/>
        <v>44260</v>
      </c>
      <c r="F63" s="480">
        <v>202105</v>
      </c>
      <c r="G63" s="180">
        <f t="shared" si="3"/>
        <v>0</v>
      </c>
      <c r="H63" s="429"/>
      <c r="I63" s="429"/>
      <c r="J63" s="474">
        <f t="shared" si="4"/>
        <v>0</v>
      </c>
      <c r="K63" s="474">
        <f t="shared" si="5"/>
        <v>0</v>
      </c>
      <c r="L63" s="481"/>
      <c r="M63" s="481"/>
      <c r="N63" s="481"/>
      <c r="O63" s="474">
        <f t="shared" si="6"/>
        <v>0</v>
      </c>
      <c r="P63" s="474">
        <f t="shared" si="7"/>
        <v>0</v>
      </c>
      <c r="Q63" s="474">
        <f t="shared" si="8"/>
        <v>0</v>
      </c>
      <c r="R63" s="449">
        <f>Forecast!J58</f>
        <v>0</v>
      </c>
      <c r="S63" s="449">
        <f>Forecast!N58</f>
        <v>0</v>
      </c>
      <c r="T63" s="475">
        <f t="shared" si="9"/>
        <v>0</v>
      </c>
      <c r="U63" s="475">
        <f t="shared" si="10"/>
        <v>0</v>
      </c>
      <c r="V63" s="349">
        <f t="shared" si="11"/>
        <v>0</v>
      </c>
      <c r="W63" s="350">
        <f t="shared" si="12"/>
        <v>0</v>
      </c>
      <c r="X63" s="469">
        <f>'Channel &amp; Campaign Metrics'!AR62</f>
        <v>0</v>
      </c>
      <c r="Y63" s="469">
        <f>'Channel &amp; Campaign Metrics'!BS62</f>
        <v>0</v>
      </c>
      <c r="Z63" s="430"/>
      <c r="AA63" s="111"/>
      <c r="AB63" s="358">
        <f>'Glass Metrics'!AC63</f>
        <v>0</v>
      </c>
      <c r="AC63" s="475">
        <f>'Glass Metrics'!I63</f>
        <v>0</v>
      </c>
      <c r="AD63" s="469">
        <f>'Glass Metrics'!N63</f>
        <v>0</v>
      </c>
      <c r="AE63" s="475">
        <f>'Glass Metrics'!S63</f>
        <v>0</v>
      </c>
      <c r="AF63" s="359" t="str">
        <f t="shared" si="13"/>
        <v/>
      </c>
      <c r="AG63" s="477" t="str">
        <f t="shared" si="14"/>
        <v/>
      </c>
      <c r="AH63" s="472" t="str">
        <f t="shared" si="15"/>
        <v/>
      </c>
      <c r="AI63" s="360" t="str">
        <f t="shared" si="16"/>
        <v/>
      </c>
      <c r="AJ63" s="361" t="str">
        <f t="shared" si="24"/>
        <v/>
      </c>
      <c r="AK63" s="478"/>
      <c r="AL63" s="482"/>
      <c r="AM63" s="481"/>
      <c r="AN63" s="481"/>
      <c r="AO63" s="372" t="str">
        <f t="shared" si="25"/>
        <v/>
      </c>
      <c r="AP63" s="361"/>
      <c r="AQ63" s="482"/>
      <c r="AR63" s="478"/>
      <c r="AS63" s="187" t="str">
        <f t="shared" si="26"/>
        <v/>
      </c>
      <c r="AT63" s="118"/>
      <c r="AU63" s="483"/>
      <c r="AV63" s="484">
        <f t="shared" si="19"/>
        <v>0</v>
      </c>
      <c r="AW63" s="484"/>
      <c r="AX63" s="484"/>
      <c r="AY63" s="380"/>
      <c r="AZ63" s="358">
        <f t="shared" si="27"/>
        <v>0</v>
      </c>
      <c r="BA63" s="475">
        <f t="shared" si="28"/>
        <v>0</v>
      </c>
      <c r="BB63" s="481"/>
      <c r="BC63" s="481"/>
      <c r="BD63" s="481"/>
      <c r="BE63" s="481"/>
      <c r="BF63" s="453" t="str">
        <f t="shared" si="29"/>
        <v>-</v>
      </c>
      <c r="BG63" s="453" t="str">
        <f t="shared" si="30"/>
        <v>-</v>
      </c>
      <c r="BH63" s="453" t="str">
        <f t="shared" si="31"/>
        <v>-</v>
      </c>
      <c r="BI63" s="453" t="str">
        <f t="shared" si="32"/>
        <v>-</v>
      </c>
      <c r="BJ63" s="453" t="str">
        <f t="shared" si="33"/>
        <v>-</v>
      </c>
      <c r="BK63" s="390" t="str">
        <f t="shared" si="34"/>
        <v>-</v>
      </c>
      <c r="BL63" s="125"/>
      <c r="BM63" s="92"/>
      <c r="BN63" s="386">
        <f t="shared" si="20"/>
        <v>0</v>
      </c>
    </row>
    <row r="64" spans="1:67" s="89" customFormat="1" ht="16.350000000000001" customHeight="1">
      <c r="A64" s="175">
        <f t="shared" si="0"/>
        <v>2022</v>
      </c>
      <c r="B64" s="454" t="str">
        <f t="shared" si="1"/>
        <v>06</v>
      </c>
      <c r="C64" s="454" t="str">
        <f t="array" ref="C64">_xlfn.IFS(_xlfn.NUMBERVALUE(B64)&lt;=13,"Q1",AND(_xlfn.NUMBERVALUE(B64)&gt;13,_xlfn.NUMBERVALUE(B64)&lt;=26),"Q2", AND(_xlfn.NUMBERVALUE(B64)&gt;26,_xlfn.NUMBERVALUE(B64)&lt;=39),"Q3",_xlfn.NUMBERVALUE(B64)&gt;39,"Q4")</f>
        <v>Q1</v>
      </c>
      <c r="D64" s="448">
        <f t="shared" si="21"/>
        <v>44261</v>
      </c>
      <c r="E64" s="448">
        <f t="shared" si="2"/>
        <v>44267</v>
      </c>
      <c r="F64" s="480">
        <v>202106</v>
      </c>
      <c r="G64" s="180">
        <f t="shared" si="3"/>
        <v>0</v>
      </c>
      <c r="H64" s="429"/>
      <c r="I64" s="429"/>
      <c r="J64" s="474">
        <f t="shared" si="4"/>
        <v>0</v>
      </c>
      <c r="K64" s="474">
        <f t="shared" si="5"/>
        <v>0</v>
      </c>
      <c r="L64" s="481"/>
      <c r="M64" s="481"/>
      <c r="N64" s="470"/>
      <c r="O64" s="474">
        <f t="shared" si="6"/>
        <v>0</v>
      </c>
      <c r="P64" s="474">
        <f t="shared" si="7"/>
        <v>0</v>
      </c>
      <c r="Q64" s="474">
        <f t="shared" si="8"/>
        <v>0</v>
      </c>
      <c r="R64" s="449">
        <f>Forecast!J59</f>
        <v>0</v>
      </c>
      <c r="S64" s="449">
        <f>Forecast!N59</f>
        <v>0</v>
      </c>
      <c r="T64" s="475">
        <f t="shared" si="9"/>
        <v>0</v>
      </c>
      <c r="U64" s="475">
        <f t="shared" si="10"/>
        <v>0</v>
      </c>
      <c r="V64" s="349">
        <f t="shared" si="11"/>
        <v>0</v>
      </c>
      <c r="W64" s="350">
        <f t="shared" si="12"/>
        <v>0</v>
      </c>
      <c r="X64" s="469">
        <f>'Channel &amp; Campaign Metrics'!AR63</f>
        <v>0</v>
      </c>
      <c r="Y64" s="469">
        <f>'Channel &amp; Campaign Metrics'!BS63</f>
        <v>0</v>
      </c>
      <c r="Z64" s="430"/>
      <c r="AA64" s="111"/>
      <c r="AB64" s="358">
        <f>'Glass Metrics'!AC64</f>
        <v>0</v>
      </c>
      <c r="AC64" s="475">
        <f>'Glass Metrics'!I64</f>
        <v>0</v>
      </c>
      <c r="AD64" s="469">
        <f>'Glass Metrics'!N64</f>
        <v>0</v>
      </c>
      <c r="AE64" s="475">
        <f>'Glass Metrics'!S64</f>
        <v>0</v>
      </c>
      <c r="AF64" s="359" t="str">
        <f t="shared" si="13"/>
        <v/>
      </c>
      <c r="AG64" s="477" t="str">
        <f t="shared" si="14"/>
        <v/>
      </c>
      <c r="AH64" s="472" t="str">
        <f t="shared" si="15"/>
        <v/>
      </c>
      <c r="AI64" s="360" t="str">
        <f t="shared" si="16"/>
        <v/>
      </c>
      <c r="AJ64" s="361" t="str">
        <f t="shared" si="24"/>
        <v/>
      </c>
      <c r="AK64" s="478"/>
      <c r="AL64" s="478"/>
      <c r="AM64" s="481"/>
      <c r="AN64" s="481"/>
      <c r="AO64" s="372" t="str">
        <f t="shared" si="25"/>
        <v/>
      </c>
      <c r="AP64" s="361"/>
      <c r="AQ64" s="482"/>
      <c r="AR64" s="478"/>
      <c r="AS64" s="187" t="str">
        <f t="shared" si="26"/>
        <v/>
      </c>
      <c r="AT64" s="118"/>
      <c r="AU64" s="483"/>
      <c r="AV64" s="484">
        <f t="shared" si="19"/>
        <v>0</v>
      </c>
      <c r="AW64" s="484"/>
      <c r="AX64" s="484"/>
      <c r="AY64" s="380"/>
      <c r="AZ64" s="358">
        <f t="shared" si="27"/>
        <v>0</v>
      </c>
      <c r="BA64" s="475">
        <f t="shared" si="28"/>
        <v>0</v>
      </c>
      <c r="BB64" s="481"/>
      <c r="BC64" s="481"/>
      <c r="BD64" s="481"/>
      <c r="BE64" s="481"/>
      <c r="BF64" s="453" t="str">
        <f t="shared" si="29"/>
        <v>-</v>
      </c>
      <c r="BG64" s="453" t="str">
        <f t="shared" si="30"/>
        <v>-</v>
      </c>
      <c r="BH64" s="453" t="str">
        <f t="shared" si="31"/>
        <v>-</v>
      </c>
      <c r="BI64" s="453" t="str">
        <f t="shared" si="32"/>
        <v>-</v>
      </c>
      <c r="BJ64" s="453" t="str">
        <f t="shared" si="33"/>
        <v>-</v>
      </c>
      <c r="BK64" s="390" t="str">
        <f t="shared" si="34"/>
        <v>-</v>
      </c>
      <c r="BL64" s="125"/>
      <c r="BM64" s="92"/>
      <c r="BN64" s="386">
        <f t="shared" si="20"/>
        <v>0</v>
      </c>
    </row>
    <row r="65" spans="1:66" s="89" customFormat="1" ht="16.350000000000001" customHeight="1">
      <c r="A65" s="175">
        <f t="shared" si="0"/>
        <v>2022</v>
      </c>
      <c r="B65" s="454" t="str">
        <f t="shared" si="1"/>
        <v>07</v>
      </c>
      <c r="C65" s="454" t="str">
        <f t="array" ref="C65">_xlfn.IFS(_xlfn.NUMBERVALUE(B65)&lt;=13,"Q1",AND(_xlfn.NUMBERVALUE(B65)&gt;13,_xlfn.NUMBERVALUE(B65)&lt;=26),"Q2", AND(_xlfn.NUMBERVALUE(B65)&gt;26,_xlfn.NUMBERVALUE(B65)&lt;=39),"Q3",_xlfn.NUMBERVALUE(B65)&gt;39,"Q4")</f>
        <v>Q1</v>
      </c>
      <c r="D65" s="448">
        <f t="shared" si="21"/>
        <v>44268</v>
      </c>
      <c r="E65" s="448">
        <f t="shared" si="2"/>
        <v>44274</v>
      </c>
      <c r="F65" s="480">
        <v>202107</v>
      </c>
      <c r="G65" s="180">
        <f t="shared" si="3"/>
        <v>0</v>
      </c>
      <c r="H65" s="429"/>
      <c r="I65" s="429"/>
      <c r="J65" s="474">
        <f t="shared" si="4"/>
        <v>0</v>
      </c>
      <c r="K65" s="474">
        <f t="shared" si="5"/>
        <v>0</v>
      </c>
      <c r="L65" s="481"/>
      <c r="M65" s="481"/>
      <c r="N65" s="481"/>
      <c r="O65" s="474">
        <f t="shared" si="6"/>
        <v>0</v>
      </c>
      <c r="P65" s="474">
        <f t="shared" si="7"/>
        <v>0</v>
      </c>
      <c r="Q65" s="474">
        <f t="shared" si="8"/>
        <v>0</v>
      </c>
      <c r="R65" s="449">
        <f>Forecast!J60</f>
        <v>0</v>
      </c>
      <c r="S65" s="449">
        <f>Forecast!N60</f>
        <v>0</v>
      </c>
      <c r="T65" s="475">
        <f t="shared" si="9"/>
        <v>0</v>
      </c>
      <c r="U65" s="475">
        <f t="shared" si="10"/>
        <v>0</v>
      </c>
      <c r="V65" s="349">
        <f t="shared" si="11"/>
        <v>0</v>
      </c>
      <c r="W65" s="350">
        <f t="shared" si="12"/>
        <v>0</v>
      </c>
      <c r="X65" s="469">
        <f>'Channel &amp; Campaign Metrics'!AR64</f>
        <v>0</v>
      </c>
      <c r="Y65" s="469">
        <f>'Channel &amp; Campaign Metrics'!BS64</f>
        <v>0</v>
      </c>
      <c r="Z65" s="430"/>
      <c r="AA65" s="111"/>
      <c r="AB65" s="358">
        <f>'Glass Metrics'!AC65</f>
        <v>0</v>
      </c>
      <c r="AC65" s="475">
        <f>'Glass Metrics'!I65</f>
        <v>0</v>
      </c>
      <c r="AD65" s="469">
        <f>'Glass Metrics'!N65</f>
        <v>0</v>
      </c>
      <c r="AE65" s="475">
        <f>'Glass Metrics'!S65</f>
        <v>0</v>
      </c>
      <c r="AF65" s="359" t="str">
        <f t="shared" si="13"/>
        <v/>
      </c>
      <c r="AG65" s="477" t="str">
        <f t="shared" si="14"/>
        <v/>
      </c>
      <c r="AH65" s="472" t="str">
        <f t="shared" si="15"/>
        <v/>
      </c>
      <c r="AI65" s="360" t="str">
        <f t="shared" si="16"/>
        <v/>
      </c>
      <c r="AJ65" s="361" t="str">
        <f t="shared" si="24"/>
        <v/>
      </c>
      <c r="AK65" s="478"/>
      <c r="AL65" s="482"/>
      <c r="AM65" s="481"/>
      <c r="AN65" s="481"/>
      <c r="AO65" s="372" t="str">
        <f t="shared" si="25"/>
        <v/>
      </c>
      <c r="AP65" s="361"/>
      <c r="AQ65" s="482"/>
      <c r="AR65" s="478"/>
      <c r="AS65" s="187" t="str">
        <f t="shared" si="26"/>
        <v/>
      </c>
      <c r="AT65" s="118"/>
      <c r="AU65" s="483"/>
      <c r="AV65" s="484">
        <f t="shared" si="19"/>
        <v>0</v>
      </c>
      <c r="AW65" s="484"/>
      <c r="AX65" s="484"/>
      <c r="AY65" s="380"/>
      <c r="AZ65" s="358">
        <f t="shared" si="27"/>
        <v>0</v>
      </c>
      <c r="BA65" s="475">
        <f t="shared" si="28"/>
        <v>0</v>
      </c>
      <c r="BB65" s="481"/>
      <c r="BC65" s="481"/>
      <c r="BD65" s="481"/>
      <c r="BE65" s="481"/>
      <c r="BF65" s="453" t="str">
        <f t="shared" si="29"/>
        <v>-</v>
      </c>
      <c r="BG65" s="453" t="str">
        <f t="shared" si="30"/>
        <v>-</v>
      </c>
      <c r="BH65" s="453" t="str">
        <f t="shared" si="31"/>
        <v>-</v>
      </c>
      <c r="BI65" s="453" t="str">
        <f t="shared" si="32"/>
        <v>-</v>
      </c>
      <c r="BJ65" s="453" t="str">
        <f t="shared" si="33"/>
        <v>-</v>
      </c>
      <c r="BK65" s="390" t="str">
        <f t="shared" si="34"/>
        <v>-</v>
      </c>
      <c r="BL65" s="125"/>
      <c r="BM65" s="92"/>
      <c r="BN65" s="386">
        <f t="shared" si="20"/>
        <v>0</v>
      </c>
    </row>
    <row r="66" spans="1:66" s="89" customFormat="1" ht="16.350000000000001" customHeight="1">
      <c r="A66" s="175">
        <f t="shared" si="0"/>
        <v>2022</v>
      </c>
      <c r="B66" s="454" t="str">
        <f t="shared" si="1"/>
        <v>08</v>
      </c>
      <c r="C66" s="454" t="str">
        <f t="array" ref="C66">_xlfn.IFS(_xlfn.NUMBERVALUE(B66)&lt;=13,"Q1",AND(_xlfn.NUMBERVALUE(B66)&gt;13,_xlfn.NUMBERVALUE(B66)&lt;=26),"Q2", AND(_xlfn.NUMBERVALUE(B66)&gt;26,_xlfn.NUMBERVALUE(B66)&lt;=39),"Q3",_xlfn.NUMBERVALUE(B66)&gt;39,"Q4")</f>
        <v>Q1</v>
      </c>
      <c r="D66" s="448">
        <f t="shared" si="21"/>
        <v>44275</v>
      </c>
      <c r="E66" s="448">
        <f t="shared" si="2"/>
        <v>44281</v>
      </c>
      <c r="F66" s="480">
        <v>202108</v>
      </c>
      <c r="G66" s="180">
        <f t="shared" si="3"/>
        <v>0</v>
      </c>
      <c r="H66" s="429"/>
      <c r="I66" s="429"/>
      <c r="J66" s="474">
        <f t="shared" si="4"/>
        <v>0</v>
      </c>
      <c r="K66" s="474">
        <f t="shared" si="5"/>
        <v>0</v>
      </c>
      <c r="L66" s="481"/>
      <c r="M66" s="481"/>
      <c r="N66" s="481"/>
      <c r="O66" s="474">
        <f t="shared" si="6"/>
        <v>0</v>
      </c>
      <c r="P66" s="474">
        <f t="shared" si="7"/>
        <v>0</v>
      </c>
      <c r="Q66" s="474">
        <f t="shared" si="8"/>
        <v>0</v>
      </c>
      <c r="R66" s="449">
        <f>Forecast!J61</f>
        <v>0</v>
      </c>
      <c r="S66" s="449">
        <f>Forecast!N61</f>
        <v>0</v>
      </c>
      <c r="T66" s="475">
        <f t="shared" si="9"/>
        <v>0</v>
      </c>
      <c r="U66" s="475">
        <f t="shared" si="10"/>
        <v>0</v>
      </c>
      <c r="V66" s="349">
        <f t="shared" si="11"/>
        <v>0</v>
      </c>
      <c r="W66" s="350">
        <f t="shared" si="12"/>
        <v>0</v>
      </c>
      <c r="X66" s="469">
        <f>'Channel &amp; Campaign Metrics'!AR65</f>
        <v>0</v>
      </c>
      <c r="Y66" s="469">
        <f>'Channel &amp; Campaign Metrics'!BS65</f>
        <v>0</v>
      </c>
      <c r="Z66" s="430"/>
      <c r="AA66" s="111"/>
      <c r="AB66" s="358">
        <f>'Glass Metrics'!AC66</f>
        <v>0</v>
      </c>
      <c r="AC66" s="475">
        <f>'Glass Metrics'!I66</f>
        <v>0</v>
      </c>
      <c r="AD66" s="469">
        <f>'Glass Metrics'!N66</f>
        <v>0</v>
      </c>
      <c r="AE66" s="475">
        <f>'Glass Metrics'!S66</f>
        <v>0</v>
      </c>
      <c r="AF66" s="359" t="str">
        <f t="shared" si="13"/>
        <v/>
      </c>
      <c r="AG66" s="477" t="str">
        <f t="shared" si="14"/>
        <v/>
      </c>
      <c r="AH66" s="472" t="str">
        <f t="shared" si="15"/>
        <v/>
      </c>
      <c r="AI66" s="360" t="str">
        <f t="shared" si="16"/>
        <v/>
      </c>
      <c r="AJ66" s="361" t="str">
        <f t="shared" si="24"/>
        <v/>
      </c>
      <c r="AK66" s="478"/>
      <c r="AL66" s="482"/>
      <c r="AM66" s="481"/>
      <c r="AN66" s="481"/>
      <c r="AO66" s="372" t="str">
        <f t="shared" si="25"/>
        <v/>
      </c>
      <c r="AP66" s="361"/>
      <c r="AQ66" s="482"/>
      <c r="AR66" s="478"/>
      <c r="AS66" s="187" t="str">
        <f t="shared" si="26"/>
        <v/>
      </c>
      <c r="AT66" s="118"/>
      <c r="AU66" s="483"/>
      <c r="AV66" s="484">
        <f t="shared" si="19"/>
        <v>0</v>
      </c>
      <c r="AW66" s="484"/>
      <c r="AX66" s="484"/>
      <c r="AY66" s="380"/>
      <c r="AZ66" s="358">
        <f t="shared" si="27"/>
        <v>0</v>
      </c>
      <c r="BA66" s="475">
        <f t="shared" si="28"/>
        <v>0</v>
      </c>
      <c r="BB66" s="481"/>
      <c r="BC66" s="481"/>
      <c r="BD66" s="481"/>
      <c r="BE66" s="481"/>
      <c r="BF66" s="453" t="str">
        <f t="shared" si="29"/>
        <v>-</v>
      </c>
      <c r="BG66" s="453" t="str">
        <f t="shared" si="30"/>
        <v>-</v>
      </c>
      <c r="BH66" s="453" t="str">
        <f t="shared" si="31"/>
        <v>-</v>
      </c>
      <c r="BI66" s="453" t="str">
        <f t="shared" si="32"/>
        <v>-</v>
      </c>
      <c r="BJ66" s="453" t="str">
        <f t="shared" si="33"/>
        <v>-</v>
      </c>
      <c r="BK66" s="390" t="str">
        <f t="shared" si="34"/>
        <v>-</v>
      </c>
      <c r="BL66" s="125"/>
      <c r="BM66" s="92"/>
      <c r="BN66" s="386">
        <f t="shared" si="20"/>
        <v>0</v>
      </c>
    </row>
    <row r="67" spans="1:66" s="89" customFormat="1" ht="16.350000000000001" customHeight="1">
      <c r="A67" s="175">
        <f t="shared" si="0"/>
        <v>2022</v>
      </c>
      <c r="B67" s="454" t="str">
        <f t="shared" si="1"/>
        <v>09</v>
      </c>
      <c r="C67" s="454" t="str">
        <f t="array" ref="C67">_xlfn.IFS(_xlfn.NUMBERVALUE(B67)&lt;=13,"Q1",AND(_xlfn.NUMBERVALUE(B67)&gt;13,_xlfn.NUMBERVALUE(B67)&lt;=26),"Q2", AND(_xlfn.NUMBERVALUE(B67)&gt;26,_xlfn.NUMBERVALUE(B67)&lt;=39),"Q3",_xlfn.NUMBERVALUE(B67)&gt;39,"Q4")</f>
        <v>Q1</v>
      </c>
      <c r="D67" s="448">
        <f t="shared" si="21"/>
        <v>44282</v>
      </c>
      <c r="E67" s="448">
        <f t="shared" si="2"/>
        <v>44288</v>
      </c>
      <c r="F67" s="480">
        <v>202109</v>
      </c>
      <c r="G67" s="180">
        <f t="shared" si="3"/>
        <v>0</v>
      </c>
      <c r="H67" s="429"/>
      <c r="I67" s="429"/>
      <c r="J67" s="474">
        <f t="shared" si="4"/>
        <v>0</v>
      </c>
      <c r="K67" s="474">
        <f t="shared" si="5"/>
        <v>0</v>
      </c>
      <c r="L67" s="481"/>
      <c r="M67" s="481"/>
      <c r="N67" s="481"/>
      <c r="O67" s="474">
        <f t="shared" si="6"/>
        <v>0</v>
      </c>
      <c r="P67" s="474">
        <f t="shared" si="7"/>
        <v>0</v>
      </c>
      <c r="Q67" s="474">
        <f t="shared" si="8"/>
        <v>0</v>
      </c>
      <c r="R67" s="449">
        <f>Forecast!J62</f>
        <v>0</v>
      </c>
      <c r="S67" s="449">
        <f>Forecast!N62</f>
        <v>0</v>
      </c>
      <c r="T67" s="475">
        <f t="shared" si="9"/>
        <v>0</v>
      </c>
      <c r="U67" s="475">
        <f t="shared" si="10"/>
        <v>0</v>
      </c>
      <c r="V67" s="349">
        <f t="shared" si="11"/>
        <v>0</v>
      </c>
      <c r="W67" s="350">
        <f t="shared" si="12"/>
        <v>0</v>
      </c>
      <c r="X67" s="469">
        <f>'Channel &amp; Campaign Metrics'!AR66</f>
        <v>0</v>
      </c>
      <c r="Y67" s="469">
        <f>'Channel &amp; Campaign Metrics'!BS66</f>
        <v>0</v>
      </c>
      <c r="Z67" s="430"/>
      <c r="AA67" s="111"/>
      <c r="AB67" s="358">
        <f>'Glass Metrics'!AC67</f>
        <v>0</v>
      </c>
      <c r="AC67" s="475">
        <f>'Glass Metrics'!I67</f>
        <v>0</v>
      </c>
      <c r="AD67" s="469">
        <f>'Glass Metrics'!N67</f>
        <v>0</v>
      </c>
      <c r="AE67" s="475">
        <f>'Glass Metrics'!S67</f>
        <v>0</v>
      </c>
      <c r="AF67" s="359" t="str">
        <f t="shared" si="13"/>
        <v/>
      </c>
      <c r="AG67" s="477" t="str">
        <f t="shared" si="14"/>
        <v/>
      </c>
      <c r="AH67" s="472" t="str">
        <f t="shared" si="15"/>
        <v/>
      </c>
      <c r="AI67" s="360" t="str">
        <f t="shared" si="16"/>
        <v/>
      </c>
      <c r="AJ67" s="361" t="str">
        <f t="shared" si="24"/>
        <v/>
      </c>
      <c r="AK67" s="478"/>
      <c r="AL67" s="482"/>
      <c r="AM67" s="481"/>
      <c r="AN67" s="481"/>
      <c r="AO67" s="372" t="str">
        <f t="shared" si="25"/>
        <v/>
      </c>
      <c r="AP67" s="361"/>
      <c r="AQ67" s="487"/>
      <c r="AR67" s="478"/>
      <c r="AS67" s="187" t="str">
        <f t="shared" si="26"/>
        <v/>
      </c>
      <c r="AT67" s="118"/>
      <c r="AU67" s="483"/>
      <c r="AV67" s="484">
        <f t="shared" si="19"/>
        <v>0</v>
      </c>
      <c r="AW67" s="484"/>
      <c r="AX67" s="484"/>
      <c r="AY67" s="380"/>
      <c r="AZ67" s="358">
        <f t="shared" si="27"/>
        <v>0</v>
      </c>
      <c r="BA67" s="475">
        <f t="shared" si="28"/>
        <v>0</v>
      </c>
      <c r="BB67" s="481"/>
      <c r="BC67" s="481"/>
      <c r="BD67" s="481"/>
      <c r="BE67" s="481"/>
      <c r="BF67" s="453" t="str">
        <f t="shared" si="29"/>
        <v>-</v>
      </c>
      <c r="BG67" s="453" t="str">
        <f t="shared" si="30"/>
        <v>-</v>
      </c>
      <c r="BH67" s="453" t="str">
        <f t="shared" si="31"/>
        <v>-</v>
      </c>
      <c r="BI67" s="453" t="str">
        <f t="shared" si="32"/>
        <v>-</v>
      </c>
      <c r="BJ67" s="453" t="str">
        <f t="shared" si="33"/>
        <v>-</v>
      </c>
      <c r="BK67" s="390" t="str">
        <f t="shared" si="34"/>
        <v>-</v>
      </c>
      <c r="BL67" s="125"/>
      <c r="BM67" s="92"/>
      <c r="BN67" s="386">
        <f t="shared" si="20"/>
        <v>0</v>
      </c>
    </row>
    <row r="68" spans="1:66" s="89" customFormat="1" ht="16.350000000000001" customHeight="1">
      <c r="A68" s="175">
        <f t="shared" si="0"/>
        <v>2022</v>
      </c>
      <c r="B68" s="454" t="str">
        <f t="shared" si="1"/>
        <v>10</v>
      </c>
      <c r="C68" s="454" t="str">
        <f t="array" ref="C68">_xlfn.IFS(_xlfn.NUMBERVALUE(B68)&lt;=13,"Q1",AND(_xlfn.NUMBERVALUE(B68)&gt;13,_xlfn.NUMBERVALUE(B68)&lt;=26),"Q2", AND(_xlfn.NUMBERVALUE(B68)&gt;26,_xlfn.NUMBERVALUE(B68)&lt;=39),"Q3",_xlfn.NUMBERVALUE(B68)&gt;39,"Q4")</f>
        <v>Q1</v>
      </c>
      <c r="D68" s="448">
        <f t="shared" si="21"/>
        <v>44289</v>
      </c>
      <c r="E68" s="448">
        <f t="shared" si="2"/>
        <v>44295</v>
      </c>
      <c r="F68" s="480">
        <v>202110</v>
      </c>
      <c r="G68" s="180">
        <f t="shared" si="3"/>
        <v>0</v>
      </c>
      <c r="H68" s="429"/>
      <c r="I68" s="429"/>
      <c r="J68" s="474">
        <f t="shared" si="4"/>
        <v>0</v>
      </c>
      <c r="K68" s="474">
        <f t="shared" si="5"/>
        <v>0</v>
      </c>
      <c r="L68" s="481"/>
      <c r="M68" s="481"/>
      <c r="N68" s="481"/>
      <c r="O68" s="474">
        <f t="shared" si="6"/>
        <v>0</v>
      </c>
      <c r="P68" s="474">
        <f t="shared" si="7"/>
        <v>0</v>
      </c>
      <c r="Q68" s="474">
        <f t="shared" si="8"/>
        <v>0</v>
      </c>
      <c r="R68" s="449">
        <f>Forecast!J63</f>
        <v>0</v>
      </c>
      <c r="S68" s="449">
        <f>Forecast!N63</f>
        <v>0</v>
      </c>
      <c r="T68" s="475">
        <f t="shared" si="9"/>
        <v>0</v>
      </c>
      <c r="U68" s="475">
        <f t="shared" si="10"/>
        <v>0</v>
      </c>
      <c r="V68" s="349">
        <f t="shared" si="11"/>
        <v>0</v>
      </c>
      <c r="W68" s="350">
        <f t="shared" si="12"/>
        <v>0</v>
      </c>
      <c r="X68" s="469">
        <f>'Channel &amp; Campaign Metrics'!AR67</f>
        <v>0</v>
      </c>
      <c r="Y68" s="469">
        <f>'Channel &amp; Campaign Metrics'!BS67</f>
        <v>0</v>
      </c>
      <c r="Z68" s="430"/>
      <c r="AA68" s="111"/>
      <c r="AB68" s="358">
        <f>'Glass Metrics'!AC68</f>
        <v>0</v>
      </c>
      <c r="AC68" s="475">
        <f>'Glass Metrics'!I68</f>
        <v>0</v>
      </c>
      <c r="AD68" s="469">
        <f>'Glass Metrics'!N68</f>
        <v>0</v>
      </c>
      <c r="AE68" s="475">
        <f>'Glass Metrics'!S68</f>
        <v>0</v>
      </c>
      <c r="AF68" s="359" t="str">
        <f t="shared" si="13"/>
        <v/>
      </c>
      <c r="AG68" s="477" t="str">
        <f t="shared" si="14"/>
        <v/>
      </c>
      <c r="AH68" s="472" t="str">
        <f t="shared" si="15"/>
        <v/>
      </c>
      <c r="AI68" s="360" t="str">
        <f t="shared" si="16"/>
        <v/>
      </c>
      <c r="AJ68" s="361" t="str">
        <f t="shared" si="24"/>
        <v/>
      </c>
      <c r="AK68" s="478"/>
      <c r="AL68" s="482"/>
      <c r="AM68" s="481"/>
      <c r="AN68" s="481"/>
      <c r="AO68" s="372" t="str">
        <f t="shared" si="25"/>
        <v/>
      </c>
      <c r="AP68" s="361"/>
      <c r="AQ68" s="487"/>
      <c r="AR68" s="482"/>
      <c r="AS68" s="187" t="str">
        <f t="shared" si="26"/>
        <v/>
      </c>
      <c r="AT68" s="118"/>
      <c r="AU68" s="483"/>
      <c r="AV68" s="484">
        <f t="shared" si="19"/>
        <v>0</v>
      </c>
      <c r="AW68" s="484"/>
      <c r="AX68" s="484"/>
      <c r="AY68" s="380"/>
      <c r="AZ68" s="358">
        <f t="shared" si="27"/>
        <v>0</v>
      </c>
      <c r="BA68" s="475">
        <f t="shared" si="28"/>
        <v>0</v>
      </c>
      <c r="BB68" s="481"/>
      <c r="BC68" s="481"/>
      <c r="BD68" s="481"/>
      <c r="BE68" s="481"/>
      <c r="BF68" s="453" t="str">
        <f t="shared" si="29"/>
        <v>-</v>
      </c>
      <c r="BG68" s="453" t="str">
        <f t="shared" si="30"/>
        <v>-</v>
      </c>
      <c r="BH68" s="453" t="str">
        <f t="shared" si="31"/>
        <v>-</v>
      </c>
      <c r="BI68" s="453" t="str">
        <f t="shared" si="32"/>
        <v>-</v>
      </c>
      <c r="BJ68" s="453" t="str">
        <f t="shared" si="33"/>
        <v>-</v>
      </c>
      <c r="BK68" s="390" t="str">
        <f t="shared" si="34"/>
        <v>-</v>
      </c>
      <c r="BL68" s="125"/>
      <c r="BM68" s="92"/>
      <c r="BN68" s="386">
        <f t="shared" si="20"/>
        <v>0</v>
      </c>
    </row>
    <row r="69" spans="1:66" s="89" customFormat="1" ht="16.350000000000001" customHeight="1">
      <c r="A69" s="175">
        <f t="shared" si="0"/>
        <v>2022</v>
      </c>
      <c r="B69" s="454" t="str">
        <f t="shared" si="1"/>
        <v>11</v>
      </c>
      <c r="C69" s="454" t="str">
        <f t="array" ref="C69">_xlfn.IFS(_xlfn.NUMBERVALUE(B69)&lt;=13,"Q1",AND(_xlfn.NUMBERVALUE(B69)&gt;13,_xlfn.NUMBERVALUE(B69)&lt;=26),"Q2", AND(_xlfn.NUMBERVALUE(B69)&gt;26,_xlfn.NUMBERVALUE(B69)&lt;=39),"Q3",_xlfn.NUMBERVALUE(B69)&gt;39,"Q4")</f>
        <v>Q1</v>
      </c>
      <c r="D69" s="448">
        <f t="shared" si="21"/>
        <v>44296</v>
      </c>
      <c r="E69" s="448">
        <f t="shared" si="2"/>
        <v>44302</v>
      </c>
      <c r="F69" s="480">
        <v>202111</v>
      </c>
      <c r="G69" s="180">
        <f t="shared" si="3"/>
        <v>0</v>
      </c>
      <c r="H69" s="429"/>
      <c r="I69" s="429"/>
      <c r="J69" s="474">
        <f t="shared" si="4"/>
        <v>0</v>
      </c>
      <c r="K69" s="474">
        <f t="shared" si="5"/>
        <v>0</v>
      </c>
      <c r="L69" s="481"/>
      <c r="M69" s="481"/>
      <c r="N69" s="481"/>
      <c r="O69" s="474">
        <f t="shared" si="6"/>
        <v>0</v>
      </c>
      <c r="P69" s="474">
        <f t="shared" si="7"/>
        <v>0</v>
      </c>
      <c r="Q69" s="474">
        <f t="shared" si="8"/>
        <v>0</v>
      </c>
      <c r="R69" s="449">
        <f>Forecast!J64</f>
        <v>0</v>
      </c>
      <c r="S69" s="449">
        <f>Forecast!N64</f>
        <v>0</v>
      </c>
      <c r="T69" s="475">
        <f t="shared" si="9"/>
        <v>0</v>
      </c>
      <c r="U69" s="475">
        <f t="shared" si="10"/>
        <v>0</v>
      </c>
      <c r="V69" s="349">
        <f t="shared" si="11"/>
        <v>0</v>
      </c>
      <c r="W69" s="350">
        <f t="shared" si="12"/>
        <v>0</v>
      </c>
      <c r="X69" s="469">
        <f>'Channel &amp; Campaign Metrics'!AR68</f>
        <v>0</v>
      </c>
      <c r="Y69" s="469">
        <f>'Channel &amp; Campaign Metrics'!BS68</f>
        <v>0</v>
      </c>
      <c r="Z69" s="430"/>
      <c r="AA69" s="111"/>
      <c r="AB69" s="358">
        <f>'Glass Metrics'!AC69</f>
        <v>0</v>
      </c>
      <c r="AC69" s="475">
        <f>'Glass Metrics'!I69</f>
        <v>0</v>
      </c>
      <c r="AD69" s="469">
        <f>'Glass Metrics'!N69</f>
        <v>0</v>
      </c>
      <c r="AE69" s="475">
        <f>'Glass Metrics'!S69</f>
        <v>0</v>
      </c>
      <c r="AF69" s="359" t="str">
        <f t="shared" si="13"/>
        <v/>
      </c>
      <c r="AG69" s="477" t="str">
        <f t="shared" si="14"/>
        <v/>
      </c>
      <c r="AH69" s="472" t="str">
        <f t="shared" si="15"/>
        <v/>
      </c>
      <c r="AI69" s="360" t="str">
        <f t="shared" si="16"/>
        <v/>
      </c>
      <c r="AJ69" s="361" t="str">
        <f t="shared" si="24"/>
        <v/>
      </c>
      <c r="AK69" s="478"/>
      <c r="AL69" s="482"/>
      <c r="AM69" s="481"/>
      <c r="AN69" s="481"/>
      <c r="AO69" s="372" t="str">
        <f t="shared" si="25"/>
        <v/>
      </c>
      <c r="AP69" s="361"/>
      <c r="AQ69" s="482"/>
      <c r="AR69" s="482"/>
      <c r="AS69" s="187" t="str">
        <f t="shared" si="26"/>
        <v/>
      </c>
      <c r="AT69" s="118"/>
      <c r="AU69" s="483"/>
      <c r="AV69" s="484">
        <f t="shared" si="19"/>
        <v>0</v>
      </c>
      <c r="AW69" s="484"/>
      <c r="AX69" s="484"/>
      <c r="AY69" s="380"/>
      <c r="AZ69" s="358">
        <f t="shared" si="27"/>
        <v>0</v>
      </c>
      <c r="BA69" s="475">
        <f t="shared" si="28"/>
        <v>0</v>
      </c>
      <c r="BB69" s="481"/>
      <c r="BC69" s="481"/>
      <c r="BD69" s="481"/>
      <c r="BE69" s="481"/>
      <c r="BF69" s="453" t="str">
        <f t="shared" si="29"/>
        <v>-</v>
      </c>
      <c r="BG69" s="453" t="str">
        <f t="shared" si="30"/>
        <v>-</v>
      </c>
      <c r="BH69" s="453" t="str">
        <f t="shared" si="31"/>
        <v>-</v>
      </c>
      <c r="BI69" s="453" t="str">
        <f t="shared" si="32"/>
        <v>-</v>
      </c>
      <c r="BJ69" s="453" t="str">
        <f t="shared" si="33"/>
        <v>-</v>
      </c>
      <c r="BK69" s="390" t="str">
        <f t="shared" si="34"/>
        <v>-</v>
      </c>
      <c r="BL69" s="125"/>
      <c r="BM69" s="92"/>
      <c r="BN69" s="386">
        <f t="shared" si="20"/>
        <v>0</v>
      </c>
    </row>
    <row r="70" spans="1:66" s="89" customFormat="1" ht="16.350000000000001" customHeight="1">
      <c r="A70" s="175">
        <f t="shared" si="0"/>
        <v>2022</v>
      </c>
      <c r="B70" s="454" t="str">
        <f t="shared" si="1"/>
        <v>12</v>
      </c>
      <c r="C70" s="454" t="str">
        <f t="array" ref="C70">_xlfn.IFS(_xlfn.NUMBERVALUE(B70)&lt;=13,"Q1",AND(_xlfn.NUMBERVALUE(B70)&gt;13,_xlfn.NUMBERVALUE(B70)&lt;=26),"Q2", AND(_xlfn.NUMBERVALUE(B70)&gt;26,_xlfn.NUMBERVALUE(B70)&lt;=39),"Q3",_xlfn.NUMBERVALUE(B70)&gt;39,"Q4")</f>
        <v>Q1</v>
      </c>
      <c r="D70" s="448">
        <f t="shared" si="21"/>
        <v>44303</v>
      </c>
      <c r="E70" s="448">
        <f t="shared" si="2"/>
        <v>44309</v>
      </c>
      <c r="F70" s="480">
        <v>202112</v>
      </c>
      <c r="G70" s="180">
        <f t="shared" si="3"/>
        <v>0</v>
      </c>
      <c r="H70" s="429"/>
      <c r="I70" s="429"/>
      <c r="J70" s="474">
        <f t="shared" si="4"/>
        <v>0</v>
      </c>
      <c r="K70" s="474">
        <f t="shared" si="5"/>
        <v>0</v>
      </c>
      <c r="L70" s="481"/>
      <c r="M70" s="481"/>
      <c r="N70" s="481"/>
      <c r="O70" s="474">
        <f t="shared" si="6"/>
        <v>0</v>
      </c>
      <c r="P70" s="474">
        <f t="shared" si="7"/>
        <v>0</v>
      </c>
      <c r="Q70" s="474">
        <f t="shared" si="8"/>
        <v>0</v>
      </c>
      <c r="R70" s="449">
        <f>Forecast!J65</f>
        <v>0</v>
      </c>
      <c r="S70" s="449">
        <f>Forecast!N65</f>
        <v>0</v>
      </c>
      <c r="T70" s="475">
        <f t="shared" si="9"/>
        <v>0</v>
      </c>
      <c r="U70" s="475">
        <f t="shared" si="10"/>
        <v>0</v>
      </c>
      <c r="V70" s="349">
        <f t="shared" si="11"/>
        <v>0</v>
      </c>
      <c r="W70" s="350">
        <f t="shared" si="12"/>
        <v>0</v>
      </c>
      <c r="X70" s="469">
        <f>'Channel &amp; Campaign Metrics'!AR69</f>
        <v>0</v>
      </c>
      <c r="Y70" s="469">
        <f>'Channel &amp; Campaign Metrics'!BS69</f>
        <v>0</v>
      </c>
      <c r="Z70" s="430"/>
      <c r="AA70" s="111"/>
      <c r="AB70" s="358">
        <f>'Glass Metrics'!AC70</f>
        <v>0</v>
      </c>
      <c r="AC70" s="475">
        <f>'Glass Metrics'!I70</f>
        <v>0</v>
      </c>
      <c r="AD70" s="469">
        <f>'Glass Metrics'!N70</f>
        <v>0</v>
      </c>
      <c r="AE70" s="475">
        <f>'Glass Metrics'!S70</f>
        <v>0</v>
      </c>
      <c r="AF70" s="359" t="str">
        <f t="shared" si="13"/>
        <v/>
      </c>
      <c r="AG70" s="477" t="str">
        <f t="shared" si="14"/>
        <v/>
      </c>
      <c r="AH70" s="472" t="str">
        <f t="shared" si="15"/>
        <v/>
      </c>
      <c r="AI70" s="360" t="str">
        <f t="shared" si="16"/>
        <v/>
      </c>
      <c r="AJ70" s="361" t="str">
        <f t="shared" si="24"/>
        <v/>
      </c>
      <c r="AK70" s="478"/>
      <c r="AL70" s="482"/>
      <c r="AM70" s="481"/>
      <c r="AN70" s="481"/>
      <c r="AO70" s="372" t="str">
        <f t="shared" si="25"/>
        <v/>
      </c>
      <c r="AP70" s="361"/>
      <c r="AQ70" s="482"/>
      <c r="AR70" s="482"/>
      <c r="AS70" s="187" t="str">
        <f t="shared" si="26"/>
        <v/>
      </c>
      <c r="AT70" s="118"/>
      <c r="AU70" s="483"/>
      <c r="AV70" s="484">
        <f t="shared" si="19"/>
        <v>0</v>
      </c>
      <c r="AW70" s="484"/>
      <c r="AX70" s="484"/>
      <c r="AY70" s="380"/>
      <c r="AZ70" s="358">
        <f t="shared" si="27"/>
        <v>0</v>
      </c>
      <c r="BA70" s="475">
        <f t="shared" si="28"/>
        <v>0</v>
      </c>
      <c r="BB70" s="481"/>
      <c r="BC70" s="481"/>
      <c r="BD70" s="481"/>
      <c r="BE70" s="481"/>
      <c r="BF70" s="453" t="str">
        <f t="shared" si="29"/>
        <v>-</v>
      </c>
      <c r="BG70" s="453" t="str">
        <f t="shared" si="30"/>
        <v>-</v>
      </c>
      <c r="BH70" s="453" t="str">
        <f t="shared" si="31"/>
        <v>-</v>
      </c>
      <c r="BI70" s="453" t="str">
        <f t="shared" si="32"/>
        <v>-</v>
      </c>
      <c r="BJ70" s="453" t="str">
        <f t="shared" si="33"/>
        <v>-</v>
      </c>
      <c r="BK70" s="390" t="str">
        <f t="shared" si="34"/>
        <v>-</v>
      </c>
      <c r="BL70" s="125"/>
      <c r="BM70" s="92"/>
      <c r="BN70" s="386">
        <f t="shared" si="20"/>
        <v>0</v>
      </c>
    </row>
    <row r="71" spans="1:66" s="89" customFormat="1" ht="16.350000000000001" customHeight="1">
      <c r="A71" s="175">
        <f t="shared" ref="A71:A134" si="35">LEFT(F71,4)+1</f>
        <v>2022</v>
      </c>
      <c r="B71" s="454" t="str">
        <f t="shared" ref="B71:B134" si="36">RIGHT(F71,2)</f>
        <v>13</v>
      </c>
      <c r="C71" s="454" t="str">
        <f t="array" ref="C71">_xlfn.IFS(_xlfn.NUMBERVALUE(B71)&lt;=13,"Q1",AND(_xlfn.NUMBERVALUE(B71)&gt;13,_xlfn.NUMBERVALUE(B71)&lt;=26),"Q2", AND(_xlfn.NUMBERVALUE(B71)&gt;26,_xlfn.NUMBERVALUE(B71)&lt;=39),"Q3",_xlfn.NUMBERVALUE(B71)&gt;39,"Q4")</f>
        <v>Q1</v>
      </c>
      <c r="D71" s="448">
        <f t="shared" si="21"/>
        <v>44310</v>
      </c>
      <c r="E71" s="448">
        <f t="shared" ref="E71:E134" si="37">D71+6</f>
        <v>44316</v>
      </c>
      <c r="F71" s="480">
        <v>202113</v>
      </c>
      <c r="G71" s="180">
        <f t="shared" ref="G71:G134" si="38">SUM(H71:I71)</f>
        <v>0</v>
      </c>
      <c r="H71" s="429"/>
      <c r="I71" s="429"/>
      <c r="J71" s="474">
        <f t="shared" ref="J71:J134" si="39">IFERROR(H71/G71,0)</f>
        <v>0</v>
      </c>
      <c r="K71" s="474">
        <f t="shared" ref="K71:K134" si="40">IFERROR(I71/G71,0)</f>
        <v>0</v>
      </c>
      <c r="L71" s="481"/>
      <c r="M71" s="481"/>
      <c r="N71" s="481"/>
      <c r="O71" s="474">
        <f t="shared" ref="O71:O134" si="41">IFERROR(L71/$G71,0)</f>
        <v>0</v>
      </c>
      <c r="P71" s="474">
        <f t="shared" ref="P71:P134" si="42">IFERROR(M71/$G71,0)</f>
        <v>0</v>
      </c>
      <c r="Q71" s="474">
        <f t="shared" ref="Q71:Q134" si="43">IFERROR(N71/$G71,0)</f>
        <v>0</v>
      </c>
      <c r="R71" s="449">
        <f>Forecast!J66</f>
        <v>0</v>
      </c>
      <c r="S71" s="449">
        <f>Forecast!N66</f>
        <v>0</v>
      </c>
      <c r="T71" s="475">
        <f t="shared" ref="T71:T134" si="44">IF(OR(RIGHT(F71,2) = "01",G71 = 0),G71,T70+G71)</f>
        <v>0</v>
      </c>
      <c r="U71" s="475">
        <f t="shared" ref="U71:U134" si="45">IF(RIGHT(F71,2)="01",R71,R71+U70)</f>
        <v>0</v>
      </c>
      <c r="V71" s="349">
        <f t="shared" ref="V71:V134" si="46">IF(RIGHT(F71,2)="01",S71,S71+V70)</f>
        <v>0</v>
      </c>
      <c r="W71" s="350">
        <f t="shared" ref="W71:W134" si="47">X71+Y71</f>
        <v>0</v>
      </c>
      <c r="X71" s="469">
        <f>'Channel &amp; Campaign Metrics'!AR70</f>
        <v>0</v>
      </c>
      <c r="Y71" s="469">
        <f>'Channel &amp; Campaign Metrics'!BS70</f>
        <v>0</v>
      </c>
      <c r="Z71" s="430"/>
      <c r="AA71" s="111"/>
      <c r="AB71" s="358">
        <f>'Glass Metrics'!AC71</f>
        <v>0</v>
      </c>
      <c r="AC71" s="475">
        <f>'Glass Metrics'!I71</f>
        <v>0</v>
      </c>
      <c r="AD71" s="469">
        <f>'Glass Metrics'!N71</f>
        <v>0</v>
      </c>
      <c r="AE71" s="475">
        <f>'Glass Metrics'!S71</f>
        <v>0</v>
      </c>
      <c r="AF71" s="359" t="str">
        <f t="shared" ref="AF71:AF134" si="48">IFERROR(AE71/AB71,"")</f>
        <v/>
      </c>
      <c r="AG71" s="477" t="str">
        <f t="shared" ref="AG71:AG134" si="49">IFERROR(AC71/AE71,"")</f>
        <v/>
      </c>
      <c r="AH71" s="472" t="str">
        <f t="shared" ref="AH71:AH134" si="50">IFERROR(AD71/AC71,"")</f>
        <v/>
      </c>
      <c r="AI71" s="360" t="str">
        <f t="shared" ref="AI71:AI134" si="51">IFERROR(G71/AB71,"")</f>
        <v/>
      </c>
      <c r="AJ71" s="361" t="str">
        <f t="shared" si="24"/>
        <v/>
      </c>
      <c r="AK71" s="482"/>
      <c r="AL71" s="482"/>
      <c r="AM71" s="481"/>
      <c r="AN71" s="481"/>
      <c r="AO71" s="372" t="str">
        <f t="shared" si="25"/>
        <v/>
      </c>
      <c r="AP71" s="361"/>
      <c r="AQ71" s="482"/>
      <c r="AR71" s="482"/>
      <c r="AS71" s="187" t="str">
        <f t="shared" si="26"/>
        <v/>
      </c>
      <c r="AT71" s="118"/>
      <c r="AU71" s="483"/>
      <c r="AV71" s="484">
        <f t="shared" ref="AV71:AV134" si="52">SUM(AT71:AU71)</f>
        <v>0</v>
      </c>
      <c r="AW71" s="484"/>
      <c r="AX71" s="484"/>
      <c r="AY71" s="380"/>
      <c r="AZ71" s="358">
        <f t="shared" si="27"/>
        <v>0</v>
      </c>
      <c r="BA71" s="475">
        <f t="shared" si="28"/>
        <v>0</v>
      </c>
      <c r="BB71" s="481"/>
      <c r="BC71" s="481"/>
      <c r="BD71" s="481"/>
      <c r="BE71" s="481"/>
      <c r="BF71" s="453" t="str">
        <f t="shared" si="29"/>
        <v>-</v>
      </c>
      <c r="BG71" s="453" t="str">
        <f t="shared" si="30"/>
        <v>-</v>
      </c>
      <c r="BH71" s="453" t="str">
        <f t="shared" si="31"/>
        <v>-</v>
      </c>
      <c r="BI71" s="453" t="str">
        <f t="shared" si="32"/>
        <v>-</v>
      </c>
      <c r="BJ71" s="453" t="str">
        <f t="shared" si="33"/>
        <v>-</v>
      </c>
      <c r="BK71" s="390" t="str">
        <f t="shared" si="34"/>
        <v>-</v>
      </c>
      <c r="BL71" s="125"/>
      <c r="BM71" s="92"/>
      <c r="BN71" s="386">
        <f t="shared" ref="BN71:BN134" si="53">SUM(BL71:BM71)</f>
        <v>0</v>
      </c>
    </row>
    <row r="72" spans="1:66" s="89" customFormat="1" ht="16.350000000000001" customHeight="1">
      <c r="A72" s="175">
        <f t="shared" si="35"/>
        <v>2022</v>
      </c>
      <c r="B72" s="454" t="str">
        <f t="shared" si="36"/>
        <v>14</v>
      </c>
      <c r="C72" s="454" t="str">
        <f t="array" ref="C72">_xlfn.IFS(_xlfn.NUMBERVALUE(B72)&lt;=13,"Q1",AND(_xlfn.NUMBERVALUE(B72)&gt;13,_xlfn.NUMBERVALUE(B72)&lt;=26),"Q2", AND(_xlfn.NUMBERVALUE(B72)&gt;26,_xlfn.NUMBERVALUE(B72)&lt;=39),"Q3",_xlfn.NUMBERVALUE(B72)&gt;39,"Q4")</f>
        <v>Q2</v>
      </c>
      <c r="D72" s="448">
        <f t="shared" ref="D72:D135" si="54">E71+1</f>
        <v>44317</v>
      </c>
      <c r="E72" s="448">
        <f t="shared" si="37"/>
        <v>44323</v>
      </c>
      <c r="F72" s="480">
        <v>202114</v>
      </c>
      <c r="G72" s="180">
        <f t="shared" si="38"/>
        <v>0</v>
      </c>
      <c r="H72" s="429"/>
      <c r="I72" s="429"/>
      <c r="J72" s="474">
        <f t="shared" si="39"/>
        <v>0</v>
      </c>
      <c r="K72" s="474">
        <f t="shared" si="40"/>
        <v>0</v>
      </c>
      <c r="L72" s="481"/>
      <c r="M72" s="481"/>
      <c r="N72" s="481"/>
      <c r="O72" s="474">
        <f t="shared" si="41"/>
        <v>0</v>
      </c>
      <c r="P72" s="474">
        <f t="shared" si="42"/>
        <v>0</v>
      </c>
      <c r="Q72" s="474">
        <f t="shared" si="43"/>
        <v>0</v>
      </c>
      <c r="R72" s="449">
        <f>Forecast!J67</f>
        <v>0</v>
      </c>
      <c r="S72" s="449">
        <f>Forecast!N67</f>
        <v>0</v>
      </c>
      <c r="T72" s="475">
        <f t="shared" si="44"/>
        <v>0</v>
      </c>
      <c r="U72" s="475">
        <f t="shared" si="45"/>
        <v>0</v>
      </c>
      <c r="V72" s="349">
        <f t="shared" si="46"/>
        <v>0</v>
      </c>
      <c r="W72" s="350">
        <f t="shared" si="47"/>
        <v>0</v>
      </c>
      <c r="X72" s="469">
        <f>'Channel &amp; Campaign Metrics'!AR71</f>
        <v>0</v>
      </c>
      <c r="Y72" s="469">
        <f>'Channel &amp; Campaign Metrics'!BS71</f>
        <v>0</v>
      </c>
      <c r="Z72" s="430"/>
      <c r="AA72" s="111"/>
      <c r="AB72" s="358">
        <f>'Glass Metrics'!AC72</f>
        <v>0</v>
      </c>
      <c r="AC72" s="475">
        <f>'Glass Metrics'!I72</f>
        <v>0</v>
      </c>
      <c r="AD72" s="469">
        <f>'Glass Metrics'!N72</f>
        <v>0</v>
      </c>
      <c r="AE72" s="475">
        <f>'Glass Metrics'!S72</f>
        <v>0</v>
      </c>
      <c r="AF72" s="359" t="str">
        <f t="shared" si="48"/>
        <v/>
      </c>
      <c r="AG72" s="477" t="str">
        <f t="shared" si="49"/>
        <v/>
      </c>
      <c r="AH72" s="472" t="str">
        <f t="shared" si="50"/>
        <v/>
      </c>
      <c r="AI72" s="360" t="str">
        <f t="shared" si="51"/>
        <v/>
      </c>
      <c r="AJ72" s="361" t="str">
        <f t="shared" si="24"/>
        <v/>
      </c>
      <c r="AK72" s="482"/>
      <c r="AL72" s="482"/>
      <c r="AM72" s="481"/>
      <c r="AN72" s="481"/>
      <c r="AO72" s="372" t="str">
        <f t="shared" si="25"/>
        <v/>
      </c>
      <c r="AP72" s="361"/>
      <c r="AQ72" s="482"/>
      <c r="AR72" s="482"/>
      <c r="AS72" s="187" t="str">
        <f t="shared" si="26"/>
        <v/>
      </c>
      <c r="AT72" s="118"/>
      <c r="AU72" s="483"/>
      <c r="AV72" s="484">
        <f t="shared" si="52"/>
        <v>0</v>
      </c>
      <c r="AW72" s="484"/>
      <c r="AX72" s="484"/>
      <c r="AY72" s="380"/>
      <c r="AZ72" s="358">
        <f t="shared" si="27"/>
        <v>0</v>
      </c>
      <c r="BA72" s="475">
        <f t="shared" si="28"/>
        <v>0</v>
      </c>
      <c r="BB72" s="481"/>
      <c r="BC72" s="481"/>
      <c r="BD72" s="481"/>
      <c r="BE72" s="481"/>
      <c r="BF72" s="453" t="str">
        <f t="shared" si="29"/>
        <v>-</v>
      </c>
      <c r="BG72" s="453" t="str">
        <f t="shared" si="30"/>
        <v>-</v>
      </c>
      <c r="BH72" s="453" t="str">
        <f t="shared" si="31"/>
        <v>-</v>
      </c>
      <c r="BI72" s="453" t="str">
        <f t="shared" si="32"/>
        <v>-</v>
      </c>
      <c r="BJ72" s="453" t="str">
        <f t="shared" si="33"/>
        <v>-</v>
      </c>
      <c r="BK72" s="390" t="str">
        <f t="shared" si="34"/>
        <v>-</v>
      </c>
      <c r="BL72" s="125"/>
      <c r="BM72" s="92"/>
      <c r="BN72" s="386">
        <f t="shared" si="53"/>
        <v>0</v>
      </c>
    </row>
    <row r="73" spans="1:66" s="89" customFormat="1" ht="16.350000000000001" customHeight="1">
      <c r="A73" s="175">
        <f t="shared" si="35"/>
        <v>2022</v>
      </c>
      <c r="B73" s="454" t="str">
        <f t="shared" si="36"/>
        <v>15</v>
      </c>
      <c r="C73" s="454" t="str">
        <f t="array" ref="C73">_xlfn.IFS(_xlfn.NUMBERVALUE(B73)&lt;=13,"Q1",AND(_xlfn.NUMBERVALUE(B73)&gt;13,_xlfn.NUMBERVALUE(B73)&lt;=26),"Q2", AND(_xlfn.NUMBERVALUE(B73)&gt;26,_xlfn.NUMBERVALUE(B73)&lt;=39),"Q3",_xlfn.NUMBERVALUE(B73)&gt;39,"Q4")</f>
        <v>Q2</v>
      </c>
      <c r="D73" s="448">
        <f t="shared" si="54"/>
        <v>44324</v>
      </c>
      <c r="E73" s="448">
        <f t="shared" si="37"/>
        <v>44330</v>
      </c>
      <c r="F73" s="480">
        <v>202115</v>
      </c>
      <c r="G73" s="180">
        <f t="shared" si="38"/>
        <v>0</v>
      </c>
      <c r="H73" s="429"/>
      <c r="I73" s="429"/>
      <c r="J73" s="474">
        <f t="shared" si="39"/>
        <v>0</v>
      </c>
      <c r="K73" s="474">
        <f t="shared" si="40"/>
        <v>0</v>
      </c>
      <c r="L73" s="481"/>
      <c r="M73" s="481"/>
      <c r="N73" s="481"/>
      <c r="O73" s="474">
        <f t="shared" si="41"/>
        <v>0</v>
      </c>
      <c r="P73" s="474">
        <f t="shared" si="42"/>
        <v>0</v>
      </c>
      <c r="Q73" s="474">
        <f t="shared" si="43"/>
        <v>0</v>
      </c>
      <c r="R73" s="449">
        <f>Forecast!J68</f>
        <v>0</v>
      </c>
      <c r="S73" s="449">
        <f>Forecast!N68</f>
        <v>0</v>
      </c>
      <c r="T73" s="475">
        <f t="shared" si="44"/>
        <v>0</v>
      </c>
      <c r="U73" s="475">
        <f t="shared" si="45"/>
        <v>0</v>
      </c>
      <c r="V73" s="349">
        <f t="shared" si="46"/>
        <v>0</v>
      </c>
      <c r="W73" s="350">
        <f t="shared" si="47"/>
        <v>0</v>
      </c>
      <c r="X73" s="469">
        <f>'Channel &amp; Campaign Metrics'!AR72</f>
        <v>0</v>
      </c>
      <c r="Y73" s="469">
        <f>'Channel &amp; Campaign Metrics'!BS72</f>
        <v>0</v>
      </c>
      <c r="Z73" s="430"/>
      <c r="AA73" s="111"/>
      <c r="AB73" s="358">
        <f>'Glass Metrics'!AC73</f>
        <v>0</v>
      </c>
      <c r="AC73" s="475">
        <f>'Glass Metrics'!I73</f>
        <v>0</v>
      </c>
      <c r="AD73" s="469">
        <f>'Glass Metrics'!N73</f>
        <v>0</v>
      </c>
      <c r="AE73" s="475">
        <f>'Glass Metrics'!S73</f>
        <v>0</v>
      </c>
      <c r="AF73" s="359" t="str">
        <f t="shared" si="48"/>
        <v/>
      </c>
      <c r="AG73" s="477" t="str">
        <f t="shared" si="49"/>
        <v/>
      </c>
      <c r="AH73" s="472" t="str">
        <f t="shared" si="50"/>
        <v/>
      </c>
      <c r="AI73" s="360" t="str">
        <f t="shared" si="51"/>
        <v/>
      </c>
      <c r="AJ73" s="361" t="str">
        <f t="shared" si="24"/>
        <v/>
      </c>
      <c r="AK73" s="482"/>
      <c r="AL73" s="482"/>
      <c r="AM73" s="481"/>
      <c r="AN73" s="481"/>
      <c r="AO73" s="372" t="str">
        <f t="shared" si="25"/>
        <v/>
      </c>
      <c r="AP73" s="361"/>
      <c r="AQ73" s="482"/>
      <c r="AR73" s="482"/>
      <c r="AS73" s="187" t="str">
        <f t="shared" si="26"/>
        <v/>
      </c>
      <c r="AT73" s="118"/>
      <c r="AU73" s="483"/>
      <c r="AV73" s="484">
        <f t="shared" si="52"/>
        <v>0</v>
      </c>
      <c r="AW73" s="484"/>
      <c r="AX73" s="484"/>
      <c r="AY73" s="380"/>
      <c r="AZ73" s="358">
        <f t="shared" si="27"/>
        <v>0</v>
      </c>
      <c r="BA73" s="475">
        <f t="shared" si="28"/>
        <v>0</v>
      </c>
      <c r="BB73" s="481"/>
      <c r="BC73" s="481"/>
      <c r="BD73" s="481"/>
      <c r="BE73" s="481"/>
      <c r="BF73" s="453" t="str">
        <f t="shared" si="29"/>
        <v>-</v>
      </c>
      <c r="BG73" s="453" t="str">
        <f t="shared" si="30"/>
        <v>-</v>
      </c>
      <c r="BH73" s="453" t="str">
        <f t="shared" si="31"/>
        <v>-</v>
      </c>
      <c r="BI73" s="453" t="str">
        <f t="shared" si="32"/>
        <v>-</v>
      </c>
      <c r="BJ73" s="453" t="str">
        <f t="shared" si="33"/>
        <v>-</v>
      </c>
      <c r="BK73" s="390" t="str">
        <f t="shared" si="34"/>
        <v>-</v>
      </c>
      <c r="BL73" s="125"/>
      <c r="BM73" s="92"/>
      <c r="BN73" s="386">
        <f t="shared" si="53"/>
        <v>0</v>
      </c>
    </row>
    <row r="74" spans="1:66" s="89" customFormat="1" ht="16.350000000000001" customHeight="1">
      <c r="A74" s="175">
        <f t="shared" si="35"/>
        <v>2022</v>
      </c>
      <c r="B74" s="454" t="str">
        <f t="shared" si="36"/>
        <v>16</v>
      </c>
      <c r="C74" s="454" t="str">
        <f t="array" ref="C74">_xlfn.IFS(_xlfn.NUMBERVALUE(B74)&lt;=13,"Q1",AND(_xlfn.NUMBERVALUE(B74)&gt;13,_xlfn.NUMBERVALUE(B74)&lt;=26),"Q2", AND(_xlfn.NUMBERVALUE(B74)&gt;26,_xlfn.NUMBERVALUE(B74)&lt;=39),"Q3",_xlfn.NUMBERVALUE(B74)&gt;39,"Q4")</f>
        <v>Q2</v>
      </c>
      <c r="D74" s="448">
        <f t="shared" si="54"/>
        <v>44331</v>
      </c>
      <c r="E74" s="448">
        <f t="shared" si="37"/>
        <v>44337</v>
      </c>
      <c r="F74" s="480">
        <v>202116</v>
      </c>
      <c r="G74" s="180">
        <f t="shared" si="38"/>
        <v>0</v>
      </c>
      <c r="H74" s="429"/>
      <c r="I74" s="429"/>
      <c r="J74" s="474">
        <f t="shared" si="39"/>
        <v>0</v>
      </c>
      <c r="K74" s="474">
        <f t="shared" si="40"/>
        <v>0</v>
      </c>
      <c r="L74" s="481"/>
      <c r="M74" s="481"/>
      <c r="N74" s="481"/>
      <c r="O74" s="474">
        <f t="shared" si="41"/>
        <v>0</v>
      </c>
      <c r="P74" s="474">
        <f t="shared" si="42"/>
        <v>0</v>
      </c>
      <c r="Q74" s="474">
        <f t="shared" si="43"/>
        <v>0</v>
      </c>
      <c r="R74" s="449">
        <f>Forecast!J69</f>
        <v>0</v>
      </c>
      <c r="S74" s="449">
        <f>Forecast!N69</f>
        <v>0</v>
      </c>
      <c r="T74" s="475">
        <f t="shared" si="44"/>
        <v>0</v>
      </c>
      <c r="U74" s="475">
        <f t="shared" si="45"/>
        <v>0</v>
      </c>
      <c r="V74" s="349">
        <f t="shared" si="46"/>
        <v>0</v>
      </c>
      <c r="W74" s="350">
        <f t="shared" si="47"/>
        <v>0</v>
      </c>
      <c r="X74" s="469">
        <f>'Channel &amp; Campaign Metrics'!AR73</f>
        <v>0</v>
      </c>
      <c r="Y74" s="469">
        <f>'Channel &amp; Campaign Metrics'!BS73</f>
        <v>0</v>
      </c>
      <c r="Z74" s="430"/>
      <c r="AA74" s="111"/>
      <c r="AB74" s="358">
        <f>'Glass Metrics'!AC74</f>
        <v>0</v>
      </c>
      <c r="AC74" s="475">
        <f>'Glass Metrics'!I74</f>
        <v>0</v>
      </c>
      <c r="AD74" s="469">
        <f>'Glass Metrics'!N74</f>
        <v>0</v>
      </c>
      <c r="AE74" s="475">
        <f>'Glass Metrics'!S74</f>
        <v>0</v>
      </c>
      <c r="AF74" s="359" t="str">
        <f t="shared" si="48"/>
        <v/>
      </c>
      <c r="AG74" s="477" t="str">
        <f t="shared" si="49"/>
        <v/>
      </c>
      <c r="AH74" s="472" t="str">
        <f t="shared" si="50"/>
        <v/>
      </c>
      <c r="AI74" s="360" t="str">
        <f t="shared" si="51"/>
        <v/>
      </c>
      <c r="AJ74" s="361" t="str">
        <f t="shared" si="24"/>
        <v/>
      </c>
      <c r="AK74" s="482"/>
      <c r="AL74" s="482"/>
      <c r="AM74" s="481"/>
      <c r="AN74" s="481"/>
      <c r="AO74" s="372" t="str">
        <f t="shared" si="25"/>
        <v/>
      </c>
      <c r="AP74" s="361"/>
      <c r="AQ74" s="482"/>
      <c r="AR74" s="482"/>
      <c r="AS74" s="187" t="str">
        <f t="shared" si="26"/>
        <v/>
      </c>
      <c r="AT74" s="118"/>
      <c r="AU74" s="483"/>
      <c r="AV74" s="484">
        <f t="shared" si="52"/>
        <v>0</v>
      </c>
      <c r="AW74" s="484"/>
      <c r="AX74" s="484"/>
      <c r="AY74" s="380"/>
      <c r="AZ74" s="358">
        <f t="shared" si="27"/>
        <v>0</v>
      </c>
      <c r="BA74" s="475">
        <f t="shared" si="28"/>
        <v>0</v>
      </c>
      <c r="BB74" s="481"/>
      <c r="BC74" s="481"/>
      <c r="BD74" s="481"/>
      <c r="BE74" s="481"/>
      <c r="BF74" s="453" t="str">
        <f t="shared" si="29"/>
        <v>-</v>
      </c>
      <c r="BG74" s="453" t="str">
        <f t="shared" si="30"/>
        <v>-</v>
      </c>
      <c r="BH74" s="453" t="str">
        <f t="shared" si="31"/>
        <v>-</v>
      </c>
      <c r="BI74" s="453" t="str">
        <f t="shared" si="32"/>
        <v>-</v>
      </c>
      <c r="BJ74" s="453" t="str">
        <f t="shared" si="33"/>
        <v>-</v>
      </c>
      <c r="BK74" s="390" t="str">
        <f t="shared" si="34"/>
        <v>-</v>
      </c>
      <c r="BL74" s="125"/>
      <c r="BM74" s="92"/>
      <c r="BN74" s="386">
        <f t="shared" si="53"/>
        <v>0</v>
      </c>
    </row>
    <row r="75" spans="1:66" s="89" customFormat="1" ht="16.350000000000001" customHeight="1">
      <c r="A75" s="175">
        <f t="shared" si="35"/>
        <v>2022</v>
      </c>
      <c r="B75" s="454" t="str">
        <f t="shared" si="36"/>
        <v>17</v>
      </c>
      <c r="C75" s="454" t="str">
        <f t="array" ref="C75">_xlfn.IFS(_xlfn.NUMBERVALUE(B75)&lt;=13,"Q1",AND(_xlfn.NUMBERVALUE(B75)&gt;13,_xlfn.NUMBERVALUE(B75)&lt;=26),"Q2", AND(_xlfn.NUMBERVALUE(B75)&gt;26,_xlfn.NUMBERVALUE(B75)&lt;=39),"Q3",_xlfn.NUMBERVALUE(B75)&gt;39,"Q4")</f>
        <v>Q2</v>
      </c>
      <c r="D75" s="448">
        <f t="shared" si="54"/>
        <v>44338</v>
      </c>
      <c r="E75" s="448">
        <f t="shared" si="37"/>
        <v>44344</v>
      </c>
      <c r="F75" s="480">
        <v>202117</v>
      </c>
      <c r="G75" s="180">
        <f t="shared" si="38"/>
        <v>0</v>
      </c>
      <c r="H75" s="429"/>
      <c r="I75" s="429"/>
      <c r="J75" s="474">
        <f t="shared" si="39"/>
        <v>0</v>
      </c>
      <c r="K75" s="474">
        <f t="shared" si="40"/>
        <v>0</v>
      </c>
      <c r="L75" s="481"/>
      <c r="M75" s="481"/>
      <c r="N75" s="481"/>
      <c r="O75" s="474">
        <f t="shared" si="41"/>
        <v>0</v>
      </c>
      <c r="P75" s="474">
        <f t="shared" si="42"/>
        <v>0</v>
      </c>
      <c r="Q75" s="474">
        <f t="shared" si="43"/>
        <v>0</v>
      </c>
      <c r="R75" s="449">
        <f>Forecast!J70</f>
        <v>0</v>
      </c>
      <c r="S75" s="449">
        <f>Forecast!N70</f>
        <v>0</v>
      </c>
      <c r="T75" s="475">
        <f t="shared" si="44"/>
        <v>0</v>
      </c>
      <c r="U75" s="475">
        <f t="shared" si="45"/>
        <v>0</v>
      </c>
      <c r="V75" s="349">
        <f t="shared" si="46"/>
        <v>0</v>
      </c>
      <c r="W75" s="350">
        <f t="shared" si="47"/>
        <v>0</v>
      </c>
      <c r="X75" s="469">
        <f>'Channel &amp; Campaign Metrics'!AR74</f>
        <v>0</v>
      </c>
      <c r="Y75" s="469">
        <f>'Channel &amp; Campaign Metrics'!BS74</f>
        <v>0</v>
      </c>
      <c r="Z75" s="430"/>
      <c r="AA75" s="111"/>
      <c r="AB75" s="358">
        <f>'Glass Metrics'!AC75</f>
        <v>0</v>
      </c>
      <c r="AC75" s="475">
        <f>'Glass Metrics'!I75</f>
        <v>0</v>
      </c>
      <c r="AD75" s="469">
        <f>'Glass Metrics'!N75</f>
        <v>0</v>
      </c>
      <c r="AE75" s="475">
        <f>'Glass Metrics'!S75</f>
        <v>0</v>
      </c>
      <c r="AF75" s="359" t="str">
        <f t="shared" si="48"/>
        <v/>
      </c>
      <c r="AG75" s="477" t="str">
        <f t="shared" si="49"/>
        <v/>
      </c>
      <c r="AH75" s="472" t="str">
        <f t="shared" si="50"/>
        <v/>
      </c>
      <c r="AI75" s="360" t="str">
        <f t="shared" si="51"/>
        <v/>
      </c>
      <c r="AJ75" s="361" t="str">
        <f t="shared" si="24"/>
        <v/>
      </c>
      <c r="AK75" s="482"/>
      <c r="AL75" s="482"/>
      <c r="AM75" s="481"/>
      <c r="AN75" s="481"/>
      <c r="AO75" s="372" t="str">
        <f t="shared" si="25"/>
        <v/>
      </c>
      <c r="AP75" s="361"/>
      <c r="AQ75" s="482"/>
      <c r="AR75" s="482"/>
      <c r="AS75" s="187" t="str">
        <f t="shared" si="26"/>
        <v/>
      </c>
      <c r="AT75" s="118"/>
      <c r="AU75" s="483"/>
      <c r="AV75" s="484">
        <f t="shared" si="52"/>
        <v>0</v>
      </c>
      <c r="AW75" s="484"/>
      <c r="AX75" s="484"/>
      <c r="AY75" s="380"/>
      <c r="AZ75" s="358">
        <f t="shared" si="27"/>
        <v>0</v>
      </c>
      <c r="BA75" s="475">
        <f t="shared" si="28"/>
        <v>0</v>
      </c>
      <c r="BB75" s="481"/>
      <c r="BC75" s="481"/>
      <c r="BD75" s="481"/>
      <c r="BE75" s="481"/>
      <c r="BF75" s="453" t="str">
        <f t="shared" si="29"/>
        <v>-</v>
      </c>
      <c r="BG75" s="453" t="str">
        <f t="shared" si="30"/>
        <v>-</v>
      </c>
      <c r="BH75" s="453" t="str">
        <f t="shared" si="31"/>
        <v>-</v>
      </c>
      <c r="BI75" s="453" t="str">
        <f t="shared" si="32"/>
        <v>-</v>
      </c>
      <c r="BJ75" s="453" t="str">
        <f t="shared" si="33"/>
        <v>-</v>
      </c>
      <c r="BK75" s="390" t="str">
        <f t="shared" si="34"/>
        <v>-</v>
      </c>
      <c r="BL75" s="125"/>
      <c r="BM75" s="92"/>
      <c r="BN75" s="386">
        <f t="shared" si="53"/>
        <v>0</v>
      </c>
    </row>
    <row r="76" spans="1:66" s="89" customFormat="1" ht="16.350000000000001" customHeight="1">
      <c r="A76" s="175">
        <f t="shared" si="35"/>
        <v>2022</v>
      </c>
      <c r="B76" s="454" t="str">
        <f t="shared" si="36"/>
        <v>18</v>
      </c>
      <c r="C76" s="454" t="str">
        <f t="array" ref="C76">_xlfn.IFS(_xlfn.NUMBERVALUE(B76)&lt;=13,"Q1",AND(_xlfn.NUMBERVALUE(B76)&gt;13,_xlfn.NUMBERVALUE(B76)&lt;=26),"Q2", AND(_xlfn.NUMBERVALUE(B76)&gt;26,_xlfn.NUMBERVALUE(B76)&lt;=39),"Q3",_xlfn.NUMBERVALUE(B76)&gt;39,"Q4")</f>
        <v>Q2</v>
      </c>
      <c r="D76" s="448">
        <f t="shared" si="54"/>
        <v>44345</v>
      </c>
      <c r="E76" s="448">
        <f t="shared" si="37"/>
        <v>44351</v>
      </c>
      <c r="F76" s="480">
        <v>202118</v>
      </c>
      <c r="G76" s="180">
        <f t="shared" si="38"/>
        <v>0</v>
      </c>
      <c r="H76" s="429"/>
      <c r="I76" s="429"/>
      <c r="J76" s="474">
        <f t="shared" si="39"/>
        <v>0</v>
      </c>
      <c r="K76" s="474">
        <f t="shared" si="40"/>
        <v>0</v>
      </c>
      <c r="L76" s="481"/>
      <c r="M76" s="481"/>
      <c r="N76" s="481"/>
      <c r="O76" s="474">
        <f t="shared" si="41"/>
        <v>0</v>
      </c>
      <c r="P76" s="474">
        <f t="shared" si="42"/>
        <v>0</v>
      </c>
      <c r="Q76" s="474">
        <f t="shared" si="43"/>
        <v>0</v>
      </c>
      <c r="R76" s="449">
        <f>Forecast!J71</f>
        <v>0</v>
      </c>
      <c r="S76" s="449">
        <f>Forecast!N71</f>
        <v>0</v>
      </c>
      <c r="T76" s="475">
        <f t="shared" si="44"/>
        <v>0</v>
      </c>
      <c r="U76" s="475">
        <f t="shared" si="45"/>
        <v>0</v>
      </c>
      <c r="V76" s="349">
        <f t="shared" si="46"/>
        <v>0</v>
      </c>
      <c r="W76" s="350">
        <f t="shared" si="47"/>
        <v>0</v>
      </c>
      <c r="X76" s="469">
        <f>'Channel &amp; Campaign Metrics'!AR75</f>
        <v>0</v>
      </c>
      <c r="Y76" s="469">
        <f>'Channel &amp; Campaign Metrics'!BS75</f>
        <v>0</v>
      </c>
      <c r="Z76" s="430"/>
      <c r="AA76" s="111"/>
      <c r="AB76" s="358">
        <f>'Glass Metrics'!AC76</f>
        <v>0</v>
      </c>
      <c r="AC76" s="475">
        <f>'Glass Metrics'!I76</f>
        <v>0</v>
      </c>
      <c r="AD76" s="469">
        <f>'Glass Metrics'!N76</f>
        <v>0</v>
      </c>
      <c r="AE76" s="475">
        <f>'Glass Metrics'!S76</f>
        <v>0</v>
      </c>
      <c r="AF76" s="359" t="str">
        <f t="shared" si="48"/>
        <v/>
      </c>
      <c r="AG76" s="477" t="str">
        <f t="shared" si="49"/>
        <v/>
      </c>
      <c r="AH76" s="472" t="str">
        <f t="shared" si="50"/>
        <v/>
      </c>
      <c r="AI76" s="360" t="str">
        <f t="shared" si="51"/>
        <v/>
      </c>
      <c r="AJ76" s="361" t="str">
        <f t="shared" si="24"/>
        <v/>
      </c>
      <c r="AK76" s="482"/>
      <c r="AL76" s="482"/>
      <c r="AM76" s="481"/>
      <c r="AN76" s="481"/>
      <c r="AO76" s="372" t="str">
        <f t="shared" si="25"/>
        <v/>
      </c>
      <c r="AP76" s="361"/>
      <c r="AQ76" s="482"/>
      <c r="AR76" s="482"/>
      <c r="AS76" s="187" t="str">
        <f t="shared" si="26"/>
        <v/>
      </c>
      <c r="AT76" s="118"/>
      <c r="AU76" s="483"/>
      <c r="AV76" s="484">
        <f t="shared" si="52"/>
        <v>0</v>
      </c>
      <c r="AW76" s="484"/>
      <c r="AX76" s="484"/>
      <c r="AY76" s="380"/>
      <c r="AZ76" s="358">
        <f t="shared" si="27"/>
        <v>0</v>
      </c>
      <c r="BA76" s="475">
        <f t="shared" si="28"/>
        <v>0</v>
      </c>
      <c r="BB76" s="481"/>
      <c r="BC76" s="481"/>
      <c r="BD76" s="481"/>
      <c r="BE76" s="481"/>
      <c r="BF76" s="453" t="str">
        <f t="shared" si="29"/>
        <v>-</v>
      </c>
      <c r="BG76" s="453" t="str">
        <f t="shared" si="30"/>
        <v>-</v>
      </c>
      <c r="BH76" s="453" t="str">
        <f t="shared" si="31"/>
        <v>-</v>
      </c>
      <c r="BI76" s="453" t="str">
        <f t="shared" si="32"/>
        <v>-</v>
      </c>
      <c r="BJ76" s="453" t="str">
        <f t="shared" si="33"/>
        <v>-</v>
      </c>
      <c r="BK76" s="390" t="str">
        <f t="shared" si="34"/>
        <v>-</v>
      </c>
      <c r="BL76" s="125"/>
      <c r="BM76" s="92"/>
      <c r="BN76" s="386">
        <f t="shared" si="53"/>
        <v>0</v>
      </c>
    </row>
    <row r="77" spans="1:66" s="89" customFormat="1" ht="16.350000000000001" customHeight="1">
      <c r="A77" s="175">
        <f t="shared" si="35"/>
        <v>2022</v>
      </c>
      <c r="B77" s="454" t="str">
        <f t="shared" si="36"/>
        <v>19</v>
      </c>
      <c r="C77" s="454" t="str">
        <f t="array" ref="C77">_xlfn.IFS(_xlfn.NUMBERVALUE(B77)&lt;=13,"Q1",AND(_xlfn.NUMBERVALUE(B77)&gt;13,_xlfn.NUMBERVALUE(B77)&lt;=26),"Q2", AND(_xlfn.NUMBERVALUE(B77)&gt;26,_xlfn.NUMBERVALUE(B77)&lt;=39),"Q3",_xlfn.NUMBERVALUE(B77)&gt;39,"Q4")</f>
        <v>Q2</v>
      </c>
      <c r="D77" s="448">
        <f t="shared" si="54"/>
        <v>44352</v>
      </c>
      <c r="E77" s="448">
        <f t="shared" si="37"/>
        <v>44358</v>
      </c>
      <c r="F77" s="480">
        <v>202119</v>
      </c>
      <c r="G77" s="180">
        <f t="shared" si="38"/>
        <v>0</v>
      </c>
      <c r="H77" s="429"/>
      <c r="I77" s="429"/>
      <c r="J77" s="474">
        <f t="shared" si="39"/>
        <v>0</v>
      </c>
      <c r="K77" s="474">
        <f t="shared" si="40"/>
        <v>0</v>
      </c>
      <c r="L77" s="481"/>
      <c r="M77" s="481"/>
      <c r="N77" s="481"/>
      <c r="O77" s="474">
        <f t="shared" si="41"/>
        <v>0</v>
      </c>
      <c r="P77" s="474">
        <f t="shared" si="42"/>
        <v>0</v>
      </c>
      <c r="Q77" s="474">
        <f t="shared" si="43"/>
        <v>0</v>
      </c>
      <c r="R77" s="449">
        <f>Forecast!J72</f>
        <v>0</v>
      </c>
      <c r="S77" s="449">
        <f>Forecast!N72</f>
        <v>0</v>
      </c>
      <c r="T77" s="475">
        <f t="shared" si="44"/>
        <v>0</v>
      </c>
      <c r="U77" s="475">
        <f t="shared" si="45"/>
        <v>0</v>
      </c>
      <c r="V77" s="349">
        <f t="shared" si="46"/>
        <v>0</v>
      </c>
      <c r="W77" s="350">
        <f t="shared" si="47"/>
        <v>0</v>
      </c>
      <c r="X77" s="469">
        <f>'Channel &amp; Campaign Metrics'!AR76</f>
        <v>0</v>
      </c>
      <c r="Y77" s="469">
        <f>'Channel &amp; Campaign Metrics'!BS76</f>
        <v>0</v>
      </c>
      <c r="Z77" s="430"/>
      <c r="AA77" s="111"/>
      <c r="AB77" s="358">
        <f>'Glass Metrics'!AC77</f>
        <v>0</v>
      </c>
      <c r="AC77" s="475">
        <f>'Glass Metrics'!I77</f>
        <v>0</v>
      </c>
      <c r="AD77" s="469">
        <f>'Glass Metrics'!N77</f>
        <v>0</v>
      </c>
      <c r="AE77" s="475">
        <f>'Glass Metrics'!S77</f>
        <v>0</v>
      </c>
      <c r="AF77" s="359" t="str">
        <f t="shared" si="48"/>
        <v/>
      </c>
      <c r="AG77" s="477" t="str">
        <f t="shared" si="49"/>
        <v/>
      </c>
      <c r="AH77" s="472" t="str">
        <f t="shared" si="50"/>
        <v/>
      </c>
      <c r="AI77" s="360" t="str">
        <f t="shared" si="51"/>
        <v/>
      </c>
      <c r="AJ77" s="361" t="str">
        <f t="shared" si="24"/>
        <v/>
      </c>
      <c r="AK77" s="482"/>
      <c r="AL77" s="482"/>
      <c r="AM77" s="481"/>
      <c r="AN77" s="481"/>
      <c r="AO77" s="372" t="str">
        <f t="shared" si="25"/>
        <v/>
      </c>
      <c r="AP77" s="361"/>
      <c r="AQ77" s="482"/>
      <c r="AR77" s="482"/>
      <c r="AS77" s="187" t="str">
        <f t="shared" si="26"/>
        <v/>
      </c>
      <c r="AT77" s="118"/>
      <c r="AU77" s="483"/>
      <c r="AV77" s="484">
        <f t="shared" si="52"/>
        <v>0</v>
      </c>
      <c r="AW77" s="484"/>
      <c r="AX77" s="484"/>
      <c r="AY77" s="380"/>
      <c r="AZ77" s="358">
        <f t="shared" si="27"/>
        <v>0</v>
      </c>
      <c r="BA77" s="475">
        <f t="shared" si="28"/>
        <v>0</v>
      </c>
      <c r="BB77" s="481"/>
      <c r="BC77" s="481"/>
      <c r="BD77" s="481"/>
      <c r="BE77" s="481"/>
      <c r="BF77" s="453" t="str">
        <f t="shared" si="29"/>
        <v>-</v>
      </c>
      <c r="BG77" s="453" t="str">
        <f t="shared" si="30"/>
        <v>-</v>
      </c>
      <c r="BH77" s="453" t="str">
        <f t="shared" si="31"/>
        <v>-</v>
      </c>
      <c r="BI77" s="453" t="str">
        <f t="shared" si="32"/>
        <v>-</v>
      </c>
      <c r="BJ77" s="453" t="str">
        <f t="shared" si="33"/>
        <v>-</v>
      </c>
      <c r="BK77" s="390" t="str">
        <f t="shared" si="34"/>
        <v>-</v>
      </c>
      <c r="BL77" s="125"/>
      <c r="BM77" s="92"/>
      <c r="BN77" s="386">
        <f t="shared" si="53"/>
        <v>0</v>
      </c>
    </row>
    <row r="78" spans="1:66" s="89" customFormat="1" ht="16.350000000000001" customHeight="1">
      <c r="A78" s="175">
        <f t="shared" si="35"/>
        <v>2022</v>
      </c>
      <c r="B78" s="454" t="str">
        <f t="shared" si="36"/>
        <v>20</v>
      </c>
      <c r="C78" s="454" t="str">
        <f t="array" ref="C78">_xlfn.IFS(_xlfn.NUMBERVALUE(B78)&lt;=13,"Q1",AND(_xlfn.NUMBERVALUE(B78)&gt;13,_xlfn.NUMBERVALUE(B78)&lt;=26),"Q2", AND(_xlfn.NUMBERVALUE(B78)&gt;26,_xlfn.NUMBERVALUE(B78)&lt;=39),"Q3",_xlfn.NUMBERVALUE(B78)&gt;39,"Q4")</f>
        <v>Q2</v>
      </c>
      <c r="D78" s="448">
        <f t="shared" si="54"/>
        <v>44359</v>
      </c>
      <c r="E78" s="448">
        <f t="shared" si="37"/>
        <v>44365</v>
      </c>
      <c r="F78" s="480">
        <v>202120</v>
      </c>
      <c r="G78" s="180">
        <f t="shared" si="38"/>
        <v>0</v>
      </c>
      <c r="H78" s="429"/>
      <c r="I78" s="429"/>
      <c r="J78" s="474">
        <f t="shared" si="39"/>
        <v>0</v>
      </c>
      <c r="K78" s="474">
        <f t="shared" si="40"/>
        <v>0</v>
      </c>
      <c r="L78" s="481"/>
      <c r="M78" s="481"/>
      <c r="N78" s="481"/>
      <c r="O78" s="474">
        <f t="shared" si="41"/>
        <v>0</v>
      </c>
      <c r="P78" s="474">
        <f t="shared" si="42"/>
        <v>0</v>
      </c>
      <c r="Q78" s="474">
        <f t="shared" si="43"/>
        <v>0</v>
      </c>
      <c r="R78" s="449">
        <f>Forecast!J73</f>
        <v>0</v>
      </c>
      <c r="S78" s="449">
        <f>Forecast!N73</f>
        <v>0</v>
      </c>
      <c r="T78" s="475">
        <f t="shared" si="44"/>
        <v>0</v>
      </c>
      <c r="U78" s="475">
        <f t="shared" si="45"/>
        <v>0</v>
      </c>
      <c r="V78" s="349">
        <f t="shared" si="46"/>
        <v>0</v>
      </c>
      <c r="W78" s="350">
        <f t="shared" si="47"/>
        <v>0</v>
      </c>
      <c r="X78" s="469">
        <f>'Channel &amp; Campaign Metrics'!AR77</f>
        <v>0</v>
      </c>
      <c r="Y78" s="469">
        <f>'Channel &amp; Campaign Metrics'!BS77</f>
        <v>0</v>
      </c>
      <c r="Z78" s="430"/>
      <c r="AA78" s="111"/>
      <c r="AB78" s="358">
        <f>'Glass Metrics'!AC78</f>
        <v>0</v>
      </c>
      <c r="AC78" s="475">
        <f>'Glass Metrics'!I78</f>
        <v>0</v>
      </c>
      <c r="AD78" s="469">
        <f>'Glass Metrics'!N78</f>
        <v>0</v>
      </c>
      <c r="AE78" s="475">
        <f>'Glass Metrics'!S78</f>
        <v>0</v>
      </c>
      <c r="AF78" s="359" t="str">
        <f t="shared" si="48"/>
        <v/>
      </c>
      <c r="AG78" s="477" t="str">
        <f t="shared" si="49"/>
        <v/>
      </c>
      <c r="AH78" s="472" t="str">
        <f t="shared" si="50"/>
        <v/>
      </c>
      <c r="AI78" s="360" t="str">
        <f t="shared" si="51"/>
        <v/>
      </c>
      <c r="AJ78" s="361" t="str">
        <f t="shared" si="24"/>
        <v/>
      </c>
      <c r="AK78" s="482"/>
      <c r="AL78" s="482"/>
      <c r="AM78" s="481"/>
      <c r="AN78" s="481"/>
      <c r="AO78" s="372" t="str">
        <f t="shared" si="25"/>
        <v/>
      </c>
      <c r="AP78" s="361"/>
      <c r="AQ78" s="482"/>
      <c r="AR78" s="482"/>
      <c r="AS78" s="187" t="str">
        <f t="shared" si="26"/>
        <v/>
      </c>
      <c r="AT78" s="118"/>
      <c r="AU78" s="483"/>
      <c r="AV78" s="484">
        <f t="shared" si="52"/>
        <v>0</v>
      </c>
      <c r="AW78" s="484"/>
      <c r="AX78" s="484"/>
      <c r="AY78" s="380"/>
      <c r="AZ78" s="358">
        <f t="shared" si="27"/>
        <v>0</v>
      </c>
      <c r="BA78" s="475">
        <f t="shared" si="28"/>
        <v>0</v>
      </c>
      <c r="BB78" s="481"/>
      <c r="BC78" s="481"/>
      <c r="BD78" s="481"/>
      <c r="BE78" s="481"/>
      <c r="BF78" s="453" t="str">
        <f t="shared" si="29"/>
        <v>-</v>
      </c>
      <c r="BG78" s="453" t="str">
        <f t="shared" si="30"/>
        <v>-</v>
      </c>
      <c r="BH78" s="453" t="str">
        <f t="shared" si="31"/>
        <v>-</v>
      </c>
      <c r="BI78" s="453" t="str">
        <f t="shared" si="32"/>
        <v>-</v>
      </c>
      <c r="BJ78" s="453" t="str">
        <f t="shared" si="33"/>
        <v>-</v>
      </c>
      <c r="BK78" s="390" t="str">
        <f t="shared" si="34"/>
        <v>-</v>
      </c>
      <c r="BL78" s="125"/>
      <c r="BM78" s="92"/>
      <c r="BN78" s="386">
        <f t="shared" si="53"/>
        <v>0</v>
      </c>
    </row>
    <row r="79" spans="1:66" s="89" customFormat="1" ht="16.350000000000001" customHeight="1">
      <c r="A79" s="175">
        <f t="shared" si="35"/>
        <v>2022</v>
      </c>
      <c r="B79" s="454" t="str">
        <f t="shared" si="36"/>
        <v>21</v>
      </c>
      <c r="C79" s="454" t="str">
        <f t="array" ref="C79">_xlfn.IFS(_xlfn.NUMBERVALUE(B79)&lt;=13,"Q1",AND(_xlfn.NUMBERVALUE(B79)&gt;13,_xlfn.NUMBERVALUE(B79)&lt;=26),"Q2", AND(_xlfn.NUMBERVALUE(B79)&gt;26,_xlfn.NUMBERVALUE(B79)&lt;=39),"Q3",_xlfn.NUMBERVALUE(B79)&gt;39,"Q4")</f>
        <v>Q2</v>
      </c>
      <c r="D79" s="448">
        <f t="shared" si="54"/>
        <v>44366</v>
      </c>
      <c r="E79" s="448">
        <f t="shared" si="37"/>
        <v>44372</v>
      </c>
      <c r="F79" s="480">
        <v>202121</v>
      </c>
      <c r="G79" s="180">
        <f t="shared" si="38"/>
        <v>0</v>
      </c>
      <c r="H79" s="429"/>
      <c r="I79" s="429"/>
      <c r="J79" s="474">
        <f t="shared" si="39"/>
        <v>0</v>
      </c>
      <c r="K79" s="474">
        <f t="shared" si="40"/>
        <v>0</v>
      </c>
      <c r="L79" s="481"/>
      <c r="M79" s="481"/>
      <c r="N79" s="481"/>
      <c r="O79" s="474">
        <f t="shared" si="41"/>
        <v>0</v>
      </c>
      <c r="P79" s="474">
        <f t="shared" si="42"/>
        <v>0</v>
      </c>
      <c r="Q79" s="474">
        <f t="shared" si="43"/>
        <v>0</v>
      </c>
      <c r="R79" s="449">
        <f>Forecast!J74</f>
        <v>0</v>
      </c>
      <c r="S79" s="449">
        <f>Forecast!N74</f>
        <v>0</v>
      </c>
      <c r="T79" s="475">
        <f t="shared" si="44"/>
        <v>0</v>
      </c>
      <c r="U79" s="475">
        <f t="shared" si="45"/>
        <v>0</v>
      </c>
      <c r="V79" s="349">
        <f t="shared" si="46"/>
        <v>0</v>
      </c>
      <c r="W79" s="350">
        <f t="shared" si="47"/>
        <v>0</v>
      </c>
      <c r="X79" s="469">
        <f>'Channel &amp; Campaign Metrics'!AR78</f>
        <v>0</v>
      </c>
      <c r="Y79" s="469">
        <f>'Channel &amp; Campaign Metrics'!BS78</f>
        <v>0</v>
      </c>
      <c r="Z79" s="430"/>
      <c r="AA79" s="111"/>
      <c r="AB79" s="358">
        <f>'Glass Metrics'!AC79</f>
        <v>0</v>
      </c>
      <c r="AC79" s="475">
        <f>'Glass Metrics'!I79</f>
        <v>0</v>
      </c>
      <c r="AD79" s="469">
        <f>'Glass Metrics'!N79</f>
        <v>0</v>
      </c>
      <c r="AE79" s="475">
        <f>'Glass Metrics'!S79</f>
        <v>0</v>
      </c>
      <c r="AF79" s="359" t="str">
        <f t="shared" si="48"/>
        <v/>
      </c>
      <c r="AG79" s="477" t="str">
        <f t="shared" si="49"/>
        <v/>
      </c>
      <c r="AH79" s="472" t="str">
        <f t="shared" si="50"/>
        <v/>
      </c>
      <c r="AI79" s="360" t="str">
        <f t="shared" si="51"/>
        <v/>
      </c>
      <c r="AJ79" s="361" t="str">
        <f t="shared" si="24"/>
        <v/>
      </c>
      <c r="AK79" s="482"/>
      <c r="AL79" s="482"/>
      <c r="AM79" s="481"/>
      <c r="AN79" s="481"/>
      <c r="AO79" s="372" t="str">
        <f t="shared" si="25"/>
        <v/>
      </c>
      <c r="AP79" s="361"/>
      <c r="AQ79" s="482"/>
      <c r="AR79" s="482"/>
      <c r="AS79" s="187" t="str">
        <f t="shared" si="26"/>
        <v/>
      </c>
      <c r="AT79" s="118"/>
      <c r="AU79" s="483"/>
      <c r="AV79" s="484">
        <f t="shared" si="52"/>
        <v>0</v>
      </c>
      <c r="AW79" s="484"/>
      <c r="AX79" s="484"/>
      <c r="AY79" s="380"/>
      <c r="AZ79" s="358">
        <f t="shared" si="27"/>
        <v>0</v>
      </c>
      <c r="BA79" s="475">
        <f t="shared" si="28"/>
        <v>0</v>
      </c>
      <c r="BB79" s="481"/>
      <c r="BC79" s="481"/>
      <c r="BD79" s="481"/>
      <c r="BE79" s="481"/>
      <c r="BF79" s="453" t="str">
        <f t="shared" si="29"/>
        <v>-</v>
      </c>
      <c r="BG79" s="453" t="str">
        <f t="shared" si="30"/>
        <v>-</v>
      </c>
      <c r="BH79" s="453" t="str">
        <f t="shared" si="31"/>
        <v>-</v>
      </c>
      <c r="BI79" s="453" t="str">
        <f t="shared" si="32"/>
        <v>-</v>
      </c>
      <c r="BJ79" s="453" t="str">
        <f t="shared" si="33"/>
        <v>-</v>
      </c>
      <c r="BK79" s="390" t="str">
        <f t="shared" si="34"/>
        <v>-</v>
      </c>
      <c r="BL79" s="125"/>
      <c r="BM79" s="92"/>
      <c r="BN79" s="386">
        <f t="shared" si="53"/>
        <v>0</v>
      </c>
    </row>
    <row r="80" spans="1:66" s="89" customFormat="1" ht="16.350000000000001" customHeight="1">
      <c r="A80" s="175">
        <f t="shared" si="35"/>
        <v>2022</v>
      </c>
      <c r="B80" s="454" t="str">
        <f t="shared" si="36"/>
        <v>22</v>
      </c>
      <c r="C80" s="454" t="str">
        <f t="array" ref="C80">_xlfn.IFS(_xlfn.NUMBERVALUE(B80)&lt;=13,"Q1",AND(_xlfn.NUMBERVALUE(B80)&gt;13,_xlfn.NUMBERVALUE(B80)&lt;=26),"Q2", AND(_xlfn.NUMBERVALUE(B80)&gt;26,_xlfn.NUMBERVALUE(B80)&lt;=39),"Q3",_xlfn.NUMBERVALUE(B80)&gt;39,"Q4")</f>
        <v>Q2</v>
      </c>
      <c r="D80" s="448">
        <f t="shared" si="54"/>
        <v>44373</v>
      </c>
      <c r="E80" s="448">
        <f t="shared" si="37"/>
        <v>44379</v>
      </c>
      <c r="F80" s="480">
        <v>202122</v>
      </c>
      <c r="G80" s="180">
        <f t="shared" si="38"/>
        <v>0</v>
      </c>
      <c r="H80" s="429"/>
      <c r="I80" s="429"/>
      <c r="J80" s="474">
        <f t="shared" si="39"/>
        <v>0</v>
      </c>
      <c r="K80" s="474">
        <f t="shared" si="40"/>
        <v>0</v>
      </c>
      <c r="L80" s="481"/>
      <c r="M80" s="481"/>
      <c r="N80" s="481"/>
      <c r="O80" s="474">
        <f t="shared" si="41"/>
        <v>0</v>
      </c>
      <c r="P80" s="474">
        <f t="shared" si="42"/>
        <v>0</v>
      </c>
      <c r="Q80" s="474">
        <f t="shared" si="43"/>
        <v>0</v>
      </c>
      <c r="R80" s="449">
        <f>Forecast!J75</f>
        <v>0</v>
      </c>
      <c r="S80" s="449">
        <f>Forecast!N75</f>
        <v>0</v>
      </c>
      <c r="T80" s="475">
        <f t="shared" si="44"/>
        <v>0</v>
      </c>
      <c r="U80" s="475">
        <f t="shared" si="45"/>
        <v>0</v>
      </c>
      <c r="V80" s="349">
        <f t="shared" si="46"/>
        <v>0</v>
      </c>
      <c r="W80" s="350">
        <f t="shared" si="47"/>
        <v>0</v>
      </c>
      <c r="X80" s="469">
        <f>'Channel &amp; Campaign Metrics'!AR79</f>
        <v>0</v>
      </c>
      <c r="Y80" s="469">
        <f>'Channel &amp; Campaign Metrics'!BS79</f>
        <v>0</v>
      </c>
      <c r="Z80" s="430"/>
      <c r="AA80" s="111"/>
      <c r="AB80" s="358">
        <f>'Glass Metrics'!AC80</f>
        <v>0</v>
      </c>
      <c r="AC80" s="475">
        <f>'Glass Metrics'!I80</f>
        <v>0</v>
      </c>
      <c r="AD80" s="469">
        <f>'Glass Metrics'!N80</f>
        <v>0</v>
      </c>
      <c r="AE80" s="475">
        <f>'Glass Metrics'!S80</f>
        <v>0</v>
      </c>
      <c r="AF80" s="359" t="str">
        <f t="shared" si="48"/>
        <v/>
      </c>
      <c r="AG80" s="477" t="str">
        <f t="shared" si="49"/>
        <v/>
      </c>
      <c r="AH80" s="472" t="str">
        <f t="shared" si="50"/>
        <v/>
      </c>
      <c r="AI80" s="360" t="str">
        <f t="shared" si="51"/>
        <v/>
      </c>
      <c r="AJ80" s="361" t="str">
        <f t="shared" si="24"/>
        <v/>
      </c>
      <c r="AK80" s="482"/>
      <c r="AL80" s="482"/>
      <c r="AM80" s="481"/>
      <c r="AN80" s="481"/>
      <c r="AO80" s="372" t="str">
        <f t="shared" si="25"/>
        <v/>
      </c>
      <c r="AP80" s="361"/>
      <c r="AQ80" s="482"/>
      <c r="AR80" s="482"/>
      <c r="AS80" s="187" t="str">
        <f t="shared" si="26"/>
        <v/>
      </c>
      <c r="AT80" s="118"/>
      <c r="AU80" s="483"/>
      <c r="AV80" s="484">
        <f t="shared" si="52"/>
        <v>0</v>
      </c>
      <c r="AW80" s="484"/>
      <c r="AX80" s="484"/>
      <c r="AY80" s="380"/>
      <c r="AZ80" s="358">
        <f t="shared" si="27"/>
        <v>0</v>
      </c>
      <c r="BA80" s="475">
        <f t="shared" si="28"/>
        <v>0</v>
      </c>
      <c r="BB80" s="481"/>
      <c r="BC80" s="481"/>
      <c r="BD80" s="481"/>
      <c r="BE80" s="481"/>
      <c r="BF80" s="453" t="str">
        <f t="shared" si="29"/>
        <v>-</v>
      </c>
      <c r="BG80" s="453" t="str">
        <f t="shared" si="30"/>
        <v>-</v>
      </c>
      <c r="BH80" s="453" t="str">
        <f t="shared" si="31"/>
        <v>-</v>
      </c>
      <c r="BI80" s="453" t="str">
        <f t="shared" si="32"/>
        <v>-</v>
      </c>
      <c r="BJ80" s="453" t="str">
        <f t="shared" si="33"/>
        <v>-</v>
      </c>
      <c r="BK80" s="390" t="str">
        <f t="shared" si="34"/>
        <v>-</v>
      </c>
      <c r="BL80" s="125"/>
      <c r="BM80" s="92"/>
      <c r="BN80" s="386">
        <f t="shared" si="53"/>
        <v>0</v>
      </c>
    </row>
    <row r="81" spans="1:66" s="89" customFormat="1" ht="16.350000000000001" customHeight="1">
      <c r="A81" s="175">
        <f t="shared" si="35"/>
        <v>2022</v>
      </c>
      <c r="B81" s="454" t="str">
        <f t="shared" si="36"/>
        <v>23</v>
      </c>
      <c r="C81" s="454" t="str">
        <f t="array" ref="C81">_xlfn.IFS(_xlfn.NUMBERVALUE(B81)&lt;=13,"Q1",AND(_xlfn.NUMBERVALUE(B81)&gt;13,_xlfn.NUMBERVALUE(B81)&lt;=26),"Q2", AND(_xlfn.NUMBERVALUE(B81)&gt;26,_xlfn.NUMBERVALUE(B81)&lt;=39),"Q3",_xlfn.NUMBERVALUE(B81)&gt;39,"Q4")</f>
        <v>Q2</v>
      </c>
      <c r="D81" s="448">
        <f t="shared" si="54"/>
        <v>44380</v>
      </c>
      <c r="E81" s="448">
        <f t="shared" si="37"/>
        <v>44386</v>
      </c>
      <c r="F81" s="480">
        <v>202123</v>
      </c>
      <c r="G81" s="180">
        <f t="shared" si="38"/>
        <v>0</v>
      </c>
      <c r="H81" s="429"/>
      <c r="I81" s="429"/>
      <c r="J81" s="474">
        <f t="shared" si="39"/>
        <v>0</v>
      </c>
      <c r="K81" s="474">
        <f t="shared" si="40"/>
        <v>0</v>
      </c>
      <c r="L81" s="481"/>
      <c r="M81" s="481"/>
      <c r="N81" s="481"/>
      <c r="O81" s="474">
        <f t="shared" si="41"/>
        <v>0</v>
      </c>
      <c r="P81" s="474">
        <f t="shared" si="42"/>
        <v>0</v>
      </c>
      <c r="Q81" s="474">
        <f t="shared" si="43"/>
        <v>0</v>
      </c>
      <c r="R81" s="449">
        <f>Forecast!J76</f>
        <v>0</v>
      </c>
      <c r="S81" s="449">
        <f>Forecast!N76</f>
        <v>0</v>
      </c>
      <c r="T81" s="475">
        <f t="shared" si="44"/>
        <v>0</v>
      </c>
      <c r="U81" s="475">
        <f t="shared" si="45"/>
        <v>0</v>
      </c>
      <c r="V81" s="349">
        <f t="shared" si="46"/>
        <v>0</v>
      </c>
      <c r="W81" s="350">
        <f t="shared" si="47"/>
        <v>0</v>
      </c>
      <c r="X81" s="469">
        <f>'Channel &amp; Campaign Metrics'!AR80</f>
        <v>0</v>
      </c>
      <c r="Y81" s="469">
        <f>'Channel &amp; Campaign Metrics'!BS80</f>
        <v>0</v>
      </c>
      <c r="Z81" s="430"/>
      <c r="AA81" s="111"/>
      <c r="AB81" s="358">
        <f>'Glass Metrics'!AC81</f>
        <v>0</v>
      </c>
      <c r="AC81" s="475">
        <f>'Glass Metrics'!I81</f>
        <v>0</v>
      </c>
      <c r="AD81" s="469">
        <f>'Glass Metrics'!N81</f>
        <v>0</v>
      </c>
      <c r="AE81" s="475">
        <f>'Glass Metrics'!S81</f>
        <v>0</v>
      </c>
      <c r="AF81" s="359" t="str">
        <f t="shared" si="48"/>
        <v/>
      </c>
      <c r="AG81" s="477" t="str">
        <f t="shared" si="49"/>
        <v/>
      </c>
      <c r="AH81" s="472" t="str">
        <f t="shared" si="50"/>
        <v/>
      </c>
      <c r="AI81" s="360" t="str">
        <f t="shared" si="51"/>
        <v/>
      </c>
      <c r="AJ81" s="361" t="str">
        <f t="shared" si="24"/>
        <v/>
      </c>
      <c r="AK81" s="482"/>
      <c r="AL81" s="482"/>
      <c r="AM81" s="481"/>
      <c r="AN81" s="481"/>
      <c r="AO81" s="372" t="str">
        <f t="shared" si="25"/>
        <v/>
      </c>
      <c r="AP81" s="361"/>
      <c r="AQ81" s="482"/>
      <c r="AR81" s="482"/>
      <c r="AS81" s="187" t="str">
        <f t="shared" si="26"/>
        <v/>
      </c>
      <c r="AT81" s="118"/>
      <c r="AU81" s="483"/>
      <c r="AV81" s="484">
        <f t="shared" si="52"/>
        <v>0</v>
      </c>
      <c r="AW81" s="484"/>
      <c r="AX81" s="484"/>
      <c r="AY81" s="380"/>
      <c r="AZ81" s="358">
        <f t="shared" si="27"/>
        <v>0</v>
      </c>
      <c r="BA81" s="475">
        <f t="shared" si="28"/>
        <v>0</v>
      </c>
      <c r="BB81" s="481"/>
      <c r="BC81" s="481"/>
      <c r="BD81" s="481"/>
      <c r="BE81" s="481"/>
      <c r="BF81" s="453" t="str">
        <f t="shared" si="29"/>
        <v>-</v>
      </c>
      <c r="BG81" s="453" t="str">
        <f t="shared" si="30"/>
        <v>-</v>
      </c>
      <c r="BH81" s="453" t="str">
        <f t="shared" si="31"/>
        <v>-</v>
      </c>
      <c r="BI81" s="453" t="str">
        <f t="shared" si="32"/>
        <v>-</v>
      </c>
      <c r="BJ81" s="453" t="str">
        <f t="shared" si="33"/>
        <v>-</v>
      </c>
      <c r="BK81" s="390" t="str">
        <f t="shared" si="34"/>
        <v>-</v>
      </c>
      <c r="BL81" s="125"/>
      <c r="BM81" s="92"/>
      <c r="BN81" s="386">
        <f t="shared" si="53"/>
        <v>0</v>
      </c>
    </row>
    <row r="82" spans="1:66" s="89" customFormat="1" ht="16.350000000000001" customHeight="1">
      <c r="A82" s="175">
        <f t="shared" si="35"/>
        <v>2022</v>
      </c>
      <c r="B82" s="454" t="str">
        <f t="shared" si="36"/>
        <v>24</v>
      </c>
      <c r="C82" s="454" t="str">
        <f t="array" ref="C82">_xlfn.IFS(_xlfn.NUMBERVALUE(B82)&lt;=13,"Q1",AND(_xlfn.NUMBERVALUE(B82)&gt;13,_xlfn.NUMBERVALUE(B82)&lt;=26),"Q2", AND(_xlfn.NUMBERVALUE(B82)&gt;26,_xlfn.NUMBERVALUE(B82)&lt;=39),"Q3",_xlfn.NUMBERVALUE(B82)&gt;39,"Q4")</f>
        <v>Q2</v>
      </c>
      <c r="D82" s="448">
        <f t="shared" si="54"/>
        <v>44387</v>
      </c>
      <c r="E82" s="448">
        <f t="shared" si="37"/>
        <v>44393</v>
      </c>
      <c r="F82" s="480">
        <v>202124</v>
      </c>
      <c r="G82" s="180">
        <f t="shared" si="38"/>
        <v>0</v>
      </c>
      <c r="H82" s="429"/>
      <c r="I82" s="429"/>
      <c r="J82" s="474">
        <f t="shared" si="39"/>
        <v>0</v>
      </c>
      <c r="K82" s="474">
        <f t="shared" si="40"/>
        <v>0</v>
      </c>
      <c r="L82" s="481"/>
      <c r="M82" s="481"/>
      <c r="N82" s="481"/>
      <c r="O82" s="474">
        <f t="shared" si="41"/>
        <v>0</v>
      </c>
      <c r="P82" s="474">
        <f t="shared" si="42"/>
        <v>0</v>
      </c>
      <c r="Q82" s="474">
        <f t="shared" si="43"/>
        <v>0</v>
      </c>
      <c r="R82" s="449">
        <f>Forecast!J77</f>
        <v>0</v>
      </c>
      <c r="S82" s="449">
        <f>Forecast!N77</f>
        <v>0</v>
      </c>
      <c r="T82" s="475">
        <f t="shared" si="44"/>
        <v>0</v>
      </c>
      <c r="U82" s="475">
        <f t="shared" si="45"/>
        <v>0</v>
      </c>
      <c r="V82" s="349">
        <f t="shared" si="46"/>
        <v>0</v>
      </c>
      <c r="W82" s="350">
        <f t="shared" si="47"/>
        <v>0</v>
      </c>
      <c r="X82" s="469">
        <f>'Channel &amp; Campaign Metrics'!AR81</f>
        <v>0</v>
      </c>
      <c r="Y82" s="469">
        <f>'Channel &amp; Campaign Metrics'!BS81</f>
        <v>0</v>
      </c>
      <c r="Z82" s="430"/>
      <c r="AA82" s="111"/>
      <c r="AB82" s="358">
        <f>'Glass Metrics'!AC82</f>
        <v>0</v>
      </c>
      <c r="AC82" s="475">
        <f>'Glass Metrics'!I82</f>
        <v>0</v>
      </c>
      <c r="AD82" s="469">
        <f>'Glass Metrics'!N82</f>
        <v>0</v>
      </c>
      <c r="AE82" s="475">
        <f>'Glass Metrics'!S82</f>
        <v>0</v>
      </c>
      <c r="AF82" s="359" t="str">
        <f t="shared" si="48"/>
        <v/>
      </c>
      <c r="AG82" s="477" t="str">
        <f t="shared" si="49"/>
        <v/>
      </c>
      <c r="AH82" s="472" t="str">
        <f t="shared" si="50"/>
        <v/>
      </c>
      <c r="AI82" s="360" t="str">
        <f t="shared" si="51"/>
        <v/>
      </c>
      <c r="AJ82" s="361" t="str">
        <f t="shared" si="24"/>
        <v/>
      </c>
      <c r="AK82" s="482"/>
      <c r="AL82" s="482"/>
      <c r="AM82" s="481"/>
      <c r="AN82" s="481"/>
      <c r="AO82" s="372" t="str">
        <f t="shared" si="25"/>
        <v/>
      </c>
      <c r="AP82" s="361"/>
      <c r="AQ82" s="482"/>
      <c r="AR82" s="482"/>
      <c r="AS82" s="187" t="str">
        <f t="shared" si="26"/>
        <v/>
      </c>
      <c r="AT82" s="118"/>
      <c r="AU82" s="483"/>
      <c r="AV82" s="484">
        <f t="shared" si="52"/>
        <v>0</v>
      </c>
      <c r="AW82" s="484"/>
      <c r="AX82" s="484"/>
      <c r="AY82" s="380"/>
      <c r="AZ82" s="358">
        <f t="shared" si="27"/>
        <v>0</v>
      </c>
      <c r="BA82" s="475">
        <f t="shared" si="28"/>
        <v>0</v>
      </c>
      <c r="BB82" s="481"/>
      <c r="BC82" s="481"/>
      <c r="BD82" s="481"/>
      <c r="BE82" s="481"/>
      <c r="BF82" s="453" t="str">
        <f t="shared" si="29"/>
        <v>-</v>
      </c>
      <c r="BG82" s="453" t="str">
        <f t="shared" si="30"/>
        <v>-</v>
      </c>
      <c r="BH82" s="453" t="str">
        <f t="shared" si="31"/>
        <v>-</v>
      </c>
      <c r="BI82" s="453" t="str">
        <f t="shared" si="32"/>
        <v>-</v>
      </c>
      <c r="BJ82" s="453" t="str">
        <f t="shared" si="33"/>
        <v>-</v>
      </c>
      <c r="BK82" s="390" t="str">
        <f t="shared" si="34"/>
        <v>-</v>
      </c>
      <c r="BL82" s="125"/>
      <c r="BM82" s="92"/>
      <c r="BN82" s="386">
        <f t="shared" si="53"/>
        <v>0</v>
      </c>
    </row>
    <row r="83" spans="1:66" s="89" customFormat="1" ht="16.350000000000001" customHeight="1">
      <c r="A83" s="175">
        <f t="shared" si="35"/>
        <v>2022</v>
      </c>
      <c r="B83" s="454" t="str">
        <f t="shared" si="36"/>
        <v>25</v>
      </c>
      <c r="C83" s="454" t="str">
        <f t="array" ref="C83">_xlfn.IFS(_xlfn.NUMBERVALUE(B83)&lt;=13,"Q1",AND(_xlfn.NUMBERVALUE(B83)&gt;13,_xlfn.NUMBERVALUE(B83)&lt;=26),"Q2", AND(_xlfn.NUMBERVALUE(B83)&gt;26,_xlfn.NUMBERVALUE(B83)&lt;=39),"Q3",_xlfn.NUMBERVALUE(B83)&gt;39,"Q4")</f>
        <v>Q2</v>
      </c>
      <c r="D83" s="448">
        <f t="shared" si="54"/>
        <v>44394</v>
      </c>
      <c r="E83" s="448">
        <f t="shared" si="37"/>
        <v>44400</v>
      </c>
      <c r="F83" s="480">
        <v>202125</v>
      </c>
      <c r="G83" s="180">
        <f t="shared" si="38"/>
        <v>0</v>
      </c>
      <c r="H83" s="429"/>
      <c r="I83" s="429"/>
      <c r="J83" s="474">
        <f t="shared" si="39"/>
        <v>0</v>
      </c>
      <c r="K83" s="474">
        <f t="shared" si="40"/>
        <v>0</v>
      </c>
      <c r="L83" s="481"/>
      <c r="M83" s="481"/>
      <c r="N83" s="481"/>
      <c r="O83" s="474">
        <f t="shared" si="41"/>
        <v>0</v>
      </c>
      <c r="P83" s="474">
        <f t="shared" si="42"/>
        <v>0</v>
      </c>
      <c r="Q83" s="474">
        <f t="shared" si="43"/>
        <v>0</v>
      </c>
      <c r="R83" s="449">
        <f>Forecast!J78</f>
        <v>0</v>
      </c>
      <c r="S83" s="449">
        <f>Forecast!N78</f>
        <v>0</v>
      </c>
      <c r="T83" s="475">
        <f t="shared" si="44"/>
        <v>0</v>
      </c>
      <c r="U83" s="475">
        <f t="shared" si="45"/>
        <v>0</v>
      </c>
      <c r="V83" s="349">
        <f t="shared" si="46"/>
        <v>0</v>
      </c>
      <c r="W83" s="350">
        <f t="shared" si="47"/>
        <v>0</v>
      </c>
      <c r="X83" s="469">
        <f>'Channel &amp; Campaign Metrics'!AR82</f>
        <v>0</v>
      </c>
      <c r="Y83" s="469">
        <f>'Channel &amp; Campaign Metrics'!BS82</f>
        <v>0</v>
      </c>
      <c r="Z83" s="430"/>
      <c r="AA83" s="111"/>
      <c r="AB83" s="358">
        <f>'Glass Metrics'!AC83</f>
        <v>0</v>
      </c>
      <c r="AC83" s="475">
        <f>'Glass Metrics'!I83</f>
        <v>0</v>
      </c>
      <c r="AD83" s="469">
        <f>'Glass Metrics'!N83</f>
        <v>0</v>
      </c>
      <c r="AE83" s="475">
        <f>'Glass Metrics'!S83</f>
        <v>0</v>
      </c>
      <c r="AF83" s="359" t="str">
        <f t="shared" si="48"/>
        <v/>
      </c>
      <c r="AG83" s="477" t="str">
        <f t="shared" si="49"/>
        <v/>
      </c>
      <c r="AH83" s="472" t="str">
        <f t="shared" si="50"/>
        <v/>
      </c>
      <c r="AI83" s="360" t="str">
        <f t="shared" si="51"/>
        <v/>
      </c>
      <c r="AJ83" s="361" t="str">
        <f t="shared" si="24"/>
        <v/>
      </c>
      <c r="AK83" s="482"/>
      <c r="AL83" s="482"/>
      <c r="AM83" s="481"/>
      <c r="AN83" s="481"/>
      <c r="AO83" s="372" t="str">
        <f t="shared" si="25"/>
        <v/>
      </c>
      <c r="AP83" s="361"/>
      <c r="AQ83" s="482"/>
      <c r="AR83" s="482"/>
      <c r="AS83" s="187" t="str">
        <f t="shared" si="26"/>
        <v/>
      </c>
      <c r="AT83" s="118"/>
      <c r="AU83" s="483"/>
      <c r="AV83" s="484">
        <f t="shared" si="52"/>
        <v>0</v>
      </c>
      <c r="AW83" s="484"/>
      <c r="AX83" s="484"/>
      <c r="AY83" s="380"/>
      <c r="AZ83" s="358">
        <f t="shared" si="27"/>
        <v>0</v>
      </c>
      <c r="BA83" s="475">
        <f t="shared" si="28"/>
        <v>0</v>
      </c>
      <c r="BB83" s="481"/>
      <c r="BC83" s="481"/>
      <c r="BD83" s="481"/>
      <c r="BE83" s="481"/>
      <c r="BF83" s="453" t="str">
        <f t="shared" si="29"/>
        <v>-</v>
      </c>
      <c r="BG83" s="453" t="str">
        <f t="shared" si="30"/>
        <v>-</v>
      </c>
      <c r="BH83" s="453" t="str">
        <f t="shared" si="31"/>
        <v>-</v>
      </c>
      <c r="BI83" s="453" t="str">
        <f t="shared" si="32"/>
        <v>-</v>
      </c>
      <c r="BJ83" s="453" t="str">
        <f t="shared" si="33"/>
        <v>-</v>
      </c>
      <c r="BK83" s="390" t="str">
        <f t="shared" si="34"/>
        <v>-</v>
      </c>
      <c r="BL83" s="125"/>
      <c r="BM83" s="92"/>
      <c r="BN83" s="386">
        <f t="shared" si="53"/>
        <v>0</v>
      </c>
    </row>
    <row r="84" spans="1:66" s="89" customFormat="1" ht="16.350000000000001" customHeight="1">
      <c r="A84" s="175">
        <f t="shared" si="35"/>
        <v>2022</v>
      </c>
      <c r="B84" s="454" t="str">
        <f t="shared" si="36"/>
        <v>26</v>
      </c>
      <c r="C84" s="454" t="str">
        <f t="array" ref="C84">_xlfn.IFS(_xlfn.NUMBERVALUE(B84)&lt;=13,"Q1",AND(_xlfn.NUMBERVALUE(B84)&gt;13,_xlfn.NUMBERVALUE(B84)&lt;=26),"Q2", AND(_xlfn.NUMBERVALUE(B84)&gt;26,_xlfn.NUMBERVALUE(B84)&lt;=39),"Q3",_xlfn.NUMBERVALUE(B84)&gt;39,"Q4")</f>
        <v>Q2</v>
      </c>
      <c r="D84" s="448">
        <f t="shared" si="54"/>
        <v>44401</v>
      </c>
      <c r="E84" s="448">
        <f t="shared" si="37"/>
        <v>44407</v>
      </c>
      <c r="F84" s="480">
        <v>202126</v>
      </c>
      <c r="G84" s="180">
        <f t="shared" si="38"/>
        <v>0</v>
      </c>
      <c r="H84" s="429"/>
      <c r="I84" s="429"/>
      <c r="J84" s="474">
        <f t="shared" si="39"/>
        <v>0</v>
      </c>
      <c r="K84" s="474">
        <f t="shared" si="40"/>
        <v>0</v>
      </c>
      <c r="L84" s="481"/>
      <c r="M84" s="481"/>
      <c r="N84" s="481"/>
      <c r="O84" s="474">
        <f t="shared" si="41"/>
        <v>0</v>
      </c>
      <c r="P84" s="474">
        <f t="shared" si="42"/>
        <v>0</v>
      </c>
      <c r="Q84" s="474">
        <f t="shared" si="43"/>
        <v>0</v>
      </c>
      <c r="R84" s="449">
        <f>Forecast!J79</f>
        <v>0</v>
      </c>
      <c r="S84" s="449">
        <f>Forecast!N79</f>
        <v>0</v>
      </c>
      <c r="T84" s="475">
        <f t="shared" si="44"/>
        <v>0</v>
      </c>
      <c r="U84" s="475">
        <f t="shared" si="45"/>
        <v>0</v>
      </c>
      <c r="V84" s="349">
        <f t="shared" si="46"/>
        <v>0</v>
      </c>
      <c r="W84" s="350">
        <f t="shared" si="47"/>
        <v>0</v>
      </c>
      <c r="X84" s="469">
        <f>'Channel &amp; Campaign Metrics'!AR83</f>
        <v>0</v>
      </c>
      <c r="Y84" s="469">
        <f>'Channel &amp; Campaign Metrics'!BS83</f>
        <v>0</v>
      </c>
      <c r="Z84" s="430"/>
      <c r="AA84" s="111"/>
      <c r="AB84" s="358">
        <f>'Glass Metrics'!AC84</f>
        <v>0</v>
      </c>
      <c r="AC84" s="475">
        <f>'Glass Metrics'!I84</f>
        <v>0</v>
      </c>
      <c r="AD84" s="469">
        <f>'Glass Metrics'!N84</f>
        <v>0</v>
      </c>
      <c r="AE84" s="475">
        <f>'Glass Metrics'!S84</f>
        <v>0</v>
      </c>
      <c r="AF84" s="359" t="str">
        <f t="shared" si="48"/>
        <v/>
      </c>
      <c r="AG84" s="477" t="str">
        <f t="shared" si="49"/>
        <v/>
      </c>
      <c r="AH84" s="472" t="str">
        <f t="shared" si="50"/>
        <v/>
      </c>
      <c r="AI84" s="360" t="str">
        <f t="shared" si="51"/>
        <v/>
      </c>
      <c r="AJ84" s="361" t="str">
        <f t="shared" si="24"/>
        <v/>
      </c>
      <c r="AK84" s="482"/>
      <c r="AL84" s="482"/>
      <c r="AM84" s="481"/>
      <c r="AN84" s="481"/>
      <c r="AO84" s="372" t="str">
        <f t="shared" si="25"/>
        <v/>
      </c>
      <c r="AP84" s="361"/>
      <c r="AQ84" s="482"/>
      <c r="AR84" s="482"/>
      <c r="AS84" s="187" t="str">
        <f t="shared" si="26"/>
        <v/>
      </c>
      <c r="AT84" s="118"/>
      <c r="AU84" s="483"/>
      <c r="AV84" s="484">
        <f t="shared" si="52"/>
        <v>0</v>
      </c>
      <c r="AW84" s="484"/>
      <c r="AX84" s="484"/>
      <c r="AY84" s="380"/>
      <c r="AZ84" s="358">
        <f t="shared" si="27"/>
        <v>0</v>
      </c>
      <c r="BA84" s="475">
        <f t="shared" si="28"/>
        <v>0</v>
      </c>
      <c r="BB84" s="481"/>
      <c r="BC84" s="481"/>
      <c r="BD84" s="481"/>
      <c r="BE84" s="481"/>
      <c r="BF84" s="453" t="str">
        <f t="shared" si="29"/>
        <v>-</v>
      </c>
      <c r="BG84" s="453" t="str">
        <f t="shared" si="30"/>
        <v>-</v>
      </c>
      <c r="BH84" s="453" t="str">
        <f t="shared" si="31"/>
        <v>-</v>
      </c>
      <c r="BI84" s="453" t="str">
        <f t="shared" si="32"/>
        <v>-</v>
      </c>
      <c r="BJ84" s="453" t="str">
        <f t="shared" si="33"/>
        <v>-</v>
      </c>
      <c r="BK84" s="390" t="str">
        <f t="shared" si="34"/>
        <v>-</v>
      </c>
      <c r="BL84" s="125"/>
      <c r="BM84" s="92"/>
      <c r="BN84" s="386">
        <f t="shared" si="53"/>
        <v>0</v>
      </c>
    </row>
    <row r="85" spans="1:66" s="89" customFormat="1" ht="16.350000000000001" customHeight="1">
      <c r="A85" s="175">
        <f t="shared" si="35"/>
        <v>2022</v>
      </c>
      <c r="B85" s="454" t="str">
        <f t="shared" si="36"/>
        <v>27</v>
      </c>
      <c r="C85" s="454" t="str">
        <f t="array" ref="C85">_xlfn.IFS(_xlfn.NUMBERVALUE(B85)&lt;=13,"Q1",AND(_xlfn.NUMBERVALUE(B85)&gt;13,_xlfn.NUMBERVALUE(B85)&lt;=26),"Q2", AND(_xlfn.NUMBERVALUE(B85)&gt;26,_xlfn.NUMBERVALUE(B85)&lt;=39),"Q3",_xlfn.NUMBERVALUE(B85)&gt;39,"Q4")</f>
        <v>Q3</v>
      </c>
      <c r="D85" s="448">
        <f t="shared" si="54"/>
        <v>44408</v>
      </c>
      <c r="E85" s="448">
        <f t="shared" si="37"/>
        <v>44414</v>
      </c>
      <c r="F85" s="480">
        <v>202127</v>
      </c>
      <c r="G85" s="180">
        <f t="shared" si="38"/>
        <v>0</v>
      </c>
      <c r="H85" s="429"/>
      <c r="I85" s="429"/>
      <c r="J85" s="474">
        <f t="shared" si="39"/>
        <v>0</v>
      </c>
      <c r="K85" s="474">
        <f t="shared" si="40"/>
        <v>0</v>
      </c>
      <c r="L85" s="481"/>
      <c r="M85" s="481"/>
      <c r="N85" s="481"/>
      <c r="O85" s="474">
        <f t="shared" si="41"/>
        <v>0</v>
      </c>
      <c r="P85" s="474">
        <f t="shared" si="42"/>
        <v>0</v>
      </c>
      <c r="Q85" s="474">
        <f t="shared" si="43"/>
        <v>0</v>
      </c>
      <c r="R85" s="449">
        <f>Forecast!J80</f>
        <v>0</v>
      </c>
      <c r="S85" s="449">
        <f>Forecast!N80</f>
        <v>0</v>
      </c>
      <c r="T85" s="475">
        <f t="shared" si="44"/>
        <v>0</v>
      </c>
      <c r="U85" s="475">
        <f t="shared" si="45"/>
        <v>0</v>
      </c>
      <c r="V85" s="349">
        <f t="shared" si="46"/>
        <v>0</v>
      </c>
      <c r="W85" s="350">
        <f t="shared" si="47"/>
        <v>0</v>
      </c>
      <c r="X85" s="469">
        <f>'Channel &amp; Campaign Metrics'!AR84</f>
        <v>0</v>
      </c>
      <c r="Y85" s="469">
        <f>'Channel &amp; Campaign Metrics'!BS84</f>
        <v>0</v>
      </c>
      <c r="Z85" s="430"/>
      <c r="AA85" s="111"/>
      <c r="AB85" s="358">
        <f>'Glass Metrics'!AC85</f>
        <v>0</v>
      </c>
      <c r="AC85" s="475">
        <f>'Glass Metrics'!I85</f>
        <v>0</v>
      </c>
      <c r="AD85" s="469">
        <f>'Glass Metrics'!N85</f>
        <v>0</v>
      </c>
      <c r="AE85" s="475">
        <f>'Glass Metrics'!S85</f>
        <v>0</v>
      </c>
      <c r="AF85" s="359" t="str">
        <f t="shared" si="48"/>
        <v/>
      </c>
      <c r="AG85" s="477" t="str">
        <f t="shared" si="49"/>
        <v/>
      </c>
      <c r="AH85" s="472" t="str">
        <f t="shared" si="50"/>
        <v/>
      </c>
      <c r="AI85" s="360" t="str">
        <f t="shared" si="51"/>
        <v/>
      </c>
      <c r="AJ85" s="361" t="str">
        <f t="shared" si="24"/>
        <v/>
      </c>
      <c r="AK85" s="482"/>
      <c r="AL85" s="482"/>
      <c r="AM85" s="481"/>
      <c r="AN85" s="481"/>
      <c r="AO85" s="372" t="str">
        <f t="shared" si="25"/>
        <v/>
      </c>
      <c r="AP85" s="361"/>
      <c r="AQ85" s="482"/>
      <c r="AR85" s="482"/>
      <c r="AS85" s="187" t="str">
        <f t="shared" si="26"/>
        <v/>
      </c>
      <c r="AT85" s="118"/>
      <c r="AU85" s="483"/>
      <c r="AV85" s="484">
        <f t="shared" si="52"/>
        <v>0</v>
      </c>
      <c r="AW85" s="484"/>
      <c r="AX85" s="484"/>
      <c r="AY85" s="380"/>
      <c r="AZ85" s="358">
        <f t="shared" si="27"/>
        <v>0</v>
      </c>
      <c r="BA85" s="475">
        <f t="shared" si="28"/>
        <v>0</v>
      </c>
      <c r="BB85" s="481"/>
      <c r="BC85" s="481"/>
      <c r="BD85" s="481"/>
      <c r="BE85" s="481"/>
      <c r="BF85" s="453" t="str">
        <f t="shared" si="29"/>
        <v>-</v>
      </c>
      <c r="BG85" s="453" t="str">
        <f t="shared" si="30"/>
        <v>-</v>
      </c>
      <c r="BH85" s="453" t="str">
        <f t="shared" si="31"/>
        <v>-</v>
      </c>
      <c r="BI85" s="453" t="str">
        <f t="shared" si="32"/>
        <v>-</v>
      </c>
      <c r="BJ85" s="453" t="str">
        <f t="shared" si="33"/>
        <v>-</v>
      </c>
      <c r="BK85" s="390" t="str">
        <f t="shared" si="34"/>
        <v>-</v>
      </c>
      <c r="BL85" s="125"/>
      <c r="BM85" s="92"/>
      <c r="BN85" s="386">
        <f t="shared" si="53"/>
        <v>0</v>
      </c>
    </row>
    <row r="86" spans="1:66" s="89" customFormat="1" ht="16.350000000000001" customHeight="1">
      <c r="A86" s="175">
        <f t="shared" si="35"/>
        <v>2022</v>
      </c>
      <c r="B86" s="454" t="str">
        <f t="shared" si="36"/>
        <v>28</v>
      </c>
      <c r="C86" s="454" t="str">
        <f t="array" ref="C86">_xlfn.IFS(_xlfn.NUMBERVALUE(B86)&lt;=13,"Q1",AND(_xlfn.NUMBERVALUE(B86)&gt;13,_xlfn.NUMBERVALUE(B86)&lt;=26),"Q2", AND(_xlfn.NUMBERVALUE(B86)&gt;26,_xlfn.NUMBERVALUE(B86)&lt;=39),"Q3",_xlfn.NUMBERVALUE(B86)&gt;39,"Q4")</f>
        <v>Q3</v>
      </c>
      <c r="D86" s="448">
        <f t="shared" si="54"/>
        <v>44415</v>
      </c>
      <c r="E86" s="448">
        <f t="shared" si="37"/>
        <v>44421</v>
      </c>
      <c r="F86" s="480">
        <v>202128</v>
      </c>
      <c r="G86" s="180">
        <f t="shared" si="38"/>
        <v>0</v>
      </c>
      <c r="H86" s="429"/>
      <c r="I86" s="429"/>
      <c r="J86" s="474">
        <f t="shared" si="39"/>
        <v>0</v>
      </c>
      <c r="K86" s="474">
        <f t="shared" si="40"/>
        <v>0</v>
      </c>
      <c r="L86" s="481"/>
      <c r="M86" s="481"/>
      <c r="N86" s="481"/>
      <c r="O86" s="474">
        <f t="shared" si="41"/>
        <v>0</v>
      </c>
      <c r="P86" s="474">
        <f t="shared" si="42"/>
        <v>0</v>
      </c>
      <c r="Q86" s="474">
        <f t="shared" si="43"/>
        <v>0</v>
      </c>
      <c r="R86" s="449">
        <f>Forecast!J81</f>
        <v>0</v>
      </c>
      <c r="S86" s="449">
        <f>Forecast!N81</f>
        <v>0</v>
      </c>
      <c r="T86" s="475">
        <f t="shared" si="44"/>
        <v>0</v>
      </c>
      <c r="U86" s="475">
        <f t="shared" si="45"/>
        <v>0</v>
      </c>
      <c r="V86" s="349">
        <f t="shared" si="46"/>
        <v>0</v>
      </c>
      <c r="W86" s="350">
        <f t="shared" si="47"/>
        <v>0</v>
      </c>
      <c r="X86" s="469">
        <f>'Channel &amp; Campaign Metrics'!AR85</f>
        <v>0</v>
      </c>
      <c r="Y86" s="469">
        <f>'Channel &amp; Campaign Metrics'!BS85</f>
        <v>0</v>
      </c>
      <c r="Z86" s="430"/>
      <c r="AA86" s="111"/>
      <c r="AB86" s="358">
        <f>'Glass Metrics'!AC86</f>
        <v>0</v>
      </c>
      <c r="AC86" s="475">
        <f>'Glass Metrics'!I86</f>
        <v>0</v>
      </c>
      <c r="AD86" s="469">
        <f>'Glass Metrics'!N86</f>
        <v>0</v>
      </c>
      <c r="AE86" s="475">
        <f>'Glass Metrics'!S86</f>
        <v>0</v>
      </c>
      <c r="AF86" s="359" t="str">
        <f t="shared" si="48"/>
        <v/>
      </c>
      <c r="AG86" s="477" t="str">
        <f t="shared" si="49"/>
        <v/>
      </c>
      <c r="AH86" s="472" t="str">
        <f t="shared" si="50"/>
        <v/>
      </c>
      <c r="AI86" s="360" t="str">
        <f t="shared" si="51"/>
        <v/>
      </c>
      <c r="AJ86" s="361" t="str">
        <f t="shared" si="24"/>
        <v/>
      </c>
      <c r="AK86" s="482"/>
      <c r="AL86" s="482"/>
      <c r="AM86" s="481"/>
      <c r="AN86" s="481"/>
      <c r="AO86" s="372" t="str">
        <f t="shared" si="25"/>
        <v/>
      </c>
      <c r="AP86" s="361"/>
      <c r="AQ86" s="482"/>
      <c r="AR86" s="482"/>
      <c r="AS86" s="187" t="str">
        <f t="shared" si="26"/>
        <v/>
      </c>
      <c r="AT86" s="118"/>
      <c r="AU86" s="483"/>
      <c r="AV86" s="484">
        <f t="shared" si="52"/>
        <v>0</v>
      </c>
      <c r="AW86" s="484"/>
      <c r="AX86" s="484"/>
      <c r="AY86" s="380"/>
      <c r="AZ86" s="358">
        <f t="shared" si="27"/>
        <v>0</v>
      </c>
      <c r="BA86" s="475">
        <f t="shared" si="28"/>
        <v>0</v>
      </c>
      <c r="BB86" s="481"/>
      <c r="BC86" s="481"/>
      <c r="BD86" s="481"/>
      <c r="BE86" s="481"/>
      <c r="BF86" s="453" t="str">
        <f t="shared" si="29"/>
        <v>-</v>
      </c>
      <c r="BG86" s="453" t="str">
        <f t="shared" si="30"/>
        <v>-</v>
      </c>
      <c r="BH86" s="453" t="str">
        <f t="shared" si="31"/>
        <v>-</v>
      </c>
      <c r="BI86" s="453" t="str">
        <f t="shared" si="32"/>
        <v>-</v>
      </c>
      <c r="BJ86" s="453" t="str">
        <f t="shared" si="33"/>
        <v>-</v>
      </c>
      <c r="BK86" s="390" t="str">
        <f t="shared" si="34"/>
        <v>-</v>
      </c>
      <c r="BL86" s="125"/>
      <c r="BM86" s="92"/>
      <c r="BN86" s="386">
        <f t="shared" si="53"/>
        <v>0</v>
      </c>
    </row>
    <row r="87" spans="1:66" s="89" customFormat="1" ht="16.350000000000001" customHeight="1">
      <c r="A87" s="175">
        <f t="shared" si="35"/>
        <v>2022</v>
      </c>
      <c r="B87" s="454" t="str">
        <f t="shared" si="36"/>
        <v>29</v>
      </c>
      <c r="C87" s="454" t="str">
        <f t="array" ref="C87">_xlfn.IFS(_xlfn.NUMBERVALUE(B87)&lt;=13,"Q1",AND(_xlfn.NUMBERVALUE(B87)&gt;13,_xlfn.NUMBERVALUE(B87)&lt;=26),"Q2", AND(_xlfn.NUMBERVALUE(B87)&gt;26,_xlfn.NUMBERVALUE(B87)&lt;=39),"Q3",_xlfn.NUMBERVALUE(B87)&gt;39,"Q4")</f>
        <v>Q3</v>
      </c>
      <c r="D87" s="448">
        <f t="shared" si="54"/>
        <v>44422</v>
      </c>
      <c r="E87" s="448">
        <f t="shared" si="37"/>
        <v>44428</v>
      </c>
      <c r="F87" s="480">
        <v>202129</v>
      </c>
      <c r="G87" s="180">
        <f t="shared" si="38"/>
        <v>0</v>
      </c>
      <c r="H87" s="429"/>
      <c r="I87" s="429"/>
      <c r="J87" s="474">
        <f t="shared" si="39"/>
        <v>0</v>
      </c>
      <c r="K87" s="474">
        <f t="shared" si="40"/>
        <v>0</v>
      </c>
      <c r="L87" s="481"/>
      <c r="M87" s="481"/>
      <c r="N87" s="481"/>
      <c r="O87" s="474">
        <f t="shared" si="41"/>
        <v>0</v>
      </c>
      <c r="P87" s="474">
        <f t="shared" si="42"/>
        <v>0</v>
      </c>
      <c r="Q87" s="474">
        <f t="shared" si="43"/>
        <v>0</v>
      </c>
      <c r="R87" s="449">
        <f>Forecast!J82</f>
        <v>0</v>
      </c>
      <c r="S87" s="449">
        <f>Forecast!N82</f>
        <v>0</v>
      </c>
      <c r="T87" s="475">
        <f t="shared" si="44"/>
        <v>0</v>
      </c>
      <c r="U87" s="475">
        <f t="shared" si="45"/>
        <v>0</v>
      </c>
      <c r="V87" s="349">
        <f t="shared" si="46"/>
        <v>0</v>
      </c>
      <c r="W87" s="350">
        <f t="shared" si="47"/>
        <v>0</v>
      </c>
      <c r="X87" s="469">
        <f>'Channel &amp; Campaign Metrics'!AR86</f>
        <v>0</v>
      </c>
      <c r="Y87" s="469">
        <f>'Channel &amp; Campaign Metrics'!BS86</f>
        <v>0</v>
      </c>
      <c r="Z87" s="430"/>
      <c r="AA87" s="111"/>
      <c r="AB87" s="358">
        <f>'Glass Metrics'!AC87</f>
        <v>0</v>
      </c>
      <c r="AC87" s="475">
        <f>'Glass Metrics'!I87</f>
        <v>0</v>
      </c>
      <c r="AD87" s="469">
        <f>'Glass Metrics'!N87</f>
        <v>0</v>
      </c>
      <c r="AE87" s="475">
        <f>'Glass Metrics'!S87</f>
        <v>0</v>
      </c>
      <c r="AF87" s="359" t="str">
        <f t="shared" si="48"/>
        <v/>
      </c>
      <c r="AG87" s="477" t="str">
        <f t="shared" si="49"/>
        <v/>
      </c>
      <c r="AH87" s="472" t="str">
        <f t="shared" si="50"/>
        <v/>
      </c>
      <c r="AI87" s="360" t="str">
        <f t="shared" si="51"/>
        <v/>
      </c>
      <c r="AJ87" s="361" t="str">
        <f t="shared" si="24"/>
        <v/>
      </c>
      <c r="AK87" s="482"/>
      <c r="AL87" s="482"/>
      <c r="AM87" s="481"/>
      <c r="AN87" s="481"/>
      <c r="AO87" s="372" t="str">
        <f t="shared" si="25"/>
        <v/>
      </c>
      <c r="AP87" s="361"/>
      <c r="AQ87" s="482"/>
      <c r="AR87" s="482"/>
      <c r="AS87" s="187" t="str">
        <f t="shared" si="26"/>
        <v/>
      </c>
      <c r="AT87" s="118"/>
      <c r="AU87" s="483"/>
      <c r="AV87" s="484">
        <f t="shared" si="52"/>
        <v>0</v>
      </c>
      <c r="AW87" s="484"/>
      <c r="AX87" s="484"/>
      <c r="AY87" s="380"/>
      <c r="AZ87" s="358">
        <f t="shared" si="27"/>
        <v>0</v>
      </c>
      <c r="BA87" s="475">
        <f t="shared" si="28"/>
        <v>0</v>
      </c>
      <c r="BB87" s="481"/>
      <c r="BC87" s="481"/>
      <c r="BD87" s="481"/>
      <c r="BE87" s="481"/>
      <c r="BF87" s="453" t="str">
        <f t="shared" si="29"/>
        <v>-</v>
      </c>
      <c r="BG87" s="453" t="str">
        <f t="shared" si="30"/>
        <v>-</v>
      </c>
      <c r="BH87" s="453" t="str">
        <f t="shared" si="31"/>
        <v>-</v>
      </c>
      <c r="BI87" s="453" t="str">
        <f t="shared" si="32"/>
        <v>-</v>
      </c>
      <c r="BJ87" s="453" t="str">
        <f t="shared" si="33"/>
        <v>-</v>
      </c>
      <c r="BK87" s="390" t="str">
        <f t="shared" si="34"/>
        <v>-</v>
      </c>
      <c r="BL87" s="125"/>
      <c r="BM87" s="92"/>
      <c r="BN87" s="386">
        <f t="shared" si="53"/>
        <v>0</v>
      </c>
    </row>
    <row r="88" spans="1:66" s="89" customFormat="1" ht="16.350000000000001" customHeight="1">
      <c r="A88" s="175">
        <f t="shared" si="35"/>
        <v>2022</v>
      </c>
      <c r="B88" s="454" t="str">
        <f t="shared" si="36"/>
        <v>30</v>
      </c>
      <c r="C88" s="454" t="str">
        <f t="array" ref="C88">_xlfn.IFS(_xlfn.NUMBERVALUE(B88)&lt;=13,"Q1",AND(_xlfn.NUMBERVALUE(B88)&gt;13,_xlfn.NUMBERVALUE(B88)&lt;=26),"Q2", AND(_xlfn.NUMBERVALUE(B88)&gt;26,_xlfn.NUMBERVALUE(B88)&lt;=39),"Q3",_xlfn.NUMBERVALUE(B88)&gt;39,"Q4")</f>
        <v>Q3</v>
      </c>
      <c r="D88" s="448">
        <f t="shared" si="54"/>
        <v>44429</v>
      </c>
      <c r="E88" s="448">
        <f t="shared" si="37"/>
        <v>44435</v>
      </c>
      <c r="F88" s="480">
        <v>202130</v>
      </c>
      <c r="G88" s="180">
        <f t="shared" si="38"/>
        <v>0</v>
      </c>
      <c r="H88" s="429"/>
      <c r="I88" s="429"/>
      <c r="J88" s="474">
        <f t="shared" si="39"/>
        <v>0</v>
      </c>
      <c r="K88" s="474">
        <f t="shared" si="40"/>
        <v>0</v>
      </c>
      <c r="L88" s="481"/>
      <c r="M88" s="481"/>
      <c r="N88" s="481"/>
      <c r="O88" s="474">
        <f t="shared" si="41"/>
        <v>0</v>
      </c>
      <c r="P88" s="474">
        <f t="shared" si="42"/>
        <v>0</v>
      </c>
      <c r="Q88" s="474">
        <f t="shared" si="43"/>
        <v>0</v>
      </c>
      <c r="R88" s="449">
        <f>Forecast!J83</f>
        <v>0</v>
      </c>
      <c r="S88" s="449">
        <f>Forecast!N83</f>
        <v>0</v>
      </c>
      <c r="T88" s="475">
        <f t="shared" si="44"/>
        <v>0</v>
      </c>
      <c r="U88" s="475">
        <f t="shared" si="45"/>
        <v>0</v>
      </c>
      <c r="V88" s="349">
        <f t="shared" si="46"/>
        <v>0</v>
      </c>
      <c r="W88" s="350">
        <f t="shared" si="47"/>
        <v>0</v>
      </c>
      <c r="X88" s="469">
        <f>'Channel &amp; Campaign Metrics'!AR87</f>
        <v>0</v>
      </c>
      <c r="Y88" s="469">
        <f>'Channel &amp; Campaign Metrics'!BS87</f>
        <v>0</v>
      </c>
      <c r="Z88" s="430"/>
      <c r="AA88" s="111"/>
      <c r="AB88" s="358">
        <f>'Glass Metrics'!AC88</f>
        <v>0</v>
      </c>
      <c r="AC88" s="475">
        <f>'Glass Metrics'!I88</f>
        <v>0</v>
      </c>
      <c r="AD88" s="469">
        <f>'Glass Metrics'!N88</f>
        <v>0</v>
      </c>
      <c r="AE88" s="475">
        <f>'Glass Metrics'!S88</f>
        <v>0</v>
      </c>
      <c r="AF88" s="359" t="str">
        <f t="shared" si="48"/>
        <v/>
      </c>
      <c r="AG88" s="477" t="str">
        <f t="shared" si="49"/>
        <v/>
      </c>
      <c r="AH88" s="472" t="str">
        <f t="shared" si="50"/>
        <v/>
      </c>
      <c r="AI88" s="360" t="str">
        <f t="shared" si="51"/>
        <v/>
      </c>
      <c r="AJ88" s="361" t="str">
        <f t="shared" si="24"/>
        <v/>
      </c>
      <c r="AK88" s="482"/>
      <c r="AL88" s="482"/>
      <c r="AM88" s="481"/>
      <c r="AN88" s="481"/>
      <c r="AO88" s="372" t="str">
        <f t="shared" si="25"/>
        <v/>
      </c>
      <c r="AP88" s="361"/>
      <c r="AQ88" s="482"/>
      <c r="AR88" s="482"/>
      <c r="AS88" s="187" t="str">
        <f t="shared" si="26"/>
        <v/>
      </c>
      <c r="AT88" s="118"/>
      <c r="AU88" s="483"/>
      <c r="AV88" s="484">
        <f t="shared" si="52"/>
        <v>0</v>
      </c>
      <c r="AW88" s="484"/>
      <c r="AX88" s="484"/>
      <c r="AY88" s="380"/>
      <c r="AZ88" s="358">
        <f t="shared" si="27"/>
        <v>0</v>
      </c>
      <c r="BA88" s="475">
        <f t="shared" si="28"/>
        <v>0</v>
      </c>
      <c r="BB88" s="481"/>
      <c r="BC88" s="481"/>
      <c r="BD88" s="481"/>
      <c r="BE88" s="481"/>
      <c r="BF88" s="453" t="str">
        <f t="shared" si="29"/>
        <v>-</v>
      </c>
      <c r="BG88" s="453" t="str">
        <f t="shared" si="30"/>
        <v>-</v>
      </c>
      <c r="BH88" s="453" t="str">
        <f t="shared" si="31"/>
        <v>-</v>
      </c>
      <c r="BI88" s="453" t="str">
        <f t="shared" si="32"/>
        <v>-</v>
      </c>
      <c r="BJ88" s="453" t="str">
        <f t="shared" si="33"/>
        <v>-</v>
      </c>
      <c r="BK88" s="390" t="str">
        <f t="shared" si="34"/>
        <v>-</v>
      </c>
      <c r="BL88" s="125"/>
      <c r="BM88" s="92"/>
      <c r="BN88" s="386">
        <f t="shared" si="53"/>
        <v>0</v>
      </c>
    </row>
    <row r="89" spans="1:66" s="89" customFormat="1" ht="16.350000000000001" customHeight="1">
      <c r="A89" s="175">
        <f t="shared" si="35"/>
        <v>2022</v>
      </c>
      <c r="B89" s="454" t="str">
        <f t="shared" si="36"/>
        <v>31</v>
      </c>
      <c r="C89" s="454" t="str">
        <f t="array" ref="C89">_xlfn.IFS(_xlfn.NUMBERVALUE(B89)&lt;=13,"Q1",AND(_xlfn.NUMBERVALUE(B89)&gt;13,_xlfn.NUMBERVALUE(B89)&lt;=26),"Q2", AND(_xlfn.NUMBERVALUE(B89)&gt;26,_xlfn.NUMBERVALUE(B89)&lt;=39),"Q3",_xlfn.NUMBERVALUE(B89)&gt;39,"Q4")</f>
        <v>Q3</v>
      </c>
      <c r="D89" s="448">
        <f t="shared" si="54"/>
        <v>44436</v>
      </c>
      <c r="E89" s="448">
        <f t="shared" si="37"/>
        <v>44442</v>
      </c>
      <c r="F89" s="480">
        <v>202131</v>
      </c>
      <c r="G89" s="342">
        <f t="shared" si="38"/>
        <v>0</v>
      </c>
      <c r="H89" s="471"/>
      <c r="I89" s="471"/>
      <c r="J89" s="474">
        <f t="shared" si="39"/>
        <v>0</v>
      </c>
      <c r="K89" s="474">
        <f t="shared" si="40"/>
        <v>0</v>
      </c>
      <c r="L89" s="492"/>
      <c r="M89" s="481"/>
      <c r="N89" s="481"/>
      <c r="O89" s="474">
        <f t="shared" si="41"/>
        <v>0</v>
      </c>
      <c r="P89" s="474">
        <f t="shared" si="42"/>
        <v>0</v>
      </c>
      <c r="Q89" s="474">
        <f t="shared" si="43"/>
        <v>0</v>
      </c>
      <c r="R89" s="449">
        <f>Forecast!J84</f>
        <v>0</v>
      </c>
      <c r="S89" s="449">
        <f>Forecast!N84</f>
        <v>0</v>
      </c>
      <c r="T89" s="475">
        <f t="shared" si="44"/>
        <v>0</v>
      </c>
      <c r="U89" s="475">
        <f t="shared" si="45"/>
        <v>0</v>
      </c>
      <c r="V89" s="349">
        <f t="shared" si="46"/>
        <v>0</v>
      </c>
      <c r="W89" s="350">
        <f t="shared" si="47"/>
        <v>0</v>
      </c>
      <c r="X89" s="469">
        <f>'Channel &amp; Campaign Metrics'!AR88</f>
        <v>0</v>
      </c>
      <c r="Y89" s="469">
        <f>'Channel &amp; Campaign Metrics'!BS88</f>
        <v>0</v>
      </c>
      <c r="Z89" s="430"/>
      <c r="AA89" s="111"/>
      <c r="AB89" s="358">
        <f>'Glass Metrics'!AC89</f>
        <v>0</v>
      </c>
      <c r="AC89" s="475">
        <f>'Glass Metrics'!I89</f>
        <v>0</v>
      </c>
      <c r="AD89" s="469">
        <f>'Glass Metrics'!N89</f>
        <v>0</v>
      </c>
      <c r="AE89" s="475">
        <f>'Glass Metrics'!S89</f>
        <v>0</v>
      </c>
      <c r="AF89" s="359" t="str">
        <f t="shared" si="48"/>
        <v/>
      </c>
      <c r="AG89" s="477" t="str">
        <f t="shared" si="49"/>
        <v/>
      </c>
      <c r="AH89" s="472" t="str">
        <f t="shared" si="50"/>
        <v/>
      </c>
      <c r="AI89" s="360" t="str">
        <f t="shared" si="51"/>
        <v/>
      </c>
      <c r="AJ89" s="361" t="str">
        <f t="shared" si="24"/>
        <v/>
      </c>
      <c r="AK89" s="493"/>
      <c r="AL89" s="493"/>
      <c r="AM89" s="494"/>
      <c r="AN89" s="494"/>
      <c r="AO89" s="372" t="str">
        <f t="shared" si="25"/>
        <v/>
      </c>
      <c r="AP89" s="186"/>
      <c r="AQ89" s="493"/>
      <c r="AR89" s="493"/>
      <c r="AS89" s="187" t="str">
        <f t="shared" si="26"/>
        <v/>
      </c>
      <c r="AT89" s="118"/>
      <c r="AU89" s="483"/>
      <c r="AV89" s="484">
        <f t="shared" si="52"/>
        <v>0</v>
      </c>
      <c r="AW89" s="484"/>
      <c r="AX89" s="484"/>
      <c r="AY89" s="380"/>
      <c r="AZ89" s="382">
        <f t="shared" si="27"/>
        <v>0</v>
      </c>
      <c r="BA89" s="495">
        <f t="shared" si="28"/>
        <v>0</v>
      </c>
      <c r="BB89" s="481"/>
      <c r="BC89" s="481"/>
      <c r="BD89" s="481"/>
      <c r="BE89" s="481"/>
      <c r="BF89" s="453" t="str">
        <f t="shared" si="29"/>
        <v>-</v>
      </c>
      <c r="BG89" s="453" t="str">
        <f t="shared" si="30"/>
        <v>-</v>
      </c>
      <c r="BH89" s="453" t="str">
        <f t="shared" si="31"/>
        <v>-</v>
      </c>
      <c r="BI89" s="453" t="str">
        <f t="shared" si="32"/>
        <v>-</v>
      </c>
      <c r="BJ89" s="453" t="str">
        <f t="shared" si="33"/>
        <v>-</v>
      </c>
      <c r="BK89" s="390" t="str">
        <f t="shared" si="34"/>
        <v>-</v>
      </c>
      <c r="BL89" s="125"/>
      <c r="BM89" s="92"/>
      <c r="BN89" s="386">
        <f t="shared" si="53"/>
        <v>0</v>
      </c>
    </row>
    <row r="90" spans="1:66" s="89" customFormat="1" ht="16.350000000000001" customHeight="1">
      <c r="A90" s="175">
        <f t="shared" si="35"/>
        <v>2022</v>
      </c>
      <c r="B90" s="454" t="str">
        <f t="shared" si="36"/>
        <v>32</v>
      </c>
      <c r="C90" s="454" t="str">
        <f t="array" ref="C90">_xlfn.IFS(_xlfn.NUMBERVALUE(B90)&lt;=13,"Q1",AND(_xlfn.NUMBERVALUE(B90)&gt;13,_xlfn.NUMBERVALUE(B90)&lt;=26),"Q2", AND(_xlfn.NUMBERVALUE(B90)&gt;26,_xlfn.NUMBERVALUE(B90)&lt;=39),"Q3",_xlfn.NUMBERVALUE(B90)&gt;39,"Q4")</f>
        <v>Q3</v>
      </c>
      <c r="D90" s="448">
        <f t="shared" si="54"/>
        <v>44443</v>
      </c>
      <c r="E90" s="448">
        <f t="shared" si="37"/>
        <v>44449</v>
      </c>
      <c r="F90" s="480">
        <v>202132</v>
      </c>
      <c r="G90" s="342">
        <f t="shared" si="38"/>
        <v>0</v>
      </c>
      <c r="H90" s="471"/>
      <c r="I90" s="471"/>
      <c r="J90" s="474">
        <f t="shared" si="39"/>
        <v>0</v>
      </c>
      <c r="K90" s="474">
        <f t="shared" si="40"/>
        <v>0</v>
      </c>
      <c r="L90" s="492"/>
      <c r="M90" s="481"/>
      <c r="N90" s="481"/>
      <c r="O90" s="474">
        <f t="shared" si="41"/>
        <v>0</v>
      </c>
      <c r="P90" s="474">
        <f t="shared" si="42"/>
        <v>0</v>
      </c>
      <c r="Q90" s="474">
        <f t="shared" si="43"/>
        <v>0</v>
      </c>
      <c r="R90" s="449">
        <f>Forecast!J85</f>
        <v>0</v>
      </c>
      <c r="S90" s="449">
        <f>Forecast!N85</f>
        <v>0</v>
      </c>
      <c r="T90" s="475">
        <f t="shared" si="44"/>
        <v>0</v>
      </c>
      <c r="U90" s="475">
        <f t="shared" si="45"/>
        <v>0</v>
      </c>
      <c r="V90" s="349">
        <f t="shared" si="46"/>
        <v>0</v>
      </c>
      <c r="W90" s="350">
        <f t="shared" si="47"/>
        <v>0</v>
      </c>
      <c r="X90" s="469">
        <f>'Channel &amp; Campaign Metrics'!AR89</f>
        <v>0</v>
      </c>
      <c r="Y90" s="469">
        <f>'Channel &amp; Campaign Metrics'!BS89</f>
        <v>0</v>
      </c>
      <c r="Z90" s="430"/>
      <c r="AA90" s="111"/>
      <c r="AB90" s="358">
        <f>'Glass Metrics'!AC90</f>
        <v>0</v>
      </c>
      <c r="AC90" s="475">
        <f>'Glass Metrics'!I90</f>
        <v>0</v>
      </c>
      <c r="AD90" s="469">
        <f>'Glass Metrics'!N90</f>
        <v>0</v>
      </c>
      <c r="AE90" s="475">
        <f>'Glass Metrics'!S90</f>
        <v>0</v>
      </c>
      <c r="AF90" s="359" t="str">
        <f t="shared" si="48"/>
        <v/>
      </c>
      <c r="AG90" s="477" t="str">
        <f t="shared" si="49"/>
        <v/>
      </c>
      <c r="AH90" s="472" t="str">
        <f t="shared" si="50"/>
        <v/>
      </c>
      <c r="AI90" s="360" t="str">
        <f t="shared" si="51"/>
        <v/>
      </c>
      <c r="AJ90" s="361" t="str">
        <f t="shared" si="24"/>
        <v/>
      </c>
      <c r="AK90" s="493"/>
      <c r="AL90" s="493"/>
      <c r="AM90" s="494"/>
      <c r="AN90" s="494"/>
      <c r="AO90" s="372" t="str">
        <f t="shared" si="25"/>
        <v/>
      </c>
      <c r="AP90" s="186"/>
      <c r="AQ90" s="493"/>
      <c r="AR90" s="493"/>
      <c r="AS90" s="187" t="str">
        <f t="shared" si="26"/>
        <v/>
      </c>
      <c r="AT90" s="118"/>
      <c r="AU90" s="483"/>
      <c r="AV90" s="484">
        <f t="shared" si="52"/>
        <v>0</v>
      </c>
      <c r="AW90" s="484"/>
      <c r="AX90" s="484"/>
      <c r="AY90" s="380"/>
      <c r="AZ90" s="382">
        <f t="shared" si="27"/>
        <v>0</v>
      </c>
      <c r="BA90" s="495">
        <f t="shared" si="28"/>
        <v>0</v>
      </c>
      <c r="BB90" s="481"/>
      <c r="BC90" s="481"/>
      <c r="BD90" s="481"/>
      <c r="BE90" s="481"/>
      <c r="BF90" s="453" t="str">
        <f t="shared" si="29"/>
        <v>-</v>
      </c>
      <c r="BG90" s="453" t="str">
        <f t="shared" si="30"/>
        <v>-</v>
      </c>
      <c r="BH90" s="453" t="str">
        <f t="shared" si="31"/>
        <v>-</v>
      </c>
      <c r="BI90" s="453" t="str">
        <f t="shared" si="32"/>
        <v>-</v>
      </c>
      <c r="BJ90" s="453" t="str">
        <f t="shared" si="33"/>
        <v>-</v>
      </c>
      <c r="BK90" s="390" t="str">
        <f t="shared" si="34"/>
        <v>-</v>
      </c>
      <c r="BL90" s="125"/>
      <c r="BM90" s="92"/>
      <c r="BN90" s="386">
        <f t="shared" si="53"/>
        <v>0</v>
      </c>
    </row>
    <row r="91" spans="1:66" s="89" customFormat="1" ht="16.350000000000001" customHeight="1">
      <c r="A91" s="175">
        <f t="shared" si="35"/>
        <v>2022</v>
      </c>
      <c r="B91" s="454" t="str">
        <f t="shared" si="36"/>
        <v>33</v>
      </c>
      <c r="C91" s="454" t="str">
        <f t="array" ref="C91">_xlfn.IFS(_xlfn.NUMBERVALUE(B91)&lt;=13,"Q1",AND(_xlfn.NUMBERVALUE(B91)&gt;13,_xlfn.NUMBERVALUE(B91)&lt;=26),"Q2", AND(_xlfn.NUMBERVALUE(B91)&gt;26,_xlfn.NUMBERVALUE(B91)&lt;=39),"Q3",_xlfn.NUMBERVALUE(B91)&gt;39,"Q4")</f>
        <v>Q3</v>
      </c>
      <c r="D91" s="448">
        <f t="shared" si="54"/>
        <v>44450</v>
      </c>
      <c r="E91" s="448">
        <f t="shared" si="37"/>
        <v>44456</v>
      </c>
      <c r="F91" s="480">
        <v>202133</v>
      </c>
      <c r="G91" s="342">
        <f t="shared" si="38"/>
        <v>0</v>
      </c>
      <c r="H91" s="471"/>
      <c r="I91" s="471"/>
      <c r="J91" s="474">
        <f t="shared" si="39"/>
        <v>0</v>
      </c>
      <c r="K91" s="474">
        <f t="shared" si="40"/>
        <v>0</v>
      </c>
      <c r="L91" s="492"/>
      <c r="M91" s="481"/>
      <c r="N91" s="481"/>
      <c r="O91" s="474">
        <f t="shared" si="41"/>
        <v>0</v>
      </c>
      <c r="P91" s="474">
        <f t="shared" si="42"/>
        <v>0</v>
      </c>
      <c r="Q91" s="474">
        <f t="shared" si="43"/>
        <v>0</v>
      </c>
      <c r="R91" s="449">
        <f>Forecast!J86</f>
        <v>0</v>
      </c>
      <c r="S91" s="449">
        <f>Forecast!N86</f>
        <v>0</v>
      </c>
      <c r="T91" s="475">
        <f t="shared" si="44"/>
        <v>0</v>
      </c>
      <c r="U91" s="475">
        <f t="shared" si="45"/>
        <v>0</v>
      </c>
      <c r="V91" s="349">
        <f t="shared" si="46"/>
        <v>0</v>
      </c>
      <c r="W91" s="350">
        <f t="shared" si="47"/>
        <v>0</v>
      </c>
      <c r="X91" s="469">
        <f>'Channel &amp; Campaign Metrics'!AR90</f>
        <v>0</v>
      </c>
      <c r="Y91" s="469">
        <f>'Channel &amp; Campaign Metrics'!BS90</f>
        <v>0</v>
      </c>
      <c r="Z91" s="430"/>
      <c r="AA91" s="111"/>
      <c r="AB91" s="358">
        <f>'Glass Metrics'!AC91</f>
        <v>0</v>
      </c>
      <c r="AC91" s="475">
        <f>'Glass Metrics'!I91</f>
        <v>0</v>
      </c>
      <c r="AD91" s="469">
        <f>'Glass Metrics'!N91</f>
        <v>0</v>
      </c>
      <c r="AE91" s="475">
        <f>'Glass Metrics'!S91</f>
        <v>0</v>
      </c>
      <c r="AF91" s="359" t="str">
        <f t="shared" si="48"/>
        <v/>
      </c>
      <c r="AG91" s="477" t="str">
        <f t="shared" si="49"/>
        <v/>
      </c>
      <c r="AH91" s="472" t="str">
        <f t="shared" si="50"/>
        <v/>
      </c>
      <c r="AI91" s="360" t="str">
        <f t="shared" si="51"/>
        <v/>
      </c>
      <c r="AJ91" s="361" t="str">
        <f t="shared" si="24"/>
        <v/>
      </c>
      <c r="AK91" s="493"/>
      <c r="AL91" s="493"/>
      <c r="AM91" s="494"/>
      <c r="AN91" s="494"/>
      <c r="AO91" s="372" t="str">
        <f t="shared" ref="AO91:AO110" si="55">IFERROR(((AM91*(AK91+0.1))+(AN91*AL91))/(AM91+AN91),"")</f>
        <v/>
      </c>
      <c r="AP91" s="186"/>
      <c r="AQ91" s="493"/>
      <c r="AR91" s="493"/>
      <c r="AS91" s="187" t="str">
        <f t="shared" si="26"/>
        <v/>
      </c>
      <c r="AT91" s="118"/>
      <c r="AU91" s="483"/>
      <c r="AV91" s="484">
        <f t="shared" si="52"/>
        <v>0</v>
      </c>
      <c r="AW91" s="484"/>
      <c r="AX91" s="484"/>
      <c r="AY91" s="383"/>
      <c r="AZ91" s="382">
        <f t="shared" si="27"/>
        <v>0</v>
      </c>
      <c r="BA91" s="495">
        <f t="shared" si="28"/>
        <v>0</v>
      </c>
      <c r="BB91" s="481"/>
      <c r="BC91" s="481"/>
      <c r="BD91" s="481"/>
      <c r="BE91" s="481"/>
      <c r="BF91" s="453" t="str">
        <f t="shared" si="29"/>
        <v>-</v>
      </c>
      <c r="BG91" s="453" t="str">
        <f t="shared" si="30"/>
        <v>-</v>
      </c>
      <c r="BH91" s="453" t="str">
        <f t="shared" si="31"/>
        <v>-</v>
      </c>
      <c r="BI91" s="453" t="str">
        <f t="shared" si="32"/>
        <v>-</v>
      </c>
      <c r="BJ91" s="453" t="str">
        <f t="shared" si="33"/>
        <v>-</v>
      </c>
      <c r="BK91" s="390" t="str">
        <f t="shared" si="34"/>
        <v>-</v>
      </c>
      <c r="BL91" s="125"/>
      <c r="BM91" s="92"/>
      <c r="BN91" s="386">
        <f t="shared" si="53"/>
        <v>0</v>
      </c>
    </row>
    <row r="92" spans="1:66" s="89" customFormat="1" ht="16.350000000000001" customHeight="1">
      <c r="A92" s="175">
        <f t="shared" si="35"/>
        <v>2022</v>
      </c>
      <c r="B92" s="454" t="str">
        <f t="shared" si="36"/>
        <v>34</v>
      </c>
      <c r="C92" s="454" t="str">
        <f t="array" ref="C92">_xlfn.IFS(_xlfn.NUMBERVALUE(B92)&lt;=13,"Q1",AND(_xlfn.NUMBERVALUE(B92)&gt;13,_xlfn.NUMBERVALUE(B92)&lt;=26),"Q2", AND(_xlfn.NUMBERVALUE(B92)&gt;26,_xlfn.NUMBERVALUE(B92)&lt;=39),"Q3",_xlfn.NUMBERVALUE(B92)&gt;39,"Q4")</f>
        <v>Q3</v>
      </c>
      <c r="D92" s="448">
        <f t="shared" si="54"/>
        <v>44457</v>
      </c>
      <c r="E92" s="448">
        <f t="shared" si="37"/>
        <v>44463</v>
      </c>
      <c r="F92" s="480">
        <v>202134</v>
      </c>
      <c r="G92" s="342">
        <f t="shared" si="38"/>
        <v>0</v>
      </c>
      <c r="H92" s="471"/>
      <c r="I92" s="471"/>
      <c r="J92" s="474">
        <f t="shared" si="39"/>
        <v>0</v>
      </c>
      <c r="K92" s="474">
        <f t="shared" si="40"/>
        <v>0</v>
      </c>
      <c r="L92" s="492"/>
      <c r="M92" s="481"/>
      <c r="N92" s="481"/>
      <c r="O92" s="474">
        <f t="shared" si="41"/>
        <v>0</v>
      </c>
      <c r="P92" s="474">
        <f t="shared" si="42"/>
        <v>0</v>
      </c>
      <c r="Q92" s="474">
        <f t="shared" si="43"/>
        <v>0</v>
      </c>
      <c r="R92" s="449">
        <f>Forecast!J87</f>
        <v>0</v>
      </c>
      <c r="S92" s="449">
        <f>Forecast!N87</f>
        <v>0</v>
      </c>
      <c r="T92" s="475">
        <f t="shared" si="44"/>
        <v>0</v>
      </c>
      <c r="U92" s="475">
        <f t="shared" si="45"/>
        <v>0</v>
      </c>
      <c r="V92" s="349">
        <f t="shared" si="46"/>
        <v>0</v>
      </c>
      <c r="W92" s="350">
        <f t="shared" si="47"/>
        <v>0</v>
      </c>
      <c r="X92" s="469">
        <f>'Channel &amp; Campaign Metrics'!AR91</f>
        <v>0</v>
      </c>
      <c r="Y92" s="469">
        <f>'Channel &amp; Campaign Metrics'!BS91</f>
        <v>0</v>
      </c>
      <c r="Z92" s="430"/>
      <c r="AA92" s="111"/>
      <c r="AB92" s="358">
        <f>'Glass Metrics'!AC92</f>
        <v>0</v>
      </c>
      <c r="AC92" s="475">
        <f>'Glass Metrics'!I92</f>
        <v>0</v>
      </c>
      <c r="AD92" s="469">
        <f>'Glass Metrics'!N92</f>
        <v>0</v>
      </c>
      <c r="AE92" s="475">
        <f>'Glass Metrics'!S92</f>
        <v>0</v>
      </c>
      <c r="AF92" s="359" t="str">
        <f t="shared" si="48"/>
        <v/>
      </c>
      <c r="AG92" s="477" t="str">
        <f t="shared" si="49"/>
        <v/>
      </c>
      <c r="AH92" s="472" t="str">
        <f t="shared" si="50"/>
        <v/>
      </c>
      <c r="AI92" s="360" t="str">
        <f t="shared" si="51"/>
        <v/>
      </c>
      <c r="AJ92" s="361" t="str">
        <f t="shared" si="24"/>
        <v/>
      </c>
      <c r="AK92" s="493"/>
      <c r="AL92" s="493"/>
      <c r="AM92" s="494"/>
      <c r="AN92" s="494"/>
      <c r="AO92" s="372" t="str">
        <f t="shared" si="55"/>
        <v/>
      </c>
      <c r="AP92" s="186"/>
      <c r="AQ92" s="478"/>
      <c r="AR92" s="478"/>
      <c r="AS92" s="187" t="str">
        <f t="shared" si="26"/>
        <v/>
      </c>
      <c r="AT92" s="118"/>
      <c r="AU92" s="483"/>
      <c r="AV92" s="484">
        <f t="shared" si="52"/>
        <v>0</v>
      </c>
      <c r="AW92" s="484"/>
      <c r="AX92" s="484"/>
      <c r="AY92" s="380"/>
      <c r="AZ92" s="382">
        <f t="shared" si="27"/>
        <v>0</v>
      </c>
      <c r="BA92" s="495">
        <f t="shared" si="28"/>
        <v>0</v>
      </c>
      <c r="BB92" s="481"/>
      <c r="BC92" s="481"/>
      <c r="BD92" s="481"/>
      <c r="BE92" s="481"/>
      <c r="BF92" s="453" t="str">
        <f t="shared" si="29"/>
        <v>-</v>
      </c>
      <c r="BG92" s="453" t="str">
        <f t="shared" si="30"/>
        <v>-</v>
      </c>
      <c r="BH92" s="453" t="str">
        <f t="shared" si="31"/>
        <v>-</v>
      </c>
      <c r="BI92" s="453" t="str">
        <f t="shared" si="32"/>
        <v>-</v>
      </c>
      <c r="BJ92" s="453" t="str">
        <f t="shared" si="33"/>
        <v>-</v>
      </c>
      <c r="BK92" s="390" t="str">
        <f t="shared" si="34"/>
        <v>-</v>
      </c>
      <c r="BL92" s="125"/>
      <c r="BM92" s="92"/>
      <c r="BN92" s="386">
        <f t="shared" si="53"/>
        <v>0</v>
      </c>
    </row>
    <row r="93" spans="1:66" s="89" customFormat="1" ht="16.350000000000001" customHeight="1">
      <c r="A93" s="175">
        <f t="shared" si="35"/>
        <v>2022</v>
      </c>
      <c r="B93" s="454" t="str">
        <f t="shared" si="36"/>
        <v>35</v>
      </c>
      <c r="C93" s="454" t="str">
        <f t="array" ref="C93">_xlfn.IFS(_xlfn.NUMBERVALUE(B93)&lt;=13,"Q1",AND(_xlfn.NUMBERVALUE(B93)&gt;13,_xlfn.NUMBERVALUE(B93)&lt;=26),"Q2", AND(_xlfn.NUMBERVALUE(B93)&gt;26,_xlfn.NUMBERVALUE(B93)&lt;=39),"Q3",_xlfn.NUMBERVALUE(B93)&gt;39,"Q4")</f>
        <v>Q3</v>
      </c>
      <c r="D93" s="448">
        <f t="shared" si="54"/>
        <v>44464</v>
      </c>
      <c r="E93" s="448">
        <f t="shared" si="37"/>
        <v>44470</v>
      </c>
      <c r="F93" s="480">
        <v>202135</v>
      </c>
      <c r="G93" s="342">
        <f t="shared" si="38"/>
        <v>0</v>
      </c>
      <c r="H93" s="471"/>
      <c r="I93" s="471"/>
      <c r="J93" s="474">
        <f t="shared" si="39"/>
        <v>0</v>
      </c>
      <c r="K93" s="474">
        <f t="shared" si="40"/>
        <v>0</v>
      </c>
      <c r="L93" s="492"/>
      <c r="M93" s="481"/>
      <c r="N93" s="481"/>
      <c r="O93" s="474">
        <f t="shared" si="41"/>
        <v>0</v>
      </c>
      <c r="P93" s="474">
        <f t="shared" si="42"/>
        <v>0</v>
      </c>
      <c r="Q93" s="474">
        <f t="shared" si="43"/>
        <v>0</v>
      </c>
      <c r="R93" s="449">
        <f>Forecast!J88</f>
        <v>0</v>
      </c>
      <c r="S93" s="449">
        <f>Forecast!N88</f>
        <v>0</v>
      </c>
      <c r="T93" s="475">
        <f t="shared" si="44"/>
        <v>0</v>
      </c>
      <c r="U93" s="475">
        <f t="shared" si="45"/>
        <v>0</v>
      </c>
      <c r="V93" s="349">
        <f t="shared" si="46"/>
        <v>0</v>
      </c>
      <c r="W93" s="350">
        <f t="shared" si="47"/>
        <v>0</v>
      </c>
      <c r="X93" s="469">
        <f>'Channel &amp; Campaign Metrics'!AR92</f>
        <v>0</v>
      </c>
      <c r="Y93" s="469">
        <f>'Channel &amp; Campaign Metrics'!BS92</f>
        <v>0</v>
      </c>
      <c r="Z93" s="430"/>
      <c r="AA93" s="111"/>
      <c r="AB93" s="358">
        <f>'Glass Metrics'!AC93</f>
        <v>0</v>
      </c>
      <c r="AC93" s="475">
        <f>'Glass Metrics'!I93</f>
        <v>0</v>
      </c>
      <c r="AD93" s="469">
        <f>'Glass Metrics'!N93</f>
        <v>0</v>
      </c>
      <c r="AE93" s="475">
        <f>'Glass Metrics'!S93</f>
        <v>0</v>
      </c>
      <c r="AF93" s="359" t="str">
        <f t="shared" si="48"/>
        <v/>
      </c>
      <c r="AG93" s="477" t="str">
        <f t="shared" si="49"/>
        <v/>
      </c>
      <c r="AH93" s="472" t="str">
        <f t="shared" si="50"/>
        <v/>
      </c>
      <c r="AI93" s="360" t="str">
        <f t="shared" si="51"/>
        <v/>
      </c>
      <c r="AJ93" s="361" t="str">
        <f t="shared" si="24"/>
        <v/>
      </c>
      <c r="AK93" s="493"/>
      <c r="AL93" s="493"/>
      <c r="AM93" s="494"/>
      <c r="AN93" s="494"/>
      <c r="AO93" s="372" t="str">
        <f t="shared" si="55"/>
        <v/>
      </c>
      <c r="AP93" s="186"/>
      <c r="AQ93" s="478"/>
      <c r="AR93" s="478"/>
      <c r="AS93" s="187">
        <f t="shared" ref="AS93:AS124" si="56">AP93-10%</f>
        <v>-0.1</v>
      </c>
      <c r="AT93" s="118"/>
      <c r="AU93" s="483"/>
      <c r="AV93" s="484">
        <f t="shared" si="52"/>
        <v>0</v>
      </c>
      <c r="AW93" s="484"/>
      <c r="AX93" s="484"/>
      <c r="AY93" s="380"/>
      <c r="AZ93" s="382">
        <f t="shared" si="27"/>
        <v>0</v>
      </c>
      <c r="BA93" s="495">
        <f t="shared" si="28"/>
        <v>0</v>
      </c>
      <c r="BB93" s="481"/>
      <c r="BC93" s="481"/>
      <c r="BD93" s="481"/>
      <c r="BE93" s="481"/>
      <c r="BF93" s="453" t="str">
        <f t="shared" si="29"/>
        <v>-</v>
      </c>
      <c r="BG93" s="453" t="str">
        <f t="shared" si="30"/>
        <v>-</v>
      </c>
      <c r="BH93" s="453" t="str">
        <f t="shared" si="31"/>
        <v>-</v>
      </c>
      <c r="BI93" s="453" t="str">
        <f t="shared" si="32"/>
        <v>-</v>
      </c>
      <c r="BJ93" s="453" t="str">
        <f t="shared" si="33"/>
        <v>-</v>
      </c>
      <c r="BK93" s="390" t="str">
        <f t="shared" si="34"/>
        <v>-</v>
      </c>
      <c r="BL93" s="125"/>
      <c r="BM93" s="92"/>
      <c r="BN93" s="386">
        <f t="shared" si="53"/>
        <v>0</v>
      </c>
    </row>
    <row r="94" spans="1:66" s="89" customFormat="1" ht="16.350000000000001" customHeight="1">
      <c r="A94" s="175">
        <f t="shared" si="35"/>
        <v>2022</v>
      </c>
      <c r="B94" s="454" t="str">
        <f t="shared" si="36"/>
        <v>36</v>
      </c>
      <c r="C94" s="454" t="str">
        <f t="array" ref="C94">_xlfn.IFS(_xlfn.NUMBERVALUE(B94)&lt;=13,"Q1",AND(_xlfn.NUMBERVALUE(B94)&gt;13,_xlfn.NUMBERVALUE(B94)&lt;=26),"Q2", AND(_xlfn.NUMBERVALUE(B94)&gt;26,_xlfn.NUMBERVALUE(B94)&lt;=39),"Q3",_xlfn.NUMBERVALUE(B94)&gt;39,"Q4")</f>
        <v>Q3</v>
      </c>
      <c r="D94" s="448">
        <f t="shared" si="54"/>
        <v>44471</v>
      </c>
      <c r="E94" s="448">
        <f t="shared" si="37"/>
        <v>44477</v>
      </c>
      <c r="F94" s="480">
        <v>202136</v>
      </c>
      <c r="G94" s="342">
        <f t="shared" si="38"/>
        <v>0</v>
      </c>
      <c r="H94" s="471"/>
      <c r="I94" s="471"/>
      <c r="J94" s="474">
        <f t="shared" si="39"/>
        <v>0</v>
      </c>
      <c r="K94" s="474">
        <f t="shared" si="40"/>
        <v>0</v>
      </c>
      <c r="L94" s="492"/>
      <c r="M94" s="481"/>
      <c r="N94" s="481"/>
      <c r="O94" s="474">
        <f t="shared" si="41"/>
        <v>0</v>
      </c>
      <c r="P94" s="474">
        <f t="shared" si="42"/>
        <v>0</v>
      </c>
      <c r="Q94" s="474">
        <f t="shared" si="43"/>
        <v>0</v>
      </c>
      <c r="R94" s="449">
        <f>Forecast!J89</f>
        <v>0</v>
      </c>
      <c r="S94" s="449">
        <f>Forecast!N89</f>
        <v>0</v>
      </c>
      <c r="T94" s="475">
        <f t="shared" si="44"/>
        <v>0</v>
      </c>
      <c r="U94" s="475">
        <f t="shared" si="45"/>
        <v>0</v>
      </c>
      <c r="V94" s="349">
        <f t="shared" si="46"/>
        <v>0</v>
      </c>
      <c r="W94" s="350">
        <f t="shared" si="47"/>
        <v>0</v>
      </c>
      <c r="X94" s="469">
        <f>'Channel &amp; Campaign Metrics'!AR93</f>
        <v>0</v>
      </c>
      <c r="Y94" s="469">
        <f>'Channel &amp; Campaign Metrics'!BS93</f>
        <v>0</v>
      </c>
      <c r="Z94" s="430"/>
      <c r="AA94" s="111"/>
      <c r="AB94" s="358">
        <f>'Glass Metrics'!AC94</f>
        <v>0</v>
      </c>
      <c r="AC94" s="475">
        <f>'Glass Metrics'!I94</f>
        <v>0</v>
      </c>
      <c r="AD94" s="469">
        <f>'Glass Metrics'!N94</f>
        <v>0</v>
      </c>
      <c r="AE94" s="475">
        <f>'Glass Metrics'!S94</f>
        <v>0</v>
      </c>
      <c r="AF94" s="359" t="str">
        <f t="shared" si="48"/>
        <v/>
      </c>
      <c r="AG94" s="477" t="str">
        <f t="shared" si="49"/>
        <v/>
      </c>
      <c r="AH94" s="472" t="str">
        <f t="shared" si="50"/>
        <v/>
      </c>
      <c r="AI94" s="360" t="str">
        <f t="shared" si="51"/>
        <v/>
      </c>
      <c r="AJ94" s="361" t="str">
        <f t="shared" si="24"/>
        <v/>
      </c>
      <c r="AK94" s="493"/>
      <c r="AL94" s="493"/>
      <c r="AM94" s="494"/>
      <c r="AN94" s="494"/>
      <c r="AO94" s="372" t="str">
        <f t="shared" si="55"/>
        <v/>
      </c>
      <c r="AP94" s="186"/>
      <c r="AQ94" s="478"/>
      <c r="AR94" s="478"/>
      <c r="AS94" s="187">
        <f t="shared" si="56"/>
        <v>-0.1</v>
      </c>
      <c r="AT94" s="118"/>
      <c r="AU94" s="483"/>
      <c r="AV94" s="484">
        <f t="shared" si="52"/>
        <v>0</v>
      </c>
      <c r="AW94" s="484"/>
      <c r="AX94" s="484"/>
      <c r="AY94" s="380"/>
      <c r="AZ94" s="382">
        <f t="shared" si="27"/>
        <v>0</v>
      </c>
      <c r="BA94" s="495">
        <f t="shared" si="28"/>
        <v>0</v>
      </c>
      <c r="BB94" s="481"/>
      <c r="BC94" s="481"/>
      <c r="BD94" s="481"/>
      <c r="BE94" s="481"/>
      <c r="BF94" s="453" t="str">
        <f t="shared" si="29"/>
        <v>-</v>
      </c>
      <c r="BG94" s="453" t="str">
        <f t="shared" si="30"/>
        <v>-</v>
      </c>
      <c r="BH94" s="453" t="str">
        <f t="shared" si="31"/>
        <v>-</v>
      </c>
      <c r="BI94" s="453" t="str">
        <f t="shared" si="32"/>
        <v>-</v>
      </c>
      <c r="BJ94" s="453" t="str">
        <f t="shared" si="33"/>
        <v>-</v>
      </c>
      <c r="BK94" s="390" t="str">
        <f t="shared" si="34"/>
        <v>-</v>
      </c>
      <c r="BL94" s="125"/>
      <c r="BM94" s="92"/>
      <c r="BN94" s="386">
        <f t="shared" si="53"/>
        <v>0</v>
      </c>
    </row>
    <row r="95" spans="1:66" s="89" customFormat="1" ht="16.350000000000001" customHeight="1">
      <c r="A95" s="175">
        <f t="shared" si="35"/>
        <v>2022</v>
      </c>
      <c r="B95" s="454" t="str">
        <f t="shared" si="36"/>
        <v>37</v>
      </c>
      <c r="C95" s="454" t="str">
        <f t="array" ref="C95">_xlfn.IFS(_xlfn.NUMBERVALUE(B95)&lt;=13,"Q1",AND(_xlfn.NUMBERVALUE(B95)&gt;13,_xlfn.NUMBERVALUE(B95)&lt;=26),"Q2", AND(_xlfn.NUMBERVALUE(B95)&gt;26,_xlfn.NUMBERVALUE(B95)&lt;=39),"Q3",_xlfn.NUMBERVALUE(B95)&gt;39,"Q4")</f>
        <v>Q3</v>
      </c>
      <c r="D95" s="448">
        <f t="shared" si="54"/>
        <v>44478</v>
      </c>
      <c r="E95" s="448">
        <f t="shared" si="37"/>
        <v>44484</v>
      </c>
      <c r="F95" s="480">
        <v>202137</v>
      </c>
      <c r="G95" s="342">
        <f t="shared" si="38"/>
        <v>0</v>
      </c>
      <c r="H95" s="471"/>
      <c r="I95" s="471"/>
      <c r="J95" s="474">
        <f t="shared" si="39"/>
        <v>0</v>
      </c>
      <c r="K95" s="474">
        <f t="shared" si="40"/>
        <v>0</v>
      </c>
      <c r="L95" s="492"/>
      <c r="M95" s="481"/>
      <c r="N95" s="481"/>
      <c r="O95" s="474">
        <f t="shared" si="41"/>
        <v>0</v>
      </c>
      <c r="P95" s="474">
        <f t="shared" si="42"/>
        <v>0</v>
      </c>
      <c r="Q95" s="474">
        <f t="shared" si="43"/>
        <v>0</v>
      </c>
      <c r="R95" s="449">
        <f>Forecast!J90</f>
        <v>0</v>
      </c>
      <c r="S95" s="449">
        <f>Forecast!N90</f>
        <v>0</v>
      </c>
      <c r="T95" s="475">
        <f t="shared" si="44"/>
        <v>0</v>
      </c>
      <c r="U95" s="475">
        <f t="shared" si="45"/>
        <v>0</v>
      </c>
      <c r="V95" s="349">
        <f t="shared" si="46"/>
        <v>0</v>
      </c>
      <c r="W95" s="350">
        <f t="shared" si="47"/>
        <v>0</v>
      </c>
      <c r="X95" s="469">
        <f>'Channel &amp; Campaign Metrics'!AR94</f>
        <v>0</v>
      </c>
      <c r="Y95" s="469">
        <f>'Channel &amp; Campaign Metrics'!BS94</f>
        <v>0</v>
      </c>
      <c r="Z95" s="430"/>
      <c r="AA95" s="111"/>
      <c r="AB95" s="358">
        <f>'Glass Metrics'!AC95</f>
        <v>0</v>
      </c>
      <c r="AC95" s="475">
        <f>'Glass Metrics'!I95</f>
        <v>0</v>
      </c>
      <c r="AD95" s="469">
        <f>'Glass Metrics'!N95</f>
        <v>0</v>
      </c>
      <c r="AE95" s="475">
        <f>'Glass Metrics'!S95</f>
        <v>0</v>
      </c>
      <c r="AF95" s="359" t="str">
        <f t="shared" si="48"/>
        <v/>
      </c>
      <c r="AG95" s="477" t="str">
        <f t="shared" si="49"/>
        <v/>
      </c>
      <c r="AH95" s="472" t="str">
        <f t="shared" si="50"/>
        <v/>
      </c>
      <c r="AI95" s="360" t="str">
        <f t="shared" si="51"/>
        <v/>
      </c>
      <c r="AJ95" s="361" t="str">
        <f t="shared" si="24"/>
        <v/>
      </c>
      <c r="AK95" s="493"/>
      <c r="AL95" s="493"/>
      <c r="AM95" s="494"/>
      <c r="AN95" s="494"/>
      <c r="AO95" s="372" t="str">
        <f t="shared" si="55"/>
        <v/>
      </c>
      <c r="AP95" s="186"/>
      <c r="AQ95" s="478"/>
      <c r="AR95" s="478"/>
      <c r="AS95" s="187">
        <f t="shared" si="56"/>
        <v>-0.1</v>
      </c>
      <c r="AT95" s="118"/>
      <c r="AU95" s="483"/>
      <c r="AV95" s="484">
        <f t="shared" si="52"/>
        <v>0</v>
      </c>
      <c r="AW95" s="484"/>
      <c r="AX95" s="484"/>
      <c r="AY95" s="380"/>
      <c r="AZ95" s="382">
        <f t="shared" si="27"/>
        <v>0</v>
      </c>
      <c r="BA95" s="495">
        <f t="shared" si="28"/>
        <v>0</v>
      </c>
      <c r="BB95" s="481"/>
      <c r="BC95" s="481"/>
      <c r="BD95" s="481"/>
      <c r="BE95" s="481"/>
      <c r="BF95" s="453" t="str">
        <f t="shared" si="29"/>
        <v>-</v>
      </c>
      <c r="BG95" s="453" t="str">
        <f t="shared" si="30"/>
        <v>-</v>
      </c>
      <c r="BH95" s="453" t="str">
        <f t="shared" si="31"/>
        <v>-</v>
      </c>
      <c r="BI95" s="453" t="str">
        <f t="shared" si="32"/>
        <v>-</v>
      </c>
      <c r="BJ95" s="453" t="str">
        <f t="shared" si="33"/>
        <v>-</v>
      </c>
      <c r="BK95" s="390" t="str">
        <f t="shared" si="34"/>
        <v>-</v>
      </c>
      <c r="BL95" s="125"/>
      <c r="BM95" s="92"/>
      <c r="BN95" s="386">
        <f t="shared" si="53"/>
        <v>0</v>
      </c>
    </row>
    <row r="96" spans="1:66" s="89" customFormat="1" ht="16.350000000000001" customHeight="1">
      <c r="A96" s="175">
        <f t="shared" si="35"/>
        <v>2022</v>
      </c>
      <c r="B96" s="454" t="str">
        <f t="shared" si="36"/>
        <v>38</v>
      </c>
      <c r="C96" s="454" t="str">
        <f t="array" ref="C96">_xlfn.IFS(_xlfn.NUMBERVALUE(B96)&lt;=13,"Q1",AND(_xlfn.NUMBERVALUE(B96)&gt;13,_xlfn.NUMBERVALUE(B96)&lt;=26),"Q2", AND(_xlfn.NUMBERVALUE(B96)&gt;26,_xlfn.NUMBERVALUE(B96)&lt;=39),"Q3",_xlfn.NUMBERVALUE(B96)&gt;39,"Q4")</f>
        <v>Q3</v>
      </c>
      <c r="D96" s="448">
        <f t="shared" si="54"/>
        <v>44485</v>
      </c>
      <c r="E96" s="448">
        <f t="shared" si="37"/>
        <v>44491</v>
      </c>
      <c r="F96" s="480">
        <v>202138</v>
      </c>
      <c r="G96" s="342">
        <f t="shared" si="38"/>
        <v>0</v>
      </c>
      <c r="H96" s="471"/>
      <c r="I96" s="471"/>
      <c r="J96" s="474">
        <f t="shared" si="39"/>
        <v>0</v>
      </c>
      <c r="K96" s="474">
        <f t="shared" si="40"/>
        <v>0</v>
      </c>
      <c r="L96" s="492"/>
      <c r="M96" s="481"/>
      <c r="N96" s="481"/>
      <c r="O96" s="474">
        <f t="shared" si="41"/>
        <v>0</v>
      </c>
      <c r="P96" s="474">
        <f t="shared" si="42"/>
        <v>0</v>
      </c>
      <c r="Q96" s="474">
        <f t="shared" si="43"/>
        <v>0</v>
      </c>
      <c r="R96" s="449">
        <f>Forecast!J91</f>
        <v>0</v>
      </c>
      <c r="S96" s="449">
        <f>Forecast!N91</f>
        <v>0</v>
      </c>
      <c r="T96" s="475">
        <f t="shared" si="44"/>
        <v>0</v>
      </c>
      <c r="U96" s="475">
        <f t="shared" si="45"/>
        <v>0</v>
      </c>
      <c r="V96" s="349">
        <f t="shared" si="46"/>
        <v>0</v>
      </c>
      <c r="W96" s="350">
        <f t="shared" si="47"/>
        <v>0</v>
      </c>
      <c r="X96" s="469">
        <f>'Channel &amp; Campaign Metrics'!AR95</f>
        <v>0</v>
      </c>
      <c r="Y96" s="469">
        <f>'Channel &amp; Campaign Metrics'!BS95</f>
        <v>0</v>
      </c>
      <c r="Z96" s="430"/>
      <c r="AA96" s="111"/>
      <c r="AB96" s="358">
        <f>'Glass Metrics'!AC96</f>
        <v>0</v>
      </c>
      <c r="AC96" s="475">
        <f>'Glass Metrics'!I96</f>
        <v>0</v>
      </c>
      <c r="AD96" s="469">
        <f>'Glass Metrics'!N96</f>
        <v>0</v>
      </c>
      <c r="AE96" s="475">
        <f>'Glass Metrics'!S96</f>
        <v>0</v>
      </c>
      <c r="AF96" s="359" t="str">
        <f t="shared" si="48"/>
        <v/>
      </c>
      <c r="AG96" s="477" t="str">
        <f t="shared" si="49"/>
        <v/>
      </c>
      <c r="AH96" s="472" t="str">
        <f t="shared" si="50"/>
        <v/>
      </c>
      <c r="AI96" s="360" t="str">
        <f t="shared" si="51"/>
        <v/>
      </c>
      <c r="AJ96" s="361" t="str">
        <f t="shared" si="24"/>
        <v/>
      </c>
      <c r="AK96" s="493"/>
      <c r="AL96" s="493"/>
      <c r="AM96" s="494"/>
      <c r="AN96" s="494"/>
      <c r="AO96" s="372" t="str">
        <f t="shared" si="55"/>
        <v/>
      </c>
      <c r="AP96" s="186"/>
      <c r="AQ96" s="478"/>
      <c r="AR96" s="478"/>
      <c r="AS96" s="187">
        <f t="shared" si="56"/>
        <v>-0.1</v>
      </c>
      <c r="AT96" s="118"/>
      <c r="AU96" s="483"/>
      <c r="AV96" s="484">
        <f t="shared" si="52"/>
        <v>0</v>
      </c>
      <c r="AW96" s="484"/>
      <c r="AX96" s="484"/>
      <c r="AY96" s="380"/>
      <c r="AZ96" s="382">
        <f t="shared" si="27"/>
        <v>0</v>
      </c>
      <c r="BA96" s="495">
        <f t="shared" si="28"/>
        <v>0</v>
      </c>
      <c r="BB96" s="481"/>
      <c r="BC96" s="481"/>
      <c r="BD96" s="481"/>
      <c r="BE96" s="481"/>
      <c r="BF96" s="453" t="str">
        <f t="shared" si="29"/>
        <v>-</v>
      </c>
      <c r="BG96" s="453" t="str">
        <f t="shared" si="30"/>
        <v>-</v>
      </c>
      <c r="BH96" s="453" t="str">
        <f t="shared" si="31"/>
        <v>-</v>
      </c>
      <c r="BI96" s="453" t="str">
        <f t="shared" si="32"/>
        <v>-</v>
      </c>
      <c r="BJ96" s="453" t="str">
        <f t="shared" si="33"/>
        <v>-</v>
      </c>
      <c r="BK96" s="390" t="str">
        <f t="shared" si="34"/>
        <v>-</v>
      </c>
      <c r="BL96" s="125"/>
      <c r="BM96" s="92"/>
      <c r="BN96" s="386">
        <f t="shared" si="53"/>
        <v>0</v>
      </c>
    </row>
    <row r="97" spans="1:66" s="89" customFormat="1" ht="16.350000000000001" customHeight="1">
      <c r="A97" s="175">
        <f t="shared" si="35"/>
        <v>2022</v>
      </c>
      <c r="B97" s="454" t="str">
        <f t="shared" si="36"/>
        <v>39</v>
      </c>
      <c r="C97" s="454" t="str">
        <f t="array" ref="C97">_xlfn.IFS(_xlfn.NUMBERVALUE(B97)&lt;=13,"Q1",AND(_xlfn.NUMBERVALUE(B97)&gt;13,_xlfn.NUMBERVALUE(B97)&lt;=26),"Q2", AND(_xlfn.NUMBERVALUE(B97)&gt;26,_xlfn.NUMBERVALUE(B97)&lt;=39),"Q3",_xlfn.NUMBERVALUE(B97)&gt;39,"Q4")</f>
        <v>Q3</v>
      </c>
      <c r="D97" s="448">
        <f t="shared" si="54"/>
        <v>44492</v>
      </c>
      <c r="E97" s="448">
        <f t="shared" si="37"/>
        <v>44498</v>
      </c>
      <c r="F97" s="480">
        <v>202139</v>
      </c>
      <c r="G97" s="342">
        <f t="shared" si="38"/>
        <v>0</v>
      </c>
      <c r="H97" s="471"/>
      <c r="I97" s="471"/>
      <c r="J97" s="474">
        <f t="shared" si="39"/>
        <v>0</v>
      </c>
      <c r="K97" s="474">
        <f t="shared" si="40"/>
        <v>0</v>
      </c>
      <c r="L97" s="492"/>
      <c r="M97" s="481"/>
      <c r="N97" s="481"/>
      <c r="O97" s="474">
        <f t="shared" si="41"/>
        <v>0</v>
      </c>
      <c r="P97" s="474">
        <f t="shared" si="42"/>
        <v>0</v>
      </c>
      <c r="Q97" s="474">
        <f t="shared" si="43"/>
        <v>0</v>
      </c>
      <c r="R97" s="449">
        <f>Forecast!J92</f>
        <v>0</v>
      </c>
      <c r="S97" s="449">
        <f>Forecast!N92</f>
        <v>0</v>
      </c>
      <c r="T97" s="475">
        <f t="shared" si="44"/>
        <v>0</v>
      </c>
      <c r="U97" s="475">
        <f t="shared" si="45"/>
        <v>0</v>
      </c>
      <c r="V97" s="349">
        <f t="shared" si="46"/>
        <v>0</v>
      </c>
      <c r="W97" s="350">
        <f t="shared" si="47"/>
        <v>0</v>
      </c>
      <c r="X97" s="469">
        <f>'Channel &amp; Campaign Metrics'!AR96</f>
        <v>0</v>
      </c>
      <c r="Y97" s="469">
        <f>'Channel &amp; Campaign Metrics'!BS96</f>
        <v>0</v>
      </c>
      <c r="Z97" s="430"/>
      <c r="AA97" s="111"/>
      <c r="AB97" s="358">
        <f>'Glass Metrics'!AC97</f>
        <v>0</v>
      </c>
      <c r="AC97" s="475">
        <f>'Glass Metrics'!I97</f>
        <v>0</v>
      </c>
      <c r="AD97" s="469">
        <f>'Glass Metrics'!N97</f>
        <v>0</v>
      </c>
      <c r="AE97" s="475">
        <f>'Glass Metrics'!S97</f>
        <v>0</v>
      </c>
      <c r="AF97" s="359" t="str">
        <f t="shared" si="48"/>
        <v/>
      </c>
      <c r="AG97" s="477" t="str">
        <f t="shared" si="49"/>
        <v/>
      </c>
      <c r="AH97" s="472" t="str">
        <f t="shared" si="50"/>
        <v/>
      </c>
      <c r="AI97" s="360" t="str">
        <f t="shared" si="51"/>
        <v/>
      </c>
      <c r="AJ97" s="361" t="str">
        <f t="shared" si="24"/>
        <v/>
      </c>
      <c r="AK97" s="493"/>
      <c r="AL97" s="493"/>
      <c r="AM97" s="494"/>
      <c r="AN97" s="494"/>
      <c r="AO97" s="372" t="str">
        <f t="shared" si="55"/>
        <v/>
      </c>
      <c r="AP97" s="186"/>
      <c r="AQ97" s="478"/>
      <c r="AR97" s="478"/>
      <c r="AS97" s="187">
        <f t="shared" si="56"/>
        <v>-0.1</v>
      </c>
      <c r="AT97" s="118"/>
      <c r="AU97" s="483"/>
      <c r="AV97" s="484">
        <f t="shared" si="52"/>
        <v>0</v>
      </c>
      <c r="AW97" s="484"/>
      <c r="AX97" s="484"/>
      <c r="AY97" s="380"/>
      <c r="AZ97" s="382">
        <f t="shared" si="27"/>
        <v>0</v>
      </c>
      <c r="BA97" s="495">
        <f t="shared" si="28"/>
        <v>0</v>
      </c>
      <c r="BB97" s="481"/>
      <c r="BC97" s="481"/>
      <c r="BD97" s="481"/>
      <c r="BE97" s="481"/>
      <c r="BF97" s="453" t="str">
        <f t="shared" si="29"/>
        <v>-</v>
      </c>
      <c r="BG97" s="453" t="str">
        <f t="shared" si="30"/>
        <v>-</v>
      </c>
      <c r="BH97" s="453" t="str">
        <f t="shared" si="31"/>
        <v>-</v>
      </c>
      <c r="BI97" s="453" t="str">
        <f t="shared" si="32"/>
        <v>-</v>
      </c>
      <c r="BJ97" s="453" t="str">
        <f t="shared" si="33"/>
        <v>-</v>
      </c>
      <c r="BK97" s="390" t="str">
        <f t="shared" si="34"/>
        <v>-</v>
      </c>
      <c r="BL97" s="125"/>
      <c r="BM97" s="92"/>
      <c r="BN97" s="386">
        <f t="shared" si="53"/>
        <v>0</v>
      </c>
    </row>
    <row r="98" spans="1:66" s="89" customFormat="1" ht="16.350000000000001" customHeight="1">
      <c r="A98" s="175">
        <f t="shared" si="35"/>
        <v>2022</v>
      </c>
      <c r="B98" s="454" t="str">
        <f t="shared" si="36"/>
        <v>40</v>
      </c>
      <c r="C98" s="454" t="str">
        <f t="array" ref="C98">_xlfn.IFS(_xlfn.NUMBERVALUE(B98)&lt;=13,"Q1",AND(_xlfn.NUMBERVALUE(B98)&gt;13,_xlfn.NUMBERVALUE(B98)&lt;=26),"Q2", AND(_xlfn.NUMBERVALUE(B98)&gt;26,_xlfn.NUMBERVALUE(B98)&lt;=39),"Q3",_xlfn.NUMBERVALUE(B98)&gt;39,"Q4")</f>
        <v>Q4</v>
      </c>
      <c r="D98" s="448">
        <f t="shared" si="54"/>
        <v>44499</v>
      </c>
      <c r="E98" s="448">
        <f t="shared" si="37"/>
        <v>44505</v>
      </c>
      <c r="F98" s="480">
        <v>202140</v>
      </c>
      <c r="G98" s="342">
        <f t="shared" si="38"/>
        <v>0</v>
      </c>
      <c r="H98" s="471"/>
      <c r="I98" s="471"/>
      <c r="J98" s="474">
        <f t="shared" si="39"/>
        <v>0</v>
      </c>
      <c r="K98" s="474">
        <f t="shared" si="40"/>
        <v>0</v>
      </c>
      <c r="L98" s="492"/>
      <c r="M98" s="481"/>
      <c r="N98" s="481"/>
      <c r="O98" s="474">
        <f t="shared" si="41"/>
        <v>0</v>
      </c>
      <c r="P98" s="474">
        <f t="shared" si="42"/>
        <v>0</v>
      </c>
      <c r="Q98" s="474">
        <f t="shared" si="43"/>
        <v>0</v>
      </c>
      <c r="R98" s="449">
        <f>Forecast!J93</f>
        <v>0</v>
      </c>
      <c r="S98" s="449">
        <f>Forecast!N93</f>
        <v>0</v>
      </c>
      <c r="T98" s="475">
        <f t="shared" si="44"/>
        <v>0</v>
      </c>
      <c r="U98" s="475">
        <f t="shared" si="45"/>
        <v>0</v>
      </c>
      <c r="V98" s="349">
        <f t="shared" si="46"/>
        <v>0</v>
      </c>
      <c r="W98" s="350">
        <f t="shared" si="47"/>
        <v>0</v>
      </c>
      <c r="X98" s="469">
        <f>'Channel &amp; Campaign Metrics'!AR97</f>
        <v>0</v>
      </c>
      <c r="Y98" s="469">
        <f>'Channel &amp; Campaign Metrics'!BS97</f>
        <v>0</v>
      </c>
      <c r="Z98" s="430"/>
      <c r="AA98" s="111"/>
      <c r="AB98" s="358">
        <f>'Glass Metrics'!AC98</f>
        <v>0</v>
      </c>
      <c r="AC98" s="475">
        <f>'Glass Metrics'!I98</f>
        <v>0</v>
      </c>
      <c r="AD98" s="469">
        <f>'Glass Metrics'!N98</f>
        <v>0</v>
      </c>
      <c r="AE98" s="475">
        <f>'Glass Metrics'!S98</f>
        <v>0</v>
      </c>
      <c r="AF98" s="359" t="str">
        <f t="shared" si="48"/>
        <v/>
      </c>
      <c r="AG98" s="477" t="str">
        <f t="shared" si="49"/>
        <v/>
      </c>
      <c r="AH98" s="472" t="str">
        <f t="shared" si="50"/>
        <v/>
      </c>
      <c r="AI98" s="360" t="str">
        <f t="shared" si="51"/>
        <v/>
      </c>
      <c r="AJ98" s="361" t="str">
        <f t="shared" si="24"/>
        <v/>
      </c>
      <c r="AK98" s="493"/>
      <c r="AL98" s="493"/>
      <c r="AM98" s="494"/>
      <c r="AN98" s="494"/>
      <c r="AO98" s="372" t="str">
        <f t="shared" si="55"/>
        <v/>
      </c>
      <c r="AP98" s="186"/>
      <c r="AQ98" s="478"/>
      <c r="AR98" s="478"/>
      <c r="AS98" s="187">
        <f t="shared" si="56"/>
        <v>-0.1</v>
      </c>
      <c r="AT98" s="118"/>
      <c r="AU98" s="483"/>
      <c r="AV98" s="484">
        <f t="shared" si="52"/>
        <v>0</v>
      </c>
      <c r="AW98" s="484"/>
      <c r="AX98" s="484"/>
      <c r="AY98" s="380"/>
      <c r="AZ98" s="382">
        <f t="shared" si="27"/>
        <v>0</v>
      </c>
      <c r="BA98" s="495">
        <f t="shared" si="28"/>
        <v>0</v>
      </c>
      <c r="BB98" s="481"/>
      <c r="BC98" s="481"/>
      <c r="BD98" s="481"/>
      <c r="BE98" s="481"/>
      <c r="BF98" s="453" t="str">
        <f t="shared" si="29"/>
        <v>-</v>
      </c>
      <c r="BG98" s="453" t="str">
        <f t="shared" si="30"/>
        <v>-</v>
      </c>
      <c r="BH98" s="453" t="str">
        <f t="shared" si="31"/>
        <v>-</v>
      </c>
      <c r="BI98" s="453" t="str">
        <f t="shared" si="32"/>
        <v>-</v>
      </c>
      <c r="BJ98" s="453" t="str">
        <f t="shared" si="33"/>
        <v>-</v>
      </c>
      <c r="BK98" s="390" t="str">
        <f t="shared" si="34"/>
        <v>-</v>
      </c>
      <c r="BL98" s="125"/>
      <c r="BM98" s="92"/>
      <c r="BN98" s="386">
        <f t="shared" si="53"/>
        <v>0</v>
      </c>
    </row>
    <row r="99" spans="1:66" s="89" customFormat="1" ht="16.350000000000001" customHeight="1">
      <c r="A99" s="175">
        <f t="shared" si="35"/>
        <v>2022</v>
      </c>
      <c r="B99" s="454" t="str">
        <f t="shared" si="36"/>
        <v>41</v>
      </c>
      <c r="C99" s="454" t="str">
        <f t="array" ref="C99">_xlfn.IFS(_xlfn.NUMBERVALUE(B99)&lt;=13,"Q1",AND(_xlfn.NUMBERVALUE(B99)&gt;13,_xlfn.NUMBERVALUE(B99)&lt;=26),"Q2", AND(_xlfn.NUMBERVALUE(B99)&gt;26,_xlfn.NUMBERVALUE(B99)&lt;=39),"Q3",_xlfn.NUMBERVALUE(B99)&gt;39,"Q4")</f>
        <v>Q4</v>
      </c>
      <c r="D99" s="448">
        <f t="shared" si="54"/>
        <v>44506</v>
      </c>
      <c r="E99" s="448">
        <f t="shared" si="37"/>
        <v>44512</v>
      </c>
      <c r="F99" s="480">
        <v>202141</v>
      </c>
      <c r="G99" s="342">
        <f t="shared" si="38"/>
        <v>0</v>
      </c>
      <c r="H99" s="471"/>
      <c r="I99" s="471"/>
      <c r="J99" s="474">
        <f t="shared" si="39"/>
        <v>0</v>
      </c>
      <c r="K99" s="474">
        <f t="shared" si="40"/>
        <v>0</v>
      </c>
      <c r="L99" s="492"/>
      <c r="M99" s="481"/>
      <c r="N99" s="481"/>
      <c r="O99" s="474">
        <f t="shared" si="41"/>
        <v>0</v>
      </c>
      <c r="P99" s="474">
        <f t="shared" si="42"/>
        <v>0</v>
      </c>
      <c r="Q99" s="474">
        <f t="shared" si="43"/>
        <v>0</v>
      </c>
      <c r="R99" s="449">
        <f>Forecast!J94</f>
        <v>0</v>
      </c>
      <c r="S99" s="449">
        <f>Forecast!N94</f>
        <v>0</v>
      </c>
      <c r="T99" s="475">
        <f t="shared" si="44"/>
        <v>0</v>
      </c>
      <c r="U99" s="475">
        <f t="shared" si="45"/>
        <v>0</v>
      </c>
      <c r="V99" s="349">
        <f t="shared" si="46"/>
        <v>0</v>
      </c>
      <c r="W99" s="350">
        <f t="shared" si="47"/>
        <v>0</v>
      </c>
      <c r="X99" s="469">
        <f>'Channel &amp; Campaign Metrics'!AR98</f>
        <v>0</v>
      </c>
      <c r="Y99" s="469">
        <f>'Channel &amp; Campaign Metrics'!BS98</f>
        <v>0</v>
      </c>
      <c r="Z99" s="430"/>
      <c r="AA99" s="111"/>
      <c r="AB99" s="358">
        <f>'Glass Metrics'!AC99</f>
        <v>0</v>
      </c>
      <c r="AC99" s="475">
        <f>'Glass Metrics'!I99</f>
        <v>0</v>
      </c>
      <c r="AD99" s="469">
        <f>'Glass Metrics'!N99</f>
        <v>0</v>
      </c>
      <c r="AE99" s="475">
        <f>'Glass Metrics'!S99</f>
        <v>0</v>
      </c>
      <c r="AF99" s="359" t="str">
        <f t="shared" si="48"/>
        <v/>
      </c>
      <c r="AG99" s="477" t="str">
        <f t="shared" si="49"/>
        <v/>
      </c>
      <c r="AH99" s="472" t="str">
        <f t="shared" si="50"/>
        <v/>
      </c>
      <c r="AI99" s="360" t="str">
        <f t="shared" si="51"/>
        <v/>
      </c>
      <c r="AJ99" s="361" t="str">
        <f t="shared" si="24"/>
        <v/>
      </c>
      <c r="AK99" s="493"/>
      <c r="AL99" s="493"/>
      <c r="AM99" s="494"/>
      <c r="AN99" s="494"/>
      <c r="AO99" s="372" t="str">
        <f t="shared" si="55"/>
        <v/>
      </c>
      <c r="AP99" s="186"/>
      <c r="AQ99" s="478"/>
      <c r="AR99" s="478"/>
      <c r="AS99" s="187">
        <f t="shared" si="56"/>
        <v>-0.1</v>
      </c>
      <c r="AT99" s="118"/>
      <c r="AU99" s="483"/>
      <c r="AV99" s="484">
        <f t="shared" si="52"/>
        <v>0</v>
      </c>
      <c r="AW99" s="484"/>
      <c r="AX99" s="484"/>
      <c r="AY99" s="380"/>
      <c r="AZ99" s="382">
        <f t="shared" si="27"/>
        <v>0</v>
      </c>
      <c r="BA99" s="495">
        <f t="shared" si="28"/>
        <v>0</v>
      </c>
      <c r="BB99" s="481"/>
      <c r="BC99" s="481"/>
      <c r="BD99" s="481"/>
      <c r="BE99" s="481"/>
      <c r="BF99" s="453" t="str">
        <f t="shared" si="29"/>
        <v>-</v>
      </c>
      <c r="BG99" s="453" t="str">
        <f t="shared" si="30"/>
        <v>-</v>
      </c>
      <c r="BH99" s="453" t="str">
        <f t="shared" si="31"/>
        <v>-</v>
      </c>
      <c r="BI99" s="453" t="str">
        <f t="shared" si="32"/>
        <v>-</v>
      </c>
      <c r="BJ99" s="453" t="str">
        <f t="shared" si="33"/>
        <v>-</v>
      </c>
      <c r="BK99" s="390" t="str">
        <f t="shared" si="34"/>
        <v>-</v>
      </c>
      <c r="BL99" s="125"/>
      <c r="BM99" s="92"/>
      <c r="BN99" s="386">
        <f t="shared" si="53"/>
        <v>0</v>
      </c>
    </row>
    <row r="100" spans="1:66" s="89" customFormat="1" ht="15.6" customHeight="1">
      <c r="A100" s="175">
        <f t="shared" si="35"/>
        <v>2022</v>
      </c>
      <c r="B100" s="454" t="str">
        <f t="shared" si="36"/>
        <v>42</v>
      </c>
      <c r="C100" s="454" t="str">
        <f t="array" ref="C100">_xlfn.IFS(_xlfn.NUMBERVALUE(B100)&lt;=13,"Q1",AND(_xlfn.NUMBERVALUE(B100)&gt;13,_xlfn.NUMBERVALUE(B100)&lt;=26),"Q2", AND(_xlfn.NUMBERVALUE(B100)&gt;26,_xlfn.NUMBERVALUE(B100)&lt;=39),"Q3",_xlfn.NUMBERVALUE(B100)&gt;39,"Q4")</f>
        <v>Q4</v>
      </c>
      <c r="D100" s="448">
        <f t="shared" si="54"/>
        <v>44513</v>
      </c>
      <c r="E100" s="448">
        <f t="shared" si="37"/>
        <v>44519</v>
      </c>
      <c r="F100" s="480">
        <v>202142</v>
      </c>
      <c r="G100" s="342">
        <f t="shared" si="38"/>
        <v>0</v>
      </c>
      <c r="H100" s="471"/>
      <c r="I100" s="471"/>
      <c r="J100" s="474">
        <f t="shared" si="39"/>
        <v>0</v>
      </c>
      <c r="K100" s="474">
        <f t="shared" si="40"/>
        <v>0</v>
      </c>
      <c r="L100" s="492"/>
      <c r="M100" s="481"/>
      <c r="N100" s="481"/>
      <c r="O100" s="474">
        <f t="shared" si="41"/>
        <v>0</v>
      </c>
      <c r="P100" s="474">
        <f t="shared" si="42"/>
        <v>0</v>
      </c>
      <c r="Q100" s="474">
        <f t="shared" si="43"/>
        <v>0</v>
      </c>
      <c r="R100" s="449">
        <f>Forecast!J95</f>
        <v>0</v>
      </c>
      <c r="S100" s="449">
        <f>Forecast!N95</f>
        <v>0</v>
      </c>
      <c r="T100" s="475">
        <f t="shared" si="44"/>
        <v>0</v>
      </c>
      <c r="U100" s="475">
        <f t="shared" si="45"/>
        <v>0</v>
      </c>
      <c r="V100" s="349">
        <f t="shared" si="46"/>
        <v>0</v>
      </c>
      <c r="W100" s="350">
        <f t="shared" si="47"/>
        <v>0</v>
      </c>
      <c r="X100" s="469">
        <f>'Channel &amp; Campaign Metrics'!AR99</f>
        <v>0</v>
      </c>
      <c r="Y100" s="469">
        <f>'Channel &amp; Campaign Metrics'!BS99</f>
        <v>0</v>
      </c>
      <c r="Z100" s="430"/>
      <c r="AA100" s="111"/>
      <c r="AB100" s="358">
        <f>'Glass Metrics'!AC100</f>
        <v>0</v>
      </c>
      <c r="AC100" s="475">
        <f>'Glass Metrics'!I100</f>
        <v>0</v>
      </c>
      <c r="AD100" s="469">
        <f>'Glass Metrics'!N100</f>
        <v>0</v>
      </c>
      <c r="AE100" s="475">
        <f>'Glass Metrics'!S100</f>
        <v>0</v>
      </c>
      <c r="AF100" s="359" t="str">
        <f t="shared" si="48"/>
        <v/>
      </c>
      <c r="AG100" s="477" t="str">
        <f t="shared" si="49"/>
        <v/>
      </c>
      <c r="AH100" s="472" t="str">
        <f t="shared" si="50"/>
        <v/>
      </c>
      <c r="AI100" s="360" t="str">
        <f t="shared" si="51"/>
        <v/>
      </c>
      <c r="AJ100" s="361" t="str">
        <f t="shared" si="24"/>
        <v/>
      </c>
      <c r="AK100" s="493"/>
      <c r="AL100" s="493"/>
      <c r="AM100" s="494"/>
      <c r="AN100" s="494"/>
      <c r="AO100" s="372" t="str">
        <f t="shared" si="55"/>
        <v/>
      </c>
      <c r="AP100" s="186"/>
      <c r="AQ100" s="478"/>
      <c r="AR100" s="478"/>
      <c r="AS100" s="187">
        <f t="shared" si="56"/>
        <v>-0.1</v>
      </c>
      <c r="AT100" s="118"/>
      <c r="AU100" s="483"/>
      <c r="AV100" s="484">
        <f t="shared" si="52"/>
        <v>0</v>
      </c>
      <c r="AW100" s="484"/>
      <c r="AX100" s="484"/>
      <c r="AY100" s="380"/>
      <c r="AZ100" s="382">
        <f t="shared" si="27"/>
        <v>0</v>
      </c>
      <c r="BA100" s="495">
        <f t="shared" si="28"/>
        <v>0</v>
      </c>
      <c r="BB100" s="481"/>
      <c r="BC100" s="481"/>
      <c r="BD100" s="481"/>
      <c r="BE100" s="481"/>
      <c r="BF100" s="453" t="str">
        <f t="shared" si="29"/>
        <v>-</v>
      </c>
      <c r="BG100" s="453" t="str">
        <f t="shared" si="30"/>
        <v>-</v>
      </c>
      <c r="BH100" s="453" t="str">
        <f t="shared" si="31"/>
        <v>-</v>
      </c>
      <c r="BI100" s="453" t="str">
        <f t="shared" si="32"/>
        <v>-</v>
      </c>
      <c r="BJ100" s="453" t="str">
        <f t="shared" si="33"/>
        <v>-</v>
      </c>
      <c r="BK100" s="390" t="str">
        <f t="shared" si="34"/>
        <v>-</v>
      </c>
      <c r="BL100" s="125"/>
      <c r="BM100" s="92"/>
      <c r="BN100" s="386">
        <f t="shared" si="53"/>
        <v>0</v>
      </c>
    </row>
    <row r="101" spans="1:66" s="89" customFormat="1" ht="15.6" customHeight="1">
      <c r="A101" s="175">
        <f t="shared" si="35"/>
        <v>2022</v>
      </c>
      <c r="B101" s="454" t="str">
        <f t="shared" si="36"/>
        <v>43</v>
      </c>
      <c r="C101" s="454" t="str">
        <f t="array" ref="C101">_xlfn.IFS(_xlfn.NUMBERVALUE(B101)&lt;=13,"Q1",AND(_xlfn.NUMBERVALUE(B101)&gt;13,_xlfn.NUMBERVALUE(B101)&lt;=26),"Q2", AND(_xlfn.NUMBERVALUE(B101)&gt;26,_xlfn.NUMBERVALUE(B101)&lt;=39),"Q3",_xlfn.NUMBERVALUE(B101)&gt;39,"Q4")</f>
        <v>Q4</v>
      </c>
      <c r="D101" s="448">
        <f t="shared" si="54"/>
        <v>44520</v>
      </c>
      <c r="E101" s="448">
        <f t="shared" si="37"/>
        <v>44526</v>
      </c>
      <c r="F101" s="480">
        <v>202143</v>
      </c>
      <c r="G101" s="342">
        <f t="shared" si="38"/>
        <v>0</v>
      </c>
      <c r="H101" s="471"/>
      <c r="I101" s="471"/>
      <c r="J101" s="474">
        <f t="shared" si="39"/>
        <v>0</v>
      </c>
      <c r="K101" s="474">
        <f t="shared" si="40"/>
        <v>0</v>
      </c>
      <c r="L101" s="492"/>
      <c r="M101" s="481"/>
      <c r="N101" s="481"/>
      <c r="O101" s="474">
        <f t="shared" si="41"/>
        <v>0</v>
      </c>
      <c r="P101" s="474">
        <f t="shared" si="42"/>
        <v>0</v>
      </c>
      <c r="Q101" s="474">
        <f t="shared" si="43"/>
        <v>0</v>
      </c>
      <c r="R101" s="449">
        <f>Forecast!J96</f>
        <v>0</v>
      </c>
      <c r="S101" s="449">
        <f>Forecast!N96</f>
        <v>0</v>
      </c>
      <c r="T101" s="475">
        <f t="shared" si="44"/>
        <v>0</v>
      </c>
      <c r="U101" s="475">
        <f t="shared" si="45"/>
        <v>0</v>
      </c>
      <c r="V101" s="349">
        <f t="shared" si="46"/>
        <v>0</v>
      </c>
      <c r="W101" s="350">
        <f t="shared" si="47"/>
        <v>0</v>
      </c>
      <c r="X101" s="469">
        <f>'Channel &amp; Campaign Metrics'!AR100</f>
        <v>0</v>
      </c>
      <c r="Y101" s="469">
        <f>'Channel &amp; Campaign Metrics'!BS100</f>
        <v>0</v>
      </c>
      <c r="Z101" s="430"/>
      <c r="AA101" s="111"/>
      <c r="AB101" s="358">
        <f>'Glass Metrics'!AC101</f>
        <v>0</v>
      </c>
      <c r="AC101" s="475">
        <f>'Glass Metrics'!I101</f>
        <v>0</v>
      </c>
      <c r="AD101" s="469">
        <f>'Glass Metrics'!N101</f>
        <v>0</v>
      </c>
      <c r="AE101" s="475">
        <f>'Glass Metrics'!S101</f>
        <v>0</v>
      </c>
      <c r="AF101" s="359" t="str">
        <f t="shared" si="48"/>
        <v/>
      </c>
      <c r="AG101" s="477" t="str">
        <f t="shared" si="49"/>
        <v/>
      </c>
      <c r="AH101" s="472" t="str">
        <f t="shared" si="50"/>
        <v/>
      </c>
      <c r="AI101" s="360" t="str">
        <f t="shared" si="51"/>
        <v/>
      </c>
      <c r="AJ101" s="361" t="str">
        <f t="shared" si="24"/>
        <v/>
      </c>
      <c r="AK101" s="493"/>
      <c r="AL101" s="493"/>
      <c r="AM101" s="494"/>
      <c r="AN101" s="494"/>
      <c r="AO101" s="372" t="str">
        <f t="shared" si="55"/>
        <v/>
      </c>
      <c r="AP101" s="186"/>
      <c r="AQ101" s="478"/>
      <c r="AR101" s="478"/>
      <c r="AS101" s="187">
        <f t="shared" si="56"/>
        <v>-0.1</v>
      </c>
      <c r="AT101" s="118"/>
      <c r="AU101" s="483"/>
      <c r="AV101" s="484">
        <f t="shared" si="52"/>
        <v>0</v>
      </c>
      <c r="AW101" s="484"/>
      <c r="AX101" s="484"/>
      <c r="AY101" s="380"/>
      <c r="AZ101" s="382">
        <f t="shared" si="27"/>
        <v>0</v>
      </c>
      <c r="BA101" s="495">
        <f t="shared" si="28"/>
        <v>0</v>
      </c>
      <c r="BB101" s="481"/>
      <c r="BC101" s="481"/>
      <c r="BD101" s="481"/>
      <c r="BE101" s="481"/>
      <c r="BF101" s="453" t="str">
        <f t="shared" si="29"/>
        <v>-</v>
      </c>
      <c r="BG101" s="453" t="str">
        <f t="shared" si="30"/>
        <v>-</v>
      </c>
      <c r="BH101" s="453" t="str">
        <f t="shared" si="31"/>
        <v>-</v>
      </c>
      <c r="BI101" s="453" t="str">
        <f t="shared" si="32"/>
        <v>-</v>
      </c>
      <c r="BJ101" s="453" t="str">
        <f t="shared" si="33"/>
        <v>-</v>
      </c>
      <c r="BK101" s="390" t="str">
        <f t="shared" si="34"/>
        <v>-</v>
      </c>
      <c r="BL101" s="125"/>
      <c r="BM101" s="92"/>
      <c r="BN101" s="386">
        <f t="shared" si="53"/>
        <v>0</v>
      </c>
    </row>
    <row r="102" spans="1:66" s="89" customFormat="1" ht="15.6" customHeight="1">
      <c r="A102" s="175">
        <f t="shared" si="35"/>
        <v>2022</v>
      </c>
      <c r="B102" s="454" t="str">
        <f t="shared" si="36"/>
        <v>44</v>
      </c>
      <c r="C102" s="454" t="str">
        <f t="array" ref="C102">_xlfn.IFS(_xlfn.NUMBERVALUE(B102)&lt;=13,"Q1",AND(_xlfn.NUMBERVALUE(B102)&gt;13,_xlfn.NUMBERVALUE(B102)&lt;=26),"Q2", AND(_xlfn.NUMBERVALUE(B102)&gt;26,_xlfn.NUMBERVALUE(B102)&lt;=39),"Q3",_xlfn.NUMBERVALUE(B102)&gt;39,"Q4")</f>
        <v>Q4</v>
      </c>
      <c r="D102" s="448">
        <f t="shared" si="54"/>
        <v>44527</v>
      </c>
      <c r="E102" s="448">
        <f t="shared" si="37"/>
        <v>44533</v>
      </c>
      <c r="F102" s="480">
        <v>202144</v>
      </c>
      <c r="G102" s="342">
        <f t="shared" si="38"/>
        <v>0</v>
      </c>
      <c r="H102" s="471"/>
      <c r="I102" s="471"/>
      <c r="J102" s="474">
        <f t="shared" si="39"/>
        <v>0</v>
      </c>
      <c r="K102" s="474">
        <f t="shared" si="40"/>
        <v>0</v>
      </c>
      <c r="L102" s="492"/>
      <c r="M102" s="481"/>
      <c r="N102" s="481"/>
      <c r="O102" s="474">
        <f t="shared" si="41"/>
        <v>0</v>
      </c>
      <c r="P102" s="474">
        <f t="shared" si="42"/>
        <v>0</v>
      </c>
      <c r="Q102" s="474">
        <f t="shared" si="43"/>
        <v>0</v>
      </c>
      <c r="R102" s="449">
        <f>Forecast!J97</f>
        <v>0</v>
      </c>
      <c r="S102" s="449">
        <f>Forecast!N97</f>
        <v>0</v>
      </c>
      <c r="T102" s="475">
        <f t="shared" si="44"/>
        <v>0</v>
      </c>
      <c r="U102" s="475">
        <f t="shared" si="45"/>
        <v>0</v>
      </c>
      <c r="V102" s="349">
        <f t="shared" si="46"/>
        <v>0</v>
      </c>
      <c r="W102" s="350">
        <f t="shared" si="47"/>
        <v>0</v>
      </c>
      <c r="X102" s="469">
        <f>'Channel &amp; Campaign Metrics'!AR101</f>
        <v>0</v>
      </c>
      <c r="Y102" s="469">
        <f>'Channel &amp; Campaign Metrics'!BS101</f>
        <v>0</v>
      </c>
      <c r="Z102" s="430"/>
      <c r="AA102" s="111"/>
      <c r="AB102" s="358">
        <f>'Glass Metrics'!AC102</f>
        <v>0</v>
      </c>
      <c r="AC102" s="475">
        <f>'Glass Metrics'!I102</f>
        <v>0</v>
      </c>
      <c r="AD102" s="469">
        <f>'Glass Metrics'!N102</f>
        <v>0</v>
      </c>
      <c r="AE102" s="475">
        <f>'Glass Metrics'!S102</f>
        <v>0</v>
      </c>
      <c r="AF102" s="359" t="str">
        <f t="shared" si="48"/>
        <v/>
      </c>
      <c r="AG102" s="477" t="str">
        <f t="shared" si="49"/>
        <v/>
      </c>
      <c r="AH102" s="472" t="str">
        <f t="shared" si="50"/>
        <v/>
      </c>
      <c r="AI102" s="360" t="str">
        <f t="shared" si="51"/>
        <v/>
      </c>
      <c r="AJ102" s="361" t="str">
        <f t="shared" si="24"/>
        <v/>
      </c>
      <c r="AK102" s="493"/>
      <c r="AL102" s="493"/>
      <c r="AM102" s="494"/>
      <c r="AN102" s="494"/>
      <c r="AO102" s="372" t="str">
        <f t="shared" si="55"/>
        <v/>
      </c>
      <c r="AP102" s="186"/>
      <c r="AQ102" s="478"/>
      <c r="AR102" s="478"/>
      <c r="AS102" s="187">
        <f t="shared" si="56"/>
        <v>-0.1</v>
      </c>
      <c r="AT102" s="115"/>
      <c r="AV102" s="496">
        <f t="shared" si="52"/>
        <v>0</v>
      </c>
      <c r="AW102" s="484"/>
      <c r="AX102" s="484"/>
      <c r="AY102" s="380"/>
      <c r="AZ102" s="382">
        <f t="shared" si="27"/>
        <v>0</v>
      </c>
      <c r="BA102" s="495">
        <f t="shared" si="28"/>
        <v>0</v>
      </c>
      <c r="BB102" s="481"/>
      <c r="BC102" s="481"/>
      <c r="BD102" s="481"/>
      <c r="BE102" s="481"/>
      <c r="BF102" s="453" t="str">
        <f t="shared" si="29"/>
        <v>-</v>
      </c>
      <c r="BG102" s="453" t="str">
        <f t="shared" si="30"/>
        <v>-</v>
      </c>
      <c r="BH102" s="453" t="str">
        <f t="shared" si="31"/>
        <v>-</v>
      </c>
      <c r="BI102" s="453" t="str">
        <f t="shared" si="32"/>
        <v>-</v>
      </c>
      <c r="BJ102" s="453" t="str">
        <f t="shared" si="33"/>
        <v>-</v>
      </c>
      <c r="BK102" s="390" t="str">
        <f t="shared" si="34"/>
        <v>-</v>
      </c>
      <c r="BL102" s="125"/>
      <c r="BM102" s="92"/>
      <c r="BN102" s="386">
        <f t="shared" si="53"/>
        <v>0</v>
      </c>
    </row>
    <row r="103" spans="1:66" s="89" customFormat="1" ht="15.6" customHeight="1">
      <c r="A103" s="175">
        <f t="shared" si="35"/>
        <v>2022</v>
      </c>
      <c r="B103" s="454" t="str">
        <f t="shared" si="36"/>
        <v>45</v>
      </c>
      <c r="C103" s="454" t="str">
        <f t="array" ref="C103">_xlfn.IFS(_xlfn.NUMBERVALUE(B103)&lt;=13,"Q1",AND(_xlfn.NUMBERVALUE(B103)&gt;13,_xlfn.NUMBERVALUE(B103)&lt;=26),"Q2", AND(_xlfn.NUMBERVALUE(B103)&gt;26,_xlfn.NUMBERVALUE(B103)&lt;=39),"Q3",_xlfn.NUMBERVALUE(B103)&gt;39,"Q4")</f>
        <v>Q4</v>
      </c>
      <c r="D103" s="448">
        <f t="shared" si="54"/>
        <v>44534</v>
      </c>
      <c r="E103" s="448">
        <f t="shared" si="37"/>
        <v>44540</v>
      </c>
      <c r="F103" s="480">
        <v>202145</v>
      </c>
      <c r="G103" s="342">
        <f t="shared" si="38"/>
        <v>0</v>
      </c>
      <c r="H103" s="471"/>
      <c r="I103" s="471"/>
      <c r="J103" s="474">
        <f t="shared" si="39"/>
        <v>0</v>
      </c>
      <c r="K103" s="474">
        <f t="shared" si="40"/>
        <v>0</v>
      </c>
      <c r="L103" s="492"/>
      <c r="M103" s="481"/>
      <c r="N103" s="481"/>
      <c r="O103" s="474">
        <f t="shared" si="41"/>
        <v>0</v>
      </c>
      <c r="P103" s="474">
        <f t="shared" si="42"/>
        <v>0</v>
      </c>
      <c r="Q103" s="474">
        <f t="shared" si="43"/>
        <v>0</v>
      </c>
      <c r="R103" s="449">
        <f>Forecast!J98</f>
        <v>0</v>
      </c>
      <c r="S103" s="449">
        <f>Forecast!N98</f>
        <v>0</v>
      </c>
      <c r="T103" s="475">
        <f t="shared" si="44"/>
        <v>0</v>
      </c>
      <c r="U103" s="475">
        <f t="shared" si="45"/>
        <v>0</v>
      </c>
      <c r="V103" s="349">
        <f t="shared" si="46"/>
        <v>0</v>
      </c>
      <c r="W103" s="350">
        <f t="shared" si="47"/>
        <v>0</v>
      </c>
      <c r="X103" s="469">
        <f>'Channel &amp; Campaign Metrics'!AR102</f>
        <v>0</v>
      </c>
      <c r="Y103" s="469">
        <f>'Channel &amp; Campaign Metrics'!BS102</f>
        <v>0</v>
      </c>
      <c r="Z103" s="430"/>
      <c r="AA103" s="111"/>
      <c r="AB103" s="358">
        <f>'Glass Metrics'!AC103</f>
        <v>0</v>
      </c>
      <c r="AC103" s="475">
        <f>'Glass Metrics'!I103</f>
        <v>0</v>
      </c>
      <c r="AD103" s="469">
        <f>'Glass Metrics'!N103</f>
        <v>0</v>
      </c>
      <c r="AE103" s="475">
        <f>'Glass Metrics'!S103</f>
        <v>0</v>
      </c>
      <c r="AF103" s="359" t="str">
        <f t="shared" si="48"/>
        <v/>
      </c>
      <c r="AG103" s="477" t="str">
        <f t="shared" si="49"/>
        <v/>
      </c>
      <c r="AH103" s="472" t="str">
        <f t="shared" si="50"/>
        <v/>
      </c>
      <c r="AI103" s="360" t="str">
        <f t="shared" si="51"/>
        <v/>
      </c>
      <c r="AJ103" s="361" t="str">
        <f t="shared" si="24"/>
        <v/>
      </c>
      <c r="AK103" s="493"/>
      <c r="AL103" s="493"/>
      <c r="AM103" s="494"/>
      <c r="AN103" s="494"/>
      <c r="AO103" s="372" t="str">
        <f t="shared" si="55"/>
        <v/>
      </c>
      <c r="AP103" s="186"/>
      <c r="AQ103" s="478"/>
      <c r="AR103" s="478"/>
      <c r="AS103" s="187">
        <f t="shared" si="56"/>
        <v>-0.1</v>
      </c>
      <c r="AT103" s="118"/>
      <c r="AU103" s="483"/>
      <c r="AV103" s="484">
        <f t="shared" si="52"/>
        <v>0</v>
      </c>
      <c r="AW103" s="484"/>
      <c r="AX103" s="484"/>
      <c r="AY103" s="380"/>
      <c r="AZ103" s="382">
        <f t="shared" si="27"/>
        <v>0</v>
      </c>
      <c r="BA103" s="495">
        <f t="shared" si="28"/>
        <v>0</v>
      </c>
      <c r="BB103" s="481"/>
      <c r="BC103" s="481"/>
      <c r="BD103" s="481"/>
      <c r="BE103" s="481"/>
      <c r="BF103" s="453" t="str">
        <f t="shared" si="29"/>
        <v>-</v>
      </c>
      <c r="BG103" s="453" t="str">
        <f t="shared" si="30"/>
        <v>-</v>
      </c>
      <c r="BH103" s="453" t="str">
        <f t="shared" si="31"/>
        <v>-</v>
      </c>
      <c r="BI103" s="453" t="str">
        <f t="shared" si="32"/>
        <v>-</v>
      </c>
      <c r="BJ103" s="453" t="str">
        <f t="shared" si="33"/>
        <v>-</v>
      </c>
      <c r="BK103" s="390" t="str">
        <f t="shared" si="34"/>
        <v>-</v>
      </c>
      <c r="BL103" s="125"/>
      <c r="BM103" s="92"/>
      <c r="BN103" s="386">
        <f t="shared" si="53"/>
        <v>0</v>
      </c>
    </row>
    <row r="104" spans="1:66" s="89" customFormat="1" ht="15.6" customHeight="1">
      <c r="A104" s="175">
        <f t="shared" si="35"/>
        <v>2022</v>
      </c>
      <c r="B104" s="454" t="str">
        <f t="shared" si="36"/>
        <v>46</v>
      </c>
      <c r="C104" s="454" t="str">
        <f t="array" ref="C104">_xlfn.IFS(_xlfn.NUMBERVALUE(B104)&lt;=13,"Q1",AND(_xlfn.NUMBERVALUE(B104)&gt;13,_xlfn.NUMBERVALUE(B104)&lt;=26),"Q2", AND(_xlfn.NUMBERVALUE(B104)&gt;26,_xlfn.NUMBERVALUE(B104)&lt;=39),"Q3",_xlfn.NUMBERVALUE(B104)&gt;39,"Q4")</f>
        <v>Q4</v>
      </c>
      <c r="D104" s="448">
        <f t="shared" si="54"/>
        <v>44541</v>
      </c>
      <c r="E104" s="448">
        <f t="shared" si="37"/>
        <v>44547</v>
      </c>
      <c r="F104" s="480">
        <v>202146</v>
      </c>
      <c r="G104" s="342">
        <f t="shared" si="38"/>
        <v>0</v>
      </c>
      <c r="H104" s="471"/>
      <c r="I104" s="471"/>
      <c r="J104" s="474">
        <f t="shared" si="39"/>
        <v>0</v>
      </c>
      <c r="K104" s="474">
        <f t="shared" si="40"/>
        <v>0</v>
      </c>
      <c r="L104" s="492"/>
      <c r="M104" s="481"/>
      <c r="N104" s="481"/>
      <c r="O104" s="474">
        <f t="shared" si="41"/>
        <v>0</v>
      </c>
      <c r="P104" s="474">
        <f t="shared" si="42"/>
        <v>0</v>
      </c>
      <c r="Q104" s="474">
        <f t="shared" si="43"/>
        <v>0</v>
      </c>
      <c r="R104" s="449">
        <f>Forecast!J99</f>
        <v>0</v>
      </c>
      <c r="S104" s="449">
        <f>Forecast!N99</f>
        <v>0</v>
      </c>
      <c r="T104" s="475">
        <f t="shared" si="44"/>
        <v>0</v>
      </c>
      <c r="U104" s="475">
        <f t="shared" si="45"/>
        <v>0</v>
      </c>
      <c r="V104" s="349">
        <f t="shared" si="46"/>
        <v>0</v>
      </c>
      <c r="W104" s="350">
        <f t="shared" si="47"/>
        <v>0</v>
      </c>
      <c r="X104" s="469">
        <f>'Channel &amp; Campaign Metrics'!AR103</f>
        <v>0</v>
      </c>
      <c r="Y104" s="469">
        <f>'Channel &amp; Campaign Metrics'!BS103</f>
        <v>0</v>
      </c>
      <c r="Z104" s="430"/>
      <c r="AA104" s="111"/>
      <c r="AB104" s="358">
        <f>'Glass Metrics'!AC104</f>
        <v>0</v>
      </c>
      <c r="AC104" s="475">
        <f>'Glass Metrics'!I104</f>
        <v>0</v>
      </c>
      <c r="AD104" s="469">
        <f>'Glass Metrics'!N104</f>
        <v>0</v>
      </c>
      <c r="AE104" s="475">
        <f>'Glass Metrics'!S104</f>
        <v>0</v>
      </c>
      <c r="AF104" s="359" t="str">
        <f t="shared" si="48"/>
        <v/>
      </c>
      <c r="AG104" s="477" t="str">
        <f t="shared" si="49"/>
        <v/>
      </c>
      <c r="AH104" s="472" t="str">
        <f t="shared" si="50"/>
        <v/>
      </c>
      <c r="AI104" s="360" t="str">
        <f t="shared" si="51"/>
        <v/>
      </c>
      <c r="AJ104" s="361" t="str">
        <f t="shared" si="24"/>
        <v/>
      </c>
      <c r="AK104" s="493"/>
      <c r="AL104" s="493"/>
      <c r="AM104" s="494"/>
      <c r="AN104" s="494"/>
      <c r="AO104" s="372" t="str">
        <f t="shared" si="55"/>
        <v/>
      </c>
      <c r="AP104" s="186"/>
      <c r="AQ104" s="478"/>
      <c r="AR104" s="478"/>
      <c r="AS104" s="187">
        <f t="shared" si="56"/>
        <v>-0.1</v>
      </c>
      <c r="AT104" s="118"/>
      <c r="AU104" s="483"/>
      <c r="AV104" s="484">
        <f t="shared" si="52"/>
        <v>0</v>
      </c>
      <c r="AW104" s="484"/>
      <c r="AX104" s="484"/>
      <c r="AY104" s="380"/>
      <c r="AZ104" s="382">
        <f t="shared" si="27"/>
        <v>0</v>
      </c>
      <c r="BA104" s="495">
        <f t="shared" si="28"/>
        <v>0</v>
      </c>
      <c r="BB104" s="481"/>
      <c r="BC104" s="481"/>
      <c r="BD104" s="481"/>
      <c r="BE104" s="481"/>
      <c r="BF104" s="453" t="str">
        <f t="shared" si="29"/>
        <v>-</v>
      </c>
      <c r="BG104" s="453" t="str">
        <f t="shared" si="30"/>
        <v>-</v>
      </c>
      <c r="BH104" s="453" t="str">
        <f t="shared" si="31"/>
        <v>-</v>
      </c>
      <c r="BI104" s="453" t="str">
        <f t="shared" si="32"/>
        <v>-</v>
      </c>
      <c r="BJ104" s="453" t="str">
        <f t="shared" si="33"/>
        <v>-</v>
      </c>
      <c r="BK104" s="390" t="str">
        <f t="shared" si="34"/>
        <v>-</v>
      </c>
      <c r="BL104" s="125"/>
      <c r="BM104" s="92"/>
      <c r="BN104" s="386">
        <f t="shared" si="53"/>
        <v>0</v>
      </c>
    </row>
    <row r="105" spans="1:66" s="89" customFormat="1" ht="15.6" customHeight="1">
      <c r="A105" s="175">
        <f t="shared" si="35"/>
        <v>2022</v>
      </c>
      <c r="B105" s="454" t="str">
        <f t="shared" si="36"/>
        <v>47</v>
      </c>
      <c r="C105" s="454" t="str">
        <f t="array" ref="C105">_xlfn.IFS(_xlfn.NUMBERVALUE(B105)&lt;=13,"Q1",AND(_xlfn.NUMBERVALUE(B105)&gt;13,_xlfn.NUMBERVALUE(B105)&lt;=26),"Q2", AND(_xlfn.NUMBERVALUE(B105)&gt;26,_xlfn.NUMBERVALUE(B105)&lt;=39),"Q3",_xlfn.NUMBERVALUE(B105)&gt;39,"Q4")</f>
        <v>Q4</v>
      </c>
      <c r="D105" s="448">
        <f t="shared" si="54"/>
        <v>44548</v>
      </c>
      <c r="E105" s="448">
        <f t="shared" si="37"/>
        <v>44554</v>
      </c>
      <c r="F105" s="480">
        <v>202147</v>
      </c>
      <c r="G105" s="342">
        <f t="shared" si="38"/>
        <v>0</v>
      </c>
      <c r="H105" s="471"/>
      <c r="I105" s="471"/>
      <c r="J105" s="474">
        <f t="shared" si="39"/>
        <v>0</v>
      </c>
      <c r="K105" s="474">
        <f t="shared" si="40"/>
        <v>0</v>
      </c>
      <c r="L105" s="492"/>
      <c r="M105" s="481"/>
      <c r="N105" s="481"/>
      <c r="O105" s="474">
        <f t="shared" si="41"/>
        <v>0</v>
      </c>
      <c r="P105" s="474">
        <f t="shared" si="42"/>
        <v>0</v>
      </c>
      <c r="Q105" s="474">
        <f t="shared" si="43"/>
        <v>0</v>
      </c>
      <c r="R105" s="449">
        <f>Forecast!J100</f>
        <v>0</v>
      </c>
      <c r="S105" s="449">
        <f>Forecast!N100</f>
        <v>0</v>
      </c>
      <c r="T105" s="475">
        <f t="shared" si="44"/>
        <v>0</v>
      </c>
      <c r="U105" s="475">
        <f t="shared" si="45"/>
        <v>0</v>
      </c>
      <c r="V105" s="349">
        <f t="shared" si="46"/>
        <v>0</v>
      </c>
      <c r="W105" s="350">
        <f t="shared" si="47"/>
        <v>0</v>
      </c>
      <c r="X105" s="469">
        <f>'Channel &amp; Campaign Metrics'!AR104</f>
        <v>0</v>
      </c>
      <c r="Y105" s="469">
        <f>'Channel &amp; Campaign Metrics'!BS104</f>
        <v>0</v>
      </c>
      <c r="Z105" s="430"/>
      <c r="AA105" s="111"/>
      <c r="AB105" s="358">
        <f>'Glass Metrics'!AC105</f>
        <v>0</v>
      </c>
      <c r="AC105" s="475">
        <f>'Glass Metrics'!I105</f>
        <v>0</v>
      </c>
      <c r="AD105" s="469">
        <f>'Glass Metrics'!N105</f>
        <v>0</v>
      </c>
      <c r="AE105" s="475">
        <f>'Glass Metrics'!S105</f>
        <v>0</v>
      </c>
      <c r="AF105" s="359" t="str">
        <f t="shared" si="48"/>
        <v/>
      </c>
      <c r="AG105" s="477" t="str">
        <f t="shared" si="49"/>
        <v/>
      </c>
      <c r="AH105" s="472" t="str">
        <f t="shared" si="50"/>
        <v/>
      </c>
      <c r="AI105" s="360" t="str">
        <f t="shared" si="51"/>
        <v/>
      </c>
      <c r="AJ105" s="361" t="str">
        <f t="shared" si="24"/>
        <v/>
      </c>
      <c r="AK105" s="493"/>
      <c r="AL105" s="493"/>
      <c r="AM105" s="494"/>
      <c r="AN105" s="494"/>
      <c r="AO105" s="372" t="str">
        <f t="shared" si="55"/>
        <v/>
      </c>
      <c r="AP105" s="186"/>
      <c r="AQ105" s="478"/>
      <c r="AR105" s="478"/>
      <c r="AS105" s="187">
        <f t="shared" si="56"/>
        <v>-0.1</v>
      </c>
      <c r="AT105" s="118"/>
      <c r="AU105" s="483"/>
      <c r="AV105" s="484">
        <f t="shared" si="52"/>
        <v>0</v>
      </c>
      <c r="AW105" s="484"/>
      <c r="AX105" s="484"/>
      <c r="AY105" s="380"/>
      <c r="AZ105" s="382">
        <f t="shared" si="27"/>
        <v>0</v>
      </c>
      <c r="BA105" s="495">
        <f t="shared" si="28"/>
        <v>0</v>
      </c>
      <c r="BB105" s="481"/>
      <c r="BC105" s="481"/>
      <c r="BD105" s="481"/>
      <c r="BE105" s="481"/>
      <c r="BF105" s="453" t="str">
        <f t="shared" si="29"/>
        <v>-</v>
      </c>
      <c r="BG105" s="453" t="str">
        <f t="shared" si="30"/>
        <v>-</v>
      </c>
      <c r="BH105" s="453" t="str">
        <f t="shared" si="31"/>
        <v>-</v>
      </c>
      <c r="BI105" s="453" t="str">
        <f t="shared" si="32"/>
        <v>-</v>
      </c>
      <c r="BJ105" s="453" t="str">
        <f t="shared" si="33"/>
        <v>-</v>
      </c>
      <c r="BK105" s="390" t="str">
        <f t="shared" si="34"/>
        <v>-</v>
      </c>
      <c r="BL105" s="125"/>
      <c r="BM105" s="92"/>
      <c r="BN105" s="386">
        <f t="shared" si="53"/>
        <v>0</v>
      </c>
    </row>
    <row r="106" spans="1:66" s="89" customFormat="1" ht="15.6" customHeight="1">
      <c r="A106" s="175">
        <f t="shared" si="35"/>
        <v>2022</v>
      </c>
      <c r="B106" s="454" t="str">
        <f t="shared" si="36"/>
        <v>48</v>
      </c>
      <c r="C106" s="454" t="str">
        <f t="array" ref="C106">_xlfn.IFS(_xlfn.NUMBERVALUE(B106)&lt;=13,"Q1",AND(_xlfn.NUMBERVALUE(B106)&gt;13,_xlfn.NUMBERVALUE(B106)&lt;=26),"Q2", AND(_xlfn.NUMBERVALUE(B106)&gt;26,_xlfn.NUMBERVALUE(B106)&lt;=39),"Q3",_xlfn.NUMBERVALUE(B106)&gt;39,"Q4")</f>
        <v>Q4</v>
      </c>
      <c r="D106" s="448">
        <f t="shared" si="54"/>
        <v>44555</v>
      </c>
      <c r="E106" s="448">
        <f t="shared" si="37"/>
        <v>44561</v>
      </c>
      <c r="F106" s="480">
        <v>202148</v>
      </c>
      <c r="G106" s="342">
        <f t="shared" si="38"/>
        <v>0</v>
      </c>
      <c r="H106" s="471"/>
      <c r="I106" s="471"/>
      <c r="J106" s="474">
        <f t="shared" si="39"/>
        <v>0</v>
      </c>
      <c r="K106" s="474">
        <f t="shared" si="40"/>
        <v>0</v>
      </c>
      <c r="L106" s="492"/>
      <c r="M106" s="481"/>
      <c r="N106" s="481"/>
      <c r="O106" s="474">
        <f t="shared" si="41"/>
        <v>0</v>
      </c>
      <c r="P106" s="474">
        <f t="shared" si="42"/>
        <v>0</v>
      </c>
      <c r="Q106" s="474">
        <f t="shared" si="43"/>
        <v>0</v>
      </c>
      <c r="R106" s="449">
        <f>Forecast!J101</f>
        <v>0</v>
      </c>
      <c r="S106" s="449">
        <f>Forecast!N101</f>
        <v>0</v>
      </c>
      <c r="T106" s="475">
        <f t="shared" si="44"/>
        <v>0</v>
      </c>
      <c r="U106" s="475">
        <f t="shared" si="45"/>
        <v>0</v>
      </c>
      <c r="V106" s="349">
        <f t="shared" si="46"/>
        <v>0</v>
      </c>
      <c r="W106" s="350">
        <f t="shared" si="47"/>
        <v>0</v>
      </c>
      <c r="X106" s="469">
        <f>'Channel &amp; Campaign Metrics'!AR105</f>
        <v>0</v>
      </c>
      <c r="Y106" s="469">
        <f>'Channel &amp; Campaign Metrics'!BS105</f>
        <v>0</v>
      </c>
      <c r="Z106" s="430"/>
      <c r="AA106" s="111"/>
      <c r="AB106" s="358">
        <f>'Glass Metrics'!AC106</f>
        <v>0</v>
      </c>
      <c r="AC106" s="475">
        <f>'Glass Metrics'!I106</f>
        <v>0</v>
      </c>
      <c r="AD106" s="469">
        <f>'Glass Metrics'!N106</f>
        <v>0</v>
      </c>
      <c r="AE106" s="475">
        <f>'Glass Metrics'!S106</f>
        <v>0</v>
      </c>
      <c r="AF106" s="359" t="str">
        <f t="shared" si="48"/>
        <v/>
      </c>
      <c r="AG106" s="477" t="str">
        <f t="shared" si="49"/>
        <v/>
      </c>
      <c r="AH106" s="472" t="str">
        <f t="shared" si="50"/>
        <v/>
      </c>
      <c r="AI106" s="360" t="str">
        <f t="shared" si="51"/>
        <v/>
      </c>
      <c r="AJ106" s="361" t="str">
        <f t="shared" si="24"/>
        <v/>
      </c>
      <c r="AK106" s="493"/>
      <c r="AL106" s="493"/>
      <c r="AM106" s="494"/>
      <c r="AN106" s="494"/>
      <c r="AO106" s="372" t="str">
        <f t="shared" si="55"/>
        <v/>
      </c>
      <c r="AP106" s="373"/>
      <c r="AQ106" s="478"/>
      <c r="AR106" s="478"/>
      <c r="AS106" s="187">
        <f t="shared" si="56"/>
        <v>-0.1</v>
      </c>
      <c r="AT106" s="118"/>
      <c r="AU106" s="483"/>
      <c r="AV106" s="484">
        <f t="shared" si="52"/>
        <v>0</v>
      </c>
      <c r="AW106" s="484"/>
      <c r="AX106" s="484"/>
      <c r="AY106" s="380"/>
      <c r="AZ106" s="382">
        <f t="shared" si="27"/>
        <v>0</v>
      </c>
      <c r="BA106" s="495">
        <f t="shared" si="28"/>
        <v>0</v>
      </c>
      <c r="BB106" s="481"/>
      <c r="BC106" s="481"/>
      <c r="BD106" s="481"/>
      <c r="BE106" s="481"/>
      <c r="BF106" s="453" t="str">
        <f t="shared" si="29"/>
        <v>-</v>
      </c>
      <c r="BG106" s="453" t="str">
        <f t="shared" si="30"/>
        <v>-</v>
      </c>
      <c r="BH106" s="453" t="str">
        <f t="shared" si="31"/>
        <v>-</v>
      </c>
      <c r="BI106" s="453" t="str">
        <f t="shared" si="32"/>
        <v>-</v>
      </c>
      <c r="BJ106" s="453" t="str">
        <f t="shared" si="33"/>
        <v>-</v>
      </c>
      <c r="BK106" s="390" t="str">
        <f t="shared" si="34"/>
        <v>-</v>
      </c>
      <c r="BL106" s="125"/>
      <c r="BM106" s="92"/>
      <c r="BN106" s="386">
        <f t="shared" si="53"/>
        <v>0</v>
      </c>
    </row>
    <row r="107" spans="1:66" s="89" customFormat="1" ht="15.6" customHeight="1">
      <c r="A107" s="175">
        <f t="shared" si="35"/>
        <v>2022</v>
      </c>
      <c r="B107" s="454" t="str">
        <f t="shared" si="36"/>
        <v>49</v>
      </c>
      <c r="C107" s="454" t="str">
        <f t="array" ref="C107">_xlfn.IFS(_xlfn.NUMBERVALUE(B107)&lt;=13,"Q1",AND(_xlfn.NUMBERVALUE(B107)&gt;13,_xlfn.NUMBERVALUE(B107)&lt;=26),"Q2", AND(_xlfn.NUMBERVALUE(B107)&gt;26,_xlfn.NUMBERVALUE(B107)&lt;=39),"Q3",_xlfn.NUMBERVALUE(B107)&gt;39,"Q4")</f>
        <v>Q4</v>
      </c>
      <c r="D107" s="448">
        <f t="shared" si="54"/>
        <v>44562</v>
      </c>
      <c r="E107" s="448">
        <f t="shared" si="37"/>
        <v>44568</v>
      </c>
      <c r="F107" s="480">
        <v>202149</v>
      </c>
      <c r="G107" s="342">
        <f t="shared" si="38"/>
        <v>0</v>
      </c>
      <c r="H107" s="471"/>
      <c r="I107" s="471"/>
      <c r="J107" s="474">
        <f t="shared" si="39"/>
        <v>0</v>
      </c>
      <c r="K107" s="474">
        <f t="shared" si="40"/>
        <v>0</v>
      </c>
      <c r="L107" s="492"/>
      <c r="M107" s="481"/>
      <c r="N107" s="481"/>
      <c r="O107" s="474">
        <f t="shared" si="41"/>
        <v>0</v>
      </c>
      <c r="P107" s="474">
        <f t="shared" si="42"/>
        <v>0</v>
      </c>
      <c r="Q107" s="474">
        <f t="shared" si="43"/>
        <v>0</v>
      </c>
      <c r="R107" s="449">
        <f>Forecast!J102</f>
        <v>0</v>
      </c>
      <c r="S107" s="449">
        <f>Forecast!N102</f>
        <v>0</v>
      </c>
      <c r="T107" s="475">
        <f t="shared" si="44"/>
        <v>0</v>
      </c>
      <c r="U107" s="475">
        <f t="shared" si="45"/>
        <v>0</v>
      </c>
      <c r="V107" s="349">
        <f t="shared" si="46"/>
        <v>0</v>
      </c>
      <c r="W107" s="350">
        <f t="shared" si="47"/>
        <v>0</v>
      </c>
      <c r="X107" s="469">
        <f>'Channel &amp; Campaign Metrics'!AR106</f>
        <v>0</v>
      </c>
      <c r="Y107" s="469">
        <f>'Channel &amp; Campaign Metrics'!BS106</f>
        <v>0</v>
      </c>
      <c r="Z107" s="430"/>
      <c r="AA107" s="111"/>
      <c r="AB107" s="358">
        <f>'Glass Metrics'!AC107</f>
        <v>0</v>
      </c>
      <c r="AC107" s="475">
        <f>'Glass Metrics'!I107</f>
        <v>0</v>
      </c>
      <c r="AD107" s="469">
        <f>'Glass Metrics'!N107</f>
        <v>0</v>
      </c>
      <c r="AE107" s="475">
        <f>'Glass Metrics'!S107</f>
        <v>0</v>
      </c>
      <c r="AF107" s="359" t="str">
        <f t="shared" si="48"/>
        <v/>
      </c>
      <c r="AG107" s="477" t="str">
        <f t="shared" si="49"/>
        <v/>
      </c>
      <c r="AH107" s="472" t="str">
        <f t="shared" si="50"/>
        <v/>
      </c>
      <c r="AI107" s="360" t="str">
        <f t="shared" si="51"/>
        <v/>
      </c>
      <c r="AJ107" s="361" t="str">
        <f t="shared" si="24"/>
        <v/>
      </c>
      <c r="AK107" s="493"/>
      <c r="AL107" s="493"/>
      <c r="AM107" s="494"/>
      <c r="AN107" s="494"/>
      <c r="AO107" s="372" t="str">
        <f t="shared" si="55"/>
        <v/>
      </c>
      <c r="AP107" s="361"/>
      <c r="AQ107" s="482"/>
      <c r="AR107" s="482"/>
      <c r="AS107" s="187">
        <f t="shared" si="56"/>
        <v>-0.1</v>
      </c>
      <c r="AT107" s="118"/>
      <c r="AU107" s="483"/>
      <c r="AV107" s="484">
        <f t="shared" si="52"/>
        <v>0</v>
      </c>
      <c r="AW107" s="484"/>
      <c r="AX107" s="484"/>
      <c r="AY107" s="380"/>
      <c r="AZ107" s="382">
        <f t="shared" si="27"/>
        <v>0</v>
      </c>
      <c r="BA107" s="495">
        <f t="shared" si="28"/>
        <v>0</v>
      </c>
      <c r="BB107" s="481"/>
      <c r="BC107" s="481"/>
      <c r="BD107" s="481"/>
      <c r="BE107" s="481"/>
      <c r="BF107" s="453" t="str">
        <f t="shared" si="29"/>
        <v>-</v>
      </c>
      <c r="BG107" s="453" t="str">
        <f t="shared" si="30"/>
        <v>-</v>
      </c>
      <c r="BH107" s="453" t="str">
        <f t="shared" si="31"/>
        <v>-</v>
      </c>
      <c r="BI107" s="453" t="str">
        <f t="shared" si="32"/>
        <v>-</v>
      </c>
      <c r="BJ107" s="453" t="str">
        <f t="shared" si="33"/>
        <v>-</v>
      </c>
      <c r="BK107" s="390" t="str">
        <f t="shared" si="34"/>
        <v>-</v>
      </c>
      <c r="BL107" s="125"/>
      <c r="BM107" s="92"/>
      <c r="BN107" s="386">
        <f t="shared" si="53"/>
        <v>0</v>
      </c>
    </row>
    <row r="108" spans="1:66" s="89" customFormat="1" ht="15.6" customHeight="1">
      <c r="A108" s="175">
        <f t="shared" si="35"/>
        <v>2022</v>
      </c>
      <c r="B108" s="454" t="str">
        <f t="shared" si="36"/>
        <v>50</v>
      </c>
      <c r="C108" s="454" t="str">
        <f t="array" ref="C108">_xlfn.IFS(_xlfn.NUMBERVALUE(B108)&lt;=13,"Q1",AND(_xlfn.NUMBERVALUE(B108)&gt;13,_xlfn.NUMBERVALUE(B108)&lt;=26),"Q2", AND(_xlfn.NUMBERVALUE(B108)&gt;26,_xlfn.NUMBERVALUE(B108)&lt;=39),"Q3",_xlfn.NUMBERVALUE(B108)&gt;39,"Q4")</f>
        <v>Q4</v>
      </c>
      <c r="D108" s="448">
        <f t="shared" si="54"/>
        <v>44569</v>
      </c>
      <c r="E108" s="448">
        <f t="shared" si="37"/>
        <v>44575</v>
      </c>
      <c r="F108" s="480">
        <v>202150</v>
      </c>
      <c r="G108" s="342">
        <f t="shared" si="38"/>
        <v>0</v>
      </c>
      <c r="H108" s="471"/>
      <c r="I108" s="471"/>
      <c r="J108" s="474">
        <f t="shared" si="39"/>
        <v>0</v>
      </c>
      <c r="K108" s="474">
        <f t="shared" si="40"/>
        <v>0</v>
      </c>
      <c r="L108" s="492"/>
      <c r="M108" s="481"/>
      <c r="N108" s="481"/>
      <c r="O108" s="474">
        <f t="shared" si="41"/>
        <v>0</v>
      </c>
      <c r="P108" s="474">
        <f t="shared" si="42"/>
        <v>0</v>
      </c>
      <c r="Q108" s="474">
        <f t="shared" si="43"/>
        <v>0</v>
      </c>
      <c r="R108" s="449">
        <f>Forecast!J103</f>
        <v>0</v>
      </c>
      <c r="S108" s="449">
        <f>Forecast!N103</f>
        <v>0</v>
      </c>
      <c r="T108" s="475">
        <f t="shared" si="44"/>
        <v>0</v>
      </c>
      <c r="U108" s="475">
        <f t="shared" si="45"/>
        <v>0</v>
      </c>
      <c r="V108" s="349">
        <f t="shared" si="46"/>
        <v>0</v>
      </c>
      <c r="W108" s="350">
        <f t="shared" si="47"/>
        <v>0</v>
      </c>
      <c r="X108" s="469">
        <f>'Channel &amp; Campaign Metrics'!AR107</f>
        <v>0</v>
      </c>
      <c r="Y108" s="469">
        <f>'Channel &amp; Campaign Metrics'!BS107</f>
        <v>0</v>
      </c>
      <c r="Z108" s="430"/>
      <c r="AA108" s="111"/>
      <c r="AB108" s="358">
        <f>'Glass Metrics'!AC108</f>
        <v>0</v>
      </c>
      <c r="AC108" s="475">
        <f>'Glass Metrics'!I108</f>
        <v>0</v>
      </c>
      <c r="AD108" s="469">
        <f>'Glass Metrics'!N108</f>
        <v>0</v>
      </c>
      <c r="AE108" s="475">
        <f>'Glass Metrics'!S108</f>
        <v>0</v>
      </c>
      <c r="AF108" s="359" t="str">
        <f t="shared" si="48"/>
        <v/>
      </c>
      <c r="AG108" s="477" t="str">
        <f t="shared" si="49"/>
        <v/>
      </c>
      <c r="AH108" s="472" t="str">
        <f t="shared" si="50"/>
        <v/>
      </c>
      <c r="AI108" s="360" t="str">
        <f t="shared" si="51"/>
        <v/>
      </c>
      <c r="AJ108" s="361" t="str">
        <f t="shared" si="24"/>
        <v/>
      </c>
      <c r="AK108" s="493"/>
      <c r="AL108" s="493"/>
      <c r="AM108" s="494"/>
      <c r="AN108" s="494"/>
      <c r="AO108" s="372" t="str">
        <f t="shared" si="55"/>
        <v/>
      </c>
      <c r="AP108" s="361"/>
      <c r="AQ108" s="482"/>
      <c r="AR108" s="482"/>
      <c r="AS108" s="187">
        <f t="shared" si="56"/>
        <v>-0.1</v>
      </c>
      <c r="AT108" s="118"/>
      <c r="AU108" s="483"/>
      <c r="AV108" s="484">
        <f t="shared" si="52"/>
        <v>0</v>
      </c>
      <c r="AW108" s="484"/>
      <c r="AX108" s="484"/>
      <c r="AY108" s="380"/>
      <c r="AZ108" s="382">
        <f t="shared" si="27"/>
        <v>0</v>
      </c>
      <c r="BA108" s="495">
        <f t="shared" si="28"/>
        <v>0</v>
      </c>
      <c r="BB108" s="481"/>
      <c r="BC108" s="481"/>
      <c r="BD108" s="481"/>
      <c r="BE108" s="481"/>
      <c r="BF108" s="453" t="str">
        <f t="shared" si="29"/>
        <v>-</v>
      </c>
      <c r="BG108" s="453" t="str">
        <f t="shared" si="30"/>
        <v>-</v>
      </c>
      <c r="BH108" s="453" t="str">
        <f t="shared" si="31"/>
        <v>-</v>
      </c>
      <c r="BI108" s="453" t="str">
        <f t="shared" si="32"/>
        <v>-</v>
      </c>
      <c r="BJ108" s="453" t="str">
        <f t="shared" si="33"/>
        <v>-</v>
      </c>
      <c r="BK108" s="390" t="str">
        <f t="shared" si="34"/>
        <v>-</v>
      </c>
      <c r="BL108" s="125"/>
      <c r="BM108" s="92"/>
      <c r="BN108" s="386">
        <f t="shared" si="53"/>
        <v>0</v>
      </c>
    </row>
    <row r="109" spans="1:66" s="89" customFormat="1" ht="15.6" customHeight="1">
      <c r="A109" s="175">
        <f t="shared" si="35"/>
        <v>2022</v>
      </c>
      <c r="B109" s="454" t="str">
        <f t="shared" si="36"/>
        <v>51</v>
      </c>
      <c r="C109" s="454" t="str">
        <f t="array" ref="C109">_xlfn.IFS(_xlfn.NUMBERVALUE(B109)&lt;=13,"Q1",AND(_xlfn.NUMBERVALUE(B109)&gt;13,_xlfn.NUMBERVALUE(B109)&lt;=26),"Q2", AND(_xlfn.NUMBERVALUE(B109)&gt;26,_xlfn.NUMBERVALUE(B109)&lt;=39),"Q3",_xlfn.NUMBERVALUE(B109)&gt;39,"Q4")</f>
        <v>Q4</v>
      </c>
      <c r="D109" s="448">
        <f t="shared" si="54"/>
        <v>44576</v>
      </c>
      <c r="E109" s="448">
        <f t="shared" si="37"/>
        <v>44582</v>
      </c>
      <c r="F109" s="480">
        <v>202151</v>
      </c>
      <c r="G109" s="342">
        <f t="shared" si="38"/>
        <v>0</v>
      </c>
      <c r="H109" s="471"/>
      <c r="I109" s="471"/>
      <c r="J109" s="474">
        <f t="shared" si="39"/>
        <v>0</v>
      </c>
      <c r="K109" s="474">
        <f t="shared" si="40"/>
        <v>0</v>
      </c>
      <c r="L109" s="492"/>
      <c r="M109" s="481"/>
      <c r="N109" s="481"/>
      <c r="O109" s="474">
        <f t="shared" si="41"/>
        <v>0</v>
      </c>
      <c r="P109" s="474">
        <f t="shared" si="42"/>
        <v>0</v>
      </c>
      <c r="Q109" s="474">
        <f t="shared" si="43"/>
        <v>0</v>
      </c>
      <c r="R109" s="449">
        <f>Forecast!J104</f>
        <v>0</v>
      </c>
      <c r="S109" s="449">
        <f>Forecast!N104</f>
        <v>0</v>
      </c>
      <c r="T109" s="475">
        <f t="shared" si="44"/>
        <v>0</v>
      </c>
      <c r="U109" s="475">
        <f t="shared" si="45"/>
        <v>0</v>
      </c>
      <c r="V109" s="349">
        <f t="shared" si="46"/>
        <v>0</v>
      </c>
      <c r="W109" s="350">
        <f t="shared" si="47"/>
        <v>0</v>
      </c>
      <c r="X109" s="469">
        <f>'Channel &amp; Campaign Metrics'!AR108</f>
        <v>0</v>
      </c>
      <c r="Y109" s="469">
        <f>'Channel &amp; Campaign Metrics'!BS108</f>
        <v>0</v>
      </c>
      <c r="Z109" s="430"/>
      <c r="AA109" s="111"/>
      <c r="AB109" s="358">
        <f>'Glass Metrics'!AC109</f>
        <v>0</v>
      </c>
      <c r="AC109" s="475">
        <f>'Glass Metrics'!I109</f>
        <v>0</v>
      </c>
      <c r="AD109" s="469">
        <f>'Glass Metrics'!N109</f>
        <v>0</v>
      </c>
      <c r="AE109" s="475">
        <f>'Glass Metrics'!S109</f>
        <v>0</v>
      </c>
      <c r="AF109" s="359" t="str">
        <f t="shared" si="48"/>
        <v/>
      </c>
      <c r="AG109" s="477" t="str">
        <f t="shared" si="49"/>
        <v/>
      </c>
      <c r="AH109" s="472" t="str">
        <f t="shared" si="50"/>
        <v/>
      </c>
      <c r="AI109" s="360" t="str">
        <f t="shared" si="51"/>
        <v/>
      </c>
      <c r="AJ109" s="361" t="str">
        <f t="shared" si="24"/>
        <v/>
      </c>
      <c r="AK109" s="497"/>
      <c r="AL109" s="497"/>
      <c r="AM109" s="498"/>
      <c r="AN109" s="498"/>
      <c r="AO109" s="372" t="str">
        <f t="shared" si="55"/>
        <v/>
      </c>
      <c r="AP109" s="361"/>
      <c r="AQ109" s="482"/>
      <c r="AR109" s="482"/>
      <c r="AS109" s="187">
        <f t="shared" si="56"/>
        <v>-0.1</v>
      </c>
      <c r="AT109" s="118"/>
      <c r="AU109" s="483"/>
      <c r="AV109" s="484">
        <f t="shared" si="52"/>
        <v>0</v>
      </c>
      <c r="AW109" s="484"/>
      <c r="AX109" s="484"/>
      <c r="AY109" s="380"/>
      <c r="AZ109" s="382">
        <f t="shared" si="27"/>
        <v>0</v>
      </c>
      <c r="BA109" s="495">
        <f t="shared" si="28"/>
        <v>0</v>
      </c>
      <c r="BB109" s="481"/>
      <c r="BC109" s="481"/>
      <c r="BD109" s="481"/>
      <c r="BE109" s="481"/>
      <c r="BF109" s="453" t="str">
        <f t="shared" si="29"/>
        <v>-</v>
      </c>
      <c r="BG109" s="453" t="str">
        <f t="shared" si="30"/>
        <v>-</v>
      </c>
      <c r="BH109" s="453" t="str">
        <f t="shared" si="31"/>
        <v>-</v>
      </c>
      <c r="BI109" s="453" t="str">
        <f t="shared" si="32"/>
        <v>-</v>
      </c>
      <c r="BJ109" s="453" t="str">
        <f t="shared" si="33"/>
        <v>-</v>
      </c>
      <c r="BK109" s="390" t="str">
        <f t="shared" si="34"/>
        <v>-</v>
      </c>
      <c r="BL109" s="125"/>
      <c r="BM109" s="92"/>
      <c r="BN109" s="386">
        <f t="shared" si="53"/>
        <v>0</v>
      </c>
    </row>
    <row r="110" spans="1:66" s="89" customFormat="1" ht="15.6" customHeight="1">
      <c r="A110" s="175">
        <f t="shared" si="35"/>
        <v>2022</v>
      </c>
      <c r="B110" s="454" t="str">
        <f t="shared" si="36"/>
        <v>52</v>
      </c>
      <c r="C110" s="454" t="str">
        <f t="array" ref="C110">_xlfn.IFS(_xlfn.NUMBERVALUE(B110)&lt;=13,"Q1",AND(_xlfn.NUMBERVALUE(B110)&gt;13,_xlfn.NUMBERVALUE(B110)&lt;=26),"Q2", AND(_xlfn.NUMBERVALUE(B110)&gt;26,_xlfn.NUMBERVALUE(B110)&lt;=39),"Q3",_xlfn.NUMBERVALUE(B110)&gt;39,"Q4")</f>
        <v>Q4</v>
      </c>
      <c r="D110" s="448">
        <f t="shared" si="54"/>
        <v>44583</v>
      </c>
      <c r="E110" s="448">
        <f t="shared" si="37"/>
        <v>44589</v>
      </c>
      <c r="F110" s="480">
        <v>202152</v>
      </c>
      <c r="G110" s="342">
        <f t="shared" si="38"/>
        <v>0</v>
      </c>
      <c r="H110" s="471"/>
      <c r="I110" s="471"/>
      <c r="J110" s="474">
        <f t="shared" si="39"/>
        <v>0</v>
      </c>
      <c r="K110" s="474">
        <f t="shared" si="40"/>
        <v>0</v>
      </c>
      <c r="L110" s="492"/>
      <c r="M110" s="481"/>
      <c r="N110" s="481"/>
      <c r="O110" s="474">
        <f t="shared" si="41"/>
        <v>0</v>
      </c>
      <c r="P110" s="474">
        <f t="shared" si="42"/>
        <v>0</v>
      </c>
      <c r="Q110" s="474">
        <f t="shared" si="43"/>
        <v>0</v>
      </c>
      <c r="R110" s="449">
        <f>Forecast!J105</f>
        <v>0</v>
      </c>
      <c r="S110" s="449">
        <f>Forecast!N105</f>
        <v>0</v>
      </c>
      <c r="T110" s="475">
        <f t="shared" si="44"/>
        <v>0</v>
      </c>
      <c r="U110" s="475">
        <f t="shared" si="45"/>
        <v>0</v>
      </c>
      <c r="V110" s="349">
        <f t="shared" si="46"/>
        <v>0</v>
      </c>
      <c r="W110" s="350">
        <f t="shared" si="47"/>
        <v>0</v>
      </c>
      <c r="X110" s="469">
        <f>'Channel &amp; Campaign Metrics'!AR109</f>
        <v>0</v>
      </c>
      <c r="Y110" s="469">
        <f>'Channel &amp; Campaign Metrics'!BS109</f>
        <v>0</v>
      </c>
      <c r="Z110" s="430"/>
      <c r="AA110" s="111"/>
      <c r="AB110" s="358">
        <f>'Glass Metrics'!AC110</f>
        <v>0</v>
      </c>
      <c r="AC110" s="475">
        <f>'Glass Metrics'!I110</f>
        <v>0</v>
      </c>
      <c r="AD110" s="469">
        <f>'Glass Metrics'!N110</f>
        <v>0</v>
      </c>
      <c r="AE110" s="475">
        <f>'Glass Metrics'!S110</f>
        <v>0</v>
      </c>
      <c r="AF110" s="359" t="str">
        <f t="shared" si="48"/>
        <v/>
      </c>
      <c r="AG110" s="477" t="str">
        <f t="shared" si="49"/>
        <v/>
      </c>
      <c r="AH110" s="472" t="str">
        <f t="shared" si="50"/>
        <v/>
      </c>
      <c r="AI110" s="360" t="str">
        <f t="shared" si="51"/>
        <v/>
      </c>
      <c r="AJ110" s="361" t="str">
        <f t="shared" si="24"/>
        <v/>
      </c>
      <c r="AK110" s="482"/>
      <c r="AL110" s="482"/>
      <c r="AM110" s="481"/>
      <c r="AN110" s="481"/>
      <c r="AO110" s="372" t="str">
        <f t="shared" si="55"/>
        <v/>
      </c>
      <c r="AP110" s="361"/>
      <c r="AQ110" s="482"/>
      <c r="AR110" s="482"/>
      <c r="AS110" s="187">
        <f t="shared" si="56"/>
        <v>-0.1</v>
      </c>
      <c r="AT110" s="118"/>
      <c r="AU110" s="483"/>
      <c r="AV110" s="484">
        <f t="shared" si="52"/>
        <v>0</v>
      </c>
      <c r="AW110" s="484"/>
      <c r="AX110" s="484"/>
      <c r="AY110" s="380"/>
      <c r="AZ110" s="382">
        <f t="shared" si="27"/>
        <v>0</v>
      </c>
      <c r="BA110" s="495">
        <f t="shared" si="28"/>
        <v>0</v>
      </c>
      <c r="BB110" s="481"/>
      <c r="BC110" s="481"/>
      <c r="BD110" s="481"/>
      <c r="BE110" s="481"/>
      <c r="BF110" s="453" t="str">
        <f t="shared" si="29"/>
        <v>-</v>
      </c>
      <c r="BG110" s="453" t="str">
        <f t="shared" si="30"/>
        <v>-</v>
      </c>
      <c r="BH110" s="453" t="str">
        <f t="shared" si="31"/>
        <v>-</v>
      </c>
      <c r="BI110" s="453" t="str">
        <f t="shared" si="32"/>
        <v>-</v>
      </c>
      <c r="BJ110" s="453" t="str">
        <f t="shared" si="33"/>
        <v>-</v>
      </c>
      <c r="BK110" s="390" t="str">
        <f t="shared" si="34"/>
        <v>-</v>
      </c>
      <c r="BL110" s="125"/>
      <c r="BM110" s="92"/>
      <c r="BN110" s="386">
        <f t="shared" si="53"/>
        <v>0</v>
      </c>
    </row>
    <row r="111" spans="1:66" s="89" customFormat="1" ht="16.350000000000001" customHeight="1">
      <c r="A111" s="175">
        <f t="shared" si="35"/>
        <v>2023</v>
      </c>
      <c r="B111" s="454" t="str">
        <f t="shared" si="36"/>
        <v>01</v>
      </c>
      <c r="C111" s="454" t="str">
        <f t="array" ref="C111">_xlfn.IFS(_xlfn.NUMBERVALUE(B111)&lt;=13,"Q1",AND(_xlfn.NUMBERVALUE(B111)&gt;13,_xlfn.NUMBERVALUE(B111)&lt;=26),"Q2", AND(_xlfn.NUMBERVALUE(B111)&gt;26,_xlfn.NUMBERVALUE(B111)&lt;=39),"Q3",_xlfn.NUMBERVALUE(B111)&gt;39,"Q4")</f>
        <v>Q1</v>
      </c>
      <c r="D111" s="448">
        <f t="shared" si="54"/>
        <v>44590</v>
      </c>
      <c r="E111" s="448">
        <f t="shared" si="37"/>
        <v>44596</v>
      </c>
      <c r="F111" s="79">
        <v>202201</v>
      </c>
      <c r="G111" s="342">
        <f t="shared" si="38"/>
        <v>0</v>
      </c>
      <c r="H111" s="471"/>
      <c r="I111" s="471"/>
      <c r="J111" s="474">
        <f t="shared" si="39"/>
        <v>0</v>
      </c>
      <c r="K111" s="474">
        <f t="shared" si="40"/>
        <v>0</v>
      </c>
      <c r="L111" s="492"/>
      <c r="M111" s="481"/>
      <c r="N111" s="481"/>
      <c r="O111" s="474">
        <f t="shared" si="41"/>
        <v>0</v>
      </c>
      <c r="P111" s="474">
        <f t="shared" si="42"/>
        <v>0</v>
      </c>
      <c r="Q111" s="474">
        <f t="shared" si="43"/>
        <v>0</v>
      </c>
      <c r="R111" s="449">
        <f>Forecast!J106</f>
        <v>0</v>
      </c>
      <c r="S111" s="449">
        <f>Forecast!N106</f>
        <v>0</v>
      </c>
      <c r="T111" s="475">
        <f t="shared" si="44"/>
        <v>0</v>
      </c>
      <c r="U111" s="475">
        <f t="shared" si="45"/>
        <v>0</v>
      </c>
      <c r="V111" s="349">
        <f t="shared" si="46"/>
        <v>0</v>
      </c>
      <c r="W111" s="350">
        <f t="shared" si="47"/>
        <v>0</v>
      </c>
      <c r="X111" s="469">
        <f>'Channel &amp; Campaign Metrics'!AR110</f>
        <v>0</v>
      </c>
      <c r="Y111" s="469">
        <f>'Channel &amp; Campaign Metrics'!BS110</f>
        <v>0</v>
      </c>
      <c r="Z111" s="446"/>
      <c r="AA111" s="112"/>
      <c r="AB111" s="358">
        <f>'Glass Metrics'!AC111</f>
        <v>0</v>
      </c>
      <c r="AC111" s="475">
        <f>'Glass Metrics'!I111</f>
        <v>0</v>
      </c>
      <c r="AD111" s="469">
        <f>'Glass Metrics'!N111</f>
        <v>0</v>
      </c>
      <c r="AE111" s="475">
        <f>'Glass Metrics'!S111</f>
        <v>0</v>
      </c>
      <c r="AF111" s="359" t="str">
        <f t="shared" si="48"/>
        <v/>
      </c>
      <c r="AG111" s="477" t="str">
        <f t="shared" si="49"/>
        <v/>
      </c>
      <c r="AH111" s="472" t="str">
        <f t="shared" si="50"/>
        <v/>
      </c>
      <c r="AI111" s="360" t="str">
        <f t="shared" si="51"/>
        <v/>
      </c>
      <c r="AJ111" s="361" t="str">
        <f t="shared" si="24"/>
        <v/>
      </c>
      <c r="AK111" s="482"/>
      <c r="AL111" s="482"/>
      <c r="AM111" s="481"/>
      <c r="AN111" s="481"/>
      <c r="AO111" s="187" t="str">
        <f t="shared" ref="AO111:AO174" si="57">AJ111</f>
        <v/>
      </c>
      <c r="AP111" s="361"/>
      <c r="AQ111" s="482"/>
      <c r="AR111" s="482"/>
      <c r="AS111" s="187">
        <f t="shared" si="56"/>
        <v>-0.1</v>
      </c>
      <c r="AT111" s="120"/>
      <c r="AU111" s="499"/>
      <c r="AV111" s="500">
        <f t="shared" si="52"/>
        <v>0</v>
      </c>
      <c r="AW111" s="500">
        <f t="shared" ref="AW111:AW174" si="58">BD111-AT111</f>
        <v>0</v>
      </c>
      <c r="AX111" s="500">
        <f t="shared" ref="AX111:AX174" si="59">BE111-AU111</f>
        <v>0</v>
      </c>
      <c r="AY111" s="384">
        <f t="shared" ref="AY111:AY174" si="60">SUM(AW111,AX111)</f>
        <v>0</v>
      </c>
      <c r="AZ111" s="382">
        <f t="shared" si="27"/>
        <v>0</v>
      </c>
      <c r="BA111" s="495">
        <f t="shared" si="28"/>
        <v>0</v>
      </c>
      <c r="BB111" s="481"/>
      <c r="BC111" s="481"/>
      <c r="BD111" s="481"/>
      <c r="BE111" s="481"/>
      <c r="BF111" s="453" t="str">
        <f t="shared" si="29"/>
        <v>-</v>
      </c>
      <c r="BG111" s="453" t="str">
        <f t="shared" si="30"/>
        <v>-</v>
      </c>
      <c r="BH111" s="453" t="str">
        <f t="shared" si="31"/>
        <v>-</v>
      </c>
      <c r="BI111" s="453" t="str">
        <f t="shared" si="32"/>
        <v>-</v>
      </c>
      <c r="BJ111" s="453" t="str">
        <f t="shared" si="33"/>
        <v>-</v>
      </c>
      <c r="BK111" s="390" t="str">
        <f t="shared" si="34"/>
        <v>-</v>
      </c>
      <c r="BL111" s="125"/>
      <c r="BM111" s="92"/>
      <c r="BN111" s="386">
        <f t="shared" si="53"/>
        <v>0</v>
      </c>
    </row>
    <row r="112" spans="1:66" s="89" customFormat="1" ht="16.350000000000001" customHeight="1">
      <c r="A112" s="175">
        <f t="shared" si="35"/>
        <v>2023</v>
      </c>
      <c r="B112" s="454" t="str">
        <f t="shared" si="36"/>
        <v>02</v>
      </c>
      <c r="C112" s="454" t="str">
        <f t="array" ref="C112">_xlfn.IFS(_xlfn.NUMBERVALUE(B112)&lt;=13,"Q1",AND(_xlfn.NUMBERVALUE(B112)&gt;13,_xlfn.NUMBERVALUE(B112)&lt;=26),"Q2", AND(_xlfn.NUMBERVALUE(B112)&gt;26,_xlfn.NUMBERVALUE(B112)&lt;=39),"Q3",_xlfn.NUMBERVALUE(B112)&gt;39,"Q4")</f>
        <v>Q1</v>
      </c>
      <c r="D112" s="448">
        <f t="shared" si="54"/>
        <v>44597</v>
      </c>
      <c r="E112" s="448">
        <f t="shared" si="37"/>
        <v>44603</v>
      </c>
      <c r="F112" s="79">
        <v>202202</v>
      </c>
      <c r="G112" s="342">
        <f t="shared" si="38"/>
        <v>0</v>
      </c>
      <c r="H112" s="471"/>
      <c r="I112" s="471"/>
      <c r="J112" s="474">
        <f t="shared" si="39"/>
        <v>0</v>
      </c>
      <c r="K112" s="474">
        <f t="shared" si="40"/>
        <v>0</v>
      </c>
      <c r="L112" s="492"/>
      <c r="M112" s="481"/>
      <c r="N112" s="481"/>
      <c r="O112" s="474">
        <f t="shared" si="41"/>
        <v>0</v>
      </c>
      <c r="P112" s="474">
        <f t="shared" si="42"/>
        <v>0</v>
      </c>
      <c r="Q112" s="474">
        <f t="shared" si="43"/>
        <v>0</v>
      </c>
      <c r="R112" s="449">
        <f>Forecast!J107</f>
        <v>0</v>
      </c>
      <c r="S112" s="449">
        <f>Forecast!N107</f>
        <v>0</v>
      </c>
      <c r="T112" s="475">
        <f t="shared" si="44"/>
        <v>0</v>
      </c>
      <c r="U112" s="475">
        <f t="shared" si="45"/>
        <v>0</v>
      </c>
      <c r="V112" s="349">
        <f t="shared" si="46"/>
        <v>0</v>
      </c>
      <c r="W112" s="350">
        <f t="shared" si="47"/>
        <v>0</v>
      </c>
      <c r="X112" s="469">
        <f>'Channel &amp; Campaign Metrics'!AR111</f>
        <v>0</v>
      </c>
      <c r="Y112" s="469">
        <f>'Channel &amp; Campaign Metrics'!BS111</f>
        <v>0</v>
      </c>
      <c r="Z112" s="446"/>
      <c r="AA112" s="112"/>
      <c r="AB112" s="358">
        <f>'Glass Metrics'!AC112</f>
        <v>0</v>
      </c>
      <c r="AC112" s="475">
        <f>'Glass Metrics'!I112</f>
        <v>0</v>
      </c>
      <c r="AD112" s="469">
        <f>'Glass Metrics'!N112</f>
        <v>0</v>
      </c>
      <c r="AE112" s="475">
        <f>'Glass Metrics'!S112</f>
        <v>0</v>
      </c>
      <c r="AF112" s="359" t="str">
        <f t="shared" si="48"/>
        <v/>
      </c>
      <c r="AG112" s="477" t="str">
        <f t="shared" si="49"/>
        <v/>
      </c>
      <c r="AH112" s="472" t="str">
        <f t="shared" si="50"/>
        <v/>
      </c>
      <c r="AI112" s="360" t="str">
        <f t="shared" si="51"/>
        <v/>
      </c>
      <c r="AJ112" s="361" t="str">
        <f t="shared" si="24"/>
        <v/>
      </c>
      <c r="AK112" s="482"/>
      <c r="AL112" s="482"/>
      <c r="AM112" s="481"/>
      <c r="AN112" s="481"/>
      <c r="AO112" s="374" t="str">
        <f t="shared" si="57"/>
        <v/>
      </c>
      <c r="AP112" s="361"/>
      <c r="AQ112" s="482"/>
      <c r="AR112" s="482"/>
      <c r="AS112" s="187">
        <f t="shared" si="56"/>
        <v>-0.1</v>
      </c>
      <c r="AT112" s="120"/>
      <c r="AU112" s="499"/>
      <c r="AV112" s="500">
        <f t="shared" si="52"/>
        <v>0</v>
      </c>
      <c r="AW112" s="501">
        <f t="shared" si="58"/>
        <v>0</v>
      </c>
      <c r="AX112" s="501">
        <f t="shared" si="59"/>
        <v>0</v>
      </c>
      <c r="AY112" s="385">
        <f t="shared" si="60"/>
        <v>0</v>
      </c>
      <c r="AZ112" s="382">
        <f t="shared" si="27"/>
        <v>0</v>
      </c>
      <c r="BA112" s="495">
        <f t="shared" si="28"/>
        <v>0</v>
      </c>
      <c r="BB112" s="481"/>
      <c r="BC112" s="481"/>
      <c r="BD112" s="481"/>
      <c r="BE112" s="481"/>
      <c r="BF112" s="453" t="str">
        <f t="shared" si="29"/>
        <v>-</v>
      </c>
      <c r="BG112" s="453" t="str">
        <f t="shared" si="30"/>
        <v>-</v>
      </c>
      <c r="BH112" s="453" t="str">
        <f t="shared" si="31"/>
        <v>-</v>
      </c>
      <c r="BI112" s="453" t="str">
        <f t="shared" si="32"/>
        <v>-</v>
      </c>
      <c r="BJ112" s="453" t="str">
        <f t="shared" si="33"/>
        <v>-</v>
      </c>
      <c r="BK112" s="390" t="str">
        <f t="shared" si="34"/>
        <v>-</v>
      </c>
      <c r="BL112" s="125"/>
      <c r="BM112" s="92"/>
      <c r="BN112" s="386">
        <f t="shared" si="53"/>
        <v>0</v>
      </c>
    </row>
    <row r="113" spans="1:66" s="89" customFormat="1" ht="16.350000000000001" customHeight="1">
      <c r="A113" s="175">
        <f t="shared" si="35"/>
        <v>2023</v>
      </c>
      <c r="B113" s="454" t="str">
        <f t="shared" si="36"/>
        <v>03</v>
      </c>
      <c r="C113" s="454" t="str">
        <f t="array" ref="C113">_xlfn.IFS(_xlfn.NUMBERVALUE(B113)&lt;=13,"Q1",AND(_xlfn.NUMBERVALUE(B113)&gt;13,_xlfn.NUMBERVALUE(B113)&lt;=26),"Q2", AND(_xlfn.NUMBERVALUE(B113)&gt;26,_xlfn.NUMBERVALUE(B113)&lt;=39),"Q3",_xlfn.NUMBERVALUE(B113)&gt;39,"Q4")</f>
        <v>Q1</v>
      </c>
      <c r="D113" s="448">
        <f t="shared" si="54"/>
        <v>44604</v>
      </c>
      <c r="E113" s="448">
        <f t="shared" si="37"/>
        <v>44610</v>
      </c>
      <c r="F113" s="79">
        <v>202203</v>
      </c>
      <c r="G113" s="342">
        <f t="shared" si="38"/>
        <v>0</v>
      </c>
      <c r="H113" s="471"/>
      <c r="I113" s="471"/>
      <c r="J113" s="474">
        <f t="shared" si="39"/>
        <v>0</v>
      </c>
      <c r="K113" s="474">
        <f t="shared" si="40"/>
        <v>0</v>
      </c>
      <c r="L113" s="492"/>
      <c r="M113" s="481"/>
      <c r="N113" s="481"/>
      <c r="O113" s="474">
        <f t="shared" si="41"/>
        <v>0</v>
      </c>
      <c r="P113" s="474">
        <f t="shared" si="42"/>
        <v>0</v>
      </c>
      <c r="Q113" s="474">
        <f t="shared" si="43"/>
        <v>0</v>
      </c>
      <c r="R113" s="449">
        <f>Forecast!J108</f>
        <v>0</v>
      </c>
      <c r="S113" s="449">
        <f>Forecast!N108</f>
        <v>0</v>
      </c>
      <c r="T113" s="475">
        <f t="shared" si="44"/>
        <v>0</v>
      </c>
      <c r="U113" s="475">
        <f t="shared" si="45"/>
        <v>0</v>
      </c>
      <c r="V113" s="349">
        <f t="shared" si="46"/>
        <v>0</v>
      </c>
      <c r="W113" s="350">
        <f t="shared" si="47"/>
        <v>0</v>
      </c>
      <c r="X113" s="469">
        <f>'Channel &amp; Campaign Metrics'!AR112</f>
        <v>0</v>
      </c>
      <c r="Y113" s="469">
        <f>'Channel &amp; Campaign Metrics'!BS112</f>
        <v>0</v>
      </c>
      <c r="Z113" s="446"/>
      <c r="AA113" s="112"/>
      <c r="AB113" s="358">
        <f>'Glass Metrics'!AC113</f>
        <v>0</v>
      </c>
      <c r="AC113" s="475">
        <f>'Glass Metrics'!I113</f>
        <v>0</v>
      </c>
      <c r="AD113" s="469">
        <f>'Glass Metrics'!N113</f>
        <v>0</v>
      </c>
      <c r="AE113" s="475">
        <f>'Glass Metrics'!S113</f>
        <v>0</v>
      </c>
      <c r="AF113" s="359" t="str">
        <f t="shared" si="48"/>
        <v/>
      </c>
      <c r="AG113" s="477" t="str">
        <f t="shared" si="49"/>
        <v/>
      </c>
      <c r="AH113" s="472" t="str">
        <f t="shared" si="50"/>
        <v/>
      </c>
      <c r="AI113" s="360" t="str">
        <f t="shared" si="51"/>
        <v/>
      </c>
      <c r="AJ113" s="361" t="str">
        <f t="shared" si="24"/>
        <v/>
      </c>
      <c r="AK113" s="482"/>
      <c r="AL113" s="482"/>
      <c r="AM113" s="481"/>
      <c r="AN113" s="481"/>
      <c r="AO113" s="374" t="str">
        <f t="shared" si="57"/>
        <v/>
      </c>
      <c r="AP113" s="361"/>
      <c r="AQ113" s="482"/>
      <c r="AR113" s="482"/>
      <c r="AS113" s="187">
        <f t="shared" si="56"/>
        <v>-0.1</v>
      </c>
      <c r="AT113" s="120"/>
      <c r="AU113" s="499"/>
      <c r="AV113" s="500">
        <f t="shared" si="52"/>
        <v>0</v>
      </c>
      <c r="AW113" s="501">
        <f t="shared" si="58"/>
        <v>0</v>
      </c>
      <c r="AX113" s="501">
        <f t="shared" si="59"/>
        <v>0</v>
      </c>
      <c r="AY113" s="385">
        <f t="shared" si="60"/>
        <v>0</v>
      </c>
      <c r="AZ113" s="382">
        <f t="shared" si="27"/>
        <v>0</v>
      </c>
      <c r="BA113" s="495">
        <f t="shared" si="28"/>
        <v>0</v>
      </c>
      <c r="BB113" s="481"/>
      <c r="BC113" s="481"/>
      <c r="BD113" s="481"/>
      <c r="BE113" s="481"/>
      <c r="BF113" s="453" t="str">
        <f t="shared" si="29"/>
        <v>-</v>
      </c>
      <c r="BG113" s="453" t="str">
        <f t="shared" si="30"/>
        <v>-</v>
      </c>
      <c r="BH113" s="453" t="str">
        <f t="shared" si="31"/>
        <v>-</v>
      </c>
      <c r="BI113" s="453" t="str">
        <f t="shared" si="32"/>
        <v>-</v>
      </c>
      <c r="BJ113" s="453" t="str">
        <f t="shared" si="33"/>
        <v>-</v>
      </c>
      <c r="BK113" s="390" t="str">
        <f t="shared" si="34"/>
        <v>-</v>
      </c>
      <c r="BL113" s="125"/>
      <c r="BM113" s="92"/>
      <c r="BN113" s="386">
        <f t="shared" si="53"/>
        <v>0</v>
      </c>
    </row>
    <row r="114" spans="1:66" s="89" customFormat="1" ht="16.350000000000001" customHeight="1">
      <c r="A114" s="175">
        <f t="shared" si="35"/>
        <v>2023</v>
      </c>
      <c r="B114" s="454" t="str">
        <f t="shared" si="36"/>
        <v>04</v>
      </c>
      <c r="C114" s="454" t="str">
        <f t="array" ref="C114">_xlfn.IFS(_xlfn.NUMBERVALUE(B114)&lt;=13,"Q1",AND(_xlfn.NUMBERVALUE(B114)&gt;13,_xlfn.NUMBERVALUE(B114)&lt;=26),"Q2", AND(_xlfn.NUMBERVALUE(B114)&gt;26,_xlfn.NUMBERVALUE(B114)&lt;=39),"Q3",_xlfn.NUMBERVALUE(B114)&gt;39,"Q4")</f>
        <v>Q1</v>
      </c>
      <c r="D114" s="448">
        <f t="shared" si="54"/>
        <v>44611</v>
      </c>
      <c r="E114" s="448">
        <f t="shared" si="37"/>
        <v>44617</v>
      </c>
      <c r="F114" s="79">
        <v>202204</v>
      </c>
      <c r="G114" s="342">
        <f t="shared" si="38"/>
        <v>0</v>
      </c>
      <c r="H114" s="471"/>
      <c r="I114" s="471"/>
      <c r="J114" s="474">
        <f t="shared" si="39"/>
        <v>0</v>
      </c>
      <c r="K114" s="474">
        <f t="shared" si="40"/>
        <v>0</v>
      </c>
      <c r="L114" s="492"/>
      <c r="M114" s="481"/>
      <c r="N114" s="481"/>
      <c r="O114" s="474">
        <f t="shared" si="41"/>
        <v>0</v>
      </c>
      <c r="P114" s="474">
        <f t="shared" si="42"/>
        <v>0</v>
      </c>
      <c r="Q114" s="474">
        <f t="shared" si="43"/>
        <v>0</v>
      </c>
      <c r="R114" s="449">
        <f>Forecast!J109</f>
        <v>0</v>
      </c>
      <c r="S114" s="449">
        <f>Forecast!N109</f>
        <v>0</v>
      </c>
      <c r="T114" s="475">
        <f t="shared" si="44"/>
        <v>0</v>
      </c>
      <c r="U114" s="475">
        <f t="shared" si="45"/>
        <v>0</v>
      </c>
      <c r="V114" s="349">
        <f t="shared" si="46"/>
        <v>0</v>
      </c>
      <c r="W114" s="350">
        <f t="shared" si="47"/>
        <v>0</v>
      </c>
      <c r="X114" s="469">
        <f>'Channel &amp; Campaign Metrics'!AR113</f>
        <v>0</v>
      </c>
      <c r="Y114" s="469">
        <f>'Channel &amp; Campaign Metrics'!BS113</f>
        <v>0</v>
      </c>
      <c r="Z114" s="446"/>
      <c r="AA114" s="112"/>
      <c r="AB114" s="358">
        <f>'Glass Metrics'!AC114</f>
        <v>0</v>
      </c>
      <c r="AC114" s="475">
        <f>'Glass Metrics'!I114</f>
        <v>0</v>
      </c>
      <c r="AD114" s="469">
        <f>'Glass Metrics'!N114</f>
        <v>0</v>
      </c>
      <c r="AE114" s="475">
        <f>'Glass Metrics'!S114</f>
        <v>0</v>
      </c>
      <c r="AF114" s="359" t="str">
        <f t="shared" si="48"/>
        <v/>
      </c>
      <c r="AG114" s="477" t="str">
        <f t="shared" si="49"/>
        <v/>
      </c>
      <c r="AH114" s="472" t="str">
        <f t="shared" si="50"/>
        <v/>
      </c>
      <c r="AI114" s="360" t="str">
        <f t="shared" si="51"/>
        <v/>
      </c>
      <c r="AJ114" s="361" t="str">
        <f t="shared" si="24"/>
        <v/>
      </c>
      <c r="AK114" s="482"/>
      <c r="AL114" s="482"/>
      <c r="AM114" s="481"/>
      <c r="AN114" s="481"/>
      <c r="AO114" s="374" t="str">
        <f t="shared" si="57"/>
        <v/>
      </c>
      <c r="AP114" s="361"/>
      <c r="AQ114" s="482"/>
      <c r="AR114" s="482"/>
      <c r="AS114" s="187">
        <f t="shared" si="56"/>
        <v>-0.1</v>
      </c>
      <c r="AT114" s="120"/>
      <c r="AU114" s="499"/>
      <c r="AV114" s="500">
        <f t="shared" si="52"/>
        <v>0</v>
      </c>
      <c r="AW114" s="501">
        <f t="shared" si="58"/>
        <v>0</v>
      </c>
      <c r="AX114" s="501">
        <f t="shared" si="59"/>
        <v>0</v>
      </c>
      <c r="AY114" s="385">
        <f t="shared" si="60"/>
        <v>0</v>
      </c>
      <c r="AZ114" s="382">
        <f t="shared" si="27"/>
        <v>0</v>
      </c>
      <c r="BA114" s="495">
        <f t="shared" si="28"/>
        <v>0</v>
      </c>
      <c r="BB114" s="481"/>
      <c r="BC114" s="481"/>
      <c r="BD114" s="481"/>
      <c r="BE114" s="481"/>
      <c r="BF114" s="453" t="str">
        <f t="shared" si="29"/>
        <v>-</v>
      </c>
      <c r="BG114" s="453" t="str">
        <f t="shared" si="30"/>
        <v>-</v>
      </c>
      <c r="BH114" s="453" t="str">
        <f t="shared" si="31"/>
        <v>-</v>
      </c>
      <c r="BI114" s="453" t="str">
        <f t="shared" si="32"/>
        <v>-</v>
      </c>
      <c r="BJ114" s="453" t="str">
        <f t="shared" si="33"/>
        <v>-</v>
      </c>
      <c r="BK114" s="390" t="str">
        <f t="shared" si="34"/>
        <v>-</v>
      </c>
      <c r="BL114" s="125"/>
      <c r="BM114" s="92"/>
      <c r="BN114" s="386">
        <f t="shared" si="53"/>
        <v>0</v>
      </c>
    </row>
    <row r="115" spans="1:66" s="89" customFormat="1" ht="16.350000000000001" customHeight="1">
      <c r="A115" s="175">
        <f t="shared" si="35"/>
        <v>2023</v>
      </c>
      <c r="B115" s="454" t="str">
        <f t="shared" si="36"/>
        <v>05</v>
      </c>
      <c r="C115" s="454" t="str">
        <f t="array" ref="C115">_xlfn.IFS(_xlfn.NUMBERVALUE(B115)&lt;=13,"Q1",AND(_xlfn.NUMBERVALUE(B115)&gt;13,_xlfn.NUMBERVALUE(B115)&lt;=26),"Q2", AND(_xlfn.NUMBERVALUE(B115)&gt;26,_xlfn.NUMBERVALUE(B115)&lt;=39),"Q3",_xlfn.NUMBERVALUE(B115)&gt;39,"Q4")</f>
        <v>Q1</v>
      </c>
      <c r="D115" s="448">
        <f t="shared" si="54"/>
        <v>44618</v>
      </c>
      <c r="E115" s="448">
        <f t="shared" si="37"/>
        <v>44624</v>
      </c>
      <c r="F115" s="79">
        <v>202205</v>
      </c>
      <c r="G115" s="342">
        <f t="shared" si="38"/>
        <v>0</v>
      </c>
      <c r="H115" s="471"/>
      <c r="I115" s="471"/>
      <c r="J115" s="474">
        <f t="shared" si="39"/>
        <v>0</v>
      </c>
      <c r="K115" s="474">
        <f t="shared" si="40"/>
        <v>0</v>
      </c>
      <c r="L115" s="492"/>
      <c r="M115" s="481"/>
      <c r="N115" s="481"/>
      <c r="O115" s="474">
        <f t="shared" si="41"/>
        <v>0</v>
      </c>
      <c r="P115" s="474">
        <f t="shared" si="42"/>
        <v>0</v>
      </c>
      <c r="Q115" s="474">
        <f t="shared" si="43"/>
        <v>0</v>
      </c>
      <c r="R115" s="449">
        <f>Forecast!J110</f>
        <v>0</v>
      </c>
      <c r="S115" s="449">
        <f>Forecast!N110</f>
        <v>0</v>
      </c>
      <c r="T115" s="475">
        <f t="shared" si="44"/>
        <v>0</v>
      </c>
      <c r="U115" s="475">
        <f t="shared" si="45"/>
        <v>0</v>
      </c>
      <c r="V115" s="349">
        <f t="shared" si="46"/>
        <v>0</v>
      </c>
      <c r="W115" s="350">
        <f t="shared" si="47"/>
        <v>0</v>
      </c>
      <c r="X115" s="469">
        <f>'Channel &amp; Campaign Metrics'!AR114</f>
        <v>0</v>
      </c>
      <c r="Y115" s="469">
        <f>'Channel &amp; Campaign Metrics'!BS114</f>
        <v>0</v>
      </c>
      <c r="Z115" s="446"/>
      <c r="AA115" s="112"/>
      <c r="AB115" s="358">
        <f>'Glass Metrics'!AC115</f>
        <v>0</v>
      </c>
      <c r="AC115" s="475">
        <f>'Glass Metrics'!I115</f>
        <v>0</v>
      </c>
      <c r="AD115" s="469">
        <f>'Glass Metrics'!N115</f>
        <v>0</v>
      </c>
      <c r="AE115" s="475">
        <f>'Glass Metrics'!S115</f>
        <v>0</v>
      </c>
      <c r="AF115" s="359" t="str">
        <f t="shared" si="48"/>
        <v/>
      </c>
      <c r="AG115" s="477" t="str">
        <f t="shared" si="49"/>
        <v/>
      </c>
      <c r="AH115" s="472" t="str">
        <f t="shared" si="50"/>
        <v/>
      </c>
      <c r="AI115" s="360" t="str">
        <f t="shared" si="51"/>
        <v/>
      </c>
      <c r="AJ115" s="361" t="str">
        <f t="shared" si="24"/>
        <v/>
      </c>
      <c r="AK115" s="482"/>
      <c r="AL115" s="482"/>
      <c r="AM115" s="481"/>
      <c r="AN115" s="481"/>
      <c r="AO115" s="374" t="str">
        <f t="shared" si="57"/>
        <v/>
      </c>
      <c r="AP115" s="361"/>
      <c r="AQ115" s="482"/>
      <c r="AR115" s="482"/>
      <c r="AS115" s="187">
        <f t="shared" si="56"/>
        <v>-0.1</v>
      </c>
      <c r="AT115" s="120"/>
      <c r="AU115" s="499"/>
      <c r="AV115" s="500">
        <f t="shared" si="52"/>
        <v>0</v>
      </c>
      <c r="AW115" s="501">
        <f t="shared" si="58"/>
        <v>0</v>
      </c>
      <c r="AX115" s="501">
        <f t="shared" si="59"/>
        <v>0</v>
      </c>
      <c r="AY115" s="385">
        <f t="shared" si="60"/>
        <v>0</v>
      </c>
      <c r="AZ115" s="382">
        <f t="shared" si="27"/>
        <v>0</v>
      </c>
      <c r="BA115" s="495">
        <f t="shared" si="28"/>
        <v>0</v>
      </c>
      <c r="BB115" s="481"/>
      <c r="BC115" s="481"/>
      <c r="BD115" s="481"/>
      <c r="BE115" s="481"/>
      <c r="BF115" s="453" t="str">
        <f t="shared" si="29"/>
        <v>-</v>
      </c>
      <c r="BG115" s="453" t="str">
        <f t="shared" si="30"/>
        <v>-</v>
      </c>
      <c r="BH115" s="453" t="str">
        <f t="shared" si="31"/>
        <v>-</v>
      </c>
      <c r="BI115" s="453" t="str">
        <f t="shared" si="32"/>
        <v>-</v>
      </c>
      <c r="BJ115" s="453" t="str">
        <f t="shared" si="33"/>
        <v>-</v>
      </c>
      <c r="BK115" s="390" t="str">
        <f t="shared" si="34"/>
        <v>-</v>
      </c>
      <c r="BL115" s="125"/>
      <c r="BM115" s="92"/>
      <c r="BN115" s="386">
        <f t="shared" si="53"/>
        <v>0</v>
      </c>
    </row>
    <row r="116" spans="1:66" s="89" customFormat="1" ht="16.350000000000001" customHeight="1">
      <c r="A116" s="175">
        <f t="shared" si="35"/>
        <v>2023</v>
      </c>
      <c r="B116" s="454" t="str">
        <f t="shared" si="36"/>
        <v>06</v>
      </c>
      <c r="C116" s="454" t="str">
        <f t="array" ref="C116">_xlfn.IFS(_xlfn.NUMBERVALUE(B116)&lt;=13,"Q1",AND(_xlfn.NUMBERVALUE(B116)&gt;13,_xlfn.NUMBERVALUE(B116)&lt;=26),"Q2", AND(_xlfn.NUMBERVALUE(B116)&gt;26,_xlfn.NUMBERVALUE(B116)&lt;=39),"Q3",_xlfn.NUMBERVALUE(B116)&gt;39,"Q4")</f>
        <v>Q1</v>
      </c>
      <c r="D116" s="448">
        <f t="shared" si="54"/>
        <v>44625</v>
      </c>
      <c r="E116" s="448">
        <f t="shared" si="37"/>
        <v>44631</v>
      </c>
      <c r="F116" s="79">
        <v>202206</v>
      </c>
      <c r="G116" s="342">
        <f t="shared" si="38"/>
        <v>0</v>
      </c>
      <c r="H116" s="471"/>
      <c r="I116" s="471"/>
      <c r="J116" s="474">
        <f t="shared" si="39"/>
        <v>0</v>
      </c>
      <c r="K116" s="474">
        <f t="shared" si="40"/>
        <v>0</v>
      </c>
      <c r="L116" s="492"/>
      <c r="M116" s="481"/>
      <c r="N116" s="481"/>
      <c r="O116" s="474">
        <f t="shared" si="41"/>
        <v>0</v>
      </c>
      <c r="P116" s="474">
        <f t="shared" si="42"/>
        <v>0</v>
      </c>
      <c r="Q116" s="474">
        <f t="shared" si="43"/>
        <v>0</v>
      </c>
      <c r="R116" s="449">
        <f>Forecast!J111</f>
        <v>0</v>
      </c>
      <c r="S116" s="449">
        <f>Forecast!N111</f>
        <v>0</v>
      </c>
      <c r="T116" s="475">
        <f t="shared" si="44"/>
        <v>0</v>
      </c>
      <c r="U116" s="475">
        <f t="shared" si="45"/>
        <v>0</v>
      </c>
      <c r="V116" s="349">
        <f t="shared" si="46"/>
        <v>0</v>
      </c>
      <c r="W116" s="350">
        <f t="shared" si="47"/>
        <v>0</v>
      </c>
      <c r="X116" s="469">
        <f>'Channel &amp; Campaign Metrics'!AR115</f>
        <v>0</v>
      </c>
      <c r="Y116" s="469">
        <f>'Channel &amp; Campaign Metrics'!BS115</f>
        <v>0</v>
      </c>
      <c r="Z116" s="446"/>
      <c r="AA116" s="112"/>
      <c r="AB116" s="358">
        <f>'Glass Metrics'!AC116</f>
        <v>0</v>
      </c>
      <c r="AC116" s="475">
        <f>'Glass Metrics'!I116</f>
        <v>0</v>
      </c>
      <c r="AD116" s="469">
        <f>'Glass Metrics'!N116</f>
        <v>0</v>
      </c>
      <c r="AE116" s="475">
        <f>'Glass Metrics'!S116</f>
        <v>0</v>
      </c>
      <c r="AF116" s="359" t="str">
        <f t="shared" si="48"/>
        <v/>
      </c>
      <c r="AG116" s="477" t="str">
        <f t="shared" si="49"/>
        <v/>
      </c>
      <c r="AH116" s="472" t="str">
        <f t="shared" si="50"/>
        <v/>
      </c>
      <c r="AI116" s="360" t="str">
        <f t="shared" si="51"/>
        <v/>
      </c>
      <c r="AJ116" s="361" t="str">
        <f t="shared" si="24"/>
        <v/>
      </c>
      <c r="AK116" s="482"/>
      <c r="AL116" s="482"/>
      <c r="AM116" s="481"/>
      <c r="AN116" s="481"/>
      <c r="AO116" s="374" t="str">
        <f t="shared" si="57"/>
        <v/>
      </c>
      <c r="AP116" s="361"/>
      <c r="AQ116" s="482"/>
      <c r="AR116" s="482"/>
      <c r="AS116" s="187">
        <f t="shared" si="56"/>
        <v>-0.1</v>
      </c>
      <c r="AT116" s="120"/>
      <c r="AU116" s="499"/>
      <c r="AV116" s="500">
        <f t="shared" si="52"/>
        <v>0</v>
      </c>
      <c r="AW116" s="501">
        <f t="shared" si="58"/>
        <v>0</v>
      </c>
      <c r="AX116" s="501">
        <f t="shared" si="59"/>
        <v>0</v>
      </c>
      <c r="AY116" s="385">
        <f t="shared" si="60"/>
        <v>0</v>
      </c>
      <c r="AZ116" s="382">
        <f t="shared" si="27"/>
        <v>0</v>
      </c>
      <c r="BA116" s="495">
        <f t="shared" si="28"/>
        <v>0</v>
      </c>
      <c r="BB116" s="481"/>
      <c r="BC116" s="481"/>
      <c r="BD116" s="481"/>
      <c r="BE116" s="481"/>
      <c r="BF116" s="453" t="str">
        <f t="shared" si="29"/>
        <v>-</v>
      </c>
      <c r="BG116" s="453" t="str">
        <f t="shared" si="30"/>
        <v>-</v>
      </c>
      <c r="BH116" s="453" t="str">
        <f t="shared" si="31"/>
        <v>-</v>
      </c>
      <c r="BI116" s="453" t="str">
        <f t="shared" si="32"/>
        <v>-</v>
      </c>
      <c r="BJ116" s="453" t="str">
        <f t="shared" si="33"/>
        <v>-</v>
      </c>
      <c r="BK116" s="390" t="str">
        <f t="shared" si="34"/>
        <v>-</v>
      </c>
      <c r="BL116" s="125"/>
      <c r="BM116" s="92"/>
      <c r="BN116" s="386">
        <f t="shared" si="53"/>
        <v>0</v>
      </c>
    </row>
    <row r="117" spans="1:66" s="89" customFormat="1" ht="16.350000000000001" customHeight="1">
      <c r="A117" s="175">
        <f t="shared" si="35"/>
        <v>2023</v>
      </c>
      <c r="B117" s="454" t="str">
        <f t="shared" si="36"/>
        <v>07</v>
      </c>
      <c r="C117" s="454" t="str">
        <f t="array" ref="C117">_xlfn.IFS(_xlfn.NUMBERVALUE(B117)&lt;=13,"Q1",AND(_xlfn.NUMBERVALUE(B117)&gt;13,_xlfn.NUMBERVALUE(B117)&lt;=26),"Q2", AND(_xlfn.NUMBERVALUE(B117)&gt;26,_xlfn.NUMBERVALUE(B117)&lt;=39),"Q3",_xlfn.NUMBERVALUE(B117)&gt;39,"Q4")</f>
        <v>Q1</v>
      </c>
      <c r="D117" s="448">
        <f t="shared" si="54"/>
        <v>44632</v>
      </c>
      <c r="E117" s="448">
        <f t="shared" si="37"/>
        <v>44638</v>
      </c>
      <c r="F117" s="79">
        <v>202207</v>
      </c>
      <c r="G117" s="342">
        <f t="shared" si="38"/>
        <v>0</v>
      </c>
      <c r="H117" s="471"/>
      <c r="I117" s="471"/>
      <c r="J117" s="474">
        <f t="shared" si="39"/>
        <v>0</v>
      </c>
      <c r="K117" s="474">
        <f t="shared" si="40"/>
        <v>0</v>
      </c>
      <c r="L117" s="492"/>
      <c r="M117" s="481"/>
      <c r="N117" s="481"/>
      <c r="O117" s="474">
        <f t="shared" si="41"/>
        <v>0</v>
      </c>
      <c r="P117" s="474">
        <f t="shared" si="42"/>
        <v>0</v>
      </c>
      <c r="Q117" s="474">
        <f t="shared" si="43"/>
        <v>0</v>
      </c>
      <c r="R117" s="449">
        <f>Forecast!J112</f>
        <v>0</v>
      </c>
      <c r="S117" s="449">
        <f>Forecast!N112</f>
        <v>0</v>
      </c>
      <c r="T117" s="475">
        <f t="shared" si="44"/>
        <v>0</v>
      </c>
      <c r="U117" s="475">
        <f t="shared" si="45"/>
        <v>0</v>
      </c>
      <c r="V117" s="349">
        <f t="shared" si="46"/>
        <v>0</v>
      </c>
      <c r="W117" s="350">
        <f t="shared" si="47"/>
        <v>0</v>
      </c>
      <c r="X117" s="469">
        <f>'Channel &amp; Campaign Metrics'!AR116</f>
        <v>0</v>
      </c>
      <c r="Y117" s="469">
        <f>'Channel &amp; Campaign Metrics'!BS116</f>
        <v>0</v>
      </c>
      <c r="Z117" s="446"/>
      <c r="AA117" s="112"/>
      <c r="AB117" s="358">
        <f>'Glass Metrics'!AC117</f>
        <v>0</v>
      </c>
      <c r="AC117" s="475">
        <f>'Glass Metrics'!I117</f>
        <v>0</v>
      </c>
      <c r="AD117" s="469">
        <f>'Glass Metrics'!N117</f>
        <v>0</v>
      </c>
      <c r="AE117" s="475">
        <f>'Glass Metrics'!S117</f>
        <v>0</v>
      </c>
      <c r="AF117" s="359" t="str">
        <f t="shared" si="48"/>
        <v/>
      </c>
      <c r="AG117" s="477" t="str">
        <f t="shared" si="49"/>
        <v/>
      </c>
      <c r="AH117" s="472" t="str">
        <f t="shared" si="50"/>
        <v/>
      </c>
      <c r="AI117" s="360" t="str">
        <f t="shared" si="51"/>
        <v/>
      </c>
      <c r="AJ117" s="361" t="str">
        <f t="shared" si="24"/>
        <v/>
      </c>
      <c r="AK117" s="482"/>
      <c r="AL117" s="482"/>
      <c r="AM117" s="481"/>
      <c r="AN117" s="481"/>
      <c r="AO117" s="374" t="str">
        <f t="shared" si="57"/>
        <v/>
      </c>
      <c r="AP117" s="361"/>
      <c r="AQ117" s="482"/>
      <c r="AR117" s="482"/>
      <c r="AS117" s="187">
        <f t="shared" si="56"/>
        <v>-0.1</v>
      </c>
      <c r="AT117" s="120"/>
      <c r="AU117" s="499"/>
      <c r="AV117" s="500">
        <f t="shared" si="52"/>
        <v>0</v>
      </c>
      <c r="AW117" s="501">
        <f t="shared" si="58"/>
        <v>0</v>
      </c>
      <c r="AX117" s="501">
        <f t="shared" si="59"/>
        <v>0</v>
      </c>
      <c r="AY117" s="385">
        <f t="shared" si="60"/>
        <v>0</v>
      </c>
      <c r="AZ117" s="382">
        <f t="shared" si="27"/>
        <v>0</v>
      </c>
      <c r="BA117" s="495">
        <f t="shared" si="28"/>
        <v>0</v>
      </c>
      <c r="BB117" s="481"/>
      <c r="BC117" s="481"/>
      <c r="BD117" s="481"/>
      <c r="BE117" s="481"/>
      <c r="BF117" s="453" t="str">
        <f t="shared" si="29"/>
        <v>-</v>
      </c>
      <c r="BG117" s="453" t="str">
        <f t="shared" si="30"/>
        <v>-</v>
      </c>
      <c r="BH117" s="453" t="str">
        <f t="shared" si="31"/>
        <v>-</v>
      </c>
      <c r="BI117" s="453" t="str">
        <f t="shared" si="32"/>
        <v>-</v>
      </c>
      <c r="BJ117" s="453" t="str">
        <f t="shared" si="33"/>
        <v>-</v>
      </c>
      <c r="BK117" s="390" t="str">
        <f t="shared" si="34"/>
        <v>-</v>
      </c>
      <c r="BL117" s="125"/>
      <c r="BM117" s="92"/>
      <c r="BN117" s="386">
        <f t="shared" si="53"/>
        <v>0</v>
      </c>
    </row>
    <row r="118" spans="1:66" s="89" customFormat="1" ht="16.350000000000001" customHeight="1">
      <c r="A118" s="175">
        <f t="shared" si="35"/>
        <v>2023</v>
      </c>
      <c r="B118" s="454" t="str">
        <f t="shared" si="36"/>
        <v>08</v>
      </c>
      <c r="C118" s="454" t="str">
        <f t="array" ref="C118">_xlfn.IFS(_xlfn.NUMBERVALUE(B118)&lt;=13,"Q1",AND(_xlfn.NUMBERVALUE(B118)&gt;13,_xlfn.NUMBERVALUE(B118)&lt;=26),"Q2", AND(_xlfn.NUMBERVALUE(B118)&gt;26,_xlfn.NUMBERVALUE(B118)&lt;=39),"Q3",_xlfn.NUMBERVALUE(B118)&gt;39,"Q4")</f>
        <v>Q1</v>
      </c>
      <c r="D118" s="448">
        <f t="shared" si="54"/>
        <v>44639</v>
      </c>
      <c r="E118" s="448">
        <f t="shared" si="37"/>
        <v>44645</v>
      </c>
      <c r="F118" s="79">
        <v>202208</v>
      </c>
      <c r="G118" s="342">
        <f t="shared" si="38"/>
        <v>0</v>
      </c>
      <c r="H118" s="471"/>
      <c r="I118" s="471"/>
      <c r="J118" s="474">
        <f t="shared" si="39"/>
        <v>0</v>
      </c>
      <c r="K118" s="474">
        <f t="shared" si="40"/>
        <v>0</v>
      </c>
      <c r="L118" s="492"/>
      <c r="M118" s="481"/>
      <c r="N118" s="481"/>
      <c r="O118" s="474">
        <f t="shared" si="41"/>
        <v>0</v>
      </c>
      <c r="P118" s="474">
        <f t="shared" si="42"/>
        <v>0</v>
      </c>
      <c r="Q118" s="474">
        <f t="shared" si="43"/>
        <v>0</v>
      </c>
      <c r="R118" s="449">
        <f>Forecast!J113</f>
        <v>0</v>
      </c>
      <c r="S118" s="449">
        <f>Forecast!N113</f>
        <v>0</v>
      </c>
      <c r="T118" s="475">
        <f t="shared" si="44"/>
        <v>0</v>
      </c>
      <c r="U118" s="475">
        <f t="shared" si="45"/>
        <v>0</v>
      </c>
      <c r="V118" s="349">
        <f t="shared" si="46"/>
        <v>0</v>
      </c>
      <c r="W118" s="350">
        <f t="shared" si="47"/>
        <v>0</v>
      </c>
      <c r="X118" s="469">
        <f>'Channel &amp; Campaign Metrics'!AR117</f>
        <v>0</v>
      </c>
      <c r="Y118" s="469">
        <f>'Channel &amp; Campaign Metrics'!BS117</f>
        <v>0</v>
      </c>
      <c r="Z118" s="446"/>
      <c r="AA118" s="112"/>
      <c r="AB118" s="358">
        <f>'Glass Metrics'!AC118</f>
        <v>0</v>
      </c>
      <c r="AC118" s="475">
        <f>'Glass Metrics'!I118</f>
        <v>0</v>
      </c>
      <c r="AD118" s="469">
        <f>'Glass Metrics'!N118</f>
        <v>0</v>
      </c>
      <c r="AE118" s="475">
        <f>'Glass Metrics'!S118</f>
        <v>0</v>
      </c>
      <c r="AF118" s="359" t="str">
        <f t="shared" si="48"/>
        <v/>
      </c>
      <c r="AG118" s="477" t="str">
        <f t="shared" si="49"/>
        <v/>
      </c>
      <c r="AH118" s="472" t="str">
        <f t="shared" si="50"/>
        <v/>
      </c>
      <c r="AI118" s="360" t="str">
        <f t="shared" si="51"/>
        <v/>
      </c>
      <c r="AJ118" s="361" t="str">
        <f t="shared" si="24"/>
        <v/>
      </c>
      <c r="AK118" s="482"/>
      <c r="AL118" s="482"/>
      <c r="AM118" s="481"/>
      <c r="AN118" s="481"/>
      <c r="AO118" s="374" t="str">
        <f t="shared" si="57"/>
        <v/>
      </c>
      <c r="AP118" s="361"/>
      <c r="AQ118" s="482"/>
      <c r="AR118" s="482"/>
      <c r="AS118" s="187">
        <f t="shared" si="56"/>
        <v>-0.1</v>
      </c>
      <c r="AT118" s="120"/>
      <c r="AU118" s="499"/>
      <c r="AV118" s="500">
        <f t="shared" si="52"/>
        <v>0</v>
      </c>
      <c r="AW118" s="501">
        <f t="shared" si="58"/>
        <v>0</v>
      </c>
      <c r="AX118" s="501">
        <f t="shared" si="59"/>
        <v>0</v>
      </c>
      <c r="AY118" s="385">
        <f t="shared" si="60"/>
        <v>0</v>
      </c>
      <c r="AZ118" s="382">
        <f t="shared" si="27"/>
        <v>0</v>
      </c>
      <c r="BA118" s="495">
        <f t="shared" si="28"/>
        <v>0</v>
      </c>
      <c r="BB118" s="481"/>
      <c r="BC118" s="481"/>
      <c r="BD118" s="481"/>
      <c r="BE118" s="481"/>
      <c r="BF118" s="453" t="str">
        <f t="shared" si="29"/>
        <v>-</v>
      </c>
      <c r="BG118" s="453" t="str">
        <f t="shared" si="30"/>
        <v>-</v>
      </c>
      <c r="BH118" s="453" t="str">
        <f t="shared" si="31"/>
        <v>-</v>
      </c>
      <c r="BI118" s="453" t="str">
        <f t="shared" si="32"/>
        <v>-</v>
      </c>
      <c r="BJ118" s="453" t="str">
        <f t="shared" si="33"/>
        <v>-</v>
      </c>
      <c r="BK118" s="390" t="str">
        <f t="shared" si="34"/>
        <v>-</v>
      </c>
      <c r="BL118" s="125"/>
      <c r="BM118" s="92"/>
      <c r="BN118" s="386">
        <f t="shared" si="53"/>
        <v>0</v>
      </c>
    </row>
    <row r="119" spans="1:66" s="89" customFormat="1" ht="16.350000000000001" customHeight="1">
      <c r="A119" s="175">
        <f t="shared" si="35"/>
        <v>2023</v>
      </c>
      <c r="B119" s="454" t="str">
        <f t="shared" si="36"/>
        <v>09</v>
      </c>
      <c r="C119" s="454" t="str">
        <f t="array" ref="C119">_xlfn.IFS(_xlfn.NUMBERVALUE(B119)&lt;=13,"Q1",AND(_xlfn.NUMBERVALUE(B119)&gt;13,_xlfn.NUMBERVALUE(B119)&lt;=26),"Q2", AND(_xlfn.NUMBERVALUE(B119)&gt;26,_xlfn.NUMBERVALUE(B119)&lt;=39),"Q3",_xlfn.NUMBERVALUE(B119)&gt;39,"Q4")</f>
        <v>Q1</v>
      </c>
      <c r="D119" s="448">
        <f t="shared" si="54"/>
        <v>44646</v>
      </c>
      <c r="E119" s="448">
        <f t="shared" si="37"/>
        <v>44652</v>
      </c>
      <c r="F119" s="79">
        <v>202209</v>
      </c>
      <c r="G119" s="342">
        <f t="shared" si="38"/>
        <v>0</v>
      </c>
      <c r="H119" s="471"/>
      <c r="I119" s="471"/>
      <c r="J119" s="474">
        <f t="shared" si="39"/>
        <v>0</v>
      </c>
      <c r="K119" s="474">
        <f t="shared" si="40"/>
        <v>0</v>
      </c>
      <c r="L119" s="492"/>
      <c r="M119" s="481"/>
      <c r="N119" s="481"/>
      <c r="O119" s="474">
        <f t="shared" si="41"/>
        <v>0</v>
      </c>
      <c r="P119" s="474">
        <f t="shared" si="42"/>
        <v>0</v>
      </c>
      <c r="Q119" s="474">
        <f t="shared" si="43"/>
        <v>0</v>
      </c>
      <c r="R119" s="449">
        <f>Forecast!J114</f>
        <v>0</v>
      </c>
      <c r="S119" s="449">
        <f>Forecast!N114</f>
        <v>0</v>
      </c>
      <c r="T119" s="475">
        <f t="shared" si="44"/>
        <v>0</v>
      </c>
      <c r="U119" s="475">
        <f t="shared" si="45"/>
        <v>0</v>
      </c>
      <c r="V119" s="349">
        <f t="shared" si="46"/>
        <v>0</v>
      </c>
      <c r="W119" s="350">
        <f t="shared" si="47"/>
        <v>0</v>
      </c>
      <c r="X119" s="469">
        <f>'Channel &amp; Campaign Metrics'!AR118</f>
        <v>0</v>
      </c>
      <c r="Y119" s="469">
        <f>'Channel &amp; Campaign Metrics'!BS118</f>
        <v>0</v>
      </c>
      <c r="Z119" s="446"/>
      <c r="AA119" s="112"/>
      <c r="AB119" s="358">
        <f>'Glass Metrics'!AC119</f>
        <v>0</v>
      </c>
      <c r="AC119" s="475">
        <f>'Glass Metrics'!I119</f>
        <v>0</v>
      </c>
      <c r="AD119" s="469">
        <f>'Glass Metrics'!N119</f>
        <v>0</v>
      </c>
      <c r="AE119" s="475">
        <f>'Glass Metrics'!S119</f>
        <v>0</v>
      </c>
      <c r="AF119" s="359" t="str">
        <f t="shared" si="48"/>
        <v/>
      </c>
      <c r="AG119" s="477" t="str">
        <f t="shared" si="49"/>
        <v/>
      </c>
      <c r="AH119" s="472" t="str">
        <f t="shared" si="50"/>
        <v/>
      </c>
      <c r="AI119" s="360" t="str">
        <f t="shared" si="51"/>
        <v/>
      </c>
      <c r="AJ119" s="361" t="str">
        <f t="shared" si="24"/>
        <v/>
      </c>
      <c r="AK119" s="482"/>
      <c r="AL119" s="482"/>
      <c r="AM119" s="481"/>
      <c r="AN119" s="481"/>
      <c r="AO119" s="374" t="str">
        <f t="shared" si="57"/>
        <v/>
      </c>
      <c r="AP119" s="361"/>
      <c r="AQ119" s="482"/>
      <c r="AR119" s="482"/>
      <c r="AS119" s="187">
        <f t="shared" si="56"/>
        <v>-0.1</v>
      </c>
      <c r="AT119" s="120"/>
      <c r="AU119" s="499"/>
      <c r="AV119" s="500">
        <f t="shared" si="52"/>
        <v>0</v>
      </c>
      <c r="AW119" s="501">
        <f t="shared" si="58"/>
        <v>0</v>
      </c>
      <c r="AX119" s="501">
        <f t="shared" si="59"/>
        <v>0</v>
      </c>
      <c r="AY119" s="385">
        <f t="shared" si="60"/>
        <v>0</v>
      </c>
      <c r="AZ119" s="382">
        <f t="shared" si="27"/>
        <v>0</v>
      </c>
      <c r="BA119" s="495">
        <f t="shared" si="28"/>
        <v>0</v>
      </c>
      <c r="BB119" s="481"/>
      <c r="BC119" s="481"/>
      <c r="BD119" s="481"/>
      <c r="BE119" s="481"/>
      <c r="BF119" s="453" t="str">
        <f t="shared" si="29"/>
        <v>-</v>
      </c>
      <c r="BG119" s="453" t="str">
        <f t="shared" si="30"/>
        <v>-</v>
      </c>
      <c r="BH119" s="453" t="str">
        <f t="shared" si="31"/>
        <v>-</v>
      </c>
      <c r="BI119" s="453" t="str">
        <f t="shared" si="32"/>
        <v>-</v>
      </c>
      <c r="BJ119" s="453" t="str">
        <f t="shared" si="33"/>
        <v>-</v>
      </c>
      <c r="BK119" s="390" t="str">
        <f t="shared" si="34"/>
        <v>-</v>
      </c>
      <c r="BL119" s="125"/>
      <c r="BM119" s="92"/>
      <c r="BN119" s="386">
        <f t="shared" si="53"/>
        <v>0</v>
      </c>
    </row>
    <row r="120" spans="1:66" s="89" customFormat="1" ht="16.350000000000001" customHeight="1">
      <c r="A120" s="175">
        <f t="shared" si="35"/>
        <v>2023</v>
      </c>
      <c r="B120" s="454" t="str">
        <f t="shared" si="36"/>
        <v>10</v>
      </c>
      <c r="C120" s="454" t="str">
        <f t="array" ref="C120">_xlfn.IFS(_xlfn.NUMBERVALUE(B120)&lt;=13,"Q1",AND(_xlfn.NUMBERVALUE(B120)&gt;13,_xlfn.NUMBERVALUE(B120)&lt;=26),"Q2", AND(_xlfn.NUMBERVALUE(B120)&gt;26,_xlfn.NUMBERVALUE(B120)&lt;=39),"Q3",_xlfn.NUMBERVALUE(B120)&gt;39,"Q4")</f>
        <v>Q1</v>
      </c>
      <c r="D120" s="448">
        <f t="shared" si="54"/>
        <v>44653</v>
      </c>
      <c r="E120" s="448">
        <f t="shared" si="37"/>
        <v>44659</v>
      </c>
      <c r="F120" s="79">
        <v>202210</v>
      </c>
      <c r="G120" s="342">
        <f t="shared" si="38"/>
        <v>0</v>
      </c>
      <c r="H120" s="471"/>
      <c r="I120" s="471"/>
      <c r="J120" s="474">
        <f t="shared" si="39"/>
        <v>0</v>
      </c>
      <c r="K120" s="474">
        <f t="shared" si="40"/>
        <v>0</v>
      </c>
      <c r="L120" s="492"/>
      <c r="M120" s="481"/>
      <c r="N120" s="481"/>
      <c r="O120" s="474">
        <f t="shared" si="41"/>
        <v>0</v>
      </c>
      <c r="P120" s="474">
        <f t="shared" si="42"/>
        <v>0</v>
      </c>
      <c r="Q120" s="474">
        <f t="shared" si="43"/>
        <v>0</v>
      </c>
      <c r="R120" s="449">
        <f>Forecast!J115</f>
        <v>0</v>
      </c>
      <c r="S120" s="449">
        <f>Forecast!N115</f>
        <v>0</v>
      </c>
      <c r="T120" s="475">
        <f t="shared" si="44"/>
        <v>0</v>
      </c>
      <c r="U120" s="475">
        <f t="shared" si="45"/>
        <v>0</v>
      </c>
      <c r="V120" s="349">
        <f t="shared" si="46"/>
        <v>0</v>
      </c>
      <c r="W120" s="350">
        <f t="shared" si="47"/>
        <v>0</v>
      </c>
      <c r="X120" s="469">
        <f>'Channel &amp; Campaign Metrics'!AR119</f>
        <v>0</v>
      </c>
      <c r="Y120" s="469">
        <f>'Channel &amp; Campaign Metrics'!BS119</f>
        <v>0</v>
      </c>
      <c r="Z120" s="446"/>
      <c r="AA120" s="112"/>
      <c r="AB120" s="358">
        <f>'Glass Metrics'!AC120</f>
        <v>0</v>
      </c>
      <c r="AC120" s="475">
        <f>'Glass Metrics'!I120</f>
        <v>0</v>
      </c>
      <c r="AD120" s="469">
        <f>'Glass Metrics'!N120</f>
        <v>0</v>
      </c>
      <c r="AE120" s="475">
        <f>'Glass Metrics'!S120</f>
        <v>0</v>
      </c>
      <c r="AF120" s="359" t="str">
        <f t="shared" si="48"/>
        <v/>
      </c>
      <c r="AG120" s="477" t="str">
        <f t="shared" si="49"/>
        <v/>
      </c>
      <c r="AH120" s="472" t="str">
        <f t="shared" si="50"/>
        <v/>
      </c>
      <c r="AI120" s="360" t="str">
        <f t="shared" si="51"/>
        <v/>
      </c>
      <c r="AJ120" s="361" t="str">
        <f t="shared" si="24"/>
        <v/>
      </c>
      <c r="AK120" s="482"/>
      <c r="AL120" s="482"/>
      <c r="AM120" s="481"/>
      <c r="AN120" s="481"/>
      <c r="AO120" s="374" t="str">
        <f t="shared" si="57"/>
        <v/>
      </c>
      <c r="AP120" s="361"/>
      <c r="AQ120" s="482"/>
      <c r="AR120" s="482"/>
      <c r="AS120" s="187">
        <f t="shared" si="56"/>
        <v>-0.1</v>
      </c>
      <c r="AT120" s="120"/>
      <c r="AU120" s="499"/>
      <c r="AV120" s="500">
        <f t="shared" si="52"/>
        <v>0</v>
      </c>
      <c r="AW120" s="501">
        <f t="shared" si="58"/>
        <v>0</v>
      </c>
      <c r="AX120" s="501">
        <f t="shared" si="59"/>
        <v>0</v>
      </c>
      <c r="AY120" s="385">
        <f t="shared" si="60"/>
        <v>0</v>
      </c>
      <c r="AZ120" s="382">
        <f t="shared" si="27"/>
        <v>0</v>
      </c>
      <c r="BA120" s="495">
        <f t="shared" si="28"/>
        <v>0</v>
      </c>
      <c r="BB120" s="481"/>
      <c r="BC120" s="481"/>
      <c r="BD120" s="481"/>
      <c r="BE120" s="481"/>
      <c r="BF120" s="453" t="str">
        <f t="shared" si="29"/>
        <v>-</v>
      </c>
      <c r="BG120" s="453" t="str">
        <f t="shared" si="30"/>
        <v>-</v>
      </c>
      <c r="BH120" s="453" t="str">
        <f t="shared" si="31"/>
        <v>-</v>
      </c>
      <c r="BI120" s="453" t="str">
        <f t="shared" si="32"/>
        <v>-</v>
      </c>
      <c r="BJ120" s="453" t="str">
        <f t="shared" si="33"/>
        <v>-</v>
      </c>
      <c r="BK120" s="390" t="str">
        <f t="shared" si="34"/>
        <v>-</v>
      </c>
      <c r="BL120" s="125"/>
      <c r="BM120" s="92"/>
      <c r="BN120" s="386">
        <f t="shared" si="53"/>
        <v>0</v>
      </c>
    </row>
    <row r="121" spans="1:66" s="89" customFormat="1" ht="16.350000000000001" customHeight="1">
      <c r="A121" s="175">
        <f t="shared" si="35"/>
        <v>2023</v>
      </c>
      <c r="B121" s="454" t="str">
        <f t="shared" si="36"/>
        <v>11</v>
      </c>
      <c r="C121" s="454" t="str">
        <f t="array" ref="C121">_xlfn.IFS(_xlfn.NUMBERVALUE(B121)&lt;=13,"Q1",AND(_xlfn.NUMBERVALUE(B121)&gt;13,_xlfn.NUMBERVALUE(B121)&lt;=26),"Q2", AND(_xlfn.NUMBERVALUE(B121)&gt;26,_xlfn.NUMBERVALUE(B121)&lt;=39),"Q3",_xlfn.NUMBERVALUE(B121)&gt;39,"Q4")</f>
        <v>Q1</v>
      </c>
      <c r="D121" s="448">
        <f t="shared" si="54"/>
        <v>44660</v>
      </c>
      <c r="E121" s="448">
        <f t="shared" si="37"/>
        <v>44666</v>
      </c>
      <c r="F121" s="79">
        <v>202211</v>
      </c>
      <c r="G121" s="342">
        <f t="shared" si="38"/>
        <v>0</v>
      </c>
      <c r="H121" s="471"/>
      <c r="I121" s="471"/>
      <c r="J121" s="474">
        <f t="shared" si="39"/>
        <v>0</v>
      </c>
      <c r="K121" s="474">
        <f t="shared" si="40"/>
        <v>0</v>
      </c>
      <c r="L121" s="492"/>
      <c r="M121" s="481"/>
      <c r="N121" s="481"/>
      <c r="O121" s="474">
        <f t="shared" si="41"/>
        <v>0</v>
      </c>
      <c r="P121" s="474">
        <f t="shared" si="42"/>
        <v>0</v>
      </c>
      <c r="Q121" s="474">
        <f t="shared" si="43"/>
        <v>0</v>
      </c>
      <c r="R121" s="449">
        <f>Forecast!J116</f>
        <v>0</v>
      </c>
      <c r="S121" s="449">
        <f>Forecast!N116</f>
        <v>0</v>
      </c>
      <c r="T121" s="475">
        <f t="shared" si="44"/>
        <v>0</v>
      </c>
      <c r="U121" s="475">
        <f t="shared" si="45"/>
        <v>0</v>
      </c>
      <c r="V121" s="349">
        <f t="shared" si="46"/>
        <v>0</v>
      </c>
      <c r="W121" s="350">
        <f t="shared" si="47"/>
        <v>0</v>
      </c>
      <c r="X121" s="469">
        <f>'Channel &amp; Campaign Metrics'!AR120</f>
        <v>0</v>
      </c>
      <c r="Y121" s="469">
        <f>'Channel &amp; Campaign Metrics'!BS120</f>
        <v>0</v>
      </c>
      <c r="Z121" s="446"/>
      <c r="AA121" s="112"/>
      <c r="AB121" s="358">
        <f>'Glass Metrics'!AC121</f>
        <v>0</v>
      </c>
      <c r="AC121" s="475">
        <f>'Glass Metrics'!I121</f>
        <v>0</v>
      </c>
      <c r="AD121" s="469">
        <f>'Glass Metrics'!N121</f>
        <v>0</v>
      </c>
      <c r="AE121" s="475">
        <f>'Glass Metrics'!S121</f>
        <v>0</v>
      </c>
      <c r="AF121" s="359" t="str">
        <f t="shared" si="48"/>
        <v/>
      </c>
      <c r="AG121" s="477" t="str">
        <f t="shared" si="49"/>
        <v/>
      </c>
      <c r="AH121" s="472" t="str">
        <f t="shared" si="50"/>
        <v/>
      </c>
      <c r="AI121" s="360" t="str">
        <f t="shared" si="51"/>
        <v/>
      </c>
      <c r="AJ121" s="361" t="str">
        <f t="shared" si="24"/>
        <v/>
      </c>
      <c r="AK121" s="482"/>
      <c r="AL121" s="482"/>
      <c r="AM121" s="481"/>
      <c r="AN121" s="481"/>
      <c r="AO121" s="374" t="str">
        <f t="shared" si="57"/>
        <v/>
      </c>
      <c r="AP121" s="361"/>
      <c r="AQ121" s="482"/>
      <c r="AR121" s="482"/>
      <c r="AS121" s="187">
        <f t="shared" si="56"/>
        <v>-0.1</v>
      </c>
      <c r="AT121" s="120"/>
      <c r="AU121" s="499"/>
      <c r="AV121" s="500">
        <f t="shared" si="52"/>
        <v>0</v>
      </c>
      <c r="AW121" s="501">
        <f t="shared" si="58"/>
        <v>0</v>
      </c>
      <c r="AX121" s="501">
        <f t="shared" si="59"/>
        <v>0</v>
      </c>
      <c r="AY121" s="385">
        <f t="shared" si="60"/>
        <v>0</v>
      </c>
      <c r="AZ121" s="382">
        <f t="shared" si="27"/>
        <v>0</v>
      </c>
      <c r="BA121" s="495">
        <f t="shared" si="28"/>
        <v>0</v>
      </c>
      <c r="BB121" s="481"/>
      <c r="BC121" s="481"/>
      <c r="BD121" s="481"/>
      <c r="BE121" s="481"/>
      <c r="BF121" s="453" t="str">
        <f t="shared" si="29"/>
        <v>-</v>
      </c>
      <c r="BG121" s="453" t="str">
        <f t="shared" si="30"/>
        <v>-</v>
      </c>
      <c r="BH121" s="453" t="str">
        <f t="shared" si="31"/>
        <v>-</v>
      </c>
      <c r="BI121" s="453" t="str">
        <f t="shared" si="32"/>
        <v>-</v>
      </c>
      <c r="BJ121" s="453" t="str">
        <f t="shared" si="33"/>
        <v>-</v>
      </c>
      <c r="BK121" s="390" t="str">
        <f t="shared" si="34"/>
        <v>-</v>
      </c>
      <c r="BL121" s="125"/>
      <c r="BM121" s="92"/>
      <c r="BN121" s="386">
        <f t="shared" si="53"/>
        <v>0</v>
      </c>
    </row>
    <row r="122" spans="1:66" s="89" customFormat="1" ht="16.350000000000001" customHeight="1">
      <c r="A122" s="175">
        <f t="shared" si="35"/>
        <v>2023</v>
      </c>
      <c r="B122" s="454" t="str">
        <f t="shared" si="36"/>
        <v>12</v>
      </c>
      <c r="C122" s="454" t="str">
        <f t="array" ref="C122">_xlfn.IFS(_xlfn.NUMBERVALUE(B122)&lt;=13,"Q1",AND(_xlfn.NUMBERVALUE(B122)&gt;13,_xlfn.NUMBERVALUE(B122)&lt;=26),"Q2", AND(_xlfn.NUMBERVALUE(B122)&gt;26,_xlfn.NUMBERVALUE(B122)&lt;=39),"Q3",_xlfn.NUMBERVALUE(B122)&gt;39,"Q4")</f>
        <v>Q1</v>
      </c>
      <c r="D122" s="448">
        <f t="shared" si="54"/>
        <v>44667</v>
      </c>
      <c r="E122" s="448">
        <f t="shared" si="37"/>
        <v>44673</v>
      </c>
      <c r="F122" s="79">
        <v>202212</v>
      </c>
      <c r="G122" s="342">
        <f t="shared" si="38"/>
        <v>0</v>
      </c>
      <c r="H122" s="471"/>
      <c r="I122" s="471"/>
      <c r="J122" s="474">
        <f t="shared" si="39"/>
        <v>0</v>
      </c>
      <c r="K122" s="474">
        <f t="shared" si="40"/>
        <v>0</v>
      </c>
      <c r="L122" s="492"/>
      <c r="M122" s="481"/>
      <c r="N122" s="481"/>
      <c r="O122" s="474">
        <f t="shared" si="41"/>
        <v>0</v>
      </c>
      <c r="P122" s="474">
        <f t="shared" si="42"/>
        <v>0</v>
      </c>
      <c r="Q122" s="474">
        <f t="shared" si="43"/>
        <v>0</v>
      </c>
      <c r="R122" s="449">
        <f>Forecast!J117</f>
        <v>0</v>
      </c>
      <c r="S122" s="449">
        <f>Forecast!N117</f>
        <v>0</v>
      </c>
      <c r="T122" s="475">
        <f t="shared" si="44"/>
        <v>0</v>
      </c>
      <c r="U122" s="475">
        <f t="shared" si="45"/>
        <v>0</v>
      </c>
      <c r="V122" s="349">
        <f t="shared" si="46"/>
        <v>0</v>
      </c>
      <c r="W122" s="350">
        <f t="shared" si="47"/>
        <v>0</v>
      </c>
      <c r="X122" s="469">
        <f>'Channel &amp; Campaign Metrics'!AR121</f>
        <v>0</v>
      </c>
      <c r="Y122" s="469">
        <f>'Channel &amp; Campaign Metrics'!BS121</f>
        <v>0</v>
      </c>
      <c r="Z122" s="446"/>
      <c r="AA122" s="112"/>
      <c r="AB122" s="358">
        <f>'Glass Metrics'!AC122</f>
        <v>0</v>
      </c>
      <c r="AC122" s="475">
        <f>'Glass Metrics'!I122</f>
        <v>0</v>
      </c>
      <c r="AD122" s="469">
        <f>'Glass Metrics'!N122</f>
        <v>0</v>
      </c>
      <c r="AE122" s="475">
        <f>'Glass Metrics'!S122</f>
        <v>0</v>
      </c>
      <c r="AF122" s="359" t="str">
        <f t="shared" si="48"/>
        <v/>
      </c>
      <c r="AG122" s="477" t="str">
        <f t="shared" si="49"/>
        <v/>
      </c>
      <c r="AH122" s="472" t="str">
        <f t="shared" si="50"/>
        <v/>
      </c>
      <c r="AI122" s="360" t="str">
        <f t="shared" si="51"/>
        <v/>
      </c>
      <c r="AJ122" s="361" t="str">
        <f t="shared" si="24"/>
        <v/>
      </c>
      <c r="AK122" s="482"/>
      <c r="AL122" s="482"/>
      <c r="AM122" s="481"/>
      <c r="AN122" s="481"/>
      <c r="AO122" s="374" t="str">
        <f t="shared" si="57"/>
        <v/>
      </c>
      <c r="AP122" s="361"/>
      <c r="AQ122" s="482"/>
      <c r="AR122" s="482"/>
      <c r="AS122" s="187">
        <f t="shared" si="56"/>
        <v>-0.1</v>
      </c>
      <c r="AT122" s="120"/>
      <c r="AU122" s="499"/>
      <c r="AV122" s="500">
        <f t="shared" si="52"/>
        <v>0</v>
      </c>
      <c r="AW122" s="501">
        <f t="shared" si="58"/>
        <v>0</v>
      </c>
      <c r="AX122" s="501">
        <f t="shared" si="59"/>
        <v>0</v>
      </c>
      <c r="AY122" s="385">
        <f t="shared" si="60"/>
        <v>0</v>
      </c>
      <c r="AZ122" s="382">
        <f t="shared" si="27"/>
        <v>0</v>
      </c>
      <c r="BA122" s="495">
        <f t="shared" si="28"/>
        <v>0</v>
      </c>
      <c r="BB122" s="481"/>
      <c r="BC122" s="481"/>
      <c r="BD122" s="481"/>
      <c r="BE122" s="481"/>
      <c r="BF122" s="453" t="str">
        <f t="shared" si="29"/>
        <v>-</v>
      </c>
      <c r="BG122" s="453" t="str">
        <f t="shared" si="30"/>
        <v>-</v>
      </c>
      <c r="BH122" s="453" t="str">
        <f t="shared" si="31"/>
        <v>-</v>
      </c>
      <c r="BI122" s="453" t="str">
        <f t="shared" si="32"/>
        <v>-</v>
      </c>
      <c r="BJ122" s="453" t="str">
        <f t="shared" si="33"/>
        <v>-</v>
      </c>
      <c r="BK122" s="390" t="str">
        <f t="shared" si="34"/>
        <v>-</v>
      </c>
      <c r="BL122" s="125"/>
      <c r="BM122" s="92"/>
      <c r="BN122" s="386">
        <f t="shared" si="53"/>
        <v>0</v>
      </c>
    </row>
    <row r="123" spans="1:66" s="89" customFormat="1" ht="16.350000000000001" customHeight="1">
      <c r="A123" s="175">
        <f t="shared" si="35"/>
        <v>2023</v>
      </c>
      <c r="B123" s="454" t="str">
        <f t="shared" si="36"/>
        <v>13</v>
      </c>
      <c r="C123" s="454" t="str">
        <f t="array" ref="C123">_xlfn.IFS(_xlfn.NUMBERVALUE(B123)&lt;=13,"Q1",AND(_xlfn.NUMBERVALUE(B123)&gt;13,_xlfn.NUMBERVALUE(B123)&lt;=26),"Q2", AND(_xlfn.NUMBERVALUE(B123)&gt;26,_xlfn.NUMBERVALUE(B123)&lt;=39),"Q3",_xlfn.NUMBERVALUE(B123)&gt;39,"Q4")</f>
        <v>Q1</v>
      </c>
      <c r="D123" s="448">
        <f t="shared" si="54"/>
        <v>44674</v>
      </c>
      <c r="E123" s="448">
        <f t="shared" si="37"/>
        <v>44680</v>
      </c>
      <c r="F123" s="79">
        <v>202213</v>
      </c>
      <c r="G123" s="342">
        <f t="shared" si="38"/>
        <v>0</v>
      </c>
      <c r="H123" s="471"/>
      <c r="I123" s="471"/>
      <c r="J123" s="474">
        <f t="shared" si="39"/>
        <v>0</v>
      </c>
      <c r="K123" s="474">
        <f t="shared" si="40"/>
        <v>0</v>
      </c>
      <c r="L123" s="492"/>
      <c r="M123" s="481"/>
      <c r="N123" s="481"/>
      <c r="O123" s="474">
        <f t="shared" si="41"/>
        <v>0</v>
      </c>
      <c r="P123" s="474">
        <f t="shared" si="42"/>
        <v>0</v>
      </c>
      <c r="Q123" s="474">
        <f t="shared" si="43"/>
        <v>0</v>
      </c>
      <c r="R123" s="449">
        <f>Forecast!J118</f>
        <v>0</v>
      </c>
      <c r="S123" s="449">
        <f>Forecast!N118</f>
        <v>0</v>
      </c>
      <c r="T123" s="475">
        <f t="shared" si="44"/>
        <v>0</v>
      </c>
      <c r="U123" s="475">
        <f t="shared" si="45"/>
        <v>0</v>
      </c>
      <c r="V123" s="349">
        <f t="shared" si="46"/>
        <v>0</v>
      </c>
      <c r="W123" s="350">
        <f t="shared" si="47"/>
        <v>0</v>
      </c>
      <c r="X123" s="469">
        <f>'Channel &amp; Campaign Metrics'!AR122</f>
        <v>0</v>
      </c>
      <c r="Y123" s="469">
        <f>'Channel &amp; Campaign Metrics'!BS122</f>
        <v>0</v>
      </c>
      <c r="Z123" s="446"/>
      <c r="AA123" s="112"/>
      <c r="AB123" s="358">
        <f>'Glass Metrics'!AC123</f>
        <v>0</v>
      </c>
      <c r="AC123" s="475">
        <f>'Glass Metrics'!I123</f>
        <v>0</v>
      </c>
      <c r="AD123" s="469">
        <f>'Glass Metrics'!N123</f>
        <v>0</v>
      </c>
      <c r="AE123" s="475">
        <f>'Glass Metrics'!S123</f>
        <v>0</v>
      </c>
      <c r="AF123" s="359" t="str">
        <f t="shared" si="48"/>
        <v/>
      </c>
      <c r="AG123" s="477" t="str">
        <f t="shared" si="49"/>
        <v/>
      </c>
      <c r="AH123" s="472" t="str">
        <f t="shared" si="50"/>
        <v/>
      </c>
      <c r="AI123" s="360" t="str">
        <f t="shared" si="51"/>
        <v/>
      </c>
      <c r="AJ123" s="361" t="str">
        <f t="shared" ref="AJ123:AJ186" si="61">IFERROR(((AK123*AM123)+(AL123*AN123))/(AM123+AN123),"")</f>
        <v/>
      </c>
      <c r="AK123" s="482"/>
      <c r="AL123" s="482"/>
      <c r="AM123" s="481"/>
      <c r="AN123" s="481"/>
      <c r="AO123" s="374" t="str">
        <f t="shared" si="57"/>
        <v/>
      </c>
      <c r="AP123" s="361"/>
      <c r="AQ123" s="482"/>
      <c r="AR123" s="482"/>
      <c r="AS123" s="187">
        <f t="shared" si="56"/>
        <v>-0.1</v>
      </c>
      <c r="AT123" s="120"/>
      <c r="AU123" s="499"/>
      <c r="AV123" s="500">
        <f t="shared" si="52"/>
        <v>0</v>
      </c>
      <c r="AW123" s="501">
        <f t="shared" si="58"/>
        <v>0</v>
      </c>
      <c r="AX123" s="501">
        <f t="shared" si="59"/>
        <v>0</v>
      </c>
      <c r="AY123" s="385">
        <f t="shared" si="60"/>
        <v>0</v>
      </c>
      <c r="AZ123" s="382">
        <f t="shared" ref="AZ123:AZ186" si="62">H123-(BB123+BD123)</f>
        <v>0</v>
      </c>
      <c r="BA123" s="495">
        <f t="shared" ref="BA123:BA186" si="63">I123-(BC123+BE123)</f>
        <v>0</v>
      </c>
      <c r="BB123" s="481"/>
      <c r="BC123" s="481"/>
      <c r="BD123" s="481"/>
      <c r="BE123" s="481"/>
      <c r="BF123" s="453" t="str">
        <f t="shared" ref="BF123:BF186" si="64">IFERROR(AZ123/L123,"-")</f>
        <v>-</v>
      </c>
      <c r="BG123" s="453" t="str">
        <f t="shared" ref="BG123:BG186" si="65">IFERROR(BA123/L123,"-")</f>
        <v>-</v>
      </c>
      <c r="BH123" s="453" t="str">
        <f t="shared" ref="BH123:BH186" si="66">IFERROR(BB123/M123,"-")</f>
        <v>-</v>
      </c>
      <c r="BI123" s="453" t="str">
        <f t="shared" ref="BI123:BI186" si="67">IFERROR(BC123/M123,"-")</f>
        <v>-</v>
      </c>
      <c r="BJ123" s="453" t="str">
        <f t="shared" ref="BJ123:BJ186" si="68">IFERROR(BD123/N123,"-")</f>
        <v>-</v>
      </c>
      <c r="BK123" s="390" t="str">
        <f t="shared" ref="BK123:BK186" si="69">IFERROR(BE123/N123,"-")</f>
        <v>-</v>
      </c>
      <c r="BL123" s="125"/>
      <c r="BM123" s="92"/>
      <c r="BN123" s="386">
        <f t="shared" si="53"/>
        <v>0</v>
      </c>
    </row>
    <row r="124" spans="1:66" s="89" customFormat="1" ht="16.350000000000001" customHeight="1">
      <c r="A124" s="175">
        <f t="shared" si="35"/>
        <v>2023</v>
      </c>
      <c r="B124" s="454" t="str">
        <f t="shared" si="36"/>
        <v>14</v>
      </c>
      <c r="C124" s="454" t="str">
        <f t="array" ref="C124">_xlfn.IFS(_xlfn.NUMBERVALUE(B124)&lt;=13,"Q1",AND(_xlfn.NUMBERVALUE(B124)&gt;13,_xlfn.NUMBERVALUE(B124)&lt;=26),"Q2", AND(_xlfn.NUMBERVALUE(B124)&gt;26,_xlfn.NUMBERVALUE(B124)&lt;=39),"Q3",_xlfn.NUMBERVALUE(B124)&gt;39,"Q4")</f>
        <v>Q2</v>
      </c>
      <c r="D124" s="448">
        <f t="shared" si="54"/>
        <v>44681</v>
      </c>
      <c r="E124" s="448">
        <f t="shared" si="37"/>
        <v>44687</v>
      </c>
      <c r="F124" s="79">
        <v>202214</v>
      </c>
      <c r="G124" s="342">
        <f t="shared" si="38"/>
        <v>0</v>
      </c>
      <c r="H124" s="471"/>
      <c r="I124" s="471"/>
      <c r="J124" s="474">
        <f t="shared" si="39"/>
        <v>0</v>
      </c>
      <c r="K124" s="474">
        <f t="shared" si="40"/>
        <v>0</v>
      </c>
      <c r="L124" s="492"/>
      <c r="M124" s="481"/>
      <c r="N124" s="481"/>
      <c r="O124" s="474">
        <f t="shared" si="41"/>
        <v>0</v>
      </c>
      <c r="P124" s="474">
        <f t="shared" si="42"/>
        <v>0</v>
      </c>
      <c r="Q124" s="474">
        <f t="shared" si="43"/>
        <v>0</v>
      </c>
      <c r="R124" s="449">
        <f>Forecast!J119</f>
        <v>0</v>
      </c>
      <c r="S124" s="449">
        <f>Forecast!N119</f>
        <v>0</v>
      </c>
      <c r="T124" s="475">
        <f t="shared" si="44"/>
        <v>0</v>
      </c>
      <c r="U124" s="475">
        <f t="shared" si="45"/>
        <v>0</v>
      </c>
      <c r="V124" s="349">
        <f t="shared" si="46"/>
        <v>0</v>
      </c>
      <c r="W124" s="350">
        <f t="shared" si="47"/>
        <v>0</v>
      </c>
      <c r="X124" s="469">
        <f>'Channel &amp; Campaign Metrics'!AR123</f>
        <v>0</v>
      </c>
      <c r="Y124" s="469">
        <f>'Channel &amp; Campaign Metrics'!BS123</f>
        <v>0</v>
      </c>
      <c r="Z124" s="446"/>
      <c r="AA124" s="112"/>
      <c r="AB124" s="358">
        <f>'Glass Metrics'!AC124</f>
        <v>0</v>
      </c>
      <c r="AC124" s="475">
        <f>'Glass Metrics'!I124</f>
        <v>0</v>
      </c>
      <c r="AD124" s="469">
        <f>'Glass Metrics'!N124</f>
        <v>0</v>
      </c>
      <c r="AE124" s="475">
        <f>'Glass Metrics'!S124</f>
        <v>0</v>
      </c>
      <c r="AF124" s="359" t="str">
        <f t="shared" si="48"/>
        <v/>
      </c>
      <c r="AG124" s="477" t="str">
        <f t="shared" si="49"/>
        <v/>
      </c>
      <c r="AH124" s="472" t="str">
        <f t="shared" si="50"/>
        <v/>
      </c>
      <c r="AI124" s="360" t="str">
        <f t="shared" si="51"/>
        <v/>
      </c>
      <c r="AJ124" s="361" t="str">
        <f t="shared" si="61"/>
        <v/>
      </c>
      <c r="AK124" s="482"/>
      <c r="AL124" s="482"/>
      <c r="AM124" s="481"/>
      <c r="AN124" s="481"/>
      <c r="AO124" s="374" t="str">
        <f t="shared" si="57"/>
        <v/>
      </c>
      <c r="AP124" s="361"/>
      <c r="AQ124" s="482"/>
      <c r="AR124" s="482"/>
      <c r="AS124" s="187">
        <f t="shared" si="56"/>
        <v>-0.1</v>
      </c>
      <c r="AT124" s="120"/>
      <c r="AU124" s="499"/>
      <c r="AV124" s="500">
        <f t="shared" si="52"/>
        <v>0</v>
      </c>
      <c r="AW124" s="501">
        <f t="shared" si="58"/>
        <v>0</v>
      </c>
      <c r="AX124" s="501">
        <f t="shared" si="59"/>
        <v>0</v>
      </c>
      <c r="AY124" s="385">
        <f t="shared" si="60"/>
        <v>0</v>
      </c>
      <c r="AZ124" s="382">
        <f t="shared" si="62"/>
        <v>0</v>
      </c>
      <c r="BA124" s="495">
        <f t="shared" si="63"/>
        <v>0</v>
      </c>
      <c r="BB124" s="481"/>
      <c r="BC124" s="481"/>
      <c r="BD124" s="481"/>
      <c r="BE124" s="481"/>
      <c r="BF124" s="453" t="str">
        <f t="shared" si="64"/>
        <v>-</v>
      </c>
      <c r="BG124" s="453" t="str">
        <f t="shared" si="65"/>
        <v>-</v>
      </c>
      <c r="BH124" s="453" t="str">
        <f t="shared" si="66"/>
        <v>-</v>
      </c>
      <c r="BI124" s="453" t="str">
        <f t="shared" si="67"/>
        <v>-</v>
      </c>
      <c r="BJ124" s="453" t="str">
        <f t="shared" si="68"/>
        <v>-</v>
      </c>
      <c r="BK124" s="390" t="str">
        <f t="shared" si="69"/>
        <v>-</v>
      </c>
      <c r="BL124" s="125"/>
      <c r="BM124" s="92"/>
      <c r="BN124" s="386">
        <f t="shared" si="53"/>
        <v>0</v>
      </c>
    </row>
    <row r="125" spans="1:66" s="89" customFormat="1" ht="16.350000000000001" customHeight="1">
      <c r="A125" s="175">
        <f t="shared" si="35"/>
        <v>2023</v>
      </c>
      <c r="B125" s="454" t="str">
        <f t="shared" si="36"/>
        <v>15</v>
      </c>
      <c r="C125" s="454" t="str">
        <f t="array" ref="C125">_xlfn.IFS(_xlfn.NUMBERVALUE(B125)&lt;=13,"Q1",AND(_xlfn.NUMBERVALUE(B125)&gt;13,_xlfn.NUMBERVALUE(B125)&lt;=26),"Q2", AND(_xlfn.NUMBERVALUE(B125)&gt;26,_xlfn.NUMBERVALUE(B125)&lt;=39),"Q3",_xlfn.NUMBERVALUE(B125)&gt;39,"Q4")</f>
        <v>Q2</v>
      </c>
      <c r="D125" s="448">
        <f t="shared" si="54"/>
        <v>44688</v>
      </c>
      <c r="E125" s="448">
        <f t="shared" si="37"/>
        <v>44694</v>
      </c>
      <c r="F125" s="79">
        <v>202215</v>
      </c>
      <c r="G125" s="342">
        <f t="shared" si="38"/>
        <v>0</v>
      </c>
      <c r="H125" s="471"/>
      <c r="I125" s="471"/>
      <c r="J125" s="474">
        <f t="shared" si="39"/>
        <v>0</v>
      </c>
      <c r="K125" s="474">
        <f t="shared" si="40"/>
        <v>0</v>
      </c>
      <c r="L125" s="492"/>
      <c r="M125" s="481"/>
      <c r="N125" s="481"/>
      <c r="O125" s="474">
        <f t="shared" si="41"/>
        <v>0</v>
      </c>
      <c r="P125" s="474">
        <f t="shared" si="42"/>
        <v>0</v>
      </c>
      <c r="Q125" s="474">
        <f t="shared" si="43"/>
        <v>0</v>
      </c>
      <c r="R125" s="449">
        <f>Forecast!J120</f>
        <v>0</v>
      </c>
      <c r="S125" s="449">
        <f>Forecast!N120</f>
        <v>0</v>
      </c>
      <c r="T125" s="475">
        <f t="shared" si="44"/>
        <v>0</v>
      </c>
      <c r="U125" s="475">
        <f t="shared" si="45"/>
        <v>0</v>
      </c>
      <c r="V125" s="349">
        <f t="shared" si="46"/>
        <v>0</v>
      </c>
      <c r="W125" s="350">
        <f t="shared" si="47"/>
        <v>0</v>
      </c>
      <c r="X125" s="469">
        <f>'Channel &amp; Campaign Metrics'!AR124</f>
        <v>0</v>
      </c>
      <c r="Y125" s="469">
        <f>'Channel &amp; Campaign Metrics'!BS124</f>
        <v>0</v>
      </c>
      <c r="Z125" s="446"/>
      <c r="AA125" s="112"/>
      <c r="AB125" s="358">
        <f>'Glass Metrics'!AC125</f>
        <v>0</v>
      </c>
      <c r="AC125" s="475">
        <f>'Glass Metrics'!I125</f>
        <v>0</v>
      </c>
      <c r="AD125" s="469">
        <f>'Glass Metrics'!N125</f>
        <v>0</v>
      </c>
      <c r="AE125" s="475">
        <f>'Glass Metrics'!S125</f>
        <v>0</v>
      </c>
      <c r="AF125" s="359" t="str">
        <f t="shared" si="48"/>
        <v/>
      </c>
      <c r="AG125" s="477" t="str">
        <f t="shared" si="49"/>
        <v/>
      </c>
      <c r="AH125" s="472" t="str">
        <f t="shared" si="50"/>
        <v/>
      </c>
      <c r="AI125" s="360" t="str">
        <f t="shared" si="51"/>
        <v/>
      </c>
      <c r="AJ125" s="361" t="str">
        <f t="shared" si="61"/>
        <v/>
      </c>
      <c r="AK125" s="482"/>
      <c r="AL125" s="482"/>
      <c r="AM125" s="481"/>
      <c r="AN125" s="481"/>
      <c r="AO125" s="374" t="str">
        <f t="shared" si="57"/>
        <v/>
      </c>
      <c r="AP125" s="361"/>
      <c r="AQ125" s="482"/>
      <c r="AR125" s="482"/>
      <c r="AS125" s="187">
        <f t="shared" ref="AS125:AS144" si="70">AP125-10%</f>
        <v>-0.1</v>
      </c>
      <c r="AT125" s="120"/>
      <c r="AU125" s="499"/>
      <c r="AV125" s="500">
        <f t="shared" si="52"/>
        <v>0</v>
      </c>
      <c r="AW125" s="501">
        <f t="shared" si="58"/>
        <v>0</v>
      </c>
      <c r="AX125" s="501">
        <f t="shared" si="59"/>
        <v>0</v>
      </c>
      <c r="AY125" s="385">
        <f t="shared" si="60"/>
        <v>0</v>
      </c>
      <c r="AZ125" s="382">
        <f t="shared" si="62"/>
        <v>0</v>
      </c>
      <c r="BA125" s="495">
        <f t="shared" si="63"/>
        <v>0</v>
      </c>
      <c r="BB125" s="481"/>
      <c r="BC125" s="481"/>
      <c r="BD125" s="481"/>
      <c r="BE125" s="481"/>
      <c r="BF125" s="453" t="str">
        <f t="shared" si="64"/>
        <v>-</v>
      </c>
      <c r="BG125" s="453" t="str">
        <f t="shared" si="65"/>
        <v>-</v>
      </c>
      <c r="BH125" s="453" t="str">
        <f t="shared" si="66"/>
        <v>-</v>
      </c>
      <c r="BI125" s="453" t="str">
        <f t="shared" si="67"/>
        <v>-</v>
      </c>
      <c r="BJ125" s="453" t="str">
        <f t="shared" si="68"/>
        <v>-</v>
      </c>
      <c r="BK125" s="390" t="str">
        <f t="shared" si="69"/>
        <v>-</v>
      </c>
      <c r="BL125" s="125"/>
      <c r="BM125" s="92"/>
      <c r="BN125" s="386">
        <f t="shared" si="53"/>
        <v>0</v>
      </c>
    </row>
    <row r="126" spans="1:66" s="89" customFormat="1" ht="16.350000000000001" customHeight="1">
      <c r="A126" s="175">
        <f t="shared" si="35"/>
        <v>2023</v>
      </c>
      <c r="B126" s="454" t="str">
        <f t="shared" si="36"/>
        <v>16</v>
      </c>
      <c r="C126" s="454" t="str">
        <f t="array" ref="C126">_xlfn.IFS(_xlfn.NUMBERVALUE(B126)&lt;=13,"Q1",AND(_xlfn.NUMBERVALUE(B126)&gt;13,_xlfn.NUMBERVALUE(B126)&lt;=26),"Q2", AND(_xlfn.NUMBERVALUE(B126)&gt;26,_xlfn.NUMBERVALUE(B126)&lt;=39),"Q3",_xlfn.NUMBERVALUE(B126)&gt;39,"Q4")</f>
        <v>Q2</v>
      </c>
      <c r="D126" s="448">
        <f t="shared" si="54"/>
        <v>44695</v>
      </c>
      <c r="E126" s="448">
        <f t="shared" si="37"/>
        <v>44701</v>
      </c>
      <c r="F126" s="79">
        <v>202216</v>
      </c>
      <c r="G126" s="342">
        <f t="shared" si="38"/>
        <v>0</v>
      </c>
      <c r="H126" s="471"/>
      <c r="I126" s="471"/>
      <c r="J126" s="474">
        <f t="shared" si="39"/>
        <v>0</v>
      </c>
      <c r="K126" s="474">
        <f t="shared" si="40"/>
        <v>0</v>
      </c>
      <c r="L126" s="492"/>
      <c r="M126" s="481"/>
      <c r="N126" s="481"/>
      <c r="O126" s="474">
        <f t="shared" si="41"/>
        <v>0</v>
      </c>
      <c r="P126" s="474">
        <f t="shared" si="42"/>
        <v>0</v>
      </c>
      <c r="Q126" s="474">
        <f t="shared" si="43"/>
        <v>0</v>
      </c>
      <c r="R126" s="449">
        <f>Forecast!J121</f>
        <v>0</v>
      </c>
      <c r="S126" s="449">
        <f>Forecast!N121</f>
        <v>0</v>
      </c>
      <c r="T126" s="475">
        <f t="shared" si="44"/>
        <v>0</v>
      </c>
      <c r="U126" s="475">
        <f t="shared" si="45"/>
        <v>0</v>
      </c>
      <c r="V126" s="349">
        <f t="shared" si="46"/>
        <v>0</v>
      </c>
      <c r="W126" s="350">
        <f t="shared" si="47"/>
        <v>0</v>
      </c>
      <c r="X126" s="469">
        <f>'Channel &amp; Campaign Metrics'!AR125</f>
        <v>0</v>
      </c>
      <c r="Y126" s="469">
        <f>'Channel &amp; Campaign Metrics'!BS125</f>
        <v>0</v>
      </c>
      <c r="Z126" s="446"/>
      <c r="AA126" s="112"/>
      <c r="AB126" s="358">
        <f>'Glass Metrics'!AC126</f>
        <v>0</v>
      </c>
      <c r="AC126" s="475">
        <f>'Glass Metrics'!I126</f>
        <v>0</v>
      </c>
      <c r="AD126" s="469">
        <f>'Glass Metrics'!N126</f>
        <v>0</v>
      </c>
      <c r="AE126" s="475">
        <f>'Glass Metrics'!S126</f>
        <v>0</v>
      </c>
      <c r="AF126" s="359" t="str">
        <f t="shared" si="48"/>
        <v/>
      </c>
      <c r="AG126" s="477" t="str">
        <f t="shared" si="49"/>
        <v/>
      </c>
      <c r="AH126" s="472" t="str">
        <f t="shared" si="50"/>
        <v/>
      </c>
      <c r="AI126" s="360" t="str">
        <f t="shared" si="51"/>
        <v/>
      </c>
      <c r="AJ126" s="361" t="str">
        <f t="shared" si="61"/>
        <v/>
      </c>
      <c r="AK126" s="482"/>
      <c r="AL126" s="482"/>
      <c r="AM126" s="481"/>
      <c r="AN126" s="481"/>
      <c r="AO126" s="374" t="str">
        <f t="shared" si="57"/>
        <v/>
      </c>
      <c r="AP126" s="361"/>
      <c r="AQ126" s="482"/>
      <c r="AR126" s="482"/>
      <c r="AS126" s="187">
        <f t="shared" si="70"/>
        <v>-0.1</v>
      </c>
      <c r="AT126" s="120"/>
      <c r="AU126" s="499"/>
      <c r="AV126" s="500">
        <f t="shared" si="52"/>
        <v>0</v>
      </c>
      <c r="AW126" s="501">
        <f t="shared" si="58"/>
        <v>0</v>
      </c>
      <c r="AX126" s="501">
        <f t="shared" si="59"/>
        <v>0</v>
      </c>
      <c r="AY126" s="385">
        <f t="shared" si="60"/>
        <v>0</v>
      </c>
      <c r="AZ126" s="382">
        <f t="shared" si="62"/>
        <v>0</v>
      </c>
      <c r="BA126" s="495">
        <f t="shared" si="63"/>
        <v>0</v>
      </c>
      <c r="BB126" s="481"/>
      <c r="BC126" s="481"/>
      <c r="BD126" s="481"/>
      <c r="BE126" s="481"/>
      <c r="BF126" s="453" t="str">
        <f t="shared" si="64"/>
        <v>-</v>
      </c>
      <c r="BG126" s="453" t="str">
        <f t="shared" si="65"/>
        <v>-</v>
      </c>
      <c r="BH126" s="453" t="str">
        <f t="shared" si="66"/>
        <v>-</v>
      </c>
      <c r="BI126" s="453" t="str">
        <f t="shared" si="67"/>
        <v>-</v>
      </c>
      <c r="BJ126" s="453" t="str">
        <f t="shared" si="68"/>
        <v>-</v>
      </c>
      <c r="BK126" s="390" t="str">
        <f t="shared" si="69"/>
        <v>-</v>
      </c>
      <c r="BL126" s="125"/>
      <c r="BM126" s="92"/>
      <c r="BN126" s="386">
        <f t="shared" si="53"/>
        <v>0</v>
      </c>
    </row>
    <row r="127" spans="1:66" s="89" customFormat="1" ht="16.350000000000001" customHeight="1">
      <c r="A127" s="175">
        <f t="shared" si="35"/>
        <v>2023</v>
      </c>
      <c r="B127" s="454" t="str">
        <f t="shared" si="36"/>
        <v>17</v>
      </c>
      <c r="C127" s="454" t="str">
        <f t="array" ref="C127">_xlfn.IFS(_xlfn.NUMBERVALUE(B127)&lt;=13,"Q1",AND(_xlfn.NUMBERVALUE(B127)&gt;13,_xlfn.NUMBERVALUE(B127)&lt;=26),"Q2", AND(_xlfn.NUMBERVALUE(B127)&gt;26,_xlfn.NUMBERVALUE(B127)&lt;=39),"Q3",_xlfn.NUMBERVALUE(B127)&gt;39,"Q4")</f>
        <v>Q2</v>
      </c>
      <c r="D127" s="448">
        <f t="shared" si="54"/>
        <v>44702</v>
      </c>
      <c r="E127" s="448">
        <f t="shared" si="37"/>
        <v>44708</v>
      </c>
      <c r="F127" s="79">
        <v>202217</v>
      </c>
      <c r="G127" s="342">
        <f t="shared" si="38"/>
        <v>0</v>
      </c>
      <c r="H127" s="471"/>
      <c r="I127" s="471"/>
      <c r="J127" s="474">
        <f t="shared" si="39"/>
        <v>0</v>
      </c>
      <c r="K127" s="474">
        <f t="shared" si="40"/>
        <v>0</v>
      </c>
      <c r="L127" s="492"/>
      <c r="M127" s="481"/>
      <c r="N127" s="481"/>
      <c r="O127" s="474">
        <f t="shared" si="41"/>
        <v>0</v>
      </c>
      <c r="P127" s="474">
        <f t="shared" si="42"/>
        <v>0</v>
      </c>
      <c r="Q127" s="474">
        <f t="shared" si="43"/>
        <v>0</v>
      </c>
      <c r="R127" s="449">
        <f>Forecast!J122</f>
        <v>0</v>
      </c>
      <c r="S127" s="449">
        <f>Forecast!N122</f>
        <v>0</v>
      </c>
      <c r="T127" s="475">
        <f t="shared" si="44"/>
        <v>0</v>
      </c>
      <c r="U127" s="475">
        <f t="shared" si="45"/>
        <v>0</v>
      </c>
      <c r="V127" s="349">
        <f t="shared" si="46"/>
        <v>0</v>
      </c>
      <c r="W127" s="350">
        <f t="shared" si="47"/>
        <v>0</v>
      </c>
      <c r="X127" s="469">
        <f>'Channel &amp; Campaign Metrics'!AR126</f>
        <v>0</v>
      </c>
      <c r="Y127" s="469">
        <f>'Channel &amp; Campaign Metrics'!BS126</f>
        <v>0</v>
      </c>
      <c r="Z127" s="446"/>
      <c r="AA127" s="112"/>
      <c r="AB127" s="358">
        <f>'Glass Metrics'!AC127</f>
        <v>0</v>
      </c>
      <c r="AC127" s="475">
        <f>'Glass Metrics'!I127</f>
        <v>0</v>
      </c>
      <c r="AD127" s="469">
        <f>'Glass Metrics'!N127</f>
        <v>0</v>
      </c>
      <c r="AE127" s="475">
        <f>'Glass Metrics'!S127</f>
        <v>0</v>
      </c>
      <c r="AF127" s="359" t="str">
        <f t="shared" si="48"/>
        <v/>
      </c>
      <c r="AG127" s="477" t="str">
        <f t="shared" si="49"/>
        <v/>
      </c>
      <c r="AH127" s="472" t="str">
        <f t="shared" si="50"/>
        <v/>
      </c>
      <c r="AI127" s="360" t="str">
        <f t="shared" si="51"/>
        <v/>
      </c>
      <c r="AJ127" s="361" t="str">
        <f t="shared" si="61"/>
        <v/>
      </c>
      <c r="AK127" s="482"/>
      <c r="AL127" s="482"/>
      <c r="AM127" s="481"/>
      <c r="AN127" s="481"/>
      <c r="AO127" s="374" t="str">
        <f t="shared" si="57"/>
        <v/>
      </c>
      <c r="AP127" s="361"/>
      <c r="AQ127" s="482"/>
      <c r="AR127" s="482"/>
      <c r="AS127" s="187">
        <f t="shared" si="70"/>
        <v>-0.1</v>
      </c>
      <c r="AT127" s="120"/>
      <c r="AU127" s="499"/>
      <c r="AV127" s="500">
        <f t="shared" si="52"/>
        <v>0</v>
      </c>
      <c r="AW127" s="501">
        <f t="shared" si="58"/>
        <v>0</v>
      </c>
      <c r="AX127" s="501">
        <f t="shared" si="59"/>
        <v>0</v>
      </c>
      <c r="AY127" s="385">
        <f t="shared" si="60"/>
        <v>0</v>
      </c>
      <c r="AZ127" s="382">
        <f t="shared" si="62"/>
        <v>0</v>
      </c>
      <c r="BA127" s="495">
        <f t="shared" si="63"/>
        <v>0</v>
      </c>
      <c r="BB127" s="481"/>
      <c r="BC127" s="481"/>
      <c r="BD127" s="481"/>
      <c r="BE127" s="481"/>
      <c r="BF127" s="453" t="str">
        <f t="shared" si="64"/>
        <v>-</v>
      </c>
      <c r="BG127" s="453" t="str">
        <f t="shared" si="65"/>
        <v>-</v>
      </c>
      <c r="BH127" s="453" t="str">
        <f t="shared" si="66"/>
        <v>-</v>
      </c>
      <c r="BI127" s="453" t="str">
        <f t="shared" si="67"/>
        <v>-</v>
      </c>
      <c r="BJ127" s="453" t="str">
        <f t="shared" si="68"/>
        <v>-</v>
      </c>
      <c r="BK127" s="390" t="str">
        <f t="shared" si="69"/>
        <v>-</v>
      </c>
      <c r="BL127" s="125"/>
      <c r="BM127" s="92"/>
      <c r="BN127" s="386">
        <f t="shared" si="53"/>
        <v>0</v>
      </c>
    </row>
    <row r="128" spans="1:66" s="89" customFormat="1" ht="16.350000000000001" customHeight="1">
      <c r="A128" s="175">
        <f t="shared" si="35"/>
        <v>2023</v>
      </c>
      <c r="B128" s="454" t="str">
        <f t="shared" si="36"/>
        <v>18</v>
      </c>
      <c r="C128" s="454" t="str">
        <f t="array" ref="C128">_xlfn.IFS(_xlfn.NUMBERVALUE(B128)&lt;=13,"Q1",AND(_xlfn.NUMBERVALUE(B128)&gt;13,_xlfn.NUMBERVALUE(B128)&lt;=26),"Q2", AND(_xlfn.NUMBERVALUE(B128)&gt;26,_xlfn.NUMBERVALUE(B128)&lt;=39),"Q3",_xlfn.NUMBERVALUE(B128)&gt;39,"Q4")</f>
        <v>Q2</v>
      </c>
      <c r="D128" s="448">
        <f t="shared" si="54"/>
        <v>44709</v>
      </c>
      <c r="E128" s="448">
        <f t="shared" si="37"/>
        <v>44715</v>
      </c>
      <c r="F128" s="79">
        <v>202218</v>
      </c>
      <c r="G128" s="342">
        <f t="shared" si="38"/>
        <v>0</v>
      </c>
      <c r="H128" s="471"/>
      <c r="I128" s="471"/>
      <c r="J128" s="474">
        <f t="shared" si="39"/>
        <v>0</v>
      </c>
      <c r="K128" s="474">
        <f t="shared" si="40"/>
        <v>0</v>
      </c>
      <c r="L128" s="492"/>
      <c r="M128" s="481"/>
      <c r="N128" s="481"/>
      <c r="O128" s="474">
        <f t="shared" si="41"/>
        <v>0</v>
      </c>
      <c r="P128" s="474">
        <f t="shared" si="42"/>
        <v>0</v>
      </c>
      <c r="Q128" s="474">
        <f t="shared" si="43"/>
        <v>0</v>
      </c>
      <c r="R128" s="449">
        <f>Forecast!J123</f>
        <v>0</v>
      </c>
      <c r="S128" s="449">
        <f>Forecast!N123</f>
        <v>0</v>
      </c>
      <c r="T128" s="475">
        <f t="shared" si="44"/>
        <v>0</v>
      </c>
      <c r="U128" s="475">
        <f t="shared" si="45"/>
        <v>0</v>
      </c>
      <c r="V128" s="349">
        <f t="shared" si="46"/>
        <v>0</v>
      </c>
      <c r="W128" s="350">
        <f t="shared" si="47"/>
        <v>0</v>
      </c>
      <c r="X128" s="469">
        <f>'Channel &amp; Campaign Metrics'!AR127</f>
        <v>0</v>
      </c>
      <c r="Y128" s="469">
        <f>'Channel &amp; Campaign Metrics'!BS127</f>
        <v>0</v>
      </c>
      <c r="Z128" s="446"/>
      <c r="AA128" s="112"/>
      <c r="AB128" s="358">
        <f>'Glass Metrics'!AC128</f>
        <v>0</v>
      </c>
      <c r="AC128" s="475">
        <f>'Glass Metrics'!I128</f>
        <v>0</v>
      </c>
      <c r="AD128" s="469">
        <f>'Glass Metrics'!N128</f>
        <v>0</v>
      </c>
      <c r="AE128" s="475">
        <f>'Glass Metrics'!S128</f>
        <v>90815158</v>
      </c>
      <c r="AF128" s="359" t="str">
        <f t="shared" si="48"/>
        <v/>
      </c>
      <c r="AG128" s="477">
        <f t="shared" si="49"/>
        <v>0</v>
      </c>
      <c r="AH128" s="472" t="str">
        <f t="shared" si="50"/>
        <v/>
      </c>
      <c r="AI128" s="360" t="str">
        <f t="shared" si="51"/>
        <v/>
      </c>
      <c r="AJ128" s="361" t="str">
        <f t="shared" si="61"/>
        <v/>
      </c>
      <c r="AK128" s="482"/>
      <c r="AL128" s="482"/>
      <c r="AM128" s="481"/>
      <c r="AN128" s="481"/>
      <c r="AO128" s="374" t="str">
        <f t="shared" si="57"/>
        <v/>
      </c>
      <c r="AP128" s="361"/>
      <c r="AQ128" s="482"/>
      <c r="AR128" s="482"/>
      <c r="AS128" s="187">
        <f t="shared" si="70"/>
        <v>-0.1</v>
      </c>
      <c r="AT128" s="120"/>
      <c r="AU128" s="499"/>
      <c r="AV128" s="500">
        <f t="shared" si="52"/>
        <v>0</v>
      </c>
      <c r="AW128" s="501">
        <f t="shared" si="58"/>
        <v>0</v>
      </c>
      <c r="AX128" s="501">
        <f t="shared" si="59"/>
        <v>0</v>
      </c>
      <c r="AY128" s="385">
        <f t="shared" si="60"/>
        <v>0</v>
      </c>
      <c r="AZ128" s="382">
        <f t="shared" si="62"/>
        <v>0</v>
      </c>
      <c r="BA128" s="495">
        <f t="shared" si="63"/>
        <v>0</v>
      </c>
      <c r="BB128" s="481"/>
      <c r="BC128" s="481"/>
      <c r="BD128" s="481"/>
      <c r="BE128" s="481"/>
      <c r="BF128" s="453" t="str">
        <f t="shared" si="64"/>
        <v>-</v>
      </c>
      <c r="BG128" s="453" t="str">
        <f t="shared" si="65"/>
        <v>-</v>
      </c>
      <c r="BH128" s="453" t="str">
        <f t="shared" si="66"/>
        <v>-</v>
      </c>
      <c r="BI128" s="453" t="str">
        <f t="shared" si="67"/>
        <v>-</v>
      </c>
      <c r="BJ128" s="453" t="str">
        <f t="shared" si="68"/>
        <v>-</v>
      </c>
      <c r="BK128" s="390" t="str">
        <f t="shared" si="69"/>
        <v>-</v>
      </c>
      <c r="BL128" s="125"/>
      <c r="BM128" s="92"/>
      <c r="BN128" s="386">
        <f t="shared" si="53"/>
        <v>0</v>
      </c>
    </row>
    <row r="129" spans="1:66" s="89" customFormat="1" ht="16.350000000000001" customHeight="1">
      <c r="A129" s="175">
        <f t="shared" si="35"/>
        <v>2023</v>
      </c>
      <c r="B129" s="454" t="str">
        <f t="shared" si="36"/>
        <v>19</v>
      </c>
      <c r="C129" s="454" t="str">
        <f t="array" ref="C129">_xlfn.IFS(_xlfn.NUMBERVALUE(B129)&lt;=13,"Q1",AND(_xlfn.NUMBERVALUE(B129)&gt;13,_xlfn.NUMBERVALUE(B129)&lt;=26),"Q2", AND(_xlfn.NUMBERVALUE(B129)&gt;26,_xlfn.NUMBERVALUE(B129)&lt;=39),"Q3",_xlfn.NUMBERVALUE(B129)&gt;39,"Q4")</f>
        <v>Q2</v>
      </c>
      <c r="D129" s="448">
        <f t="shared" si="54"/>
        <v>44716</v>
      </c>
      <c r="E129" s="448">
        <f t="shared" si="37"/>
        <v>44722</v>
      </c>
      <c r="F129" s="79">
        <v>202219</v>
      </c>
      <c r="G129" s="342">
        <f t="shared" si="38"/>
        <v>0</v>
      </c>
      <c r="H129" s="471"/>
      <c r="I129" s="471"/>
      <c r="J129" s="474">
        <f t="shared" si="39"/>
        <v>0</v>
      </c>
      <c r="K129" s="474">
        <f t="shared" si="40"/>
        <v>0</v>
      </c>
      <c r="L129" s="492"/>
      <c r="M129" s="481"/>
      <c r="N129" s="481"/>
      <c r="O129" s="474">
        <f t="shared" si="41"/>
        <v>0</v>
      </c>
      <c r="P129" s="474">
        <f t="shared" si="42"/>
        <v>0</v>
      </c>
      <c r="Q129" s="474">
        <f t="shared" si="43"/>
        <v>0</v>
      </c>
      <c r="R129" s="449">
        <f>Forecast!J124</f>
        <v>0</v>
      </c>
      <c r="S129" s="449">
        <f>Forecast!N124</f>
        <v>0</v>
      </c>
      <c r="T129" s="475">
        <f t="shared" si="44"/>
        <v>0</v>
      </c>
      <c r="U129" s="475">
        <f t="shared" si="45"/>
        <v>0</v>
      </c>
      <c r="V129" s="349">
        <f t="shared" si="46"/>
        <v>0</v>
      </c>
      <c r="W129" s="350">
        <f t="shared" si="47"/>
        <v>0</v>
      </c>
      <c r="X129" s="469">
        <f>'Channel &amp; Campaign Metrics'!AR128</f>
        <v>0</v>
      </c>
      <c r="Y129" s="469">
        <f>'Channel &amp; Campaign Metrics'!BS128</f>
        <v>0</v>
      </c>
      <c r="Z129" s="446"/>
      <c r="AA129" s="112"/>
      <c r="AB129" s="358">
        <f>'Glass Metrics'!AC129</f>
        <v>0</v>
      </c>
      <c r="AC129" s="475">
        <f>'Glass Metrics'!I129</f>
        <v>0</v>
      </c>
      <c r="AD129" s="469">
        <f>'Glass Metrics'!N129</f>
        <v>0</v>
      </c>
      <c r="AE129" s="475">
        <f>'Glass Metrics'!S129</f>
        <v>0</v>
      </c>
      <c r="AF129" s="359" t="str">
        <f t="shared" si="48"/>
        <v/>
      </c>
      <c r="AG129" s="477" t="str">
        <f t="shared" si="49"/>
        <v/>
      </c>
      <c r="AH129" s="472" t="str">
        <f t="shared" si="50"/>
        <v/>
      </c>
      <c r="AI129" s="360" t="str">
        <f t="shared" si="51"/>
        <v/>
      </c>
      <c r="AJ129" s="361" t="str">
        <f t="shared" si="61"/>
        <v/>
      </c>
      <c r="AK129" s="482"/>
      <c r="AL129" s="482"/>
      <c r="AM129" s="481"/>
      <c r="AN129" s="481"/>
      <c r="AO129" s="374" t="str">
        <f t="shared" si="57"/>
        <v/>
      </c>
      <c r="AP129" s="361"/>
      <c r="AQ129" s="482"/>
      <c r="AR129" s="482"/>
      <c r="AS129" s="187">
        <f t="shared" si="70"/>
        <v>-0.1</v>
      </c>
      <c r="AT129" s="120"/>
      <c r="AU129" s="499"/>
      <c r="AV129" s="500">
        <f t="shared" si="52"/>
        <v>0</v>
      </c>
      <c r="AW129" s="501">
        <f t="shared" si="58"/>
        <v>0</v>
      </c>
      <c r="AX129" s="501">
        <f t="shared" si="59"/>
        <v>0</v>
      </c>
      <c r="AY129" s="385">
        <f t="shared" si="60"/>
        <v>0</v>
      </c>
      <c r="AZ129" s="382">
        <f t="shared" si="62"/>
        <v>0</v>
      </c>
      <c r="BA129" s="495">
        <f t="shared" si="63"/>
        <v>0</v>
      </c>
      <c r="BB129" s="481"/>
      <c r="BC129" s="481"/>
      <c r="BD129" s="481"/>
      <c r="BE129" s="481"/>
      <c r="BF129" s="453" t="str">
        <f t="shared" si="64"/>
        <v>-</v>
      </c>
      <c r="BG129" s="453" t="str">
        <f t="shared" si="65"/>
        <v>-</v>
      </c>
      <c r="BH129" s="453" t="str">
        <f t="shared" si="66"/>
        <v>-</v>
      </c>
      <c r="BI129" s="453" t="str">
        <f t="shared" si="67"/>
        <v>-</v>
      </c>
      <c r="BJ129" s="453" t="str">
        <f t="shared" si="68"/>
        <v>-</v>
      </c>
      <c r="BK129" s="390" t="str">
        <f t="shared" si="69"/>
        <v>-</v>
      </c>
      <c r="BL129" s="125"/>
      <c r="BM129" s="92"/>
      <c r="BN129" s="386">
        <f t="shared" si="53"/>
        <v>0</v>
      </c>
    </row>
    <row r="130" spans="1:66" s="89" customFormat="1" ht="16.350000000000001" customHeight="1">
      <c r="A130" s="175">
        <f t="shared" si="35"/>
        <v>2023</v>
      </c>
      <c r="B130" s="454" t="str">
        <f t="shared" si="36"/>
        <v>20</v>
      </c>
      <c r="C130" s="454" t="str">
        <f t="array" ref="C130">_xlfn.IFS(_xlfn.NUMBERVALUE(B130)&lt;=13,"Q1",AND(_xlfn.NUMBERVALUE(B130)&gt;13,_xlfn.NUMBERVALUE(B130)&lt;=26),"Q2", AND(_xlfn.NUMBERVALUE(B130)&gt;26,_xlfn.NUMBERVALUE(B130)&lt;=39),"Q3",_xlfn.NUMBERVALUE(B130)&gt;39,"Q4")</f>
        <v>Q2</v>
      </c>
      <c r="D130" s="448">
        <f t="shared" si="54"/>
        <v>44723</v>
      </c>
      <c r="E130" s="448">
        <f t="shared" si="37"/>
        <v>44729</v>
      </c>
      <c r="F130" s="79">
        <v>202220</v>
      </c>
      <c r="G130" s="342">
        <f t="shared" si="38"/>
        <v>0</v>
      </c>
      <c r="H130" s="471"/>
      <c r="I130" s="471"/>
      <c r="J130" s="474">
        <f t="shared" si="39"/>
        <v>0</v>
      </c>
      <c r="K130" s="474">
        <f t="shared" si="40"/>
        <v>0</v>
      </c>
      <c r="L130" s="492"/>
      <c r="M130" s="481"/>
      <c r="N130" s="481"/>
      <c r="O130" s="474">
        <f t="shared" si="41"/>
        <v>0</v>
      </c>
      <c r="P130" s="474">
        <f t="shared" si="42"/>
        <v>0</v>
      </c>
      <c r="Q130" s="474">
        <f t="shared" si="43"/>
        <v>0</v>
      </c>
      <c r="R130" s="449">
        <f>Forecast!J125</f>
        <v>0</v>
      </c>
      <c r="S130" s="449">
        <f>Forecast!N125</f>
        <v>0</v>
      </c>
      <c r="T130" s="475">
        <f t="shared" si="44"/>
        <v>0</v>
      </c>
      <c r="U130" s="475">
        <f t="shared" si="45"/>
        <v>0</v>
      </c>
      <c r="V130" s="349">
        <f t="shared" si="46"/>
        <v>0</v>
      </c>
      <c r="W130" s="350">
        <f t="shared" si="47"/>
        <v>0</v>
      </c>
      <c r="X130" s="469">
        <f>'Channel &amp; Campaign Metrics'!AR129</f>
        <v>0</v>
      </c>
      <c r="Y130" s="469">
        <f>'Channel &amp; Campaign Metrics'!BS129</f>
        <v>0</v>
      </c>
      <c r="Z130" s="446"/>
      <c r="AA130" s="112"/>
      <c r="AB130" s="358">
        <f>'Glass Metrics'!AC130</f>
        <v>0</v>
      </c>
      <c r="AC130" s="475">
        <f>'Glass Metrics'!I130</f>
        <v>0</v>
      </c>
      <c r="AD130" s="469">
        <f>'Glass Metrics'!N130</f>
        <v>0</v>
      </c>
      <c r="AE130" s="475">
        <f>'Glass Metrics'!S130</f>
        <v>0</v>
      </c>
      <c r="AF130" s="359" t="str">
        <f t="shared" si="48"/>
        <v/>
      </c>
      <c r="AG130" s="477" t="str">
        <f t="shared" si="49"/>
        <v/>
      </c>
      <c r="AH130" s="472" t="str">
        <f t="shared" si="50"/>
        <v/>
      </c>
      <c r="AI130" s="360" t="str">
        <f t="shared" si="51"/>
        <v/>
      </c>
      <c r="AJ130" s="361" t="str">
        <f t="shared" si="61"/>
        <v/>
      </c>
      <c r="AK130" s="482"/>
      <c r="AL130" s="482"/>
      <c r="AM130" s="481"/>
      <c r="AN130" s="481"/>
      <c r="AO130" s="374" t="str">
        <f t="shared" si="57"/>
        <v/>
      </c>
      <c r="AP130" s="361"/>
      <c r="AQ130" s="482"/>
      <c r="AR130" s="482"/>
      <c r="AS130" s="187">
        <f t="shared" si="70"/>
        <v>-0.1</v>
      </c>
      <c r="AT130" s="120"/>
      <c r="AU130" s="499"/>
      <c r="AV130" s="500">
        <f t="shared" si="52"/>
        <v>0</v>
      </c>
      <c r="AW130" s="501">
        <f t="shared" si="58"/>
        <v>0</v>
      </c>
      <c r="AX130" s="501">
        <f t="shared" si="59"/>
        <v>0</v>
      </c>
      <c r="AY130" s="385">
        <f t="shared" si="60"/>
        <v>0</v>
      </c>
      <c r="AZ130" s="382">
        <f t="shared" si="62"/>
        <v>0</v>
      </c>
      <c r="BA130" s="495">
        <f t="shared" si="63"/>
        <v>0</v>
      </c>
      <c r="BB130" s="481"/>
      <c r="BC130" s="481"/>
      <c r="BD130" s="481"/>
      <c r="BE130" s="481"/>
      <c r="BF130" s="453" t="str">
        <f t="shared" si="64"/>
        <v>-</v>
      </c>
      <c r="BG130" s="453" t="str">
        <f t="shared" si="65"/>
        <v>-</v>
      </c>
      <c r="BH130" s="453" t="str">
        <f t="shared" si="66"/>
        <v>-</v>
      </c>
      <c r="BI130" s="453" t="str">
        <f t="shared" si="67"/>
        <v>-</v>
      </c>
      <c r="BJ130" s="453" t="str">
        <f t="shared" si="68"/>
        <v>-</v>
      </c>
      <c r="BK130" s="390" t="str">
        <f t="shared" si="69"/>
        <v>-</v>
      </c>
      <c r="BL130" s="125"/>
      <c r="BM130" s="92"/>
      <c r="BN130" s="386">
        <f t="shared" si="53"/>
        <v>0</v>
      </c>
    </row>
    <row r="131" spans="1:66" s="89" customFormat="1" ht="16.350000000000001" customHeight="1">
      <c r="A131" s="175">
        <f t="shared" si="35"/>
        <v>2023</v>
      </c>
      <c r="B131" s="454" t="str">
        <f t="shared" si="36"/>
        <v>21</v>
      </c>
      <c r="C131" s="454" t="str">
        <f t="array" ref="C131">_xlfn.IFS(_xlfn.NUMBERVALUE(B131)&lt;=13,"Q1",AND(_xlfn.NUMBERVALUE(B131)&gt;13,_xlfn.NUMBERVALUE(B131)&lt;=26),"Q2", AND(_xlfn.NUMBERVALUE(B131)&gt;26,_xlfn.NUMBERVALUE(B131)&lt;=39),"Q3",_xlfn.NUMBERVALUE(B131)&gt;39,"Q4")</f>
        <v>Q2</v>
      </c>
      <c r="D131" s="448">
        <f t="shared" si="54"/>
        <v>44730</v>
      </c>
      <c r="E131" s="448">
        <f t="shared" si="37"/>
        <v>44736</v>
      </c>
      <c r="F131" s="79">
        <v>202221</v>
      </c>
      <c r="G131" s="342">
        <f t="shared" si="38"/>
        <v>0</v>
      </c>
      <c r="H131" s="471"/>
      <c r="I131" s="471"/>
      <c r="J131" s="474">
        <f t="shared" si="39"/>
        <v>0</v>
      </c>
      <c r="K131" s="474">
        <f t="shared" si="40"/>
        <v>0</v>
      </c>
      <c r="L131" s="492"/>
      <c r="M131" s="481"/>
      <c r="N131" s="481"/>
      <c r="O131" s="474">
        <f t="shared" si="41"/>
        <v>0</v>
      </c>
      <c r="P131" s="474">
        <f t="shared" si="42"/>
        <v>0</v>
      </c>
      <c r="Q131" s="474">
        <f t="shared" si="43"/>
        <v>0</v>
      </c>
      <c r="R131" s="449">
        <f>Forecast!J126</f>
        <v>0</v>
      </c>
      <c r="S131" s="449">
        <f>Forecast!N126</f>
        <v>0</v>
      </c>
      <c r="T131" s="475">
        <f t="shared" si="44"/>
        <v>0</v>
      </c>
      <c r="U131" s="475">
        <f t="shared" si="45"/>
        <v>0</v>
      </c>
      <c r="V131" s="349">
        <f t="shared" si="46"/>
        <v>0</v>
      </c>
      <c r="W131" s="350">
        <f t="shared" si="47"/>
        <v>0</v>
      </c>
      <c r="X131" s="469">
        <f>'Channel &amp; Campaign Metrics'!AR130</f>
        <v>0</v>
      </c>
      <c r="Y131" s="469">
        <f>'Channel &amp; Campaign Metrics'!BS130</f>
        <v>0</v>
      </c>
      <c r="Z131" s="446"/>
      <c r="AA131" s="112"/>
      <c r="AB131" s="358">
        <f>'Glass Metrics'!AC131</f>
        <v>0</v>
      </c>
      <c r="AC131" s="475">
        <f>'Glass Metrics'!I131</f>
        <v>0</v>
      </c>
      <c r="AD131" s="469">
        <f>'Glass Metrics'!N131</f>
        <v>0</v>
      </c>
      <c r="AE131" s="475">
        <f>'Glass Metrics'!S131</f>
        <v>0</v>
      </c>
      <c r="AF131" s="359" t="str">
        <f t="shared" si="48"/>
        <v/>
      </c>
      <c r="AG131" s="477" t="str">
        <f t="shared" si="49"/>
        <v/>
      </c>
      <c r="AH131" s="472" t="str">
        <f t="shared" si="50"/>
        <v/>
      </c>
      <c r="AI131" s="360" t="str">
        <f t="shared" si="51"/>
        <v/>
      </c>
      <c r="AJ131" s="361" t="str">
        <f t="shared" si="61"/>
        <v/>
      </c>
      <c r="AK131" s="482"/>
      <c r="AL131" s="482"/>
      <c r="AM131" s="481"/>
      <c r="AN131" s="481"/>
      <c r="AO131" s="374" t="str">
        <f t="shared" si="57"/>
        <v/>
      </c>
      <c r="AP131" s="361"/>
      <c r="AQ131" s="482"/>
      <c r="AR131" s="482"/>
      <c r="AS131" s="187">
        <f t="shared" si="70"/>
        <v>-0.1</v>
      </c>
      <c r="AT131" s="120"/>
      <c r="AU131" s="499"/>
      <c r="AV131" s="500">
        <f t="shared" si="52"/>
        <v>0</v>
      </c>
      <c r="AW131" s="501">
        <f t="shared" si="58"/>
        <v>0</v>
      </c>
      <c r="AX131" s="501">
        <f t="shared" si="59"/>
        <v>0</v>
      </c>
      <c r="AY131" s="385">
        <f t="shared" si="60"/>
        <v>0</v>
      </c>
      <c r="AZ131" s="382">
        <f t="shared" si="62"/>
        <v>0</v>
      </c>
      <c r="BA131" s="495">
        <f t="shared" si="63"/>
        <v>0</v>
      </c>
      <c r="BB131" s="481"/>
      <c r="BC131" s="481"/>
      <c r="BD131" s="481"/>
      <c r="BE131" s="481"/>
      <c r="BF131" s="453" t="str">
        <f t="shared" si="64"/>
        <v>-</v>
      </c>
      <c r="BG131" s="453" t="str">
        <f t="shared" si="65"/>
        <v>-</v>
      </c>
      <c r="BH131" s="453" t="str">
        <f t="shared" si="66"/>
        <v>-</v>
      </c>
      <c r="BI131" s="453" t="str">
        <f t="shared" si="67"/>
        <v>-</v>
      </c>
      <c r="BJ131" s="453" t="str">
        <f t="shared" si="68"/>
        <v>-</v>
      </c>
      <c r="BK131" s="390" t="str">
        <f t="shared" si="69"/>
        <v>-</v>
      </c>
      <c r="BL131" s="125"/>
      <c r="BM131" s="92"/>
      <c r="BN131" s="386">
        <f t="shared" si="53"/>
        <v>0</v>
      </c>
    </row>
    <row r="132" spans="1:66" s="89" customFormat="1" ht="16.350000000000001" customHeight="1">
      <c r="A132" s="175">
        <f t="shared" si="35"/>
        <v>2023</v>
      </c>
      <c r="B132" s="454" t="str">
        <f t="shared" si="36"/>
        <v>22</v>
      </c>
      <c r="C132" s="454" t="str">
        <f t="array" ref="C132">_xlfn.IFS(_xlfn.NUMBERVALUE(B132)&lt;=13,"Q1",AND(_xlfn.NUMBERVALUE(B132)&gt;13,_xlfn.NUMBERVALUE(B132)&lt;=26),"Q2", AND(_xlfn.NUMBERVALUE(B132)&gt;26,_xlfn.NUMBERVALUE(B132)&lt;=39),"Q3",_xlfn.NUMBERVALUE(B132)&gt;39,"Q4")</f>
        <v>Q2</v>
      </c>
      <c r="D132" s="448">
        <f t="shared" si="54"/>
        <v>44737</v>
      </c>
      <c r="E132" s="448">
        <f t="shared" si="37"/>
        <v>44743</v>
      </c>
      <c r="F132" s="79">
        <v>202222</v>
      </c>
      <c r="G132" s="342">
        <f t="shared" si="38"/>
        <v>0</v>
      </c>
      <c r="H132" s="471"/>
      <c r="I132" s="471"/>
      <c r="J132" s="474">
        <f t="shared" si="39"/>
        <v>0</v>
      </c>
      <c r="K132" s="474">
        <f t="shared" si="40"/>
        <v>0</v>
      </c>
      <c r="L132" s="492"/>
      <c r="M132" s="481"/>
      <c r="N132" s="481"/>
      <c r="O132" s="474">
        <f t="shared" si="41"/>
        <v>0</v>
      </c>
      <c r="P132" s="474">
        <f t="shared" si="42"/>
        <v>0</v>
      </c>
      <c r="Q132" s="474">
        <f t="shared" si="43"/>
        <v>0</v>
      </c>
      <c r="R132" s="449">
        <f>Forecast!J127</f>
        <v>0</v>
      </c>
      <c r="S132" s="449">
        <f>Forecast!N127</f>
        <v>0</v>
      </c>
      <c r="T132" s="475">
        <f t="shared" si="44"/>
        <v>0</v>
      </c>
      <c r="U132" s="475">
        <f t="shared" si="45"/>
        <v>0</v>
      </c>
      <c r="V132" s="349">
        <f t="shared" si="46"/>
        <v>0</v>
      </c>
      <c r="W132" s="350">
        <f t="shared" si="47"/>
        <v>0</v>
      </c>
      <c r="X132" s="469">
        <f>'Channel &amp; Campaign Metrics'!AR131</f>
        <v>0</v>
      </c>
      <c r="Y132" s="469">
        <f>'Channel &amp; Campaign Metrics'!BS131</f>
        <v>0</v>
      </c>
      <c r="Z132" s="446"/>
      <c r="AA132" s="112"/>
      <c r="AB132" s="358">
        <f>'Glass Metrics'!AC132</f>
        <v>0</v>
      </c>
      <c r="AC132" s="475">
        <f>'Glass Metrics'!I132</f>
        <v>0</v>
      </c>
      <c r="AD132" s="469">
        <f>'Glass Metrics'!N132</f>
        <v>0</v>
      </c>
      <c r="AE132" s="475">
        <f>'Glass Metrics'!S132</f>
        <v>0</v>
      </c>
      <c r="AF132" s="359" t="str">
        <f t="shared" si="48"/>
        <v/>
      </c>
      <c r="AG132" s="477" t="str">
        <f t="shared" si="49"/>
        <v/>
      </c>
      <c r="AH132" s="472" t="str">
        <f t="shared" si="50"/>
        <v/>
      </c>
      <c r="AI132" s="360" t="str">
        <f t="shared" si="51"/>
        <v/>
      </c>
      <c r="AJ132" s="361" t="str">
        <f t="shared" si="61"/>
        <v/>
      </c>
      <c r="AK132" s="482"/>
      <c r="AL132" s="482"/>
      <c r="AM132" s="481"/>
      <c r="AN132" s="481"/>
      <c r="AO132" s="374" t="str">
        <f t="shared" si="57"/>
        <v/>
      </c>
      <c r="AP132" s="361"/>
      <c r="AQ132" s="482"/>
      <c r="AR132" s="482"/>
      <c r="AS132" s="187">
        <f t="shared" si="70"/>
        <v>-0.1</v>
      </c>
      <c r="AT132" s="120"/>
      <c r="AU132" s="499"/>
      <c r="AV132" s="500">
        <f t="shared" si="52"/>
        <v>0</v>
      </c>
      <c r="AW132" s="501">
        <f t="shared" si="58"/>
        <v>0</v>
      </c>
      <c r="AX132" s="501">
        <f t="shared" si="59"/>
        <v>0</v>
      </c>
      <c r="AY132" s="385">
        <f t="shared" si="60"/>
        <v>0</v>
      </c>
      <c r="AZ132" s="382">
        <f t="shared" si="62"/>
        <v>0</v>
      </c>
      <c r="BA132" s="495">
        <f t="shared" si="63"/>
        <v>0</v>
      </c>
      <c r="BB132" s="481"/>
      <c r="BC132" s="481"/>
      <c r="BD132" s="481"/>
      <c r="BE132" s="481"/>
      <c r="BF132" s="453" t="str">
        <f t="shared" si="64"/>
        <v>-</v>
      </c>
      <c r="BG132" s="453" t="str">
        <f t="shared" si="65"/>
        <v>-</v>
      </c>
      <c r="BH132" s="453" t="str">
        <f t="shared" si="66"/>
        <v>-</v>
      </c>
      <c r="BI132" s="453" t="str">
        <f t="shared" si="67"/>
        <v>-</v>
      </c>
      <c r="BJ132" s="453" t="str">
        <f t="shared" si="68"/>
        <v>-</v>
      </c>
      <c r="BK132" s="390" t="str">
        <f t="shared" si="69"/>
        <v>-</v>
      </c>
      <c r="BL132" s="125"/>
      <c r="BM132" s="92"/>
      <c r="BN132" s="386">
        <f t="shared" si="53"/>
        <v>0</v>
      </c>
    </row>
    <row r="133" spans="1:66" s="89" customFormat="1" ht="16.350000000000001" customHeight="1">
      <c r="A133" s="175">
        <f t="shared" si="35"/>
        <v>2023</v>
      </c>
      <c r="B133" s="454" t="str">
        <f t="shared" si="36"/>
        <v>23</v>
      </c>
      <c r="C133" s="454" t="str">
        <f t="array" ref="C133">_xlfn.IFS(_xlfn.NUMBERVALUE(B133)&lt;=13,"Q1",AND(_xlfn.NUMBERVALUE(B133)&gt;13,_xlfn.NUMBERVALUE(B133)&lt;=26),"Q2", AND(_xlfn.NUMBERVALUE(B133)&gt;26,_xlfn.NUMBERVALUE(B133)&lt;=39),"Q3",_xlfn.NUMBERVALUE(B133)&gt;39,"Q4")</f>
        <v>Q2</v>
      </c>
      <c r="D133" s="448">
        <f t="shared" si="54"/>
        <v>44744</v>
      </c>
      <c r="E133" s="448">
        <f t="shared" si="37"/>
        <v>44750</v>
      </c>
      <c r="F133" s="79">
        <v>202223</v>
      </c>
      <c r="G133" s="342">
        <f t="shared" si="38"/>
        <v>0</v>
      </c>
      <c r="H133" s="471"/>
      <c r="I133" s="471"/>
      <c r="J133" s="474">
        <f t="shared" si="39"/>
        <v>0</v>
      </c>
      <c r="K133" s="474">
        <f t="shared" si="40"/>
        <v>0</v>
      </c>
      <c r="L133" s="492"/>
      <c r="M133" s="481"/>
      <c r="N133" s="481"/>
      <c r="O133" s="474">
        <f t="shared" si="41"/>
        <v>0</v>
      </c>
      <c r="P133" s="474">
        <f t="shared" si="42"/>
        <v>0</v>
      </c>
      <c r="Q133" s="474">
        <f t="shared" si="43"/>
        <v>0</v>
      </c>
      <c r="R133" s="449">
        <f>Forecast!J128</f>
        <v>0</v>
      </c>
      <c r="S133" s="449">
        <f>Forecast!N128</f>
        <v>0</v>
      </c>
      <c r="T133" s="475">
        <f t="shared" si="44"/>
        <v>0</v>
      </c>
      <c r="U133" s="475">
        <f t="shared" si="45"/>
        <v>0</v>
      </c>
      <c r="V133" s="349">
        <f t="shared" si="46"/>
        <v>0</v>
      </c>
      <c r="W133" s="350">
        <f t="shared" si="47"/>
        <v>0</v>
      </c>
      <c r="X133" s="469">
        <f>'Channel &amp; Campaign Metrics'!AR132</f>
        <v>0</v>
      </c>
      <c r="Y133" s="469">
        <f>'Channel &amp; Campaign Metrics'!BS132</f>
        <v>0</v>
      </c>
      <c r="Z133" s="446"/>
      <c r="AA133" s="112"/>
      <c r="AB133" s="358">
        <f>'Glass Metrics'!AC133</f>
        <v>0</v>
      </c>
      <c r="AC133" s="475">
        <f>'Glass Metrics'!I133</f>
        <v>0</v>
      </c>
      <c r="AD133" s="469">
        <f>'Glass Metrics'!N133</f>
        <v>0</v>
      </c>
      <c r="AE133" s="475">
        <f>'Glass Metrics'!S133</f>
        <v>0</v>
      </c>
      <c r="AF133" s="359" t="str">
        <f t="shared" si="48"/>
        <v/>
      </c>
      <c r="AG133" s="477" t="str">
        <f t="shared" si="49"/>
        <v/>
      </c>
      <c r="AH133" s="472" t="str">
        <f t="shared" si="50"/>
        <v/>
      </c>
      <c r="AI133" s="360" t="str">
        <f t="shared" si="51"/>
        <v/>
      </c>
      <c r="AJ133" s="361" t="str">
        <f t="shared" si="61"/>
        <v/>
      </c>
      <c r="AK133" s="482"/>
      <c r="AL133" s="482"/>
      <c r="AM133" s="481"/>
      <c r="AN133" s="481"/>
      <c r="AO133" s="374" t="str">
        <f t="shared" si="57"/>
        <v/>
      </c>
      <c r="AP133" s="361"/>
      <c r="AQ133" s="482"/>
      <c r="AR133" s="482"/>
      <c r="AS133" s="187">
        <f t="shared" si="70"/>
        <v>-0.1</v>
      </c>
      <c r="AT133" s="120"/>
      <c r="AU133" s="499"/>
      <c r="AV133" s="500">
        <f t="shared" si="52"/>
        <v>0</v>
      </c>
      <c r="AW133" s="501">
        <f t="shared" si="58"/>
        <v>0</v>
      </c>
      <c r="AX133" s="501">
        <f t="shared" si="59"/>
        <v>0</v>
      </c>
      <c r="AY133" s="385">
        <f t="shared" si="60"/>
        <v>0</v>
      </c>
      <c r="AZ133" s="382">
        <f t="shared" si="62"/>
        <v>0</v>
      </c>
      <c r="BA133" s="495">
        <f t="shared" si="63"/>
        <v>0</v>
      </c>
      <c r="BB133" s="481"/>
      <c r="BC133" s="481"/>
      <c r="BD133" s="481"/>
      <c r="BE133" s="481"/>
      <c r="BF133" s="453" t="str">
        <f t="shared" si="64"/>
        <v>-</v>
      </c>
      <c r="BG133" s="453" t="str">
        <f t="shared" si="65"/>
        <v>-</v>
      </c>
      <c r="BH133" s="453" t="str">
        <f t="shared" si="66"/>
        <v>-</v>
      </c>
      <c r="BI133" s="453" t="str">
        <f t="shared" si="67"/>
        <v>-</v>
      </c>
      <c r="BJ133" s="453" t="str">
        <f t="shared" si="68"/>
        <v>-</v>
      </c>
      <c r="BK133" s="390" t="str">
        <f t="shared" si="69"/>
        <v>-</v>
      </c>
      <c r="BL133" s="125"/>
      <c r="BM133" s="92"/>
      <c r="BN133" s="386">
        <f t="shared" si="53"/>
        <v>0</v>
      </c>
    </row>
    <row r="134" spans="1:66" s="89" customFormat="1" ht="16.350000000000001" customHeight="1">
      <c r="A134" s="175">
        <f t="shared" si="35"/>
        <v>2023</v>
      </c>
      <c r="B134" s="454" t="str">
        <f t="shared" si="36"/>
        <v>24</v>
      </c>
      <c r="C134" s="454" t="str">
        <f t="array" ref="C134">_xlfn.IFS(_xlfn.NUMBERVALUE(B134)&lt;=13,"Q1",AND(_xlfn.NUMBERVALUE(B134)&gt;13,_xlfn.NUMBERVALUE(B134)&lt;=26),"Q2", AND(_xlfn.NUMBERVALUE(B134)&gt;26,_xlfn.NUMBERVALUE(B134)&lt;=39),"Q3",_xlfn.NUMBERVALUE(B134)&gt;39,"Q4")</f>
        <v>Q2</v>
      </c>
      <c r="D134" s="448">
        <f t="shared" si="54"/>
        <v>44751</v>
      </c>
      <c r="E134" s="448">
        <f t="shared" si="37"/>
        <v>44757</v>
      </c>
      <c r="F134" s="79">
        <v>202224</v>
      </c>
      <c r="G134" s="342">
        <f t="shared" si="38"/>
        <v>0</v>
      </c>
      <c r="H134" s="471"/>
      <c r="I134" s="471"/>
      <c r="J134" s="474">
        <f t="shared" si="39"/>
        <v>0</v>
      </c>
      <c r="K134" s="474">
        <f t="shared" si="40"/>
        <v>0</v>
      </c>
      <c r="L134" s="492"/>
      <c r="M134" s="481"/>
      <c r="N134" s="481"/>
      <c r="O134" s="474">
        <f t="shared" si="41"/>
        <v>0</v>
      </c>
      <c r="P134" s="474">
        <f t="shared" si="42"/>
        <v>0</v>
      </c>
      <c r="Q134" s="474">
        <f t="shared" si="43"/>
        <v>0</v>
      </c>
      <c r="R134" s="449">
        <f>Forecast!J129</f>
        <v>0</v>
      </c>
      <c r="S134" s="449">
        <f>Forecast!N129</f>
        <v>0</v>
      </c>
      <c r="T134" s="475">
        <f t="shared" si="44"/>
        <v>0</v>
      </c>
      <c r="U134" s="475">
        <f t="shared" si="45"/>
        <v>0</v>
      </c>
      <c r="V134" s="349">
        <f t="shared" si="46"/>
        <v>0</v>
      </c>
      <c r="W134" s="350">
        <f t="shared" si="47"/>
        <v>0</v>
      </c>
      <c r="X134" s="469">
        <f>'Channel &amp; Campaign Metrics'!AR133</f>
        <v>0</v>
      </c>
      <c r="Y134" s="469">
        <f>'Channel &amp; Campaign Metrics'!BS133</f>
        <v>0</v>
      </c>
      <c r="Z134" s="446"/>
      <c r="AA134" s="112"/>
      <c r="AB134" s="358">
        <f>'Glass Metrics'!AC134</f>
        <v>0</v>
      </c>
      <c r="AC134" s="475">
        <f>'Glass Metrics'!I134</f>
        <v>0</v>
      </c>
      <c r="AD134" s="469">
        <f>'Glass Metrics'!N134</f>
        <v>0</v>
      </c>
      <c r="AE134" s="475">
        <f>'Glass Metrics'!S134</f>
        <v>0</v>
      </c>
      <c r="AF134" s="359" t="str">
        <f t="shared" si="48"/>
        <v/>
      </c>
      <c r="AG134" s="477" t="str">
        <f t="shared" si="49"/>
        <v/>
      </c>
      <c r="AH134" s="472" t="str">
        <f t="shared" si="50"/>
        <v/>
      </c>
      <c r="AI134" s="360" t="str">
        <f t="shared" si="51"/>
        <v/>
      </c>
      <c r="AJ134" s="361" t="str">
        <f t="shared" si="61"/>
        <v/>
      </c>
      <c r="AK134" s="482"/>
      <c r="AL134" s="482"/>
      <c r="AM134" s="481"/>
      <c r="AN134" s="481"/>
      <c r="AO134" s="374" t="str">
        <f t="shared" si="57"/>
        <v/>
      </c>
      <c r="AP134" s="361"/>
      <c r="AQ134" s="482"/>
      <c r="AR134" s="482"/>
      <c r="AS134" s="187">
        <f t="shared" si="70"/>
        <v>-0.1</v>
      </c>
      <c r="AT134" s="120"/>
      <c r="AU134" s="499"/>
      <c r="AV134" s="500">
        <f t="shared" si="52"/>
        <v>0</v>
      </c>
      <c r="AW134" s="501">
        <f t="shared" si="58"/>
        <v>0</v>
      </c>
      <c r="AX134" s="501">
        <f t="shared" si="59"/>
        <v>0</v>
      </c>
      <c r="AY134" s="385">
        <f t="shared" si="60"/>
        <v>0</v>
      </c>
      <c r="AZ134" s="382">
        <f t="shared" si="62"/>
        <v>0</v>
      </c>
      <c r="BA134" s="495">
        <f t="shared" si="63"/>
        <v>0</v>
      </c>
      <c r="BB134" s="481"/>
      <c r="BC134" s="481"/>
      <c r="BD134" s="481"/>
      <c r="BE134" s="481"/>
      <c r="BF134" s="453" t="str">
        <f t="shared" si="64"/>
        <v>-</v>
      </c>
      <c r="BG134" s="453" t="str">
        <f t="shared" si="65"/>
        <v>-</v>
      </c>
      <c r="BH134" s="453" t="str">
        <f t="shared" si="66"/>
        <v>-</v>
      </c>
      <c r="BI134" s="453" t="str">
        <f t="shared" si="67"/>
        <v>-</v>
      </c>
      <c r="BJ134" s="453" t="str">
        <f t="shared" si="68"/>
        <v>-</v>
      </c>
      <c r="BK134" s="390" t="str">
        <f t="shared" si="69"/>
        <v>-</v>
      </c>
      <c r="BL134" s="125"/>
      <c r="BM134" s="92"/>
      <c r="BN134" s="386">
        <f t="shared" si="53"/>
        <v>0</v>
      </c>
    </row>
    <row r="135" spans="1:66" s="89" customFormat="1" ht="16.350000000000001" customHeight="1">
      <c r="A135" s="175">
        <f t="shared" ref="A135:A198" si="71">LEFT(F135,4)+1</f>
        <v>2023</v>
      </c>
      <c r="B135" s="454" t="str">
        <f t="shared" ref="B135:B198" si="72">RIGHT(F135,2)</f>
        <v>25</v>
      </c>
      <c r="C135" s="454" t="str">
        <f t="array" ref="C135">_xlfn.IFS(_xlfn.NUMBERVALUE(B135)&lt;=13,"Q1",AND(_xlfn.NUMBERVALUE(B135)&gt;13,_xlfn.NUMBERVALUE(B135)&lt;=26),"Q2", AND(_xlfn.NUMBERVALUE(B135)&gt;26,_xlfn.NUMBERVALUE(B135)&lt;=39),"Q3",_xlfn.NUMBERVALUE(B135)&gt;39,"Q4")</f>
        <v>Q2</v>
      </c>
      <c r="D135" s="448">
        <f t="shared" si="54"/>
        <v>44758</v>
      </c>
      <c r="E135" s="448">
        <f t="shared" ref="E135:E198" si="73">D135+6</f>
        <v>44764</v>
      </c>
      <c r="F135" s="79">
        <v>202225</v>
      </c>
      <c r="G135" s="342">
        <f t="shared" ref="G135:G198" si="74">SUM(H135:I135)</f>
        <v>0</v>
      </c>
      <c r="H135" s="471"/>
      <c r="I135" s="471"/>
      <c r="J135" s="474">
        <f t="shared" ref="J135:J198" si="75">IFERROR(H135/G135,0)</f>
        <v>0</v>
      </c>
      <c r="K135" s="474">
        <f t="shared" ref="K135:K198" si="76">IFERROR(I135/G135,0)</f>
        <v>0</v>
      </c>
      <c r="L135" s="492"/>
      <c r="M135" s="481"/>
      <c r="N135" s="481"/>
      <c r="O135" s="474">
        <f t="shared" ref="O135:O198" si="77">IFERROR(L135/$G135,0)</f>
        <v>0</v>
      </c>
      <c r="P135" s="474">
        <f t="shared" ref="P135:P198" si="78">IFERROR(M135/$G135,0)</f>
        <v>0</v>
      </c>
      <c r="Q135" s="474">
        <f t="shared" ref="Q135:Q198" si="79">IFERROR(N135/$G135,0)</f>
        <v>0</v>
      </c>
      <c r="R135" s="449">
        <f>Forecast!J130</f>
        <v>0</v>
      </c>
      <c r="S135" s="449">
        <f>Forecast!N130</f>
        <v>0</v>
      </c>
      <c r="T135" s="475">
        <f t="shared" ref="T135:T198" si="80">IF(OR(RIGHT(F135,2) = "01",G135 = 0),G135,T134+G135)</f>
        <v>0</v>
      </c>
      <c r="U135" s="475">
        <f t="shared" ref="U135:U198" si="81">IF(RIGHT(F135,2)="01",R135,R135+U134)</f>
        <v>0</v>
      </c>
      <c r="V135" s="349">
        <f t="shared" ref="V135:V198" si="82">IF(RIGHT(F135,2)="01",S135,S135+V134)</f>
        <v>0</v>
      </c>
      <c r="W135" s="350">
        <f t="shared" ref="W135:W198" si="83">X135+Y135</f>
        <v>0</v>
      </c>
      <c r="X135" s="469">
        <f>'Channel &amp; Campaign Metrics'!AR134</f>
        <v>0</v>
      </c>
      <c r="Y135" s="469">
        <f>'Channel &amp; Campaign Metrics'!BS134</f>
        <v>0</v>
      </c>
      <c r="Z135" s="446"/>
      <c r="AA135" s="112"/>
      <c r="AB135" s="358">
        <f>'Glass Metrics'!AC135</f>
        <v>0</v>
      </c>
      <c r="AC135" s="475">
        <f>'Glass Metrics'!I135</f>
        <v>0</v>
      </c>
      <c r="AD135" s="469">
        <f>'Glass Metrics'!N135</f>
        <v>0</v>
      </c>
      <c r="AE135" s="475">
        <f>'Glass Metrics'!S135</f>
        <v>0</v>
      </c>
      <c r="AF135" s="359" t="str">
        <f t="shared" ref="AF135:AF198" si="84">IFERROR(AE135/AB135,"")</f>
        <v/>
      </c>
      <c r="AG135" s="477" t="str">
        <f t="shared" ref="AG135:AG198" si="85">IFERROR(AC135/AE135,"")</f>
        <v/>
      </c>
      <c r="AH135" s="472" t="str">
        <f t="shared" ref="AH135:AH198" si="86">IFERROR(AD135/AC135,"")</f>
        <v/>
      </c>
      <c r="AI135" s="360" t="str">
        <f t="shared" ref="AI135:AI198" si="87">IFERROR(G135/AB135,"")</f>
        <v/>
      </c>
      <c r="AJ135" s="361" t="str">
        <f t="shared" si="61"/>
        <v/>
      </c>
      <c r="AK135" s="482"/>
      <c r="AL135" s="482"/>
      <c r="AM135" s="481"/>
      <c r="AN135" s="481"/>
      <c r="AO135" s="374" t="str">
        <f t="shared" si="57"/>
        <v/>
      </c>
      <c r="AP135" s="361"/>
      <c r="AQ135" s="482"/>
      <c r="AR135" s="482"/>
      <c r="AS135" s="187">
        <f t="shared" si="70"/>
        <v>-0.1</v>
      </c>
      <c r="AT135" s="120"/>
      <c r="AU135" s="499"/>
      <c r="AV135" s="500">
        <f t="shared" ref="AV135:AV198" si="88">SUM(AT135:AU135)</f>
        <v>0</v>
      </c>
      <c r="AW135" s="501">
        <f t="shared" si="58"/>
        <v>0</v>
      </c>
      <c r="AX135" s="501">
        <f t="shared" si="59"/>
        <v>0</v>
      </c>
      <c r="AY135" s="385">
        <f t="shared" si="60"/>
        <v>0</v>
      </c>
      <c r="AZ135" s="382">
        <f t="shared" si="62"/>
        <v>0</v>
      </c>
      <c r="BA135" s="495">
        <f t="shared" si="63"/>
        <v>0</v>
      </c>
      <c r="BB135" s="481"/>
      <c r="BC135" s="481"/>
      <c r="BD135" s="481"/>
      <c r="BE135" s="481"/>
      <c r="BF135" s="453" t="str">
        <f t="shared" si="64"/>
        <v>-</v>
      </c>
      <c r="BG135" s="453" t="str">
        <f t="shared" si="65"/>
        <v>-</v>
      </c>
      <c r="BH135" s="453" t="str">
        <f t="shared" si="66"/>
        <v>-</v>
      </c>
      <c r="BI135" s="453" t="str">
        <f t="shared" si="67"/>
        <v>-</v>
      </c>
      <c r="BJ135" s="453" t="str">
        <f t="shared" si="68"/>
        <v>-</v>
      </c>
      <c r="BK135" s="390" t="str">
        <f t="shared" si="69"/>
        <v>-</v>
      </c>
      <c r="BL135" s="125"/>
      <c r="BM135" s="92"/>
      <c r="BN135" s="386">
        <f t="shared" ref="BN135:BN198" si="89">SUM(BL135:BM135)</f>
        <v>0</v>
      </c>
    </row>
    <row r="136" spans="1:66" s="89" customFormat="1" ht="16.350000000000001" customHeight="1">
      <c r="A136" s="175">
        <f t="shared" si="71"/>
        <v>2023</v>
      </c>
      <c r="B136" s="454" t="str">
        <f t="shared" si="72"/>
        <v>26</v>
      </c>
      <c r="C136" s="454" t="str">
        <f t="array" ref="C136">_xlfn.IFS(_xlfn.NUMBERVALUE(B136)&lt;=13,"Q1",AND(_xlfn.NUMBERVALUE(B136)&gt;13,_xlfn.NUMBERVALUE(B136)&lt;=26),"Q2", AND(_xlfn.NUMBERVALUE(B136)&gt;26,_xlfn.NUMBERVALUE(B136)&lt;=39),"Q3",_xlfn.NUMBERVALUE(B136)&gt;39,"Q4")</f>
        <v>Q2</v>
      </c>
      <c r="D136" s="448">
        <f t="shared" ref="D136:D199" si="90">E135+1</f>
        <v>44765</v>
      </c>
      <c r="E136" s="448">
        <f t="shared" si="73"/>
        <v>44771</v>
      </c>
      <c r="F136" s="79">
        <v>202226</v>
      </c>
      <c r="G136" s="342">
        <f t="shared" si="74"/>
        <v>0</v>
      </c>
      <c r="H136" s="471"/>
      <c r="I136" s="471"/>
      <c r="J136" s="474">
        <f t="shared" si="75"/>
        <v>0</v>
      </c>
      <c r="K136" s="474">
        <f t="shared" si="76"/>
        <v>0</v>
      </c>
      <c r="L136" s="492"/>
      <c r="M136" s="481"/>
      <c r="N136" s="481"/>
      <c r="O136" s="474">
        <f t="shared" si="77"/>
        <v>0</v>
      </c>
      <c r="P136" s="474">
        <f t="shared" si="78"/>
        <v>0</v>
      </c>
      <c r="Q136" s="474">
        <f t="shared" si="79"/>
        <v>0</v>
      </c>
      <c r="R136" s="449">
        <f>Forecast!J131</f>
        <v>0</v>
      </c>
      <c r="S136" s="449">
        <f>Forecast!N131</f>
        <v>0</v>
      </c>
      <c r="T136" s="475">
        <f t="shared" si="80"/>
        <v>0</v>
      </c>
      <c r="U136" s="475">
        <f t="shared" si="81"/>
        <v>0</v>
      </c>
      <c r="V136" s="349">
        <f t="shared" si="82"/>
        <v>0</v>
      </c>
      <c r="W136" s="350">
        <f t="shared" si="83"/>
        <v>0</v>
      </c>
      <c r="X136" s="469">
        <f>'Channel &amp; Campaign Metrics'!AR135</f>
        <v>0</v>
      </c>
      <c r="Y136" s="469">
        <f>'Channel &amp; Campaign Metrics'!BS135</f>
        <v>0</v>
      </c>
      <c r="Z136" s="446"/>
      <c r="AA136" s="112"/>
      <c r="AB136" s="358">
        <f>'Glass Metrics'!AC136</f>
        <v>0</v>
      </c>
      <c r="AC136" s="475">
        <f>'Glass Metrics'!I136</f>
        <v>0</v>
      </c>
      <c r="AD136" s="469">
        <f>'Glass Metrics'!N136</f>
        <v>0</v>
      </c>
      <c r="AE136" s="475">
        <f>'Glass Metrics'!S136</f>
        <v>0</v>
      </c>
      <c r="AF136" s="359" t="str">
        <f t="shared" si="84"/>
        <v/>
      </c>
      <c r="AG136" s="477" t="str">
        <f t="shared" si="85"/>
        <v/>
      </c>
      <c r="AH136" s="472" t="str">
        <f t="shared" si="86"/>
        <v/>
      </c>
      <c r="AI136" s="360" t="str">
        <f t="shared" si="87"/>
        <v/>
      </c>
      <c r="AJ136" s="361" t="str">
        <f t="shared" si="61"/>
        <v/>
      </c>
      <c r="AK136" s="482"/>
      <c r="AL136" s="482"/>
      <c r="AM136" s="481"/>
      <c r="AN136" s="481"/>
      <c r="AO136" s="374" t="str">
        <f t="shared" si="57"/>
        <v/>
      </c>
      <c r="AP136" s="361"/>
      <c r="AQ136" s="482"/>
      <c r="AR136" s="482"/>
      <c r="AS136" s="187">
        <f t="shared" si="70"/>
        <v>-0.1</v>
      </c>
      <c r="AT136" s="120"/>
      <c r="AU136" s="499"/>
      <c r="AV136" s="500">
        <f t="shared" si="88"/>
        <v>0</v>
      </c>
      <c r="AW136" s="501">
        <f t="shared" si="58"/>
        <v>0</v>
      </c>
      <c r="AX136" s="501">
        <f t="shared" si="59"/>
        <v>0</v>
      </c>
      <c r="AY136" s="385">
        <f t="shared" si="60"/>
        <v>0</v>
      </c>
      <c r="AZ136" s="382">
        <f t="shared" si="62"/>
        <v>0</v>
      </c>
      <c r="BA136" s="495">
        <f t="shared" si="63"/>
        <v>0</v>
      </c>
      <c r="BB136" s="481"/>
      <c r="BC136" s="481"/>
      <c r="BD136" s="481"/>
      <c r="BE136" s="481"/>
      <c r="BF136" s="453" t="str">
        <f t="shared" si="64"/>
        <v>-</v>
      </c>
      <c r="BG136" s="453" t="str">
        <f t="shared" si="65"/>
        <v>-</v>
      </c>
      <c r="BH136" s="453" t="str">
        <f t="shared" si="66"/>
        <v>-</v>
      </c>
      <c r="BI136" s="453" t="str">
        <f t="shared" si="67"/>
        <v>-</v>
      </c>
      <c r="BJ136" s="453" t="str">
        <f t="shared" si="68"/>
        <v>-</v>
      </c>
      <c r="BK136" s="390" t="str">
        <f t="shared" si="69"/>
        <v>-</v>
      </c>
      <c r="BL136" s="125"/>
      <c r="BM136" s="92"/>
      <c r="BN136" s="386">
        <f t="shared" si="89"/>
        <v>0</v>
      </c>
    </row>
    <row r="137" spans="1:66" s="89" customFormat="1" ht="16.350000000000001" customHeight="1">
      <c r="A137" s="175">
        <f t="shared" si="71"/>
        <v>2023</v>
      </c>
      <c r="B137" s="454" t="str">
        <f t="shared" si="72"/>
        <v>27</v>
      </c>
      <c r="C137" s="454" t="str">
        <f t="array" ref="C137">_xlfn.IFS(_xlfn.NUMBERVALUE(B137)&lt;=13,"Q1",AND(_xlfn.NUMBERVALUE(B137)&gt;13,_xlfn.NUMBERVALUE(B137)&lt;=26),"Q2", AND(_xlfn.NUMBERVALUE(B137)&gt;26,_xlfn.NUMBERVALUE(B137)&lt;=39),"Q3",_xlfn.NUMBERVALUE(B137)&gt;39,"Q4")</f>
        <v>Q3</v>
      </c>
      <c r="D137" s="448">
        <f t="shared" si="90"/>
        <v>44772</v>
      </c>
      <c r="E137" s="448">
        <f t="shared" si="73"/>
        <v>44778</v>
      </c>
      <c r="F137" s="79">
        <v>202227</v>
      </c>
      <c r="G137" s="180">
        <f t="shared" si="74"/>
        <v>0</v>
      </c>
      <c r="H137" s="429"/>
      <c r="I137" s="429"/>
      <c r="J137" s="474">
        <f t="shared" si="75"/>
        <v>0</v>
      </c>
      <c r="K137" s="474">
        <f t="shared" si="76"/>
        <v>0</v>
      </c>
      <c r="L137" s="481"/>
      <c r="M137" s="481"/>
      <c r="N137" s="481"/>
      <c r="O137" s="474">
        <f t="shared" si="77"/>
        <v>0</v>
      </c>
      <c r="P137" s="474">
        <f t="shared" si="78"/>
        <v>0</v>
      </c>
      <c r="Q137" s="474">
        <f t="shared" si="79"/>
        <v>0</v>
      </c>
      <c r="R137" s="449">
        <f>Forecast!J132</f>
        <v>0</v>
      </c>
      <c r="S137" s="449">
        <f>Forecast!N132</f>
        <v>0</v>
      </c>
      <c r="T137" s="475">
        <f t="shared" si="80"/>
        <v>0</v>
      </c>
      <c r="U137" s="475">
        <f t="shared" si="81"/>
        <v>0</v>
      </c>
      <c r="V137" s="349">
        <f t="shared" si="82"/>
        <v>0</v>
      </c>
      <c r="W137" s="350">
        <f t="shared" si="83"/>
        <v>0</v>
      </c>
      <c r="X137" s="469">
        <f>'Channel &amp; Campaign Metrics'!AR136</f>
        <v>0</v>
      </c>
      <c r="Y137" s="469">
        <f>'Channel &amp; Campaign Metrics'!BS136</f>
        <v>0</v>
      </c>
      <c r="Z137" s="446"/>
      <c r="AA137" s="112"/>
      <c r="AB137" s="358">
        <f>'Glass Metrics'!AC137</f>
        <v>0</v>
      </c>
      <c r="AC137" s="475">
        <f>'Glass Metrics'!I137</f>
        <v>0</v>
      </c>
      <c r="AD137" s="469">
        <f>'Glass Metrics'!N137</f>
        <v>0</v>
      </c>
      <c r="AE137" s="475">
        <f>'Glass Metrics'!S137</f>
        <v>0</v>
      </c>
      <c r="AF137" s="359" t="str">
        <f t="shared" si="84"/>
        <v/>
      </c>
      <c r="AG137" s="477" t="str">
        <f t="shared" si="85"/>
        <v/>
      </c>
      <c r="AH137" s="472" t="str">
        <f t="shared" si="86"/>
        <v/>
      </c>
      <c r="AI137" s="360" t="str">
        <f t="shared" si="87"/>
        <v/>
      </c>
      <c r="AJ137" s="361" t="str">
        <f t="shared" si="61"/>
        <v/>
      </c>
      <c r="AK137" s="482"/>
      <c r="AL137" s="482"/>
      <c r="AM137" s="481"/>
      <c r="AN137" s="481"/>
      <c r="AO137" s="374" t="str">
        <f t="shared" si="57"/>
        <v/>
      </c>
      <c r="AP137" s="361"/>
      <c r="AQ137" s="482"/>
      <c r="AR137" s="482"/>
      <c r="AS137" s="187">
        <f t="shared" si="70"/>
        <v>-0.1</v>
      </c>
      <c r="AT137" s="120"/>
      <c r="AU137" s="499"/>
      <c r="AV137" s="500">
        <f t="shared" si="88"/>
        <v>0</v>
      </c>
      <c r="AW137" s="501">
        <f t="shared" si="58"/>
        <v>0</v>
      </c>
      <c r="AX137" s="501">
        <f t="shared" si="59"/>
        <v>0</v>
      </c>
      <c r="AY137" s="385">
        <f t="shared" si="60"/>
        <v>0</v>
      </c>
      <c r="AZ137" s="358">
        <f t="shared" si="62"/>
        <v>0</v>
      </c>
      <c r="BA137" s="475">
        <f t="shared" si="63"/>
        <v>0</v>
      </c>
      <c r="BB137" s="481"/>
      <c r="BC137" s="481"/>
      <c r="BD137" s="481"/>
      <c r="BE137" s="481"/>
      <c r="BF137" s="453" t="str">
        <f t="shared" si="64"/>
        <v>-</v>
      </c>
      <c r="BG137" s="453" t="str">
        <f t="shared" si="65"/>
        <v>-</v>
      </c>
      <c r="BH137" s="453" t="str">
        <f t="shared" si="66"/>
        <v>-</v>
      </c>
      <c r="BI137" s="453" t="str">
        <f t="shared" si="67"/>
        <v>-</v>
      </c>
      <c r="BJ137" s="453" t="str">
        <f t="shared" si="68"/>
        <v>-</v>
      </c>
      <c r="BK137" s="390" t="str">
        <f t="shared" si="69"/>
        <v>-</v>
      </c>
      <c r="BL137" s="125"/>
      <c r="BM137" s="92"/>
      <c r="BN137" s="386">
        <f t="shared" si="89"/>
        <v>0</v>
      </c>
    </row>
    <row r="138" spans="1:66" s="89" customFormat="1" ht="16.350000000000001" customHeight="1">
      <c r="A138" s="175">
        <f t="shared" si="71"/>
        <v>2023</v>
      </c>
      <c r="B138" s="454" t="str">
        <f t="shared" si="72"/>
        <v>28</v>
      </c>
      <c r="C138" s="454" t="str">
        <f t="array" ref="C138">_xlfn.IFS(_xlfn.NUMBERVALUE(B138)&lt;=13,"Q1",AND(_xlfn.NUMBERVALUE(B138)&gt;13,_xlfn.NUMBERVALUE(B138)&lt;=26),"Q2", AND(_xlfn.NUMBERVALUE(B138)&gt;26,_xlfn.NUMBERVALUE(B138)&lt;=39),"Q3",_xlfn.NUMBERVALUE(B138)&gt;39,"Q4")</f>
        <v>Q3</v>
      </c>
      <c r="D138" s="448">
        <f t="shared" si="90"/>
        <v>44779</v>
      </c>
      <c r="E138" s="448">
        <f t="shared" si="73"/>
        <v>44785</v>
      </c>
      <c r="F138" s="79">
        <v>202228</v>
      </c>
      <c r="G138" s="180">
        <f t="shared" si="74"/>
        <v>0</v>
      </c>
      <c r="H138" s="429"/>
      <c r="I138" s="429"/>
      <c r="J138" s="474">
        <f t="shared" si="75"/>
        <v>0</v>
      </c>
      <c r="K138" s="474">
        <f t="shared" si="76"/>
        <v>0</v>
      </c>
      <c r="L138" s="481"/>
      <c r="M138" s="481"/>
      <c r="N138" s="481"/>
      <c r="O138" s="474">
        <f t="shared" si="77"/>
        <v>0</v>
      </c>
      <c r="P138" s="474">
        <f t="shared" si="78"/>
        <v>0</v>
      </c>
      <c r="Q138" s="474">
        <f t="shared" si="79"/>
        <v>0</v>
      </c>
      <c r="R138" s="449">
        <f>Forecast!J133</f>
        <v>0</v>
      </c>
      <c r="S138" s="449">
        <f>Forecast!N133</f>
        <v>0</v>
      </c>
      <c r="T138" s="475">
        <f t="shared" si="80"/>
        <v>0</v>
      </c>
      <c r="U138" s="475">
        <f t="shared" si="81"/>
        <v>0</v>
      </c>
      <c r="V138" s="349">
        <f t="shared" si="82"/>
        <v>0</v>
      </c>
      <c r="W138" s="350">
        <f t="shared" si="83"/>
        <v>0</v>
      </c>
      <c r="X138" s="469">
        <f>'Channel &amp; Campaign Metrics'!AR137</f>
        <v>0</v>
      </c>
      <c r="Y138" s="469">
        <f>'Channel &amp; Campaign Metrics'!BS137</f>
        <v>0</v>
      </c>
      <c r="Z138" s="446"/>
      <c r="AA138" s="112"/>
      <c r="AB138" s="358">
        <f>'Glass Metrics'!AC138</f>
        <v>0</v>
      </c>
      <c r="AC138" s="475">
        <f>'Glass Metrics'!I138</f>
        <v>0</v>
      </c>
      <c r="AD138" s="469">
        <f>'Glass Metrics'!N138</f>
        <v>0</v>
      </c>
      <c r="AE138" s="475">
        <f>'Glass Metrics'!S138</f>
        <v>0</v>
      </c>
      <c r="AF138" s="359" t="str">
        <f t="shared" si="84"/>
        <v/>
      </c>
      <c r="AG138" s="477" t="str">
        <f t="shared" si="85"/>
        <v/>
      </c>
      <c r="AH138" s="472" t="str">
        <f t="shared" si="86"/>
        <v/>
      </c>
      <c r="AI138" s="360" t="str">
        <f t="shared" si="87"/>
        <v/>
      </c>
      <c r="AJ138" s="361" t="str">
        <f t="shared" si="61"/>
        <v/>
      </c>
      <c r="AK138" s="482"/>
      <c r="AL138" s="482"/>
      <c r="AM138" s="481"/>
      <c r="AN138" s="481"/>
      <c r="AO138" s="374" t="str">
        <f t="shared" si="57"/>
        <v/>
      </c>
      <c r="AP138" s="361"/>
      <c r="AQ138" s="482"/>
      <c r="AR138" s="482"/>
      <c r="AS138" s="187">
        <f t="shared" si="70"/>
        <v>-0.1</v>
      </c>
      <c r="AT138" s="120"/>
      <c r="AU138" s="499"/>
      <c r="AV138" s="500">
        <f t="shared" si="88"/>
        <v>0</v>
      </c>
      <c r="AW138" s="501">
        <f t="shared" si="58"/>
        <v>0</v>
      </c>
      <c r="AX138" s="501">
        <f t="shared" si="59"/>
        <v>0</v>
      </c>
      <c r="AY138" s="385">
        <f t="shared" si="60"/>
        <v>0</v>
      </c>
      <c r="AZ138" s="358">
        <f t="shared" si="62"/>
        <v>0</v>
      </c>
      <c r="BA138" s="475">
        <f t="shared" si="63"/>
        <v>0</v>
      </c>
      <c r="BB138" s="481"/>
      <c r="BC138" s="481"/>
      <c r="BD138" s="481"/>
      <c r="BE138" s="481"/>
      <c r="BF138" s="453" t="str">
        <f t="shared" si="64"/>
        <v>-</v>
      </c>
      <c r="BG138" s="453" t="str">
        <f t="shared" si="65"/>
        <v>-</v>
      </c>
      <c r="BH138" s="453" t="str">
        <f t="shared" si="66"/>
        <v>-</v>
      </c>
      <c r="BI138" s="453" t="str">
        <f t="shared" si="67"/>
        <v>-</v>
      </c>
      <c r="BJ138" s="453" t="str">
        <f t="shared" si="68"/>
        <v>-</v>
      </c>
      <c r="BK138" s="390" t="str">
        <f t="shared" si="69"/>
        <v>-</v>
      </c>
      <c r="BL138" s="125"/>
      <c r="BM138" s="92"/>
      <c r="BN138" s="386">
        <f t="shared" si="89"/>
        <v>0</v>
      </c>
    </row>
    <row r="139" spans="1:66" s="89" customFormat="1" ht="16.350000000000001" customHeight="1">
      <c r="A139" s="175">
        <f t="shared" si="71"/>
        <v>2023</v>
      </c>
      <c r="B139" s="454" t="str">
        <f t="shared" si="72"/>
        <v>29</v>
      </c>
      <c r="C139" s="454" t="str">
        <f t="array" ref="C139">_xlfn.IFS(_xlfn.NUMBERVALUE(B139)&lt;=13,"Q1",AND(_xlfn.NUMBERVALUE(B139)&gt;13,_xlfn.NUMBERVALUE(B139)&lt;=26),"Q2", AND(_xlfn.NUMBERVALUE(B139)&gt;26,_xlfn.NUMBERVALUE(B139)&lt;=39),"Q3",_xlfn.NUMBERVALUE(B139)&gt;39,"Q4")</f>
        <v>Q3</v>
      </c>
      <c r="D139" s="448">
        <f t="shared" si="90"/>
        <v>44786</v>
      </c>
      <c r="E139" s="448">
        <f t="shared" si="73"/>
        <v>44792</v>
      </c>
      <c r="F139" s="79">
        <v>202229</v>
      </c>
      <c r="G139" s="180">
        <f t="shared" si="74"/>
        <v>0</v>
      </c>
      <c r="H139" s="429"/>
      <c r="I139" s="429"/>
      <c r="J139" s="474">
        <f t="shared" si="75"/>
        <v>0</v>
      </c>
      <c r="K139" s="474">
        <f t="shared" si="76"/>
        <v>0</v>
      </c>
      <c r="L139" s="481"/>
      <c r="M139" s="481"/>
      <c r="N139" s="481"/>
      <c r="O139" s="474">
        <f t="shared" si="77"/>
        <v>0</v>
      </c>
      <c r="P139" s="474">
        <f t="shared" si="78"/>
        <v>0</v>
      </c>
      <c r="Q139" s="474">
        <f t="shared" si="79"/>
        <v>0</v>
      </c>
      <c r="R139" s="449">
        <f>Forecast!J134</f>
        <v>0</v>
      </c>
      <c r="S139" s="449">
        <f>Forecast!N134</f>
        <v>0</v>
      </c>
      <c r="T139" s="475">
        <f t="shared" si="80"/>
        <v>0</v>
      </c>
      <c r="U139" s="475">
        <f t="shared" si="81"/>
        <v>0</v>
      </c>
      <c r="V139" s="349">
        <f t="shared" si="82"/>
        <v>0</v>
      </c>
      <c r="W139" s="350">
        <f t="shared" si="83"/>
        <v>0</v>
      </c>
      <c r="X139" s="469">
        <f>'Channel &amp; Campaign Metrics'!AR138</f>
        <v>0</v>
      </c>
      <c r="Y139" s="469">
        <f>'Channel &amp; Campaign Metrics'!BS138</f>
        <v>0</v>
      </c>
      <c r="Z139" s="446"/>
      <c r="AA139" s="112"/>
      <c r="AB139" s="358">
        <f>'Glass Metrics'!AC139</f>
        <v>0</v>
      </c>
      <c r="AC139" s="475">
        <f>'Glass Metrics'!I139</f>
        <v>0</v>
      </c>
      <c r="AD139" s="469">
        <f>'Glass Metrics'!N139</f>
        <v>0</v>
      </c>
      <c r="AE139" s="475">
        <f>'Glass Metrics'!S139</f>
        <v>0</v>
      </c>
      <c r="AF139" s="359" t="str">
        <f t="shared" si="84"/>
        <v/>
      </c>
      <c r="AG139" s="477" t="str">
        <f t="shared" si="85"/>
        <v/>
      </c>
      <c r="AH139" s="472" t="str">
        <f t="shared" si="86"/>
        <v/>
      </c>
      <c r="AI139" s="360" t="str">
        <f t="shared" si="87"/>
        <v/>
      </c>
      <c r="AJ139" s="361" t="str">
        <f t="shared" si="61"/>
        <v/>
      </c>
      <c r="AK139" s="482"/>
      <c r="AL139" s="482"/>
      <c r="AM139" s="481"/>
      <c r="AN139" s="481"/>
      <c r="AO139" s="374" t="str">
        <f t="shared" si="57"/>
        <v/>
      </c>
      <c r="AP139" s="361"/>
      <c r="AQ139" s="482"/>
      <c r="AR139" s="482"/>
      <c r="AS139" s="187">
        <f t="shared" si="70"/>
        <v>-0.1</v>
      </c>
      <c r="AT139" s="120"/>
      <c r="AU139" s="499"/>
      <c r="AV139" s="500">
        <f t="shared" si="88"/>
        <v>0</v>
      </c>
      <c r="AW139" s="501">
        <f t="shared" si="58"/>
        <v>0</v>
      </c>
      <c r="AX139" s="501">
        <f t="shared" si="59"/>
        <v>0</v>
      </c>
      <c r="AY139" s="385">
        <f t="shared" si="60"/>
        <v>0</v>
      </c>
      <c r="AZ139" s="358">
        <f t="shared" si="62"/>
        <v>0</v>
      </c>
      <c r="BA139" s="475">
        <f t="shared" si="63"/>
        <v>0</v>
      </c>
      <c r="BB139" s="481"/>
      <c r="BC139" s="481"/>
      <c r="BD139" s="481"/>
      <c r="BE139" s="481"/>
      <c r="BF139" s="453" t="str">
        <f t="shared" si="64"/>
        <v>-</v>
      </c>
      <c r="BG139" s="453" t="str">
        <f t="shared" si="65"/>
        <v>-</v>
      </c>
      <c r="BH139" s="453" t="str">
        <f t="shared" si="66"/>
        <v>-</v>
      </c>
      <c r="BI139" s="453" t="str">
        <f t="shared" si="67"/>
        <v>-</v>
      </c>
      <c r="BJ139" s="453" t="str">
        <f t="shared" si="68"/>
        <v>-</v>
      </c>
      <c r="BK139" s="390" t="str">
        <f t="shared" si="69"/>
        <v>-</v>
      </c>
      <c r="BL139" s="125"/>
      <c r="BM139" s="92"/>
      <c r="BN139" s="386">
        <f t="shared" si="89"/>
        <v>0</v>
      </c>
    </row>
    <row r="140" spans="1:66" s="89" customFormat="1" ht="16.350000000000001" customHeight="1">
      <c r="A140" s="175">
        <f t="shared" si="71"/>
        <v>2023</v>
      </c>
      <c r="B140" s="454" t="str">
        <f t="shared" si="72"/>
        <v>30</v>
      </c>
      <c r="C140" s="454" t="str">
        <f t="array" ref="C140">_xlfn.IFS(_xlfn.NUMBERVALUE(B140)&lt;=13,"Q1",AND(_xlfn.NUMBERVALUE(B140)&gt;13,_xlfn.NUMBERVALUE(B140)&lt;=26),"Q2", AND(_xlfn.NUMBERVALUE(B140)&gt;26,_xlfn.NUMBERVALUE(B140)&lt;=39),"Q3",_xlfn.NUMBERVALUE(B140)&gt;39,"Q4")</f>
        <v>Q3</v>
      </c>
      <c r="D140" s="448">
        <f t="shared" si="90"/>
        <v>44793</v>
      </c>
      <c r="E140" s="448">
        <f t="shared" si="73"/>
        <v>44799</v>
      </c>
      <c r="F140" s="79">
        <v>202230</v>
      </c>
      <c r="G140" s="180">
        <f t="shared" si="74"/>
        <v>0</v>
      </c>
      <c r="H140" s="429"/>
      <c r="I140" s="429"/>
      <c r="J140" s="474">
        <f t="shared" si="75"/>
        <v>0</v>
      </c>
      <c r="K140" s="474">
        <f t="shared" si="76"/>
        <v>0</v>
      </c>
      <c r="L140" s="481"/>
      <c r="M140" s="481"/>
      <c r="N140" s="481"/>
      <c r="O140" s="474">
        <f t="shared" si="77"/>
        <v>0</v>
      </c>
      <c r="P140" s="474">
        <f t="shared" si="78"/>
        <v>0</v>
      </c>
      <c r="Q140" s="474">
        <f t="shared" si="79"/>
        <v>0</v>
      </c>
      <c r="R140" s="449">
        <f>Forecast!J135</f>
        <v>0</v>
      </c>
      <c r="S140" s="449">
        <f>Forecast!N135</f>
        <v>0</v>
      </c>
      <c r="T140" s="475">
        <f t="shared" si="80"/>
        <v>0</v>
      </c>
      <c r="U140" s="475">
        <f t="shared" si="81"/>
        <v>0</v>
      </c>
      <c r="V140" s="349">
        <f t="shared" si="82"/>
        <v>0</v>
      </c>
      <c r="W140" s="350">
        <f t="shared" si="83"/>
        <v>0</v>
      </c>
      <c r="X140" s="469">
        <f>'Channel &amp; Campaign Metrics'!AR139</f>
        <v>0</v>
      </c>
      <c r="Y140" s="469">
        <f>'Channel &amp; Campaign Metrics'!BS139</f>
        <v>0</v>
      </c>
      <c r="Z140" s="446"/>
      <c r="AA140" s="112"/>
      <c r="AB140" s="358">
        <f>'Glass Metrics'!AC140</f>
        <v>0</v>
      </c>
      <c r="AC140" s="475">
        <f>'Glass Metrics'!I140</f>
        <v>0</v>
      </c>
      <c r="AD140" s="469">
        <f>'Glass Metrics'!N140</f>
        <v>0</v>
      </c>
      <c r="AE140" s="475">
        <f>'Glass Metrics'!S140</f>
        <v>0</v>
      </c>
      <c r="AF140" s="359" t="str">
        <f t="shared" si="84"/>
        <v/>
      </c>
      <c r="AG140" s="477" t="str">
        <f t="shared" si="85"/>
        <v/>
      </c>
      <c r="AH140" s="472" t="str">
        <f t="shared" si="86"/>
        <v/>
      </c>
      <c r="AI140" s="360" t="str">
        <f t="shared" si="87"/>
        <v/>
      </c>
      <c r="AJ140" s="361" t="str">
        <f t="shared" si="61"/>
        <v/>
      </c>
      <c r="AK140" s="482"/>
      <c r="AL140" s="482"/>
      <c r="AM140" s="481"/>
      <c r="AN140" s="481"/>
      <c r="AO140" s="374" t="str">
        <f t="shared" si="57"/>
        <v/>
      </c>
      <c r="AP140" s="361"/>
      <c r="AQ140" s="482"/>
      <c r="AR140" s="482"/>
      <c r="AS140" s="187">
        <f t="shared" si="70"/>
        <v>-0.1</v>
      </c>
      <c r="AT140" s="120"/>
      <c r="AU140" s="499"/>
      <c r="AV140" s="500">
        <f t="shared" si="88"/>
        <v>0</v>
      </c>
      <c r="AW140" s="501">
        <f t="shared" si="58"/>
        <v>0</v>
      </c>
      <c r="AX140" s="501">
        <f t="shared" si="59"/>
        <v>0</v>
      </c>
      <c r="AY140" s="385">
        <f t="shared" si="60"/>
        <v>0</v>
      </c>
      <c r="AZ140" s="358">
        <f t="shared" si="62"/>
        <v>0</v>
      </c>
      <c r="BA140" s="475">
        <f t="shared" si="63"/>
        <v>0</v>
      </c>
      <c r="BB140" s="481"/>
      <c r="BC140" s="481"/>
      <c r="BD140" s="481"/>
      <c r="BE140" s="481"/>
      <c r="BF140" s="453" t="str">
        <f t="shared" si="64"/>
        <v>-</v>
      </c>
      <c r="BG140" s="453" t="str">
        <f t="shared" si="65"/>
        <v>-</v>
      </c>
      <c r="BH140" s="453" t="str">
        <f t="shared" si="66"/>
        <v>-</v>
      </c>
      <c r="BI140" s="453" t="str">
        <f t="shared" si="67"/>
        <v>-</v>
      </c>
      <c r="BJ140" s="453" t="str">
        <f t="shared" si="68"/>
        <v>-</v>
      </c>
      <c r="BK140" s="390" t="str">
        <f t="shared" si="69"/>
        <v>-</v>
      </c>
      <c r="BL140" s="125"/>
      <c r="BM140" s="92"/>
      <c r="BN140" s="386">
        <f t="shared" si="89"/>
        <v>0</v>
      </c>
    </row>
    <row r="141" spans="1:66" s="89" customFormat="1" ht="16.350000000000001" customHeight="1">
      <c r="A141" s="175">
        <f t="shared" si="71"/>
        <v>2023</v>
      </c>
      <c r="B141" s="454" t="str">
        <f t="shared" si="72"/>
        <v>31</v>
      </c>
      <c r="C141" s="454" t="str">
        <f t="array" ref="C141">_xlfn.IFS(_xlfn.NUMBERVALUE(B141)&lt;=13,"Q1",AND(_xlfn.NUMBERVALUE(B141)&gt;13,_xlfn.NUMBERVALUE(B141)&lt;=26),"Q2", AND(_xlfn.NUMBERVALUE(B141)&gt;26,_xlfn.NUMBERVALUE(B141)&lt;=39),"Q3",_xlfn.NUMBERVALUE(B141)&gt;39,"Q4")</f>
        <v>Q3</v>
      </c>
      <c r="D141" s="448">
        <f t="shared" si="90"/>
        <v>44800</v>
      </c>
      <c r="E141" s="448">
        <f t="shared" si="73"/>
        <v>44806</v>
      </c>
      <c r="F141" s="79">
        <v>202231</v>
      </c>
      <c r="G141" s="180">
        <f t="shared" si="74"/>
        <v>0</v>
      </c>
      <c r="H141" s="429"/>
      <c r="I141" s="429"/>
      <c r="J141" s="474">
        <f t="shared" si="75"/>
        <v>0</v>
      </c>
      <c r="K141" s="474">
        <f t="shared" si="76"/>
        <v>0</v>
      </c>
      <c r="L141" s="481"/>
      <c r="M141" s="481"/>
      <c r="N141" s="481"/>
      <c r="O141" s="474">
        <f t="shared" si="77"/>
        <v>0</v>
      </c>
      <c r="P141" s="474">
        <f t="shared" si="78"/>
        <v>0</v>
      </c>
      <c r="Q141" s="474">
        <f t="shared" si="79"/>
        <v>0</v>
      </c>
      <c r="R141" s="449">
        <f>Forecast!J136</f>
        <v>0</v>
      </c>
      <c r="S141" s="449">
        <f>Forecast!N136</f>
        <v>0</v>
      </c>
      <c r="T141" s="475">
        <f t="shared" si="80"/>
        <v>0</v>
      </c>
      <c r="U141" s="475">
        <f t="shared" si="81"/>
        <v>0</v>
      </c>
      <c r="V141" s="349">
        <f t="shared" si="82"/>
        <v>0</v>
      </c>
      <c r="W141" s="350">
        <f t="shared" si="83"/>
        <v>0</v>
      </c>
      <c r="X141" s="469">
        <f>'Channel &amp; Campaign Metrics'!AR140</f>
        <v>0</v>
      </c>
      <c r="Y141" s="469">
        <f>'Channel &amp; Campaign Metrics'!BS140</f>
        <v>0</v>
      </c>
      <c r="Z141" s="446"/>
      <c r="AA141" s="112"/>
      <c r="AB141" s="358">
        <f>'Glass Metrics'!AC141</f>
        <v>0</v>
      </c>
      <c r="AC141" s="475">
        <f>'Glass Metrics'!I141</f>
        <v>0</v>
      </c>
      <c r="AD141" s="469">
        <f>'Glass Metrics'!N141</f>
        <v>0</v>
      </c>
      <c r="AE141" s="475">
        <f>'Glass Metrics'!S141</f>
        <v>0</v>
      </c>
      <c r="AF141" s="359" t="str">
        <f t="shared" si="84"/>
        <v/>
      </c>
      <c r="AG141" s="477" t="str">
        <f t="shared" si="85"/>
        <v/>
      </c>
      <c r="AH141" s="472" t="str">
        <f t="shared" si="86"/>
        <v/>
      </c>
      <c r="AI141" s="360" t="str">
        <f t="shared" si="87"/>
        <v/>
      </c>
      <c r="AJ141" s="361" t="str">
        <f t="shared" si="61"/>
        <v/>
      </c>
      <c r="AK141" s="482"/>
      <c r="AL141" s="482"/>
      <c r="AM141" s="481"/>
      <c r="AN141" s="481"/>
      <c r="AO141" s="374" t="str">
        <f t="shared" si="57"/>
        <v/>
      </c>
      <c r="AP141" s="361"/>
      <c r="AQ141" s="482"/>
      <c r="AR141" s="482"/>
      <c r="AS141" s="187">
        <f t="shared" si="70"/>
        <v>-0.1</v>
      </c>
      <c r="AT141" s="120"/>
      <c r="AU141" s="499"/>
      <c r="AV141" s="500">
        <f t="shared" si="88"/>
        <v>0</v>
      </c>
      <c r="AW141" s="501">
        <f t="shared" si="58"/>
        <v>0</v>
      </c>
      <c r="AX141" s="501">
        <f t="shared" si="59"/>
        <v>0</v>
      </c>
      <c r="AY141" s="385">
        <f t="shared" si="60"/>
        <v>0</v>
      </c>
      <c r="AZ141" s="358">
        <f t="shared" si="62"/>
        <v>0</v>
      </c>
      <c r="BA141" s="475">
        <f t="shared" si="63"/>
        <v>0</v>
      </c>
      <c r="BB141" s="481"/>
      <c r="BC141" s="481"/>
      <c r="BD141" s="481"/>
      <c r="BE141" s="481"/>
      <c r="BF141" s="453" t="str">
        <f t="shared" si="64"/>
        <v>-</v>
      </c>
      <c r="BG141" s="453" t="str">
        <f t="shared" si="65"/>
        <v>-</v>
      </c>
      <c r="BH141" s="453" t="str">
        <f t="shared" si="66"/>
        <v>-</v>
      </c>
      <c r="BI141" s="453" t="str">
        <f t="shared" si="67"/>
        <v>-</v>
      </c>
      <c r="BJ141" s="453" t="str">
        <f t="shared" si="68"/>
        <v>-</v>
      </c>
      <c r="BK141" s="390" t="str">
        <f t="shared" si="69"/>
        <v>-</v>
      </c>
      <c r="BL141" s="125"/>
      <c r="BM141" s="92"/>
      <c r="BN141" s="386">
        <f t="shared" si="89"/>
        <v>0</v>
      </c>
    </row>
    <row r="142" spans="1:66" s="89" customFormat="1" ht="16.350000000000001" customHeight="1">
      <c r="A142" s="175">
        <f t="shared" si="71"/>
        <v>2023</v>
      </c>
      <c r="B142" s="454" t="str">
        <f t="shared" si="72"/>
        <v>32</v>
      </c>
      <c r="C142" s="454" t="str">
        <f t="array" ref="C142">_xlfn.IFS(_xlfn.NUMBERVALUE(B142)&lt;=13,"Q1",AND(_xlfn.NUMBERVALUE(B142)&gt;13,_xlfn.NUMBERVALUE(B142)&lt;=26),"Q2", AND(_xlfn.NUMBERVALUE(B142)&gt;26,_xlfn.NUMBERVALUE(B142)&lt;=39),"Q3",_xlfn.NUMBERVALUE(B142)&gt;39,"Q4")</f>
        <v>Q3</v>
      </c>
      <c r="D142" s="448">
        <f t="shared" si="90"/>
        <v>44807</v>
      </c>
      <c r="E142" s="448">
        <f t="shared" si="73"/>
        <v>44813</v>
      </c>
      <c r="F142" s="79">
        <v>202232</v>
      </c>
      <c r="G142" s="180">
        <f t="shared" si="74"/>
        <v>0</v>
      </c>
      <c r="H142" s="429"/>
      <c r="I142" s="429"/>
      <c r="J142" s="474">
        <f t="shared" si="75"/>
        <v>0</v>
      </c>
      <c r="K142" s="474">
        <f t="shared" si="76"/>
        <v>0</v>
      </c>
      <c r="L142" s="481"/>
      <c r="M142" s="481"/>
      <c r="N142" s="481"/>
      <c r="O142" s="474">
        <f t="shared" si="77"/>
        <v>0</v>
      </c>
      <c r="P142" s="474">
        <f t="shared" si="78"/>
        <v>0</v>
      </c>
      <c r="Q142" s="474">
        <f t="shared" si="79"/>
        <v>0</v>
      </c>
      <c r="R142" s="449">
        <f>Forecast!J137</f>
        <v>0</v>
      </c>
      <c r="S142" s="449">
        <f>Forecast!N137</f>
        <v>0</v>
      </c>
      <c r="T142" s="475">
        <f t="shared" si="80"/>
        <v>0</v>
      </c>
      <c r="U142" s="475">
        <f t="shared" si="81"/>
        <v>0</v>
      </c>
      <c r="V142" s="349">
        <f t="shared" si="82"/>
        <v>0</v>
      </c>
      <c r="W142" s="350">
        <f t="shared" si="83"/>
        <v>0</v>
      </c>
      <c r="X142" s="469">
        <f>'Channel &amp; Campaign Metrics'!AR141</f>
        <v>0</v>
      </c>
      <c r="Y142" s="469">
        <f>'Channel &amp; Campaign Metrics'!BS141</f>
        <v>0</v>
      </c>
      <c r="Z142" s="446"/>
      <c r="AA142" s="112"/>
      <c r="AB142" s="358">
        <f>'Glass Metrics'!AC142</f>
        <v>0</v>
      </c>
      <c r="AC142" s="475">
        <f>'Glass Metrics'!I142</f>
        <v>0</v>
      </c>
      <c r="AD142" s="469">
        <f>'Glass Metrics'!N142</f>
        <v>0</v>
      </c>
      <c r="AE142" s="475">
        <f>'Glass Metrics'!S142</f>
        <v>0</v>
      </c>
      <c r="AF142" s="359" t="str">
        <f t="shared" si="84"/>
        <v/>
      </c>
      <c r="AG142" s="477" t="str">
        <f t="shared" si="85"/>
        <v/>
      </c>
      <c r="AH142" s="472" t="str">
        <f t="shared" si="86"/>
        <v/>
      </c>
      <c r="AI142" s="360" t="str">
        <f t="shared" si="87"/>
        <v/>
      </c>
      <c r="AJ142" s="361" t="str">
        <f t="shared" si="61"/>
        <v/>
      </c>
      <c r="AK142" s="482"/>
      <c r="AL142" s="482"/>
      <c r="AM142" s="481"/>
      <c r="AN142" s="481"/>
      <c r="AO142" s="374" t="str">
        <f t="shared" si="57"/>
        <v/>
      </c>
      <c r="AP142" s="361"/>
      <c r="AQ142" s="482"/>
      <c r="AR142" s="482"/>
      <c r="AS142" s="187">
        <f t="shared" si="70"/>
        <v>-0.1</v>
      </c>
      <c r="AT142" s="120"/>
      <c r="AU142" s="499"/>
      <c r="AV142" s="500">
        <f t="shared" si="88"/>
        <v>0</v>
      </c>
      <c r="AW142" s="501">
        <f t="shared" si="58"/>
        <v>0</v>
      </c>
      <c r="AX142" s="501">
        <f t="shared" si="59"/>
        <v>0</v>
      </c>
      <c r="AY142" s="385">
        <f t="shared" si="60"/>
        <v>0</v>
      </c>
      <c r="AZ142" s="358">
        <f t="shared" si="62"/>
        <v>0</v>
      </c>
      <c r="BA142" s="475">
        <f t="shared" si="63"/>
        <v>0</v>
      </c>
      <c r="BB142" s="481"/>
      <c r="BC142" s="481"/>
      <c r="BD142" s="481"/>
      <c r="BE142" s="481"/>
      <c r="BF142" s="453" t="str">
        <f t="shared" si="64"/>
        <v>-</v>
      </c>
      <c r="BG142" s="453" t="str">
        <f t="shared" si="65"/>
        <v>-</v>
      </c>
      <c r="BH142" s="453" t="str">
        <f t="shared" si="66"/>
        <v>-</v>
      </c>
      <c r="BI142" s="453" t="str">
        <f t="shared" si="67"/>
        <v>-</v>
      </c>
      <c r="BJ142" s="453" t="str">
        <f t="shared" si="68"/>
        <v>-</v>
      </c>
      <c r="BK142" s="390" t="str">
        <f t="shared" si="69"/>
        <v>-</v>
      </c>
      <c r="BL142" s="125"/>
      <c r="BM142" s="92"/>
      <c r="BN142" s="386">
        <f t="shared" si="89"/>
        <v>0</v>
      </c>
    </row>
    <row r="143" spans="1:66" s="89" customFormat="1" ht="16.350000000000001" customHeight="1">
      <c r="A143" s="175">
        <f t="shared" si="71"/>
        <v>2023</v>
      </c>
      <c r="B143" s="454" t="str">
        <f t="shared" si="72"/>
        <v>33</v>
      </c>
      <c r="C143" s="454" t="str">
        <f t="array" ref="C143">_xlfn.IFS(_xlfn.NUMBERVALUE(B143)&lt;=13,"Q1",AND(_xlfn.NUMBERVALUE(B143)&gt;13,_xlfn.NUMBERVALUE(B143)&lt;=26),"Q2", AND(_xlfn.NUMBERVALUE(B143)&gt;26,_xlfn.NUMBERVALUE(B143)&lt;=39),"Q3",_xlfn.NUMBERVALUE(B143)&gt;39,"Q4")</f>
        <v>Q3</v>
      </c>
      <c r="D143" s="448">
        <f t="shared" si="90"/>
        <v>44814</v>
      </c>
      <c r="E143" s="448">
        <f t="shared" si="73"/>
        <v>44820</v>
      </c>
      <c r="F143" s="79">
        <v>202233</v>
      </c>
      <c r="G143" s="180">
        <f t="shared" si="74"/>
        <v>0</v>
      </c>
      <c r="H143" s="429"/>
      <c r="I143" s="429"/>
      <c r="J143" s="474">
        <f t="shared" si="75"/>
        <v>0</v>
      </c>
      <c r="K143" s="474">
        <f t="shared" si="76"/>
        <v>0</v>
      </c>
      <c r="L143" s="481"/>
      <c r="M143" s="481"/>
      <c r="N143" s="481"/>
      <c r="O143" s="474">
        <f t="shared" si="77"/>
        <v>0</v>
      </c>
      <c r="P143" s="474">
        <f t="shared" si="78"/>
        <v>0</v>
      </c>
      <c r="Q143" s="474">
        <f t="shared" si="79"/>
        <v>0</v>
      </c>
      <c r="R143" s="449">
        <f>Forecast!J138</f>
        <v>0</v>
      </c>
      <c r="S143" s="449">
        <f>Forecast!N138</f>
        <v>0</v>
      </c>
      <c r="T143" s="475">
        <f t="shared" si="80"/>
        <v>0</v>
      </c>
      <c r="U143" s="475">
        <f t="shared" si="81"/>
        <v>0</v>
      </c>
      <c r="V143" s="349">
        <f t="shared" si="82"/>
        <v>0</v>
      </c>
      <c r="W143" s="350">
        <f t="shared" si="83"/>
        <v>0</v>
      </c>
      <c r="X143" s="469">
        <f>'Channel &amp; Campaign Metrics'!AR142</f>
        <v>0</v>
      </c>
      <c r="Y143" s="469">
        <f>'Channel &amp; Campaign Metrics'!BS142</f>
        <v>0</v>
      </c>
      <c r="Z143" s="446"/>
      <c r="AA143" s="112"/>
      <c r="AB143" s="358">
        <f>'Glass Metrics'!AC143</f>
        <v>0</v>
      </c>
      <c r="AC143" s="475">
        <f>'Glass Metrics'!I143</f>
        <v>0</v>
      </c>
      <c r="AD143" s="469">
        <f>'Glass Metrics'!N143</f>
        <v>0</v>
      </c>
      <c r="AE143" s="475">
        <f>'Glass Metrics'!S143</f>
        <v>0</v>
      </c>
      <c r="AF143" s="359" t="str">
        <f t="shared" si="84"/>
        <v/>
      </c>
      <c r="AG143" s="477" t="str">
        <f t="shared" si="85"/>
        <v/>
      </c>
      <c r="AH143" s="472" t="str">
        <f t="shared" si="86"/>
        <v/>
      </c>
      <c r="AI143" s="360" t="str">
        <f t="shared" si="87"/>
        <v/>
      </c>
      <c r="AJ143" s="361" t="str">
        <f t="shared" si="61"/>
        <v/>
      </c>
      <c r="AK143" s="482"/>
      <c r="AL143" s="482"/>
      <c r="AM143" s="481"/>
      <c r="AN143" s="481"/>
      <c r="AO143" s="374" t="str">
        <f t="shared" si="57"/>
        <v/>
      </c>
      <c r="AP143" s="361"/>
      <c r="AQ143" s="502"/>
      <c r="AR143" s="502"/>
      <c r="AS143" s="187">
        <f t="shared" si="70"/>
        <v>-0.1</v>
      </c>
      <c r="AT143" s="120"/>
      <c r="AU143" s="499"/>
      <c r="AV143" s="500">
        <f t="shared" si="88"/>
        <v>0</v>
      </c>
      <c r="AW143" s="501">
        <f t="shared" si="58"/>
        <v>0</v>
      </c>
      <c r="AX143" s="501">
        <f t="shared" si="59"/>
        <v>0</v>
      </c>
      <c r="AY143" s="385">
        <f t="shared" si="60"/>
        <v>0</v>
      </c>
      <c r="AZ143" s="358">
        <f t="shared" si="62"/>
        <v>0</v>
      </c>
      <c r="BA143" s="475">
        <f t="shared" si="63"/>
        <v>0</v>
      </c>
      <c r="BB143" s="481"/>
      <c r="BC143" s="481"/>
      <c r="BD143" s="481"/>
      <c r="BE143" s="481"/>
      <c r="BF143" s="453" t="str">
        <f t="shared" si="64"/>
        <v>-</v>
      </c>
      <c r="BG143" s="453" t="str">
        <f t="shared" si="65"/>
        <v>-</v>
      </c>
      <c r="BH143" s="453" t="str">
        <f t="shared" si="66"/>
        <v>-</v>
      </c>
      <c r="BI143" s="453" t="str">
        <f t="shared" si="67"/>
        <v>-</v>
      </c>
      <c r="BJ143" s="453" t="str">
        <f t="shared" si="68"/>
        <v>-</v>
      </c>
      <c r="BK143" s="390" t="str">
        <f t="shared" si="69"/>
        <v>-</v>
      </c>
      <c r="BL143" s="125"/>
      <c r="BM143" s="92"/>
      <c r="BN143" s="386">
        <f t="shared" si="89"/>
        <v>0</v>
      </c>
    </row>
    <row r="144" spans="1:66" s="89" customFormat="1" ht="16.350000000000001" customHeight="1">
      <c r="A144" s="175">
        <f t="shared" si="71"/>
        <v>2023</v>
      </c>
      <c r="B144" s="454" t="str">
        <f t="shared" si="72"/>
        <v>34</v>
      </c>
      <c r="C144" s="454" t="str">
        <f t="array" ref="C144">_xlfn.IFS(_xlfn.NUMBERVALUE(B144)&lt;=13,"Q1",AND(_xlfn.NUMBERVALUE(B144)&gt;13,_xlfn.NUMBERVALUE(B144)&lt;=26),"Q2", AND(_xlfn.NUMBERVALUE(B144)&gt;26,_xlfn.NUMBERVALUE(B144)&lt;=39),"Q3",_xlfn.NUMBERVALUE(B144)&gt;39,"Q4")</f>
        <v>Q3</v>
      </c>
      <c r="D144" s="448">
        <f t="shared" si="90"/>
        <v>44821</v>
      </c>
      <c r="E144" s="448">
        <f t="shared" si="73"/>
        <v>44827</v>
      </c>
      <c r="F144" s="79">
        <v>202234</v>
      </c>
      <c r="G144" s="180">
        <f t="shared" si="74"/>
        <v>0</v>
      </c>
      <c r="H144" s="429"/>
      <c r="I144" s="429"/>
      <c r="J144" s="474">
        <f t="shared" si="75"/>
        <v>0</v>
      </c>
      <c r="K144" s="474">
        <f t="shared" si="76"/>
        <v>0</v>
      </c>
      <c r="L144" s="481"/>
      <c r="M144" s="481"/>
      <c r="N144" s="481"/>
      <c r="O144" s="474">
        <f t="shared" si="77"/>
        <v>0</v>
      </c>
      <c r="P144" s="474">
        <f t="shared" si="78"/>
        <v>0</v>
      </c>
      <c r="Q144" s="474">
        <f t="shared" si="79"/>
        <v>0</v>
      </c>
      <c r="R144" s="449">
        <f>Forecast!J139</f>
        <v>0</v>
      </c>
      <c r="S144" s="449">
        <f>Forecast!N139</f>
        <v>0</v>
      </c>
      <c r="T144" s="475">
        <f t="shared" si="80"/>
        <v>0</v>
      </c>
      <c r="U144" s="475">
        <f t="shared" si="81"/>
        <v>0</v>
      </c>
      <c r="V144" s="349">
        <f t="shared" si="82"/>
        <v>0</v>
      </c>
      <c r="W144" s="350">
        <f t="shared" si="83"/>
        <v>0</v>
      </c>
      <c r="X144" s="469">
        <f>'Channel &amp; Campaign Metrics'!AR143</f>
        <v>0</v>
      </c>
      <c r="Y144" s="469">
        <f>'Channel &amp; Campaign Metrics'!BS143</f>
        <v>0</v>
      </c>
      <c r="Z144" s="446"/>
      <c r="AA144" s="112"/>
      <c r="AB144" s="358">
        <f>'Glass Metrics'!AC144</f>
        <v>0</v>
      </c>
      <c r="AC144" s="475">
        <f>'Glass Metrics'!I144</f>
        <v>0</v>
      </c>
      <c r="AD144" s="469">
        <f>'Glass Metrics'!N144</f>
        <v>0</v>
      </c>
      <c r="AE144" s="475">
        <f>'Glass Metrics'!S144</f>
        <v>0</v>
      </c>
      <c r="AF144" s="359" t="str">
        <f t="shared" si="84"/>
        <v/>
      </c>
      <c r="AG144" s="477" t="str">
        <f t="shared" si="85"/>
        <v/>
      </c>
      <c r="AH144" s="472" t="str">
        <f t="shared" si="86"/>
        <v/>
      </c>
      <c r="AI144" s="360" t="str">
        <f t="shared" si="87"/>
        <v/>
      </c>
      <c r="AJ144" s="361" t="str">
        <f t="shared" si="61"/>
        <v/>
      </c>
      <c r="AK144" s="482"/>
      <c r="AL144" s="482"/>
      <c r="AM144" s="481"/>
      <c r="AN144" s="481"/>
      <c r="AO144" s="374" t="str">
        <f t="shared" si="57"/>
        <v/>
      </c>
      <c r="AP144" s="361"/>
      <c r="AQ144" s="482"/>
      <c r="AR144" s="482"/>
      <c r="AS144" s="187">
        <f t="shared" si="70"/>
        <v>-0.1</v>
      </c>
      <c r="AT144" s="120"/>
      <c r="AU144" s="499"/>
      <c r="AV144" s="500">
        <f t="shared" si="88"/>
        <v>0</v>
      </c>
      <c r="AW144" s="501">
        <f t="shared" si="58"/>
        <v>0</v>
      </c>
      <c r="AX144" s="501">
        <f t="shared" si="59"/>
        <v>0</v>
      </c>
      <c r="AY144" s="385">
        <f t="shared" si="60"/>
        <v>0</v>
      </c>
      <c r="AZ144" s="358">
        <f t="shared" si="62"/>
        <v>0</v>
      </c>
      <c r="BA144" s="475">
        <f t="shared" si="63"/>
        <v>0</v>
      </c>
      <c r="BB144" s="481"/>
      <c r="BC144" s="481"/>
      <c r="BD144" s="481"/>
      <c r="BE144" s="481"/>
      <c r="BF144" s="453" t="str">
        <f t="shared" si="64"/>
        <v>-</v>
      </c>
      <c r="BG144" s="453" t="str">
        <f t="shared" si="65"/>
        <v>-</v>
      </c>
      <c r="BH144" s="453" t="str">
        <f t="shared" si="66"/>
        <v>-</v>
      </c>
      <c r="BI144" s="453" t="str">
        <f t="shared" si="67"/>
        <v>-</v>
      </c>
      <c r="BJ144" s="453" t="str">
        <f t="shared" si="68"/>
        <v>-</v>
      </c>
      <c r="BK144" s="390" t="str">
        <f t="shared" si="69"/>
        <v>-</v>
      </c>
      <c r="BL144" s="125"/>
      <c r="BM144" s="92"/>
      <c r="BN144" s="386">
        <f t="shared" si="89"/>
        <v>0</v>
      </c>
    </row>
    <row r="145" spans="1:66" s="89" customFormat="1" ht="16.350000000000001" customHeight="1">
      <c r="A145" s="175">
        <f t="shared" si="71"/>
        <v>2023</v>
      </c>
      <c r="B145" s="454" t="str">
        <f t="shared" si="72"/>
        <v>35</v>
      </c>
      <c r="C145" s="454" t="str">
        <f t="array" ref="C145">_xlfn.IFS(_xlfn.NUMBERVALUE(B145)&lt;=13,"Q1",AND(_xlfn.NUMBERVALUE(B145)&gt;13,_xlfn.NUMBERVALUE(B145)&lt;=26),"Q2", AND(_xlfn.NUMBERVALUE(B145)&gt;26,_xlfn.NUMBERVALUE(B145)&lt;=39),"Q3",_xlfn.NUMBERVALUE(B145)&gt;39,"Q4")</f>
        <v>Q3</v>
      </c>
      <c r="D145" s="448">
        <f t="shared" si="90"/>
        <v>44828</v>
      </c>
      <c r="E145" s="448">
        <f t="shared" si="73"/>
        <v>44834</v>
      </c>
      <c r="F145" s="79">
        <v>202235</v>
      </c>
      <c r="G145" s="180">
        <f t="shared" si="74"/>
        <v>0</v>
      </c>
      <c r="H145" s="429"/>
      <c r="I145" s="429"/>
      <c r="J145" s="474">
        <f t="shared" si="75"/>
        <v>0</v>
      </c>
      <c r="K145" s="474">
        <f t="shared" si="76"/>
        <v>0</v>
      </c>
      <c r="L145" s="481"/>
      <c r="M145" s="481"/>
      <c r="N145" s="481"/>
      <c r="O145" s="474">
        <f t="shared" si="77"/>
        <v>0</v>
      </c>
      <c r="P145" s="474">
        <f t="shared" si="78"/>
        <v>0</v>
      </c>
      <c r="Q145" s="474">
        <f t="shared" si="79"/>
        <v>0</v>
      </c>
      <c r="R145" s="449">
        <f>Forecast!J140</f>
        <v>0</v>
      </c>
      <c r="S145" s="449">
        <f>Forecast!N140</f>
        <v>0</v>
      </c>
      <c r="T145" s="475">
        <f t="shared" si="80"/>
        <v>0</v>
      </c>
      <c r="U145" s="475">
        <f t="shared" si="81"/>
        <v>0</v>
      </c>
      <c r="V145" s="349">
        <f t="shared" si="82"/>
        <v>0</v>
      </c>
      <c r="W145" s="350">
        <f t="shared" si="83"/>
        <v>0</v>
      </c>
      <c r="X145" s="469">
        <f>'Channel &amp; Campaign Metrics'!AR144</f>
        <v>0</v>
      </c>
      <c r="Y145" s="469">
        <f>'Channel &amp; Campaign Metrics'!BS144</f>
        <v>0</v>
      </c>
      <c r="Z145" s="446"/>
      <c r="AA145" s="112"/>
      <c r="AB145" s="358">
        <f>'Glass Metrics'!AC145</f>
        <v>0</v>
      </c>
      <c r="AC145" s="475">
        <f>'Glass Metrics'!I145</f>
        <v>0</v>
      </c>
      <c r="AD145" s="469">
        <f>'Glass Metrics'!N145</f>
        <v>0</v>
      </c>
      <c r="AE145" s="475">
        <f>'Glass Metrics'!S145</f>
        <v>0</v>
      </c>
      <c r="AF145" s="359" t="str">
        <f t="shared" si="84"/>
        <v/>
      </c>
      <c r="AG145" s="477" t="str">
        <f t="shared" si="85"/>
        <v/>
      </c>
      <c r="AH145" s="472" t="str">
        <f t="shared" si="86"/>
        <v/>
      </c>
      <c r="AI145" s="360" t="str">
        <f t="shared" si="87"/>
        <v/>
      </c>
      <c r="AJ145" s="361" t="str">
        <f t="shared" si="61"/>
        <v/>
      </c>
      <c r="AK145" s="482"/>
      <c r="AL145" s="482"/>
      <c r="AM145" s="481"/>
      <c r="AN145" s="481"/>
      <c r="AO145" s="374" t="str">
        <f t="shared" si="57"/>
        <v/>
      </c>
      <c r="AP145" s="361"/>
      <c r="AQ145" s="482"/>
      <c r="AR145" s="482"/>
      <c r="AS145" s="187">
        <f t="shared" ref="AS145:AS176" si="91">AP145</f>
        <v>0</v>
      </c>
      <c r="AT145" s="120"/>
      <c r="AU145" s="499"/>
      <c r="AV145" s="500">
        <f t="shared" si="88"/>
        <v>0</v>
      </c>
      <c r="AW145" s="501">
        <f t="shared" si="58"/>
        <v>0</v>
      </c>
      <c r="AX145" s="501">
        <f t="shared" si="59"/>
        <v>0</v>
      </c>
      <c r="AY145" s="385">
        <f t="shared" si="60"/>
        <v>0</v>
      </c>
      <c r="AZ145" s="358">
        <f t="shared" si="62"/>
        <v>0</v>
      </c>
      <c r="BA145" s="475">
        <f t="shared" si="63"/>
        <v>0</v>
      </c>
      <c r="BB145" s="481"/>
      <c r="BC145" s="481"/>
      <c r="BD145" s="481"/>
      <c r="BE145" s="481"/>
      <c r="BF145" s="453" t="str">
        <f t="shared" si="64"/>
        <v>-</v>
      </c>
      <c r="BG145" s="453" t="str">
        <f t="shared" si="65"/>
        <v>-</v>
      </c>
      <c r="BH145" s="453" t="str">
        <f t="shared" si="66"/>
        <v>-</v>
      </c>
      <c r="BI145" s="453" t="str">
        <f t="shared" si="67"/>
        <v>-</v>
      </c>
      <c r="BJ145" s="453" t="str">
        <f t="shared" si="68"/>
        <v>-</v>
      </c>
      <c r="BK145" s="390" t="str">
        <f t="shared" si="69"/>
        <v>-</v>
      </c>
      <c r="BL145" s="125"/>
      <c r="BM145" s="92"/>
      <c r="BN145" s="386">
        <f t="shared" si="89"/>
        <v>0</v>
      </c>
    </row>
    <row r="146" spans="1:66" s="89" customFormat="1" ht="16.350000000000001" customHeight="1">
      <c r="A146" s="175">
        <f t="shared" si="71"/>
        <v>2023</v>
      </c>
      <c r="B146" s="454" t="str">
        <f t="shared" si="72"/>
        <v>36</v>
      </c>
      <c r="C146" s="454" t="str">
        <f t="array" ref="C146">_xlfn.IFS(_xlfn.NUMBERVALUE(B146)&lt;=13,"Q1",AND(_xlfn.NUMBERVALUE(B146)&gt;13,_xlfn.NUMBERVALUE(B146)&lt;=26),"Q2", AND(_xlfn.NUMBERVALUE(B146)&gt;26,_xlfn.NUMBERVALUE(B146)&lt;=39),"Q3",_xlfn.NUMBERVALUE(B146)&gt;39,"Q4")</f>
        <v>Q3</v>
      </c>
      <c r="D146" s="448">
        <f t="shared" si="90"/>
        <v>44835</v>
      </c>
      <c r="E146" s="448">
        <f t="shared" si="73"/>
        <v>44841</v>
      </c>
      <c r="F146" s="79">
        <v>202236</v>
      </c>
      <c r="G146" s="180">
        <f t="shared" si="74"/>
        <v>0</v>
      </c>
      <c r="H146" s="429"/>
      <c r="I146" s="429"/>
      <c r="J146" s="474">
        <f t="shared" si="75"/>
        <v>0</v>
      </c>
      <c r="K146" s="474">
        <f t="shared" si="76"/>
        <v>0</v>
      </c>
      <c r="L146" s="481"/>
      <c r="M146" s="481"/>
      <c r="N146" s="481"/>
      <c r="O146" s="474">
        <f t="shared" si="77"/>
        <v>0</v>
      </c>
      <c r="P146" s="474">
        <f t="shared" si="78"/>
        <v>0</v>
      </c>
      <c r="Q146" s="474">
        <f t="shared" si="79"/>
        <v>0</v>
      </c>
      <c r="R146" s="449">
        <f>Forecast!J141</f>
        <v>0</v>
      </c>
      <c r="S146" s="449">
        <f>Forecast!N141</f>
        <v>0</v>
      </c>
      <c r="T146" s="475">
        <f t="shared" si="80"/>
        <v>0</v>
      </c>
      <c r="U146" s="475">
        <f t="shared" si="81"/>
        <v>0</v>
      </c>
      <c r="V146" s="349">
        <f t="shared" si="82"/>
        <v>0</v>
      </c>
      <c r="W146" s="350">
        <f t="shared" si="83"/>
        <v>0</v>
      </c>
      <c r="X146" s="469">
        <f>'Channel &amp; Campaign Metrics'!AR145</f>
        <v>0</v>
      </c>
      <c r="Y146" s="469">
        <f>'Channel &amp; Campaign Metrics'!BS145</f>
        <v>0</v>
      </c>
      <c r="Z146" s="446"/>
      <c r="AA146" s="112"/>
      <c r="AB146" s="358">
        <f>'Glass Metrics'!AC146</f>
        <v>0</v>
      </c>
      <c r="AC146" s="475">
        <f>'Glass Metrics'!I146</f>
        <v>0</v>
      </c>
      <c r="AD146" s="469">
        <f>'Glass Metrics'!N146</f>
        <v>0</v>
      </c>
      <c r="AE146" s="475">
        <f>'Glass Metrics'!S146</f>
        <v>0</v>
      </c>
      <c r="AF146" s="359" t="str">
        <f t="shared" si="84"/>
        <v/>
      </c>
      <c r="AG146" s="477" t="str">
        <f t="shared" si="85"/>
        <v/>
      </c>
      <c r="AH146" s="472" t="str">
        <f t="shared" si="86"/>
        <v/>
      </c>
      <c r="AI146" s="360" t="str">
        <f t="shared" si="87"/>
        <v/>
      </c>
      <c r="AJ146" s="361" t="str">
        <f t="shared" si="61"/>
        <v/>
      </c>
      <c r="AK146" s="482"/>
      <c r="AL146" s="482"/>
      <c r="AM146" s="481"/>
      <c r="AN146" s="481"/>
      <c r="AO146" s="374" t="str">
        <f t="shared" si="57"/>
        <v/>
      </c>
      <c r="AP146" s="361"/>
      <c r="AQ146" s="482"/>
      <c r="AR146" s="482"/>
      <c r="AS146" s="370">
        <f t="shared" si="91"/>
        <v>0</v>
      </c>
      <c r="AT146" s="120"/>
      <c r="AU146" s="499"/>
      <c r="AV146" s="500">
        <f t="shared" si="88"/>
        <v>0</v>
      </c>
      <c r="AW146" s="501">
        <f t="shared" si="58"/>
        <v>0</v>
      </c>
      <c r="AX146" s="501">
        <f t="shared" si="59"/>
        <v>0</v>
      </c>
      <c r="AY146" s="385">
        <f t="shared" si="60"/>
        <v>0</v>
      </c>
      <c r="AZ146" s="358">
        <f t="shared" si="62"/>
        <v>0</v>
      </c>
      <c r="BA146" s="475">
        <f t="shared" si="63"/>
        <v>0</v>
      </c>
      <c r="BB146" s="481"/>
      <c r="BC146" s="481"/>
      <c r="BD146" s="481"/>
      <c r="BE146" s="481"/>
      <c r="BF146" s="453" t="str">
        <f t="shared" si="64"/>
        <v>-</v>
      </c>
      <c r="BG146" s="453" t="str">
        <f t="shared" si="65"/>
        <v>-</v>
      </c>
      <c r="BH146" s="453" t="str">
        <f t="shared" si="66"/>
        <v>-</v>
      </c>
      <c r="BI146" s="453" t="str">
        <f t="shared" si="67"/>
        <v>-</v>
      </c>
      <c r="BJ146" s="453" t="str">
        <f t="shared" si="68"/>
        <v>-</v>
      </c>
      <c r="BK146" s="390" t="str">
        <f t="shared" si="69"/>
        <v>-</v>
      </c>
      <c r="BL146" s="125"/>
      <c r="BM146" s="92"/>
      <c r="BN146" s="386">
        <f t="shared" si="89"/>
        <v>0</v>
      </c>
    </row>
    <row r="147" spans="1:66" s="89" customFormat="1" ht="16.350000000000001" customHeight="1">
      <c r="A147" s="175">
        <f t="shared" si="71"/>
        <v>2023</v>
      </c>
      <c r="B147" s="454" t="str">
        <f t="shared" si="72"/>
        <v>37</v>
      </c>
      <c r="C147" s="454" t="str">
        <f t="array" ref="C147">_xlfn.IFS(_xlfn.NUMBERVALUE(B147)&lt;=13,"Q1",AND(_xlfn.NUMBERVALUE(B147)&gt;13,_xlfn.NUMBERVALUE(B147)&lt;=26),"Q2", AND(_xlfn.NUMBERVALUE(B147)&gt;26,_xlfn.NUMBERVALUE(B147)&lt;=39),"Q3",_xlfn.NUMBERVALUE(B147)&gt;39,"Q4")</f>
        <v>Q3</v>
      </c>
      <c r="D147" s="448">
        <f t="shared" si="90"/>
        <v>44842</v>
      </c>
      <c r="E147" s="448">
        <f t="shared" si="73"/>
        <v>44848</v>
      </c>
      <c r="F147" s="79">
        <v>202237</v>
      </c>
      <c r="G147" s="180">
        <f t="shared" si="74"/>
        <v>0</v>
      </c>
      <c r="H147" s="429"/>
      <c r="I147" s="429"/>
      <c r="J147" s="474">
        <f t="shared" si="75"/>
        <v>0</v>
      </c>
      <c r="K147" s="474">
        <f t="shared" si="76"/>
        <v>0</v>
      </c>
      <c r="L147" s="481"/>
      <c r="M147" s="481"/>
      <c r="N147" s="481"/>
      <c r="O147" s="474">
        <f t="shared" si="77"/>
        <v>0</v>
      </c>
      <c r="P147" s="474">
        <f t="shared" si="78"/>
        <v>0</v>
      </c>
      <c r="Q147" s="474">
        <f t="shared" si="79"/>
        <v>0</v>
      </c>
      <c r="R147" s="449">
        <f>Forecast!J142</f>
        <v>0</v>
      </c>
      <c r="S147" s="449">
        <f>Forecast!N142</f>
        <v>0</v>
      </c>
      <c r="T147" s="475">
        <f t="shared" si="80"/>
        <v>0</v>
      </c>
      <c r="U147" s="475">
        <f t="shared" si="81"/>
        <v>0</v>
      </c>
      <c r="V147" s="349">
        <f t="shared" si="82"/>
        <v>0</v>
      </c>
      <c r="W147" s="350">
        <f t="shared" si="83"/>
        <v>0</v>
      </c>
      <c r="X147" s="469">
        <f>'Channel &amp; Campaign Metrics'!AR146</f>
        <v>0</v>
      </c>
      <c r="Y147" s="469">
        <f>'Channel &amp; Campaign Metrics'!BS146</f>
        <v>0</v>
      </c>
      <c r="Z147" s="446"/>
      <c r="AA147" s="112"/>
      <c r="AB147" s="358">
        <f>'Glass Metrics'!AC147</f>
        <v>0</v>
      </c>
      <c r="AC147" s="475">
        <f>'Glass Metrics'!I147</f>
        <v>0</v>
      </c>
      <c r="AD147" s="469">
        <f>'Glass Metrics'!N147</f>
        <v>0</v>
      </c>
      <c r="AE147" s="475">
        <f>'Glass Metrics'!S147</f>
        <v>0</v>
      </c>
      <c r="AF147" s="359" t="str">
        <f t="shared" si="84"/>
        <v/>
      </c>
      <c r="AG147" s="477" t="str">
        <f t="shared" si="85"/>
        <v/>
      </c>
      <c r="AH147" s="472" t="str">
        <f t="shared" si="86"/>
        <v/>
      </c>
      <c r="AI147" s="360" t="str">
        <f t="shared" si="87"/>
        <v/>
      </c>
      <c r="AJ147" s="361" t="str">
        <f t="shared" si="61"/>
        <v/>
      </c>
      <c r="AK147" s="482"/>
      <c r="AL147" s="482"/>
      <c r="AM147" s="481"/>
      <c r="AN147" s="481"/>
      <c r="AO147" s="374" t="str">
        <f t="shared" si="57"/>
        <v/>
      </c>
      <c r="AP147" s="361"/>
      <c r="AQ147" s="482"/>
      <c r="AR147" s="482"/>
      <c r="AS147" s="370">
        <f t="shared" si="91"/>
        <v>0</v>
      </c>
      <c r="AT147" s="120"/>
      <c r="AU147" s="499"/>
      <c r="AV147" s="500">
        <f t="shared" si="88"/>
        <v>0</v>
      </c>
      <c r="AW147" s="501">
        <f t="shared" si="58"/>
        <v>0</v>
      </c>
      <c r="AX147" s="501">
        <f t="shared" si="59"/>
        <v>0</v>
      </c>
      <c r="AY147" s="385">
        <f t="shared" si="60"/>
        <v>0</v>
      </c>
      <c r="AZ147" s="358">
        <f t="shared" si="62"/>
        <v>0</v>
      </c>
      <c r="BA147" s="475">
        <f t="shared" si="63"/>
        <v>0</v>
      </c>
      <c r="BB147" s="481"/>
      <c r="BC147" s="481"/>
      <c r="BD147" s="481"/>
      <c r="BE147" s="481"/>
      <c r="BF147" s="453" t="str">
        <f t="shared" si="64"/>
        <v>-</v>
      </c>
      <c r="BG147" s="453" t="str">
        <f t="shared" si="65"/>
        <v>-</v>
      </c>
      <c r="BH147" s="453" t="str">
        <f t="shared" si="66"/>
        <v>-</v>
      </c>
      <c r="BI147" s="453" t="str">
        <f t="shared" si="67"/>
        <v>-</v>
      </c>
      <c r="BJ147" s="453" t="str">
        <f t="shared" si="68"/>
        <v>-</v>
      </c>
      <c r="BK147" s="390" t="str">
        <f t="shared" si="69"/>
        <v>-</v>
      </c>
      <c r="BL147" s="125"/>
      <c r="BM147" s="92"/>
      <c r="BN147" s="386">
        <f t="shared" si="89"/>
        <v>0</v>
      </c>
    </row>
    <row r="148" spans="1:66" s="89" customFormat="1" ht="16.350000000000001" customHeight="1">
      <c r="A148" s="175">
        <f t="shared" si="71"/>
        <v>2023</v>
      </c>
      <c r="B148" s="454" t="str">
        <f t="shared" si="72"/>
        <v>38</v>
      </c>
      <c r="C148" s="454" t="str">
        <f t="array" ref="C148">_xlfn.IFS(_xlfn.NUMBERVALUE(B148)&lt;=13,"Q1",AND(_xlfn.NUMBERVALUE(B148)&gt;13,_xlfn.NUMBERVALUE(B148)&lt;=26),"Q2", AND(_xlfn.NUMBERVALUE(B148)&gt;26,_xlfn.NUMBERVALUE(B148)&lt;=39),"Q3",_xlfn.NUMBERVALUE(B148)&gt;39,"Q4")</f>
        <v>Q3</v>
      </c>
      <c r="D148" s="448">
        <f t="shared" si="90"/>
        <v>44849</v>
      </c>
      <c r="E148" s="448">
        <f t="shared" si="73"/>
        <v>44855</v>
      </c>
      <c r="F148" s="79">
        <v>202238</v>
      </c>
      <c r="G148" s="180">
        <f t="shared" si="74"/>
        <v>0</v>
      </c>
      <c r="H148" s="429"/>
      <c r="I148" s="429"/>
      <c r="J148" s="474">
        <f t="shared" si="75"/>
        <v>0</v>
      </c>
      <c r="K148" s="474">
        <f t="shared" si="76"/>
        <v>0</v>
      </c>
      <c r="L148" s="481"/>
      <c r="M148" s="481"/>
      <c r="N148" s="481"/>
      <c r="O148" s="474">
        <f t="shared" si="77"/>
        <v>0</v>
      </c>
      <c r="P148" s="474">
        <f t="shared" si="78"/>
        <v>0</v>
      </c>
      <c r="Q148" s="474">
        <f t="shared" si="79"/>
        <v>0</v>
      </c>
      <c r="R148" s="449">
        <f>Forecast!J143</f>
        <v>0</v>
      </c>
      <c r="S148" s="449">
        <f>Forecast!N143</f>
        <v>0</v>
      </c>
      <c r="T148" s="475">
        <f t="shared" si="80"/>
        <v>0</v>
      </c>
      <c r="U148" s="475">
        <f t="shared" si="81"/>
        <v>0</v>
      </c>
      <c r="V148" s="349">
        <f t="shared" si="82"/>
        <v>0</v>
      </c>
      <c r="W148" s="350">
        <f t="shared" si="83"/>
        <v>0</v>
      </c>
      <c r="X148" s="469">
        <f>'Channel &amp; Campaign Metrics'!AR147</f>
        <v>0</v>
      </c>
      <c r="Y148" s="469">
        <f>'Channel &amp; Campaign Metrics'!BS147</f>
        <v>0</v>
      </c>
      <c r="Z148" s="446"/>
      <c r="AA148" s="112"/>
      <c r="AB148" s="358">
        <f>'Glass Metrics'!AC148</f>
        <v>0</v>
      </c>
      <c r="AC148" s="475">
        <f>'Glass Metrics'!I148</f>
        <v>0</v>
      </c>
      <c r="AD148" s="469">
        <f>'Glass Metrics'!N148</f>
        <v>0</v>
      </c>
      <c r="AE148" s="475">
        <f>'Glass Metrics'!S148</f>
        <v>0</v>
      </c>
      <c r="AF148" s="359" t="str">
        <f t="shared" si="84"/>
        <v/>
      </c>
      <c r="AG148" s="477" t="str">
        <f t="shared" si="85"/>
        <v/>
      </c>
      <c r="AH148" s="472" t="str">
        <f t="shared" si="86"/>
        <v/>
      </c>
      <c r="AI148" s="360" t="str">
        <f t="shared" si="87"/>
        <v/>
      </c>
      <c r="AJ148" s="361" t="str">
        <f t="shared" si="61"/>
        <v/>
      </c>
      <c r="AK148" s="482"/>
      <c r="AL148" s="482"/>
      <c r="AM148" s="481"/>
      <c r="AN148" s="481"/>
      <c r="AO148" s="374" t="str">
        <f t="shared" si="57"/>
        <v/>
      </c>
      <c r="AP148" s="361"/>
      <c r="AQ148" s="482"/>
      <c r="AR148" s="482"/>
      <c r="AS148" s="370">
        <f t="shared" si="91"/>
        <v>0</v>
      </c>
      <c r="AT148" s="120"/>
      <c r="AU148" s="499"/>
      <c r="AV148" s="500">
        <f t="shared" si="88"/>
        <v>0</v>
      </c>
      <c r="AW148" s="501">
        <f t="shared" si="58"/>
        <v>0</v>
      </c>
      <c r="AX148" s="501">
        <f t="shared" si="59"/>
        <v>0</v>
      </c>
      <c r="AY148" s="385">
        <f t="shared" si="60"/>
        <v>0</v>
      </c>
      <c r="AZ148" s="358">
        <f t="shared" si="62"/>
        <v>0</v>
      </c>
      <c r="BA148" s="475">
        <f t="shared" si="63"/>
        <v>0</v>
      </c>
      <c r="BB148" s="481"/>
      <c r="BC148" s="481"/>
      <c r="BD148" s="481"/>
      <c r="BE148" s="481"/>
      <c r="BF148" s="453" t="str">
        <f t="shared" si="64"/>
        <v>-</v>
      </c>
      <c r="BG148" s="453" t="str">
        <f t="shared" si="65"/>
        <v>-</v>
      </c>
      <c r="BH148" s="453" t="str">
        <f t="shared" si="66"/>
        <v>-</v>
      </c>
      <c r="BI148" s="453" t="str">
        <f t="shared" si="67"/>
        <v>-</v>
      </c>
      <c r="BJ148" s="453" t="str">
        <f t="shared" si="68"/>
        <v>-</v>
      </c>
      <c r="BK148" s="390" t="str">
        <f t="shared" si="69"/>
        <v>-</v>
      </c>
      <c r="BL148" s="125"/>
      <c r="BM148" s="92"/>
      <c r="BN148" s="386">
        <f t="shared" si="89"/>
        <v>0</v>
      </c>
    </row>
    <row r="149" spans="1:66" s="89" customFormat="1" ht="16.350000000000001" customHeight="1">
      <c r="A149" s="175">
        <f t="shared" si="71"/>
        <v>2023</v>
      </c>
      <c r="B149" s="454" t="str">
        <f t="shared" si="72"/>
        <v>39</v>
      </c>
      <c r="C149" s="454" t="str">
        <f t="array" ref="C149">_xlfn.IFS(_xlfn.NUMBERVALUE(B149)&lt;=13,"Q1",AND(_xlfn.NUMBERVALUE(B149)&gt;13,_xlfn.NUMBERVALUE(B149)&lt;=26),"Q2", AND(_xlfn.NUMBERVALUE(B149)&gt;26,_xlfn.NUMBERVALUE(B149)&lt;=39),"Q3",_xlfn.NUMBERVALUE(B149)&gt;39,"Q4")</f>
        <v>Q3</v>
      </c>
      <c r="D149" s="448">
        <f t="shared" si="90"/>
        <v>44856</v>
      </c>
      <c r="E149" s="448">
        <f t="shared" si="73"/>
        <v>44862</v>
      </c>
      <c r="F149" s="79">
        <v>202239</v>
      </c>
      <c r="G149" s="180">
        <f t="shared" si="74"/>
        <v>0</v>
      </c>
      <c r="H149" s="429"/>
      <c r="I149" s="429"/>
      <c r="J149" s="474">
        <f t="shared" si="75"/>
        <v>0</v>
      </c>
      <c r="K149" s="474">
        <f t="shared" si="76"/>
        <v>0</v>
      </c>
      <c r="L149" s="481"/>
      <c r="M149" s="481"/>
      <c r="N149" s="481"/>
      <c r="O149" s="474">
        <f t="shared" si="77"/>
        <v>0</v>
      </c>
      <c r="P149" s="474">
        <f t="shared" si="78"/>
        <v>0</v>
      </c>
      <c r="Q149" s="474">
        <f t="shared" si="79"/>
        <v>0</v>
      </c>
      <c r="R149" s="449">
        <f>Forecast!J144</f>
        <v>0</v>
      </c>
      <c r="S149" s="449">
        <f>Forecast!N144</f>
        <v>0</v>
      </c>
      <c r="T149" s="475">
        <f t="shared" si="80"/>
        <v>0</v>
      </c>
      <c r="U149" s="475">
        <f t="shared" si="81"/>
        <v>0</v>
      </c>
      <c r="V149" s="349">
        <f t="shared" si="82"/>
        <v>0</v>
      </c>
      <c r="W149" s="350">
        <f t="shared" si="83"/>
        <v>0</v>
      </c>
      <c r="X149" s="469">
        <f>'Channel &amp; Campaign Metrics'!AR148</f>
        <v>0</v>
      </c>
      <c r="Y149" s="469">
        <f>'Channel &amp; Campaign Metrics'!BS148</f>
        <v>0</v>
      </c>
      <c r="Z149" s="446"/>
      <c r="AA149" s="112"/>
      <c r="AB149" s="358">
        <f>'Glass Metrics'!AC149</f>
        <v>0</v>
      </c>
      <c r="AC149" s="475">
        <f>'Glass Metrics'!I149</f>
        <v>0</v>
      </c>
      <c r="AD149" s="469">
        <f>'Glass Metrics'!N149</f>
        <v>0</v>
      </c>
      <c r="AE149" s="475">
        <f>'Glass Metrics'!S149</f>
        <v>0</v>
      </c>
      <c r="AF149" s="359" t="str">
        <f t="shared" si="84"/>
        <v/>
      </c>
      <c r="AG149" s="477" t="str">
        <f t="shared" si="85"/>
        <v/>
      </c>
      <c r="AH149" s="472" t="str">
        <f t="shared" si="86"/>
        <v/>
      </c>
      <c r="AI149" s="360" t="str">
        <f t="shared" si="87"/>
        <v/>
      </c>
      <c r="AJ149" s="361" t="str">
        <f t="shared" si="61"/>
        <v/>
      </c>
      <c r="AK149" s="482"/>
      <c r="AL149" s="482"/>
      <c r="AM149" s="481"/>
      <c r="AN149" s="481"/>
      <c r="AO149" s="374" t="str">
        <f t="shared" si="57"/>
        <v/>
      </c>
      <c r="AP149" s="361"/>
      <c r="AQ149" s="482"/>
      <c r="AR149" s="482"/>
      <c r="AS149" s="370">
        <f t="shared" si="91"/>
        <v>0</v>
      </c>
      <c r="AT149" s="120"/>
      <c r="AU149" s="499"/>
      <c r="AV149" s="500">
        <f t="shared" si="88"/>
        <v>0</v>
      </c>
      <c r="AW149" s="501">
        <f t="shared" si="58"/>
        <v>0</v>
      </c>
      <c r="AX149" s="501">
        <f t="shared" si="59"/>
        <v>0</v>
      </c>
      <c r="AY149" s="385">
        <f t="shared" si="60"/>
        <v>0</v>
      </c>
      <c r="AZ149" s="358">
        <f t="shared" si="62"/>
        <v>0</v>
      </c>
      <c r="BA149" s="475">
        <f t="shared" si="63"/>
        <v>0</v>
      </c>
      <c r="BB149" s="481"/>
      <c r="BC149" s="481"/>
      <c r="BD149" s="481"/>
      <c r="BE149" s="481"/>
      <c r="BF149" s="453" t="str">
        <f t="shared" si="64"/>
        <v>-</v>
      </c>
      <c r="BG149" s="453" t="str">
        <f t="shared" si="65"/>
        <v>-</v>
      </c>
      <c r="BH149" s="453" t="str">
        <f t="shared" si="66"/>
        <v>-</v>
      </c>
      <c r="BI149" s="453" t="str">
        <f t="shared" si="67"/>
        <v>-</v>
      </c>
      <c r="BJ149" s="453" t="str">
        <f t="shared" si="68"/>
        <v>-</v>
      </c>
      <c r="BK149" s="390" t="str">
        <f t="shared" si="69"/>
        <v>-</v>
      </c>
      <c r="BL149" s="125"/>
      <c r="BM149" s="92"/>
      <c r="BN149" s="386">
        <f t="shared" si="89"/>
        <v>0</v>
      </c>
    </row>
    <row r="150" spans="1:66" s="89" customFormat="1" ht="16.350000000000001" customHeight="1">
      <c r="A150" s="175">
        <f t="shared" si="71"/>
        <v>2023</v>
      </c>
      <c r="B150" s="454" t="str">
        <f t="shared" si="72"/>
        <v>40</v>
      </c>
      <c r="C150" s="454" t="str">
        <f t="array" ref="C150">_xlfn.IFS(_xlfn.NUMBERVALUE(B150)&lt;=13,"Q1",AND(_xlfn.NUMBERVALUE(B150)&gt;13,_xlfn.NUMBERVALUE(B150)&lt;=26),"Q2", AND(_xlfn.NUMBERVALUE(B150)&gt;26,_xlfn.NUMBERVALUE(B150)&lt;=39),"Q3",_xlfn.NUMBERVALUE(B150)&gt;39,"Q4")</f>
        <v>Q4</v>
      </c>
      <c r="D150" s="448">
        <f t="shared" si="90"/>
        <v>44863</v>
      </c>
      <c r="E150" s="448">
        <f t="shared" si="73"/>
        <v>44869</v>
      </c>
      <c r="F150" s="79">
        <v>202240</v>
      </c>
      <c r="G150" s="180">
        <f t="shared" si="74"/>
        <v>0</v>
      </c>
      <c r="H150" s="429"/>
      <c r="I150" s="429"/>
      <c r="J150" s="474">
        <f t="shared" si="75"/>
        <v>0</v>
      </c>
      <c r="K150" s="474">
        <f t="shared" si="76"/>
        <v>0</v>
      </c>
      <c r="L150" s="481"/>
      <c r="M150" s="481"/>
      <c r="N150" s="481"/>
      <c r="O150" s="474">
        <f t="shared" si="77"/>
        <v>0</v>
      </c>
      <c r="P150" s="474">
        <f t="shared" si="78"/>
        <v>0</v>
      </c>
      <c r="Q150" s="474">
        <f t="shared" si="79"/>
        <v>0</v>
      </c>
      <c r="R150" s="449">
        <f>Forecast!J145</f>
        <v>0</v>
      </c>
      <c r="S150" s="449">
        <f>Forecast!N145</f>
        <v>0</v>
      </c>
      <c r="T150" s="475">
        <f t="shared" si="80"/>
        <v>0</v>
      </c>
      <c r="U150" s="475">
        <f t="shared" si="81"/>
        <v>0</v>
      </c>
      <c r="V150" s="349">
        <f t="shared" si="82"/>
        <v>0</v>
      </c>
      <c r="W150" s="350">
        <f t="shared" si="83"/>
        <v>0</v>
      </c>
      <c r="X150" s="469">
        <f>'Channel &amp; Campaign Metrics'!AR149</f>
        <v>0</v>
      </c>
      <c r="Y150" s="469">
        <f>'Channel &amp; Campaign Metrics'!BS149</f>
        <v>0</v>
      </c>
      <c r="Z150" s="446"/>
      <c r="AA150" s="112"/>
      <c r="AB150" s="358">
        <f>'Glass Metrics'!AC150</f>
        <v>0</v>
      </c>
      <c r="AC150" s="475">
        <f>'Glass Metrics'!I150</f>
        <v>0</v>
      </c>
      <c r="AD150" s="469">
        <f>'Glass Metrics'!N150</f>
        <v>0</v>
      </c>
      <c r="AE150" s="475">
        <f>'Glass Metrics'!S150</f>
        <v>0</v>
      </c>
      <c r="AF150" s="359" t="str">
        <f t="shared" si="84"/>
        <v/>
      </c>
      <c r="AG150" s="477" t="str">
        <f t="shared" si="85"/>
        <v/>
      </c>
      <c r="AH150" s="472" t="str">
        <f t="shared" si="86"/>
        <v/>
      </c>
      <c r="AI150" s="360" t="str">
        <f t="shared" si="87"/>
        <v/>
      </c>
      <c r="AJ150" s="361" t="str">
        <f t="shared" si="61"/>
        <v/>
      </c>
      <c r="AK150" s="482"/>
      <c r="AL150" s="482"/>
      <c r="AM150" s="481"/>
      <c r="AN150" s="481"/>
      <c r="AO150" s="374" t="str">
        <f t="shared" si="57"/>
        <v/>
      </c>
      <c r="AP150" s="361"/>
      <c r="AQ150" s="482"/>
      <c r="AR150" s="482"/>
      <c r="AS150" s="370">
        <f t="shared" si="91"/>
        <v>0</v>
      </c>
      <c r="AT150" s="120"/>
      <c r="AU150" s="499"/>
      <c r="AV150" s="500">
        <f t="shared" si="88"/>
        <v>0</v>
      </c>
      <c r="AW150" s="501">
        <f t="shared" si="58"/>
        <v>0</v>
      </c>
      <c r="AX150" s="501">
        <f t="shared" si="59"/>
        <v>0</v>
      </c>
      <c r="AY150" s="385">
        <f t="shared" si="60"/>
        <v>0</v>
      </c>
      <c r="AZ150" s="358">
        <f t="shared" si="62"/>
        <v>0</v>
      </c>
      <c r="BA150" s="475">
        <f t="shared" si="63"/>
        <v>0</v>
      </c>
      <c r="BB150" s="481"/>
      <c r="BC150" s="481"/>
      <c r="BD150" s="481"/>
      <c r="BE150" s="481"/>
      <c r="BF150" s="453" t="str">
        <f t="shared" si="64"/>
        <v>-</v>
      </c>
      <c r="BG150" s="453" t="str">
        <f t="shared" si="65"/>
        <v>-</v>
      </c>
      <c r="BH150" s="453" t="str">
        <f t="shared" si="66"/>
        <v>-</v>
      </c>
      <c r="BI150" s="453" t="str">
        <f t="shared" si="67"/>
        <v>-</v>
      </c>
      <c r="BJ150" s="453" t="str">
        <f t="shared" si="68"/>
        <v>-</v>
      </c>
      <c r="BK150" s="390" t="str">
        <f t="shared" si="69"/>
        <v>-</v>
      </c>
      <c r="BL150" s="125"/>
      <c r="BM150" s="92"/>
      <c r="BN150" s="386">
        <f t="shared" si="89"/>
        <v>0</v>
      </c>
    </row>
    <row r="151" spans="1:66" s="89" customFormat="1" ht="16.350000000000001" customHeight="1">
      <c r="A151" s="175">
        <f t="shared" si="71"/>
        <v>2023</v>
      </c>
      <c r="B151" s="454" t="str">
        <f t="shared" si="72"/>
        <v>41</v>
      </c>
      <c r="C151" s="454" t="str">
        <f t="array" ref="C151">_xlfn.IFS(_xlfn.NUMBERVALUE(B151)&lt;=13,"Q1",AND(_xlfn.NUMBERVALUE(B151)&gt;13,_xlfn.NUMBERVALUE(B151)&lt;=26),"Q2", AND(_xlfn.NUMBERVALUE(B151)&gt;26,_xlfn.NUMBERVALUE(B151)&lt;=39),"Q3",_xlfn.NUMBERVALUE(B151)&gt;39,"Q4")</f>
        <v>Q4</v>
      </c>
      <c r="D151" s="448">
        <f t="shared" si="90"/>
        <v>44870</v>
      </c>
      <c r="E151" s="448">
        <f t="shared" si="73"/>
        <v>44876</v>
      </c>
      <c r="F151" s="79">
        <v>202241</v>
      </c>
      <c r="G151" s="180">
        <f t="shared" si="74"/>
        <v>0</v>
      </c>
      <c r="H151" s="429"/>
      <c r="I151" s="429"/>
      <c r="J151" s="474">
        <f t="shared" si="75"/>
        <v>0</v>
      </c>
      <c r="K151" s="474">
        <f t="shared" si="76"/>
        <v>0</v>
      </c>
      <c r="L151" s="481"/>
      <c r="M151" s="481"/>
      <c r="N151" s="481"/>
      <c r="O151" s="474">
        <f t="shared" si="77"/>
        <v>0</v>
      </c>
      <c r="P151" s="474">
        <f t="shared" si="78"/>
        <v>0</v>
      </c>
      <c r="Q151" s="474">
        <f t="shared" si="79"/>
        <v>0</v>
      </c>
      <c r="R151" s="449">
        <f>Forecast!J146</f>
        <v>0</v>
      </c>
      <c r="S151" s="449">
        <f>Forecast!N146</f>
        <v>0</v>
      </c>
      <c r="T151" s="475">
        <f t="shared" si="80"/>
        <v>0</v>
      </c>
      <c r="U151" s="475">
        <f t="shared" si="81"/>
        <v>0</v>
      </c>
      <c r="V151" s="349">
        <f t="shared" si="82"/>
        <v>0</v>
      </c>
      <c r="W151" s="350">
        <f t="shared" si="83"/>
        <v>0</v>
      </c>
      <c r="X151" s="469">
        <f>'Channel &amp; Campaign Metrics'!AR150</f>
        <v>0</v>
      </c>
      <c r="Y151" s="469">
        <f>'Channel &amp; Campaign Metrics'!BS150</f>
        <v>0</v>
      </c>
      <c r="Z151" s="446"/>
      <c r="AA151" s="112"/>
      <c r="AB151" s="358">
        <f>'Glass Metrics'!AC151</f>
        <v>0</v>
      </c>
      <c r="AC151" s="475">
        <f>'Glass Metrics'!I151</f>
        <v>0</v>
      </c>
      <c r="AD151" s="469">
        <f>'Glass Metrics'!N151</f>
        <v>0</v>
      </c>
      <c r="AE151" s="475">
        <f>'Glass Metrics'!S151</f>
        <v>0</v>
      </c>
      <c r="AF151" s="359" t="str">
        <f t="shared" si="84"/>
        <v/>
      </c>
      <c r="AG151" s="477" t="str">
        <f t="shared" si="85"/>
        <v/>
      </c>
      <c r="AH151" s="472" t="str">
        <f t="shared" si="86"/>
        <v/>
      </c>
      <c r="AI151" s="360" t="str">
        <f t="shared" si="87"/>
        <v/>
      </c>
      <c r="AJ151" s="361" t="str">
        <f t="shared" si="61"/>
        <v/>
      </c>
      <c r="AK151" s="482"/>
      <c r="AL151" s="482"/>
      <c r="AM151" s="481"/>
      <c r="AN151" s="481"/>
      <c r="AO151" s="374" t="str">
        <f t="shared" si="57"/>
        <v/>
      </c>
      <c r="AP151" s="361"/>
      <c r="AQ151" s="482"/>
      <c r="AR151" s="482"/>
      <c r="AS151" s="370">
        <f t="shared" si="91"/>
        <v>0</v>
      </c>
      <c r="AT151" s="120"/>
      <c r="AU151" s="499"/>
      <c r="AV151" s="500">
        <f t="shared" si="88"/>
        <v>0</v>
      </c>
      <c r="AW151" s="501">
        <f t="shared" si="58"/>
        <v>0</v>
      </c>
      <c r="AX151" s="501">
        <f t="shared" si="59"/>
        <v>0</v>
      </c>
      <c r="AY151" s="385">
        <f t="shared" si="60"/>
        <v>0</v>
      </c>
      <c r="AZ151" s="358">
        <f t="shared" si="62"/>
        <v>0</v>
      </c>
      <c r="BA151" s="475">
        <f t="shared" si="63"/>
        <v>0</v>
      </c>
      <c r="BB151" s="481"/>
      <c r="BC151" s="481"/>
      <c r="BD151" s="481"/>
      <c r="BE151" s="481"/>
      <c r="BF151" s="453" t="str">
        <f t="shared" si="64"/>
        <v>-</v>
      </c>
      <c r="BG151" s="453" t="str">
        <f t="shared" si="65"/>
        <v>-</v>
      </c>
      <c r="BH151" s="453" t="str">
        <f t="shared" si="66"/>
        <v>-</v>
      </c>
      <c r="BI151" s="453" t="str">
        <f t="shared" si="67"/>
        <v>-</v>
      </c>
      <c r="BJ151" s="453" t="str">
        <f t="shared" si="68"/>
        <v>-</v>
      </c>
      <c r="BK151" s="390" t="str">
        <f t="shared" si="69"/>
        <v>-</v>
      </c>
      <c r="BL151" s="125"/>
      <c r="BM151" s="92"/>
      <c r="BN151" s="386">
        <f t="shared" si="89"/>
        <v>0</v>
      </c>
    </row>
    <row r="152" spans="1:66" s="89" customFormat="1" ht="16.350000000000001" customHeight="1">
      <c r="A152" s="175">
        <f t="shared" si="71"/>
        <v>2023</v>
      </c>
      <c r="B152" s="454" t="str">
        <f t="shared" si="72"/>
        <v>42</v>
      </c>
      <c r="C152" s="454" t="str">
        <f t="array" ref="C152">_xlfn.IFS(_xlfn.NUMBERVALUE(B152)&lt;=13,"Q1",AND(_xlfn.NUMBERVALUE(B152)&gt;13,_xlfn.NUMBERVALUE(B152)&lt;=26),"Q2", AND(_xlfn.NUMBERVALUE(B152)&gt;26,_xlfn.NUMBERVALUE(B152)&lt;=39),"Q3",_xlfn.NUMBERVALUE(B152)&gt;39,"Q4")</f>
        <v>Q4</v>
      </c>
      <c r="D152" s="448">
        <f t="shared" si="90"/>
        <v>44877</v>
      </c>
      <c r="E152" s="448">
        <f t="shared" si="73"/>
        <v>44883</v>
      </c>
      <c r="F152" s="79">
        <v>202242</v>
      </c>
      <c r="G152" s="180">
        <f t="shared" si="74"/>
        <v>0</v>
      </c>
      <c r="H152" s="429"/>
      <c r="I152" s="429"/>
      <c r="J152" s="474">
        <f t="shared" si="75"/>
        <v>0</v>
      </c>
      <c r="K152" s="474">
        <f t="shared" si="76"/>
        <v>0</v>
      </c>
      <c r="L152" s="481"/>
      <c r="M152" s="481"/>
      <c r="N152" s="481"/>
      <c r="O152" s="474">
        <f t="shared" si="77"/>
        <v>0</v>
      </c>
      <c r="P152" s="474">
        <f t="shared" si="78"/>
        <v>0</v>
      </c>
      <c r="Q152" s="474">
        <f t="shared" si="79"/>
        <v>0</v>
      </c>
      <c r="R152" s="449">
        <f>Forecast!J147</f>
        <v>0</v>
      </c>
      <c r="S152" s="449">
        <f>Forecast!N147</f>
        <v>0</v>
      </c>
      <c r="T152" s="475">
        <f t="shared" si="80"/>
        <v>0</v>
      </c>
      <c r="U152" s="475">
        <f t="shared" si="81"/>
        <v>0</v>
      </c>
      <c r="V152" s="349">
        <f t="shared" si="82"/>
        <v>0</v>
      </c>
      <c r="W152" s="350">
        <f t="shared" si="83"/>
        <v>0</v>
      </c>
      <c r="X152" s="469">
        <f>'Channel &amp; Campaign Metrics'!AR151</f>
        <v>0</v>
      </c>
      <c r="Y152" s="469">
        <f>'Channel &amp; Campaign Metrics'!BS151</f>
        <v>0</v>
      </c>
      <c r="Z152" s="446"/>
      <c r="AA152" s="112"/>
      <c r="AB152" s="358">
        <f>'Glass Metrics'!AC152</f>
        <v>0</v>
      </c>
      <c r="AC152" s="475">
        <f>'Glass Metrics'!I152</f>
        <v>0</v>
      </c>
      <c r="AD152" s="469">
        <f>'Glass Metrics'!N152</f>
        <v>0</v>
      </c>
      <c r="AE152" s="475">
        <f>'Glass Metrics'!S152</f>
        <v>0</v>
      </c>
      <c r="AF152" s="359" t="str">
        <f t="shared" si="84"/>
        <v/>
      </c>
      <c r="AG152" s="477" t="str">
        <f t="shared" si="85"/>
        <v/>
      </c>
      <c r="AH152" s="472" t="str">
        <f t="shared" si="86"/>
        <v/>
      </c>
      <c r="AI152" s="360" t="str">
        <f t="shared" si="87"/>
        <v/>
      </c>
      <c r="AJ152" s="361" t="str">
        <f t="shared" si="61"/>
        <v/>
      </c>
      <c r="AK152" s="482"/>
      <c r="AL152" s="482"/>
      <c r="AM152" s="481"/>
      <c r="AN152" s="481"/>
      <c r="AO152" s="374" t="str">
        <f t="shared" si="57"/>
        <v/>
      </c>
      <c r="AP152" s="361"/>
      <c r="AQ152" s="482"/>
      <c r="AR152" s="482"/>
      <c r="AS152" s="370">
        <f t="shared" si="91"/>
        <v>0</v>
      </c>
      <c r="AT152" s="120"/>
      <c r="AU152" s="499"/>
      <c r="AV152" s="500">
        <f t="shared" si="88"/>
        <v>0</v>
      </c>
      <c r="AW152" s="501">
        <f t="shared" si="58"/>
        <v>0</v>
      </c>
      <c r="AX152" s="501">
        <f t="shared" si="59"/>
        <v>0</v>
      </c>
      <c r="AY152" s="385">
        <f t="shared" si="60"/>
        <v>0</v>
      </c>
      <c r="AZ152" s="358">
        <f t="shared" si="62"/>
        <v>0</v>
      </c>
      <c r="BA152" s="475">
        <f t="shared" si="63"/>
        <v>0</v>
      </c>
      <c r="BB152" s="481"/>
      <c r="BC152" s="481"/>
      <c r="BD152" s="481"/>
      <c r="BE152" s="481"/>
      <c r="BF152" s="453" t="str">
        <f t="shared" si="64"/>
        <v>-</v>
      </c>
      <c r="BG152" s="453" t="str">
        <f t="shared" si="65"/>
        <v>-</v>
      </c>
      <c r="BH152" s="453" t="str">
        <f t="shared" si="66"/>
        <v>-</v>
      </c>
      <c r="BI152" s="453" t="str">
        <f t="shared" si="67"/>
        <v>-</v>
      </c>
      <c r="BJ152" s="453" t="str">
        <f t="shared" si="68"/>
        <v>-</v>
      </c>
      <c r="BK152" s="390" t="str">
        <f t="shared" si="69"/>
        <v>-</v>
      </c>
      <c r="BL152" s="125"/>
      <c r="BM152" s="92"/>
      <c r="BN152" s="386">
        <f t="shared" si="89"/>
        <v>0</v>
      </c>
    </row>
    <row r="153" spans="1:66" s="89" customFormat="1" ht="16.350000000000001" customHeight="1">
      <c r="A153" s="175">
        <f t="shared" si="71"/>
        <v>2023</v>
      </c>
      <c r="B153" s="454" t="str">
        <f t="shared" si="72"/>
        <v>43</v>
      </c>
      <c r="C153" s="454" t="str">
        <f t="array" ref="C153">_xlfn.IFS(_xlfn.NUMBERVALUE(B153)&lt;=13,"Q1",AND(_xlfn.NUMBERVALUE(B153)&gt;13,_xlfn.NUMBERVALUE(B153)&lt;=26),"Q2", AND(_xlfn.NUMBERVALUE(B153)&gt;26,_xlfn.NUMBERVALUE(B153)&lt;=39),"Q3",_xlfn.NUMBERVALUE(B153)&gt;39,"Q4")</f>
        <v>Q4</v>
      </c>
      <c r="D153" s="448">
        <f t="shared" si="90"/>
        <v>44884</v>
      </c>
      <c r="E153" s="448">
        <f t="shared" si="73"/>
        <v>44890</v>
      </c>
      <c r="F153" s="79">
        <v>202243</v>
      </c>
      <c r="G153" s="180">
        <f t="shared" si="74"/>
        <v>0</v>
      </c>
      <c r="H153" s="429"/>
      <c r="I153" s="429"/>
      <c r="J153" s="474">
        <f t="shared" si="75"/>
        <v>0</v>
      </c>
      <c r="K153" s="474">
        <f t="shared" si="76"/>
        <v>0</v>
      </c>
      <c r="L153" s="481"/>
      <c r="M153" s="481"/>
      <c r="N153" s="481"/>
      <c r="O153" s="474">
        <f t="shared" si="77"/>
        <v>0</v>
      </c>
      <c r="P153" s="474">
        <f t="shared" si="78"/>
        <v>0</v>
      </c>
      <c r="Q153" s="474">
        <f t="shared" si="79"/>
        <v>0</v>
      </c>
      <c r="R153" s="449">
        <f>Forecast!J148</f>
        <v>0</v>
      </c>
      <c r="S153" s="449">
        <f>Forecast!N148</f>
        <v>0</v>
      </c>
      <c r="T153" s="475">
        <f t="shared" si="80"/>
        <v>0</v>
      </c>
      <c r="U153" s="475">
        <f t="shared" si="81"/>
        <v>0</v>
      </c>
      <c r="V153" s="349">
        <f t="shared" si="82"/>
        <v>0</v>
      </c>
      <c r="W153" s="350">
        <f t="shared" si="83"/>
        <v>0</v>
      </c>
      <c r="X153" s="469">
        <f>'Channel &amp; Campaign Metrics'!AR152</f>
        <v>0</v>
      </c>
      <c r="Y153" s="469">
        <f>'Channel &amp; Campaign Metrics'!BS152</f>
        <v>0</v>
      </c>
      <c r="Z153" s="446"/>
      <c r="AA153" s="112"/>
      <c r="AB153" s="358">
        <f>'Glass Metrics'!AC153</f>
        <v>0</v>
      </c>
      <c r="AC153" s="475">
        <f>'Glass Metrics'!I153</f>
        <v>0</v>
      </c>
      <c r="AD153" s="469">
        <f>'Glass Metrics'!N153</f>
        <v>0</v>
      </c>
      <c r="AE153" s="475">
        <f>'Glass Metrics'!S153</f>
        <v>0</v>
      </c>
      <c r="AF153" s="359" t="str">
        <f t="shared" si="84"/>
        <v/>
      </c>
      <c r="AG153" s="477" t="str">
        <f t="shared" si="85"/>
        <v/>
      </c>
      <c r="AH153" s="472" t="str">
        <f t="shared" si="86"/>
        <v/>
      </c>
      <c r="AI153" s="360" t="str">
        <f t="shared" si="87"/>
        <v/>
      </c>
      <c r="AJ153" s="361" t="str">
        <f t="shared" si="61"/>
        <v/>
      </c>
      <c r="AK153" s="482"/>
      <c r="AL153" s="482"/>
      <c r="AM153" s="481"/>
      <c r="AN153" s="481"/>
      <c r="AO153" s="374" t="str">
        <f t="shared" si="57"/>
        <v/>
      </c>
      <c r="AP153" s="361"/>
      <c r="AQ153" s="482"/>
      <c r="AR153" s="482"/>
      <c r="AS153" s="370">
        <f t="shared" si="91"/>
        <v>0</v>
      </c>
      <c r="AT153" s="120"/>
      <c r="AU153" s="499"/>
      <c r="AV153" s="500">
        <f t="shared" si="88"/>
        <v>0</v>
      </c>
      <c r="AW153" s="501">
        <f t="shared" si="58"/>
        <v>0</v>
      </c>
      <c r="AX153" s="501">
        <f t="shared" si="59"/>
        <v>0</v>
      </c>
      <c r="AY153" s="385">
        <f t="shared" si="60"/>
        <v>0</v>
      </c>
      <c r="AZ153" s="358">
        <f t="shared" si="62"/>
        <v>0</v>
      </c>
      <c r="BA153" s="475">
        <f t="shared" si="63"/>
        <v>0</v>
      </c>
      <c r="BB153" s="481"/>
      <c r="BC153" s="481"/>
      <c r="BD153" s="481"/>
      <c r="BE153" s="481"/>
      <c r="BF153" s="453" t="str">
        <f t="shared" si="64"/>
        <v>-</v>
      </c>
      <c r="BG153" s="453" t="str">
        <f t="shared" si="65"/>
        <v>-</v>
      </c>
      <c r="BH153" s="453" t="str">
        <f t="shared" si="66"/>
        <v>-</v>
      </c>
      <c r="BI153" s="453" t="str">
        <f t="shared" si="67"/>
        <v>-</v>
      </c>
      <c r="BJ153" s="453" t="str">
        <f t="shared" si="68"/>
        <v>-</v>
      </c>
      <c r="BK153" s="390" t="str">
        <f t="shared" si="69"/>
        <v>-</v>
      </c>
      <c r="BL153" s="125"/>
      <c r="BM153" s="92"/>
      <c r="BN153" s="386">
        <f t="shared" si="89"/>
        <v>0</v>
      </c>
    </row>
    <row r="154" spans="1:66" s="89" customFormat="1" ht="16.350000000000001" customHeight="1">
      <c r="A154" s="175">
        <f t="shared" si="71"/>
        <v>2023</v>
      </c>
      <c r="B154" s="454" t="str">
        <f t="shared" si="72"/>
        <v>44</v>
      </c>
      <c r="C154" s="454" t="str">
        <f t="array" ref="C154">_xlfn.IFS(_xlfn.NUMBERVALUE(B154)&lt;=13,"Q1",AND(_xlfn.NUMBERVALUE(B154)&gt;13,_xlfn.NUMBERVALUE(B154)&lt;=26),"Q2", AND(_xlfn.NUMBERVALUE(B154)&gt;26,_xlfn.NUMBERVALUE(B154)&lt;=39),"Q3",_xlfn.NUMBERVALUE(B154)&gt;39,"Q4")</f>
        <v>Q4</v>
      </c>
      <c r="D154" s="448">
        <f t="shared" si="90"/>
        <v>44891</v>
      </c>
      <c r="E154" s="448">
        <f t="shared" si="73"/>
        <v>44897</v>
      </c>
      <c r="F154" s="79">
        <v>202244</v>
      </c>
      <c r="G154" s="180">
        <f t="shared" si="74"/>
        <v>0</v>
      </c>
      <c r="H154" s="429"/>
      <c r="I154" s="429"/>
      <c r="J154" s="474">
        <f t="shared" si="75"/>
        <v>0</v>
      </c>
      <c r="K154" s="474">
        <f t="shared" si="76"/>
        <v>0</v>
      </c>
      <c r="L154" s="481"/>
      <c r="M154" s="481"/>
      <c r="N154" s="481"/>
      <c r="O154" s="474">
        <f t="shared" si="77"/>
        <v>0</v>
      </c>
      <c r="P154" s="474">
        <f t="shared" si="78"/>
        <v>0</v>
      </c>
      <c r="Q154" s="474">
        <f t="shared" si="79"/>
        <v>0</v>
      </c>
      <c r="R154" s="449">
        <f>Forecast!J149</f>
        <v>0</v>
      </c>
      <c r="S154" s="449">
        <f>Forecast!N149</f>
        <v>0</v>
      </c>
      <c r="T154" s="475">
        <f t="shared" si="80"/>
        <v>0</v>
      </c>
      <c r="U154" s="475">
        <f t="shared" si="81"/>
        <v>0</v>
      </c>
      <c r="V154" s="349">
        <f t="shared" si="82"/>
        <v>0</v>
      </c>
      <c r="W154" s="350">
        <f t="shared" si="83"/>
        <v>0</v>
      </c>
      <c r="X154" s="469">
        <f>'Channel &amp; Campaign Metrics'!AR153</f>
        <v>0</v>
      </c>
      <c r="Y154" s="469">
        <f>'Channel &amp; Campaign Metrics'!BS153</f>
        <v>0</v>
      </c>
      <c r="Z154" s="446"/>
      <c r="AA154" s="112"/>
      <c r="AB154" s="358">
        <f>'Glass Metrics'!AC154</f>
        <v>0</v>
      </c>
      <c r="AC154" s="475">
        <f>'Glass Metrics'!I154</f>
        <v>0</v>
      </c>
      <c r="AD154" s="469">
        <f>'Glass Metrics'!N154</f>
        <v>0</v>
      </c>
      <c r="AE154" s="475">
        <f>'Glass Metrics'!S154</f>
        <v>0</v>
      </c>
      <c r="AF154" s="359" t="str">
        <f t="shared" si="84"/>
        <v/>
      </c>
      <c r="AG154" s="477" t="str">
        <f t="shared" si="85"/>
        <v/>
      </c>
      <c r="AH154" s="472" t="str">
        <f t="shared" si="86"/>
        <v/>
      </c>
      <c r="AI154" s="360" t="str">
        <f t="shared" si="87"/>
        <v/>
      </c>
      <c r="AJ154" s="361" t="str">
        <f t="shared" si="61"/>
        <v/>
      </c>
      <c r="AK154" s="482"/>
      <c r="AL154" s="482"/>
      <c r="AM154" s="481"/>
      <c r="AN154" s="481"/>
      <c r="AO154" s="374" t="str">
        <f t="shared" si="57"/>
        <v/>
      </c>
      <c r="AP154" s="361"/>
      <c r="AQ154" s="482"/>
      <c r="AR154" s="482"/>
      <c r="AS154" s="370">
        <f t="shared" si="91"/>
        <v>0</v>
      </c>
      <c r="AT154" s="120"/>
      <c r="AU154" s="499"/>
      <c r="AV154" s="500">
        <f t="shared" si="88"/>
        <v>0</v>
      </c>
      <c r="AW154" s="501">
        <f t="shared" si="58"/>
        <v>0</v>
      </c>
      <c r="AX154" s="501">
        <f t="shared" si="59"/>
        <v>0</v>
      </c>
      <c r="AY154" s="385">
        <f t="shared" si="60"/>
        <v>0</v>
      </c>
      <c r="AZ154" s="358">
        <f t="shared" si="62"/>
        <v>0</v>
      </c>
      <c r="BA154" s="475">
        <f t="shared" si="63"/>
        <v>0</v>
      </c>
      <c r="BB154" s="481"/>
      <c r="BC154" s="481"/>
      <c r="BD154" s="481"/>
      <c r="BE154" s="481"/>
      <c r="BF154" s="453" t="str">
        <f t="shared" si="64"/>
        <v>-</v>
      </c>
      <c r="BG154" s="453" t="str">
        <f t="shared" si="65"/>
        <v>-</v>
      </c>
      <c r="BH154" s="453" t="str">
        <f t="shared" si="66"/>
        <v>-</v>
      </c>
      <c r="BI154" s="453" t="str">
        <f t="shared" si="67"/>
        <v>-</v>
      </c>
      <c r="BJ154" s="453" t="str">
        <f t="shared" si="68"/>
        <v>-</v>
      </c>
      <c r="BK154" s="390" t="str">
        <f t="shared" si="69"/>
        <v>-</v>
      </c>
      <c r="BL154" s="125"/>
      <c r="BM154" s="92"/>
      <c r="BN154" s="386">
        <f t="shared" si="89"/>
        <v>0</v>
      </c>
    </row>
    <row r="155" spans="1:66" s="89" customFormat="1" ht="16.350000000000001" customHeight="1">
      <c r="A155" s="175">
        <f t="shared" si="71"/>
        <v>2023</v>
      </c>
      <c r="B155" s="454" t="str">
        <f t="shared" si="72"/>
        <v>45</v>
      </c>
      <c r="C155" s="454" t="str">
        <f t="array" ref="C155">_xlfn.IFS(_xlfn.NUMBERVALUE(B155)&lt;=13,"Q1",AND(_xlfn.NUMBERVALUE(B155)&gt;13,_xlfn.NUMBERVALUE(B155)&lt;=26),"Q2", AND(_xlfn.NUMBERVALUE(B155)&gt;26,_xlfn.NUMBERVALUE(B155)&lt;=39),"Q3",_xlfn.NUMBERVALUE(B155)&gt;39,"Q4")</f>
        <v>Q4</v>
      </c>
      <c r="D155" s="448">
        <f t="shared" si="90"/>
        <v>44898</v>
      </c>
      <c r="E155" s="448">
        <f t="shared" si="73"/>
        <v>44904</v>
      </c>
      <c r="F155" s="79">
        <v>202245</v>
      </c>
      <c r="G155" s="180">
        <f t="shared" si="74"/>
        <v>0</v>
      </c>
      <c r="H155" s="429"/>
      <c r="I155" s="429"/>
      <c r="J155" s="474">
        <f t="shared" si="75"/>
        <v>0</v>
      </c>
      <c r="K155" s="474">
        <f t="shared" si="76"/>
        <v>0</v>
      </c>
      <c r="L155" s="481"/>
      <c r="M155" s="481"/>
      <c r="N155" s="481"/>
      <c r="O155" s="474">
        <f t="shared" si="77"/>
        <v>0</v>
      </c>
      <c r="P155" s="474">
        <f t="shared" si="78"/>
        <v>0</v>
      </c>
      <c r="Q155" s="474">
        <f t="shared" si="79"/>
        <v>0</v>
      </c>
      <c r="R155" s="449">
        <f>Forecast!J150</f>
        <v>0</v>
      </c>
      <c r="S155" s="449">
        <f>Forecast!N150</f>
        <v>0</v>
      </c>
      <c r="T155" s="475">
        <f t="shared" si="80"/>
        <v>0</v>
      </c>
      <c r="U155" s="475">
        <f t="shared" si="81"/>
        <v>0</v>
      </c>
      <c r="V155" s="349">
        <f t="shared" si="82"/>
        <v>0</v>
      </c>
      <c r="W155" s="350">
        <f t="shared" si="83"/>
        <v>0</v>
      </c>
      <c r="X155" s="469">
        <f>'Channel &amp; Campaign Metrics'!AR154</f>
        <v>0</v>
      </c>
      <c r="Y155" s="469">
        <f>'Channel &amp; Campaign Metrics'!BS154</f>
        <v>0</v>
      </c>
      <c r="Z155" s="446"/>
      <c r="AA155" s="112"/>
      <c r="AB155" s="358">
        <f>'Glass Metrics'!AC155</f>
        <v>0</v>
      </c>
      <c r="AC155" s="475">
        <f>'Glass Metrics'!I155</f>
        <v>0</v>
      </c>
      <c r="AD155" s="469">
        <f>'Glass Metrics'!N155</f>
        <v>0</v>
      </c>
      <c r="AE155" s="475">
        <f>'Glass Metrics'!S155</f>
        <v>0</v>
      </c>
      <c r="AF155" s="359" t="str">
        <f t="shared" si="84"/>
        <v/>
      </c>
      <c r="AG155" s="477" t="str">
        <f t="shared" si="85"/>
        <v/>
      </c>
      <c r="AH155" s="472" t="str">
        <f t="shared" si="86"/>
        <v/>
      </c>
      <c r="AI155" s="360" t="str">
        <f t="shared" si="87"/>
        <v/>
      </c>
      <c r="AJ155" s="361" t="str">
        <f t="shared" si="61"/>
        <v/>
      </c>
      <c r="AK155" s="482"/>
      <c r="AL155" s="482"/>
      <c r="AM155" s="481"/>
      <c r="AN155" s="481"/>
      <c r="AO155" s="374" t="str">
        <f t="shared" si="57"/>
        <v/>
      </c>
      <c r="AP155" s="361"/>
      <c r="AQ155" s="482"/>
      <c r="AR155" s="482"/>
      <c r="AS155" s="370">
        <f t="shared" si="91"/>
        <v>0</v>
      </c>
      <c r="AT155" s="120"/>
      <c r="AU155" s="499"/>
      <c r="AV155" s="500">
        <f t="shared" si="88"/>
        <v>0</v>
      </c>
      <c r="AW155" s="501">
        <f t="shared" si="58"/>
        <v>0</v>
      </c>
      <c r="AX155" s="501">
        <f t="shared" si="59"/>
        <v>0</v>
      </c>
      <c r="AY155" s="385">
        <f t="shared" si="60"/>
        <v>0</v>
      </c>
      <c r="AZ155" s="358">
        <f t="shared" si="62"/>
        <v>0</v>
      </c>
      <c r="BA155" s="475">
        <f t="shared" si="63"/>
        <v>0</v>
      </c>
      <c r="BB155" s="481"/>
      <c r="BC155" s="481"/>
      <c r="BD155" s="481"/>
      <c r="BE155" s="481"/>
      <c r="BF155" s="453" t="str">
        <f t="shared" si="64"/>
        <v>-</v>
      </c>
      <c r="BG155" s="453" t="str">
        <f t="shared" si="65"/>
        <v>-</v>
      </c>
      <c r="BH155" s="453" t="str">
        <f t="shared" si="66"/>
        <v>-</v>
      </c>
      <c r="BI155" s="453" t="str">
        <f t="shared" si="67"/>
        <v>-</v>
      </c>
      <c r="BJ155" s="453" t="str">
        <f t="shared" si="68"/>
        <v>-</v>
      </c>
      <c r="BK155" s="390" t="str">
        <f t="shared" si="69"/>
        <v>-</v>
      </c>
      <c r="BL155" s="125"/>
      <c r="BM155" s="92"/>
      <c r="BN155" s="386">
        <f t="shared" si="89"/>
        <v>0</v>
      </c>
    </row>
    <row r="156" spans="1:66" s="89" customFormat="1" ht="16.350000000000001" customHeight="1">
      <c r="A156" s="175">
        <f t="shared" si="71"/>
        <v>2023</v>
      </c>
      <c r="B156" s="454" t="str">
        <f t="shared" si="72"/>
        <v>46</v>
      </c>
      <c r="C156" s="454" t="str">
        <f t="array" ref="C156">_xlfn.IFS(_xlfn.NUMBERVALUE(B156)&lt;=13,"Q1",AND(_xlfn.NUMBERVALUE(B156)&gt;13,_xlfn.NUMBERVALUE(B156)&lt;=26),"Q2", AND(_xlfn.NUMBERVALUE(B156)&gt;26,_xlfn.NUMBERVALUE(B156)&lt;=39),"Q3",_xlfn.NUMBERVALUE(B156)&gt;39,"Q4")</f>
        <v>Q4</v>
      </c>
      <c r="D156" s="448">
        <f t="shared" si="90"/>
        <v>44905</v>
      </c>
      <c r="E156" s="448">
        <f t="shared" si="73"/>
        <v>44911</v>
      </c>
      <c r="F156" s="79">
        <v>202246</v>
      </c>
      <c r="G156" s="180">
        <f t="shared" si="74"/>
        <v>0</v>
      </c>
      <c r="H156" s="429"/>
      <c r="I156" s="429"/>
      <c r="J156" s="474">
        <f t="shared" si="75"/>
        <v>0</v>
      </c>
      <c r="K156" s="474">
        <f t="shared" si="76"/>
        <v>0</v>
      </c>
      <c r="L156" s="481"/>
      <c r="M156" s="481"/>
      <c r="N156" s="481"/>
      <c r="O156" s="474">
        <f t="shared" si="77"/>
        <v>0</v>
      </c>
      <c r="P156" s="474">
        <f t="shared" si="78"/>
        <v>0</v>
      </c>
      <c r="Q156" s="474">
        <f t="shared" si="79"/>
        <v>0</v>
      </c>
      <c r="R156" s="449">
        <f>Forecast!J151</f>
        <v>0</v>
      </c>
      <c r="S156" s="449">
        <f>Forecast!N151</f>
        <v>0</v>
      </c>
      <c r="T156" s="475">
        <f t="shared" si="80"/>
        <v>0</v>
      </c>
      <c r="U156" s="475">
        <f t="shared" si="81"/>
        <v>0</v>
      </c>
      <c r="V156" s="349">
        <f t="shared" si="82"/>
        <v>0</v>
      </c>
      <c r="W156" s="350">
        <f t="shared" si="83"/>
        <v>0</v>
      </c>
      <c r="X156" s="469">
        <f>'Channel &amp; Campaign Metrics'!AR155</f>
        <v>0</v>
      </c>
      <c r="Y156" s="469">
        <f>'Channel &amp; Campaign Metrics'!BS155</f>
        <v>0</v>
      </c>
      <c r="Z156" s="446"/>
      <c r="AA156" s="112"/>
      <c r="AB156" s="358">
        <f>'Glass Metrics'!AC156</f>
        <v>0</v>
      </c>
      <c r="AC156" s="475">
        <f>'Glass Metrics'!I156</f>
        <v>0</v>
      </c>
      <c r="AD156" s="469">
        <f>'Glass Metrics'!N156</f>
        <v>0</v>
      </c>
      <c r="AE156" s="475">
        <f>'Glass Metrics'!S156</f>
        <v>0</v>
      </c>
      <c r="AF156" s="359" t="str">
        <f t="shared" si="84"/>
        <v/>
      </c>
      <c r="AG156" s="477" t="str">
        <f t="shared" si="85"/>
        <v/>
      </c>
      <c r="AH156" s="472" t="str">
        <f t="shared" si="86"/>
        <v/>
      </c>
      <c r="AI156" s="360" t="str">
        <f t="shared" si="87"/>
        <v/>
      </c>
      <c r="AJ156" s="361" t="str">
        <f t="shared" si="61"/>
        <v/>
      </c>
      <c r="AK156" s="482"/>
      <c r="AL156" s="482"/>
      <c r="AM156" s="481"/>
      <c r="AN156" s="481"/>
      <c r="AO156" s="374" t="str">
        <f t="shared" si="57"/>
        <v/>
      </c>
      <c r="AP156" s="361"/>
      <c r="AQ156" s="482"/>
      <c r="AR156" s="482"/>
      <c r="AS156" s="370">
        <f t="shared" si="91"/>
        <v>0</v>
      </c>
      <c r="AT156" s="120"/>
      <c r="AU156" s="499"/>
      <c r="AV156" s="500">
        <f t="shared" si="88"/>
        <v>0</v>
      </c>
      <c r="AW156" s="501">
        <f t="shared" si="58"/>
        <v>0</v>
      </c>
      <c r="AX156" s="501">
        <f t="shared" si="59"/>
        <v>0</v>
      </c>
      <c r="AY156" s="385">
        <f t="shared" si="60"/>
        <v>0</v>
      </c>
      <c r="AZ156" s="358">
        <f t="shared" si="62"/>
        <v>0</v>
      </c>
      <c r="BA156" s="475">
        <f t="shared" si="63"/>
        <v>0</v>
      </c>
      <c r="BB156" s="481"/>
      <c r="BC156" s="481"/>
      <c r="BD156" s="481"/>
      <c r="BE156" s="481"/>
      <c r="BF156" s="453" t="str">
        <f t="shared" si="64"/>
        <v>-</v>
      </c>
      <c r="BG156" s="453" t="str">
        <f t="shared" si="65"/>
        <v>-</v>
      </c>
      <c r="BH156" s="453" t="str">
        <f t="shared" si="66"/>
        <v>-</v>
      </c>
      <c r="BI156" s="453" t="str">
        <f t="shared" si="67"/>
        <v>-</v>
      </c>
      <c r="BJ156" s="453" t="str">
        <f t="shared" si="68"/>
        <v>-</v>
      </c>
      <c r="BK156" s="390" t="str">
        <f t="shared" si="69"/>
        <v>-</v>
      </c>
      <c r="BL156" s="125"/>
      <c r="BM156" s="92"/>
      <c r="BN156" s="386">
        <f t="shared" si="89"/>
        <v>0</v>
      </c>
    </row>
    <row r="157" spans="1:66" s="89" customFormat="1" ht="16.350000000000001" customHeight="1">
      <c r="A157" s="175">
        <f t="shared" si="71"/>
        <v>2023</v>
      </c>
      <c r="B157" s="454" t="str">
        <f t="shared" si="72"/>
        <v>47</v>
      </c>
      <c r="C157" s="454" t="str">
        <f t="array" ref="C157">_xlfn.IFS(_xlfn.NUMBERVALUE(B157)&lt;=13,"Q1",AND(_xlfn.NUMBERVALUE(B157)&gt;13,_xlfn.NUMBERVALUE(B157)&lt;=26),"Q2", AND(_xlfn.NUMBERVALUE(B157)&gt;26,_xlfn.NUMBERVALUE(B157)&lt;=39),"Q3",_xlfn.NUMBERVALUE(B157)&gt;39,"Q4")</f>
        <v>Q4</v>
      </c>
      <c r="D157" s="448">
        <f t="shared" si="90"/>
        <v>44912</v>
      </c>
      <c r="E157" s="448">
        <f t="shared" si="73"/>
        <v>44918</v>
      </c>
      <c r="F157" s="79">
        <v>202247</v>
      </c>
      <c r="G157" s="180">
        <f t="shared" si="74"/>
        <v>0</v>
      </c>
      <c r="H157" s="429"/>
      <c r="I157" s="429"/>
      <c r="J157" s="474">
        <f t="shared" si="75"/>
        <v>0</v>
      </c>
      <c r="K157" s="474">
        <f t="shared" si="76"/>
        <v>0</v>
      </c>
      <c r="L157" s="481"/>
      <c r="M157" s="481"/>
      <c r="N157" s="481"/>
      <c r="O157" s="474">
        <f t="shared" si="77"/>
        <v>0</v>
      </c>
      <c r="P157" s="474">
        <f t="shared" si="78"/>
        <v>0</v>
      </c>
      <c r="Q157" s="474">
        <f t="shared" si="79"/>
        <v>0</v>
      </c>
      <c r="R157" s="449">
        <f>Forecast!J152</f>
        <v>0</v>
      </c>
      <c r="S157" s="449">
        <f>Forecast!N152</f>
        <v>0</v>
      </c>
      <c r="T157" s="475">
        <f t="shared" si="80"/>
        <v>0</v>
      </c>
      <c r="U157" s="475">
        <f t="shared" si="81"/>
        <v>0</v>
      </c>
      <c r="V157" s="349">
        <f t="shared" si="82"/>
        <v>0</v>
      </c>
      <c r="W157" s="350">
        <f t="shared" si="83"/>
        <v>0</v>
      </c>
      <c r="X157" s="469">
        <f>'Channel &amp; Campaign Metrics'!AR156</f>
        <v>0</v>
      </c>
      <c r="Y157" s="469">
        <f>'Channel &amp; Campaign Metrics'!BS156</f>
        <v>0</v>
      </c>
      <c r="Z157" s="446"/>
      <c r="AA157" s="112"/>
      <c r="AB157" s="358">
        <f>'Glass Metrics'!AC157</f>
        <v>0</v>
      </c>
      <c r="AC157" s="475">
        <f>'Glass Metrics'!I157</f>
        <v>0</v>
      </c>
      <c r="AD157" s="469">
        <f>'Glass Metrics'!N157</f>
        <v>0</v>
      </c>
      <c r="AE157" s="475">
        <f>'Glass Metrics'!S157</f>
        <v>0</v>
      </c>
      <c r="AF157" s="359" t="str">
        <f t="shared" si="84"/>
        <v/>
      </c>
      <c r="AG157" s="477" t="str">
        <f t="shared" si="85"/>
        <v/>
      </c>
      <c r="AH157" s="472" t="str">
        <f t="shared" si="86"/>
        <v/>
      </c>
      <c r="AI157" s="360" t="str">
        <f t="shared" si="87"/>
        <v/>
      </c>
      <c r="AJ157" s="361" t="str">
        <f t="shared" si="61"/>
        <v/>
      </c>
      <c r="AK157" s="502"/>
      <c r="AL157" s="502"/>
      <c r="AM157" s="481"/>
      <c r="AN157" s="481"/>
      <c r="AO157" s="374" t="str">
        <f t="shared" si="57"/>
        <v/>
      </c>
      <c r="AP157" s="361"/>
      <c r="AQ157" s="502"/>
      <c r="AR157" s="502"/>
      <c r="AS157" s="370">
        <f t="shared" si="91"/>
        <v>0</v>
      </c>
      <c r="AT157" s="120"/>
      <c r="AU157" s="499"/>
      <c r="AV157" s="500">
        <f t="shared" si="88"/>
        <v>0</v>
      </c>
      <c r="AW157" s="501">
        <f t="shared" si="58"/>
        <v>0</v>
      </c>
      <c r="AX157" s="501">
        <f t="shared" si="59"/>
        <v>0</v>
      </c>
      <c r="AY157" s="385">
        <f t="shared" si="60"/>
        <v>0</v>
      </c>
      <c r="AZ157" s="358">
        <f t="shared" si="62"/>
        <v>0</v>
      </c>
      <c r="BA157" s="475">
        <f t="shared" si="63"/>
        <v>0</v>
      </c>
      <c r="BB157" s="481"/>
      <c r="BC157" s="481"/>
      <c r="BD157" s="481"/>
      <c r="BE157" s="481"/>
      <c r="BF157" s="453" t="str">
        <f t="shared" si="64"/>
        <v>-</v>
      </c>
      <c r="BG157" s="453" t="str">
        <f t="shared" si="65"/>
        <v>-</v>
      </c>
      <c r="BH157" s="453" t="str">
        <f t="shared" si="66"/>
        <v>-</v>
      </c>
      <c r="BI157" s="453" t="str">
        <f t="shared" si="67"/>
        <v>-</v>
      </c>
      <c r="BJ157" s="453" t="str">
        <f t="shared" si="68"/>
        <v>-</v>
      </c>
      <c r="BK157" s="390" t="str">
        <f t="shared" si="69"/>
        <v>-</v>
      </c>
      <c r="BL157" s="125"/>
      <c r="BM157" s="92"/>
      <c r="BN157" s="386">
        <f t="shared" si="89"/>
        <v>0</v>
      </c>
    </row>
    <row r="158" spans="1:66" s="89" customFormat="1" ht="16.350000000000001" customHeight="1">
      <c r="A158" s="175">
        <f t="shared" si="71"/>
        <v>2023</v>
      </c>
      <c r="B158" s="454" t="str">
        <f t="shared" si="72"/>
        <v>48</v>
      </c>
      <c r="C158" s="454" t="str">
        <f t="array" ref="C158">_xlfn.IFS(_xlfn.NUMBERVALUE(B158)&lt;=13,"Q1",AND(_xlfn.NUMBERVALUE(B158)&gt;13,_xlfn.NUMBERVALUE(B158)&lt;=26),"Q2", AND(_xlfn.NUMBERVALUE(B158)&gt;26,_xlfn.NUMBERVALUE(B158)&lt;=39),"Q3",_xlfn.NUMBERVALUE(B158)&gt;39,"Q4")</f>
        <v>Q4</v>
      </c>
      <c r="D158" s="448">
        <f t="shared" si="90"/>
        <v>44919</v>
      </c>
      <c r="E158" s="448">
        <f t="shared" si="73"/>
        <v>44925</v>
      </c>
      <c r="F158" s="79">
        <v>202248</v>
      </c>
      <c r="G158" s="180">
        <f t="shared" si="74"/>
        <v>0</v>
      </c>
      <c r="H158" s="429"/>
      <c r="I158" s="429"/>
      <c r="J158" s="474">
        <f t="shared" si="75"/>
        <v>0</v>
      </c>
      <c r="K158" s="474">
        <f t="shared" si="76"/>
        <v>0</v>
      </c>
      <c r="L158" s="481"/>
      <c r="M158" s="481"/>
      <c r="N158" s="481"/>
      <c r="O158" s="474">
        <f t="shared" si="77"/>
        <v>0</v>
      </c>
      <c r="P158" s="474">
        <f t="shared" si="78"/>
        <v>0</v>
      </c>
      <c r="Q158" s="474">
        <f t="shared" si="79"/>
        <v>0</v>
      </c>
      <c r="R158" s="449">
        <f>Forecast!J153</f>
        <v>0</v>
      </c>
      <c r="S158" s="449">
        <f>Forecast!N153</f>
        <v>0</v>
      </c>
      <c r="T158" s="475">
        <f t="shared" si="80"/>
        <v>0</v>
      </c>
      <c r="U158" s="475">
        <f t="shared" si="81"/>
        <v>0</v>
      </c>
      <c r="V158" s="349">
        <f t="shared" si="82"/>
        <v>0</v>
      </c>
      <c r="W158" s="350">
        <f t="shared" si="83"/>
        <v>0</v>
      </c>
      <c r="X158" s="469">
        <f>'Channel &amp; Campaign Metrics'!AR157</f>
        <v>0</v>
      </c>
      <c r="Y158" s="469">
        <f>'Channel &amp; Campaign Metrics'!BS157</f>
        <v>0</v>
      </c>
      <c r="Z158" s="446"/>
      <c r="AA158" s="112"/>
      <c r="AB158" s="358">
        <f>'Glass Metrics'!AC158</f>
        <v>0</v>
      </c>
      <c r="AC158" s="475">
        <f>'Glass Metrics'!I158</f>
        <v>0</v>
      </c>
      <c r="AD158" s="469">
        <f>'Glass Metrics'!N158</f>
        <v>0</v>
      </c>
      <c r="AE158" s="475">
        <f>'Glass Metrics'!S158</f>
        <v>0</v>
      </c>
      <c r="AF158" s="359" t="str">
        <f t="shared" si="84"/>
        <v/>
      </c>
      <c r="AG158" s="477" t="str">
        <f t="shared" si="85"/>
        <v/>
      </c>
      <c r="AH158" s="472" t="str">
        <f t="shared" si="86"/>
        <v/>
      </c>
      <c r="AI158" s="360" t="str">
        <f t="shared" si="87"/>
        <v/>
      </c>
      <c r="AJ158" s="361" t="str">
        <f t="shared" si="61"/>
        <v/>
      </c>
      <c r="AK158" s="482"/>
      <c r="AL158" s="482"/>
      <c r="AM158" s="481"/>
      <c r="AN158" s="481"/>
      <c r="AO158" s="374" t="str">
        <f t="shared" si="57"/>
        <v/>
      </c>
      <c r="AP158" s="361"/>
      <c r="AQ158" s="502"/>
      <c r="AR158" s="502"/>
      <c r="AS158" s="370">
        <f t="shared" si="91"/>
        <v>0</v>
      </c>
      <c r="AT158" s="120"/>
      <c r="AU158" s="499"/>
      <c r="AV158" s="500">
        <f t="shared" si="88"/>
        <v>0</v>
      </c>
      <c r="AW158" s="501">
        <f t="shared" si="58"/>
        <v>0</v>
      </c>
      <c r="AX158" s="501">
        <f t="shared" si="59"/>
        <v>0</v>
      </c>
      <c r="AY158" s="385">
        <f t="shared" si="60"/>
        <v>0</v>
      </c>
      <c r="AZ158" s="358">
        <f t="shared" si="62"/>
        <v>0</v>
      </c>
      <c r="BA158" s="475">
        <f t="shared" si="63"/>
        <v>0</v>
      </c>
      <c r="BB158" s="481"/>
      <c r="BC158" s="481"/>
      <c r="BD158" s="481"/>
      <c r="BE158" s="481"/>
      <c r="BF158" s="453" t="str">
        <f t="shared" si="64"/>
        <v>-</v>
      </c>
      <c r="BG158" s="453" t="str">
        <f t="shared" si="65"/>
        <v>-</v>
      </c>
      <c r="BH158" s="453" t="str">
        <f t="shared" si="66"/>
        <v>-</v>
      </c>
      <c r="BI158" s="453" t="str">
        <f t="shared" si="67"/>
        <v>-</v>
      </c>
      <c r="BJ158" s="453" t="str">
        <f t="shared" si="68"/>
        <v>-</v>
      </c>
      <c r="BK158" s="390" t="str">
        <f t="shared" si="69"/>
        <v>-</v>
      </c>
      <c r="BL158" s="125"/>
      <c r="BM158" s="92"/>
      <c r="BN158" s="386">
        <f t="shared" si="89"/>
        <v>0</v>
      </c>
    </row>
    <row r="159" spans="1:66" s="89" customFormat="1" ht="16.350000000000001" customHeight="1">
      <c r="A159" s="175">
        <f t="shared" si="71"/>
        <v>2023</v>
      </c>
      <c r="B159" s="454" t="str">
        <f t="shared" si="72"/>
        <v>49</v>
      </c>
      <c r="C159" s="454" t="str">
        <f t="array" ref="C159">_xlfn.IFS(_xlfn.NUMBERVALUE(B159)&lt;=13,"Q1",AND(_xlfn.NUMBERVALUE(B159)&gt;13,_xlfn.NUMBERVALUE(B159)&lt;=26),"Q2", AND(_xlfn.NUMBERVALUE(B159)&gt;26,_xlfn.NUMBERVALUE(B159)&lt;=39),"Q3",_xlfn.NUMBERVALUE(B159)&gt;39,"Q4")</f>
        <v>Q4</v>
      </c>
      <c r="D159" s="448">
        <f t="shared" si="90"/>
        <v>44926</v>
      </c>
      <c r="E159" s="448">
        <f t="shared" si="73"/>
        <v>44932</v>
      </c>
      <c r="F159" s="79">
        <v>202249</v>
      </c>
      <c r="G159" s="180">
        <f t="shared" si="74"/>
        <v>0</v>
      </c>
      <c r="H159" s="429"/>
      <c r="I159" s="429"/>
      <c r="J159" s="474">
        <f t="shared" si="75"/>
        <v>0</v>
      </c>
      <c r="K159" s="474">
        <f t="shared" si="76"/>
        <v>0</v>
      </c>
      <c r="L159" s="481"/>
      <c r="M159" s="481"/>
      <c r="N159" s="481"/>
      <c r="O159" s="474">
        <f t="shared" si="77"/>
        <v>0</v>
      </c>
      <c r="P159" s="474">
        <f t="shared" si="78"/>
        <v>0</v>
      </c>
      <c r="Q159" s="474">
        <f t="shared" si="79"/>
        <v>0</v>
      </c>
      <c r="R159" s="449">
        <f>Forecast!J154</f>
        <v>0</v>
      </c>
      <c r="S159" s="449">
        <f>Forecast!N154</f>
        <v>0</v>
      </c>
      <c r="T159" s="475">
        <f t="shared" si="80"/>
        <v>0</v>
      </c>
      <c r="U159" s="475">
        <f t="shared" si="81"/>
        <v>0</v>
      </c>
      <c r="V159" s="349">
        <f t="shared" si="82"/>
        <v>0</v>
      </c>
      <c r="W159" s="350">
        <f t="shared" si="83"/>
        <v>0</v>
      </c>
      <c r="X159" s="469">
        <f>'Channel &amp; Campaign Metrics'!AR158</f>
        <v>0</v>
      </c>
      <c r="Y159" s="469">
        <f>'Channel &amp; Campaign Metrics'!BS158</f>
        <v>0</v>
      </c>
      <c r="Z159" s="446"/>
      <c r="AA159" s="112"/>
      <c r="AB159" s="358">
        <f>'Glass Metrics'!AC159</f>
        <v>0</v>
      </c>
      <c r="AC159" s="475">
        <f>'Glass Metrics'!I159</f>
        <v>0</v>
      </c>
      <c r="AD159" s="469">
        <f>'Glass Metrics'!N159</f>
        <v>0</v>
      </c>
      <c r="AE159" s="475">
        <f>'Glass Metrics'!S159</f>
        <v>0</v>
      </c>
      <c r="AF159" s="359" t="str">
        <f t="shared" si="84"/>
        <v/>
      </c>
      <c r="AG159" s="477" t="str">
        <f t="shared" si="85"/>
        <v/>
      </c>
      <c r="AH159" s="472" t="str">
        <f t="shared" si="86"/>
        <v/>
      </c>
      <c r="AI159" s="360" t="str">
        <f t="shared" si="87"/>
        <v/>
      </c>
      <c r="AJ159" s="361" t="str">
        <f t="shared" si="61"/>
        <v/>
      </c>
      <c r="AK159" s="482"/>
      <c r="AL159" s="482"/>
      <c r="AM159" s="481"/>
      <c r="AN159" s="481"/>
      <c r="AO159" s="374" t="str">
        <f t="shared" si="57"/>
        <v/>
      </c>
      <c r="AP159" s="361"/>
      <c r="AQ159" s="503"/>
      <c r="AR159" s="504"/>
      <c r="AS159" s="370">
        <f t="shared" si="91"/>
        <v>0</v>
      </c>
      <c r="AT159" s="120"/>
      <c r="AU159" s="499"/>
      <c r="AV159" s="500">
        <f t="shared" si="88"/>
        <v>0</v>
      </c>
      <c r="AW159" s="501">
        <f t="shared" si="58"/>
        <v>0</v>
      </c>
      <c r="AX159" s="501">
        <f t="shared" si="59"/>
        <v>0</v>
      </c>
      <c r="AY159" s="385">
        <f t="shared" si="60"/>
        <v>0</v>
      </c>
      <c r="AZ159" s="358">
        <f t="shared" si="62"/>
        <v>0</v>
      </c>
      <c r="BA159" s="475">
        <f t="shared" si="63"/>
        <v>0</v>
      </c>
      <c r="BB159" s="481"/>
      <c r="BC159" s="481"/>
      <c r="BD159" s="481"/>
      <c r="BE159" s="481"/>
      <c r="BF159" s="453" t="str">
        <f t="shared" si="64"/>
        <v>-</v>
      </c>
      <c r="BG159" s="453" t="str">
        <f t="shared" si="65"/>
        <v>-</v>
      </c>
      <c r="BH159" s="453" t="str">
        <f t="shared" si="66"/>
        <v>-</v>
      </c>
      <c r="BI159" s="453" t="str">
        <f t="shared" si="67"/>
        <v>-</v>
      </c>
      <c r="BJ159" s="453" t="str">
        <f t="shared" si="68"/>
        <v>-</v>
      </c>
      <c r="BK159" s="390" t="str">
        <f t="shared" si="69"/>
        <v>-</v>
      </c>
      <c r="BL159" s="125"/>
      <c r="BM159" s="92"/>
      <c r="BN159" s="386">
        <f t="shared" si="89"/>
        <v>0</v>
      </c>
    </row>
    <row r="160" spans="1:66" s="89" customFormat="1" ht="16.350000000000001" customHeight="1">
      <c r="A160" s="175">
        <f t="shared" si="71"/>
        <v>2023</v>
      </c>
      <c r="B160" s="454" t="str">
        <f t="shared" si="72"/>
        <v>50</v>
      </c>
      <c r="C160" s="454" t="str">
        <f t="array" ref="C160">_xlfn.IFS(_xlfn.NUMBERVALUE(B160)&lt;=13,"Q1",AND(_xlfn.NUMBERVALUE(B160)&gt;13,_xlfn.NUMBERVALUE(B160)&lt;=26),"Q2", AND(_xlfn.NUMBERVALUE(B160)&gt;26,_xlfn.NUMBERVALUE(B160)&lt;=39),"Q3",_xlfn.NUMBERVALUE(B160)&gt;39,"Q4")</f>
        <v>Q4</v>
      </c>
      <c r="D160" s="448">
        <f t="shared" si="90"/>
        <v>44933</v>
      </c>
      <c r="E160" s="448">
        <f t="shared" si="73"/>
        <v>44939</v>
      </c>
      <c r="F160" s="79">
        <v>202250</v>
      </c>
      <c r="G160" s="180">
        <f t="shared" si="74"/>
        <v>0</v>
      </c>
      <c r="H160" s="429"/>
      <c r="I160" s="429"/>
      <c r="J160" s="474">
        <f t="shared" si="75"/>
        <v>0</v>
      </c>
      <c r="K160" s="474">
        <f t="shared" si="76"/>
        <v>0</v>
      </c>
      <c r="L160" s="481"/>
      <c r="M160" s="481"/>
      <c r="N160" s="481"/>
      <c r="O160" s="474">
        <f t="shared" si="77"/>
        <v>0</v>
      </c>
      <c r="P160" s="474">
        <f t="shared" si="78"/>
        <v>0</v>
      </c>
      <c r="Q160" s="474">
        <f t="shared" si="79"/>
        <v>0</v>
      </c>
      <c r="R160" s="449">
        <f>Forecast!J155</f>
        <v>0</v>
      </c>
      <c r="S160" s="449">
        <f>Forecast!N155</f>
        <v>0</v>
      </c>
      <c r="T160" s="475">
        <f t="shared" si="80"/>
        <v>0</v>
      </c>
      <c r="U160" s="475">
        <f t="shared" si="81"/>
        <v>0</v>
      </c>
      <c r="V160" s="349">
        <f t="shared" si="82"/>
        <v>0</v>
      </c>
      <c r="W160" s="350">
        <f t="shared" si="83"/>
        <v>0</v>
      </c>
      <c r="X160" s="469">
        <f>'Channel &amp; Campaign Metrics'!AR159</f>
        <v>0</v>
      </c>
      <c r="Y160" s="469">
        <f>'Channel &amp; Campaign Metrics'!BS159</f>
        <v>0</v>
      </c>
      <c r="Z160" s="446"/>
      <c r="AA160" s="112"/>
      <c r="AB160" s="358">
        <f>'Glass Metrics'!AC160</f>
        <v>0</v>
      </c>
      <c r="AC160" s="475">
        <f>'Glass Metrics'!I160</f>
        <v>0</v>
      </c>
      <c r="AD160" s="469">
        <f>'Glass Metrics'!N160</f>
        <v>0</v>
      </c>
      <c r="AE160" s="475">
        <f>'Glass Metrics'!S160</f>
        <v>0</v>
      </c>
      <c r="AF160" s="359" t="str">
        <f t="shared" si="84"/>
        <v/>
      </c>
      <c r="AG160" s="477" t="str">
        <f t="shared" si="85"/>
        <v/>
      </c>
      <c r="AH160" s="472" t="str">
        <f t="shared" si="86"/>
        <v/>
      </c>
      <c r="AI160" s="360" t="str">
        <f t="shared" si="87"/>
        <v/>
      </c>
      <c r="AJ160" s="361" t="str">
        <f t="shared" si="61"/>
        <v/>
      </c>
      <c r="AK160" s="505"/>
      <c r="AL160" s="482"/>
      <c r="AM160" s="481"/>
      <c r="AN160" s="481"/>
      <c r="AO160" s="374" t="str">
        <f t="shared" si="57"/>
        <v/>
      </c>
      <c r="AP160" s="361"/>
      <c r="AQ160" s="503"/>
      <c r="AR160" s="504"/>
      <c r="AS160" s="370">
        <f t="shared" si="91"/>
        <v>0</v>
      </c>
      <c r="AT160" s="120"/>
      <c r="AU160" s="499"/>
      <c r="AV160" s="500">
        <f t="shared" si="88"/>
        <v>0</v>
      </c>
      <c r="AW160" s="501">
        <f t="shared" si="58"/>
        <v>0</v>
      </c>
      <c r="AX160" s="501">
        <f t="shared" si="59"/>
        <v>0</v>
      </c>
      <c r="AY160" s="385">
        <f t="shared" si="60"/>
        <v>0</v>
      </c>
      <c r="AZ160" s="358">
        <f t="shared" si="62"/>
        <v>0</v>
      </c>
      <c r="BA160" s="475">
        <f t="shared" si="63"/>
        <v>0</v>
      </c>
      <c r="BB160" s="481"/>
      <c r="BC160" s="481"/>
      <c r="BD160" s="481"/>
      <c r="BE160" s="481"/>
      <c r="BF160" s="453" t="str">
        <f t="shared" si="64"/>
        <v>-</v>
      </c>
      <c r="BG160" s="453" t="str">
        <f t="shared" si="65"/>
        <v>-</v>
      </c>
      <c r="BH160" s="453" t="str">
        <f t="shared" si="66"/>
        <v>-</v>
      </c>
      <c r="BI160" s="453" t="str">
        <f t="shared" si="67"/>
        <v>-</v>
      </c>
      <c r="BJ160" s="453" t="str">
        <f t="shared" si="68"/>
        <v>-</v>
      </c>
      <c r="BK160" s="390" t="str">
        <f t="shared" si="69"/>
        <v>-</v>
      </c>
      <c r="BL160" s="125"/>
      <c r="BM160" s="92"/>
      <c r="BN160" s="386">
        <f t="shared" si="89"/>
        <v>0</v>
      </c>
    </row>
    <row r="161" spans="1:66" s="89" customFormat="1" ht="16.350000000000001" customHeight="1">
      <c r="A161" s="175">
        <f t="shared" si="71"/>
        <v>2023</v>
      </c>
      <c r="B161" s="454" t="str">
        <f t="shared" si="72"/>
        <v>51</v>
      </c>
      <c r="C161" s="454" t="str">
        <f t="array" ref="C161">_xlfn.IFS(_xlfn.NUMBERVALUE(B161)&lt;=13,"Q1",AND(_xlfn.NUMBERVALUE(B161)&gt;13,_xlfn.NUMBERVALUE(B161)&lt;=26),"Q2", AND(_xlfn.NUMBERVALUE(B161)&gt;26,_xlfn.NUMBERVALUE(B161)&lt;=39),"Q3",_xlfn.NUMBERVALUE(B161)&gt;39,"Q4")</f>
        <v>Q4</v>
      </c>
      <c r="D161" s="448">
        <f t="shared" si="90"/>
        <v>44940</v>
      </c>
      <c r="E161" s="448">
        <f t="shared" si="73"/>
        <v>44946</v>
      </c>
      <c r="F161" s="79">
        <v>202251</v>
      </c>
      <c r="G161" s="180">
        <f t="shared" si="74"/>
        <v>0</v>
      </c>
      <c r="H161" s="429"/>
      <c r="I161" s="429"/>
      <c r="J161" s="474">
        <f t="shared" si="75"/>
        <v>0</v>
      </c>
      <c r="K161" s="474">
        <f t="shared" si="76"/>
        <v>0</v>
      </c>
      <c r="L161" s="481"/>
      <c r="M161" s="481"/>
      <c r="N161" s="481"/>
      <c r="O161" s="474">
        <f t="shared" si="77"/>
        <v>0</v>
      </c>
      <c r="P161" s="474">
        <f t="shared" si="78"/>
        <v>0</v>
      </c>
      <c r="Q161" s="474">
        <f t="shared" si="79"/>
        <v>0</v>
      </c>
      <c r="R161" s="449">
        <f>Forecast!J156</f>
        <v>0</v>
      </c>
      <c r="S161" s="449">
        <f>Forecast!N156</f>
        <v>0</v>
      </c>
      <c r="T161" s="475">
        <f t="shared" si="80"/>
        <v>0</v>
      </c>
      <c r="U161" s="475">
        <f t="shared" si="81"/>
        <v>0</v>
      </c>
      <c r="V161" s="349">
        <f t="shared" si="82"/>
        <v>0</v>
      </c>
      <c r="W161" s="350">
        <f t="shared" si="83"/>
        <v>0</v>
      </c>
      <c r="X161" s="469">
        <f>'Channel &amp; Campaign Metrics'!AR160</f>
        <v>0</v>
      </c>
      <c r="Y161" s="469">
        <f>'Channel &amp; Campaign Metrics'!BS160</f>
        <v>0</v>
      </c>
      <c r="Z161" s="446"/>
      <c r="AA161" s="112"/>
      <c r="AB161" s="358">
        <f>'Glass Metrics'!AC161</f>
        <v>0</v>
      </c>
      <c r="AC161" s="475">
        <f>'Glass Metrics'!I161</f>
        <v>0</v>
      </c>
      <c r="AD161" s="469">
        <f>'Glass Metrics'!N161</f>
        <v>0</v>
      </c>
      <c r="AE161" s="475">
        <f>'Glass Metrics'!S161</f>
        <v>108566713</v>
      </c>
      <c r="AF161" s="359" t="str">
        <f t="shared" si="84"/>
        <v/>
      </c>
      <c r="AG161" s="477">
        <f t="shared" si="85"/>
        <v>0</v>
      </c>
      <c r="AH161" s="472" t="str">
        <f t="shared" si="86"/>
        <v/>
      </c>
      <c r="AI161" s="360" t="str">
        <f t="shared" si="87"/>
        <v/>
      </c>
      <c r="AJ161" s="361" t="str">
        <f t="shared" si="61"/>
        <v/>
      </c>
      <c r="AK161" s="505"/>
      <c r="AL161" s="482"/>
      <c r="AM161" s="481"/>
      <c r="AN161" s="481"/>
      <c r="AO161" s="374" t="str">
        <f t="shared" si="57"/>
        <v/>
      </c>
      <c r="AP161" s="361"/>
      <c r="AQ161" s="503"/>
      <c r="AR161" s="504"/>
      <c r="AS161" s="370">
        <f t="shared" si="91"/>
        <v>0</v>
      </c>
      <c r="AT161" s="120"/>
      <c r="AU161" s="499"/>
      <c r="AV161" s="500">
        <f t="shared" si="88"/>
        <v>0</v>
      </c>
      <c r="AW161" s="501">
        <f t="shared" si="58"/>
        <v>0</v>
      </c>
      <c r="AX161" s="501">
        <f t="shared" si="59"/>
        <v>0</v>
      </c>
      <c r="AY161" s="385">
        <f t="shared" si="60"/>
        <v>0</v>
      </c>
      <c r="AZ161" s="358">
        <f t="shared" si="62"/>
        <v>0</v>
      </c>
      <c r="BA161" s="475">
        <f t="shared" si="63"/>
        <v>0</v>
      </c>
      <c r="BB161" s="481"/>
      <c r="BC161" s="481"/>
      <c r="BD161" s="481"/>
      <c r="BE161" s="481"/>
      <c r="BF161" s="453" t="str">
        <f t="shared" si="64"/>
        <v>-</v>
      </c>
      <c r="BG161" s="453" t="str">
        <f t="shared" si="65"/>
        <v>-</v>
      </c>
      <c r="BH161" s="453" t="str">
        <f t="shared" si="66"/>
        <v>-</v>
      </c>
      <c r="BI161" s="453" t="str">
        <f t="shared" si="67"/>
        <v>-</v>
      </c>
      <c r="BJ161" s="453" t="str">
        <f t="shared" si="68"/>
        <v>-</v>
      </c>
      <c r="BK161" s="390" t="str">
        <f t="shared" si="69"/>
        <v>-</v>
      </c>
      <c r="BL161" s="125"/>
      <c r="BM161" s="92"/>
      <c r="BN161" s="386">
        <f t="shared" si="89"/>
        <v>0</v>
      </c>
    </row>
    <row r="162" spans="1:66" s="89" customFormat="1" ht="16.350000000000001" customHeight="1">
      <c r="A162" s="175">
        <f t="shared" si="71"/>
        <v>2023</v>
      </c>
      <c r="B162" s="454" t="str">
        <f t="shared" si="72"/>
        <v>52</v>
      </c>
      <c r="C162" s="454" t="str">
        <f t="array" ref="C162">_xlfn.IFS(_xlfn.NUMBERVALUE(B162)&lt;=13,"Q1",AND(_xlfn.NUMBERVALUE(B162)&gt;13,_xlfn.NUMBERVALUE(B162)&lt;=26),"Q2", AND(_xlfn.NUMBERVALUE(B162)&gt;26,_xlfn.NUMBERVALUE(B162)&lt;=39),"Q3",_xlfn.NUMBERVALUE(B162)&gt;39,"Q4")</f>
        <v>Q4</v>
      </c>
      <c r="D162" s="448">
        <f t="shared" si="90"/>
        <v>44947</v>
      </c>
      <c r="E162" s="448">
        <f t="shared" si="73"/>
        <v>44953</v>
      </c>
      <c r="F162" s="79">
        <v>202252</v>
      </c>
      <c r="G162" s="180">
        <f t="shared" si="74"/>
        <v>0</v>
      </c>
      <c r="H162" s="429"/>
      <c r="I162" s="429"/>
      <c r="J162" s="474">
        <f t="shared" si="75"/>
        <v>0</v>
      </c>
      <c r="K162" s="474">
        <f t="shared" si="76"/>
        <v>0</v>
      </c>
      <c r="L162" s="481"/>
      <c r="M162" s="481"/>
      <c r="N162" s="481"/>
      <c r="O162" s="474">
        <f t="shared" si="77"/>
        <v>0</v>
      </c>
      <c r="P162" s="474">
        <f t="shared" si="78"/>
        <v>0</v>
      </c>
      <c r="Q162" s="474">
        <f t="shared" si="79"/>
        <v>0</v>
      </c>
      <c r="R162" s="449">
        <f>Forecast!J157</f>
        <v>0</v>
      </c>
      <c r="S162" s="449">
        <f>Forecast!N157</f>
        <v>0</v>
      </c>
      <c r="T162" s="475">
        <f t="shared" si="80"/>
        <v>0</v>
      </c>
      <c r="U162" s="475">
        <f t="shared" si="81"/>
        <v>0</v>
      </c>
      <c r="V162" s="349">
        <f t="shared" si="82"/>
        <v>0</v>
      </c>
      <c r="W162" s="350">
        <f t="shared" si="83"/>
        <v>0</v>
      </c>
      <c r="X162" s="469">
        <f>'Channel &amp; Campaign Metrics'!AR161</f>
        <v>0</v>
      </c>
      <c r="Y162" s="469">
        <f>'Channel &amp; Campaign Metrics'!BS161</f>
        <v>0</v>
      </c>
      <c r="Z162" s="446"/>
      <c r="AA162" s="112"/>
      <c r="AB162" s="358">
        <f>'Glass Metrics'!AC162</f>
        <v>0</v>
      </c>
      <c r="AC162" s="475">
        <f>'Glass Metrics'!I162</f>
        <v>0</v>
      </c>
      <c r="AD162" s="469">
        <f>'Glass Metrics'!N162</f>
        <v>0</v>
      </c>
      <c r="AE162" s="475">
        <f>'Glass Metrics'!S162</f>
        <v>0</v>
      </c>
      <c r="AF162" s="359" t="str">
        <f t="shared" si="84"/>
        <v/>
      </c>
      <c r="AG162" s="477" t="str">
        <f t="shared" si="85"/>
        <v/>
      </c>
      <c r="AH162" s="472" t="str">
        <f t="shared" si="86"/>
        <v/>
      </c>
      <c r="AI162" s="360" t="str">
        <f t="shared" si="87"/>
        <v/>
      </c>
      <c r="AJ162" s="361" t="str">
        <f t="shared" si="61"/>
        <v/>
      </c>
      <c r="AK162" s="505"/>
      <c r="AL162" s="482"/>
      <c r="AM162" s="481"/>
      <c r="AN162" s="481"/>
      <c r="AO162" s="374" t="str">
        <f t="shared" si="57"/>
        <v/>
      </c>
      <c r="AP162" s="361"/>
      <c r="AQ162" s="503"/>
      <c r="AR162" s="504"/>
      <c r="AS162" s="370">
        <f t="shared" si="91"/>
        <v>0</v>
      </c>
      <c r="AT162" s="120"/>
      <c r="AU162" s="499"/>
      <c r="AV162" s="500">
        <f t="shared" si="88"/>
        <v>0</v>
      </c>
      <c r="AW162" s="501">
        <f t="shared" si="58"/>
        <v>0</v>
      </c>
      <c r="AX162" s="501">
        <f t="shared" si="59"/>
        <v>0</v>
      </c>
      <c r="AY162" s="385">
        <f t="shared" si="60"/>
        <v>0</v>
      </c>
      <c r="AZ162" s="358">
        <f t="shared" si="62"/>
        <v>0</v>
      </c>
      <c r="BA162" s="475">
        <f t="shared" si="63"/>
        <v>0</v>
      </c>
      <c r="BB162" s="481"/>
      <c r="BC162" s="481"/>
      <c r="BD162" s="481"/>
      <c r="BE162" s="481"/>
      <c r="BF162" s="453" t="str">
        <f t="shared" si="64"/>
        <v>-</v>
      </c>
      <c r="BG162" s="453" t="str">
        <f t="shared" si="65"/>
        <v>-</v>
      </c>
      <c r="BH162" s="453" t="str">
        <f t="shared" si="66"/>
        <v>-</v>
      </c>
      <c r="BI162" s="453" t="str">
        <f t="shared" si="67"/>
        <v>-</v>
      </c>
      <c r="BJ162" s="453" t="str">
        <f t="shared" si="68"/>
        <v>-</v>
      </c>
      <c r="BK162" s="390" t="str">
        <f t="shared" si="69"/>
        <v>-</v>
      </c>
      <c r="BL162" s="125"/>
      <c r="BM162" s="92"/>
      <c r="BN162" s="386">
        <f t="shared" si="89"/>
        <v>0</v>
      </c>
    </row>
    <row r="163" spans="1:66" s="89" customFormat="1" ht="16.350000000000001" customHeight="1">
      <c r="A163" s="175">
        <f t="shared" si="71"/>
        <v>2024</v>
      </c>
      <c r="B163" s="454" t="str">
        <f t="shared" si="72"/>
        <v>01</v>
      </c>
      <c r="C163" s="454" t="str">
        <f t="array" ref="C163">_xlfn.IFS(_xlfn.NUMBERVALUE(B163)&lt;=13,"Q1",AND(_xlfn.NUMBERVALUE(B163)&gt;13,_xlfn.NUMBERVALUE(B163)&lt;=26),"Q2", AND(_xlfn.NUMBERVALUE(B163)&gt;26,_xlfn.NUMBERVALUE(B163)&lt;=39),"Q3",_xlfn.NUMBERVALUE(B163)&gt;39,"Q4")</f>
        <v>Q1</v>
      </c>
      <c r="D163" s="448">
        <f t="shared" si="90"/>
        <v>44954</v>
      </c>
      <c r="E163" s="448">
        <f t="shared" si="73"/>
        <v>44960</v>
      </c>
      <c r="F163" s="79">
        <v>202301</v>
      </c>
      <c r="G163" s="180">
        <f t="shared" si="74"/>
        <v>0</v>
      </c>
      <c r="H163" s="429"/>
      <c r="I163" s="429"/>
      <c r="J163" s="474">
        <f t="shared" si="75"/>
        <v>0</v>
      </c>
      <c r="K163" s="474">
        <f t="shared" si="76"/>
        <v>0</v>
      </c>
      <c r="L163" s="92"/>
      <c r="M163" s="92"/>
      <c r="N163" s="92"/>
      <c r="O163" s="474">
        <f t="shared" si="77"/>
        <v>0</v>
      </c>
      <c r="P163" s="474">
        <f t="shared" si="78"/>
        <v>0</v>
      </c>
      <c r="Q163" s="474">
        <f t="shared" si="79"/>
        <v>0</v>
      </c>
      <c r="R163" s="455">
        <f>Forecast!J158</f>
        <v>0</v>
      </c>
      <c r="S163" s="455">
        <f>Forecast!N158</f>
        <v>0</v>
      </c>
      <c r="T163" s="475">
        <f t="shared" si="80"/>
        <v>0</v>
      </c>
      <c r="U163" s="475">
        <f t="shared" si="81"/>
        <v>0</v>
      </c>
      <c r="V163" s="349">
        <f t="shared" si="82"/>
        <v>0</v>
      </c>
      <c r="W163" s="350">
        <f t="shared" si="83"/>
        <v>0</v>
      </c>
      <c r="X163" s="469">
        <f>'Channel &amp; Campaign Metrics'!AR162</f>
        <v>0</v>
      </c>
      <c r="Y163" s="469">
        <f>'Channel &amp; Campaign Metrics'!BS162</f>
        <v>0</v>
      </c>
      <c r="Z163" s="446"/>
      <c r="AA163" s="112"/>
      <c r="AB163" s="358">
        <f>'Glass Metrics'!AC163</f>
        <v>0</v>
      </c>
      <c r="AC163" s="475">
        <f>'Glass Metrics'!I163</f>
        <v>0</v>
      </c>
      <c r="AD163" s="469">
        <f>'Glass Metrics'!N163</f>
        <v>0</v>
      </c>
      <c r="AE163" s="475">
        <f>'Glass Metrics'!S163</f>
        <v>0</v>
      </c>
      <c r="AF163" s="359" t="str">
        <f t="shared" si="84"/>
        <v/>
      </c>
      <c r="AG163" s="477" t="str">
        <f t="shared" si="85"/>
        <v/>
      </c>
      <c r="AH163" s="472" t="str">
        <f t="shared" si="86"/>
        <v/>
      </c>
      <c r="AI163" s="360" t="str">
        <f t="shared" si="87"/>
        <v/>
      </c>
      <c r="AJ163" s="363" t="str">
        <f t="shared" si="61"/>
        <v/>
      </c>
      <c r="AK163" s="505"/>
      <c r="AL163" s="479"/>
      <c r="AM163" s="429"/>
      <c r="AN163" s="429"/>
      <c r="AO163" s="374" t="str">
        <f t="shared" si="57"/>
        <v/>
      </c>
      <c r="AP163" s="361"/>
      <c r="AQ163" s="506"/>
      <c r="AR163" s="493"/>
      <c r="AS163" s="374">
        <f t="shared" si="91"/>
        <v>0</v>
      </c>
      <c r="AT163" s="125"/>
      <c r="AU163" s="92"/>
      <c r="AV163" s="500">
        <f t="shared" si="88"/>
        <v>0</v>
      </c>
      <c r="AW163" s="455">
        <f t="shared" si="58"/>
        <v>0</v>
      </c>
      <c r="AX163" s="455">
        <f t="shared" si="59"/>
        <v>0</v>
      </c>
      <c r="AY163" s="386">
        <f t="shared" si="60"/>
        <v>0</v>
      </c>
      <c r="AZ163" s="180">
        <f t="shared" si="62"/>
        <v>0</v>
      </c>
      <c r="BA163" s="449">
        <f t="shared" si="63"/>
        <v>0</v>
      </c>
      <c r="BB163" s="429"/>
      <c r="BC163" s="429"/>
      <c r="BD163" s="429"/>
      <c r="BE163" s="429"/>
      <c r="BF163" s="453" t="str">
        <f t="shared" si="64"/>
        <v>-</v>
      </c>
      <c r="BG163" s="453" t="str">
        <f t="shared" si="65"/>
        <v>-</v>
      </c>
      <c r="BH163" s="453" t="str">
        <f t="shared" si="66"/>
        <v>-</v>
      </c>
      <c r="BI163" s="453" t="str">
        <f t="shared" si="67"/>
        <v>-</v>
      </c>
      <c r="BJ163" s="453" t="str">
        <f t="shared" si="68"/>
        <v>-</v>
      </c>
      <c r="BK163" s="390" t="str">
        <f t="shared" si="69"/>
        <v>-</v>
      </c>
      <c r="BL163" s="125"/>
      <c r="BM163" s="92"/>
      <c r="BN163" s="386">
        <f t="shared" si="89"/>
        <v>0</v>
      </c>
    </row>
    <row r="164" spans="1:66" s="89" customFormat="1" ht="16.350000000000001" customHeight="1">
      <c r="A164" s="175">
        <f t="shared" si="71"/>
        <v>2024</v>
      </c>
      <c r="B164" s="454" t="str">
        <f t="shared" si="72"/>
        <v>02</v>
      </c>
      <c r="C164" s="454" t="str">
        <f t="array" ref="C164">_xlfn.IFS(_xlfn.NUMBERVALUE(B164)&lt;=13,"Q1",AND(_xlfn.NUMBERVALUE(B164)&gt;13,_xlfn.NUMBERVALUE(B164)&lt;=26),"Q2", AND(_xlfn.NUMBERVALUE(B164)&gt;26,_xlfn.NUMBERVALUE(B164)&lt;=39),"Q3",_xlfn.NUMBERVALUE(B164)&gt;39,"Q4")</f>
        <v>Q1</v>
      </c>
      <c r="D164" s="448">
        <f t="shared" si="90"/>
        <v>44961</v>
      </c>
      <c r="E164" s="448">
        <f t="shared" si="73"/>
        <v>44967</v>
      </c>
      <c r="F164" s="79">
        <v>202302</v>
      </c>
      <c r="G164" s="180">
        <f t="shared" si="74"/>
        <v>0</v>
      </c>
      <c r="H164" s="429"/>
      <c r="I164" s="429"/>
      <c r="J164" s="474">
        <f t="shared" si="75"/>
        <v>0</v>
      </c>
      <c r="K164" s="474">
        <f t="shared" si="76"/>
        <v>0</v>
      </c>
      <c r="L164" s="92"/>
      <c r="M164" s="92"/>
      <c r="N164" s="92"/>
      <c r="O164" s="474">
        <f t="shared" si="77"/>
        <v>0</v>
      </c>
      <c r="P164" s="474">
        <f t="shared" si="78"/>
        <v>0</v>
      </c>
      <c r="Q164" s="474">
        <f t="shared" si="79"/>
        <v>0</v>
      </c>
      <c r="R164" s="455">
        <f>Forecast!J159</f>
        <v>0</v>
      </c>
      <c r="S164" s="455">
        <f>Forecast!N159</f>
        <v>0</v>
      </c>
      <c r="T164" s="475">
        <f t="shared" si="80"/>
        <v>0</v>
      </c>
      <c r="U164" s="475">
        <f t="shared" si="81"/>
        <v>0</v>
      </c>
      <c r="V164" s="349">
        <f t="shared" si="82"/>
        <v>0</v>
      </c>
      <c r="W164" s="350">
        <f t="shared" si="83"/>
        <v>0</v>
      </c>
      <c r="X164" s="469">
        <f>'Channel &amp; Campaign Metrics'!AR163</f>
        <v>0</v>
      </c>
      <c r="Y164" s="469">
        <f>'Channel &amp; Campaign Metrics'!BS163</f>
        <v>0</v>
      </c>
      <c r="Z164" s="446"/>
      <c r="AA164" s="112"/>
      <c r="AB164" s="358">
        <f>'Glass Metrics'!AC164</f>
        <v>0</v>
      </c>
      <c r="AC164" s="475">
        <f>'Glass Metrics'!I164</f>
        <v>0</v>
      </c>
      <c r="AD164" s="469">
        <f>'Glass Metrics'!N164</f>
        <v>0</v>
      </c>
      <c r="AE164" s="475">
        <f>'Glass Metrics'!S164</f>
        <v>0</v>
      </c>
      <c r="AF164" s="359" t="str">
        <f t="shared" si="84"/>
        <v/>
      </c>
      <c r="AG164" s="477" t="str">
        <f t="shared" si="85"/>
        <v/>
      </c>
      <c r="AH164" s="472" t="str">
        <f t="shared" si="86"/>
        <v/>
      </c>
      <c r="AI164" s="360" t="str">
        <f t="shared" si="87"/>
        <v/>
      </c>
      <c r="AJ164" s="363" t="str">
        <f t="shared" si="61"/>
        <v/>
      </c>
      <c r="AK164" s="479"/>
      <c r="AL164" s="479"/>
      <c r="AM164" s="429"/>
      <c r="AN164" s="429"/>
      <c r="AO164" s="374" t="str">
        <f t="shared" si="57"/>
        <v/>
      </c>
      <c r="AP164" s="361"/>
      <c r="AQ164" s="493"/>
      <c r="AR164" s="493"/>
      <c r="AS164" s="374">
        <f t="shared" si="91"/>
        <v>0</v>
      </c>
      <c r="AT164" s="125"/>
      <c r="AU164" s="92"/>
      <c r="AV164" s="500">
        <f t="shared" si="88"/>
        <v>0</v>
      </c>
      <c r="AW164" s="455">
        <f t="shared" si="58"/>
        <v>0</v>
      </c>
      <c r="AX164" s="455">
        <f t="shared" si="59"/>
        <v>0</v>
      </c>
      <c r="AY164" s="386">
        <f t="shared" si="60"/>
        <v>0</v>
      </c>
      <c r="AZ164" s="180">
        <f t="shared" si="62"/>
        <v>0</v>
      </c>
      <c r="BA164" s="449">
        <f t="shared" si="63"/>
        <v>0</v>
      </c>
      <c r="BB164" s="429"/>
      <c r="BC164" s="429"/>
      <c r="BD164" s="429"/>
      <c r="BE164" s="429"/>
      <c r="BF164" s="453" t="str">
        <f t="shared" si="64"/>
        <v>-</v>
      </c>
      <c r="BG164" s="453" t="str">
        <f t="shared" si="65"/>
        <v>-</v>
      </c>
      <c r="BH164" s="453" t="str">
        <f t="shared" si="66"/>
        <v>-</v>
      </c>
      <c r="BI164" s="453" t="str">
        <f t="shared" si="67"/>
        <v>-</v>
      </c>
      <c r="BJ164" s="453" t="str">
        <f t="shared" si="68"/>
        <v>-</v>
      </c>
      <c r="BK164" s="390" t="str">
        <f t="shared" si="69"/>
        <v>-</v>
      </c>
      <c r="BL164" s="125"/>
      <c r="BM164" s="92"/>
      <c r="BN164" s="386">
        <f t="shared" si="89"/>
        <v>0</v>
      </c>
    </row>
    <row r="165" spans="1:66" s="89" customFormat="1" ht="16.350000000000001" customHeight="1">
      <c r="A165" s="175">
        <f t="shared" si="71"/>
        <v>2024</v>
      </c>
      <c r="B165" s="454" t="str">
        <f t="shared" si="72"/>
        <v>03</v>
      </c>
      <c r="C165" s="454" t="str">
        <f t="array" ref="C165">_xlfn.IFS(_xlfn.NUMBERVALUE(B165)&lt;=13,"Q1",AND(_xlfn.NUMBERVALUE(B165)&gt;13,_xlfn.NUMBERVALUE(B165)&lt;=26),"Q2", AND(_xlfn.NUMBERVALUE(B165)&gt;26,_xlfn.NUMBERVALUE(B165)&lt;=39),"Q3",_xlfn.NUMBERVALUE(B165)&gt;39,"Q4")</f>
        <v>Q1</v>
      </c>
      <c r="D165" s="448">
        <f t="shared" si="90"/>
        <v>44968</v>
      </c>
      <c r="E165" s="448">
        <f t="shared" si="73"/>
        <v>44974</v>
      </c>
      <c r="F165" s="79">
        <v>202303</v>
      </c>
      <c r="G165" s="180">
        <f t="shared" si="74"/>
        <v>0</v>
      </c>
      <c r="H165" s="429"/>
      <c r="I165" s="429"/>
      <c r="J165" s="474">
        <f t="shared" si="75"/>
        <v>0</v>
      </c>
      <c r="K165" s="474">
        <f t="shared" si="76"/>
        <v>0</v>
      </c>
      <c r="L165" s="92"/>
      <c r="M165" s="92"/>
      <c r="N165" s="92"/>
      <c r="O165" s="474">
        <f t="shared" si="77"/>
        <v>0</v>
      </c>
      <c r="P165" s="474">
        <f t="shared" si="78"/>
        <v>0</v>
      </c>
      <c r="Q165" s="474">
        <f t="shared" si="79"/>
        <v>0</v>
      </c>
      <c r="R165" s="455">
        <f>Forecast!J160</f>
        <v>0</v>
      </c>
      <c r="S165" s="455">
        <f>Forecast!N160</f>
        <v>0</v>
      </c>
      <c r="T165" s="475">
        <f t="shared" si="80"/>
        <v>0</v>
      </c>
      <c r="U165" s="475">
        <f t="shared" si="81"/>
        <v>0</v>
      </c>
      <c r="V165" s="349">
        <f t="shared" si="82"/>
        <v>0</v>
      </c>
      <c r="W165" s="350">
        <f t="shared" si="83"/>
        <v>0</v>
      </c>
      <c r="X165" s="469">
        <f>'Channel &amp; Campaign Metrics'!AR164</f>
        <v>0</v>
      </c>
      <c r="Y165" s="469">
        <f>'Channel &amp; Campaign Metrics'!BS164</f>
        <v>0</v>
      </c>
      <c r="Z165" s="446"/>
      <c r="AA165" s="112"/>
      <c r="AB165" s="358">
        <f>'Glass Metrics'!AC165</f>
        <v>0</v>
      </c>
      <c r="AC165" s="475">
        <f>'Glass Metrics'!I165</f>
        <v>0</v>
      </c>
      <c r="AD165" s="469">
        <f>'Glass Metrics'!N165</f>
        <v>0</v>
      </c>
      <c r="AE165" s="475">
        <f>'Glass Metrics'!S165</f>
        <v>0</v>
      </c>
      <c r="AF165" s="359" t="str">
        <f t="shared" si="84"/>
        <v/>
      </c>
      <c r="AG165" s="477" t="str">
        <f t="shared" si="85"/>
        <v/>
      </c>
      <c r="AH165" s="472" t="str">
        <f t="shared" si="86"/>
        <v/>
      </c>
      <c r="AI165" s="360" t="str">
        <f t="shared" si="87"/>
        <v/>
      </c>
      <c r="AJ165" s="363" t="str">
        <f t="shared" si="61"/>
        <v/>
      </c>
      <c r="AK165" s="479"/>
      <c r="AL165" s="479"/>
      <c r="AM165" s="429"/>
      <c r="AN165" s="429"/>
      <c r="AO165" s="374" t="str">
        <f t="shared" si="57"/>
        <v/>
      </c>
      <c r="AP165" s="361"/>
      <c r="AQ165" s="493"/>
      <c r="AR165" s="493"/>
      <c r="AS165" s="374">
        <f t="shared" si="91"/>
        <v>0</v>
      </c>
      <c r="AT165" s="125"/>
      <c r="AU165" s="92"/>
      <c r="AV165" s="500">
        <f t="shared" si="88"/>
        <v>0</v>
      </c>
      <c r="AW165" s="455">
        <f t="shared" si="58"/>
        <v>0</v>
      </c>
      <c r="AX165" s="455">
        <f t="shared" si="59"/>
        <v>0</v>
      </c>
      <c r="AY165" s="386">
        <f t="shared" si="60"/>
        <v>0</v>
      </c>
      <c r="AZ165" s="180">
        <f t="shared" si="62"/>
        <v>0</v>
      </c>
      <c r="BA165" s="449">
        <f t="shared" si="63"/>
        <v>0</v>
      </c>
      <c r="BB165" s="429"/>
      <c r="BC165" s="429"/>
      <c r="BD165" s="429"/>
      <c r="BE165" s="429"/>
      <c r="BF165" s="453" t="str">
        <f t="shared" si="64"/>
        <v>-</v>
      </c>
      <c r="BG165" s="453" t="str">
        <f t="shared" si="65"/>
        <v>-</v>
      </c>
      <c r="BH165" s="453" t="str">
        <f t="shared" si="66"/>
        <v>-</v>
      </c>
      <c r="BI165" s="453" t="str">
        <f t="shared" si="67"/>
        <v>-</v>
      </c>
      <c r="BJ165" s="453" t="str">
        <f t="shared" si="68"/>
        <v>-</v>
      </c>
      <c r="BK165" s="390" t="str">
        <f t="shared" si="69"/>
        <v>-</v>
      </c>
      <c r="BL165" s="125"/>
      <c r="BM165" s="92"/>
      <c r="BN165" s="386">
        <f t="shared" si="89"/>
        <v>0</v>
      </c>
    </row>
    <row r="166" spans="1:66" s="89" customFormat="1" ht="16.350000000000001" customHeight="1">
      <c r="A166" s="175">
        <f t="shared" si="71"/>
        <v>2024</v>
      </c>
      <c r="B166" s="454" t="str">
        <f t="shared" si="72"/>
        <v>04</v>
      </c>
      <c r="C166" s="454" t="str">
        <f t="array" ref="C166">_xlfn.IFS(_xlfn.NUMBERVALUE(B166)&lt;=13,"Q1",AND(_xlfn.NUMBERVALUE(B166)&gt;13,_xlfn.NUMBERVALUE(B166)&lt;=26),"Q2", AND(_xlfn.NUMBERVALUE(B166)&gt;26,_xlfn.NUMBERVALUE(B166)&lt;=39),"Q3",_xlfn.NUMBERVALUE(B166)&gt;39,"Q4")</f>
        <v>Q1</v>
      </c>
      <c r="D166" s="448">
        <f t="shared" si="90"/>
        <v>44975</v>
      </c>
      <c r="E166" s="448">
        <f t="shared" si="73"/>
        <v>44981</v>
      </c>
      <c r="F166" s="79">
        <v>202304</v>
      </c>
      <c r="G166" s="180">
        <f t="shared" si="74"/>
        <v>0</v>
      </c>
      <c r="H166" s="429"/>
      <c r="I166" s="429"/>
      <c r="J166" s="474">
        <f t="shared" si="75"/>
        <v>0</v>
      </c>
      <c r="K166" s="474">
        <f t="shared" si="76"/>
        <v>0</v>
      </c>
      <c r="L166" s="92"/>
      <c r="M166" s="92"/>
      <c r="N166" s="92"/>
      <c r="O166" s="474">
        <f t="shared" si="77"/>
        <v>0</v>
      </c>
      <c r="P166" s="474">
        <f t="shared" si="78"/>
        <v>0</v>
      </c>
      <c r="Q166" s="474">
        <f t="shared" si="79"/>
        <v>0</v>
      </c>
      <c r="R166" s="455">
        <f>Forecast!J161</f>
        <v>0</v>
      </c>
      <c r="S166" s="455">
        <f>Forecast!N161</f>
        <v>0</v>
      </c>
      <c r="T166" s="475">
        <f t="shared" si="80"/>
        <v>0</v>
      </c>
      <c r="U166" s="475">
        <f t="shared" si="81"/>
        <v>0</v>
      </c>
      <c r="V166" s="349">
        <f t="shared" si="82"/>
        <v>0</v>
      </c>
      <c r="W166" s="350">
        <f t="shared" si="83"/>
        <v>0</v>
      </c>
      <c r="X166" s="469">
        <f>'Channel &amp; Campaign Metrics'!AR165</f>
        <v>0</v>
      </c>
      <c r="Y166" s="469">
        <f>'Channel &amp; Campaign Metrics'!BS165</f>
        <v>0</v>
      </c>
      <c r="Z166" s="446"/>
      <c r="AA166" s="112"/>
      <c r="AB166" s="358">
        <f>'Glass Metrics'!AC166</f>
        <v>0</v>
      </c>
      <c r="AC166" s="475">
        <f>'Glass Metrics'!I166</f>
        <v>0</v>
      </c>
      <c r="AD166" s="469">
        <f>'Glass Metrics'!N166</f>
        <v>0</v>
      </c>
      <c r="AE166" s="475">
        <f>'Glass Metrics'!S166</f>
        <v>0</v>
      </c>
      <c r="AF166" s="359" t="str">
        <f t="shared" si="84"/>
        <v/>
      </c>
      <c r="AG166" s="477" t="str">
        <f t="shared" si="85"/>
        <v/>
      </c>
      <c r="AH166" s="472" t="str">
        <f t="shared" si="86"/>
        <v/>
      </c>
      <c r="AI166" s="360" t="str">
        <f t="shared" si="87"/>
        <v/>
      </c>
      <c r="AJ166" s="363" t="str">
        <f t="shared" si="61"/>
        <v/>
      </c>
      <c r="AK166" s="479"/>
      <c r="AL166" s="479"/>
      <c r="AM166" s="429"/>
      <c r="AN166" s="429"/>
      <c r="AO166" s="374" t="str">
        <f t="shared" si="57"/>
        <v/>
      </c>
      <c r="AP166" s="361"/>
      <c r="AQ166" s="493"/>
      <c r="AR166" s="493"/>
      <c r="AS166" s="374">
        <f t="shared" si="91"/>
        <v>0</v>
      </c>
      <c r="AT166" s="125"/>
      <c r="AU166" s="92"/>
      <c r="AV166" s="500">
        <f t="shared" si="88"/>
        <v>0</v>
      </c>
      <c r="AW166" s="455">
        <f t="shared" si="58"/>
        <v>0</v>
      </c>
      <c r="AX166" s="455">
        <f t="shared" si="59"/>
        <v>0</v>
      </c>
      <c r="AY166" s="386">
        <f t="shared" si="60"/>
        <v>0</v>
      </c>
      <c r="AZ166" s="180">
        <f t="shared" si="62"/>
        <v>0</v>
      </c>
      <c r="BA166" s="449">
        <f t="shared" si="63"/>
        <v>0</v>
      </c>
      <c r="BB166" s="429"/>
      <c r="BC166" s="429"/>
      <c r="BD166" s="429"/>
      <c r="BE166" s="429"/>
      <c r="BF166" s="453" t="str">
        <f t="shared" si="64"/>
        <v>-</v>
      </c>
      <c r="BG166" s="453" t="str">
        <f t="shared" si="65"/>
        <v>-</v>
      </c>
      <c r="BH166" s="453" t="str">
        <f t="shared" si="66"/>
        <v>-</v>
      </c>
      <c r="BI166" s="453" t="str">
        <f t="shared" si="67"/>
        <v>-</v>
      </c>
      <c r="BJ166" s="453" t="str">
        <f t="shared" si="68"/>
        <v>-</v>
      </c>
      <c r="BK166" s="390" t="str">
        <f t="shared" si="69"/>
        <v>-</v>
      </c>
      <c r="BL166" s="125"/>
      <c r="BM166" s="92"/>
      <c r="BN166" s="386">
        <f t="shared" si="89"/>
        <v>0</v>
      </c>
    </row>
    <row r="167" spans="1:66" s="89" customFormat="1" ht="16.350000000000001" customHeight="1">
      <c r="A167" s="175">
        <f t="shared" si="71"/>
        <v>2024</v>
      </c>
      <c r="B167" s="454" t="str">
        <f t="shared" si="72"/>
        <v>05</v>
      </c>
      <c r="C167" s="454" t="str">
        <f t="array" ref="C167">_xlfn.IFS(_xlfn.NUMBERVALUE(B167)&lt;=13,"Q1",AND(_xlfn.NUMBERVALUE(B167)&gt;13,_xlfn.NUMBERVALUE(B167)&lt;=26),"Q2", AND(_xlfn.NUMBERVALUE(B167)&gt;26,_xlfn.NUMBERVALUE(B167)&lt;=39),"Q3",_xlfn.NUMBERVALUE(B167)&gt;39,"Q4")</f>
        <v>Q1</v>
      </c>
      <c r="D167" s="448">
        <f t="shared" si="90"/>
        <v>44982</v>
      </c>
      <c r="E167" s="448">
        <f t="shared" si="73"/>
        <v>44988</v>
      </c>
      <c r="F167" s="79">
        <v>202305</v>
      </c>
      <c r="G167" s="180">
        <f t="shared" si="74"/>
        <v>0</v>
      </c>
      <c r="H167" s="429"/>
      <c r="I167" s="429"/>
      <c r="J167" s="474">
        <f t="shared" si="75"/>
        <v>0</v>
      </c>
      <c r="K167" s="474">
        <f t="shared" si="76"/>
        <v>0</v>
      </c>
      <c r="L167" s="92"/>
      <c r="M167" s="92"/>
      <c r="N167" s="92"/>
      <c r="O167" s="474">
        <f t="shared" si="77"/>
        <v>0</v>
      </c>
      <c r="P167" s="474">
        <f t="shared" si="78"/>
        <v>0</v>
      </c>
      <c r="Q167" s="474">
        <f t="shared" si="79"/>
        <v>0</v>
      </c>
      <c r="R167" s="455">
        <f>Forecast!J162</f>
        <v>0</v>
      </c>
      <c r="S167" s="455">
        <f>Forecast!N162</f>
        <v>0</v>
      </c>
      <c r="T167" s="475">
        <f t="shared" si="80"/>
        <v>0</v>
      </c>
      <c r="U167" s="475">
        <f t="shared" si="81"/>
        <v>0</v>
      </c>
      <c r="V167" s="349">
        <f t="shared" si="82"/>
        <v>0</v>
      </c>
      <c r="W167" s="350">
        <f t="shared" si="83"/>
        <v>0</v>
      </c>
      <c r="X167" s="469">
        <f>'Channel &amp; Campaign Metrics'!AR166</f>
        <v>0</v>
      </c>
      <c r="Y167" s="469">
        <f>'Channel &amp; Campaign Metrics'!BS166</f>
        <v>0</v>
      </c>
      <c r="Z167" s="446"/>
      <c r="AA167" s="112"/>
      <c r="AB167" s="358">
        <f>'Glass Metrics'!AC167</f>
        <v>0</v>
      </c>
      <c r="AC167" s="475">
        <f>'Glass Metrics'!I167</f>
        <v>0</v>
      </c>
      <c r="AD167" s="469">
        <f>'Glass Metrics'!N167</f>
        <v>0</v>
      </c>
      <c r="AE167" s="475">
        <f>'Glass Metrics'!S167</f>
        <v>0</v>
      </c>
      <c r="AF167" s="359" t="str">
        <f t="shared" si="84"/>
        <v/>
      </c>
      <c r="AG167" s="477" t="str">
        <f t="shared" si="85"/>
        <v/>
      </c>
      <c r="AH167" s="472" t="str">
        <f t="shared" si="86"/>
        <v/>
      </c>
      <c r="AI167" s="360" t="str">
        <f t="shared" si="87"/>
        <v/>
      </c>
      <c r="AJ167" s="363" t="str">
        <f t="shared" si="61"/>
        <v/>
      </c>
      <c r="AK167" s="479"/>
      <c r="AL167" s="479"/>
      <c r="AM167" s="429"/>
      <c r="AN167" s="429"/>
      <c r="AO167" s="374" t="str">
        <f t="shared" si="57"/>
        <v/>
      </c>
      <c r="AP167" s="361"/>
      <c r="AQ167" s="493"/>
      <c r="AR167" s="493"/>
      <c r="AS167" s="374">
        <f t="shared" si="91"/>
        <v>0</v>
      </c>
      <c r="AT167" s="125"/>
      <c r="AU167" s="92"/>
      <c r="AV167" s="500">
        <f t="shared" si="88"/>
        <v>0</v>
      </c>
      <c r="AW167" s="455">
        <f t="shared" si="58"/>
        <v>0</v>
      </c>
      <c r="AX167" s="455">
        <f t="shared" si="59"/>
        <v>0</v>
      </c>
      <c r="AY167" s="386">
        <f t="shared" si="60"/>
        <v>0</v>
      </c>
      <c r="AZ167" s="180">
        <f t="shared" si="62"/>
        <v>0</v>
      </c>
      <c r="BA167" s="449">
        <f t="shared" si="63"/>
        <v>0</v>
      </c>
      <c r="BB167" s="429"/>
      <c r="BC167" s="429"/>
      <c r="BD167" s="429"/>
      <c r="BE167" s="429"/>
      <c r="BF167" s="453" t="str">
        <f t="shared" si="64"/>
        <v>-</v>
      </c>
      <c r="BG167" s="453" t="str">
        <f t="shared" si="65"/>
        <v>-</v>
      </c>
      <c r="BH167" s="453" t="str">
        <f t="shared" si="66"/>
        <v>-</v>
      </c>
      <c r="BI167" s="453" t="str">
        <f t="shared" si="67"/>
        <v>-</v>
      </c>
      <c r="BJ167" s="453" t="str">
        <f t="shared" si="68"/>
        <v>-</v>
      </c>
      <c r="BK167" s="390" t="str">
        <f t="shared" si="69"/>
        <v>-</v>
      </c>
      <c r="BL167" s="125"/>
      <c r="BM167" s="92"/>
      <c r="BN167" s="386">
        <f t="shared" si="89"/>
        <v>0</v>
      </c>
    </row>
    <row r="168" spans="1:66" s="89" customFormat="1" ht="16.350000000000001" customHeight="1">
      <c r="A168" s="175">
        <f t="shared" si="71"/>
        <v>2024</v>
      </c>
      <c r="B168" s="454" t="str">
        <f t="shared" si="72"/>
        <v>06</v>
      </c>
      <c r="C168" s="454" t="str">
        <f t="array" ref="C168">_xlfn.IFS(_xlfn.NUMBERVALUE(B168)&lt;=13,"Q1",AND(_xlfn.NUMBERVALUE(B168)&gt;13,_xlfn.NUMBERVALUE(B168)&lt;=26),"Q2", AND(_xlfn.NUMBERVALUE(B168)&gt;26,_xlfn.NUMBERVALUE(B168)&lt;=39),"Q3",_xlfn.NUMBERVALUE(B168)&gt;39,"Q4")</f>
        <v>Q1</v>
      </c>
      <c r="D168" s="448">
        <f t="shared" si="90"/>
        <v>44989</v>
      </c>
      <c r="E168" s="448">
        <f t="shared" si="73"/>
        <v>44995</v>
      </c>
      <c r="F168" s="79">
        <v>202306</v>
      </c>
      <c r="G168" s="180">
        <f t="shared" si="74"/>
        <v>0</v>
      </c>
      <c r="H168" s="429"/>
      <c r="I168" s="429"/>
      <c r="J168" s="474">
        <f t="shared" si="75"/>
        <v>0</v>
      </c>
      <c r="K168" s="474">
        <f t="shared" si="76"/>
        <v>0</v>
      </c>
      <c r="L168" s="92"/>
      <c r="M168" s="92"/>
      <c r="N168" s="92"/>
      <c r="O168" s="474">
        <f t="shared" si="77"/>
        <v>0</v>
      </c>
      <c r="P168" s="474">
        <f t="shared" si="78"/>
        <v>0</v>
      </c>
      <c r="Q168" s="474">
        <f t="shared" si="79"/>
        <v>0</v>
      </c>
      <c r="R168" s="455">
        <f>Forecast!J163</f>
        <v>0</v>
      </c>
      <c r="S168" s="455">
        <f>Forecast!N163</f>
        <v>0</v>
      </c>
      <c r="T168" s="475">
        <f t="shared" si="80"/>
        <v>0</v>
      </c>
      <c r="U168" s="475">
        <f t="shared" si="81"/>
        <v>0</v>
      </c>
      <c r="V168" s="349">
        <f t="shared" si="82"/>
        <v>0</v>
      </c>
      <c r="W168" s="350">
        <f t="shared" si="83"/>
        <v>0</v>
      </c>
      <c r="X168" s="469">
        <f>'Channel &amp; Campaign Metrics'!AR167</f>
        <v>0</v>
      </c>
      <c r="Y168" s="469">
        <f>'Channel &amp; Campaign Metrics'!BS167</f>
        <v>0</v>
      </c>
      <c r="Z168" s="446"/>
      <c r="AA168" s="112"/>
      <c r="AB168" s="358">
        <f>'Glass Metrics'!AC168</f>
        <v>0</v>
      </c>
      <c r="AC168" s="475">
        <f>'Glass Metrics'!I168</f>
        <v>0</v>
      </c>
      <c r="AD168" s="469">
        <f>'Glass Metrics'!N168</f>
        <v>0</v>
      </c>
      <c r="AE168" s="475">
        <f>'Glass Metrics'!S168</f>
        <v>0</v>
      </c>
      <c r="AF168" s="359" t="str">
        <f t="shared" si="84"/>
        <v/>
      </c>
      <c r="AG168" s="477" t="str">
        <f t="shared" si="85"/>
        <v/>
      </c>
      <c r="AH168" s="472" t="str">
        <f t="shared" si="86"/>
        <v/>
      </c>
      <c r="AI168" s="360" t="str">
        <f t="shared" si="87"/>
        <v/>
      </c>
      <c r="AJ168" s="363" t="str">
        <f t="shared" si="61"/>
        <v/>
      </c>
      <c r="AK168" s="479"/>
      <c r="AL168" s="479"/>
      <c r="AM168" s="429"/>
      <c r="AN168" s="429"/>
      <c r="AO168" s="374" t="str">
        <f t="shared" si="57"/>
        <v/>
      </c>
      <c r="AP168" s="361"/>
      <c r="AQ168" s="493"/>
      <c r="AR168" s="493"/>
      <c r="AS168" s="374">
        <f t="shared" si="91"/>
        <v>0</v>
      </c>
      <c r="AT168" s="125"/>
      <c r="AU168" s="92"/>
      <c r="AV168" s="500">
        <f t="shared" si="88"/>
        <v>0</v>
      </c>
      <c r="AW168" s="455">
        <f t="shared" si="58"/>
        <v>0</v>
      </c>
      <c r="AX168" s="455">
        <f t="shared" si="59"/>
        <v>0</v>
      </c>
      <c r="AY168" s="386">
        <f t="shared" si="60"/>
        <v>0</v>
      </c>
      <c r="AZ168" s="180">
        <f t="shared" si="62"/>
        <v>0</v>
      </c>
      <c r="BA168" s="449">
        <f t="shared" si="63"/>
        <v>0</v>
      </c>
      <c r="BB168" s="429"/>
      <c r="BC168" s="429"/>
      <c r="BD168" s="429"/>
      <c r="BE168" s="429"/>
      <c r="BF168" s="453" t="str">
        <f t="shared" si="64"/>
        <v>-</v>
      </c>
      <c r="BG168" s="453" t="str">
        <f t="shared" si="65"/>
        <v>-</v>
      </c>
      <c r="BH168" s="453" t="str">
        <f t="shared" si="66"/>
        <v>-</v>
      </c>
      <c r="BI168" s="453" t="str">
        <f t="shared" si="67"/>
        <v>-</v>
      </c>
      <c r="BJ168" s="453" t="str">
        <f t="shared" si="68"/>
        <v>-</v>
      </c>
      <c r="BK168" s="390" t="str">
        <f t="shared" si="69"/>
        <v>-</v>
      </c>
      <c r="BL168" s="125"/>
      <c r="BM168" s="92"/>
      <c r="BN168" s="386">
        <f t="shared" si="89"/>
        <v>0</v>
      </c>
    </row>
    <row r="169" spans="1:66" s="89" customFormat="1" ht="16.350000000000001" customHeight="1">
      <c r="A169" s="175">
        <f t="shared" si="71"/>
        <v>2024</v>
      </c>
      <c r="B169" s="454" t="str">
        <f t="shared" si="72"/>
        <v>07</v>
      </c>
      <c r="C169" s="454" t="str">
        <f t="array" ref="C169">_xlfn.IFS(_xlfn.NUMBERVALUE(B169)&lt;=13,"Q1",AND(_xlfn.NUMBERVALUE(B169)&gt;13,_xlfn.NUMBERVALUE(B169)&lt;=26),"Q2", AND(_xlfn.NUMBERVALUE(B169)&gt;26,_xlfn.NUMBERVALUE(B169)&lt;=39),"Q3",_xlfn.NUMBERVALUE(B169)&gt;39,"Q4")</f>
        <v>Q1</v>
      </c>
      <c r="D169" s="448">
        <f t="shared" si="90"/>
        <v>44996</v>
      </c>
      <c r="E169" s="448">
        <f t="shared" si="73"/>
        <v>45002</v>
      </c>
      <c r="F169" s="79">
        <v>202307</v>
      </c>
      <c r="G169" s="180">
        <f t="shared" si="74"/>
        <v>0</v>
      </c>
      <c r="H169" s="429"/>
      <c r="I169" s="429"/>
      <c r="J169" s="474">
        <f t="shared" si="75"/>
        <v>0</v>
      </c>
      <c r="K169" s="474">
        <f t="shared" si="76"/>
        <v>0</v>
      </c>
      <c r="L169" s="92"/>
      <c r="M169" s="92"/>
      <c r="N169" s="92"/>
      <c r="O169" s="474">
        <f t="shared" si="77"/>
        <v>0</v>
      </c>
      <c r="P169" s="474">
        <f t="shared" si="78"/>
        <v>0</v>
      </c>
      <c r="Q169" s="474">
        <f t="shared" si="79"/>
        <v>0</v>
      </c>
      <c r="R169" s="455">
        <f>Forecast!J164</f>
        <v>0</v>
      </c>
      <c r="S169" s="455">
        <f>Forecast!N164</f>
        <v>0</v>
      </c>
      <c r="T169" s="475">
        <f t="shared" si="80"/>
        <v>0</v>
      </c>
      <c r="U169" s="475">
        <f t="shared" si="81"/>
        <v>0</v>
      </c>
      <c r="V169" s="349">
        <f t="shared" si="82"/>
        <v>0</v>
      </c>
      <c r="W169" s="350">
        <f t="shared" si="83"/>
        <v>0</v>
      </c>
      <c r="X169" s="469">
        <f>'Channel &amp; Campaign Metrics'!AR168</f>
        <v>0</v>
      </c>
      <c r="Y169" s="469">
        <f>'Channel &amp; Campaign Metrics'!BS168</f>
        <v>0</v>
      </c>
      <c r="Z169" s="446"/>
      <c r="AA169" s="112"/>
      <c r="AB169" s="358">
        <f>'Glass Metrics'!AC169</f>
        <v>0</v>
      </c>
      <c r="AC169" s="475">
        <f>'Glass Metrics'!I169</f>
        <v>0</v>
      </c>
      <c r="AD169" s="469">
        <f>'Glass Metrics'!N169</f>
        <v>0</v>
      </c>
      <c r="AE169" s="475">
        <f>'Glass Metrics'!S169</f>
        <v>0</v>
      </c>
      <c r="AF169" s="359" t="str">
        <f t="shared" si="84"/>
        <v/>
      </c>
      <c r="AG169" s="477" t="str">
        <f t="shared" si="85"/>
        <v/>
      </c>
      <c r="AH169" s="472" t="str">
        <f t="shared" si="86"/>
        <v/>
      </c>
      <c r="AI169" s="360" t="str">
        <f t="shared" si="87"/>
        <v/>
      </c>
      <c r="AJ169" s="363" t="str">
        <f t="shared" si="61"/>
        <v/>
      </c>
      <c r="AK169" s="479"/>
      <c r="AL169" s="479"/>
      <c r="AM169" s="429"/>
      <c r="AN169" s="429"/>
      <c r="AO169" s="374" t="str">
        <f t="shared" si="57"/>
        <v/>
      </c>
      <c r="AP169" s="361"/>
      <c r="AQ169" s="493"/>
      <c r="AR169" s="493"/>
      <c r="AS169" s="374">
        <f t="shared" si="91"/>
        <v>0</v>
      </c>
      <c r="AT169" s="125"/>
      <c r="AU169" s="92"/>
      <c r="AV169" s="500">
        <f t="shared" si="88"/>
        <v>0</v>
      </c>
      <c r="AW169" s="455">
        <f t="shared" si="58"/>
        <v>0</v>
      </c>
      <c r="AX169" s="455">
        <f t="shared" si="59"/>
        <v>0</v>
      </c>
      <c r="AY169" s="386">
        <f t="shared" si="60"/>
        <v>0</v>
      </c>
      <c r="AZ169" s="180">
        <f t="shared" si="62"/>
        <v>0</v>
      </c>
      <c r="BA169" s="449">
        <f t="shared" si="63"/>
        <v>0</v>
      </c>
      <c r="BB169" s="429"/>
      <c r="BC169" s="429"/>
      <c r="BD169" s="429"/>
      <c r="BE169" s="429"/>
      <c r="BF169" s="453" t="str">
        <f t="shared" si="64"/>
        <v>-</v>
      </c>
      <c r="BG169" s="453" t="str">
        <f t="shared" si="65"/>
        <v>-</v>
      </c>
      <c r="BH169" s="453" t="str">
        <f t="shared" si="66"/>
        <v>-</v>
      </c>
      <c r="BI169" s="453" t="str">
        <f t="shared" si="67"/>
        <v>-</v>
      </c>
      <c r="BJ169" s="453" t="str">
        <f t="shared" si="68"/>
        <v>-</v>
      </c>
      <c r="BK169" s="390" t="str">
        <f t="shared" si="69"/>
        <v>-</v>
      </c>
      <c r="BL169" s="125"/>
      <c r="BM169" s="92"/>
      <c r="BN169" s="386">
        <f t="shared" si="89"/>
        <v>0</v>
      </c>
    </row>
    <row r="170" spans="1:66" s="89" customFormat="1" ht="16.350000000000001" customHeight="1">
      <c r="A170" s="175">
        <f t="shared" si="71"/>
        <v>2024</v>
      </c>
      <c r="B170" s="454" t="str">
        <f t="shared" si="72"/>
        <v>08</v>
      </c>
      <c r="C170" s="454" t="str">
        <f t="array" ref="C170">_xlfn.IFS(_xlfn.NUMBERVALUE(B170)&lt;=13,"Q1",AND(_xlfn.NUMBERVALUE(B170)&gt;13,_xlfn.NUMBERVALUE(B170)&lt;=26),"Q2", AND(_xlfn.NUMBERVALUE(B170)&gt;26,_xlfn.NUMBERVALUE(B170)&lt;=39),"Q3",_xlfn.NUMBERVALUE(B170)&gt;39,"Q4")</f>
        <v>Q1</v>
      </c>
      <c r="D170" s="448">
        <f t="shared" si="90"/>
        <v>45003</v>
      </c>
      <c r="E170" s="448">
        <f t="shared" si="73"/>
        <v>45009</v>
      </c>
      <c r="F170" s="79">
        <v>202308</v>
      </c>
      <c r="G170" s="180">
        <f t="shared" si="74"/>
        <v>0</v>
      </c>
      <c r="H170" s="429"/>
      <c r="I170" s="429"/>
      <c r="J170" s="474">
        <f t="shared" si="75"/>
        <v>0</v>
      </c>
      <c r="K170" s="474">
        <f t="shared" si="76"/>
        <v>0</v>
      </c>
      <c r="L170" s="92"/>
      <c r="M170" s="92"/>
      <c r="N170" s="92"/>
      <c r="O170" s="474">
        <f t="shared" si="77"/>
        <v>0</v>
      </c>
      <c r="P170" s="474">
        <f t="shared" si="78"/>
        <v>0</v>
      </c>
      <c r="Q170" s="474">
        <f t="shared" si="79"/>
        <v>0</v>
      </c>
      <c r="R170" s="455">
        <f>Forecast!J165</f>
        <v>0</v>
      </c>
      <c r="S170" s="455">
        <f>Forecast!N165</f>
        <v>0</v>
      </c>
      <c r="T170" s="475">
        <f t="shared" si="80"/>
        <v>0</v>
      </c>
      <c r="U170" s="475">
        <f t="shared" si="81"/>
        <v>0</v>
      </c>
      <c r="V170" s="349">
        <f t="shared" si="82"/>
        <v>0</v>
      </c>
      <c r="W170" s="350">
        <f t="shared" si="83"/>
        <v>0</v>
      </c>
      <c r="X170" s="469">
        <f>'Channel &amp; Campaign Metrics'!AR169</f>
        <v>0</v>
      </c>
      <c r="Y170" s="469">
        <f>'Channel &amp; Campaign Metrics'!BS169</f>
        <v>0</v>
      </c>
      <c r="Z170" s="446"/>
      <c r="AA170" s="112"/>
      <c r="AB170" s="358">
        <f>'Glass Metrics'!AC170</f>
        <v>0</v>
      </c>
      <c r="AC170" s="475">
        <f>'Glass Metrics'!I170</f>
        <v>0</v>
      </c>
      <c r="AD170" s="469">
        <f>'Glass Metrics'!N170</f>
        <v>0</v>
      </c>
      <c r="AE170" s="475">
        <f>'Glass Metrics'!S170</f>
        <v>0</v>
      </c>
      <c r="AF170" s="359" t="str">
        <f t="shared" si="84"/>
        <v/>
      </c>
      <c r="AG170" s="477" t="str">
        <f t="shared" si="85"/>
        <v/>
      </c>
      <c r="AH170" s="472" t="str">
        <f t="shared" si="86"/>
        <v/>
      </c>
      <c r="AI170" s="360" t="str">
        <f t="shared" si="87"/>
        <v/>
      </c>
      <c r="AJ170" s="363" t="str">
        <f t="shared" si="61"/>
        <v/>
      </c>
      <c r="AK170" s="479"/>
      <c r="AL170" s="479"/>
      <c r="AM170" s="429"/>
      <c r="AN170" s="429"/>
      <c r="AO170" s="374" t="str">
        <f t="shared" si="57"/>
        <v/>
      </c>
      <c r="AP170" s="361"/>
      <c r="AQ170" s="493"/>
      <c r="AR170" s="493"/>
      <c r="AS170" s="374">
        <f t="shared" si="91"/>
        <v>0</v>
      </c>
      <c r="AT170" s="125"/>
      <c r="AU170" s="92"/>
      <c r="AV170" s="500">
        <f t="shared" si="88"/>
        <v>0</v>
      </c>
      <c r="AW170" s="455">
        <f t="shared" si="58"/>
        <v>0</v>
      </c>
      <c r="AX170" s="455">
        <f t="shared" si="59"/>
        <v>0</v>
      </c>
      <c r="AY170" s="386">
        <f t="shared" si="60"/>
        <v>0</v>
      </c>
      <c r="AZ170" s="180">
        <f t="shared" si="62"/>
        <v>0</v>
      </c>
      <c r="BA170" s="449">
        <f t="shared" si="63"/>
        <v>0</v>
      </c>
      <c r="BB170" s="429"/>
      <c r="BC170" s="429"/>
      <c r="BD170" s="429"/>
      <c r="BE170" s="429"/>
      <c r="BF170" s="453" t="str">
        <f t="shared" si="64"/>
        <v>-</v>
      </c>
      <c r="BG170" s="453" t="str">
        <f t="shared" si="65"/>
        <v>-</v>
      </c>
      <c r="BH170" s="453" t="str">
        <f t="shared" si="66"/>
        <v>-</v>
      </c>
      <c r="BI170" s="453" t="str">
        <f t="shared" si="67"/>
        <v>-</v>
      </c>
      <c r="BJ170" s="453" t="str">
        <f t="shared" si="68"/>
        <v>-</v>
      </c>
      <c r="BK170" s="390" t="str">
        <f t="shared" si="69"/>
        <v>-</v>
      </c>
      <c r="BL170" s="125"/>
      <c r="BM170" s="92"/>
      <c r="BN170" s="386">
        <f t="shared" si="89"/>
        <v>0</v>
      </c>
    </row>
    <row r="171" spans="1:66" s="89" customFormat="1" ht="16.350000000000001" customHeight="1">
      <c r="A171" s="175">
        <f t="shared" si="71"/>
        <v>2024</v>
      </c>
      <c r="B171" s="454" t="str">
        <f t="shared" si="72"/>
        <v>09</v>
      </c>
      <c r="C171" s="454" t="str">
        <f t="array" ref="C171">_xlfn.IFS(_xlfn.NUMBERVALUE(B171)&lt;=13,"Q1",AND(_xlfn.NUMBERVALUE(B171)&gt;13,_xlfn.NUMBERVALUE(B171)&lt;=26),"Q2", AND(_xlfn.NUMBERVALUE(B171)&gt;26,_xlfn.NUMBERVALUE(B171)&lt;=39),"Q3",_xlfn.NUMBERVALUE(B171)&gt;39,"Q4")</f>
        <v>Q1</v>
      </c>
      <c r="D171" s="448">
        <f t="shared" si="90"/>
        <v>45010</v>
      </c>
      <c r="E171" s="448">
        <f t="shared" si="73"/>
        <v>45016</v>
      </c>
      <c r="F171" s="79">
        <v>202309</v>
      </c>
      <c r="G171" s="180">
        <f t="shared" si="74"/>
        <v>0</v>
      </c>
      <c r="H171" s="429"/>
      <c r="I171" s="429"/>
      <c r="J171" s="474">
        <f t="shared" si="75"/>
        <v>0</v>
      </c>
      <c r="K171" s="474">
        <f t="shared" si="76"/>
        <v>0</v>
      </c>
      <c r="L171" s="92"/>
      <c r="M171" s="92"/>
      <c r="N171" s="92"/>
      <c r="O171" s="474">
        <f t="shared" si="77"/>
        <v>0</v>
      </c>
      <c r="P171" s="474">
        <f t="shared" si="78"/>
        <v>0</v>
      </c>
      <c r="Q171" s="474">
        <f t="shared" si="79"/>
        <v>0</v>
      </c>
      <c r="R171" s="455">
        <f>Forecast!J166</f>
        <v>0</v>
      </c>
      <c r="S171" s="455">
        <f>Forecast!N166</f>
        <v>0</v>
      </c>
      <c r="T171" s="475">
        <f t="shared" si="80"/>
        <v>0</v>
      </c>
      <c r="U171" s="475">
        <f t="shared" si="81"/>
        <v>0</v>
      </c>
      <c r="V171" s="349">
        <f t="shared" si="82"/>
        <v>0</v>
      </c>
      <c r="W171" s="350">
        <f t="shared" si="83"/>
        <v>0</v>
      </c>
      <c r="X171" s="469">
        <f>'Channel &amp; Campaign Metrics'!AR170</f>
        <v>0</v>
      </c>
      <c r="Y171" s="469">
        <f>'Channel &amp; Campaign Metrics'!BS170</f>
        <v>0</v>
      </c>
      <c r="Z171" s="446"/>
      <c r="AA171" s="112"/>
      <c r="AB171" s="358">
        <f>'Glass Metrics'!AC171</f>
        <v>0</v>
      </c>
      <c r="AC171" s="475">
        <f>'Glass Metrics'!I171</f>
        <v>0</v>
      </c>
      <c r="AD171" s="469">
        <f>'Glass Metrics'!N171</f>
        <v>0</v>
      </c>
      <c r="AE171" s="475">
        <f>'Glass Metrics'!S171</f>
        <v>0</v>
      </c>
      <c r="AF171" s="359" t="str">
        <f t="shared" si="84"/>
        <v/>
      </c>
      <c r="AG171" s="477" t="str">
        <f t="shared" si="85"/>
        <v/>
      </c>
      <c r="AH171" s="472" t="str">
        <f t="shared" si="86"/>
        <v/>
      </c>
      <c r="AI171" s="360" t="str">
        <f t="shared" si="87"/>
        <v/>
      </c>
      <c r="AJ171" s="363" t="str">
        <f t="shared" si="61"/>
        <v/>
      </c>
      <c r="AK171" s="479"/>
      <c r="AL171" s="479"/>
      <c r="AM171" s="429"/>
      <c r="AN171" s="429"/>
      <c r="AO171" s="374" t="str">
        <f t="shared" si="57"/>
        <v/>
      </c>
      <c r="AP171" s="361"/>
      <c r="AQ171" s="493"/>
      <c r="AR171" s="493"/>
      <c r="AS171" s="374">
        <f t="shared" si="91"/>
        <v>0</v>
      </c>
      <c r="AT171" s="125"/>
      <c r="AU171" s="92"/>
      <c r="AV171" s="500">
        <f t="shared" si="88"/>
        <v>0</v>
      </c>
      <c r="AW171" s="455">
        <f t="shared" si="58"/>
        <v>0</v>
      </c>
      <c r="AX171" s="455">
        <f t="shared" si="59"/>
        <v>0</v>
      </c>
      <c r="AY171" s="386">
        <f t="shared" si="60"/>
        <v>0</v>
      </c>
      <c r="AZ171" s="180">
        <f t="shared" si="62"/>
        <v>0</v>
      </c>
      <c r="BA171" s="449">
        <f t="shared" si="63"/>
        <v>0</v>
      </c>
      <c r="BB171" s="429"/>
      <c r="BC171" s="429"/>
      <c r="BD171" s="429"/>
      <c r="BE171" s="429"/>
      <c r="BF171" s="453" t="str">
        <f t="shared" si="64"/>
        <v>-</v>
      </c>
      <c r="BG171" s="453" t="str">
        <f t="shared" si="65"/>
        <v>-</v>
      </c>
      <c r="BH171" s="453" t="str">
        <f t="shared" si="66"/>
        <v>-</v>
      </c>
      <c r="BI171" s="453" t="str">
        <f t="shared" si="67"/>
        <v>-</v>
      </c>
      <c r="BJ171" s="453" t="str">
        <f t="shared" si="68"/>
        <v>-</v>
      </c>
      <c r="BK171" s="390" t="str">
        <f t="shared" si="69"/>
        <v>-</v>
      </c>
      <c r="BL171" s="125"/>
      <c r="BM171" s="92"/>
      <c r="BN171" s="386">
        <f t="shared" si="89"/>
        <v>0</v>
      </c>
    </row>
    <row r="172" spans="1:66" s="89" customFormat="1" ht="16.350000000000001" customHeight="1">
      <c r="A172" s="175">
        <f t="shared" si="71"/>
        <v>2024</v>
      </c>
      <c r="B172" s="454" t="str">
        <f t="shared" si="72"/>
        <v>10</v>
      </c>
      <c r="C172" s="454" t="str">
        <f t="array" ref="C172">_xlfn.IFS(_xlfn.NUMBERVALUE(B172)&lt;=13,"Q1",AND(_xlfn.NUMBERVALUE(B172)&gt;13,_xlfn.NUMBERVALUE(B172)&lt;=26),"Q2", AND(_xlfn.NUMBERVALUE(B172)&gt;26,_xlfn.NUMBERVALUE(B172)&lt;=39),"Q3",_xlfn.NUMBERVALUE(B172)&gt;39,"Q4")</f>
        <v>Q1</v>
      </c>
      <c r="D172" s="448">
        <f t="shared" si="90"/>
        <v>45017</v>
      </c>
      <c r="E172" s="448">
        <f t="shared" si="73"/>
        <v>45023</v>
      </c>
      <c r="F172" s="79">
        <v>202310</v>
      </c>
      <c r="G172" s="180">
        <f t="shared" si="74"/>
        <v>0</v>
      </c>
      <c r="H172" s="429"/>
      <c r="I172" s="429"/>
      <c r="J172" s="474">
        <f t="shared" si="75"/>
        <v>0</v>
      </c>
      <c r="K172" s="474">
        <f t="shared" si="76"/>
        <v>0</v>
      </c>
      <c r="L172" s="92"/>
      <c r="M172" s="92"/>
      <c r="N172" s="92"/>
      <c r="O172" s="474">
        <f t="shared" si="77"/>
        <v>0</v>
      </c>
      <c r="P172" s="474">
        <f t="shared" si="78"/>
        <v>0</v>
      </c>
      <c r="Q172" s="474">
        <f t="shared" si="79"/>
        <v>0</v>
      </c>
      <c r="R172" s="455">
        <f>Forecast!J167</f>
        <v>0</v>
      </c>
      <c r="S172" s="455">
        <f>Forecast!N167</f>
        <v>0</v>
      </c>
      <c r="T172" s="475">
        <f t="shared" si="80"/>
        <v>0</v>
      </c>
      <c r="U172" s="475">
        <f t="shared" si="81"/>
        <v>0</v>
      </c>
      <c r="V172" s="349">
        <f t="shared" si="82"/>
        <v>0</v>
      </c>
      <c r="W172" s="350">
        <f t="shared" si="83"/>
        <v>0</v>
      </c>
      <c r="X172" s="469">
        <f>'Channel &amp; Campaign Metrics'!AR171</f>
        <v>0</v>
      </c>
      <c r="Y172" s="469">
        <f>'Channel &amp; Campaign Metrics'!BS171</f>
        <v>0</v>
      </c>
      <c r="Z172" s="446"/>
      <c r="AA172" s="112"/>
      <c r="AB172" s="358">
        <f>'Glass Metrics'!AC172</f>
        <v>0</v>
      </c>
      <c r="AC172" s="475">
        <f>'Glass Metrics'!I172</f>
        <v>0</v>
      </c>
      <c r="AD172" s="469">
        <f>'Glass Metrics'!N172</f>
        <v>0</v>
      </c>
      <c r="AE172" s="475">
        <f>'Glass Metrics'!S172</f>
        <v>0</v>
      </c>
      <c r="AF172" s="359" t="str">
        <f t="shared" si="84"/>
        <v/>
      </c>
      <c r="AG172" s="477" t="str">
        <f t="shared" si="85"/>
        <v/>
      </c>
      <c r="AH172" s="472" t="str">
        <f t="shared" si="86"/>
        <v/>
      </c>
      <c r="AI172" s="360" t="str">
        <f t="shared" si="87"/>
        <v/>
      </c>
      <c r="AJ172" s="363" t="str">
        <f t="shared" si="61"/>
        <v/>
      </c>
      <c r="AK172" s="479"/>
      <c r="AL172" s="479"/>
      <c r="AM172" s="429"/>
      <c r="AN172" s="429"/>
      <c r="AO172" s="374" t="str">
        <f t="shared" si="57"/>
        <v/>
      </c>
      <c r="AP172" s="361"/>
      <c r="AQ172" s="493"/>
      <c r="AR172" s="493"/>
      <c r="AS172" s="374">
        <f t="shared" si="91"/>
        <v>0</v>
      </c>
      <c r="AT172" s="125"/>
      <c r="AU172" s="92"/>
      <c r="AV172" s="500">
        <f t="shared" si="88"/>
        <v>0</v>
      </c>
      <c r="AW172" s="455">
        <f t="shared" si="58"/>
        <v>0</v>
      </c>
      <c r="AX172" s="455">
        <f t="shared" si="59"/>
        <v>0</v>
      </c>
      <c r="AY172" s="386">
        <f t="shared" si="60"/>
        <v>0</v>
      </c>
      <c r="AZ172" s="180">
        <f t="shared" si="62"/>
        <v>0</v>
      </c>
      <c r="BA172" s="449">
        <f t="shared" si="63"/>
        <v>0</v>
      </c>
      <c r="BB172" s="429"/>
      <c r="BC172" s="429"/>
      <c r="BD172" s="429"/>
      <c r="BE172" s="429"/>
      <c r="BF172" s="453" t="str">
        <f t="shared" si="64"/>
        <v>-</v>
      </c>
      <c r="BG172" s="453" t="str">
        <f t="shared" si="65"/>
        <v>-</v>
      </c>
      <c r="BH172" s="453" t="str">
        <f t="shared" si="66"/>
        <v>-</v>
      </c>
      <c r="BI172" s="453" t="str">
        <f t="shared" si="67"/>
        <v>-</v>
      </c>
      <c r="BJ172" s="453" t="str">
        <f t="shared" si="68"/>
        <v>-</v>
      </c>
      <c r="BK172" s="390" t="str">
        <f t="shared" si="69"/>
        <v>-</v>
      </c>
      <c r="BL172" s="125"/>
      <c r="BM172" s="92"/>
      <c r="BN172" s="386">
        <f t="shared" si="89"/>
        <v>0</v>
      </c>
    </row>
    <row r="173" spans="1:66" s="89" customFormat="1" ht="16.350000000000001" customHeight="1">
      <c r="A173" s="175">
        <f t="shared" si="71"/>
        <v>2024</v>
      </c>
      <c r="B173" s="454" t="str">
        <f t="shared" si="72"/>
        <v>11</v>
      </c>
      <c r="C173" s="454" t="str">
        <f t="array" ref="C173">_xlfn.IFS(_xlfn.NUMBERVALUE(B173)&lt;=13,"Q1",AND(_xlfn.NUMBERVALUE(B173)&gt;13,_xlfn.NUMBERVALUE(B173)&lt;=26),"Q2", AND(_xlfn.NUMBERVALUE(B173)&gt;26,_xlfn.NUMBERVALUE(B173)&lt;=39),"Q3",_xlfn.NUMBERVALUE(B173)&gt;39,"Q4")</f>
        <v>Q1</v>
      </c>
      <c r="D173" s="448">
        <f t="shared" si="90"/>
        <v>45024</v>
      </c>
      <c r="E173" s="448">
        <f t="shared" si="73"/>
        <v>45030</v>
      </c>
      <c r="F173" s="79">
        <v>202311</v>
      </c>
      <c r="G173" s="180">
        <f t="shared" si="74"/>
        <v>0</v>
      </c>
      <c r="H173" s="429"/>
      <c r="I173" s="429"/>
      <c r="J173" s="474">
        <f t="shared" si="75"/>
        <v>0</v>
      </c>
      <c r="K173" s="474">
        <f t="shared" si="76"/>
        <v>0</v>
      </c>
      <c r="L173" s="92"/>
      <c r="M173" s="92"/>
      <c r="N173" s="92"/>
      <c r="O173" s="474">
        <f t="shared" si="77"/>
        <v>0</v>
      </c>
      <c r="P173" s="474">
        <f t="shared" si="78"/>
        <v>0</v>
      </c>
      <c r="Q173" s="474">
        <f t="shared" si="79"/>
        <v>0</v>
      </c>
      <c r="R173" s="455">
        <f>Forecast!J168</f>
        <v>0</v>
      </c>
      <c r="S173" s="455">
        <f>Forecast!N168</f>
        <v>0</v>
      </c>
      <c r="T173" s="475">
        <f t="shared" si="80"/>
        <v>0</v>
      </c>
      <c r="U173" s="475">
        <f t="shared" si="81"/>
        <v>0</v>
      </c>
      <c r="V173" s="349">
        <f t="shared" si="82"/>
        <v>0</v>
      </c>
      <c r="W173" s="350">
        <f t="shared" si="83"/>
        <v>0</v>
      </c>
      <c r="X173" s="469">
        <f>'Channel &amp; Campaign Metrics'!AR172</f>
        <v>0</v>
      </c>
      <c r="Y173" s="469">
        <f>'Channel &amp; Campaign Metrics'!BS172</f>
        <v>0</v>
      </c>
      <c r="Z173" s="446"/>
      <c r="AA173" s="112"/>
      <c r="AB173" s="358">
        <f>'Glass Metrics'!AC173</f>
        <v>0</v>
      </c>
      <c r="AC173" s="475">
        <f>'Glass Metrics'!I173</f>
        <v>0</v>
      </c>
      <c r="AD173" s="469">
        <f>'Glass Metrics'!N173</f>
        <v>0</v>
      </c>
      <c r="AE173" s="475">
        <f>'Glass Metrics'!S173</f>
        <v>0</v>
      </c>
      <c r="AF173" s="359" t="str">
        <f t="shared" si="84"/>
        <v/>
      </c>
      <c r="AG173" s="477" t="str">
        <f t="shared" si="85"/>
        <v/>
      </c>
      <c r="AH173" s="472" t="str">
        <f t="shared" si="86"/>
        <v/>
      </c>
      <c r="AI173" s="360" t="str">
        <f t="shared" si="87"/>
        <v/>
      </c>
      <c r="AJ173" s="363" t="str">
        <f t="shared" si="61"/>
        <v/>
      </c>
      <c r="AK173" s="479"/>
      <c r="AL173" s="479"/>
      <c r="AM173" s="429"/>
      <c r="AN173" s="429"/>
      <c r="AO173" s="374" t="str">
        <f t="shared" si="57"/>
        <v/>
      </c>
      <c r="AP173" s="361"/>
      <c r="AQ173" s="493"/>
      <c r="AR173" s="493"/>
      <c r="AS173" s="374">
        <f t="shared" si="91"/>
        <v>0</v>
      </c>
      <c r="AT173" s="125"/>
      <c r="AU173" s="92"/>
      <c r="AV173" s="500">
        <f t="shared" si="88"/>
        <v>0</v>
      </c>
      <c r="AW173" s="455">
        <f t="shared" si="58"/>
        <v>0</v>
      </c>
      <c r="AX173" s="455">
        <f t="shared" si="59"/>
        <v>0</v>
      </c>
      <c r="AY173" s="386">
        <f t="shared" si="60"/>
        <v>0</v>
      </c>
      <c r="AZ173" s="180">
        <f t="shared" si="62"/>
        <v>0</v>
      </c>
      <c r="BA173" s="449">
        <f t="shared" si="63"/>
        <v>0</v>
      </c>
      <c r="BB173" s="429"/>
      <c r="BC173" s="429"/>
      <c r="BD173" s="429"/>
      <c r="BE173" s="429"/>
      <c r="BF173" s="453" t="str">
        <f t="shared" si="64"/>
        <v>-</v>
      </c>
      <c r="BG173" s="453" t="str">
        <f t="shared" si="65"/>
        <v>-</v>
      </c>
      <c r="BH173" s="453" t="str">
        <f t="shared" si="66"/>
        <v>-</v>
      </c>
      <c r="BI173" s="453" t="str">
        <f t="shared" si="67"/>
        <v>-</v>
      </c>
      <c r="BJ173" s="453" t="str">
        <f t="shared" si="68"/>
        <v>-</v>
      </c>
      <c r="BK173" s="390" t="str">
        <f t="shared" si="69"/>
        <v>-</v>
      </c>
      <c r="BL173" s="125"/>
      <c r="BM173" s="92"/>
      <c r="BN173" s="386">
        <f t="shared" si="89"/>
        <v>0</v>
      </c>
    </row>
    <row r="174" spans="1:66" s="89" customFormat="1" ht="16.350000000000001" customHeight="1">
      <c r="A174" s="175">
        <f t="shared" si="71"/>
        <v>2024</v>
      </c>
      <c r="B174" s="454" t="str">
        <f t="shared" si="72"/>
        <v>12</v>
      </c>
      <c r="C174" s="454" t="str">
        <f t="array" ref="C174">_xlfn.IFS(_xlfn.NUMBERVALUE(B174)&lt;=13,"Q1",AND(_xlfn.NUMBERVALUE(B174)&gt;13,_xlfn.NUMBERVALUE(B174)&lt;=26),"Q2", AND(_xlfn.NUMBERVALUE(B174)&gt;26,_xlfn.NUMBERVALUE(B174)&lt;=39),"Q3",_xlfn.NUMBERVALUE(B174)&gt;39,"Q4")</f>
        <v>Q1</v>
      </c>
      <c r="D174" s="448">
        <f t="shared" si="90"/>
        <v>45031</v>
      </c>
      <c r="E174" s="448">
        <f t="shared" si="73"/>
        <v>45037</v>
      </c>
      <c r="F174" s="79">
        <v>202312</v>
      </c>
      <c r="G174" s="180">
        <f t="shared" si="74"/>
        <v>0</v>
      </c>
      <c r="H174" s="429"/>
      <c r="I174" s="429"/>
      <c r="J174" s="474">
        <f t="shared" si="75"/>
        <v>0</v>
      </c>
      <c r="K174" s="474">
        <f t="shared" si="76"/>
        <v>0</v>
      </c>
      <c r="L174" s="92"/>
      <c r="M174" s="92"/>
      <c r="N174" s="92"/>
      <c r="O174" s="474">
        <f t="shared" si="77"/>
        <v>0</v>
      </c>
      <c r="P174" s="474">
        <f t="shared" si="78"/>
        <v>0</v>
      </c>
      <c r="Q174" s="474">
        <f t="shared" si="79"/>
        <v>0</v>
      </c>
      <c r="R174" s="455">
        <f>Forecast!J169</f>
        <v>0</v>
      </c>
      <c r="S174" s="455">
        <f>Forecast!N169</f>
        <v>0</v>
      </c>
      <c r="T174" s="475">
        <f t="shared" si="80"/>
        <v>0</v>
      </c>
      <c r="U174" s="475">
        <f t="shared" si="81"/>
        <v>0</v>
      </c>
      <c r="V174" s="349">
        <f t="shared" si="82"/>
        <v>0</v>
      </c>
      <c r="W174" s="350">
        <f t="shared" si="83"/>
        <v>0</v>
      </c>
      <c r="X174" s="469">
        <f>'Channel &amp; Campaign Metrics'!AR173</f>
        <v>0</v>
      </c>
      <c r="Y174" s="469">
        <f>'Channel &amp; Campaign Metrics'!BS173</f>
        <v>0</v>
      </c>
      <c r="Z174" s="446"/>
      <c r="AA174" s="112"/>
      <c r="AB174" s="358">
        <f>'Glass Metrics'!AC174</f>
        <v>0</v>
      </c>
      <c r="AC174" s="475">
        <f>'Glass Metrics'!I174</f>
        <v>0</v>
      </c>
      <c r="AD174" s="469">
        <f>'Glass Metrics'!N174</f>
        <v>0</v>
      </c>
      <c r="AE174" s="475">
        <f>'Glass Metrics'!S174</f>
        <v>0</v>
      </c>
      <c r="AF174" s="359" t="str">
        <f t="shared" si="84"/>
        <v/>
      </c>
      <c r="AG174" s="477" t="str">
        <f t="shared" si="85"/>
        <v/>
      </c>
      <c r="AH174" s="472" t="str">
        <f t="shared" si="86"/>
        <v/>
      </c>
      <c r="AI174" s="360" t="str">
        <f t="shared" si="87"/>
        <v/>
      </c>
      <c r="AJ174" s="363" t="str">
        <f t="shared" si="61"/>
        <v/>
      </c>
      <c r="AK174" s="479"/>
      <c r="AL174" s="479"/>
      <c r="AM174" s="429"/>
      <c r="AN174" s="429"/>
      <c r="AO174" s="374" t="str">
        <f t="shared" si="57"/>
        <v/>
      </c>
      <c r="AP174" s="361"/>
      <c r="AQ174" s="493"/>
      <c r="AR174" s="493"/>
      <c r="AS174" s="374">
        <f t="shared" si="91"/>
        <v>0</v>
      </c>
      <c r="AT174" s="125"/>
      <c r="AU174" s="92"/>
      <c r="AV174" s="500">
        <f t="shared" si="88"/>
        <v>0</v>
      </c>
      <c r="AW174" s="455">
        <f t="shared" si="58"/>
        <v>0</v>
      </c>
      <c r="AX174" s="455">
        <f t="shared" si="59"/>
        <v>0</v>
      </c>
      <c r="AY174" s="386">
        <f t="shared" si="60"/>
        <v>0</v>
      </c>
      <c r="AZ174" s="180">
        <f t="shared" si="62"/>
        <v>0</v>
      </c>
      <c r="BA174" s="449">
        <f t="shared" si="63"/>
        <v>0</v>
      </c>
      <c r="BB174" s="429"/>
      <c r="BC174" s="429"/>
      <c r="BD174" s="429"/>
      <c r="BE174" s="429"/>
      <c r="BF174" s="453" t="str">
        <f t="shared" si="64"/>
        <v>-</v>
      </c>
      <c r="BG174" s="453" t="str">
        <f t="shared" si="65"/>
        <v>-</v>
      </c>
      <c r="BH174" s="453" t="str">
        <f t="shared" si="66"/>
        <v>-</v>
      </c>
      <c r="BI174" s="453" t="str">
        <f t="shared" si="67"/>
        <v>-</v>
      </c>
      <c r="BJ174" s="453" t="str">
        <f t="shared" si="68"/>
        <v>-</v>
      </c>
      <c r="BK174" s="390" t="str">
        <f t="shared" si="69"/>
        <v>-</v>
      </c>
      <c r="BL174" s="125"/>
      <c r="BM174" s="92"/>
      <c r="BN174" s="386">
        <f t="shared" si="89"/>
        <v>0</v>
      </c>
    </row>
    <row r="175" spans="1:66" s="89" customFormat="1" ht="16.350000000000001" customHeight="1">
      <c r="A175" s="175">
        <f t="shared" si="71"/>
        <v>2024</v>
      </c>
      <c r="B175" s="454" t="str">
        <f t="shared" si="72"/>
        <v>13</v>
      </c>
      <c r="C175" s="454" t="str">
        <f t="array" ref="C175">_xlfn.IFS(_xlfn.NUMBERVALUE(B175)&lt;=13,"Q1",AND(_xlfn.NUMBERVALUE(B175)&gt;13,_xlfn.NUMBERVALUE(B175)&lt;=26),"Q2", AND(_xlfn.NUMBERVALUE(B175)&gt;26,_xlfn.NUMBERVALUE(B175)&lt;=39),"Q3",_xlfn.NUMBERVALUE(B175)&gt;39,"Q4")</f>
        <v>Q1</v>
      </c>
      <c r="D175" s="448">
        <f t="shared" si="90"/>
        <v>45038</v>
      </c>
      <c r="E175" s="448">
        <f t="shared" si="73"/>
        <v>45044</v>
      </c>
      <c r="F175" s="79">
        <v>202313</v>
      </c>
      <c r="G175" s="180">
        <f t="shared" si="74"/>
        <v>0</v>
      </c>
      <c r="H175" s="429"/>
      <c r="I175" s="429"/>
      <c r="J175" s="474">
        <f t="shared" si="75"/>
        <v>0</v>
      </c>
      <c r="K175" s="474">
        <f t="shared" si="76"/>
        <v>0</v>
      </c>
      <c r="L175" s="92"/>
      <c r="M175" s="92"/>
      <c r="N175" s="92"/>
      <c r="O175" s="474">
        <f t="shared" si="77"/>
        <v>0</v>
      </c>
      <c r="P175" s="474">
        <f t="shared" si="78"/>
        <v>0</v>
      </c>
      <c r="Q175" s="474">
        <f t="shared" si="79"/>
        <v>0</v>
      </c>
      <c r="R175" s="455">
        <f>Forecast!J170</f>
        <v>0</v>
      </c>
      <c r="S175" s="455">
        <f>Forecast!N170</f>
        <v>0</v>
      </c>
      <c r="T175" s="475">
        <f t="shared" si="80"/>
        <v>0</v>
      </c>
      <c r="U175" s="475">
        <f t="shared" si="81"/>
        <v>0</v>
      </c>
      <c r="V175" s="349">
        <f t="shared" si="82"/>
        <v>0</v>
      </c>
      <c r="W175" s="350">
        <f t="shared" si="83"/>
        <v>0</v>
      </c>
      <c r="X175" s="469">
        <f>'Channel &amp; Campaign Metrics'!AR174</f>
        <v>0</v>
      </c>
      <c r="Y175" s="469">
        <f>'Channel &amp; Campaign Metrics'!BS174</f>
        <v>0</v>
      </c>
      <c r="Z175" s="446"/>
      <c r="AA175" s="112"/>
      <c r="AB175" s="358">
        <f>'Glass Metrics'!AC175</f>
        <v>0</v>
      </c>
      <c r="AC175" s="475">
        <f>'Glass Metrics'!I175</f>
        <v>0</v>
      </c>
      <c r="AD175" s="469">
        <f>'Glass Metrics'!N175</f>
        <v>0</v>
      </c>
      <c r="AE175" s="475">
        <f>'Glass Metrics'!S175</f>
        <v>0</v>
      </c>
      <c r="AF175" s="359" t="str">
        <f t="shared" si="84"/>
        <v/>
      </c>
      <c r="AG175" s="477" t="str">
        <f t="shared" si="85"/>
        <v/>
      </c>
      <c r="AH175" s="472" t="str">
        <f t="shared" si="86"/>
        <v/>
      </c>
      <c r="AI175" s="360" t="str">
        <f t="shared" si="87"/>
        <v/>
      </c>
      <c r="AJ175" s="363" t="str">
        <f t="shared" si="61"/>
        <v/>
      </c>
      <c r="AK175" s="479"/>
      <c r="AL175" s="479"/>
      <c r="AM175" s="429"/>
      <c r="AN175" s="429"/>
      <c r="AO175" s="374" t="str">
        <f t="shared" ref="AO175:AO238" si="92">AJ175</f>
        <v/>
      </c>
      <c r="AP175" s="361"/>
      <c r="AQ175" s="493"/>
      <c r="AR175" s="493"/>
      <c r="AS175" s="374">
        <f t="shared" si="91"/>
        <v>0</v>
      </c>
      <c r="AT175" s="125"/>
      <c r="AU175" s="92"/>
      <c r="AV175" s="500">
        <f t="shared" si="88"/>
        <v>0</v>
      </c>
      <c r="AW175" s="455">
        <f t="shared" ref="AW175:AW238" si="93">BD175-AT175</f>
        <v>0</v>
      </c>
      <c r="AX175" s="455">
        <f t="shared" ref="AX175:AX238" si="94">BE175-AU175</f>
        <v>0</v>
      </c>
      <c r="AY175" s="386">
        <f t="shared" ref="AY175:AY238" si="95">SUM(AW175,AX175)</f>
        <v>0</v>
      </c>
      <c r="AZ175" s="180">
        <f t="shared" si="62"/>
        <v>0</v>
      </c>
      <c r="BA175" s="449">
        <f t="shared" si="63"/>
        <v>0</v>
      </c>
      <c r="BB175" s="429"/>
      <c r="BC175" s="429"/>
      <c r="BD175" s="429"/>
      <c r="BE175" s="429"/>
      <c r="BF175" s="453" t="str">
        <f t="shared" si="64"/>
        <v>-</v>
      </c>
      <c r="BG175" s="453" t="str">
        <f t="shared" si="65"/>
        <v>-</v>
      </c>
      <c r="BH175" s="453" t="str">
        <f t="shared" si="66"/>
        <v>-</v>
      </c>
      <c r="BI175" s="453" t="str">
        <f t="shared" si="67"/>
        <v>-</v>
      </c>
      <c r="BJ175" s="453" t="str">
        <f t="shared" si="68"/>
        <v>-</v>
      </c>
      <c r="BK175" s="390" t="str">
        <f t="shared" si="69"/>
        <v>-</v>
      </c>
      <c r="BL175" s="125"/>
      <c r="BM175" s="92"/>
      <c r="BN175" s="386">
        <f t="shared" si="89"/>
        <v>0</v>
      </c>
    </row>
    <row r="176" spans="1:66" s="89" customFormat="1" ht="16.350000000000001" customHeight="1">
      <c r="A176" s="175">
        <f t="shared" si="71"/>
        <v>2024</v>
      </c>
      <c r="B176" s="454" t="str">
        <f t="shared" si="72"/>
        <v>14</v>
      </c>
      <c r="C176" s="454" t="str">
        <f t="array" ref="C176">_xlfn.IFS(_xlfn.NUMBERVALUE(B176)&lt;=13,"Q1",AND(_xlfn.NUMBERVALUE(B176)&gt;13,_xlfn.NUMBERVALUE(B176)&lt;=26),"Q2", AND(_xlfn.NUMBERVALUE(B176)&gt;26,_xlfn.NUMBERVALUE(B176)&lt;=39),"Q3",_xlfn.NUMBERVALUE(B176)&gt;39,"Q4")</f>
        <v>Q2</v>
      </c>
      <c r="D176" s="448">
        <f t="shared" si="90"/>
        <v>45045</v>
      </c>
      <c r="E176" s="448">
        <f t="shared" si="73"/>
        <v>45051</v>
      </c>
      <c r="F176" s="79">
        <v>202314</v>
      </c>
      <c r="G176" s="180">
        <f t="shared" si="74"/>
        <v>0</v>
      </c>
      <c r="H176" s="429"/>
      <c r="I176" s="429"/>
      <c r="J176" s="474">
        <f t="shared" si="75"/>
        <v>0</v>
      </c>
      <c r="K176" s="474">
        <f t="shared" si="76"/>
        <v>0</v>
      </c>
      <c r="L176" s="92"/>
      <c r="M176" s="92"/>
      <c r="N176" s="92"/>
      <c r="O176" s="474">
        <f t="shared" si="77"/>
        <v>0</v>
      </c>
      <c r="P176" s="474">
        <f t="shared" si="78"/>
        <v>0</v>
      </c>
      <c r="Q176" s="474">
        <f t="shared" si="79"/>
        <v>0</v>
      </c>
      <c r="R176" s="455">
        <f>Forecast!J171</f>
        <v>0</v>
      </c>
      <c r="S176" s="455">
        <f>Forecast!N171</f>
        <v>0</v>
      </c>
      <c r="T176" s="475">
        <f t="shared" si="80"/>
        <v>0</v>
      </c>
      <c r="U176" s="475">
        <f t="shared" si="81"/>
        <v>0</v>
      </c>
      <c r="V176" s="349">
        <f t="shared" si="82"/>
        <v>0</v>
      </c>
      <c r="W176" s="350">
        <f t="shared" si="83"/>
        <v>0</v>
      </c>
      <c r="X176" s="469">
        <f>'Channel &amp; Campaign Metrics'!AR175</f>
        <v>0</v>
      </c>
      <c r="Y176" s="469">
        <f>'Channel &amp; Campaign Metrics'!BS175</f>
        <v>0</v>
      </c>
      <c r="Z176" s="446"/>
      <c r="AA176" s="112"/>
      <c r="AB176" s="358">
        <f>'Glass Metrics'!AC176</f>
        <v>0</v>
      </c>
      <c r="AC176" s="475">
        <f>'Glass Metrics'!I176</f>
        <v>0</v>
      </c>
      <c r="AD176" s="469">
        <f>'Glass Metrics'!N176</f>
        <v>0</v>
      </c>
      <c r="AE176" s="475">
        <f>'Glass Metrics'!S176</f>
        <v>0</v>
      </c>
      <c r="AF176" s="359" t="str">
        <f t="shared" si="84"/>
        <v/>
      </c>
      <c r="AG176" s="477" t="str">
        <f t="shared" si="85"/>
        <v/>
      </c>
      <c r="AH176" s="472" t="str">
        <f t="shared" si="86"/>
        <v/>
      </c>
      <c r="AI176" s="360" t="str">
        <f t="shared" si="87"/>
        <v/>
      </c>
      <c r="AJ176" s="363" t="str">
        <f t="shared" si="61"/>
        <v/>
      </c>
      <c r="AK176" s="479"/>
      <c r="AL176" s="479"/>
      <c r="AM176" s="429"/>
      <c r="AN176" s="429"/>
      <c r="AO176" s="374" t="str">
        <f t="shared" si="92"/>
        <v/>
      </c>
      <c r="AP176" s="361"/>
      <c r="AQ176" s="493"/>
      <c r="AR176" s="493"/>
      <c r="AS176" s="374">
        <f t="shared" si="91"/>
        <v>0</v>
      </c>
      <c r="AT176" s="125"/>
      <c r="AU176" s="92"/>
      <c r="AV176" s="500">
        <f t="shared" si="88"/>
        <v>0</v>
      </c>
      <c r="AW176" s="455">
        <f t="shared" si="93"/>
        <v>0</v>
      </c>
      <c r="AX176" s="455">
        <f t="shared" si="94"/>
        <v>0</v>
      </c>
      <c r="AY176" s="386">
        <f t="shared" si="95"/>
        <v>0</v>
      </c>
      <c r="AZ176" s="180">
        <f t="shared" si="62"/>
        <v>0</v>
      </c>
      <c r="BA176" s="449">
        <f t="shared" si="63"/>
        <v>0</v>
      </c>
      <c r="BB176" s="429"/>
      <c r="BC176" s="429"/>
      <c r="BD176" s="429"/>
      <c r="BE176" s="429"/>
      <c r="BF176" s="453" t="str">
        <f t="shared" si="64"/>
        <v>-</v>
      </c>
      <c r="BG176" s="453" t="str">
        <f t="shared" si="65"/>
        <v>-</v>
      </c>
      <c r="BH176" s="453" t="str">
        <f t="shared" si="66"/>
        <v>-</v>
      </c>
      <c r="BI176" s="453" t="str">
        <f t="shared" si="67"/>
        <v>-</v>
      </c>
      <c r="BJ176" s="453" t="str">
        <f t="shared" si="68"/>
        <v>-</v>
      </c>
      <c r="BK176" s="390" t="str">
        <f t="shared" si="69"/>
        <v>-</v>
      </c>
      <c r="BL176" s="125"/>
      <c r="BM176" s="92"/>
      <c r="BN176" s="386">
        <f t="shared" si="89"/>
        <v>0</v>
      </c>
    </row>
    <row r="177" spans="1:66" s="89" customFormat="1" ht="16.350000000000001" customHeight="1">
      <c r="A177" s="175">
        <f t="shared" si="71"/>
        <v>2024</v>
      </c>
      <c r="B177" s="454" t="str">
        <f t="shared" si="72"/>
        <v>15</v>
      </c>
      <c r="C177" s="454" t="str">
        <f t="array" ref="C177">_xlfn.IFS(_xlfn.NUMBERVALUE(B177)&lt;=13,"Q1",AND(_xlfn.NUMBERVALUE(B177)&gt;13,_xlfn.NUMBERVALUE(B177)&lt;=26),"Q2", AND(_xlfn.NUMBERVALUE(B177)&gt;26,_xlfn.NUMBERVALUE(B177)&lt;=39),"Q3",_xlfn.NUMBERVALUE(B177)&gt;39,"Q4")</f>
        <v>Q2</v>
      </c>
      <c r="D177" s="448">
        <f t="shared" si="90"/>
        <v>45052</v>
      </c>
      <c r="E177" s="448">
        <f t="shared" si="73"/>
        <v>45058</v>
      </c>
      <c r="F177" s="79">
        <v>202315</v>
      </c>
      <c r="G177" s="180">
        <f t="shared" si="74"/>
        <v>0</v>
      </c>
      <c r="H177" s="429"/>
      <c r="I177" s="429"/>
      <c r="J177" s="474">
        <f t="shared" si="75"/>
        <v>0</v>
      </c>
      <c r="K177" s="474">
        <f t="shared" si="76"/>
        <v>0</v>
      </c>
      <c r="L177" s="92"/>
      <c r="M177" s="92"/>
      <c r="N177" s="92"/>
      <c r="O177" s="474">
        <f t="shared" si="77"/>
        <v>0</v>
      </c>
      <c r="P177" s="474">
        <f t="shared" si="78"/>
        <v>0</v>
      </c>
      <c r="Q177" s="474">
        <f t="shared" si="79"/>
        <v>0</v>
      </c>
      <c r="R177" s="455">
        <f>Forecast!J172</f>
        <v>0</v>
      </c>
      <c r="S177" s="455">
        <f>Forecast!N172</f>
        <v>0</v>
      </c>
      <c r="T177" s="475">
        <f t="shared" si="80"/>
        <v>0</v>
      </c>
      <c r="U177" s="475">
        <f t="shared" si="81"/>
        <v>0</v>
      </c>
      <c r="V177" s="349">
        <f t="shared" si="82"/>
        <v>0</v>
      </c>
      <c r="W177" s="350">
        <f t="shared" si="83"/>
        <v>0</v>
      </c>
      <c r="X177" s="469">
        <f>'Channel &amp; Campaign Metrics'!AR176</f>
        <v>0</v>
      </c>
      <c r="Y177" s="469">
        <f>'Channel &amp; Campaign Metrics'!BS176</f>
        <v>0</v>
      </c>
      <c r="Z177" s="446"/>
      <c r="AA177" s="112"/>
      <c r="AB177" s="358">
        <f>'Glass Metrics'!AC177</f>
        <v>0</v>
      </c>
      <c r="AC177" s="475">
        <f>'Glass Metrics'!I177</f>
        <v>0</v>
      </c>
      <c r="AD177" s="469">
        <f>'Glass Metrics'!N177</f>
        <v>0</v>
      </c>
      <c r="AE177" s="475">
        <f>'Glass Metrics'!S177</f>
        <v>0</v>
      </c>
      <c r="AF177" s="359" t="str">
        <f t="shared" si="84"/>
        <v/>
      </c>
      <c r="AG177" s="477" t="str">
        <f t="shared" si="85"/>
        <v/>
      </c>
      <c r="AH177" s="472" t="str">
        <f t="shared" si="86"/>
        <v/>
      </c>
      <c r="AI177" s="360" t="str">
        <f t="shared" si="87"/>
        <v/>
      </c>
      <c r="AJ177" s="363" t="str">
        <f t="shared" si="61"/>
        <v/>
      </c>
      <c r="AK177" s="479"/>
      <c r="AL177" s="479"/>
      <c r="AM177" s="429"/>
      <c r="AN177" s="429"/>
      <c r="AO177" s="374" t="str">
        <f t="shared" si="92"/>
        <v/>
      </c>
      <c r="AP177" s="361"/>
      <c r="AQ177" s="493"/>
      <c r="AR177" s="493"/>
      <c r="AS177" s="374">
        <f t="shared" ref="AS177:AS208" si="96">AP177</f>
        <v>0</v>
      </c>
      <c r="AT177" s="125"/>
      <c r="AU177" s="92"/>
      <c r="AV177" s="500">
        <f t="shared" si="88"/>
        <v>0</v>
      </c>
      <c r="AW177" s="455">
        <f t="shared" si="93"/>
        <v>0</v>
      </c>
      <c r="AX177" s="455">
        <f t="shared" si="94"/>
        <v>0</v>
      </c>
      <c r="AY177" s="386">
        <f t="shared" si="95"/>
        <v>0</v>
      </c>
      <c r="AZ177" s="180">
        <f t="shared" si="62"/>
        <v>0</v>
      </c>
      <c r="BA177" s="449">
        <f t="shared" si="63"/>
        <v>0</v>
      </c>
      <c r="BB177" s="429"/>
      <c r="BC177" s="429"/>
      <c r="BD177" s="429"/>
      <c r="BE177" s="429"/>
      <c r="BF177" s="453" t="str">
        <f t="shared" si="64"/>
        <v>-</v>
      </c>
      <c r="BG177" s="453" t="str">
        <f t="shared" si="65"/>
        <v>-</v>
      </c>
      <c r="BH177" s="453" t="str">
        <f t="shared" si="66"/>
        <v>-</v>
      </c>
      <c r="BI177" s="453" t="str">
        <f t="shared" si="67"/>
        <v>-</v>
      </c>
      <c r="BJ177" s="453" t="str">
        <f t="shared" si="68"/>
        <v>-</v>
      </c>
      <c r="BK177" s="390" t="str">
        <f t="shared" si="69"/>
        <v>-</v>
      </c>
      <c r="BL177" s="125"/>
      <c r="BM177" s="92"/>
      <c r="BN177" s="386">
        <f t="shared" si="89"/>
        <v>0</v>
      </c>
    </row>
    <row r="178" spans="1:66" s="89" customFormat="1" ht="16.350000000000001" customHeight="1">
      <c r="A178" s="175">
        <f t="shared" si="71"/>
        <v>2024</v>
      </c>
      <c r="B178" s="454" t="str">
        <f t="shared" si="72"/>
        <v>16</v>
      </c>
      <c r="C178" s="454" t="str">
        <f t="array" ref="C178">_xlfn.IFS(_xlfn.NUMBERVALUE(B178)&lt;=13,"Q1",AND(_xlfn.NUMBERVALUE(B178)&gt;13,_xlfn.NUMBERVALUE(B178)&lt;=26),"Q2", AND(_xlfn.NUMBERVALUE(B178)&gt;26,_xlfn.NUMBERVALUE(B178)&lt;=39),"Q3",_xlfn.NUMBERVALUE(B178)&gt;39,"Q4")</f>
        <v>Q2</v>
      </c>
      <c r="D178" s="448">
        <f t="shared" si="90"/>
        <v>45059</v>
      </c>
      <c r="E178" s="448">
        <f t="shared" si="73"/>
        <v>45065</v>
      </c>
      <c r="F178" s="79">
        <v>202316</v>
      </c>
      <c r="G178" s="180">
        <f t="shared" si="74"/>
        <v>0</v>
      </c>
      <c r="H178" s="429"/>
      <c r="I178" s="429"/>
      <c r="J178" s="474">
        <f t="shared" si="75"/>
        <v>0</v>
      </c>
      <c r="K178" s="474">
        <f t="shared" si="76"/>
        <v>0</v>
      </c>
      <c r="L178" s="92"/>
      <c r="M178" s="92"/>
      <c r="N178" s="92"/>
      <c r="O178" s="474">
        <f t="shared" si="77"/>
        <v>0</v>
      </c>
      <c r="P178" s="474">
        <f t="shared" si="78"/>
        <v>0</v>
      </c>
      <c r="Q178" s="474">
        <f t="shared" si="79"/>
        <v>0</v>
      </c>
      <c r="R178" s="455">
        <f>Forecast!J173</f>
        <v>0</v>
      </c>
      <c r="S178" s="455">
        <f>Forecast!N173</f>
        <v>0</v>
      </c>
      <c r="T178" s="475">
        <f t="shared" si="80"/>
        <v>0</v>
      </c>
      <c r="U178" s="475">
        <f t="shared" si="81"/>
        <v>0</v>
      </c>
      <c r="V178" s="349">
        <f t="shared" si="82"/>
        <v>0</v>
      </c>
      <c r="W178" s="350">
        <f t="shared" si="83"/>
        <v>0</v>
      </c>
      <c r="X178" s="469">
        <f>'Channel &amp; Campaign Metrics'!AR177</f>
        <v>0</v>
      </c>
      <c r="Y178" s="469">
        <f>'Channel &amp; Campaign Metrics'!BS177</f>
        <v>0</v>
      </c>
      <c r="Z178" s="446"/>
      <c r="AA178" s="112"/>
      <c r="AB178" s="358">
        <f>'Glass Metrics'!AC178</f>
        <v>0</v>
      </c>
      <c r="AC178" s="475">
        <f>'Glass Metrics'!I178</f>
        <v>0</v>
      </c>
      <c r="AD178" s="469">
        <f>'Glass Metrics'!N178</f>
        <v>0</v>
      </c>
      <c r="AE178" s="475">
        <f>'Glass Metrics'!S178</f>
        <v>0</v>
      </c>
      <c r="AF178" s="359" t="str">
        <f t="shared" si="84"/>
        <v/>
      </c>
      <c r="AG178" s="477" t="str">
        <f t="shared" si="85"/>
        <v/>
      </c>
      <c r="AH178" s="472" t="str">
        <f t="shared" si="86"/>
        <v/>
      </c>
      <c r="AI178" s="360" t="str">
        <f t="shared" si="87"/>
        <v/>
      </c>
      <c r="AJ178" s="363" t="str">
        <f t="shared" si="61"/>
        <v/>
      </c>
      <c r="AK178" s="479"/>
      <c r="AL178" s="479"/>
      <c r="AM178" s="429"/>
      <c r="AN178" s="429"/>
      <c r="AO178" s="374" t="str">
        <f t="shared" si="92"/>
        <v/>
      </c>
      <c r="AP178" s="361"/>
      <c r="AQ178" s="493"/>
      <c r="AR178" s="493"/>
      <c r="AS178" s="374">
        <f t="shared" si="96"/>
        <v>0</v>
      </c>
      <c r="AT178" s="125"/>
      <c r="AU178" s="92"/>
      <c r="AV178" s="500">
        <f t="shared" si="88"/>
        <v>0</v>
      </c>
      <c r="AW178" s="455">
        <f t="shared" si="93"/>
        <v>0</v>
      </c>
      <c r="AX178" s="455">
        <f t="shared" si="94"/>
        <v>0</v>
      </c>
      <c r="AY178" s="386">
        <f t="shared" si="95"/>
        <v>0</v>
      </c>
      <c r="AZ178" s="180">
        <f t="shared" si="62"/>
        <v>0</v>
      </c>
      <c r="BA178" s="449">
        <f t="shared" si="63"/>
        <v>0</v>
      </c>
      <c r="BB178" s="429"/>
      <c r="BC178" s="429"/>
      <c r="BD178" s="429"/>
      <c r="BE178" s="429"/>
      <c r="BF178" s="453" t="str">
        <f t="shared" si="64"/>
        <v>-</v>
      </c>
      <c r="BG178" s="453" t="str">
        <f t="shared" si="65"/>
        <v>-</v>
      </c>
      <c r="BH178" s="453" t="str">
        <f t="shared" si="66"/>
        <v>-</v>
      </c>
      <c r="BI178" s="453" t="str">
        <f t="shared" si="67"/>
        <v>-</v>
      </c>
      <c r="BJ178" s="453" t="str">
        <f t="shared" si="68"/>
        <v>-</v>
      </c>
      <c r="BK178" s="390" t="str">
        <f t="shared" si="69"/>
        <v>-</v>
      </c>
      <c r="BL178" s="125"/>
      <c r="BM178" s="92"/>
      <c r="BN178" s="386">
        <f t="shared" si="89"/>
        <v>0</v>
      </c>
    </row>
    <row r="179" spans="1:66" s="89" customFormat="1" ht="16.350000000000001" customHeight="1">
      <c r="A179" s="175">
        <f t="shared" si="71"/>
        <v>2024</v>
      </c>
      <c r="B179" s="454" t="str">
        <f t="shared" si="72"/>
        <v>17</v>
      </c>
      <c r="C179" s="454" t="str">
        <f t="array" ref="C179">_xlfn.IFS(_xlfn.NUMBERVALUE(B179)&lt;=13,"Q1",AND(_xlfn.NUMBERVALUE(B179)&gt;13,_xlfn.NUMBERVALUE(B179)&lt;=26),"Q2", AND(_xlfn.NUMBERVALUE(B179)&gt;26,_xlfn.NUMBERVALUE(B179)&lt;=39),"Q3",_xlfn.NUMBERVALUE(B179)&gt;39,"Q4")</f>
        <v>Q2</v>
      </c>
      <c r="D179" s="448">
        <f t="shared" si="90"/>
        <v>45066</v>
      </c>
      <c r="E179" s="448">
        <f t="shared" si="73"/>
        <v>45072</v>
      </c>
      <c r="F179" s="79">
        <v>202317</v>
      </c>
      <c r="G179" s="180">
        <f t="shared" si="74"/>
        <v>0</v>
      </c>
      <c r="H179" s="429"/>
      <c r="I179" s="429"/>
      <c r="J179" s="474">
        <f t="shared" si="75"/>
        <v>0</v>
      </c>
      <c r="K179" s="474">
        <f t="shared" si="76"/>
        <v>0</v>
      </c>
      <c r="L179" s="92"/>
      <c r="M179" s="92"/>
      <c r="N179" s="92"/>
      <c r="O179" s="474">
        <f t="shared" si="77"/>
        <v>0</v>
      </c>
      <c r="P179" s="474">
        <f t="shared" si="78"/>
        <v>0</v>
      </c>
      <c r="Q179" s="474">
        <f t="shared" si="79"/>
        <v>0</v>
      </c>
      <c r="R179" s="455">
        <f>Forecast!J174</f>
        <v>0</v>
      </c>
      <c r="S179" s="455">
        <f>Forecast!N174</f>
        <v>0</v>
      </c>
      <c r="T179" s="475">
        <f t="shared" si="80"/>
        <v>0</v>
      </c>
      <c r="U179" s="475">
        <f t="shared" si="81"/>
        <v>0</v>
      </c>
      <c r="V179" s="349">
        <f t="shared" si="82"/>
        <v>0</v>
      </c>
      <c r="W179" s="350">
        <f t="shared" si="83"/>
        <v>0</v>
      </c>
      <c r="X179" s="469">
        <f>'Channel &amp; Campaign Metrics'!AR178</f>
        <v>0</v>
      </c>
      <c r="Y179" s="469">
        <f>'Channel &amp; Campaign Metrics'!BS178</f>
        <v>0</v>
      </c>
      <c r="Z179" s="473"/>
      <c r="AA179" s="113"/>
      <c r="AB179" s="358">
        <f>'Glass Metrics'!AC179</f>
        <v>0</v>
      </c>
      <c r="AC179" s="475">
        <f>'Glass Metrics'!I179</f>
        <v>0</v>
      </c>
      <c r="AD179" s="469">
        <f>'Glass Metrics'!N179</f>
        <v>0</v>
      </c>
      <c r="AE179" s="475">
        <f>'Glass Metrics'!S179</f>
        <v>0</v>
      </c>
      <c r="AF179" s="359" t="str">
        <f t="shared" si="84"/>
        <v/>
      </c>
      <c r="AG179" s="477" t="str">
        <f t="shared" si="85"/>
        <v/>
      </c>
      <c r="AH179" s="472" t="str">
        <f t="shared" si="86"/>
        <v/>
      </c>
      <c r="AI179" s="360" t="str">
        <f t="shared" si="87"/>
        <v/>
      </c>
      <c r="AJ179" s="364" t="str">
        <f t="shared" si="61"/>
        <v/>
      </c>
      <c r="AK179" s="507"/>
      <c r="AL179" s="507"/>
      <c r="AM179" s="464"/>
      <c r="AN179" s="464"/>
      <c r="AO179" s="374" t="str">
        <f t="shared" si="92"/>
        <v/>
      </c>
      <c r="AP179" s="361"/>
      <c r="AQ179" s="493"/>
      <c r="AR179" s="493"/>
      <c r="AS179" s="377">
        <f t="shared" si="96"/>
        <v>0</v>
      </c>
      <c r="AT179" s="125"/>
      <c r="AU179" s="92"/>
      <c r="AV179" s="500">
        <f t="shared" si="88"/>
        <v>0</v>
      </c>
      <c r="AW179" s="455">
        <f t="shared" si="93"/>
        <v>0</v>
      </c>
      <c r="AX179" s="455">
        <f t="shared" si="94"/>
        <v>0</v>
      </c>
      <c r="AY179" s="386">
        <f t="shared" si="95"/>
        <v>0</v>
      </c>
      <c r="AZ179" s="180">
        <f t="shared" si="62"/>
        <v>0</v>
      </c>
      <c r="BA179" s="449">
        <f t="shared" si="63"/>
        <v>0</v>
      </c>
      <c r="BB179" s="429"/>
      <c r="BC179" s="429"/>
      <c r="BD179" s="429"/>
      <c r="BE179" s="429"/>
      <c r="BF179" s="453" t="str">
        <f t="shared" si="64"/>
        <v>-</v>
      </c>
      <c r="BG179" s="453" t="str">
        <f t="shared" si="65"/>
        <v>-</v>
      </c>
      <c r="BH179" s="453" t="str">
        <f t="shared" si="66"/>
        <v>-</v>
      </c>
      <c r="BI179" s="453" t="str">
        <f t="shared" si="67"/>
        <v>-</v>
      </c>
      <c r="BJ179" s="453" t="str">
        <f t="shared" si="68"/>
        <v>-</v>
      </c>
      <c r="BK179" s="390" t="str">
        <f t="shared" si="69"/>
        <v>-</v>
      </c>
      <c r="BL179" s="125"/>
      <c r="BM179" s="92"/>
      <c r="BN179" s="386">
        <f t="shared" si="89"/>
        <v>0</v>
      </c>
    </row>
    <row r="180" spans="1:66" s="89" customFormat="1" ht="16.350000000000001" customHeight="1">
      <c r="A180" s="175">
        <f t="shared" si="71"/>
        <v>2024</v>
      </c>
      <c r="B180" s="454" t="str">
        <f t="shared" si="72"/>
        <v>18</v>
      </c>
      <c r="C180" s="454" t="str">
        <f t="array" ref="C180">_xlfn.IFS(_xlfn.NUMBERVALUE(B180)&lt;=13,"Q1",AND(_xlfn.NUMBERVALUE(B180)&gt;13,_xlfn.NUMBERVALUE(B180)&lt;=26),"Q2", AND(_xlfn.NUMBERVALUE(B180)&gt;26,_xlfn.NUMBERVALUE(B180)&lt;=39),"Q3",_xlfn.NUMBERVALUE(B180)&gt;39,"Q4")</f>
        <v>Q2</v>
      </c>
      <c r="D180" s="448">
        <f t="shared" si="90"/>
        <v>45073</v>
      </c>
      <c r="E180" s="448">
        <f t="shared" si="73"/>
        <v>45079</v>
      </c>
      <c r="F180" s="79">
        <v>202318</v>
      </c>
      <c r="G180" s="180">
        <f t="shared" si="74"/>
        <v>0</v>
      </c>
      <c r="H180" s="429"/>
      <c r="I180" s="429"/>
      <c r="J180" s="474">
        <f t="shared" si="75"/>
        <v>0</v>
      </c>
      <c r="K180" s="474">
        <f t="shared" si="76"/>
        <v>0</v>
      </c>
      <c r="L180" s="92"/>
      <c r="M180" s="92"/>
      <c r="N180" s="92"/>
      <c r="O180" s="474">
        <f t="shared" si="77"/>
        <v>0</v>
      </c>
      <c r="P180" s="474">
        <f t="shared" si="78"/>
        <v>0</v>
      </c>
      <c r="Q180" s="474">
        <f t="shared" si="79"/>
        <v>0</v>
      </c>
      <c r="R180" s="455">
        <f>Forecast!J175</f>
        <v>0</v>
      </c>
      <c r="S180" s="455">
        <f>Forecast!N175</f>
        <v>0</v>
      </c>
      <c r="T180" s="475">
        <f t="shared" si="80"/>
        <v>0</v>
      </c>
      <c r="U180" s="475">
        <f t="shared" si="81"/>
        <v>0</v>
      </c>
      <c r="V180" s="349">
        <f t="shared" si="82"/>
        <v>0</v>
      </c>
      <c r="W180" s="350">
        <f t="shared" si="83"/>
        <v>0</v>
      </c>
      <c r="X180" s="469">
        <f>'Channel &amp; Campaign Metrics'!AR179</f>
        <v>0</v>
      </c>
      <c r="Y180" s="469">
        <f>'Channel &amp; Campaign Metrics'!BS179</f>
        <v>0</v>
      </c>
      <c r="Z180" s="446"/>
      <c r="AA180" s="112"/>
      <c r="AB180" s="358">
        <f>'Glass Metrics'!AC180</f>
        <v>0</v>
      </c>
      <c r="AC180" s="475">
        <f>'Glass Metrics'!I180</f>
        <v>0</v>
      </c>
      <c r="AD180" s="469">
        <f>'Glass Metrics'!N180</f>
        <v>0</v>
      </c>
      <c r="AE180" s="475">
        <f>'Glass Metrics'!S180</f>
        <v>0</v>
      </c>
      <c r="AF180" s="359" t="str">
        <f t="shared" si="84"/>
        <v/>
      </c>
      <c r="AG180" s="477" t="str">
        <f t="shared" si="85"/>
        <v/>
      </c>
      <c r="AH180" s="472" t="str">
        <f t="shared" si="86"/>
        <v/>
      </c>
      <c r="AI180" s="360" t="str">
        <f t="shared" si="87"/>
        <v/>
      </c>
      <c r="AJ180" s="363" t="str">
        <f t="shared" si="61"/>
        <v/>
      </c>
      <c r="AK180" s="479"/>
      <c r="AL180" s="479"/>
      <c r="AM180" s="429"/>
      <c r="AN180" s="429"/>
      <c r="AO180" s="374" t="str">
        <f t="shared" si="92"/>
        <v/>
      </c>
      <c r="AP180" s="361"/>
      <c r="AQ180" s="493"/>
      <c r="AR180" s="493"/>
      <c r="AS180" s="374">
        <f t="shared" si="96"/>
        <v>0</v>
      </c>
      <c r="AT180" s="125"/>
      <c r="AU180" s="92"/>
      <c r="AV180" s="500">
        <f t="shared" si="88"/>
        <v>0</v>
      </c>
      <c r="AW180" s="455">
        <f t="shared" si="93"/>
        <v>0</v>
      </c>
      <c r="AX180" s="455">
        <f t="shared" si="94"/>
        <v>0</v>
      </c>
      <c r="AY180" s="386">
        <f t="shared" si="95"/>
        <v>0</v>
      </c>
      <c r="AZ180" s="180">
        <f t="shared" si="62"/>
        <v>0</v>
      </c>
      <c r="BA180" s="449">
        <f t="shared" si="63"/>
        <v>0</v>
      </c>
      <c r="BB180" s="429"/>
      <c r="BC180" s="429"/>
      <c r="BD180" s="429"/>
      <c r="BE180" s="429"/>
      <c r="BF180" s="453" t="str">
        <f t="shared" si="64"/>
        <v>-</v>
      </c>
      <c r="BG180" s="453" t="str">
        <f t="shared" si="65"/>
        <v>-</v>
      </c>
      <c r="BH180" s="453" t="str">
        <f t="shared" si="66"/>
        <v>-</v>
      </c>
      <c r="BI180" s="453" t="str">
        <f t="shared" si="67"/>
        <v>-</v>
      </c>
      <c r="BJ180" s="453" t="str">
        <f t="shared" si="68"/>
        <v>-</v>
      </c>
      <c r="BK180" s="390" t="str">
        <f t="shared" si="69"/>
        <v>-</v>
      </c>
      <c r="BL180" s="125"/>
      <c r="BM180" s="92"/>
      <c r="BN180" s="386">
        <f t="shared" si="89"/>
        <v>0</v>
      </c>
    </row>
    <row r="181" spans="1:66" s="89" customFormat="1" ht="16.350000000000001" customHeight="1">
      <c r="A181" s="175">
        <f t="shared" si="71"/>
        <v>2024</v>
      </c>
      <c r="B181" s="454" t="str">
        <f t="shared" si="72"/>
        <v>19</v>
      </c>
      <c r="C181" s="454" t="str">
        <f t="array" ref="C181">_xlfn.IFS(_xlfn.NUMBERVALUE(B181)&lt;=13,"Q1",AND(_xlfn.NUMBERVALUE(B181)&gt;13,_xlfn.NUMBERVALUE(B181)&lt;=26),"Q2", AND(_xlfn.NUMBERVALUE(B181)&gt;26,_xlfn.NUMBERVALUE(B181)&lt;=39),"Q3",_xlfn.NUMBERVALUE(B181)&gt;39,"Q4")</f>
        <v>Q2</v>
      </c>
      <c r="D181" s="448">
        <f t="shared" si="90"/>
        <v>45080</v>
      </c>
      <c r="E181" s="448">
        <f t="shared" si="73"/>
        <v>45086</v>
      </c>
      <c r="F181" s="79">
        <v>202319</v>
      </c>
      <c r="G181" s="180">
        <f t="shared" si="74"/>
        <v>0</v>
      </c>
      <c r="H181" s="429"/>
      <c r="I181" s="429"/>
      <c r="J181" s="474">
        <f t="shared" si="75"/>
        <v>0</v>
      </c>
      <c r="K181" s="474">
        <f t="shared" si="76"/>
        <v>0</v>
      </c>
      <c r="L181" s="92"/>
      <c r="M181" s="92"/>
      <c r="N181" s="92"/>
      <c r="O181" s="474">
        <f t="shared" si="77"/>
        <v>0</v>
      </c>
      <c r="P181" s="474">
        <f t="shared" si="78"/>
        <v>0</v>
      </c>
      <c r="Q181" s="474">
        <f t="shared" si="79"/>
        <v>0</v>
      </c>
      <c r="R181" s="455">
        <f>Forecast!J176</f>
        <v>0</v>
      </c>
      <c r="S181" s="455">
        <f>Forecast!N176</f>
        <v>0</v>
      </c>
      <c r="T181" s="475">
        <f t="shared" si="80"/>
        <v>0</v>
      </c>
      <c r="U181" s="475">
        <f t="shared" si="81"/>
        <v>0</v>
      </c>
      <c r="V181" s="349">
        <f t="shared" si="82"/>
        <v>0</v>
      </c>
      <c r="W181" s="350">
        <f t="shared" si="83"/>
        <v>0</v>
      </c>
      <c r="X181" s="469">
        <f>'Channel &amp; Campaign Metrics'!AR180</f>
        <v>0</v>
      </c>
      <c r="Y181" s="469">
        <f>'Channel &amp; Campaign Metrics'!BS180</f>
        <v>0</v>
      </c>
      <c r="Z181" s="446"/>
      <c r="AA181" s="112"/>
      <c r="AB181" s="358">
        <f>'Glass Metrics'!AC181</f>
        <v>0</v>
      </c>
      <c r="AC181" s="475">
        <f>'Glass Metrics'!I181</f>
        <v>0</v>
      </c>
      <c r="AD181" s="469">
        <f>'Glass Metrics'!N181</f>
        <v>0</v>
      </c>
      <c r="AE181" s="475">
        <f>'Glass Metrics'!S181</f>
        <v>0</v>
      </c>
      <c r="AF181" s="359" t="str">
        <f t="shared" si="84"/>
        <v/>
      </c>
      <c r="AG181" s="477" t="str">
        <f t="shared" si="85"/>
        <v/>
      </c>
      <c r="AH181" s="472" t="str">
        <f t="shared" si="86"/>
        <v/>
      </c>
      <c r="AI181" s="360" t="str">
        <f t="shared" si="87"/>
        <v/>
      </c>
      <c r="AJ181" s="363" t="str">
        <f t="shared" si="61"/>
        <v/>
      </c>
      <c r="AK181" s="479"/>
      <c r="AL181" s="479"/>
      <c r="AM181" s="429"/>
      <c r="AN181" s="429"/>
      <c r="AO181" s="374" t="str">
        <f t="shared" si="92"/>
        <v/>
      </c>
      <c r="AP181" s="361"/>
      <c r="AQ181" s="493"/>
      <c r="AR181" s="493"/>
      <c r="AS181" s="374">
        <f t="shared" si="96"/>
        <v>0</v>
      </c>
      <c r="AT181" s="125"/>
      <c r="AU181" s="92"/>
      <c r="AV181" s="500">
        <f t="shared" si="88"/>
        <v>0</v>
      </c>
      <c r="AW181" s="455">
        <f t="shared" si="93"/>
        <v>0</v>
      </c>
      <c r="AX181" s="455">
        <f t="shared" si="94"/>
        <v>0</v>
      </c>
      <c r="AY181" s="386">
        <f t="shared" si="95"/>
        <v>0</v>
      </c>
      <c r="AZ181" s="180">
        <f t="shared" si="62"/>
        <v>0</v>
      </c>
      <c r="BA181" s="449">
        <f t="shared" si="63"/>
        <v>0</v>
      </c>
      <c r="BB181" s="429"/>
      <c r="BC181" s="429"/>
      <c r="BD181" s="429"/>
      <c r="BE181" s="429"/>
      <c r="BF181" s="453" t="str">
        <f t="shared" si="64"/>
        <v>-</v>
      </c>
      <c r="BG181" s="453" t="str">
        <f t="shared" si="65"/>
        <v>-</v>
      </c>
      <c r="BH181" s="453" t="str">
        <f t="shared" si="66"/>
        <v>-</v>
      </c>
      <c r="BI181" s="453" t="str">
        <f t="shared" si="67"/>
        <v>-</v>
      </c>
      <c r="BJ181" s="453" t="str">
        <f t="shared" si="68"/>
        <v>-</v>
      </c>
      <c r="BK181" s="390" t="str">
        <f t="shared" si="69"/>
        <v>-</v>
      </c>
      <c r="BL181" s="125"/>
      <c r="BM181" s="92"/>
      <c r="BN181" s="386">
        <f t="shared" si="89"/>
        <v>0</v>
      </c>
    </row>
    <row r="182" spans="1:66" s="89" customFormat="1" ht="16.350000000000001" customHeight="1">
      <c r="A182" s="175">
        <f t="shared" si="71"/>
        <v>2024</v>
      </c>
      <c r="B182" s="454" t="str">
        <f t="shared" si="72"/>
        <v>20</v>
      </c>
      <c r="C182" s="454" t="str">
        <f t="array" ref="C182">_xlfn.IFS(_xlfn.NUMBERVALUE(B182)&lt;=13,"Q1",AND(_xlfn.NUMBERVALUE(B182)&gt;13,_xlfn.NUMBERVALUE(B182)&lt;=26),"Q2", AND(_xlfn.NUMBERVALUE(B182)&gt;26,_xlfn.NUMBERVALUE(B182)&lt;=39),"Q3",_xlfn.NUMBERVALUE(B182)&gt;39,"Q4")</f>
        <v>Q2</v>
      </c>
      <c r="D182" s="448">
        <f t="shared" si="90"/>
        <v>45087</v>
      </c>
      <c r="E182" s="448">
        <f t="shared" si="73"/>
        <v>45093</v>
      </c>
      <c r="F182" s="79">
        <v>202320</v>
      </c>
      <c r="G182" s="180">
        <f t="shared" si="74"/>
        <v>0</v>
      </c>
      <c r="H182" s="429"/>
      <c r="I182" s="429"/>
      <c r="J182" s="474">
        <f t="shared" si="75"/>
        <v>0</v>
      </c>
      <c r="K182" s="474">
        <f t="shared" si="76"/>
        <v>0</v>
      </c>
      <c r="L182" s="92"/>
      <c r="M182" s="92"/>
      <c r="N182" s="92"/>
      <c r="O182" s="474">
        <f t="shared" si="77"/>
        <v>0</v>
      </c>
      <c r="P182" s="474">
        <f t="shared" si="78"/>
        <v>0</v>
      </c>
      <c r="Q182" s="474">
        <f t="shared" si="79"/>
        <v>0</v>
      </c>
      <c r="R182" s="455">
        <f>Forecast!J177</f>
        <v>0</v>
      </c>
      <c r="S182" s="455">
        <f>Forecast!N177</f>
        <v>0</v>
      </c>
      <c r="T182" s="475">
        <f t="shared" si="80"/>
        <v>0</v>
      </c>
      <c r="U182" s="475">
        <f t="shared" si="81"/>
        <v>0</v>
      </c>
      <c r="V182" s="349">
        <f t="shared" si="82"/>
        <v>0</v>
      </c>
      <c r="W182" s="350">
        <f t="shared" si="83"/>
        <v>0</v>
      </c>
      <c r="X182" s="469">
        <f>'Channel &amp; Campaign Metrics'!AR181</f>
        <v>0</v>
      </c>
      <c r="Y182" s="469">
        <f>'Channel &amp; Campaign Metrics'!BS181</f>
        <v>0</v>
      </c>
      <c r="Z182" s="446"/>
      <c r="AA182" s="112"/>
      <c r="AB182" s="358">
        <f>'Glass Metrics'!AC182</f>
        <v>0</v>
      </c>
      <c r="AC182" s="475">
        <f>'Glass Metrics'!I182</f>
        <v>0</v>
      </c>
      <c r="AD182" s="469">
        <f>'Glass Metrics'!N182</f>
        <v>0</v>
      </c>
      <c r="AE182" s="475">
        <f>'Glass Metrics'!S182</f>
        <v>0</v>
      </c>
      <c r="AF182" s="359" t="str">
        <f t="shared" si="84"/>
        <v/>
      </c>
      <c r="AG182" s="477" t="str">
        <f t="shared" si="85"/>
        <v/>
      </c>
      <c r="AH182" s="472" t="str">
        <f t="shared" si="86"/>
        <v/>
      </c>
      <c r="AI182" s="360" t="str">
        <f t="shared" si="87"/>
        <v/>
      </c>
      <c r="AJ182" s="363" t="str">
        <f t="shared" si="61"/>
        <v/>
      </c>
      <c r="AK182" s="479"/>
      <c r="AL182" s="479"/>
      <c r="AM182" s="429"/>
      <c r="AN182" s="429"/>
      <c r="AO182" s="374" t="str">
        <f t="shared" si="92"/>
        <v/>
      </c>
      <c r="AP182" s="361"/>
      <c r="AQ182" s="493"/>
      <c r="AR182" s="493"/>
      <c r="AS182" s="374">
        <f t="shared" si="96"/>
        <v>0</v>
      </c>
      <c r="AT182" s="125"/>
      <c r="AU182" s="92"/>
      <c r="AV182" s="500">
        <f t="shared" si="88"/>
        <v>0</v>
      </c>
      <c r="AW182" s="455">
        <f t="shared" si="93"/>
        <v>0</v>
      </c>
      <c r="AX182" s="455">
        <f t="shared" si="94"/>
        <v>0</v>
      </c>
      <c r="AY182" s="386">
        <f t="shared" si="95"/>
        <v>0</v>
      </c>
      <c r="AZ182" s="180">
        <f t="shared" si="62"/>
        <v>0</v>
      </c>
      <c r="BA182" s="449">
        <f t="shared" si="63"/>
        <v>0</v>
      </c>
      <c r="BB182" s="429"/>
      <c r="BC182" s="429"/>
      <c r="BD182" s="429"/>
      <c r="BE182" s="429"/>
      <c r="BF182" s="453" t="str">
        <f t="shared" si="64"/>
        <v>-</v>
      </c>
      <c r="BG182" s="453" t="str">
        <f t="shared" si="65"/>
        <v>-</v>
      </c>
      <c r="BH182" s="453" t="str">
        <f t="shared" si="66"/>
        <v>-</v>
      </c>
      <c r="BI182" s="453" t="str">
        <f t="shared" si="67"/>
        <v>-</v>
      </c>
      <c r="BJ182" s="453" t="str">
        <f t="shared" si="68"/>
        <v>-</v>
      </c>
      <c r="BK182" s="390" t="str">
        <f t="shared" si="69"/>
        <v>-</v>
      </c>
      <c r="BL182" s="125"/>
      <c r="BM182" s="92"/>
      <c r="BN182" s="386">
        <f t="shared" si="89"/>
        <v>0</v>
      </c>
    </row>
    <row r="183" spans="1:66" s="89" customFormat="1" ht="16.350000000000001" customHeight="1">
      <c r="A183" s="175">
        <f t="shared" si="71"/>
        <v>2024</v>
      </c>
      <c r="B183" s="454" t="str">
        <f t="shared" si="72"/>
        <v>21</v>
      </c>
      <c r="C183" s="454" t="str">
        <f t="array" ref="C183">_xlfn.IFS(_xlfn.NUMBERVALUE(B183)&lt;=13,"Q1",AND(_xlfn.NUMBERVALUE(B183)&gt;13,_xlfn.NUMBERVALUE(B183)&lt;=26),"Q2", AND(_xlfn.NUMBERVALUE(B183)&gt;26,_xlfn.NUMBERVALUE(B183)&lt;=39),"Q3",_xlfn.NUMBERVALUE(B183)&gt;39,"Q4")</f>
        <v>Q2</v>
      </c>
      <c r="D183" s="448">
        <f t="shared" si="90"/>
        <v>45094</v>
      </c>
      <c r="E183" s="448">
        <f t="shared" si="73"/>
        <v>45100</v>
      </c>
      <c r="F183" s="79">
        <v>202321</v>
      </c>
      <c r="G183" s="180">
        <f t="shared" si="74"/>
        <v>0</v>
      </c>
      <c r="H183" s="429"/>
      <c r="I183" s="429"/>
      <c r="J183" s="474">
        <f t="shared" si="75"/>
        <v>0</v>
      </c>
      <c r="K183" s="474">
        <f t="shared" si="76"/>
        <v>0</v>
      </c>
      <c r="L183" s="92"/>
      <c r="M183" s="92"/>
      <c r="N183" s="92"/>
      <c r="O183" s="474">
        <f t="shared" si="77"/>
        <v>0</v>
      </c>
      <c r="P183" s="474">
        <f t="shared" si="78"/>
        <v>0</v>
      </c>
      <c r="Q183" s="474">
        <f t="shared" si="79"/>
        <v>0</v>
      </c>
      <c r="R183" s="455">
        <f>Forecast!J178</f>
        <v>0</v>
      </c>
      <c r="S183" s="455">
        <f>Forecast!N178</f>
        <v>0</v>
      </c>
      <c r="T183" s="475">
        <f t="shared" si="80"/>
        <v>0</v>
      </c>
      <c r="U183" s="475">
        <f t="shared" si="81"/>
        <v>0</v>
      </c>
      <c r="V183" s="349">
        <f t="shared" si="82"/>
        <v>0</v>
      </c>
      <c r="W183" s="350">
        <f t="shared" si="83"/>
        <v>0</v>
      </c>
      <c r="X183" s="469">
        <f>'Channel &amp; Campaign Metrics'!AR182</f>
        <v>0</v>
      </c>
      <c r="Y183" s="469">
        <f>'Channel &amp; Campaign Metrics'!BS182</f>
        <v>0</v>
      </c>
      <c r="Z183" s="446"/>
      <c r="AA183" s="112"/>
      <c r="AB183" s="358">
        <f>'Glass Metrics'!AC183</f>
        <v>0</v>
      </c>
      <c r="AC183" s="475">
        <f>'Glass Metrics'!I183</f>
        <v>0</v>
      </c>
      <c r="AD183" s="469">
        <f>'Glass Metrics'!N183</f>
        <v>0</v>
      </c>
      <c r="AE183" s="475">
        <f>'Glass Metrics'!S183</f>
        <v>0</v>
      </c>
      <c r="AF183" s="359" t="str">
        <f t="shared" si="84"/>
        <v/>
      </c>
      <c r="AG183" s="477" t="str">
        <f t="shared" si="85"/>
        <v/>
      </c>
      <c r="AH183" s="472" t="str">
        <f t="shared" si="86"/>
        <v/>
      </c>
      <c r="AI183" s="360" t="str">
        <f t="shared" si="87"/>
        <v/>
      </c>
      <c r="AJ183" s="363" t="str">
        <f t="shared" si="61"/>
        <v/>
      </c>
      <c r="AK183" s="479"/>
      <c r="AL183" s="479"/>
      <c r="AM183" s="429"/>
      <c r="AN183" s="429"/>
      <c r="AO183" s="374" t="str">
        <f t="shared" si="92"/>
        <v/>
      </c>
      <c r="AP183" s="361"/>
      <c r="AQ183" s="493"/>
      <c r="AR183" s="493"/>
      <c r="AS183" s="374">
        <f t="shared" si="96"/>
        <v>0</v>
      </c>
      <c r="AT183" s="125"/>
      <c r="AU183" s="92"/>
      <c r="AV183" s="500">
        <f t="shared" si="88"/>
        <v>0</v>
      </c>
      <c r="AW183" s="455">
        <f t="shared" si="93"/>
        <v>0</v>
      </c>
      <c r="AX183" s="455">
        <f t="shared" si="94"/>
        <v>0</v>
      </c>
      <c r="AY183" s="386">
        <f t="shared" si="95"/>
        <v>0</v>
      </c>
      <c r="AZ183" s="180">
        <f t="shared" si="62"/>
        <v>0</v>
      </c>
      <c r="BA183" s="449">
        <f t="shared" si="63"/>
        <v>0</v>
      </c>
      <c r="BB183" s="429"/>
      <c r="BC183" s="429"/>
      <c r="BD183" s="429"/>
      <c r="BE183" s="429"/>
      <c r="BF183" s="453" t="str">
        <f t="shared" si="64"/>
        <v>-</v>
      </c>
      <c r="BG183" s="453" t="str">
        <f t="shared" si="65"/>
        <v>-</v>
      </c>
      <c r="BH183" s="453" t="str">
        <f t="shared" si="66"/>
        <v>-</v>
      </c>
      <c r="BI183" s="453" t="str">
        <f t="shared" si="67"/>
        <v>-</v>
      </c>
      <c r="BJ183" s="453" t="str">
        <f t="shared" si="68"/>
        <v>-</v>
      </c>
      <c r="BK183" s="390" t="str">
        <f t="shared" si="69"/>
        <v>-</v>
      </c>
      <c r="BL183" s="125"/>
      <c r="BM183" s="92"/>
      <c r="BN183" s="386">
        <f t="shared" si="89"/>
        <v>0</v>
      </c>
    </row>
    <row r="184" spans="1:66" s="89" customFormat="1" ht="16.350000000000001" customHeight="1">
      <c r="A184" s="175">
        <f t="shared" si="71"/>
        <v>2024</v>
      </c>
      <c r="B184" s="454" t="str">
        <f t="shared" si="72"/>
        <v>22</v>
      </c>
      <c r="C184" s="454" t="str">
        <f t="array" ref="C184">_xlfn.IFS(_xlfn.NUMBERVALUE(B184)&lt;=13,"Q1",AND(_xlfn.NUMBERVALUE(B184)&gt;13,_xlfn.NUMBERVALUE(B184)&lt;=26),"Q2", AND(_xlfn.NUMBERVALUE(B184)&gt;26,_xlfn.NUMBERVALUE(B184)&lt;=39),"Q3",_xlfn.NUMBERVALUE(B184)&gt;39,"Q4")</f>
        <v>Q2</v>
      </c>
      <c r="D184" s="448">
        <f t="shared" si="90"/>
        <v>45101</v>
      </c>
      <c r="E184" s="448">
        <f t="shared" si="73"/>
        <v>45107</v>
      </c>
      <c r="F184" s="79">
        <v>202322</v>
      </c>
      <c r="G184" s="180">
        <f t="shared" si="74"/>
        <v>0</v>
      </c>
      <c r="H184" s="429"/>
      <c r="I184" s="429"/>
      <c r="J184" s="474">
        <f t="shared" si="75"/>
        <v>0</v>
      </c>
      <c r="K184" s="474">
        <f t="shared" si="76"/>
        <v>0</v>
      </c>
      <c r="L184" s="92"/>
      <c r="M184" s="92"/>
      <c r="N184" s="92"/>
      <c r="O184" s="474">
        <f t="shared" si="77"/>
        <v>0</v>
      </c>
      <c r="P184" s="474">
        <f t="shared" si="78"/>
        <v>0</v>
      </c>
      <c r="Q184" s="474">
        <f t="shared" si="79"/>
        <v>0</v>
      </c>
      <c r="R184" s="455">
        <f>Forecast!J179</f>
        <v>0</v>
      </c>
      <c r="S184" s="455">
        <f>Forecast!N179</f>
        <v>0</v>
      </c>
      <c r="T184" s="475">
        <f t="shared" si="80"/>
        <v>0</v>
      </c>
      <c r="U184" s="475">
        <f t="shared" si="81"/>
        <v>0</v>
      </c>
      <c r="V184" s="349">
        <f t="shared" si="82"/>
        <v>0</v>
      </c>
      <c r="W184" s="350">
        <f t="shared" si="83"/>
        <v>0</v>
      </c>
      <c r="X184" s="469">
        <f>'Channel &amp; Campaign Metrics'!AR183</f>
        <v>0</v>
      </c>
      <c r="Y184" s="469">
        <f>'Channel &amp; Campaign Metrics'!BS183</f>
        <v>0</v>
      </c>
      <c r="Z184" s="446"/>
      <c r="AA184" s="112"/>
      <c r="AB184" s="358">
        <f>'Glass Metrics'!AC184</f>
        <v>0</v>
      </c>
      <c r="AC184" s="475">
        <f>'Glass Metrics'!I184</f>
        <v>0</v>
      </c>
      <c r="AD184" s="469">
        <f>'Glass Metrics'!N184</f>
        <v>0</v>
      </c>
      <c r="AE184" s="475">
        <f>'Glass Metrics'!S184</f>
        <v>0</v>
      </c>
      <c r="AF184" s="359" t="str">
        <f t="shared" si="84"/>
        <v/>
      </c>
      <c r="AG184" s="477" t="str">
        <f t="shared" si="85"/>
        <v/>
      </c>
      <c r="AH184" s="472" t="str">
        <f t="shared" si="86"/>
        <v/>
      </c>
      <c r="AI184" s="360" t="str">
        <f t="shared" si="87"/>
        <v/>
      </c>
      <c r="AJ184" s="363" t="str">
        <f t="shared" si="61"/>
        <v/>
      </c>
      <c r="AK184" s="479"/>
      <c r="AL184" s="479"/>
      <c r="AM184" s="429"/>
      <c r="AN184" s="429"/>
      <c r="AO184" s="374" t="str">
        <f t="shared" si="92"/>
        <v/>
      </c>
      <c r="AP184" s="361"/>
      <c r="AQ184" s="493"/>
      <c r="AR184" s="493"/>
      <c r="AS184" s="374">
        <f t="shared" si="96"/>
        <v>0</v>
      </c>
      <c r="AT184" s="125"/>
      <c r="AU184" s="92"/>
      <c r="AV184" s="500">
        <f t="shared" si="88"/>
        <v>0</v>
      </c>
      <c r="AW184" s="455">
        <f t="shared" si="93"/>
        <v>0</v>
      </c>
      <c r="AX184" s="455">
        <f t="shared" si="94"/>
        <v>0</v>
      </c>
      <c r="AY184" s="386">
        <f t="shared" si="95"/>
        <v>0</v>
      </c>
      <c r="AZ184" s="180">
        <f t="shared" si="62"/>
        <v>0</v>
      </c>
      <c r="BA184" s="449">
        <f t="shared" si="63"/>
        <v>0</v>
      </c>
      <c r="BB184" s="429"/>
      <c r="BC184" s="429"/>
      <c r="BD184" s="429"/>
      <c r="BE184" s="429"/>
      <c r="BF184" s="453" t="str">
        <f t="shared" si="64"/>
        <v>-</v>
      </c>
      <c r="BG184" s="453" t="str">
        <f t="shared" si="65"/>
        <v>-</v>
      </c>
      <c r="BH184" s="453" t="str">
        <f t="shared" si="66"/>
        <v>-</v>
      </c>
      <c r="BI184" s="453" t="str">
        <f t="shared" si="67"/>
        <v>-</v>
      </c>
      <c r="BJ184" s="453" t="str">
        <f t="shared" si="68"/>
        <v>-</v>
      </c>
      <c r="BK184" s="390" t="str">
        <f t="shared" si="69"/>
        <v>-</v>
      </c>
      <c r="BL184" s="125"/>
      <c r="BM184" s="92"/>
      <c r="BN184" s="386">
        <f t="shared" si="89"/>
        <v>0</v>
      </c>
    </row>
    <row r="185" spans="1:66" s="89" customFormat="1" ht="16.350000000000001" customHeight="1">
      <c r="A185" s="175">
        <f t="shared" si="71"/>
        <v>2024</v>
      </c>
      <c r="B185" s="454" t="str">
        <f t="shared" si="72"/>
        <v>23</v>
      </c>
      <c r="C185" s="454" t="str">
        <f t="array" ref="C185">_xlfn.IFS(_xlfn.NUMBERVALUE(B185)&lt;=13,"Q1",AND(_xlfn.NUMBERVALUE(B185)&gt;13,_xlfn.NUMBERVALUE(B185)&lt;=26),"Q2", AND(_xlfn.NUMBERVALUE(B185)&gt;26,_xlfn.NUMBERVALUE(B185)&lt;=39),"Q3",_xlfn.NUMBERVALUE(B185)&gt;39,"Q4")</f>
        <v>Q2</v>
      </c>
      <c r="D185" s="448">
        <f t="shared" si="90"/>
        <v>45108</v>
      </c>
      <c r="E185" s="448">
        <f t="shared" si="73"/>
        <v>45114</v>
      </c>
      <c r="F185" s="79">
        <v>202323</v>
      </c>
      <c r="G185" s="180">
        <f t="shared" si="74"/>
        <v>0</v>
      </c>
      <c r="H185" s="429"/>
      <c r="I185" s="429"/>
      <c r="J185" s="474">
        <f t="shared" si="75"/>
        <v>0</v>
      </c>
      <c r="K185" s="474">
        <f t="shared" si="76"/>
        <v>0</v>
      </c>
      <c r="L185" s="92"/>
      <c r="M185" s="92"/>
      <c r="N185" s="92"/>
      <c r="O185" s="474">
        <f t="shared" si="77"/>
        <v>0</v>
      </c>
      <c r="P185" s="474">
        <f t="shared" si="78"/>
        <v>0</v>
      </c>
      <c r="Q185" s="474">
        <f t="shared" si="79"/>
        <v>0</v>
      </c>
      <c r="R185" s="455">
        <f>Forecast!J180</f>
        <v>0</v>
      </c>
      <c r="S185" s="455">
        <f>Forecast!N180</f>
        <v>0</v>
      </c>
      <c r="T185" s="475">
        <f t="shared" si="80"/>
        <v>0</v>
      </c>
      <c r="U185" s="475">
        <f t="shared" si="81"/>
        <v>0</v>
      </c>
      <c r="V185" s="349">
        <f t="shared" si="82"/>
        <v>0</v>
      </c>
      <c r="W185" s="350">
        <f t="shared" si="83"/>
        <v>0</v>
      </c>
      <c r="X185" s="469">
        <f>'Channel &amp; Campaign Metrics'!AR184</f>
        <v>0</v>
      </c>
      <c r="Y185" s="469">
        <f>'Channel &amp; Campaign Metrics'!BS184</f>
        <v>0</v>
      </c>
      <c r="Z185" s="446"/>
      <c r="AA185" s="112"/>
      <c r="AB185" s="358">
        <f>'Glass Metrics'!AC185</f>
        <v>0</v>
      </c>
      <c r="AC185" s="475">
        <f>'Glass Metrics'!I185</f>
        <v>0</v>
      </c>
      <c r="AD185" s="469">
        <f>'Glass Metrics'!N185</f>
        <v>0</v>
      </c>
      <c r="AE185" s="475">
        <f>'Glass Metrics'!S185</f>
        <v>0</v>
      </c>
      <c r="AF185" s="359" t="str">
        <f t="shared" si="84"/>
        <v/>
      </c>
      <c r="AG185" s="477" t="str">
        <f t="shared" si="85"/>
        <v/>
      </c>
      <c r="AH185" s="472" t="str">
        <f t="shared" si="86"/>
        <v/>
      </c>
      <c r="AI185" s="360" t="str">
        <f t="shared" si="87"/>
        <v/>
      </c>
      <c r="AJ185" s="363" t="str">
        <f t="shared" si="61"/>
        <v/>
      </c>
      <c r="AK185" s="479"/>
      <c r="AL185" s="479"/>
      <c r="AM185" s="429"/>
      <c r="AN185" s="429"/>
      <c r="AO185" s="374" t="str">
        <f t="shared" si="92"/>
        <v/>
      </c>
      <c r="AP185" s="361"/>
      <c r="AQ185" s="493"/>
      <c r="AR185" s="493"/>
      <c r="AS185" s="374">
        <f t="shared" si="96"/>
        <v>0</v>
      </c>
      <c r="AT185" s="125"/>
      <c r="AU185" s="92"/>
      <c r="AV185" s="500">
        <f t="shared" si="88"/>
        <v>0</v>
      </c>
      <c r="AW185" s="455">
        <f t="shared" si="93"/>
        <v>0</v>
      </c>
      <c r="AX185" s="455">
        <f t="shared" si="94"/>
        <v>0</v>
      </c>
      <c r="AY185" s="386">
        <f t="shared" si="95"/>
        <v>0</v>
      </c>
      <c r="AZ185" s="180">
        <f t="shared" si="62"/>
        <v>0</v>
      </c>
      <c r="BA185" s="449">
        <f t="shared" si="63"/>
        <v>0</v>
      </c>
      <c r="BB185" s="429"/>
      <c r="BC185" s="429"/>
      <c r="BD185" s="429"/>
      <c r="BE185" s="429"/>
      <c r="BF185" s="453" t="str">
        <f t="shared" si="64"/>
        <v>-</v>
      </c>
      <c r="BG185" s="453" t="str">
        <f t="shared" si="65"/>
        <v>-</v>
      </c>
      <c r="BH185" s="453" t="str">
        <f t="shared" si="66"/>
        <v>-</v>
      </c>
      <c r="BI185" s="453" t="str">
        <f t="shared" si="67"/>
        <v>-</v>
      </c>
      <c r="BJ185" s="453" t="str">
        <f t="shared" si="68"/>
        <v>-</v>
      </c>
      <c r="BK185" s="390" t="str">
        <f t="shared" si="69"/>
        <v>-</v>
      </c>
      <c r="BL185" s="125"/>
      <c r="BM185" s="92"/>
      <c r="BN185" s="386">
        <f t="shared" si="89"/>
        <v>0</v>
      </c>
    </row>
    <row r="186" spans="1:66" s="89" customFormat="1" ht="16.350000000000001" customHeight="1">
      <c r="A186" s="175">
        <f t="shared" si="71"/>
        <v>2024</v>
      </c>
      <c r="B186" s="454" t="str">
        <f t="shared" si="72"/>
        <v>24</v>
      </c>
      <c r="C186" s="454" t="str">
        <f t="array" ref="C186">_xlfn.IFS(_xlfn.NUMBERVALUE(B186)&lt;=13,"Q1",AND(_xlfn.NUMBERVALUE(B186)&gt;13,_xlfn.NUMBERVALUE(B186)&lt;=26),"Q2", AND(_xlfn.NUMBERVALUE(B186)&gt;26,_xlfn.NUMBERVALUE(B186)&lt;=39),"Q3",_xlfn.NUMBERVALUE(B186)&gt;39,"Q4")</f>
        <v>Q2</v>
      </c>
      <c r="D186" s="448">
        <f t="shared" si="90"/>
        <v>45115</v>
      </c>
      <c r="E186" s="448">
        <f t="shared" si="73"/>
        <v>45121</v>
      </c>
      <c r="F186" s="79">
        <v>202324</v>
      </c>
      <c r="G186" s="180">
        <f t="shared" si="74"/>
        <v>0</v>
      </c>
      <c r="H186" s="429"/>
      <c r="I186" s="429"/>
      <c r="J186" s="474">
        <f t="shared" si="75"/>
        <v>0</v>
      </c>
      <c r="K186" s="474">
        <f t="shared" si="76"/>
        <v>0</v>
      </c>
      <c r="L186" s="92"/>
      <c r="M186" s="92"/>
      <c r="N186" s="92"/>
      <c r="O186" s="474">
        <f t="shared" si="77"/>
        <v>0</v>
      </c>
      <c r="P186" s="474">
        <f t="shared" si="78"/>
        <v>0</v>
      </c>
      <c r="Q186" s="474">
        <f t="shared" si="79"/>
        <v>0</v>
      </c>
      <c r="R186" s="455">
        <f>Forecast!J181</f>
        <v>0</v>
      </c>
      <c r="S186" s="455">
        <f>Forecast!N181</f>
        <v>0</v>
      </c>
      <c r="T186" s="475">
        <f t="shared" si="80"/>
        <v>0</v>
      </c>
      <c r="U186" s="475">
        <f t="shared" si="81"/>
        <v>0</v>
      </c>
      <c r="V186" s="349">
        <f t="shared" si="82"/>
        <v>0</v>
      </c>
      <c r="W186" s="350">
        <f t="shared" si="83"/>
        <v>0</v>
      </c>
      <c r="X186" s="469">
        <f>'Channel &amp; Campaign Metrics'!AR185</f>
        <v>0</v>
      </c>
      <c r="Y186" s="469">
        <f>'Channel &amp; Campaign Metrics'!BS185</f>
        <v>0</v>
      </c>
      <c r="Z186" s="446"/>
      <c r="AA186" s="112"/>
      <c r="AB186" s="358">
        <f>'Glass Metrics'!AC186</f>
        <v>0</v>
      </c>
      <c r="AC186" s="475">
        <f>'Glass Metrics'!I186</f>
        <v>0</v>
      </c>
      <c r="AD186" s="469">
        <f>'Glass Metrics'!N186</f>
        <v>0</v>
      </c>
      <c r="AE186" s="475">
        <f>'Glass Metrics'!S186</f>
        <v>0</v>
      </c>
      <c r="AF186" s="359" t="str">
        <f t="shared" si="84"/>
        <v/>
      </c>
      <c r="AG186" s="477" t="str">
        <f t="shared" si="85"/>
        <v/>
      </c>
      <c r="AH186" s="472" t="str">
        <f t="shared" si="86"/>
        <v/>
      </c>
      <c r="AI186" s="360" t="str">
        <f t="shared" si="87"/>
        <v/>
      </c>
      <c r="AJ186" s="363" t="str">
        <f t="shared" si="61"/>
        <v/>
      </c>
      <c r="AK186" s="479"/>
      <c r="AL186" s="479"/>
      <c r="AM186" s="429"/>
      <c r="AN186" s="429"/>
      <c r="AO186" s="374" t="str">
        <f t="shared" si="92"/>
        <v/>
      </c>
      <c r="AP186" s="363"/>
      <c r="AQ186" s="479"/>
      <c r="AR186" s="479"/>
      <c r="AS186" s="374">
        <f t="shared" si="96"/>
        <v>0</v>
      </c>
      <c r="AT186" s="125"/>
      <c r="AU186" s="92"/>
      <c r="AV186" s="500">
        <f t="shared" si="88"/>
        <v>0</v>
      </c>
      <c r="AW186" s="455">
        <f t="shared" si="93"/>
        <v>0</v>
      </c>
      <c r="AX186" s="455">
        <f t="shared" si="94"/>
        <v>0</v>
      </c>
      <c r="AY186" s="386">
        <f t="shared" si="95"/>
        <v>0</v>
      </c>
      <c r="AZ186" s="180">
        <f t="shared" si="62"/>
        <v>0</v>
      </c>
      <c r="BA186" s="449">
        <f t="shared" si="63"/>
        <v>0</v>
      </c>
      <c r="BB186" s="429"/>
      <c r="BC186" s="429"/>
      <c r="BD186" s="429"/>
      <c r="BE186" s="429"/>
      <c r="BF186" s="453" t="str">
        <f t="shared" si="64"/>
        <v>-</v>
      </c>
      <c r="BG186" s="453" t="str">
        <f t="shared" si="65"/>
        <v>-</v>
      </c>
      <c r="BH186" s="453" t="str">
        <f t="shared" si="66"/>
        <v>-</v>
      </c>
      <c r="BI186" s="453" t="str">
        <f t="shared" si="67"/>
        <v>-</v>
      </c>
      <c r="BJ186" s="453" t="str">
        <f t="shared" si="68"/>
        <v>-</v>
      </c>
      <c r="BK186" s="390" t="str">
        <f t="shared" si="69"/>
        <v>-</v>
      </c>
      <c r="BL186" s="125"/>
      <c r="BM186" s="92"/>
      <c r="BN186" s="386">
        <f t="shared" si="89"/>
        <v>0</v>
      </c>
    </row>
    <row r="187" spans="1:66" s="89" customFormat="1" ht="16.350000000000001" customHeight="1">
      <c r="A187" s="175">
        <f t="shared" si="71"/>
        <v>2024</v>
      </c>
      <c r="B187" s="454" t="str">
        <f t="shared" si="72"/>
        <v>25</v>
      </c>
      <c r="C187" s="454" t="str">
        <f t="array" ref="C187">_xlfn.IFS(_xlfn.NUMBERVALUE(B187)&lt;=13,"Q1",AND(_xlfn.NUMBERVALUE(B187)&gt;13,_xlfn.NUMBERVALUE(B187)&lt;=26),"Q2", AND(_xlfn.NUMBERVALUE(B187)&gt;26,_xlfn.NUMBERVALUE(B187)&lt;=39),"Q3",_xlfn.NUMBERVALUE(B187)&gt;39,"Q4")</f>
        <v>Q2</v>
      </c>
      <c r="D187" s="448">
        <f t="shared" si="90"/>
        <v>45122</v>
      </c>
      <c r="E187" s="448">
        <f t="shared" si="73"/>
        <v>45128</v>
      </c>
      <c r="F187" s="79">
        <v>202325</v>
      </c>
      <c r="G187" s="180">
        <f t="shared" si="74"/>
        <v>0</v>
      </c>
      <c r="H187" s="429"/>
      <c r="I187" s="429"/>
      <c r="J187" s="474">
        <f t="shared" si="75"/>
        <v>0</v>
      </c>
      <c r="K187" s="474">
        <f t="shared" si="76"/>
        <v>0</v>
      </c>
      <c r="L187" s="92"/>
      <c r="M187" s="92"/>
      <c r="N187" s="92"/>
      <c r="O187" s="474">
        <f t="shared" si="77"/>
        <v>0</v>
      </c>
      <c r="P187" s="474">
        <f t="shared" si="78"/>
        <v>0</v>
      </c>
      <c r="Q187" s="474">
        <f t="shared" si="79"/>
        <v>0</v>
      </c>
      <c r="R187" s="455">
        <f>Forecast!J182</f>
        <v>0</v>
      </c>
      <c r="S187" s="455">
        <f>Forecast!N182</f>
        <v>0</v>
      </c>
      <c r="T187" s="475">
        <f t="shared" si="80"/>
        <v>0</v>
      </c>
      <c r="U187" s="475">
        <f t="shared" si="81"/>
        <v>0</v>
      </c>
      <c r="V187" s="349">
        <f t="shared" si="82"/>
        <v>0</v>
      </c>
      <c r="W187" s="350">
        <f t="shared" si="83"/>
        <v>0</v>
      </c>
      <c r="X187" s="469">
        <f>'Channel &amp; Campaign Metrics'!AR186</f>
        <v>0</v>
      </c>
      <c r="Y187" s="469">
        <f>'Channel &amp; Campaign Metrics'!BS186</f>
        <v>0</v>
      </c>
      <c r="Z187" s="446"/>
      <c r="AA187" s="112"/>
      <c r="AB187" s="358">
        <f>'Glass Metrics'!AC187</f>
        <v>0</v>
      </c>
      <c r="AC187" s="475">
        <f>'Glass Metrics'!I187</f>
        <v>0</v>
      </c>
      <c r="AD187" s="469">
        <f>'Glass Metrics'!N187</f>
        <v>0</v>
      </c>
      <c r="AE187" s="475">
        <f>'Glass Metrics'!S187</f>
        <v>0</v>
      </c>
      <c r="AF187" s="359" t="str">
        <f t="shared" si="84"/>
        <v/>
      </c>
      <c r="AG187" s="477" t="str">
        <f t="shared" si="85"/>
        <v/>
      </c>
      <c r="AH187" s="472" t="str">
        <f t="shared" si="86"/>
        <v/>
      </c>
      <c r="AI187" s="360" t="str">
        <f t="shared" si="87"/>
        <v/>
      </c>
      <c r="AJ187" s="363" t="str">
        <f t="shared" ref="AJ187:AJ250" si="97">IFERROR(((AK187*AM187)+(AL187*AN187))/(AM187+AN187),"")</f>
        <v/>
      </c>
      <c r="AK187" s="479"/>
      <c r="AL187" s="479"/>
      <c r="AM187" s="429"/>
      <c r="AN187" s="429"/>
      <c r="AO187" s="374" t="str">
        <f t="shared" si="92"/>
        <v/>
      </c>
      <c r="AP187" s="363"/>
      <c r="AQ187" s="479"/>
      <c r="AR187" s="479"/>
      <c r="AS187" s="374">
        <f t="shared" si="96"/>
        <v>0</v>
      </c>
      <c r="AT187" s="125"/>
      <c r="AU187" s="92"/>
      <c r="AV187" s="500">
        <f t="shared" si="88"/>
        <v>0</v>
      </c>
      <c r="AW187" s="455">
        <f t="shared" si="93"/>
        <v>0</v>
      </c>
      <c r="AX187" s="455">
        <f t="shared" si="94"/>
        <v>0</v>
      </c>
      <c r="AY187" s="386">
        <f t="shared" si="95"/>
        <v>0</v>
      </c>
      <c r="AZ187" s="180">
        <f t="shared" ref="AZ187:AZ250" si="98">H187-(BB187+BD187)</f>
        <v>0</v>
      </c>
      <c r="BA187" s="449">
        <f t="shared" ref="BA187:BA250" si="99">I187-(BC187+BE187)</f>
        <v>0</v>
      </c>
      <c r="BB187" s="429"/>
      <c r="BC187" s="429"/>
      <c r="BD187" s="429"/>
      <c r="BE187" s="429"/>
      <c r="BF187" s="453" t="str">
        <f t="shared" ref="BF187:BF250" si="100">IFERROR(AZ187/L187,"-")</f>
        <v>-</v>
      </c>
      <c r="BG187" s="453" t="str">
        <f t="shared" ref="BG187:BG250" si="101">IFERROR(BA187/L187,"-")</f>
        <v>-</v>
      </c>
      <c r="BH187" s="453" t="str">
        <f t="shared" ref="BH187:BH250" si="102">IFERROR(BB187/M187,"-")</f>
        <v>-</v>
      </c>
      <c r="BI187" s="453" t="str">
        <f t="shared" ref="BI187:BI250" si="103">IFERROR(BC187/M187,"-")</f>
        <v>-</v>
      </c>
      <c r="BJ187" s="453" t="str">
        <f t="shared" ref="BJ187:BJ250" si="104">IFERROR(BD187/N187,"-")</f>
        <v>-</v>
      </c>
      <c r="BK187" s="390" t="str">
        <f t="shared" ref="BK187:BK250" si="105">IFERROR(BE187/N187,"-")</f>
        <v>-</v>
      </c>
      <c r="BL187" s="125"/>
      <c r="BM187" s="92"/>
      <c r="BN187" s="386">
        <f t="shared" si="89"/>
        <v>0</v>
      </c>
    </row>
    <row r="188" spans="1:66" s="89" customFormat="1" ht="16.350000000000001" customHeight="1">
      <c r="A188" s="175">
        <f t="shared" si="71"/>
        <v>2024</v>
      </c>
      <c r="B188" s="454" t="str">
        <f t="shared" si="72"/>
        <v>26</v>
      </c>
      <c r="C188" s="454" t="str">
        <f t="array" ref="C188">_xlfn.IFS(_xlfn.NUMBERVALUE(B188)&lt;=13,"Q1",AND(_xlfn.NUMBERVALUE(B188)&gt;13,_xlfn.NUMBERVALUE(B188)&lt;=26),"Q2", AND(_xlfn.NUMBERVALUE(B188)&gt;26,_xlfn.NUMBERVALUE(B188)&lt;=39),"Q3",_xlfn.NUMBERVALUE(B188)&gt;39,"Q4")</f>
        <v>Q2</v>
      </c>
      <c r="D188" s="448">
        <f t="shared" si="90"/>
        <v>45129</v>
      </c>
      <c r="E188" s="448">
        <f t="shared" si="73"/>
        <v>45135</v>
      </c>
      <c r="F188" s="79">
        <v>202326</v>
      </c>
      <c r="G188" s="180">
        <f t="shared" si="74"/>
        <v>0</v>
      </c>
      <c r="H188" s="429"/>
      <c r="I188" s="429"/>
      <c r="J188" s="474">
        <f t="shared" si="75"/>
        <v>0</v>
      </c>
      <c r="K188" s="474">
        <f t="shared" si="76"/>
        <v>0</v>
      </c>
      <c r="L188" s="92"/>
      <c r="M188" s="92"/>
      <c r="N188" s="92"/>
      <c r="O188" s="474">
        <f t="shared" si="77"/>
        <v>0</v>
      </c>
      <c r="P188" s="474">
        <f t="shared" si="78"/>
        <v>0</v>
      </c>
      <c r="Q188" s="474">
        <f t="shared" si="79"/>
        <v>0</v>
      </c>
      <c r="R188" s="455">
        <f>Forecast!J183</f>
        <v>0</v>
      </c>
      <c r="S188" s="455">
        <f>Forecast!N183</f>
        <v>0</v>
      </c>
      <c r="T188" s="475">
        <f t="shared" si="80"/>
        <v>0</v>
      </c>
      <c r="U188" s="475">
        <f t="shared" si="81"/>
        <v>0</v>
      </c>
      <c r="V188" s="349">
        <f t="shared" si="82"/>
        <v>0</v>
      </c>
      <c r="W188" s="350">
        <f t="shared" si="83"/>
        <v>0</v>
      </c>
      <c r="X188" s="469">
        <f>'Channel &amp; Campaign Metrics'!AR187</f>
        <v>0</v>
      </c>
      <c r="Y188" s="469">
        <f>'Channel &amp; Campaign Metrics'!BS187</f>
        <v>0</v>
      </c>
      <c r="Z188" s="446"/>
      <c r="AA188" s="112"/>
      <c r="AB188" s="358">
        <f>'Glass Metrics'!AC188</f>
        <v>0</v>
      </c>
      <c r="AC188" s="475">
        <f>'Glass Metrics'!I188</f>
        <v>0</v>
      </c>
      <c r="AD188" s="469">
        <f>'Glass Metrics'!N188</f>
        <v>0</v>
      </c>
      <c r="AE188" s="475">
        <f>'Glass Metrics'!S188</f>
        <v>0</v>
      </c>
      <c r="AF188" s="359" t="str">
        <f t="shared" si="84"/>
        <v/>
      </c>
      <c r="AG188" s="477" t="str">
        <f t="shared" si="85"/>
        <v/>
      </c>
      <c r="AH188" s="472" t="str">
        <f t="shared" si="86"/>
        <v/>
      </c>
      <c r="AI188" s="360" t="str">
        <f t="shared" si="87"/>
        <v/>
      </c>
      <c r="AJ188" s="363" t="str">
        <f t="shared" si="97"/>
        <v/>
      </c>
      <c r="AK188" s="479"/>
      <c r="AL188" s="479"/>
      <c r="AM188" s="429"/>
      <c r="AN188" s="429"/>
      <c r="AO188" s="374" t="str">
        <f t="shared" si="92"/>
        <v/>
      </c>
      <c r="AP188" s="363"/>
      <c r="AQ188" s="479"/>
      <c r="AR188" s="479"/>
      <c r="AS188" s="374">
        <f t="shared" si="96"/>
        <v>0</v>
      </c>
      <c r="AT188" s="125"/>
      <c r="AU188" s="92"/>
      <c r="AV188" s="500">
        <f t="shared" si="88"/>
        <v>0</v>
      </c>
      <c r="AW188" s="455">
        <f t="shared" si="93"/>
        <v>0</v>
      </c>
      <c r="AX188" s="455">
        <f t="shared" si="94"/>
        <v>0</v>
      </c>
      <c r="AY188" s="386">
        <f t="shared" si="95"/>
        <v>0</v>
      </c>
      <c r="AZ188" s="180">
        <f t="shared" si="98"/>
        <v>0</v>
      </c>
      <c r="BA188" s="449">
        <f t="shared" si="99"/>
        <v>0</v>
      </c>
      <c r="BB188" s="429"/>
      <c r="BC188" s="429"/>
      <c r="BD188" s="429"/>
      <c r="BE188" s="429"/>
      <c r="BF188" s="453" t="str">
        <f t="shared" si="100"/>
        <v>-</v>
      </c>
      <c r="BG188" s="453" t="str">
        <f t="shared" si="101"/>
        <v>-</v>
      </c>
      <c r="BH188" s="453" t="str">
        <f t="shared" si="102"/>
        <v>-</v>
      </c>
      <c r="BI188" s="453" t="str">
        <f t="shared" si="103"/>
        <v>-</v>
      </c>
      <c r="BJ188" s="453" t="str">
        <f t="shared" si="104"/>
        <v>-</v>
      </c>
      <c r="BK188" s="390" t="str">
        <f t="shared" si="105"/>
        <v>-</v>
      </c>
      <c r="BL188" s="125"/>
      <c r="BM188" s="92"/>
      <c r="BN188" s="386">
        <f t="shared" si="89"/>
        <v>0</v>
      </c>
    </row>
    <row r="189" spans="1:66" s="89" customFormat="1" ht="16.350000000000001" customHeight="1">
      <c r="A189" s="175">
        <f t="shared" si="71"/>
        <v>2024</v>
      </c>
      <c r="B189" s="454" t="str">
        <f t="shared" si="72"/>
        <v>27</v>
      </c>
      <c r="C189" s="454" t="str">
        <f t="array" ref="C189">_xlfn.IFS(_xlfn.NUMBERVALUE(B189)&lt;=13,"Q1",AND(_xlfn.NUMBERVALUE(B189)&gt;13,_xlfn.NUMBERVALUE(B189)&lt;=26),"Q2", AND(_xlfn.NUMBERVALUE(B189)&gt;26,_xlfn.NUMBERVALUE(B189)&lt;=39),"Q3",_xlfn.NUMBERVALUE(B189)&gt;39,"Q4")</f>
        <v>Q3</v>
      </c>
      <c r="D189" s="448">
        <f t="shared" si="90"/>
        <v>45136</v>
      </c>
      <c r="E189" s="448">
        <f t="shared" si="73"/>
        <v>45142</v>
      </c>
      <c r="F189" s="79">
        <v>202327</v>
      </c>
      <c r="G189" s="180">
        <f t="shared" si="74"/>
        <v>0</v>
      </c>
      <c r="H189" s="429"/>
      <c r="I189" s="429"/>
      <c r="J189" s="474">
        <f t="shared" si="75"/>
        <v>0</v>
      </c>
      <c r="K189" s="474">
        <f t="shared" si="76"/>
        <v>0</v>
      </c>
      <c r="L189" s="92"/>
      <c r="M189" s="92"/>
      <c r="N189" s="92"/>
      <c r="O189" s="474">
        <f t="shared" si="77"/>
        <v>0</v>
      </c>
      <c r="P189" s="474">
        <f t="shared" si="78"/>
        <v>0</v>
      </c>
      <c r="Q189" s="474">
        <f t="shared" si="79"/>
        <v>0</v>
      </c>
      <c r="R189" s="455">
        <f>Forecast!J184</f>
        <v>0</v>
      </c>
      <c r="S189" s="455">
        <f>Forecast!N184</f>
        <v>0</v>
      </c>
      <c r="T189" s="475">
        <f t="shared" si="80"/>
        <v>0</v>
      </c>
      <c r="U189" s="475">
        <f t="shared" si="81"/>
        <v>0</v>
      </c>
      <c r="V189" s="349">
        <f t="shared" si="82"/>
        <v>0</v>
      </c>
      <c r="W189" s="350">
        <f t="shared" si="83"/>
        <v>0</v>
      </c>
      <c r="X189" s="469">
        <f>'Channel &amp; Campaign Metrics'!AR188</f>
        <v>0</v>
      </c>
      <c r="Y189" s="469">
        <f>'Channel &amp; Campaign Metrics'!BS188</f>
        <v>0</v>
      </c>
      <c r="Z189" s="446"/>
      <c r="AA189" s="112"/>
      <c r="AB189" s="358">
        <f>'Glass Metrics'!AC189</f>
        <v>0</v>
      </c>
      <c r="AC189" s="475">
        <f>'Glass Metrics'!I189</f>
        <v>0</v>
      </c>
      <c r="AD189" s="469">
        <f>'Glass Metrics'!N189</f>
        <v>0</v>
      </c>
      <c r="AE189" s="475">
        <f>'Glass Metrics'!S189</f>
        <v>0</v>
      </c>
      <c r="AF189" s="359" t="str">
        <f t="shared" si="84"/>
        <v/>
      </c>
      <c r="AG189" s="477" t="str">
        <f t="shared" si="85"/>
        <v/>
      </c>
      <c r="AH189" s="472" t="str">
        <f t="shared" si="86"/>
        <v/>
      </c>
      <c r="AI189" s="360" t="str">
        <f t="shared" si="87"/>
        <v/>
      </c>
      <c r="AJ189" s="363" t="str">
        <f t="shared" si="97"/>
        <v/>
      </c>
      <c r="AK189" s="478"/>
      <c r="AL189" s="478"/>
      <c r="AM189" s="429"/>
      <c r="AN189" s="429"/>
      <c r="AO189" s="374" t="str">
        <f t="shared" si="92"/>
        <v/>
      </c>
      <c r="AP189" s="363"/>
      <c r="AQ189" s="479"/>
      <c r="AR189" s="479"/>
      <c r="AS189" s="374">
        <f t="shared" si="96"/>
        <v>0</v>
      </c>
      <c r="AT189" s="125"/>
      <c r="AU189" s="92"/>
      <c r="AV189" s="500">
        <f t="shared" si="88"/>
        <v>0</v>
      </c>
      <c r="AW189" s="455">
        <f t="shared" si="93"/>
        <v>0</v>
      </c>
      <c r="AX189" s="455">
        <f t="shared" si="94"/>
        <v>0</v>
      </c>
      <c r="AY189" s="386">
        <f t="shared" si="95"/>
        <v>0</v>
      </c>
      <c r="AZ189" s="180">
        <f t="shared" si="98"/>
        <v>0</v>
      </c>
      <c r="BA189" s="449">
        <f t="shared" si="99"/>
        <v>0</v>
      </c>
      <c r="BB189" s="429"/>
      <c r="BC189" s="429"/>
      <c r="BD189" s="429"/>
      <c r="BE189" s="429"/>
      <c r="BF189" s="453" t="str">
        <f t="shared" si="100"/>
        <v>-</v>
      </c>
      <c r="BG189" s="453" t="str">
        <f t="shared" si="101"/>
        <v>-</v>
      </c>
      <c r="BH189" s="453" t="str">
        <f t="shared" si="102"/>
        <v>-</v>
      </c>
      <c r="BI189" s="453" t="str">
        <f t="shared" si="103"/>
        <v>-</v>
      </c>
      <c r="BJ189" s="453" t="str">
        <f t="shared" si="104"/>
        <v>-</v>
      </c>
      <c r="BK189" s="390" t="str">
        <f t="shared" si="105"/>
        <v>-</v>
      </c>
      <c r="BL189" s="125"/>
      <c r="BM189" s="92"/>
      <c r="BN189" s="386">
        <f t="shared" si="89"/>
        <v>0</v>
      </c>
    </row>
    <row r="190" spans="1:66" s="89" customFormat="1" ht="16.350000000000001" customHeight="1">
      <c r="A190" s="175">
        <f t="shared" si="71"/>
        <v>2024</v>
      </c>
      <c r="B190" s="454" t="str">
        <f t="shared" si="72"/>
        <v>28</v>
      </c>
      <c r="C190" s="454" t="str">
        <f t="array" ref="C190">_xlfn.IFS(_xlfn.NUMBERVALUE(B190)&lt;=13,"Q1",AND(_xlfn.NUMBERVALUE(B190)&gt;13,_xlfn.NUMBERVALUE(B190)&lt;=26),"Q2", AND(_xlfn.NUMBERVALUE(B190)&gt;26,_xlfn.NUMBERVALUE(B190)&lt;=39),"Q3",_xlfn.NUMBERVALUE(B190)&gt;39,"Q4")</f>
        <v>Q3</v>
      </c>
      <c r="D190" s="448">
        <f t="shared" si="90"/>
        <v>45143</v>
      </c>
      <c r="E190" s="448">
        <f t="shared" si="73"/>
        <v>45149</v>
      </c>
      <c r="F190" s="79">
        <v>202328</v>
      </c>
      <c r="G190" s="180">
        <f t="shared" si="74"/>
        <v>0</v>
      </c>
      <c r="H190" s="429"/>
      <c r="I190" s="429"/>
      <c r="J190" s="474">
        <f t="shared" si="75"/>
        <v>0</v>
      </c>
      <c r="K190" s="474">
        <f t="shared" si="76"/>
        <v>0</v>
      </c>
      <c r="L190" s="92"/>
      <c r="M190" s="92"/>
      <c r="N190" s="92"/>
      <c r="O190" s="474">
        <f t="shared" si="77"/>
        <v>0</v>
      </c>
      <c r="P190" s="474">
        <f t="shared" si="78"/>
        <v>0</v>
      </c>
      <c r="Q190" s="474">
        <f t="shared" si="79"/>
        <v>0</v>
      </c>
      <c r="R190" s="455">
        <f>Forecast!J185</f>
        <v>0</v>
      </c>
      <c r="S190" s="455">
        <f>Forecast!N185</f>
        <v>0</v>
      </c>
      <c r="T190" s="475">
        <f t="shared" si="80"/>
        <v>0</v>
      </c>
      <c r="U190" s="475">
        <f t="shared" si="81"/>
        <v>0</v>
      </c>
      <c r="V190" s="349">
        <f t="shared" si="82"/>
        <v>0</v>
      </c>
      <c r="W190" s="350">
        <f t="shared" si="83"/>
        <v>0</v>
      </c>
      <c r="X190" s="469">
        <f>'Channel &amp; Campaign Metrics'!AR189</f>
        <v>0</v>
      </c>
      <c r="Y190" s="469">
        <f>'Channel &amp; Campaign Metrics'!BS189</f>
        <v>0</v>
      </c>
      <c r="Z190" s="446"/>
      <c r="AA190" s="112"/>
      <c r="AB190" s="358">
        <f>'Glass Metrics'!AC190</f>
        <v>0</v>
      </c>
      <c r="AC190" s="475">
        <f>'Glass Metrics'!I190</f>
        <v>0</v>
      </c>
      <c r="AD190" s="469">
        <f>'Glass Metrics'!N190</f>
        <v>0</v>
      </c>
      <c r="AE190" s="475">
        <f>'Glass Metrics'!S190</f>
        <v>0</v>
      </c>
      <c r="AF190" s="359" t="str">
        <f t="shared" si="84"/>
        <v/>
      </c>
      <c r="AG190" s="477" t="str">
        <f t="shared" si="85"/>
        <v/>
      </c>
      <c r="AH190" s="472" t="str">
        <f t="shared" si="86"/>
        <v/>
      </c>
      <c r="AI190" s="360" t="str">
        <f t="shared" si="87"/>
        <v/>
      </c>
      <c r="AJ190" s="363" t="str">
        <f t="shared" si="97"/>
        <v/>
      </c>
      <c r="AK190" s="478"/>
      <c r="AL190" s="478"/>
      <c r="AM190" s="429"/>
      <c r="AN190" s="429"/>
      <c r="AO190" s="374" t="str">
        <f t="shared" si="92"/>
        <v/>
      </c>
      <c r="AP190" s="363"/>
      <c r="AQ190" s="479"/>
      <c r="AR190" s="479"/>
      <c r="AS190" s="374">
        <f t="shared" si="96"/>
        <v>0</v>
      </c>
      <c r="AT190" s="125"/>
      <c r="AU190" s="92"/>
      <c r="AV190" s="500">
        <f t="shared" si="88"/>
        <v>0</v>
      </c>
      <c r="AW190" s="455">
        <f t="shared" si="93"/>
        <v>0</v>
      </c>
      <c r="AX190" s="455">
        <f t="shared" si="94"/>
        <v>0</v>
      </c>
      <c r="AY190" s="386">
        <f t="shared" si="95"/>
        <v>0</v>
      </c>
      <c r="AZ190" s="180">
        <f t="shared" si="98"/>
        <v>0</v>
      </c>
      <c r="BA190" s="449">
        <f t="shared" si="99"/>
        <v>0</v>
      </c>
      <c r="BB190" s="429"/>
      <c r="BC190" s="429"/>
      <c r="BD190" s="429"/>
      <c r="BE190" s="429"/>
      <c r="BF190" s="453" t="str">
        <f t="shared" si="100"/>
        <v>-</v>
      </c>
      <c r="BG190" s="453" t="str">
        <f t="shared" si="101"/>
        <v>-</v>
      </c>
      <c r="BH190" s="453" t="str">
        <f t="shared" si="102"/>
        <v>-</v>
      </c>
      <c r="BI190" s="453" t="str">
        <f t="shared" si="103"/>
        <v>-</v>
      </c>
      <c r="BJ190" s="453" t="str">
        <f t="shared" si="104"/>
        <v>-</v>
      </c>
      <c r="BK190" s="390" t="str">
        <f t="shared" si="105"/>
        <v>-</v>
      </c>
      <c r="BL190" s="125"/>
      <c r="BM190" s="92"/>
      <c r="BN190" s="386">
        <f t="shared" si="89"/>
        <v>0</v>
      </c>
    </row>
    <row r="191" spans="1:66" s="89" customFormat="1" ht="16.350000000000001" customHeight="1">
      <c r="A191" s="175">
        <f t="shared" si="71"/>
        <v>2024</v>
      </c>
      <c r="B191" s="454" t="str">
        <f t="shared" si="72"/>
        <v>29</v>
      </c>
      <c r="C191" s="454" t="str">
        <f t="array" ref="C191">_xlfn.IFS(_xlfn.NUMBERVALUE(B191)&lt;=13,"Q1",AND(_xlfn.NUMBERVALUE(B191)&gt;13,_xlfn.NUMBERVALUE(B191)&lt;=26),"Q2", AND(_xlfn.NUMBERVALUE(B191)&gt;26,_xlfn.NUMBERVALUE(B191)&lt;=39),"Q3",_xlfn.NUMBERVALUE(B191)&gt;39,"Q4")</f>
        <v>Q3</v>
      </c>
      <c r="D191" s="448">
        <f t="shared" si="90"/>
        <v>45150</v>
      </c>
      <c r="E191" s="448">
        <f t="shared" si="73"/>
        <v>45156</v>
      </c>
      <c r="F191" s="79">
        <v>202329</v>
      </c>
      <c r="G191" s="180">
        <f t="shared" si="74"/>
        <v>0</v>
      </c>
      <c r="H191" s="429"/>
      <c r="I191" s="429"/>
      <c r="J191" s="474">
        <f t="shared" si="75"/>
        <v>0</v>
      </c>
      <c r="K191" s="474">
        <f t="shared" si="76"/>
        <v>0</v>
      </c>
      <c r="L191" s="92"/>
      <c r="M191" s="92"/>
      <c r="N191" s="92"/>
      <c r="O191" s="474">
        <f t="shared" si="77"/>
        <v>0</v>
      </c>
      <c r="P191" s="474">
        <f t="shared" si="78"/>
        <v>0</v>
      </c>
      <c r="Q191" s="474">
        <f t="shared" si="79"/>
        <v>0</v>
      </c>
      <c r="R191" s="455">
        <f>Forecast!J186</f>
        <v>0</v>
      </c>
      <c r="S191" s="455">
        <f>Forecast!N186</f>
        <v>0</v>
      </c>
      <c r="T191" s="475">
        <f t="shared" si="80"/>
        <v>0</v>
      </c>
      <c r="U191" s="475">
        <f t="shared" si="81"/>
        <v>0</v>
      </c>
      <c r="V191" s="349">
        <f t="shared" si="82"/>
        <v>0</v>
      </c>
      <c r="W191" s="350">
        <f t="shared" si="83"/>
        <v>0</v>
      </c>
      <c r="X191" s="469">
        <f>'Channel &amp; Campaign Metrics'!AR190</f>
        <v>0</v>
      </c>
      <c r="Y191" s="469">
        <f>'Channel &amp; Campaign Metrics'!BS190</f>
        <v>0</v>
      </c>
      <c r="Z191" s="446"/>
      <c r="AA191" s="112"/>
      <c r="AB191" s="358">
        <f>'Glass Metrics'!AC191</f>
        <v>0</v>
      </c>
      <c r="AC191" s="475">
        <f>'Glass Metrics'!I191</f>
        <v>0</v>
      </c>
      <c r="AD191" s="469">
        <f>'Glass Metrics'!N191</f>
        <v>0</v>
      </c>
      <c r="AE191" s="475">
        <f>'Glass Metrics'!S191</f>
        <v>0</v>
      </c>
      <c r="AF191" s="359" t="str">
        <f t="shared" si="84"/>
        <v/>
      </c>
      <c r="AG191" s="477" t="str">
        <f t="shared" si="85"/>
        <v/>
      </c>
      <c r="AH191" s="472" t="str">
        <f t="shared" si="86"/>
        <v/>
      </c>
      <c r="AI191" s="360" t="str">
        <f t="shared" si="87"/>
        <v/>
      </c>
      <c r="AJ191" s="363" t="str">
        <f t="shared" si="97"/>
        <v/>
      </c>
      <c r="AK191" s="478"/>
      <c r="AL191" s="478"/>
      <c r="AM191" s="429"/>
      <c r="AN191" s="429"/>
      <c r="AO191" s="374" t="str">
        <f t="shared" si="92"/>
        <v/>
      </c>
      <c r="AP191" s="363"/>
      <c r="AQ191" s="479"/>
      <c r="AR191" s="479"/>
      <c r="AS191" s="374">
        <f t="shared" si="96"/>
        <v>0</v>
      </c>
      <c r="AT191" s="125"/>
      <c r="AU191" s="92"/>
      <c r="AV191" s="500">
        <f t="shared" si="88"/>
        <v>0</v>
      </c>
      <c r="AW191" s="455">
        <f t="shared" si="93"/>
        <v>0</v>
      </c>
      <c r="AX191" s="455">
        <f t="shared" si="94"/>
        <v>0</v>
      </c>
      <c r="AY191" s="386">
        <f t="shared" si="95"/>
        <v>0</v>
      </c>
      <c r="AZ191" s="180">
        <f t="shared" si="98"/>
        <v>0</v>
      </c>
      <c r="BA191" s="449">
        <f t="shared" si="99"/>
        <v>0</v>
      </c>
      <c r="BB191" s="429"/>
      <c r="BC191" s="429"/>
      <c r="BD191" s="429"/>
      <c r="BE191" s="429"/>
      <c r="BF191" s="453" t="str">
        <f t="shared" si="100"/>
        <v>-</v>
      </c>
      <c r="BG191" s="453" t="str">
        <f t="shared" si="101"/>
        <v>-</v>
      </c>
      <c r="BH191" s="453" t="str">
        <f t="shared" si="102"/>
        <v>-</v>
      </c>
      <c r="BI191" s="453" t="str">
        <f t="shared" si="103"/>
        <v>-</v>
      </c>
      <c r="BJ191" s="453" t="str">
        <f t="shared" si="104"/>
        <v>-</v>
      </c>
      <c r="BK191" s="390" t="str">
        <f t="shared" si="105"/>
        <v>-</v>
      </c>
      <c r="BL191" s="125"/>
      <c r="BM191" s="92"/>
      <c r="BN191" s="386">
        <f t="shared" si="89"/>
        <v>0</v>
      </c>
    </row>
    <row r="192" spans="1:66" s="89" customFormat="1" ht="16.350000000000001" customHeight="1">
      <c r="A192" s="175">
        <f t="shared" si="71"/>
        <v>2024</v>
      </c>
      <c r="B192" s="454" t="str">
        <f t="shared" si="72"/>
        <v>30</v>
      </c>
      <c r="C192" s="454" t="str">
        <f t="array" ref="C192">_xlfn.IFS(_xlfn.NUMBERVALUE(B192)&lt;=13,"Q1",AND(_xlfn.NUMBERVALUE(B192)&gt;13,_xlfn.NUMBERVALUE(B192)&lt;=26),"Q2", AND(_xlfn.NUMBERVALUE(B192)&gt;26,_xlfn.NUMBERVALUE(B192)&lt;=39),"Q3",_xlfn.NUMBERVALUE(B192)&gt;39,"Q4")</f>
        <v>Q3</v>
      </c>
      <c r="D192" s="448">
        <f t="shared" si="90"/>
        <v>45157</v>
      </c>
      <c r="E192" s="448">
        <f t="shared" si="73"/>
        <v>45163</v>
      </c>
      <c r="F192" s="79">
        <v>202330</v>
      </c>
      <c r="G192" s="180">
        <f t="shared" si="74"/>
        <v>0</v>
      </c>
      <c r="H192" s="429"/>
      <c r="I192" s="429"/>
      <c r="J192" s="474">
        <f t="shared" si="75"/>
        <v>0</v>
      </c>
      <c r="K192" s="474">
        <f t="shared" si="76"/>
        <v>0</v>
      </c>
      <c r="L192" s="92"/>
      <c r="M192" s="92"/>
      <c r="N192" s="92"/>
      <c r="O192" s="474">
        <f t="shared" si="77"/>
        <v>0</v>
      </c>
      <c r="P192" s="474">
        <f t="shared" si="78"/>
        <v>0</v>
      </c>
      <c r="Q192" s="474">
        <f t="shared" si="79"/>
        <v>0</v>
      </c>
      <c r="R192" s="455">
        <f>Forecast!J187</f>
        <v>0</v>
      </c>
      <c r="S192" s="455">
        <f>Forecast!N187</f>
        <v>0</v>
      </c>
      <c r="T192" s="475">
        <f t="shared" si="80"/>
        <v>0</v>
      </c>
      <c r="U192" s="475">
        <f t="shared" si="81"/>
        <v>0</v>
      </c>
      <c r="V192" s="349">
        <f t="shared" si="82"/>
        <v>0</v>
      </c>
      <c r="W192" s="350">
        <f t="shared" si="83"/>
        <v>0</v>
      </c>
      <c r="X192" s="469">
        <f>'Channel &amp; Campaign Metrics'!AR191</f>
        <v>0</v>
      </c>
      <c r="Y192" s="469">
        <f>'Channel &amp; Campaign Metrics'!BS191</f>
        <v>0</v>
      </c>
      <c r="Z192" s="446"/>
      <c r="AA192" s="149"/>
      <c r="AB192" s="358">
        <f>'Glass Metrics'!AC192</f>
        <v>0</v>
      </c>
      <c r="AC192" s="475">
        <f>'Glass Metrics'!I192</f>
        <v>0</v>
      </c>
      <c r="AD192" s="469">
        <f>'Glass Metrics'!N192</f>
        <v>0</v>
      </c>
      <c r="AE192" s="475">
        <f>'Glass Metrics'!S192</f>
        <v>0</v>
      </c>
      <c r="AF192" s="359" t="str">
        <f t="shared" si="84"/>
        <v/>
      </c>
      <c r="AG192" s="477" t="str">
        <f t="shared" si="85"/>
        <v/>
      </c>
      <c r="AH192" s="472" t="str">
        <f t="shared" si="86"/>
        <v/>
      </c>
      <c r="AI192" s="360" t="str">
        <f t="shared" si="87"/>
        <v/>
      </c>
      <c r="AJ192" s="363" t="str">
        <f t="shared" si="97"/>
        <v/>
      </c>
      <c r="AK192" s="478"/>
      <c r="AL192" s="478"/>
      <c r="AM192" s="429"/>
      <c r="AN192" s="429"/>
      <c r="AO192" s="374" t="str">
        <f t="shared" si="92"/>
        <v/>
      </c>
      <c r="AP192" s="363"/>
      <c r="AQ192" s="493"/>
      <c r="AR192" s="493"/>
      <c r="AS192" s="374">
        <f t="shared" si="96"/>
        <v>0</v>
      </c>
      <c r="AT192" s="125"/>
      <c r="AU192" s="92"/>
      <c r="AV192" s="500">
        <f t="shared" si="88"/>
        <v>0</v>
      </c>
      <c r="AW192" s="455">
        <f t="shared" si="93"/>
        <v>0</v>
      </c>
      <c r="AX192" s="455">
        <f t="shared" si="94"/>
        <v>0</v>
      </c>
      <c r="AY192" s="386">
        <f t="shared" si="95"/>
        <v>0</v>
      </c>
      <c r="AZ192" s="180">
        <f t="shared" si="98"/>
        <v>0</v>
      </c>
      <c r="BA192" s="449">
        <f t="shared" si="99"/>
        <v>0</v>
      </c>
      <c r="BB192" s="429"/>
      <c r="BC192" s="429"/>
      <c r="BD192" s="429"/>
      <c r="BE192" s="429"/>
      <c r="BF192" s="453" t="str">
        <f t="shared" si="100"/>
        <v>-</v>
      </c>
      <c r="BG192" s="453" t="str">
        <f t="shared" si="101"/>
        <v>-</v>
      </c>
      <c r="BH192" s="453" t="str">
        <f t="shared" si="102"/>
        <v>-</v>
      </c>
      <c r="BI192" s="453" t="str">
        <f t="shared" si="103"/>
        <v>-</v>
      </c>
      <c r="BJ192" s="453" t="str">
        <f t="shared" si="104"/>
        <v>-</v>
      </c>
      <c r="BK192" s="390" t="str">
        <f t="shared" si="105"/>
        <v>-</v>
      </c>
      <c r="BL192" s="125"/>
      <c r="BM192" s="92"/>
      <c r="BN192" s="386">
        <f t="shared" si="89"/>
        <v>0</v>
      </c>
    </row>
    <row r="193" spans="1:66" s="89" customFormat="1" ht="16.350000000000001" customHeight="1">
      <c r="A193" s="175">
        <f t="shared" si="71"/>
        <v>2024</v>
      </c>
      <c r="B193" s="454" t="str">
        <f t="shared" si="72"/>
        <v>31</v>
      </c>
      <c r="C193" s="454" t="str">
        <f t="array" ref="C193">_xlfn.IFS(_xlfn.NUMBERVALUE(B193)&lt;=13,"Q1",AND(_xlfn.NUMBERVALUE(B193)&gt;13,_xlfn.NUMBERVALUE(B193)&lt;=26),"Q2", AND(_xlfn.NUMBERVALUE(B193)&gt;26,_xlfn.NUMBERVALUE(B193)&lt;=39),"Q3",_xlfn.NUMBERVALUE(B193)&gt;39,"Q4")</f>
        <v>Q3</v>
      </c>
      <c r="D193" s="448">
        <f t="shared" si="90"/>
        <v>45164</v>
      </c>
      <c r="E193" s="448">
        <f t="shared" si="73"/>
        <v>45170</v>
      </c>
      <c r="F193" s="79">
        <v>202331</v>
      </c>
      <c r="G193" s="180">
        <f t="shared" si="74"/>
        <v>0</v>
      </c>
      <c r="H193" s="429"/>
      <c r="I193" s="429"/>
      <c r="J193" s="474">
        <f t="shared" si="75"/>
        <v>0</v>
      </c>
      <c r="K193" s="474">
        <f t="shared" si="76"/>
        <v>0</v>
      </c>
      <c r="L193" s="92"/>
      <c r="M193" s="92"/>
      <c r="N193" s="92"/>
      <c r="O193" s="474">
        <f t="shared" si="77"/>
        <v>0</v>
      </c>
      <c r="P193" s="474">
        <f t="shared" si="78"/>
        <v>0</v>
      </c>
      <c r="Q193" s="474">
        <f t="shared" si="79"/>
        <v>0</v>
      </c>
      <c r="R193" s="455">
        <f>Forecast!J188</f>
        <v>0</v>
      </c>
      <c r="S193" s="455">
        <f>Forecast!N188</f>
        <v>0</v>
      </c>
      <c r="T193" s="475">
        <f t="shared" si="80"/>
        <v>0</v>
      </c>
      <c r="U193" s="475">
        <f t="shared" si="81"/>
        <v>0</v>
      </c>
      <c r="V193" s="349">
        <f t="shared" si="82"/>
        <v>0</v>
      </c>
      <c r="W193" s="350">
        <f t="shared" si="83"/>
        <v>0</v>
      </c>
      <c r="X193" s="469">
        <f>'Channel &amp; Campaign Metrics'!AR192</f>
        <v>0</v>
      </c>
      <c r="Y193" s="469">
        <f>'Channel &amp; Campaign Metrics'!BS192</f>
        <v>0</v>
      </c>
      <c r="Z193" s="446"/>
      <c r="AA193" s="112"/>
      <c r="AB193" s="358">
        <f>'Glass Metrics'!AC193</f>
        <v>0</v>
      </c>
      <c r="AC193" s="475">
        <f>'Glass Metrics'!I193</f>
        <v>0</v>
      </c>
      <c r="AD193" s="469">
        <f>'Glass Metrics'!N193</f>
        <v>0</v>
      </c>
      <c r="AE193" s="475">
        <f>'Glass Metrics'!S193</f>
        <v>0</v>
      </c>
      <c r="AF193" s="359" t="str">
        <f t="shared" si="84"/>
        <v/>
      </c>
      <c r="AG193" s="477" t="str">
        <f t="shared" si="85"/>
        <v/>
      </c>
      <c r="AH193" s="472" t="str">
        <f t="shared" si="86"/>
        <v/>
      </c>
      <c r="AI193" s="360" t="str">
        <f t="shared" si="87"/>
        <v/>
      </c>
      <c r="AJ193" s="363" t="str">
        <f t="shared" si="97"/>
        <v/>
      </c>
      <c r="AK193" s="478"/>
      <c r="AL193" s="478"/>
      <c r="AM193" s="429"/>
      <c r="AN193" s="429"/>
      <c r="AO193" s="374" t="str">
        <f t="shared" si="92"/>
        <v/>
      </c>
      <c r="AP193" s="363"/>
      <c r="AQ193" s="479"/>
      <c r="AR193" s="479"/>
      <c r="AS193" s="374">
        <f t="shared" si="96"/>
        <v>0</v>
      </c>
      <c r="AT193" s="125"/>
      <c r="AU193" s="92"/>
      <c r="AV193" s="500">
        <f t="shared" si="88"/>
        <v>0</v>
      </c>
      <c r="AW193" s="455">
        <f t="shared" si="93"/>
        <v>0</v>
      </c>
      <c r="AX193" s="455">
        <f t="shared" si="94"/>
        <v>0</v>
      </c>
      <c r="AY193" s="386">
        <f t="shared" si="95"/>
        <v>0</v>
      </c>
      <c r="AZ193" s="180">
        <f t="shared" si="98"/>
        <v>0</v>
      </c>
      <c r="BA193" s="449">
        <f t="shared" si="99"/>
        <v>0</v>
      </c>
      <c r="BB193" s="429"/>
      <c r="BC193" s="429"/>
      <c r="BD193" s="429"/>
      <c r="BE193" s="429"/>
      <c r="BF193" s="453" t="str">
        <f t="shared" si="100"/>
        <v>-</v>
      </c>
      <c r="BG193" s="453" t="str">
        <f t="shared" si="101"/>
        <v>-</v>
      </c>
      <c r="BH193" s="453" t="str">
        <f t="shared" si="102"/>
        <v>-</v>
      </c>
      <c r="BI193" s="453" t="str">
        <f t="shared" si="103"/>
        <v>-</v>
      </c>
      <c r="BJ193" s="453" t="str">
        <f t="shared" si="104"/>
        <v>-</v>
      </c>
      <c r="BK193" s="390" t="str">
        <f t="shared" si="105"/>
        <v>-</v>
      </c>
      <c r="BL193" s="125"/>
      <c r="BM193" s="92"/>
      <c r="BN193" s="386">
        <f t="shared" si="89"/>
        <v>0</v>
      </c>
    </row>
    <row r="194" spans="1:66" s="89" customFormat="1" ht="16.350000000000001" customHeight="1">
      <c r="A194" s="175">
        <f t="shared" si="71"/>
        <v>2024</v>
      </c>
      <c r="B194" s="454" t="str">
        <f t="shared" si="72"/>
        <v>32</v>
      </c>
      <c r="C194" s="454" t="str">
        <f t="array" ref="C194">_xlfn.IFS(_xlfn.NUMBERVALUE(B194)&lt;=13,"Q1",AND(_xlfn.NUMBERVALUE(B194)&gt;13,_xlfn.NUMBERVALUE(B194)&lt;=26),"Q2", AND(_xlfn.NUMBERVALUE(B194)&gt;26,_xlfn.NUMBERVALUE(B194)&lt;=39),"Q3",_xlfn.NUMBERVALUE(B194)&gt;39,"Q4")</f>
        <v>Q3</v>
      </c>
      <c r="D194" s="448">
        <f t="shared" si="90"/>
        <v>45171</v>
      </c>
      <c r="E194" s="448">
        <f t="shared" si="73"/>
        <v>45177</v>
      </c>
      <c r="F194" s="79">
        <v>202332</v>
      </c>
      <c r="G194" s="180">
        <f t="shared" si="74"/>
        <v>0</v>
      </c>
      <c r="H194" s="429"/>
      <c r="I194" s="429"/>
      <c r="J194" s="474">
        <f t="shared" si="75"/>
        <v>0</v>
      </c>
      <c r="K194" s="474">
        <f t="shared" si="76"/>
        <v>0</v>
      </c>
      <c r="L194" s="92"/>
      <c r="M194" s="92"/>
      <c r="N194" s="92"/>
      <c r="O194" s="474">
        <f t="shared" si="77"/>
        <v>0</v>
      </c>
      <c r="P194" s="474">
        <f t="shared" si="78"/>
        <v>0</v>
      </c>
      <c r="Q194" s="474">
        <f t="shared" si="79"/>
        <v>0</v>
      </c>
      <c r="R194" s="455">
        <f>Forecast!J189</f>
        <v>0</v>
      </c>
      <c r="S194" s="455">
        <f>Forecast!N189</f>
        <v>0</v>
      </c>
      <c r="T194" s="475">
        <f t="shared" si="80"/>
        <v>0</v>
      </c>
      <c r="U194" s="475">
        <f t="shared" si="81"/>
        <v>0</v>
      </c>
      <c r="V194" s="349">
        <f t="shared" si="82"/>
        <v>0</v>
      </c>
      <c r="W194" s="350">
        <f t="shared" si="83"/>
        <v>367979.28700000001</v>
      </c>
      <c r="X194" s="469">
        <v>318667.587</v>
      </c>
      <c r="Y194" s="469">
        <v>49311.7</v>
      </c>
      <c r="Z194" s="446"/>
      <c r="AA194" s="112"/>
      <c r="AB194" s="358">
        <f>'Glass Metrics'!AC194</f>
        <v>0</v>
      </c>
      <c r="AC194" s="475">
        <f>'Glass Metrics'!I194</f>
        <v>0</v>
      </c>
      <c r="AD194" s="469">
        <f>'Glass Metrics'!N194</f>
        <v>0</v>
      </c>
      <c r="AE194" s="475">
        <f>'Glass Metrics'!S194</f>
        <v>0</v>
      </c>
      <c r="AF194" s="359" t="str">
        <f t="shared" si="84"/>
        <v/>
      </c>
      <c r="AG194" s="477" t="str">
        <f t="shared" si="85"/>
        <v/>
      </c>
      <c r="AH194" s="472" t="str">
        <f t="shared" si="86"/>
        <v/>
      </c>
      <c r="AI194" s="360" t="str">
        <f t="shared" si="87"/>
        <v/>
      </c>
      <c r="AJ194" s="363" t="str">
        <f t="shared" si="97"/>
        <v/>
      </c>
      <c r="AK194" s="478"/>
      <c r="AL194" s="478"/>
      <c r="AM194" s="429"/>
      <c r="AN194" s="429"/>
      <c r="AO194" s="374" t="str">
        <f t="shared" si="92"/>
        <v/>
      </c>
      <c r="AP194" s="363"/>
      <c r="AQ194" s="479"/>
      <c r="AR194" s="479"/>
      <c r="AS194" s="374">
        <f t="shared" si="96"/>
        <v>0</v>
      </c>
      <c r="AT194" s="125"/>
      <c r="AU194" s="92"/>
      <c r="AV194" s="500">
        <f t="shared" si="88"/>
        <v>0</v>
      </c>
      <c r="AW194" s="455">
        <f t="shared" si="93"/>
        <v>0</v>
      </c>
      <c r="AX194" s="455">
        <f t="shared" si="94"/>
        <v>0</v>
      </c>
      <c r="AY194" s="386">
        <f t="shared" si="95"/>
        <v>0</v>
      </c>
      <c r="AZ194" s="180">
        <f t="shared" si="98"/>
        <v>0</v>
      </c>
      <c r="BA194" s="449">
        <f t="shared" si="99"/>
        <v>0</v>
      </c>
      <c r="BB194" s="429"/>
      <c r="BC194" s="429"/>
      <c r="BD194" s="429"/>
      <c r="BE194" s="429"/>
      <c r="BF194" s="453" t="str">
        <f t="shared" si="100"/>
        <v>-</v>
      </c>
      <c r="BG194" s="453" t="str">
        <f t="shared" si="101"/>
        <v>-</v>
      </c>
      <c r="BH194" s="453" t="str">
        <f t="shared" si="102"/>
        <v>-</v>
      </c>
      <c r="BI194" s="453" t="str">
        <f t="shared" si="103"/>
        <v>-</v>
      </c>
      <c r="BJ194" s="453" t="str">
        <f t="shared" si="104"/>
        <v>-</v>
      </c>
      <c r="BK194" s="390" t="str">
        <f t="shared" si="105"/>
        <v>-</v>
      </c>
      <c r="BL194" s="125"/>
      <c r="BM194" s="92"/>
      <c r="BN194" s="386">
        <f t="shared" si="89"/>
        <v>0</v>
      </c>
    </row>
    <row r="195" spans="1:66" s="89" customFormat="1" ht="16.350000000000001" customHeight="1">
      <c r="A195" s="175">
        <f t="shared" si="71"/>
        <v>2024</v>
      </c>
      <c r="B195" s="454" t="str">
        <f t="shared" si="72"/>
        <v>33</v>
      </c>
      <c r="C195" s="454" t="str">
        <f t="array" ref="C195">_xlfn.IFS(_xlfn.NUMBERVALUE(B195)&lt;=13,"Q1",AND(_xlfn.NUMBERVALUE(B195)&gt;13,_xlfn.NUMBERVALUE(B195)&lt;=26),"Q2", AND(_xlfn.NUMBERVALUE(B195)&gt;26,_xlfn.NUMBERVALUE(B195)&lt;=39),"Q3",_xlfn.NUMBERVALUE(B195)&gt;39,"Q4")</f>
        <v>Q3</v>
      </c>
      <c r="D195" s="448">
        <f t="shared" si="90"/>
        <v>45178</v>
      </c>
      <c r="E195" s="448">
        <f t="shared" si="73"/>
        <v>45184</v>
      </c>
      <c r="F195" s="79">
        <v>202333</v>
      </c>
      <c r="G195" s="180">
        <f t="shared" si="74"/>
        <v>0</v>
      </c>
      <c r="H195" s="429"/>
      <c r="I195" s="429"/>
      <c r="J195" s="474">
        <f t="shared" si="75"/>
        <v>0</v>
      </c>
      <c r="K195" s="474">
        <f t="shared" si="76"/>
        <v>0</v>
      </c>
      <c r="L195" s="92"/>
      <c r="M195" s="92"/>
      <c r="N195" s="92"/>
      <c r="O195" s="474">
        <f t="shared" si="77"/>
        <v>0</v>
      </c>
      <c r="P195" s="474">
        <f t="shared" si="78"/>
        <v>0</v>
      </c>
      <c r="Q195" s="474">
        <f t="shared" si="79"/>
        <v>0</v>
      </c>
      <c r="R195" s="455">
        <f>Forecast!J190</f>
        <v>0</v>
      </c>
      <c r="S195" s="455">
        <f>Forecast!N190</f>
        <v>0</v>
      </c>
      <c r="T195" s="475">
        <f t="shared" si="80"/>
        <v>0</v>
      </c>
      <c r="U195" s="475">
        <f t="shared" si="81"/>
        <v>0</v>
      </c>
      <c r="V195" s="349">
        <f t="shared" si="82"/>
        <v>0</v>
      </c>
      <c r="W195" s="350">
        <f t="shared" si="83"/>
        <v>0</v>
      </c>
      <c r="X195" s="469">
        <f>'Channel &amp; Campaign Metrics'!AR194</f>
        <v>0</v>
      </c>
      <c r="Y195" s="469">
        <f>'Channel &amp; Campaign Metrics'!BS194</f>
        <v>0</v>
      </c>
      <c r="Z195" s="446"/>
      <c r="AA195" s="112"/>
      <c r="AB195" s="358">
        <f>'Glass Metrics'!AC195</f>
        <v>0</v>
      </c>
      <c r="AC195" s="475">
        <f>'Glass Metrics'!I195</f>
        <v>0</v>
      </c>
      <c r="AD195" s="469">
        <f>'Glass Metrics'!N195</f>
        <v>0</v>
      </c>
      <c r="AE195" s="475">
        <f>'Glass Metrics'!S195</f>
        <v>0</v>
      </c>
      <c r="AF195" s="359" t="str">
        <f t="shared" si="84"/>
        <v/>
      </c>
      <c r="AG195" s="477" t="str">
        <f t="shared" si="85"/>
        <v/>
      </c>
      <c r="AH195" s="472" t="str">
        <f t="shared" si="86"/>
        <v/>
      </c>
      <c r="AI195" s="360" t="str">
        <f t="shared" si="87"/>
        <v/>
      </c>
      <c r="AJ195" s="363" t="str">
        <f t="shared" si="97"/>
        <v/>
      </c>
      <c r="AK195" s="478"/>
      <c r="AL195" s="478"/>
      <c r="AM195" s="429"/>
      <c r="AN195" s="429"/>
      <c r="AO195" s="374" t="str">
        <f t="shared" si="92"/>
        <v/>
      </c>
      <c r="AP195" s="363"/>
      <c r="AQ195" s="479"/>
      <c r="AR195" s="479"/>
      <c r="AS195" s="374">
        <f t="shared" si="96"/>
        <v>0</v>
      </c>
      <c r="AT195" s="125"/>
      <c r="AU195" s="92"/>
      <c r="AV195" s="500">
        <f t="shared" si="88"/>
        <v>0</v>
      </c>
      <c r="AW195" s="455">
        <f t="shared" si="93"/>
        <v>0</v>
      </c>
      <c r="AX195" s="455">
        <f t="shared" si="94"/>
        <v>0</v>
      </c>
      <c r="AY195" s="386">
        <f t="shared" si="95"/>
        <v>0</v>
      </c>
      <c r="AZ195" s="180">
        <f t="shared" si="98"/>
        <v>0</v>
      </c>
      <c r="BA195" s="449">
        <f t="shared" si="99"/>
        <v>0</v>
      </c>
      <c r="BB195" s="429"/>
      <c r="BC195" s="429"/>
      <c r="BD195" s="429"/>
      <c r="BE195" s="429"/>
      <c r="BF195" s="453" t="str">
        <f t="shared" si="100"/>
        <v>-</v>
      </c>
      <c r="BG195" s="453" t="str">
        <f t="shared" si="101"/>
        <v>-</v>
      </c>
      <c r="BH195" s="453" t="str">
        <f t="shared" si="102"/>
        <v>-</v>
      </c>
      <c r="BI195" s="453" t="str">
        <f t="shared" si="103"/>
        <v>-</v>
      </c>
      <c r="BJ195" s="453" t="str">
        <f t="shared" si="104"/>
        <v>-</v>
      </c>
      <c r="BK195" s="390" t="str">
        <f t="shared" si="105"/>
        <v>-</v>
      </c>
      <c r="BL195" s="125"/>
      <c r="BM195" s="92"/>
      <c r="BN195" s="386">
        <f t="shared" si="89"/>
        <v>0</v>
      </c>
    </row>
    <row r="196" spans="1:66" s="89" customFormat="1" ht="16.350000000000001" customHeight="1">
      <c r="A196" s="175">
        <f t="shared" si="71"/>
        <v>2024</v>
      </c>
      <c r="B196" s="454" t="str">
        <f t="shared" si="72"/>
        <v>34</v>
      </c>
      <c r="C196" s="454" t="str">
        <f t="array" ref="C196">_xlfn.IFS(_xlfn.NUMBERVALUE(B196)&lt;=13,"Q1",AND(_xlfn.NUMBERVALUE(B196)&gt;13,_xlfn.NUMBERVALUE(B196)&lt;=26),"Q2", AND(_xlfn.NUMBERVALUE(B196)&gt;26,_xlfn.NUMBERVALUE(B196)&lt;=39),"Q3",_xlfn.NUMBERVALUE(B196)&gt;39,"Q4")</f>
        <v>Q3</v>
      </c>
      <c r="D196" s="448">
        <f t="shared" si="90"/>
        <v>45185</v>
      </c>
      <c r="E196" s="448">
        <f t="shared" si="73"/>
        <v>45191</v>
      </c>
      <c r="F196" s="79">
        <v>202334</v>
      </c>
      <c r="G196" s="180">
        <f t="shared" si="74"/>
        <v>0</v>
      </c>
      <c r="H196" s="467"/>
      <c r="I196" s="467"/>
      <c r="J196" s="474">
        <f t="shared" si="75"/>
        <v>0</v>
      </c>
      <c r="K196" s="474">
        <f t="shared" si="76"/>
        <v>0</v>
      </c>
      <c r="L196" s="340"/>
      <c r="M196" s="340"/>
      <c r="N196" s="340"/>
      <c r="O196" s="474">
        <f t="shared" si="77"/>
        <v>0</v>
      </c>
      <c r="P196" s="474">
        <f t="shared" si="78"/>
        <v>0</v>
      </c>
      <c r="Q196" s="474">
        <f t="shared" si="79"/>
        <v>0</v>
      </c>
      <c r="R196" s="455">
        <f>Forecast!J191</f>
        <v>0</v>
      </c>
      <c r="S196" s="455">
        <f>Forecast!N191</f>
        <v>0</v>
      </c>
      <c r="T196" s="475">
        <f t="shared" si="80"/>
        <v>0</v>
      </c>
      <c r="U196" s="475">
        <f t="shared" si="81"/>
        <v>0</v>
      </c>
      <c r="V196" s="349">
        <f t="shared" si="82"/>
        <v>0</v>
      </c>
      <c r="W196" s="350">
        <f t="shared" si="83"/>
        <v>0</v>
      </c>
      <c r="X196" s="469">
        <f>'Channel &amp; Campaign Metrics'!AR195</f>
        <v>0</v>
      </c>
      <c r="Y196" s="469">
        <f>'Channel &amp; Campaign Metrics'!BS195</f>
        <v>0</v>
      </c>
      <c r="Z196" s="476"/>
      <c r="AA196" s="339"/>
      <c r="AB196" s="358">
        <f>'Glass Metrics'!AC196</f>
        <v>0</v>
      </c>
      <c r="AC196" s="475">
        <f>'Glass Metrics'!I196</f>
        <v>0</v>
      </c>
      <c r="AD196" s="469">
        <f>'Glass Metrics'!N196</f>
        <v>0</v>
      </c>
      <c r="AE196" s="475">
        <f>'Glass Metrics'!S196</f>
        <v>0</v>
      </c>
      <c r="AF196" s="359" t="str">
        <f t="shared" si="84"/>
        <v/>
      </c>
      <c r="AG196" s="477" t="str">
        <f t="shared" si="85"/>
        <v/>
      </c>
      <c r="AH196" s="472" t="str">
        <f t="shared" si="86"/>
        <v/>
      </c>
      <c r="AI196" s="360" t="str">
        <f t="shared" si="87"/>
        <v/>
      </c>
      <c r="AJ196" s="363" t="str">
        <f t="shared" si="97"/>
        <v/>
      </c>
      <c r="AK196" s="478"/>
      <c r="AL196" s="478"/>
      <c r="AM196" s="429"/>
      <c r="AN196" s="429"/>
      <c r="AO196" s="374" t="str">
        <f t="shared" si="92"/>
        <v/>
      </c>
      <c r="AP196" s="363"/>
      <c r="AQ196" s="479"/>
      <c r="AR196" s="479"/>
      <c r="AS196" s="374">
        <f t="shared" si="96"/>
        <v>0</v>
      </c>
      <c r="AT196" s="404"/>
      <c r="AU196" s="92"/>
      <c r="AV196" s="500">
        <f t="shared" si="88"/>
        <v>0</v>
      </c>
      <c r="AW196" s="455">
        <f t="shared" si="93"/>
        <v>0</v>
      </c>
      <c r="AX196" s="455">
        <f t="shared" si="94"/>
        <v>0</v>
      </c>
      <c r="AY196" s="386">
        <f t="shared" si="95"/>
        <v>0</v>
      </c>
      <c r="AZ196" s="180">
        <f t="shared" si="98"/>
        <v>0</v>
      </c>
      <c r="BA196" s="449">
        <f t="shared" si="99"/>
        <v>0</v>
      </c>
      <c r="BB196" s="467"/>
      <c r="BC196" s="467"/>
      <c r="BD196" s="467"/>
      <c r="BE196" s="467"/>
      <c r="BF196" s="453" t="str">
        <f t="shared" si="100"/>
        <v>-</v>
      </c>
      <c r="BG196" s="453" t="str">
        <f t="shared" si="101"/>
        <v>-</v>
      </c>
      <c r="BH196" s="453" t="str">
        <f t="shared" si="102"/>
        <v>-</v>
      </c>
      <c r="BI196" s="453" t="str">
        <f t="shared" si="103"/>
        <v>-</v>
      </c>
      <c r="BJ196" s="453" t="str">
        <f t="shared" si="104"/>
        <v>-</v>
      </c>
      <c r="BK196" s="390" t="str">
        <f t="shared" si="105"/>
        <v>-</v>
      </c>
      <c r="BL196" s="125"/>
      <c r="BM196" s="92"/>
      <c r="BN196" s="386">
        <f t="shared" si="89"/>
        <v>0</v>
      </c>
    </row>
    <row r="197" spans="1:66" s="338" customFormat="1" ht="16.350000000000001" customHeight="1">
      <c r="A197" s="175">
        <f t="shared" si="71"/>
        <v>2024</v>
      </c>
      <c r="B197" s="454" t="str">
        <f t="shared" si="72"/>
        <v>35</v>
      </c>
      <c r="C197" s="454" t="str">
        <f t="array" ref="C197">_xlfn.IFS(_xlfn.NUMBERVALUE(B197)&lt;=13,"Q1",AND(_xlfn.NUMBERVALUE(B197)&gt;13,_xlfn.NUMBERVALUE(B197)&lt;=26),"Q2", AND(_xlfn.NUMBERVALUE(B197)&gt;26,_xlfn.NUMBERVALUE(B197)&lt;=39),"Q3",_xlfn.NUMBERVALUE(B197)&gt;39,"Q4")</f>
        <v>Q3</v>
      </c>
      <c r="D197" s="448">
        <f t="shared" si="90"/>
        <v>45192</v>
      </c>
      <c r="E197" s="448">
        <f t="shared" si="73"/>
        <v>45198</v>
      </c>
      <c r="F197" s="508">
        <v>202335</v>
      </c>
      <c r="G197" s="180">
        <f t="shared" si="74"/>
        <v>0</v>
      </c>
      <c r="H197" s="429"/>
      <c r="I197" s="429"/>
      <c r="J197" s="474">
        <f t="shared" si="75"/>
        <v>0</v>
      </c>
      <c r="K197" s="474">
        <f t="shared" si="76"/>
        <v>0</v>
      </c>
      <c r="L197" s="92"/>
      <c r="M197" s="92"/>
      <c r="N197" s="92"/>
      <c r="O197" s="474">
        <f t="shared" si="77"/>
        <v>0</v>
      </c>
      <c r="P197" s="474">
        <f t="shared" si="78"/>
        <v>0</v>
      </c>
      <c r="Q197" s="474">
        <f t="shared" si="79"/>
        <v>0</v>
      </c>
      <c r="R197" s="455">
        <f>Forecast!J192</f>
        <v>0</v>
      </c>
      <c r="S197" s="455">
        <f>Forecast!N192</f>
        <v>0</v>
      </c>
      <c r="T197" s="475">
        <f t="shared" si="80"/>
        <v>0</v>
      </c>
      <c r="U197" s="475">
        <f t="shared" si="81"/>
        <v>0</v>
      </c>
      <c r="V197" s="349">
        <f t="shared" si="82"/>
        <v>0</v>
      </c>
      <c r="W197" s="350">
        <f t="shared" si="83"/>
        <v>0</v>
      </c>
      <c r="X197" s="469">
        <f>'Channel &amp; Campaign Metrics'!AR196</f>
        <v>0</v>
      </c>
      <c r="Y197" s="469">
        <f>'Channel &amp; Campaign Metrics'!BS196</f>
        <v>0</v>
      </c>
      <c r="Z197" s="476"/>
      <c r="AA197" s="339"/>
      <c r="AB197" s="358">
        <f>'Glass Metrics'!AC197</f>
        <v>0</v>
      </c>
      <c r="AC197" s="475">
        <f>'Glass Metrics'!I197</f>
        <v>0</v>
      </c>
      <c r="AD197" s="469">
        <f>'Glass Metrics'!N197</f>
        <v>0</v>
      </c>
      <c r="AE197" s="475">
        <f>'Glass Metrics'!S197</f>
        <v>0</v>
      </c>
      <c r="AF197" s="359" t="str">
        <f t="shared" si="84"/>
        <v/>
      </c>
      <c r="AG197" s="477" t="str">
        <f t="shared" si="85"/>
        <v/>
      </c>
      <c r="AH197" s="472" t="str">
        <f t="shared" si="86"/>
        <v/>
      </c>
      <c r="AI197" s="360" t="str">
        <f t="shared" si="87"/>
        <v/>
      </c>
      <c r="AJ197" s="363" t="str">
        <f t="shared" si="97"/>
        <v/>
      </c>
      <c r="AK197" s="478"/>
      <c r="AL197" s="478"/>
      <c r="AM197" s="429"/>
      <c r="AN197" s="429"/>
      <c r="AO197" s="374" t="str">
        <f t="shared" si="92"/>
        <v/>
      </c>
      <c r="AP197" s="363"/>
      <c r="AQ197" s="509"/>
      <c r="AR197" s="509"/>
      <c r="AS197" s="374">
        <f t="shared" si="96"/>
        <v>0</v>
      </c>
      <c r="AT197" s="404"/>
      <c r="AU197" s="92"/>
      <c r="AV197" s="500">
        <f t="shared" si="88"/>
        <v>0</v>
      </c>
      <c r="AW197" s="455">
        <f t="shared" si="93"/>
        <v>0</v>
      </c>
      <c r="AX197" s="455">
        <f t="shared" si="94"/>
        <v>0</v>
      </c>
      <c r="AY197" s="386">
        <f t="shared" si="95"/>
        <v>0</v>
      </c>
      <c r="AZ197" s="180">
        <f t="shared" si="98"/>
        <v>0</v>
      </c>
      <c r="BA197" s="449">
        <f t="shared" si="99"/>
        <v>0</v>
      </c>
      <c r="BB197" s="429"/>
      <c r="BC197" s="429"/>
      <c r="BD197" s="429"/>
      <c r="BE197" s="429"/>
      <c r="BF197" s="453" t="str">
        <f t="shared" si="100"/>
        <v>-</v>
      </c>
      <c r="BG197" s="453" t="str">
        <f t="shared" si="101"/>
        <v>-</v>
      </c>
      <c r="BH197" s="453" t="str">
        <f t="shared" si="102"/>
        <v>-</v>
      </c>
      <c r="BI197" s="453" t="str">
        <f t="shared" si="103"/>
        <v>-</v>
      </c>
      <c r="BJ197" s="453" t="str">
        <f t="shared" si="104"/>
        <v>-</v>
      </c>
      <c r="BK197" s="390" t="str">
        <f t="shared" si="105"/>
        <v>-</v>
      </c>
      <c r="BL197" s="125"/>
      <c r="BM197" s="92"/>
      <c r="BN197" s="386">
        <f t="shared" si="89"/>
        <v>0</v>
      </c>
    </row>
    <row r="198" spans="1:66" s="89" customFormat="1" ht="16.350000000000001" customHeight="1">
      <c r="A198" s="175">
        <f t="shared" si="71"/>
        <v>2024</v>
      </c>
      <c r="B198" s="454" t="str">
        <f t="shared" si="72"/>
        <v>36</v>
      </c>
      <c r="C198" s="454" t="str">
        <f t="array" ref="C198">_xlfn.IFS(_xlfn.NUMBERVALUE(B198)&lt;=13,"Q1",AND(_xlfn.NUMBERVALUE(B198)&gt;13,_xlfn.NUMBERVALUE(B198)&lt;=26),"Q2", AND(_xlfn.NUMBERVALUE(B198)&gt;26,_xlfn.NUMBERVALUE(B198)&lt;=39),"Q3",_xlfn.NUMBERVALUE(B198)&gt;39,"Q4")</f>
        <v>Q3</v>
      </c>
      <c r="D198" s="448">
        <f t="shared" si="90"/>
        <v>45199</v>
      </c>
      <c r="E198" s="448">
        <f t="shared" si="73"/>
        <v>45205</v>
      </c>
      <c r="F198" s="79">
        <v>202336</v>
      </c>
      <c r="G198" s="180">
        <f t="shared" si="74"/>
        <v>0</v>
      </c>
      <c r="H198" s="429"/>
      <c r="I198" s="429"/>
      <c r="J198" s="474">
        <f t="shared" si="75"/>
        <v>0</v>
      </c>
      <c r="K198" s="474">
        <f t="shared" si="76"/>
        <v>0</v>
      </c>
      <c r="L198" s="92"/>
      <c r="M198" s="92"/>
      <c r="N198" s="92"/>
      <c r="O198" s="474">
        <f t="shared" si="77"/>
        <v>0</v>
      </c>
      <c r="P198" s="474">
        <f t="shared" si="78"/>
        <v>0</v>
      </c>
      <c r="Q198" s="474">
        <f t="shared" si="79"/>
        <v>0</v>
      </c>
      <c r="R198" s="455">
        <f>Forecast!J193</f>
        <v>0</v>
      </c>
      <c r="S198" s="455">
        <f>Forecast!N193</f>
        <v>0</v>
      </c>
      <c r="T198" s="475">
        <f t="shared" si="80"/>
        <v>0</v>
      </c>
      <c r="U198" s="475">
        <f t="shared" si="81"/>
        <v>0</v>
      </c>
      <c r="V198" s="349">
        <f t="shared" si="82"/>
        <v>0</v>
      </c>
      <c r="W198" s="350">
        <f t="shared" si="83"/>
        <v>0</v>
      </c>
      <c r="X198" s="469">
        <f>'Channel &amp; Campaign Metrics'!AR197</f>
        <v>0</v>
      </c>
      <c r="Y198" s="469">
        <f>'Channel &amp; Campaign Metrics'!BS197</f>
        <v>0</v>
      </c>
      <c r="Z198" s="476"/>
      <c r="AA198" s="339"/>
      <c r="AB198" s="358">
        <f>'Glass Metrics'!AC198</f>
        <v>0</v>
      </c>
      <c r="AC198" s="475">
        <f>'Glass Metrics'!I198</f>
        <v>0</v>
      </c>
      <c r="AD198" s="469">
        <f>'Glass Metrics'!N198</f>
        <v>0</v>
      </c>
      <c r="AE198" s="475">
        <f>'Glass Metrics'!S198</f>
        <v>0</v>
      </c>
      <c r="AF198" s="359" t="str">
        <f t="shared" si="84"/>
        <v/>
      </c>
      <c r="AG198" s="477" t="str">
        <f t="shared" si="85"/>
        <v/>
      </c>
      <c r="AH198" s="472" t="str">
        <f t="shared" si="86"/>
        <v/>
      </c>
      <c r="AI198" s="360" t="str">
        <f t="shared" si="87"/>
        <v/>
      </c>
      <c r="AJ198" s="363" t="str">
        <f t="shared" si="97"/>
        <v/>
      </c>
      <c r="AK198" s="478"/>
      <c r="AL198" s="478"/>
      <c r="AM198" s="429"/>
      <c r="AN198" s="429"/>
      <c r="AO198" s="374" t="str">
        <f t="shared" si="92"/>
        <v/>
      </c>
      <c r="AP198" s="363"/>
      <c r="AQ198" s="479"/>
      <c r="AR198" s="479"/>
      <c r="AS198" s="374">
        <f t="shared" si="96"/>
        <v>0</v>
      </c>
      <c r="AT198" s="404"/>
      <c r="AU198" s="340"/>
      <c r="AV198" s="500">
        <f t="shared" si="88"/>
        <v>0</v>
      </c>
      <c r="AW198" s="455">
        <f t="shared" si="93"/>
        <v>0</v>
      </c>
      <c r="AX198" s="455">
        <f t="shared" si="94"/>
        <v>0</v>
      </c>
      <c r="AY198" s="386">
        <f t="shared" si="95"/>
        <v>0</v>
      </c>
      <c r="AZ198" s="180">
        <f t="shared" si="98"/>
        <v>0</v>
      </c>
      <c r="BA198" s="449">
        <f t="shared" si="99"/>
        <v>0</v>
      </c>
      <c r="BB198" s="429"/>
      <c r="BC198" s="429"/>
      <c r="BD198" s="429"/>
      <c r="BE198" s="429"/>
      <c r="BF198" s="453" t="str">
        <f t="shared" si="100"/>
        <v>-</v>
      </c>
      <c r="BG198" s="453" t="str">
        <f t="shared" si="101"/>
        <v>-</v>
      </c>
      <c r="BH198" s="453" t="str">
        <f t="shared" si="102"/>
        <v>-</v>
      </c>
      <c r="BI198" s="453" t="str">
        <f t="shared" si="103"/>
        <v>-</v>
      </c>
      <c r="BJ198" s="453" t="str">
        <f t="shared" si="104"/>
        <v>-</v>
      </c>
      <c r="BK198" s="390" t="str">
        <f t="shared" si="105"/>
        <v>-</v>
      </c>
      <c r="BL198" s="125"/>
      <c r="BM198" s="92"/>
      <c r="BN198" s="386">
        <f t="shared" si="89"/>
        <v>0</v>
      </c>
    </row>
    <row r="199" spans="1:66" s="89" customFormat="1" ht="16.350000000000001" customHeight="1">
      <c r="A199" s="175">
        <f t="shared" ref="A199:A262" si="106">LEFT(F199,4)+1</f>
        <v>2024</v>
      </c>
      <c r="B199" s="454" t="str">
        <f t="shared" ref="B199:B262" si="107">RIGHT(F199,2)</f>
        <v>37</v>
      </c>
      <c r="C199" s="454" t="str">
        <f t="array" ref="C199">_xlfn.IFS(_xlfn.NUMBERVALUE(B199)&lt;=13,"Q1",AND(_xlfn.NUMBERVALUE(B199)&gt;13,_xlfn.NUMBERVALUE(B199)&lt;=26),"Q2", AND(_xlfn.NUMBERVALUE(B199)&gt;26,_xlfn.NUMBERVALUE(B199)&lt;=39),"Q3",_xlfn.NUMBERVALUE(B199)&gt;39,"Q4")</f>
        <v>Q3</v>
      </c>
      <c r="D199" s="448">
        <f t="shared" si="90"/>
        <v>45206</v>
      </c>
      <c r="E199" s="448">
        <f t="shared" ref="E199:E262" si="108">D199+6</f>
        <v>45212</v>
      </c>
      <c r="F199" s="79">
        <v>202337</v>
      </c>
      <c r="G199" s="180">
        <f t="shared" ref="G199:G262" si="109">SUM(H199:I199)</f>
        <v>0</v>
      </c>
      <c r="H199" s="429"/>
      <c r="I199" s="429"/>
      <c r="J199" s="474">
        <f t="shared" ref="J199:J262" si="110">IFERROR(H199/G199,0)</f>
        <v>0</v>
      </c>
      <c r="K199" s="474">
        <f t="shared" ref="K199:K262" si="111">IFERROR(I199/G199,0)</f>
        <v>0</v>
      </c>
      <c r="L199" s="92"/>
      <c r="M199" s="92"/>
      <c r="N199" s="92"/>
      <c r="O199" s="474">
        <f t="shared" ref="O199:O262" si="112">IFERROR(L199/$G199,0)</f>
        <v>0</v>
      </c>
      <c r="P199" s="474">
        <f t="shared" ref="P199:P262" si="113">IFERROR(M199/$G199,0)</f>
        <v>0</v>
      </c>
      <c r="Q199" s="474">
        <f t="shared" ref="Q199:Q262" si="114">IFERROR(N199/$G199,0)</f>
        <v>0</v>
      </c>
      <c r="R199" s="455">
        <f>Forecast!J194</f>
        <v>0</v>
      </c>
      <c r="S199" s="455">
        <f>Forecast!N194</f>
        <v>0</v>
      </c>
      <c r="T199" s="475">
        <f t="shared" ref="T199:T262" si="115">IF(OR(RIGHT(F199,2) = "01",G199 = 0),G199,T198+G199)</f>
        <v>0</v>
      </c>
      <c r="U199" s="475">
        <f t="shared" ref="U199:U262" si="116">IF(RIGHT(F199,2)="01",R199,R199+U198)</f>
        <v>0</v>
      </c>
      <c r="V199" s="349">
        <f t="shared" ref="V199:V262" si="117">IF(RIGHT(F199,2)="01",S199,S199+V198)</f>
        <v>0</v>
      </c>
      <c r="W199" s="350">
        <f t="shared" ref="W199:W262" si="118">X199+Y199</f>
        <v>0</v>
      </c>
      <c r="X199" s="469">
        <f>'Channel &amp; Campaign Metrics'!AR198</f>
        <v>0</v>
      </c>
      <c r="Y199" s="469">
        <f>'Channel &amp; Campaign Metrics'!BS198</f>
        <v>0</v>
      </c>
      <c r="Z199" s="476"/>
      <c r="AA199" s="339"/>
      <c r="AB199" s="358">
        <f>'Glass Metrics'!AC199</f>
        <v>0</v>
      </c>
      <c r="AC199" s="475">
        <f>'Glass Metrics'!I199</f>
        <v>0</v>
      </c>
      <c r="AD199" s="469">
        <f>'Glass Metrics'!N199</f>
        <v>0</v>
      </c>
      <c r="AE199" s="475">
        <f>'Glass Metrics'!S199</f>
        <v>0</v>
      </c>
      <c r="AF199" s="359" t="str">
        <f t="shared" ref="AF199:AF262" si="119">IFERROR(AE199/AB199,"")</f>
        <v/>
      </c>
      <c r="AG199" s="477" t="str">
        <f t="shared" ref="AG199:AG262" si="120">IFERROR(AC199/AE199,"")</f>
        <v/>
      </c>
      <c r="AH199" s="472" t="str">
        <f t="shared" ref="AH199:AH262" si="121">IFERROR(AD199/AC199,"")</f>
        <v/>
      </c>
      <c r="AI199" s="360" t="str">
        <f t="shared" ref="AI199:AI262" si="122">IFERROR(G199/AB199,"")</f>
        <v/>
      </c>
      <c r="AJ199" s="363" t="str">
        <f t="shared" si="97"/>
        <v/>
      </c>
      <c r="AK199" s="478"/>
      <c r="AL199" s="478"/>
      <c r="AM199" s="429"/>
      <c r="AN199" s="429"/>
      <c r="AO199" s="374" t="str">
        <f t="shared" si="92"/>
        <v/>
      </c>
      <c r="AP199" s="363"/>
      <c r="AQ199" s="479"/>
      <c r="AR199" s="479"/>
      <c r="AS199" s="374">
        <f t="shared" si="96"/>
        <v>0</v>
      </c>
      <c r="AT199" s="125"/>
      <c r="AU199" s="510"/>
      <c r="AV199" s="500">
        <f t="shared" ref="AV199:AV210" si="123">SUM(AT199:AU199)</f>
        <v>0</v>
      </c>
      <c r="AW199" s="455">
        <f t="shared" si="93"/>
        <v>0</v>
      </c>
      <c r="AX199" s="455">
        <f t="shared" si="94"/>
        <v>0</v>
      </c>
      <c r="AY199" s="386">
        <f t="shared" si="95"/>
        <v>0</v>
      </c>
      <c r="AZ199" s="180">
        <f t="shared" si="98"/>
        <v>0</v>
      </c>
      <c r="BA199" s="449">
        <f t="shared" si="99"/>
        <v>0</v>
      </c>
      <c r="BB199" s="429"/>
      <c r="BC199" s="429"/>
      <c r="BD199" s="429"/>
      <c r="BE199" s="429"/>
      <c r="BF199" s="453" t="str">
        <f t="shared" si="100"/>
        <v>-</v>
      </c>
      <c r="BG199" s="453" t="str">
        <f t="shared" si="101"/>
        <v>-</v>
      </c>
      <c r="BH199" s="453" t="str">
        <f t="shared" si="102"/>
        <v>-</v>
      </c>
      <c r="BI199" s="453" t="str">
        <f t="shared" si="103"/>
        <v>-</v>
      </c>
      <c r="BJ199" s="453" t="str">
        <f t="shared" si="104"/>
        <v>-</v>
      </c>
      <c r="BK199" s="390" t="str">
        <f t="shared" si="105"/>
        <v>-</v>
      </c>
      <c r="BL199" s="125"/>
      <c r="BM199" s="92"/>
      <c r="BN199" s="386">
        <f t="shared" ref="BN199:BN262" si="124">SUM(BL199:BM199)</f>
        <v>0</v>
      </c>
    </row>
    <row r="200" spans="1:66" s="89" customFormat="1" ht="16.350000000000001" customHeight="1">
      <c r="A200" s="175">
        <f t="shared" si="106"/>
        <v>2024</v>
      </c>
      <c r="B200" s="454" t="str">
        <f t="shared" si="107"/>
        <v>38</v>
      </c>
      <c r="C200" s="454" t="str">
        <f t="array" ref="C200">_xlfn.IFS(_xlfn.NUMBERVALUE(B200)&lt;=13,"Q1",AND(_xlfn.NUMBERVALUE(B200)&gt;13,_xlfn.NUMBERVALUE(B200)&lt;=26),"Q2", AND(_xlfn.NUMBERVALUE(B200)&gt;26,_xlfn.NUMBERVALUE(B200)&lt;=39),"Q3",_xlfn.NUMBERVALUE(B200)&gt;39,"Q4")</f>
        <v>Q3</v>
      </c>
      <c r="D200" s="448">
        <f t="shared" ref="D200:D263" si="125">E199+1</f>
        <v>45213</v>
      </c>
      <c r="E200" s="448">
        <f t="shared" si="108"/>
        <v>45219</v>
      </c>
      <c r="F200" s="79">
        <v>202338</v>
      </c>
      <c r="G200" s="180">
        <f t="shared" si="109"/>
        <v>0</v>
      </c>
      <c r="H200" s="429"/>
      <c r="I200" s="429"/>
      <c r="J200" s="474">
        <f t="shared" si="110"/>
        <v>0</v>
      </c>
      <c r="K200" s="474">
        <f t="shared" si="111"/>
        <v>0</v>
      </c>
      <c r="L200" s="92"/>
      <c r="M200" s="92"/>
      <c r="N200" s="92"/>
      <c r="O200" s="474">
        <f t="shared" si="112"/>
        <v>0</v>
      </c>
      <c r="P200" s="474">
        <f t="shared" si="113"/>
        <v>0</v>
      </c>
      <c r="Q200" s="474">
        <f t="shared" si="114"/>
        <v>0</v>
      </c>
      <c r="R200" s="455">
        <f>Forecast!J195</f>
        <v>0</v>
      </c>
      <c r="S200" s="455">
        <f>Forecast!N195</f>
        <v>0</v>
      </c>
      <c r="T200" s="475">
        <f t="shared" si="115"/>
        <v>0</v>
      </c>
      <c r="U200" s="475">
        <f t="shared" si="116"/>
        <v>0</v>
      </c>
      <c r="V200" s="349">
        <f t="shared" si="117"/>
        <v>0</v>
      </c>
      <c r="W200" s="350">
        <f t="shared" si="118"/>
        <v>0</v>
      </c>
      <c r="X200" s="469">
        <f>'Channel &amp; Campaign Metrics'!AR199</f>
        <v>0</v>
      </c>
      <c r="Y200" s="469">
        <f>'Channel &amp; Campaign Metrics'!BS199</f>
        <v>0</v>
      </c>
      <c r="Z200" s="476"/>
      <c r="AA200" s="339"/>
      <c r="AB200" s="358">
        <f>'Glass Metrics'!AC200</f>
        <v>0</v>
      </c>
      <c r="AC200" s="475">
        <f>'Glass Metrics'!I200</f>
        <v>0</v>
      </c>
      <c r="AD200" s="469">
        <f>'Glass Metrics'!N200</f>
        <v>0</v>
      </c>
      <c r="AE200" s="475">
        <f>'Glass Metrics'!S200</f>
        <v>0</v>
      </c>
      <c r="AF200" s="359" t="str">
        <f t="shared" si="119"/>
        <v/>
      </c>
      <c r="AG200" s="477" t="str">
        <f t="shared" si="120"/>
        <v/>
      </c>
      <c r="AH200" s="472" t="str">
        <f t="shared" si="121"/>
        <v/>
      </c>
      <c r="AI200" s="360" t="str">
        <f t="shared" si="122"/>
        <v/>
      </c>
      <c r="AJ200" s="363" t="str">
        <f t="shared" si="97"/>
        <v/>
      </c>
      <c r="AK200" s="478"/>
      <c r="AL200" s="478"/>
      <c r="AM200" s="429"/>
      <c r="AN200" s="429"/>
      <c r="AO200" s="374" t="str">
        <f t="shared" si="92"/>
        <v/>
      </c>
      <c r="AP200" s="363"/>
      <c r="AQ200" s="479"/>
      <c r="AR200" s="479"/>
      <c r="AS200" s="374">
        <f t="shared" si="96"/>
        <v>0</v>
      </c>
      <c r="AT200" s="125"/>
      <c r="AU200" s="510"/>
      <c r="AV200" s="500">
        <f t="shared" si="123"/>
        <v>0</v>
      </c>
      <c r="AW200" s="455">
        <f t="shared" si="93"/>
        <v>0</v>
      </c>
      <c r="AX200" s="455">
        <f t="shared" si="94"/>
        <v>0</v>
      </c>
      <c r="AY200" s="386">
        <f t="shared" si="95"/>
        <v>0</v>
      </c>
      <c r="AZ200" s="180">
        <f t="shared" si="98"/>
        <v>0</v>
      </c>
      <c r="BA200" s="449">
        <f t="shared" si="99"/>
        <v>0</v>
      </c>
      <c r="BB200" s="429"/>
      <c r="BC200" s="429"/>
      <c r="BD200" s="429"/>
      <c r="BE200" s="429"/>
      <c r="BF200" s="453" t="str">
        <f t="shared" si="100"/>
        <v>-</v>
      </c>
      <c r="BG200" s="453" t="str">
        <f t="shared" si="101"/>
        <v>-</v>
      </c>
      <c r="BH200" s="453" t="str">
        <f t="shared" si="102"/>
        <v>-</v>
      </c>
      <c r="BI200" s="453" t="str">
        <f t="shared" si="103"/>
        <v>-</v>
      </c>
      <c r="BJ200" s="453" t="str">
        <f t="shared" si="104"/>
        <v>-</v>
      </c>
      <c r="BK200" s="390" t="str">
        <f t="shared" si="105"/>
        <v>-</v>
      </c>
      <c r="BL200" s="125"/>
      <c r="BM200" s="92"/>
      <c r="BN200" s="386">
        <f t="shared" si="124"/>
        <v>0</v>
      </c>
    </row>
    <row r="201" spans="1:66" s="89" customFormat="1" ht="16.350000000000001" customHeight="1">
      <c r="A201" s="175">
        <f t="shared" si="106"/>
        <v>2024</v>
      </c>
      <c r="B201" s="454" t="str">
        <f t="shared" si="107"/>
        <v>39</v>
      </c>
      <c r="C201" s="454" t="str">
        <f t="array" ref="C201">_xlfn.IFS(_xlfn.NUMBERVALUE(B201)&lt;=13,"Q1",AND(_xlfn.NUMBERVALUE(B201)&gt;13,_xlfn.NUMBERVALUE(B201)&lt;=26),"Q2", AND(_xlfn.NUMBERVALUE(B201)&gt;26,_xlfn.NUMBERVALUE(B201)&lt;=39),"Q3",_xlfn.NUMBERVALUE(B201)&gt;39,"Q4")</f>
        <v>Q3</v>
      </c>
      <c r="D201" s="448">
        <f t="shared" si="125"/>
        <v>45220</v>
      </c>
      <c r="E201" s="448">
        <f t="shared" si="108"/>
        <v>45226</v>
      </c>
      <c r="F201" s="79">
        <v>202339</v>
      </c>
      <c r="G201" s="180">
        <f t="shared" si="109"/>
        <v>0</v>
      </c>
      <c r="H201" s="429"/>
      <c r="I201" s="429"/>
      <c r="J201" s="474">
        <f t="shared" si="110"/>
        <v>0</v>
      </c>
      <c r="K201" s="474">
        <f t="shared" si="111"/>
        <v>0</v>
      </c>
      <c r="L201" s="92"/>
      <c r="M201" s="92"/>
      <c r="N201" s="92"/>
      <c r="O201" s="474">
        <f t="shared" si="112"/>
        <v>0</v>
      </c>
      <c r="P201" s="474">
        <f t="shared" si="113"/>
        <v>0</v>
      </c>
      <c r="Q201" s="474">
        <f t="shared" si="114"/>
        <v>0</v>
      </c>
      <c r="R201" s="455">
        <f>Forecast!J196</f>
        <v>0</v>
      </c>
      <c r="S201" s="455">
        <f>Forecast!N196</f>
        <v>0</v>
      </c>
      <c r="T201" s="475">
        <f t="shared" si="115"/>
        <v>0</v>
      </c>
      <c r="U201" s="475">
        <f t="shared" si="116"/>
        <v>0</v>
      </c>
      <c r="V201" s="349">
        <f t="shared" si="117"/>
        <v>0</v>
      </c>
      <c r="W201" s="350">
        <f t="shared" si="118"/>
        <v>0</v>
      </c>
      <c r="X201" s="469">
        <f>'Channel &amp; Campaign Metrics'!AR200</f>
        <v>0</v>
      </c>
      <c r="Y201" s="469">
        <f>'Channel &amp; Campaign Metrics'!BS200</f>
        <v>0</v>
      </c>
      <c r="Z201" s="476"/>
      <c r="AA201" s="339"/>
      <c r="AB201" s="358">
        <f>'Glass Metrics'!AC201</f>
        <v>0</v>
      </c>
      <c r="AC201" s="475">
        <f>'Glass Metrics'!I201</f>
        <v>0</v>
      </c>
      <c r="AD201" s="469">
        <f>'Glass Metrics'!N201</f>
        <v>0</v>
      </c>
      <c r="AE201" s="475">
        <f>'Glass Metrics'!S201</f>
        <v>0</v>
      </c>
      <c r="AF201" s="359" t="str">
        <f t="shared" si="119"/>
        <v/>
      </c>
      <c r="AG201" s="477" t="str">
        <f t="shared" si="120"/>
        <v/>
      </c>
      <c r="AH201" s="472" t="str">
        <f t="shared" si="121"/>
        <v/>
      </c>
      <c r="AI201" s="360" t="str">
        <f t="shared" si="122"/>
        <v/>
      </c>
      <c r="AJ201" s="363" t="str">
        <f t="shared" si="97"/>
        <v/>
      </c>
      <c r="AK201" s="478"/>
      <c r="AL201" s="478"/>
      <c r="AM201" s="429"/>
      <c r="AN201" s="429"/>
      <c r="AO201" s="374" t="str">
        <f t="shared" si="92"/>
        <v/>
      </c>
      <c r="AP201" s="363"/>
      <c r="AQ201" s="479"/>
      <c r="AR201" s="479"/>
      <c r="AS201" s="374">
        <f t="shared" si="96"/>
        <v>0</v>
      </c>
      <c r="AT201" s="125"/>
      <c r="AU201" s="92"/>
      <c r="AV201" s="500">
        <f t="shared" si="123"/>
        <v>0</v>
      </c>
      <c r="AW201" s="455">
        <f t="shared" si="93"/>
        <v>0</v>
      </c>
      <c r="AX201" s="455">
        <f t="shared" si="94"/>
        <v>0</v>
      </c>
      <c r="AY201" s="386">
        <f t="shared" si="95"/>
        <v>0</v>
      </c>
      <c r="AZ201" s="180">
        <f t="shared" si="98"/>
        <v>0</v>
      </c>
      <c r="BA201" s="449">
        <f t="shared" si="99"/>
        <v>0</v>
      </c>
      <c r="BB201" s="429"/>
      <c r="BC201" s="429"/>
      <c r="BD201" s="429"/>
      <c r="BE201" s="429"/>
      <c r="BF201" s="453" t="str">
        <f t="shared" si="100"/>
        <v>-</v>
      </c>
      <c r="BG201" s="453" t="str">
        <f t="shared" si="101"/>
        <v>-</v>
      </c>
      <c r="BH201" s="453" t="str">
        <f t="shared" si="102"/>
        <v>-</v>
      </c>
      <c r="BI201" s="453" t="str">
        <f t="shared" si="103"/>
        <v>-</v>
      </c>
      <c r="BJ201" s="453" t="str">
        <f t="shared" si="104"/>
        <v>-</v>
      </c>
      <c r="BK201" s="390" t="str">
        <f t="shared" si="105"/>
        <v>-</v>
      </c>
      <c r="BL201" s="125"/>
      <c r="BM201" s="92"/>
      <c r="BN201" s="386">
        <f t="shared" si="124"/>
        <v>0</v>
      </c>
    </row>
    <row r="202" spans="1:66" s="89" customFormat="1" ht="16.350000000000001" customHeight="1">
      <c r="A202" s="175">
        <f t="shared" si="106"/>
        <v>2024</v>
      </c>
      <c r="B202" s="454" t="str">
        <f t="shared" si="107"/>
        <v>40</v>
      </c>
      <c r="C202" s="454" t="str">
        <f t="array" ref="C202">_xlfn.IFS(_xlfn.NUMBERVALUE(B202)&lt;=13,"Q1",AND(_xlfn.NUMBERVALUE(B202)&gt;13,_xlfn.NUMBERVALUE(B202)&lt;=26),"Q2", AND(_xlfn.NUMBERVALUE(B202)&gt;26,_xlfn.NUMBERVALUE(B202)&lt;=39),"Q3",_xlfn.NUMBERVALUE(B202)&gt;39,"Q4")</f>
        <v>Q4</v>
      </c>
      <c r="D202" s="448">
        <f t="shared" si="125"/>
        <v>45227</v>
      </c>
      <c r="E202" s="448">
        <f t="shared" si="108"/>
        <v>45233</v>
      </c>
      <c r="F202" s="79">
        <v>202340</v>
      </c>
      <c r="G202" s="180">
        <f t="shared" si="109"/>
        <v>0</v>
      </c>
      <c r="H202" s="429"/>
      <c r="I202" s="429"/>
      <c r="J202" s="474">
        <f t="shared" si="110"/>
        <v>0</v>
      </c>
      <c r="K202" s="474">
        <f t="shared" si="111"/>
        <v>0</v>
      </c>
      <c r="L202" s="92"/>
      <c r="M202" s="92"/>
      <c r="N202" s="92"/>
      <c r="O202" s="474">
        <f t="shared" si="112"/>
        <v>0</v>
      </c>
      <c r="P202" s="474">
        <f t="shared" si="113"/>
        <v>0</v>
      </c>
      <c r="Q202" s="474">
        <f t="shared" si="114"/>
        <v>0</v>
      </c>
      <c r="R202" s="455">
        <f>Forecast!J197</f>
        <v>0</v>
      </c>
      <c r="S202" s="455">
        <f>Forecast!N197</f>
        <v>0</v>
      </c>
      <c r="T202" s="475">
        <f t="shared" si="115"/>
        <v>0</v>
      </c>
      <c r="U202" s="475">
        <f t="shared" si="116"/>
        <v>0</v>
      </c>
      <c r="V202" s="349">
        <f t="shared" si="117"/>
        <v>0</v>
      </c>
      <c r="W202" s="350">
        <f t="shared" si="118"/>
        <v>0</v>
      </c>
      <c r="X202" s="469">
        <f>'Channel &amp; Campaign Metrics'!AR201</f>
        <v>0</v>
      </c>
      <c r="Y202" s="469">
        <f>'Channel &amp; Campaign Metrics'!BS201</f>
        <v>0</v>
      </c>
      <c r="Z202" s="476"/>
      <c r="AA202" s="339"/>
      <c r="AB202" s="358">
        <f>'Glass Metrics'!AC202</f>
        <v>0</v>
      </c>
      <c r="AC202" s="475">
        <f>'Glass Metrics'!I202</f>
        <v>0</v>
      </c>
      <c r="AD202" s="469">
        <f>'Glass Metrics'!N202</f>
        <v>0</v>
      </c>
      <c r="AE202" s="475">
        <f>'Glass Metrics'!S202</f>
        <v>0</v>
      </c>
      <c r="AF202" s="359" t="str">
        <f t="shared" si="119"/>
        <v/>
      </c>
      <c r="AG202" s="477" t="str">
        <f t="shared" si="120"/>
        <v/>
      </c>
      <c r="AH202" s="472" t="str">
        <f t="shared" si="121"/>
        <v/>
      </c>
      <c r="AI202" s="360" t="str">
        <f t="shared" si="122"/>
        <v/>
      </c>
      <c r="AJ202" s="363" t="str">
        <f t="shared" si="97"/>
        <v/>
      </c>
      <c r="AK202" s="478"/>
      <c r="AL202" s="478"/>
      <c r="AM202" s="429"/>
      <c r="AN202" s="429"/>
      <c r="AO202" s="374" t="str">
        <f t="shared" si="92"/>
        <v/>
      </c>
      <c r="AP202" s="363"/>
      <c r="AQ202" s="479"/>
      <c r="AR202" s="479"/>
      <c r="AS202" s="374">
        <f t="shared" si="96"/>
        <v>0</v>
      </c>
      <c r="AT202" s="125"/>
      <c r="AU202" s="92"/>
      <c r="AV202" s="500">
        <f t="shared" si="123"/>
        <v>0</v>
      </c>
      <c r="AW202" s="455">
        <f t="shared" si="93"/>
        <v>0</v>
      </c>
      <c r="AX202" s="455">
        <f t="shared" si="94"/>
        <v>0</v>
      </c>
      <c r="AY202" s="386">
        <f t="shared" si="95"/>
        <v>0</v>
      </c>
      <c r="AZ202" s="180">
        <f t="shared" si="98"/>
        <v>0</v>
      </c>
      <c r="BA202" s="449">
        <f t="shared" si="99"/>
        <v>0</v>
      </c>
      <c r="BB202" s="429"/>
      <c r="BC202" s="429"/>
      <c r="BD202" s="429"/>
      <c r="BE202" s="429"/>
      <c r="BF202" s="453" t="str">
        <f t="shared" si="100"/>
        <v>-</v>
      </c>
      <c r="BG202" s="453" t="str">
        <f t="shared" si="101"/>
        <v>-</v>
      </c>
      <c r="BH202" s="453" t="str">
        <f t="shared" si="102"/>
        <v>-</v>
      </c>
      <c r="BI202" s="453" t="str">
        <f t="shared" si="103"/>
        <v>-</v>
      </c>
      <c r="BJ202" s="453" t="str">
        <f t="shared" si="104"/>
        <v>-</v>
      </c>
      <c r="BK202" s="390" t="str">
        <f t="shared" si="105"/>
        <v>-</v>
      </c>
      <c r="BL202" s="125"/>
      <c r="BM202" s="92"/>
      <c r="BN202" s="386">
        <f t="shared" si="124"/>
        <v>0</v>
      </c>
    </row>
    <row r="203" spans="1:66" s="89" customFormat="1" ht="16.350000000000001" customHeight="1">
      <c r="A203" s="175">
        <f t="shared" si="106"/>
        <v>2024</v>
      </c>
      <c r="B203" s="454" t="str">
        <f t="shared" si="107"/>
        <v>41</v>
      </c>
      <c r="C203" s="454" t="str">
        <f t="array" ref="C203">_xlfn.IFS(_xlfn.NUMBERVALUE(B203)&lt;=13,"Q1",AND(_xlfn.NUMBERVALUE(B203)&gt;13,_xlfn.NUMBERVALUE(B203)&lt;=26),"Q2", AND(_xlfn.NUMBERVALUE(B203)&gt;26,_xlfn.NUMBERVALUE(B203)&lt;=39),"Q3",_xlfn.NUMBERVALUE(B203)&gt;39,"Q4")</f>
        <v>Q4</v>
      </c>
      <c r="D203" s="448">
        <f t="shared" si="125"/>
        <v>45234</v>
      </c>
      <c r="E203" s="448">
        <f t="shared" si="108"/>
        <v>45240</v>
      </c>
      <c r="F203" s="79">
        <v>202341</v>
      </c>
      <c r="G203" s="180">
        <f t="shared" si="109"/>
        <v>0</v>
      </c>
      <c r="H203" s="429"/>
      <c r="I203" s="429"/>
      <c r="J203" s="474">
        <f t="shared" si="110"/>
        <v>0</v>
      </c>
      <c r="K203" s="474">
        <f t="shared" si="111"/>
        <v>0</v>
      </c>
      <c r="L203" s="92"/>
      <c r="M203" s="92"/>
      <c r="N203" s="92"/>
      <c r="O203" s="474">
        <f t="shared" si="112"/>
        <v>0</v>
      </c>
      <c r="P203" s="474">
        <f t="shared" si="113"/>
        <v>0</v>
      </c>
      <c r="Q203" s="474">
        <f t="shared" si="114"/>
        <v>0</v>
      </c>
      <c r="R203" s="455">
        <f>Forecast!J198</f>
        <v>0</v>
      </c>
      <c r="S203" s="455">
        <f>Forecast!N198</f>
        <v>0</v>
      </c>
      <c r="T203" s="475">
        <f t="shared" si="115"/>
        <v>0</v>
      </c>
      <c r="U203" s="475">
        <f t="shared" si="116"/>
        <v>0</v>
      </c>
      <c r="V203" s="349">
        <f t="shared" si="117"/>
        <v>0</v>
      </c>
      <c r="W203" s="350">
        <f t="shared" si="118"/>
        <v>0</v>
      </c>
      <c r="X203" s="469">
        <f>'Channel &amp; Campaign Metrics'!AR202</f>
        <v>0</v>
      </c>
      <c r="Y203" s="469">
        <f>'Channel &amp; Campaign Metrics'!BS202</f>
        <v>0</v>
      </c>
      <c r="Z203" s="511"/>
      <c r="AA203" s="339"/>
      <c r="AB203" s="358">
        <f>'Glass Metrics'!AC203</f>
        <v>0</v>
      </c>
      <c r="AC203" s="475">
        <f>'Glass Metrics'!I203</f>
        <v>0</v>
      </c>
      <c r="AD203" s="469">
        <f>'Glass Metrics'!N203</f>
        <v>0</v>
      </c>
      <c r="AE203" s="475">
        <f>'Glass Metrics'!S203</f>
        <v>0</v>
      </c>
      <c r="AF203" s="359" t="str">
        <f t="shared" si="119"/>
        <v/>
      </c>
      <c r="AG203" s="477" t="str">
        <f t="shared" si="120"/>
        <v/>
      </c>
      <c r="AH203" s="472" t="str">
        <f t="shared" si="121"/>
        <v/>
      </c>
      <c r="AI203" s="360" t="str">
        <f t="shared" si="122"/>
        <v/>
      </c>
      <c r="AJ203" s="363" t="str">
        <f t="shared" si="97"/>
        <v/>
      </c>
      <c r="AK203" s="478"/>
      <c r="AL203" s="478"/>
      <c r="AM203" s="429"/>
      <c r="AN203" s="429"/>
      <c r="AO203" s="374" t="str">
        <f t="shared" si="92"/>
        <v/>
      </c>
      <c r="AP203" s="363"/>
      <c r="AQ203" s="479"/>
      <c r="AR203" s="479"/>
      <c r="AS203" s="374">
        <f t="shared" si="96"/>
        <v>0</v>
      </c>
      <c r="AT203" s="125"/>
      <c r="AU203" s="92"/>
      <c r="AV203" s="500">
        <f t="shared" si="123"/>
        <v>0</v>
      </c>
      <c r="AW203" s="455">
        <f t="shared" si="93"/>
        <v>0</v>
      </c>
      <c r="AX203" s="455">
        <f t="shared" si="94"/>
        <v>0</v>
      </c>
      <c r="AY203" s="386">
        <f t="shared" si="95"/>
        <v>0</v>
      </c>
      <c r="AZ203" s="180">
        <f t="shared" si="98"/>
        <v>0</v>
      </c>
      <c r="BA203" s="449">
        <f t="shared" si="99"/>
        <v>0</v>
      </c>
      <c r="BB203" s="429"/>
      <c r="BC203" s="429"/>
      <c r="BD203" s="429"/>
      <c r="BE203" s="429"/>
      <c r="BF203" s="453" t="str">
        <f t="shared" si="100"/>
        <v>-</v>
      </c>
      <c r="BG203" s="453" t="str">
        <f t="shared" si="101"/>
        <v>-</v>
      </c>
      <c r="BH203" s="453" t="str">
        <f t="shared" si="102"/>
        <v>-</v>
      </c>
      <c r="BI203" s="453" t="str">
        <f t="shared" si="103"/>
        <v>-</v>
      </c>
      <c r="BJ203" s="453" t="str">
        <f t="shared" si="104"/>
        <v>-</v>
      </c>
      <c r="BK203" s="390" t="str">
        <f t="shared" si="105"/>
        <v>-</v>
      </c>
      <c r="BL203" s="125"/>
      <c r="BM203" s="92"/>
      <c r="BN203" s="386">
        <f t="shared" si="124"/>
        <v>0</v>
      </c>
    </row>
    <row r="204" spans="1:66" s="89" customFormat="1" ht="16.350000000000001" customHeight="1">
      <c r="A204" s="175">
        <f t="shared" si="106"/>
        <v>2024</v>
      </c>
      <c r="B204" s="454" t="str">
        <f t="shared" si="107"/>
        <v>42</v>
      </c>
      <c r="C204" s="454" t="str">
        <f t="array" ref="C204">_xlfn.IFS(_xlfn.NUMBERVALUE(B204)&lt;=13,"Q1",AND(_xlfn.NUMBERVALUE(B204)&gt;13,_xlfn.NUMBERVALUE(B204)&lt;=26),"Q2", AND(_xlfn.NUMBERVALUE(B204)&gt;26,_xlfn.NUMBERVALUE(B204)&lt;=39),"Q3",_xlfn.NUMBERVALUE(B204)&gt;39,"Q4")</f>
        <v>Q4</v>
      </c>
      <c r="D204" s="448">
        <f t="shared" si="125"/>
        <v>45241</v>
      </c>
      <c r="E204" s="448">
        <f t="shared" si="108"/>
        <v>45247</v>
      </c>
      <c r="F204" s="79">
        <v>202342</v>
      </c>
      <c r="G204" s="180">
        <f t="shared" si="109"/>
        <v>0</v>
      </c>
      <c r="H204" s="429"/>
      <c r="I204" s="429"/>
      <c r="J204" s="474">
        <f t="shared" si="110"/>
        <v>0</v>
      </c>
      <c r="K204" s="474">
        <f t="shared" si="111"/>
        <v>0</v>
      </c>
      <c r="L204" s="92"/>
      <c r="M204" s="92"/>
      <c r="N204" s="92"/>
      <c r="O204" s="474">
        <f t="shared" si="112"/>
        <v>0</v>
      </c>
      <c r="P204" s="474">
        <f t="shared" si="113"/>
        <v>0</v>
      </c>
      <c r="Q204" s="474">
        <f t="shared" si="114"/>
        <v>0</v>
      </c>
      <c r="R204" s="455">
        <f>Forecast!J199</f>
        <v>0</v>
      </c>
      <c r="S204" s="455">
        <f>Forecast!N199</f>
        <v>0</v>
      </c>
      <c r="T204" s="475">
        <f t="shared" si="115"/>
        <v>0</v>
      </c>
      <c r="U204" s="475">
        <f t="shared" si="116"/>
        <v>0</v>
      </c>
      <c r="V204" s="349">
        <f t="shared" si="117"/>
        <v>0</v>
      </c>
      <c r="W204" s="350">
        <f t="shared" si="118"/>
        <v>0</v>
      </c>
      <c r="X204" s="469">
        <f>'Channel &amp; Campaign Metrics'!AR203</f>
        <v>0</v>
      </c>
      <c r="Y204" s="469">
        <f>'Channel &amp; Campaign Metrics'!BS203</f>
        <v>0</v>
      </c>
      <c r="Z204" s="476"/>
      <c r="AA204" s="339"/>
      <c r="AB204" s="358">
        <f>'Glass Metrics'!AC204</f>
        <v>0</v>
      </c>
      <c r="AC204" s="475">
        <f>'Glass Metrics'!I204</f>
        <v>0</v>
      </c>
      <c r="AD204" s="469">
        <f>'Glass Metrics'!N204</f>
        <v>0</v>
      </c>
      <c r="AE204" s="475">
        <f>'Glass Metrics'!S204</f>
        <v>0</v>
      </c>
      <c r="AF204" s="359" t="str">
        <f t="shared" si="119"/>
        <v/>
      </c>
      <c r="AG204" s="477" t="str">
        <f t="shared" si="120"/>
        <v/>
      </c>
      <c r="AH204" s="472" t="str">
        <f t="shared" si="121"/>
        <v/>
      </c>
      <c r="AI204" s="360" t="str">
        <f t="shared" si="122"/>
        <v/>
      </c>
      <c r="AJ204" s="363" t="str">
        <f t="shared" si="97"/>
        <v/>
      </c>
      <c r="AK204" s="478"/>
      <c r="AL204" s="478"/>
      <c r="AM204" s="429"/>
      <c r="AN204" s="429"/>
      <c r="AO204" s="374" t="str">
        <f t="shared" si="92"/>
        <v/>
      </c>
      <c r="AP204" s="363"/>
      <c r="AQ204" s="479"/>
      <c r="AR204" s="479"/>
      <c r="AS204" s="374">
        <f t="shared" si="96"/>
        <v>0</v>
      </c>
      <c r="AT204" s="125"/>
      <c r="AU204" s="92"/>
      <c r="AV204" s="500">
        <f t="shared" si="123"/>
        <v>0</v>
      </c>
      <c r="AW204" s="455">
        <f t="shared" si="93"/>
        <v>0</v>
      </c>
      <c r="AX204" s="455">
        <f t="shared" si="94"/>
        <v>0</v>
      </c>
      <c r="AY204" s="386">
        <f t="shared" si="95"/>
        <v>0</v>
      </c>
      <c r="AZ204" s="180">
        <f t="shared" si="98"/>
        <v>0</v>
      </c>
      <c r="BA204" s="449">
        <f t="shared" si="99"/>
        <v>0</v>
      </c>
      <c r="BB204" s="429"/>
      <c r="BC204" s="429"/>
      <c r="BD204" s="429"/>
      <c r="BE204" s="429"/>
      <c r="BF204" s="453" t="str">
        <f t="shared" si="100"/>
        <v>-</v>
      </c>
      <c r="BG204" s="453" t="str">
        <f t="shared" si="101"/>
        <v>-</v>
      </c>
      <c r="BH204" s="453" t="str">
        <f t="shared" si="102"/>
        <v>-</v>
      </c>
      <c r="BI204" s="453" t="str">
        <f t="shared" si="103"/>
        <v>-</v>
      </c>
      <c r="BJ204" s="453" t="str">
        <f t="shared" si="104"/>
        <v>-</v>
      </c>
      <c r="BK204" s="390" t="str">
        <f t="shared" si="105"/>
        <v>-</v>
      </c>
      <c r="BL204" s="125"/>
      <c r="BM204" s="92"/>
      <c r="BN204" s="386">
        <f t="shared" si="124"/>
        <v>0</v>
      </c>
    </row>
    <row r="205" spans="1:66" s="89" customFormat="1" ht="16.350000000000001" customHeight="1">
      <c r="A205" s="175">
        <f t="shared" si="106"/>
        <v>2024</v>
      </c>
      <c r="B205" s="454" t="str">
        <f t="shared" si="107"/>
        <v>43</v>
      </c>
      <c r="C205" s="454" t="str">
        <f t="array" ref="C205">_xlfn.IFS(_xlfn.NUMBERVALUE(B205)&lt;=13,"Q1",AND(_xlfn.NUMBERVALUE(B205)&gt;13,_xlfn.NUMBERVALUE(B205)&lt;=26),"Q2", AND(_xlfn.NUMBERVALUE(B205)&gt;26,_xlfn.NUMBERVALUE(B205)&lt;=39),"Q3",_xlfn.NUMBERVALUE(B205)&gt;39,"Q4")</f>
        <v>Q4</v>
      </c>
      <c r="D205" s="448">
        <f t="shared" si="125"/>
        <v>45248</v>
      </c>
      <c r="E205" s="448">
        <f t="shared" si="108"/>
        <v>45254</v>
      </c>
      <c r="F205" s="79">
        <v>202343</v>
      </c>
      <c r="G205" s="180">
        <f t="shared" si="109"/>
        <v>0</v>
      </c>
      <c r="H205" s="429"/>
      <c r="I205" s="429"/>
      <c r="J205" s="474">
        <f t="shared" si="110"/>
        <v>0</v>
      </c>
      <c r="K205" s="474">
        <f t="shared" si="111"/>
        <v>0</v>
      </c>
      <c r="L205" s="92"/>
      <c r="M205" s="92"/>
      <c r="N205" s="92"/>
      <c r="O205" s="474">
        <f t="shared" si="112"/>
        <v>0</v>
      </c>
      <c r="P205" s="474">
        <f t="shared" si="113"/>
        <v>0</v>
      </c>
      <c r="Q205" s="474">
        <f t="shared" si="114"/>
        <v>0</v>
      </c>
      <c r="R205" s="455">
        <f>Forecast!J200</f>
        <v>0</v>
      </c>
      <c r="S205" s="455">
        <f>Forecast!N200</f>
        <v>0</v>
      </c>
      <c r="T205" s="475">
        <f t="shared" si="115"/>
        <v>0</v>
      </c>
      <c r="U205" s="475">
        <f t="shared" si="116"/>
        <v>0</v>
      </c>
      <c r="V205" s="349">
        <f t="shared" si="117"/>
        <v>0</v>
      </c>
      <c r="W205" s="350">
        <f t="shared" si="118"/>
        <v>0</v>
      </c>
      <c r="X205" s="469">
        <f>'Channel &amp; Campaign Metrics'!AR204</f>
        <v>0</v>
      </c>
      <c r="Y205" s="469">
        <f>'Channel &amp; Campaign Metrics'!BS204</f>
        <v>0</v>
      </c>
      <c r="Z205" s="476"/>
      <c r="AA205" s="339"/>
      <c r="AB205" s="358">
        <f>'Glass Metrics'!AC205</f>
        <v>0</v>
      </c>
      <c r="AC205" s="475">
        <f>'Glass Metrics'!I205</f>
        <v>0</v>
      </c>
      <c r="AD205" s="469">
        <f>'Glass Metrics'!N205</f>
        <v>0</v>
      </c>
      <c r="AE205" s="475">
        <f>'Glass Metrics'!S205</f>
        <v>0</v>
      </c>
      <c r="AF205" s="359" t="str">
        <f t="shared" si="119"/>
        <v/>
      </c>
      <c r="AG205" s="477" t="str">
        <f t="shared" si="120"/>
        <v/>
      </c>
      <c r="AH205" s="472" t="str">
        <f t="shared" si="121"/>
        <v/>
      </c>
      <c r="AI205" s="360" t="str">
        <f t="shared" si="122"/>
        <v/>
      </c>
      <c r="AJ205" s="363" t="str">
        <f t="shared" si="97"/>
        <v/>
      </c>
      <c r="AK205" s="478"/>
      <c r="AL205" s="478"/>
      <c r="AM205" s="429"/>
      <c r="AN205" s="429"/>
      <c r="AO205" s="374" t="str">
        <f t="shared" si="92"/>
        <v/>
      </c>
      <c r="AP205" s="363"/>
      <c r="AQ205" s="479"/>
      <c r="AR205" s="479"/>
      <c r="AS205" s="374">
        <f t="shared" si="96"/>
        <v>0</v>
      </c>
      <c r="AT205" s="125"/>
      <c r="AU205" s="92"/>
      <c r="AV205" s="500">
        <f t="shared" si="123"/>
        <v>0</v>
      </c>
      <c r="AW205" s="455">
        <f t="shared" si="93"/>
        <v>0</v>
      </c>
      <c r="AX205" s="455">
        <f t="shared" si="94"/>
        <v>0</v>
      </c>
      <c r="AY205" s="386">
        <f t="shared" si="95"/>
        <v>0</v>
      </c>
      <c r="AZ205" s="180">
        <f t="shared" si="98"/>
        <v>0</v>
      </c>
      <c r="BA205" s="449">
        <f t="shared" si="99"/>
        <v>0</v>
      </c>
      <c r="BB205" s="429"/>
      <c r="BC205" s="429"/>
      <c r="BD205" s="429"/>
      <c r="BE205" s="429"/>
      <c r="BF205" s="453" t="str">
        <f t="shared" si="100"/>
        <v>-</v>
      </c>
      <c r="BG205" s="453" t="str">
        <f t="shared" si="101"/>
        <v>-</v>
      </c>
      <c r="BH205" s="453" t="str">
        <f t="shared" si="102"/>
        <v>-</v>
      </c>
      <c r="BI205" s="453" t="str">
        <f t="shared" si="103"/>
        <v>-</v>
      </c>
      <c r="BJ205" s="453" t="str">
        <f t="shared" si="104"/>
        <v>-</v>
      </c>
      <c r="BK205" s="390" t="str">
        <f t="shared" si="105"/>
        <v>-</v>
      </c>
      <c r="BL205" s="125"/>
      <c r="BM205" s="92"/>
      <c r="BN205" s="386">
        <f t="shared" si="124"/>
        <v>0</v>
      </c>
    </row>
    <row r="206" spans="1:66" s="89" customFormat="1" ht="16.350000000000001" customHeight="1">
      <c r="A206" s="175">
        <f t="shared" si="106"/>
        <v>2024</v>
      </c>
      <c r="B206" s="454" t="str">
        <f t="shared" si="107"/>
        <v>44</v>
      </c>
      <c r="C206" s="454" t="str">
        <f t="array" ref="C206">_xlfn.IFS(_xlfn.NUMBERVALUE(B206)&lt;=13,"Q1",AND(_xlfn.NUMBERVALUE(B206)&gt;13,_xlfn.NUMBERVALUE(B206)&lt;=26),"Q2", AND(_xlfn.NUMBERVALUE(B206)&gt;26,_xlfn.NUMBERVALUE(B206)&lt;=39),"Q3",_xlfn.NUMBERVALUE(B206)&gt;39,"Q4")</f>
        <v>Q4</v>
      </c>
      <c r="D206" s="448">
        <f t="shared" si="125"/>
        <v>45255</v>
      </c>
      <c r="E206" s="448">
        <f t="shared" si="108"/>
        <v>45261</v>
      </c>
      <c r="F206" s="79">
        <v>202344</v>
      </c>
      <c r="G206" s="180">
        <f t="shared" si="109"/>
        <v>0</v>
      </c>
      <c r="H206" s="429"/>
      <c r="I206" s="429"/>
      <c r="J206" s="474">
        <f t="shared" si="110"/>
        <v>0</v>
      </c>
      <c r="K206" s="474">
        <f t="shared" si="111"/>
        <v>0</v>
      </c>
      <c r="L206" s="92"/>
      <c r="M206" s="92"/>
      <c r="N206" s="92"/>
      <c r="O206" s="474">
        <f t="shared" si="112"/>
        <v>0</v>
      </c>
      <c r="P206" s="474">
        <f t="shared" si="113"/>
        <v>0</v>
      </c>
      <c r="Q206" s="474">
        <f t="shared" si="114"/>
        <v>0</v>
      </c>
      <c r="R206" s="455">
        <f>Forecast!J201</f>
        <v>0</v>
      </c>
      <c r="S206" s="455">
        <f>Forecast!N201</f>
        <v>0</v>
      </c>
      <c r="T206" s="475">
        <f t="shared" si="115"/>
        <v>0</v>
      </c>
      <c r="U206" s="475">
        <f t="shared" si="116"/>
        <v>0</v>
      </c>
      <c r="V206" s="349">
        <f t="shared" si="117"/>
        <v>0</v>
      </c>
      <c r="W206" s="350">
        <f t="shared" si="118"/>
        <v>0</v>
      </c>
      <c r="X206" s="469">
        <f>'Channel &amp; Campaign Metrics'!AR205</f>
        <v>0</v>
      </c>
      <c r="Y206" s="469">
        <f>'Channel &amp; Campaign Metrics'!BS205</f>
        <v>0</v>
      </c>
      <c r="Z206" s="476"/>
      <c r="AA206" s="339"/>
      <c r="AB206" s="358">
        <f>'Glass Metrics'!AC206</f>
        <v>0</v>
      </c>
      <c r="AC206" s="475">
        <f>'Glass Metrics'!I206</f>
        <v>0</v>
      </c>
      <c r="AD206" s="469">
        <f>'Glass Metrics'!N206</f>
        <v>0</v>
      </c>
      <c r="AE206" s="475">
        <f>'Glass Metrics'!S206</f>
        <v>0</v>
      </c>
      <c r="AF206" s="359" t="str">
        <f t="shared" si="119"/>
        <v/>
      </c>
      <c r="AG206" s="477" t="str">
        <f t="shared" si="120"/>
        <v/>
      </c>
      <c r="AH206" s="472" t="str">
        <f t="shared" si="121"/>
        <v/>
      </c>
      <c r="AI206" s="360" t="str">
        <f t="shared" si="122"/>
        <v/>
      </c>
      <c r="AJ206" s="363" t="str">
        <f t="shared" si="97"/>
        <v/>
      </c>
      <c r="AK206" s="478"/>
      <c r="AL206" s="478"/>
      <c r="AM206" s="429"/>
      <c r="AN206" s="429"/>
      <c r="AO206" s="374" t="str">
        <f t="shared" si="92"/>
        <v/>
      </c>
      <c r="AP206" s="363"/>
      <c r="AQ206" s="479"/>
      <c r="AR206" s="479"/>
      <c r="AS206" s="374">
        <f t="shared" si="96"/>
        <v>0</v>
      </c>
      <c r="AT206" s="125"/>
      <c r="AU206" s="92"/>
      <c r="AV206" s="500">
        <f t="shared" si="123"/>
        <v>0</v>
      </c>
      <c r="AW206" s="455">
        <f t="shared" si="93"/>
        <v>0</v>
      </c>
      <c r="AX206" s="455">
        <f t="shared" si="94"/>
        <v>0</v>
      </c>
      <c r="AY206" s="386">
        <f t="shared" si="95"/>
        <v>0</v>
      </c>
      <c r="AZ206" s="180">
        <f t="shared" si="98"/>
        <v>0</v>
      </c>
      <c r="BA206" s="449">
        <f t="shared" si="99"/>
        <v>0</v>
      </c>
      <c r="BB206" s="429"/>
      <c r="BC206" s="429"/>
      <c r="BD206" s="429"/>
      <c r="BE206" s="429"/>
      <c r="BF206" s="453" t="str">
        <f t="shared" si="100"/>
        <v>-</v>
      </c>
      <c r="BG206" s="453" t="str">
        <f t="shared" si="101"/>
        <v>-</v>
      </c>
      <c r="BH206" s="453" t="str">
        <f t="shared" si="102"/>
        <v>-</v>
      </c>
      <c r="BI206" s="453" t="str">
        <f t="shared" si="103"/>
        <v>-</v>
      </c>
      <c r="BJ206" s="453" t="str">
        <f t="shared" si="104"/>
        <v>-</v>
      </c>
      <c r="BK206" s="390" t="str">
        <f t="shared" si="105"/>
        <v>-</v>
      </c>
      <c r="BL206" s="125"/>
      <c r="BM206" s="92"/>
      <c r="BN206" s="386">
        <f t="shared" si="124"/>
        <v>0</v>
      </c>
    </row>
    <row r="207" spans="1:66" s="89" customFormat="1" ht="16.350000000000001" customHeight="1">
      <c r="A207" s="175">
        <f t="shared" si="106"/>
        <v>2024</v>
      </c>
      <c r="B207" s="454" t="str">
        <f t="shared" si="107"/>
        <v>45</v>
      </c>
      <c r="C207" s="454" t="str">
        <f t="array" ref="C207">_xlfn.IFS(_xlfn.NUMBERVALUE(B207)&lt;=13,"Q1",AND(_xlfn.NUMBERVALUE(B207)&gt;13,_xlfn.NUMBERVALUE(B207)&lt;=26),"Q2", AND(_xlfn.NUMBERVALUE(B207)&gt;26,_xlfn.NUMBERVALUE(B207)&lt;=39),"Q3",_xlfn.NUMBERVALUE(B207)&gt;39,"Q4")</f>
        <v>Q4</v>
      </c>
      <c r="D207" s="448">
        <f t="shared" si="125"/>
        <v>45262</v>
      </c>
      <c r="E207" s="448">
        <f t="shared" si="108"/>
        <v>45268</v>
      </c>
      <c r="F207" s="79">
        <v>202345</v>
      </c>
      <c r="G207" s="180">
        <f t="shared" si="109"/>
        <v>0</v>
      </c>
      <c r="H207" s="429"/>
      <c r="I207" s="429"/>
      <c r="J207" s="474">
        <f t="shared" si="110"/>
        <v>0</v>
      </c>
      <c r="K207" s="474">
        <f t="shared" si="111"/>
        <v>0</v>
      </c>
      <c r="L207" s="92"/>
      <c r="M207" s="92"/>
      <c r="N207" s="92"/>
      <c r="O207" s="474">
        <f t="shared" si="112"/>
        <v>0</v>
      </c>
      <c r="P207" s="474">
        <f t="shared" si="113"/>
        <v>0</v>
      </c>
      <c r="Q207" s="474">
        <f t="shared" si="114"/>
        <v>0</v>
      </c>
      <c r="R207" s="455">
        <f>Forecast!J202</f>
        <v>0</v>
      </c>
      <c r="S207" s="455">
        <f>Forecast!N202</f>
        <v>0</v>
      </c>
      <c r="T207" s="475">
        <f t="shared" si="115"/>
        <v>0</v>
      </c>
      <c r="U207" s="475">
        <f t="shared" si="116"/>
        <v>0</v>
      </c>
      <c r="V207" s="349">
        <f t="shared" si="117"/>
        <v>0</v>
      </c>
      <c r="W207" s="350">
        <f t="shared" si="118"/>
        <v>0</v>
      </c>
      <c r="X207" s="469">
        <f>'Channel &amp; Campaign Metrics'!AR206</f>
        <v>0</v>
      </c>
      <c r="Y207" s="469">
        <f>'Channel &amp; Campaign Metrics'!BS206</f>
        <v>0</v>
      </c>
      <c r="Z207" s="476"/>
      <c r="AA207" s="339"/>
      <c r="AB207" s="358">
        <f>'Glass Metrics'!AC207</f>
        <v>0</v>
      </c>
      <c r="AC207" s="475">
        <f>'Glass Metrics'!I207</f>
        <v>0</v>
      </c>
      <c r="AD207" s="469">
        <f>'Glass Metrics'!N207</f>
        <v>0</v>
      </c>
      <c r="AE207" s="475">
        <f>'Glass Metrics'!S207</f>
        <v>0</v>
      </c>
      <c r="AF207" s="359" t="str">
        <f t="shared" si="119"/>
        <v/>
      </c>
      <c r="AG207" s="477" t="str">
        <f t="shared" si="120"/>
        <v/>
      </c>
      <c r="AH207" s="472" t="str">
        <f t="shared" si="121"/>
        <v/>
      </c>
      <c r="AI207" s="360" t="str">
        <f t="shared" si="122"/>
        <v/>
      </c>
      <c r="AJ207" s="363" t="str">
        <f t="shared" si="97"/>
        <v/>
      </c>
      <c r="AK207" s="478"/>
      <c r="AL207" s="478"/>
      <c r="AM207" s="429"/>
      <c r="AN207" s="429"/>
      <c r="AO207" s="374" t="str">
        <f t="shared" si="92"/>
        <v/>
      </c>
      <c r="AP207" s="363"/>
      <c r="AQ207" s="479"/>
      <c r="AR207" s="479"/>
      <c r="AS207" s="374">
        <f t="shared" si="96"/>
        <v>0</v>
      </c>
      <c r="AT207" s="125"/>
      <c r="AU207" s="92"/>
      <c r="AV207" s="500">
        <f t="shared" si="123"/>
        <v>0</v>
      </c>
      <c r="AW207" s="455">
        <f t="shared" si="93"/>
        <v>0</v>
      </c>
      <c r="AX207" s="455">
        <f t="shared" si="94"/>
        <v>0</v>
      </c>
      <c r="AY207" s="386">
        <f t="shared" si="95"/>
        <v>0</v>
      </c>
      <c r="AZ207" s="180">
        <f t="shared" si="98"/>
        <v>0</v>
      </c>
      <c r="BA207" s="449">
        <f t="shared" si="99"/>
        <v>0</v>
      </c>
      <c r="BB207" s="429"/>
      <c r="BC207" s="429"/>
      <c r="BD207" s="429"/>
      <c r="BE207" s="429"/>
      <c r="BF207" s="453" t="str">
        <f t="shared" si="100"/>
        <v>-</v>
      </c>
      <c r="BG207" s="453" t="str">
        <f t="shared" si="101"/>
        <v>-</v>
      </c>
      <c r="BH207" s="453" t="str">
        <f t="shared" si="102"/>
        <v>-</v>
      </c>
      <c r="BI207" s="453" t="str">
        <f t="shared" si="103"/>
        <v>-</v>
      </c>
      <c r="BJ207" s="453" t="str">
        <f t="shared" si="104"/>
        <v>-</v>
      </c>
      <c r="BK207" s="390" t="str">
        <f t="shared" si="105"/>
        <v>-</v>
      </c>
      <c r="BL207" s="125"/>
      <c r="BM207" s="92"/>
      <c r="BN207" s="386">
        <f t="shared" si="124"/>
        <v>0</v>
      </c>
    </row>
    <row r="208" spans="1:66" s="89" customFormat="1" ht="16.350000000000001" customHeight="1">
      <c r="A208" s="175">
        <f t="shared" si="106"/>
        <v>2024</v>
      </c>
      <c r="B208" s="454" t="str">
        <f t="shared" si="107"/>
        <v>46</v>
      </c>
      <c r="C208" s="454" t="str">
        <f t="array" ref="C208">_xlfn.IFS(_xlfn.NUMBERVALUE(B208)&lt;=13,"Q1",AND(_xlfn.NUMBERVALUE(B208)&gt;13,_xlfn.NUMBERVALUE(B208)&lt;=26),"Q2", AND(_xlfn.NUMBERVALUE(B208)&gt;26,_xlfn.NUMBERVALUE(B208)&lt;=39),"Q3",_xlfn.NUMBERVALUE(B208)&gt;39,"Q4")</f>
        <v>Q4</v>
      </c>
      <c r="D208" s="448">
        <f t="shared" si="125"/>
        <v>45269</v>
      </c>
      <c r="E208" s="448">
        <f t="shared" si="108"/>
        <v>45275</v>
      </c>
      <c r="F208" s="79">
        <v>202346</v>
      </c>
      <c r="G208" s="180">
        <f t="shared" si="109"/>
        <v>0</v>
      </c>
      <c r="H208" s="429"/>
      <c r="I208" s="429"/>
      <c r="J208" s="474">
        <f t="shared" si="110"/>
        <v>0</v>
      </c>
      <c r="K208" s="474">
        <f t="shared" si="111"/>
        <v>0</v>
      </c>
      <c r="L208" s="92"/>
      <c r="M208" s="92"/>
      <c r="N208" s="92"/>
      <c r="O208" s="474">
        <f t="shared" si="112"/>
        <v>0</v>
      </c>
      <c r="P208" s="474">
        <f t="shared" si="113"/>
        <v>0</v>
      </c>
      <c r="Q208" s="474">
        <f t="shared" si="114"/>
        <v>0</v>
      </c>
      <c r="R208" s="455">
        <f>Forecast!J203</f>
        <v>0</v>
      </c>
      <c r="S208" s="455">
        <f>Forecast!N203</f>
        <v>0</v>
      </c>
      <c r="T208" s="475">
        <f t="shared" si="115"/>
        <v>0</v>
      </c>
      <c r="U208" s="475">
        <f t="shared" si="116"/>
        <v>0</v>
      </c>
      <c r="V208" s="349">
        <f t="shared" si="117"/>
        <v>0</v>
      </c>
      <c r="W208" s="350">
        <f t="shared" si="118"/>
        <v>0</v>
      </c>
      <c r="X208" s="469">
        <f>'Channel &amp; Campaign Metrics'!AR207</f>
        <v>0</v>
      </c>
      <c r="Y208" s="469">
        <f>'Channel &amp; Campaign Metrics'!BS207</f>
        <v>0</v>
      </c>
      <c r="Z208" s="476"/>
      <c r="AA208" s="339"/>
      <c r="AB208" s="358">
        <f>'Glass Metrics'!AC208</f>
        <v>0</v>
      </c>
      <c r="AC208" s="475">
        <f>'Glass Metrics'!I208</f>
        <v>0</v>
      </c>
      <c r="AD208" s="469">
        <f>'Glass Metrics'!N208</f>
        <v>0</v>
      </c>
      <c r="AE208" s="475">
        <f>'Glass Metrics'!S208</f>
        <v>0</v>
      </c>
      <c r="AF208" s="359" t="str">
        <f t="shared" si="119"/>
        <v/>
      </c>
      <c r="AG208" s="477" t="str">
        <f t="shared" si="120"/>
        <v/>
      </c>
      <c r="AH208" s="472" t="str">
        <f t="shared" si="121"/>
        <v/>
      </c>
      <c r="AI208" s="360" t="str">
        <f t="shared" si="122"/>
        <v/>
      </c>
      <c r="AJ208" s="363" t="str">
        <f t="shared" si="97"/>
        <v/>
      </c>
      <c r="AK208" s="478"/>
      <c r="AL208" s="478"/>
      <c r="AM208" s="429"/>
      <c r="AN208" s="429"/>
      <c r="AO208" s="374" t="str">
        <f t="shared" si="92"/>
        <v/>
      </c>
      <c r="AP208" s="363"/>
      <c r="AQ208" s="479"/>
      <c r="AR208" s="479"/>
      <c r="AS208" s="374">
        <f t="shared" si="96"/>
        <v>0</v>
      </c>
      <c r="AT208" s="125"/>
      <c r="AU208" s="92"/>
      <c r="AV208" s="500">
        <f t="shared" si="123"/>
        <v>0</v>
      </c>
      <c r="AW208" s="455">
        <f t="shared" si="93"/>
        <v>0</v>
      </c>
      <c r="AX208" s="455">
        <f t="shared" si="94"/>
        <v>0</v>
      </c>
      <c r="AY208" s="386">
        <f t="shared" si="95"/>
        <v>0</v>
      </c>
      <c r="AZ208" s="180">
        <f t="shared" si="98"/>
        <v>0</v>
      </c>
      <c r="BA208" s="449">
        <f t="shared" si="99"/>
        <v>0</v>
      </c>
      <c r="BB208" s="429"/>
      <c r="BC208" s="429"/>
      <c r="BD208" s="429"/>
      <c r="BE208" s="429"/>
      <c r="BF208" s="453" t="str">
        <f t="shared" si="100"/>
        <v>-</v>
      </c>
      <c r="BG208" s="453" t="str">
        <f t="shared" si="101"/>
        <v>-</v>
      </c>
      <c r="BH208" s="453" t="str">
        <f t="shared" si="102"/>
        <v>-</v>
      </c>
      <c r="BI208" s="453" t="str">
        <f t="shared" si="103"/>
        <v>-</v>
      </c>
      <c r="BJ208" s="453" t="str">
        <f t="shared" si="104"/>
        <v>-</v>
      </c>
      <c r="BK208" s="390" t="str">
        <f t="shared" si="105"/>
        <v>-</v>
      </c>
      <c r="BL208" s="125"/>
      <c r="BM208" s="92"/>
      <c r="BN208" s="386">
        <f t="shared" si="124"/>
        <v>0</v>
      </c>
    </row>
    <row r="209" spans="1:66" s="89" customFormat="1" ht="16.350000000000001" customHeight="1">
      <c r="A209" s="175">
        <f t="shared" si="106"/>
        <v>2024</v>
      </c>
      <c r="B209" s="454" t="str">
        <f t="shared" si="107"/>
        <v>47</v>
      </c>
      <c r="C209" s="454" t="str">
        <f t="array" ref="C209">_xlfn.IFS(_xlfn.NUMBERVALUE(B209)&lt;=13,"Q1",AND(_xlfn.NUMBERVALUE(B209)&gt;13,_xlfn.NUMBERVALUE(B209)&lt;=26),"Q2", AND(_xlfn.NUMBERVALUE(B209)&gt;26,_xlfn.NUMBERVALUE(B209)&lt;=39),"Q3",_xlfn.NUMBERVALUE(B209)&gt;39,"Q4")</f>
        <v>Q4</v>
      </c>
      <c r="D209" s="448">
        <f t="shared" si="125"/>
        <v>45276</v>
      </c>
      <c r="E209" s="448">
        <f t="shared" si="108"/>
        <v>45282</v>
      </c>
      <c r="F209" s="79">
        <v>202347</v>
      </c>
      <c r="G209" s="180">
        <f t="shared" si="109"/>
        <v>0</v>
      </c>
      <c r="H209" s="429"/>
      <c r="I209" s="429"/>
      <c r="J209" s="474">
        <f t="shared" si="110"/>
        <v>0</v>
      </c>
      <c r="K209" s="474">
        <f t="shared" si="111"/>
        <v>0</v>
      </c>
      <c r="L209" s="92"/>
      <c r="M209" s="92"/>
      <c r="N209" s="92"/>
      <c r="O209" s="474">
        <f t="shared" si="112"/>
        <v>0</v>
      </c>
      <c r="P209" s="474">
        <f t="shared" si="113"/>
        <v>0</v>
      </c>
      <c r="Q209" s="474">
        <f t="shared" si="114"/>
        <v>0</v>
      </c>
      <c r="R209" s="455">
        <f>Forecast!J204</f>
        <v>0</v>
      </c>
      <c r="S209" s="455">
        <f>Forecast!N204</f>
        <v>0</v>
      </c>
      <c r="T209" s="475">
        <f t="shared" si="115"/>
        <v>0</v>
      </c>
      <c r="U209" s="475">
        <f t="shared" si="116"/>
        <v>0</v>
      </c>
      <c r="V209" s="349">
        <f t="shared" si="117"/>
        <v>0</v>
      </c>
      <c r="W209" s="350">
        <f t="shared" si="118"/>
        <v>0</v>
      </c>
      <c r="X209" s="469">
        <f>'Channel &amp; Campaign Metrics'!AR208</f>
        <v>0</v>
      </c>
      <c r="Y209" s="469">
        <f>'Channel &amp; Campaign Metrics'!BS208</f>
        <v>0</v>
      </c>
      <c r="Z209" s="476"/>
      <c r="AA209" s="339"/>
      <c r="AB209" s="358">
        <f>'Glass Metrics'!AC209</f>
        <v>0</v>
      </c>
      <c r="AC209" s="475">
        <f>'Glass Metrics'!I209</f>
        <v>0</v>
      </c>
      <c r="AD209" s="469">
        <f>'Glass Metrics'!N209</f>
        <v>0</v>
      </c>
      <c r="AE209" s="475">
        <f>'Glass Metrics'!S209</f>
        <v>0</v>
      </c>
      <c r="AF209" s="359" t="str">
        <f t="shared" si="119"/>
        <v/>
      </c>
      <c r="AG209" s="477" t="str">
        <f t="shared" si="120"/>
        <v/>
      </c>
      <c r="AH209" s="472" t="str">
        <f t="shared" si="121"/>
        <v/>
      </c>
      <c r="AI209" s="360" t="str">
        <f t="shared" si="122"/>
        <v/>
      </c>
      <c r="AJ209" s="363" t="str">
        <f t="shared" si="97"/>
        <v/>
      </c>
      <c r="AK209" s="478"/>
      <c r="AL209" s="478"/>
      <c r="AM209" s="429"/>
      <c r="AN209" s="429"/>
      <c r="AO209" s="374" t="str">
        <f t="shared" si="92"/>
        <v/>
      </c>
      <c r="AP209" s="363"/>
      <c r="AQ209" s="479"/>
      <c r="AR209" s="479"/>
      <c r="AS209" s="374">
        <f t="shared" ref="AS209:AS240" si="126">AP209</f>
        <v>0</v>
      </c>
      <c r="AT209" s="125"/>
      <c r="AU209" s="92"/>
      <c r="AV209" s="500">
        <f t="shared" si="123"/>
        <v>0</v>
      </c>
      <c r="AW209" s="455">
        <f t="shared" si="93"/>
        <v>0</v>
      </c>
      <c r="AX209" s="455">
        <f t="shared" si="94"/>
        <v>0</v>
      </c>
      <c r="AY209" s="386">
        <f t="shared" si="95"/>
        <v>0</v>
      </c>
      <c r="AZ209" s="180">
        <f t="shared" si="98"/>
        <v>0</v>
      </c>
      <c r="BA209" s="449">
        <f t="shared" si="99"/>
        <v>0</v>
      </c>
      <c r="BB209" s="429"/>
      <c r="BC209" s="429"/>
      <c r="BD209" s="429"/>
      <c r="BE209" s="429"/>
      <c r="BF209" s="453" t="str">
        <f t="shared" si="100"/>
        <v>-</v>
      </c>
      <c r="BG209" s="453" t="str">
        <f t="shared" si="101"/>
        <v>-</v>
      </c>
      <c r="BH209" s="453" t="str">
        <f t="shared" si="102"/>
        <v>-</v>
      </c>
      <c r="BI209" s="453" t="str">
        <f t="shared" si="103"/>
        <v>-</v>
      </c>
      <c r="BJ209" s="453" t="str">
        <f t="shared" si="104"/>
        <v>-</v>
      </c>
      <c r="BK209" s="390" t="str">
        <f t="shared" si="105"/>
        <v>-</v>
      </c>
      <c r="BL209" s="125"/>
      <c r="BM209" s="92"/>
      <c r="BN209" s="386">
        <f t="shared" si="124"/>
        <v>0</v>
      </c>
    </row>
    <row r="210" spans="1:66" s="89" customFormat="1" ht="16.350000000000001" customHeight="1">
      <c r="A210" s="175">
        <f t="shared" si="106"/>
        <v>2024</v>
      </c>
      <c r="B210" s="454" t="str">
        <f t="shared" si="107"/>
        <v>48</v>
      </c>
      <c r="C210" s="454" t="str">
        <f t="array" ref="C210">_xlfn.IFS(_xlfn.NUMBERVALUE(B210)&lt;=13,"Q1",AND(_xlfn.NUMBERVALUE(B210)&gt;13,_xlfn.NUMBERVALUE(B210)&lt;=26),"Q2", AND(_xlfn.NUMBERVALUE(B210)&gt;26,_xlfn.NUMBERVALUE(B210)&lt;=39),"Q3",_xlfn.NUMBERVALUE(B210)&gt;39,"Q4")</f>
        <v>Q4</v>
      </c>
      <c r="D210" s="448">
        <f t="shared" si="125"/>
        <v>45283</v>
      </c>
      <c r="E210" s="448">
        <f t="shared" si="108"/>
        <v>45289</v>
      </c>
      <c r="F210" s="79">
        <v>202348</v>
      </c>
      <c r="G210" s="180">
        <f t="shared" si="109"/>
        <v>0</v>
      </c>
      <c r="H210" s="429"/>
      <c r="I210" s="429"/>
      <c r="J210" s="474">
        <f t="shared" si="110"/>
        <v>0</v>
      </c>
      <c r="K210" s="474">
        <f t="shared" si="111"/>
        <v>0</v>
      </c>
      <c r="L210" s="92"/>
      <c r="M210" s="92"/>
      <c r="N210" s="92"/>
      <c r="O210" s="474">
        <f t="shared" si="112"/>
        <v>0</v>
      </c>
      <c r="P210" s="474">
        <f t="shared" si="113"/>
        <v>0</v>
      </c>
      <c r="Q210" s="474">
        <f t="shared" si="114"/>
        <v>0</v>
      </c>
      <c r="R210" s="455">
        <f>Forecast!J205</f>
        <v>0</v>
      </c>
      <c r="S210" s="455">
        <f>Forecast!N205</f>
        <v>0</v>
      </c>
      <c r="T210" s="475">
        <f t="shared" si="115"/>
        <v>0</v>
      </c>
      <c r="U210" s="475">
        <f t="shared" si="116"/>
        <v>0</v>
      </c>
      <c r="V210" s="349">
        <f t="shared" si="117"/>
        <v>0</v>
      </c>
      <c r="W210" s="350">
        <f t="shared" si="118"/>
        <v>0</v>
      </c>
      <c r="X210" s="469">
        <f>'Channel &amp; Campaign Metrics'!AR209</f>
        <v>0</v>
      </c>
      <c r="Y210" s="469">
        <f>'Channel &amp; Campaign Metrics'!BS209</f>
        <v>0</v>
      </c>
      <c r="Z210" s="476"/>
      <c r="AA210" s="339"/>
      <c r="AB210" s="358">
        <f>'Glass Metrics'!AC210</f>
        <v>0</v>
      </c>
      <c r="AC210" s="475">
        <f>'Glass Metrics'!I210</f>
        <v>0</v>
      </c>
      <c r="AD210" s="469">
        <f>'Glass Metrics'!N210</f>
        <v>0</v>
      </c>
      <c r="AE210" s="475">
        <f>'Glass Metrics'!S210</f>
        <v>0</v>
      </c>
      <c r="AF210" s="359" t="str">
        <f t="shared" si="119"/>
        <v/>
      </c>
      <c r="AG210" s="477" t="str">
        <f t="shared" si="120"/>
        <v/>
      </c>
      <c r="AH210" s="472" t="str">
        <f t="shared" si="121"/>
        <v/>
      </c>
      <c r="AI210" s="360" t="str">
        <f t="shared" si="122"/>
        <v/>
      </c>
      <c r="AJ210" s="363" t="str">
        <f t="shared" si="97"/>
        <v/>
      </c>
      <c r="AK210" s="478"/>
      <c r="AL210" s="478"/>
      <c r="AM210" s="429"/>
      <c r="AN210" s="429"/>
      <c r="AO210" s="374" t="str">
        <f t="shared" si="92"/>
        <v/>
      </c>
      <c r="AP210" s="363"/>
      <c r="AQ210" s="479"/>
      <c r="AR210" s="479"/>
      <c r="AS210" s="374">
        <f t="shared" si="126"/>
        <v>0</v>
      </c>
      <c r="AT210" s="125"/>
      <c r="AU210" s="92"/>
      <c r="AV210" s="500">
        <f t="shared" si="123"/>
        <v>0</v>
      </c>
      <c r="AW210" s="455">
        <f t="shared" si="93"/>
        <v>0</v>
      </c>
      <c r="AX210" s="455">
        <f t="shared" si="94"/>
        <v>0</v>
      </c>
      <c r="AY210" s="386">
        <f t="shared" si="95"/>
        <v>0</v>
      </c>
      <c r="AZ210" s="180">
        <f t="shared" si="98"/>
        <v>0</v>
      </c>
      <c r="BA210" s="449">
        <f t="shared" si="99"/>
        <v>0</v>
      </c>
      <c r="BB210" s="429"/>
      <c r="BC210" s="429"/>
      <c r="BD210" s="429"/>
      <c r="BE210" s="429"/>
      <c r="BF210" s="453" t="str">
        <f t="shared" si="100"/>
        <v>-</v>
      </c>
      <c r="BG210" s="453" t="str">
        <f t="shared" si="101"/>
        <v>-</v>
      </c>
      <c r="BH210" s="453" t="str">
        <f t="shared" si="102"/>
        <v>-</v>
      </c>
      <c r="BI210" s="453" t="str">
        <f t="shared" si="103"/>
        <v>-</v>
      </c>
      <c r="BJ210" s="453" t="str">
        <f t="shared" si="104"/>
        <v>-</v>
      </c>
      <c r="BK210" s="390" t="str">
        <f t="shared" si="105"/>
        <v>-</v>
      </c>
      <c r="BL210" s="125"/>
      <c r="BM210" s="92"/>
      <c r="BN210" s="386">
        <f t="shared" si="124"/>
        <v>0</v>
      </c>
    </row>
    <row r="211" spans="1:66" s="89" customFormat="1" ht="16.350000000000001" customHeight="1">
      <c r="A211" s="175">
        <f t="shared" si="106"/>
        <v>2024</v>
      </c>
      <c r="B211" s="454" t="str">
        <f t="shared" si="107"/>
        <v>49</v>
      </c>
      <c r="C211" s="454" t="str">
        <f t="array" ref="C211">_xlfn.IFS(_xlfn.NUMBERVALUE(B211)&lt;=13,"Q1",AND(_xlfn.NUMBERVALUE(B211)&gt;13,_xlfn.NUMBERVALUE(B211)&lt;=26),"Q2", AND(_xlfn.NUMBERVALUE(B211)&gt;26,_xlfn.NUMBERVALUE(B211)&lt;=39),"Q3",_xlfn.NUMBERVALUE(B211)&gt;39,"Q4")</f>
        <v>Q4</v>
      </c>
      <c r="D211" s="448">
        <f t="shared" si="125"/>
        <v>45290</v>
      </c>
      <c r="E211" s="448">
        <f t="shared" si="108"/>
        <v>45296</v>
      </c>
      <c r="F211" s="79">
        <v>202349</v>
      </c>
      <c r="G211" s="180">
        <f t="shared" si="109"/>
        <v>330754.05</v>
      </c>
      <c r="H211" s="429">
        <f t="shared" ref="H211:H242" si="127">1.5 * (BB211+BD211)</f>
        <v>123386.54999999999</v>
      </c>
      <c r="I211" s="429">
        <f t="shared" ref="I211:I242" si="128">1.5*(BC211+BE211)</f>
        <v>207367.5</v>
      </c>
      <c r="J211" s="474">
        <f t="shared" si="110"/>
        <v>0.37304622573782542</v>
      </c>
      <c r="K211" s="474">
        <f t="shared" si="111"/>
        <v>0.62695377426217458</v>
      </c>
      <c r="L211" s="92">
        <f t="shared" ref="L211:L242" si="129">AZ211+BA211</f>
        <v>110251.34999999999</v>
      </c>
      <c r="M211" s="92">
        <f t="shared" ref="M211:M214" si="130">BB211+BC211</f>
        <v>163031</v>
      </c>
      <c r="N211" s="92">
        <f t="shared" ref="N211:N242" si="131">BD211+BE211</f>
        <v>57471.7</v>
      </c>
      <c r="O211" s="474">
        <f t="shared" si="112"/>
        <v>0.33333333333333331</v>
      </c>
      <c r="P211" s="474">
        <f t="shared" si="113"/>
        <v>0.49290704074523051</v>
      </c>
      <c r="Q211" s="474">
        <f t="shared" si="114"/>
        <v>0.17375962592143618</v>
      </c>
      <c r="R211" s="455">
        <f>Forecast!J206</f>
        <v>0</v>
      </c>
      <c r="S211" s="455">
        <f>Forecast!N206</f>
        <v>0</v>
      </c>
      <c r="T211" s="475">
        <f t="shared" si="115"/>
        <v>330754.05</v>
      </c>
      <c r="U211" s="475">
        <f t="shared" si="116"/>
        <v>0</v>
      </c>
      <c r="V211" s="349">
        <f t="shared" si="117"/>
        <v>0</v>
      </c>
      <c r="W211" s="350">
        <f t="shared" si="118"/>
        <v>0</v>
      </c>
      <c r="X211" s="469">
        <f>'Channel &amp; Campaign Metrics'!AR210</f>
        <v>0</v>
      </c>
      <c r="Y211" s="469">
        <f>'Channel &amp; Campaign Metrics'!BS210</f>
        <v>0</v>
      </c>
      <c r="Z211" s="476">
        <f t="shared" ref="Z211:Z242" si="132">W211*0.6</f>
        <v>0</v>
      </c>
      <c r="AA211" s="476">
        <f t="shared" ref="AA211:AA242" si="133">W211*0.4</f>
        <v>0</v>
      </c>
      <c r="AB211" s="358">
        <f>'Glass Metrics'!AC211</f>
        <v>122171</v>
      </c>
      <c r="AC211" s="475">
        <f>'Glass Metrics'!I211</f>
        <v>139847</v>
      </c>
      <c r="AD211" s="469">
        <f>'Glass Metrics'!N211</f>
        <v>163239</v>
      </c>
      <c r="AE211" s="475">
        <f>'Glass Metrics'!S211</f>
        <v>167446</v>
      </c>
      <c r="AF211" s="359">
        <f t="shared" si="119"/>
        <v>1.3705871278781381</v>
      </c>
      <c r="AG211" s="477">
        <f t="shared" si="120"/>
        <v>0.83517671368680058</v>
      </c>
      <c r="AH211" s="472">
        <f t="shared" si="121"/>
        <v>1.1672685148769726</v>
      </c>
      <c r="AI211" s="360">
        <f t="shared" si="122"/>
        <v>2.707304106539195</v>
      </c>
      <c r="AJ211" s="363">
        <f t="shared" si="97"/>
        <v>0.50468092408678122</v>
      </c>
      <c r="AK211" s="478">
        <v>0.49897448115998938</v>
      </c>
      <c r="AL211" s="478">
        <v>0.51109624518651819</v>
      </c>
      <c r="AM211" s="429">
        <v>72997</v>
      </c>
      <c r="AN211" s="429">
        <v>64931</v>
      </c>
      <c r="AO211" s="374">
        <f t="shared" si="92"/>
        <v>0.50468092408678122</v>
      </c>
      <c r="AP211" s="363"/>
      <c r="AQ211" s="493">
        <v>0.41456594257707741</v>
      </c>
      <c r="AR211" s="493">
        <v>0.67013895267211765</v>
      </c>
      <c r="AS211" s="374">
        <f t="shared" si="126"/>
        <v>0</v>
      </c>
      <c r="AT211" s="92">
        <v>10349</v>
      </c>
      <c r="AU211" s="92">
        <f t="shared" ref="AU211:AU242" si="134">AV211-AT211</f>
        <v>33860</v>
      </c>
      <c r="AV211" s="500">
        <f>'Channel &amp; Campaign Metrics'!Z210</f>
        <v>44209</v>
      </c>
      <c r="AW211" s="455">
        <f t="shared" si="93"/>
        <v>3104.7000000000007</v>
      </c>
      <c r="AX211" s="455">
        <f t="shared" si="94"/>
        <v>10158</v>
      </c>
      <c r="AY211" s="386">
        <f t="shared" si="95"/>
        <v>13262.7</v>
      </c>
      <c r="AZ211" s="180">
        <f t="shared" si="98"/>
        <v>41128.849999999991</v>
      </c>
      <c r="BA211" s="449">
        <f t="shared" si="99"/>
        <v>69122.5</v>
      </c>
      <c r="BB211" s="92">
        <v>68804</v>
      </c>
      <c r="BC211" s="92">
        <v>94227</v>
      </c>
      <c r="BD211" s="92">
        <f t="shared" ref="BD211:BD242" si="135">1.3*AT211</f>
        <v>13453.7</v>
      </c>
      <c r="BE211" s="92">
        <f t="shared" ref="BE211:BE242" si="136">1.3*AU211</f>
        <v>44018</v>
      </c>
      <c r="BF211" s="453">
        <f t="shared" si="100"/>
        <v>0.37304622573782537</v>
      </c>
      <c r="BG211" s="453">
        <f t="shared" si="101"/>
        <v>0.62695377426217458</v>
      </c>
      <c r="BH211" s="453">
        <f t="shared" si="102"/>
        <v>0.42203016604204108</v>
      </c>
      <c r="BI211" s="453">
        <f t="shared" si="103"/>
        <v>0.57796983395795887</v>
      </c>
      <c r="BJ211" s="453">
        <f t="shared" si="104"/>
        <v>0.23409260557804976</v>
      </c>
      <c r="BK211" s="390">
        <f t="shared" si="105"/>
        <v>0.76590739442195033</v>
      </c>
      <c r="BL211" s="125">
        <v>61050</v>
      </c>
      <c r="BM211" s="92">
        <v>78080</v>
      </c>
      <c r="BN211" s="386">
        <f t="shared" si="124"/>
        <v>139130</v>
      </c>
    </row>
    <row r="212" spans="1:66" s="89" customFormat="1" ht="16.350000000000001" customHeight="1">
      <c r="A212" s="175">
        <f t="shared" si="106"/>
        <v>2024</v>
      </c>
      <c r="B212" s="454" t="str">
        <f t="shared" si="107"/>
        <v>50</v>
      </c>
      <c r="C212" s="454" t="str">
        <f t="array" ref="C212">_xlfn.IFS(_xlfn.NUMBERVALUE(B212)&lt;=13,"Q1",AND(_xlfn.NUMBERVALUE(B212)&gt;13,_xlfn.NUMBERVALUE(B212)&lt;=26),"Q2", AND(_xlfn.NUMBERVALUE(B212)&gt;26,_xlfn.NUMBERVALUE(B212)&lt;=39),"Q3",_xlfn.NUMBERVALUE(B212)&gt;39,"Q4")</f>
        <v>Q4</v>
      </c>
      <c r="D212" s="448">
        <f t="shared" si="125"/>
        <v>45297</v>
      </c>
      <c r="E212" s="448">
        <f t="shared" si="108"/>
        <v>45303</v>
      </c>
      <c r="F212" s="79">
        <v>202350</v>
      </c>
      <c r="G212" s="180">
        <f t="shared" si="109"/>
        <v>357467.25</v>
      </c>
      <c r="H212" s="429">
        <f t="shared" si="127"/>
        <v>138898.95000000001</v>
      </c>
      <c r="I212" s="429">
        <f t="shared" si="128"/>
        <v>218568.30000000002</v>
      </c>
      <c r="J212" s="474">
        <f t="shared" si="110"/>
        <v>0.38856412720326133</v>
      </c>
      <c r="K212" s="474">
        <f t="shared" si="111"/>
        <v>0.61143587279673872</v>
      </c>
      <c r="L212" s="92">
        <f t="shared" si="129"/>
        <v>119155.75000000001</v>
      </c>
      <c r="M212" s="92">
        <f t="shared" si="130"/>
        <v>162008</v>
      </c>
      <c r="N212" s="92">
        <f t="shared" si="131"/>
        <v>76303.5</v>
      </c>
      <c r="O212" s="474">
        <f t="shared" si="112"/>
        <v>0.33333333333333337</v>
      </c>
      <c r="P212" s="474">
        <f t="shared" si="113"/>
        <v>0.45321074867697669</v>
      </c>
      <c r="Q212" s="474">
        <f t="shared" si="114"/>
        <v>0.21345591798968996</v>
      </c>
      <c r="R212" s="455">
        <f>Forecast!J207</f>
        <v>239939</v>
      </c>
      <c r="S212" s="455">
        <f>Forecast!N207</f>
        <v>235009</v>
      </c>
      <c r="T212" s="475">
        <f t="shared" si="115"/>
        <v>688221.3</v>
      </c>
      <c r="U212" s="475">
        <f t="shared" si="116"/>
        <v>239939</v>
      </c>
      <c r="V212" s="349">
        <f t="shared" si="117"/>
        <v>235009</v>
      </c>
      <c r="W212" s="350">
        <f t="shared" si="118"/>
        <v>1351951</v>
      </c>
      <c r="X212" s="469">
        <f>'Channel &amp; Campaign Metrics'!AR211</f>
        <v>1224930</v>
      </c>
      <c r="Y212" s="469">
        <f>'Channel &amp; Campaign Metrics'!BS211</f>
        <v>127021</v>
      </c>
      <c r="Z212" s="476">
        <f t="shared" si="132"/>
        <v>811170.6</v>
      </c>
      <c r="AA212" s="476">
        <f t="shared" si="133"/>
        <v>540780.4</v>
      </c>
      <c r="AB212" s="358">
        <f>'Glass Metrics'!AC212</f>
        <v>147642</v>
      </c>
      <c r="AC212" s="475">
        <f>'Glass Metrics'!I212</f>
        <v>169234</v>
      </c>
      <c r="AD212" s="469">
        <f>'Glass Metrics'!N212</f>
        <v>159114</v>
      </c>
      <c r="AE212" s="475">
        <f>'Glass Metrics'!S212</f>
        <v>161291</v>
      </c>
      <c r="AF212" s="359">
        <f t="shared" si="119"/>
        <v>1.0924465937876755</v>
      </c>
      <c r="AG212" s="477">
        <f t="shared" si="120"/>
        <v>1.0492463931651488</v>
      </c>
      <c r="AH212" s="472">
        <f t="shared" si="121"/>
        <v>0.94020114161456914</v>
      </c>
      <c r="AI212" s="360">
        <f t="shared" si="122"/>
        <v>2.4211758849107978</v>
      </c>
      <c r="AJ212" s="363">
        <f t="shared" si="97"/>
        <v>0.77624912733764984</v>
      </c>
      <c r="AK212" s="478">
        <v>0.49897448115998938</v>
      </c>
      <c r="AL212" s="478">
        <v>0.94803295015156575</v>
      </c>
      <c r="AM212" s="429">
        <v>50289</v>
      </c>
      <c r="AN212" s="429">
        <v>81171</v>
      </c>
      <c r="AO212" s="374">
        <f t="shared" si="92"/>
        <v>0.77624912733764984</v>
      </c>
      <c r="AP212" s="363"/>
      <c r="AQ212" s="493">
        <v>0.12982551028704589</v>
      </c>
      <c r="AR212" s="493">
        <v>0.57624564420990076</v>
      </c>
      <c r="AS212" s="374">
        <f t="shared" si="126"/>
        <v>0</v>
      </c>
      <c r="AT212" s="92">
        <v>19091</v>
      </c>
      <c r="AU212" s="92">
        <f t="shared" si="134"/>
        <v>39604</v>
      </c>
      <c r="AV212" s="500">
        <f>'Channel &amp; Campaign Metrics'!Z211</f>
        <v>58695</v>
      </c>
      <c r="AW212" s="455">
        <f t="shared" si="93"/>
        <v>5727.2999999999993</v>
      </c>
      <c r="AX212" s="455">
        <f t="shared" si="94"/>
        <v>11881.200000000004</v>
      </c>
      <c r="AY212" s="386">
        <f t="shared" si="95"/>
        <v>17608.500000000004</v>
      </c>
      <c r="AZ212" s="180">
        <f t="shared" si="98"/>
        <v>46299.650000000009</v>
      </c>
      <c r="BA212" s="449">
        <f t="shared" si="99"/>
        <v>72856.100000000006</v>
      </c>
      <c r="BB212" s="92">
        <v>67781</v>
      </c>
      <c r="BC212" s="92">
        <v>94227</v>
      </c>
      <c r="BD212" s="92">
        <f t="shared" si="135"/>
        <v>24818.3</v>
      </c>
      <c r="BE212" s="92">
        <f t="shared" si="136"/>
        <v>51485.200000000004</v>
      </c>
      <c r="BF212" s="453">
        <f t="shared" si="100"/>
        <v>0.38856412720326128</v>
      </c>
      <c r="BG212" s="453">
        <f t="shared" si="101"/>
        <v>0.61143587279673872</v>
      </c>
      <c r="BH212" s="453">
        <f t="shared" si="102"/>
        <v>0.41838057379882476</v>
      </c>
      <c r="BI212" s="453">
        <f t="shared" si="103"/>
        <v>0.58161942620117524</v>
      </c>
      <c r="BJ212" s="453">
        <f t="shared" si="104"/>
        <v>0.32525768804838573</v>
      </c>
      <c r="BK212" s="390">
        <f t="shared" si="105"/>
        <v>0.67474231195161438</v>
      </c>
      <c r="BL212" s="92">
        <v>57567</v>
      </c>
      <c r="BM212" s="92">
        <v>92598</v>
      </c>
      <c r="BN212" s="386">
        <f t="shared" si="124"/>
        <v>150165</v>
      </c>
    </row>
    <row r="213" spans="1:66" s="89" customFormat="1" ht="16.350000000000001" customHeight="1">
      <c r="A213" s="175">
        <f t="shared" si="106"/>
        <v>2024</v>
      </c>
      <c r="B213" s="454" t="str">
        <f t="shared" si="107"/>
        <v>51</v>
      </c>
      <c r="C213" s="454" t="str">
        <f t="array" ref="C213">_xlfn.IFS(_xlfn.NUMBERVALUE(B213)&lt;=13,"Q1",AND(_xlfn.NUMBERVALUE(B213)&gt;13,_xlfn.NUMBERVALUE(B213)&lt;=26),"Q2", AND(_xlfn.NUMBERVALUE(B213)&gt;26,_xlfn.NUMBERVALUE(B213)&lt;=39),"Q3",_xlfn.NUMBERVALUE(B213)&gt;39,"Q4")</f>
        <v>Q4</v>
      </c>
      <c r="D213" s="448">
        <f t="shared" si="125"/>
        <v>45304</v>
      </c>
      <c r="E213" s="448">
        <f t="shared" si="108"/>
        <v>45310</v>
      </c>
      <c r="F213" s="79">
        <v>202351</v>
      </c>
      <c r="G213" s="180">
        <f t="shared" si="109"/>
        <v>305077.35000000003</v>
      </c>
      <c r="H213" s="429">
        <f t="shared" si="127"/>
        <v>146779.95000000001</v>
      </c>
      <c r="I213" s="429">
        <f t="shared" si="128"/>
        <v>158297.40000000002</v>
      </c>
      <c r="J213" s="474">
        <f t="shared" si="110"/>
        <v>0.48112372157421712</v>
      </c>
      <c r="K213" s="474">
        <f t="shared" si="111"/>
        <v>0.51887627842578288</v>
      </c>
      <c r="L213" s="92">
        <f t="shared" si="129"/>
        <v>101692.45000000003</v>
      </c>
      <c r="M213" s="92">
        <f t="shared" si="130"/>
        <v>141761</v>
      </c>
      <c r="N213" s="92">
        <f t="shared" si="131"/>
        <v>61623.899999999994</v>
      </c>
      <c r="O213" s="474">
        <f t="shared" si="112"/>
        <v>0.33333333333333337</v>
      </c>
      <c r="P213" s="474">
        <f t="shared" si="113"/>
        <v>0.46467231998704583</v>
      </c>
      <c r="Q213" s="474">
        <f t="shared" si="114"/>
        <v>0.20199434667962071</v>
      </c>
      <c r="R213" s="455">
        <f>Forecast!J208</f>
        <v>229505</v>
      </c>
      <c r="S213" s="455">
        <f>Forecast!N208</f>
        <v>271171</v>
      </c>
      <c r="T213" s="475">
        <f t="shared" si="115"/>
        <v>993298.65000000014</v>
      </c>
      <c r="U213" s="475">
        <f t="shared" si="116"/>
        <v>469444</v>
      </c>
      <c r="V213" s="349">
        <f t="shared" si="117"/>
        <v>506180</v>
      </c>
      <c r="W213" s="350">
        <f t="shared" si="118"/>
        <v>1335159</v>
      </c>
      <c r="X213" s="469">
        <f>'Channel &amp; Campaign Metrics'!AR212</f>
        <v>1172293</v>
      </c>
      <c r="Y213" s="469">
        <f>'Channel &amp; Campaign Metrics'!BS212</f>
        <v>162866</v>
      </c>
      <c r="Z213" s="476">
        <f t="shared" si="132"/>
        <v>801095.4</v>
      </c>
      <c r="AA213" s="476">
        <f t="shared" si="133"/>
        <v>534063.6</v>
      </c>
      <c r="AB213" s="358">
        <f>'Glass Metrics'!AC213</f>
        <v>115674</v>
      </c>
      <c r="AC213" s="475">
        <f>'Glass Metrics'!I213</f>
        <v>179474</v>
      </c>
      <c r="AD213" s="469">
        <f>'Glass Metrics'!N213</f>
        <v>149422</v>
      </c>
      <c r="AE213" s="475">
        <f>'Glass Metrics'!S213</f>
        <v>180565</v>
      </c>
      <c r="AF213" s="359">
        <f t="shared" si="119"/>
        <v>1.5609817245016167</v>
      </c>
      <c r="AG213" s="477">
        <f t="shared" si="120"/>
        <v>0.99395785451222551</v>
      </c>
      <c r="AH213" s="472">
        <f t="shared" si="121"/>
        <v>0.83255513333407627</v>
      </c>
      <c r="AI213" s="360">
        <f t="shared" si="122"/>
        <v>2.6373891280668089</v>
      </c>
      <c r="AJ213" s="541">
        <f t="shared" si="97"/>
        <v>0.40153540296894202</v>
      </c>
      <c r="AK213" s="478">
        <v>2.9332973814089058E-2</v>
      </c>
      <c r="AL213" s="478">
        <v>0.66704327002864816</v>
      </c>
      <c r="AM213" s="429">
        <v>68401</v>
      </c>
      <c r="AN213" s="429">
        <v>95888</v>
      </c>
      <c r="AO213" s="374">
        <f t="shared" si="92"/>
        <v>0.40153540296894202</v>
      </c>
      <c r="AP213" s="363"/>
      <c r="AQ213" s="493">
        <v>0.67013895267211765</v>
      </c>
      <c r="AR213" s="493">
        <v>0.28083932750091822</v>
      </c>
      <c r="AS213" s="374">
        <f t="shared" si="126"/>
        <v>0</v>
      </c>
      <c r="AT213" s="92">
        <v>19151</v>
      </c>
      <c r="AU213" s="92">
        <f t="shared" si="134"/>
        <v>28252</v>
      </c>
      <c r="AV213" s="500">
        <f>'Channel &amp; Campaign Metrics'!Z212</f>
        <v>47403</v>
      </c>
      <c r="AW213" s="455">
        <f t="shared" si="93"/>
        <v>5745.2999999999993</v>
      </c>
      <c r="AX213" s="455">
        <f t="shared" si="94"/>
        <v>8475.5999999999985</v>
      </c>
      <c r="AY213" s="386">
        <f t="shared" si="95"/>
        <v>14220.899999999998</v>
      </c>
      <c r="AZ213" s="180">
        <f t="shared" si="98"/>
        <v>48926.650000000009</v>
      </c>
      <c r="BA213" s="449">
        <f t="shared" si="99"/>
        <v>52765.800000000017</v>
      </c>
      <c r="BB213" s="92">
        <v>72957</v>
      </c>
      <c r="BC213" s="92">
        <v>68804</v>
      </c>
      <c r="BD213" s="92">
        <f t="shared" si="135"/>
        <v>24896.3</v>
      </c>
      <c r="BE213" s="92">
        <f t="shared" si="136"/>
        <v>36727.599999999999</v>
      </c>
      <c r="BF213" s="453">
        <f t="shared" si="100"/>
        <v>0.48112372157421712</v>
      </c>
      <c r="BG213" s="453">
        <f t="shared" si="101"/>
        <v>0.51887627842578288</v>
      </c>
      <c r="BH213" s="453">
        <f t="shared" si="102"/>
        <v>0.51464789328517713</v>
      </c>
      <c r="BI213" s="453">
        <f t="shared" si="103"/>
        <v>0.48535210671482282</v>
      </c>
      <c r="BJ213" s="453">
        <f t="shared" si="104"/>
        <v>0.40400396599371352</v>
      </c>
      <c r="BK213" s="390">
        <f t="shared" si="105"/>
        <v>0.59599603400628653</v>
      </c>
      <c r="BL213" s="92">
        <v>98928</v>
      </c>
      <c r="BM213" s="92">
        <v>94991</v>
      </c>
      <c r="BN213" s="386">
        <f t="shared" si="124"/>
        <v>193919</v>
      </c>
    </row>
    <row r="214" spans="1:66" s="89" customFormat="1" ht="15.75" customHeight="1">
      <c r="A214" s="175">
        <f t="shared" si="106"/>
        <v>2024</v>
      </c>
      <c r="B214" s="454" t="str">
        <f t="shared" si="107"/>
        <v>52</v>
      </c>
      <c r="C214" s="454" t="str">
        <f t="array" ref="C214">_xlfn.IFS(_xlfn.NUMBERVALUE(B214)&lt;=13,"Q1",AND(_xlfn.NUMBERVALUE(B214)&gt;13,_xlfn.NUMBERVALUE(B214)&lt;=26),"Q2", AND(_xlfn.NUMBERVALUE(B214)&gt;26,_xlfn.NUMBERVALUE(B214)&lt;=39),"Q3",_xlfn.NUMBERVALUE(B214)&gt;39,"Q4")</f>
        <v>Q4</v>
      </c>
      <c r="D214" s="448">
        <f t="shared" si="125"/>
        <v>45311</v>
      </c>
      <c r="E214" s="448">
        <f t="shared" si="108"/>
        <v>45317</v>
      </c>
      <c r="F214" s="79">
        <v>202352</v>
      </c>
      <c r="G214" s="180">
        <f t="shared" si="109"/>
        <v>309909</v>
      </c>
      <c r="H214" s="429">
        <f t="shared" si="127"/>
        <v>120598.04999999999</v>
      </c>
      <c r="I214" s="429">
        <f t="shared" si="128"/>
        <v>189310.95</v>
      </c>
      <c r="J214" s="474">
        <f t="shared" si="110"/>
        <v>0.38914019921977094</v>
      </c>
      <c r="K214" s="474">
        <f t="shared" si="111"/>
        <v>0.61085980078022906</v>
      </c>
      <c r="L214" s="92">
        <f t="shared" si="129"/>
        <v>103303</v>
      </c>
      <c r="M214" s="92">
        <f t="shared" si="130"/>
        <v>142776</v>
      </c>
      <c r="N214" s="92">
        <f t="shared" si="131"/>
        <v>63830</v>
      </c>
      <c r="O214" s="474">
        <f t="shared" si="112"/>
        <v>0.33333333333333331</v>
      </c>
      <c r="P214" s="474">
        <f t="shared" si="113"/>
        <v>0.4607029805523557</v>
      </c>
      <c r="Q214" s="474">
        <f t="shared" si="114"/>
        <v>0.20596368611431098</v>
      </c>
      <c r="R214" s="455">
        <f>Forecast!J209</f>
        <v>191732</v>
      </c>
      <c r="S214" s="455">
        <f>Forecast!N209</f>
        <v>224735</v>
      </c>
      <c r="T214" s="475">
        <f t="shared" si="115"/>
        <v>1303207.6500000001</v>
      </c>
      <c r="U214" s="475">
        <f t="shared" si="116"/>
        <v>661176</v>
      </c>
      <c r="V214" s="349">
        <f t="shared" si="117"/>
        <v>730915</v>
      </c>
      <c r="W214" s="350">
        <f t="shared" si="118"/>
        <v>1412561</v>
      </c>
      <c r="X214" s="469">
        <f>'Channel &amp; Campaign Metrics'!AR213</f>
        <v>1248860</v>
      </c>
      <c r="Y214" s="469">
        <f>'Channel &amp; Campaign Metrics'!BS213</f>
        <v>163701</v>
      </c>
      <c r="Z214" s="476">
        <f t="shared" si="132"/>
        <v>847536.6</v>
      </c>
      <c r="AA214" s="476">
        <f t="shared" si="133"/>
        <v>565024.4</v>
      </c>
      <c r="AB214" s="540">
        <f>'Glass Metrics'!AC214</f>
        <v>158838</v>
      </c>
      <c r="AC214" s="475">
        <f>'Glass Metrics'!I214</f>
        <v>156197</v>
      </c>
      <c r="AD214" s="469">
        <f>'Glass Metrics'!N214</f>
        <v>148874</v>
      </c>
      <c r="AE214" s="475">
        <f>'Glass Metrics'!S214</f>
        <v>160546</v>
      </c>
      <c r="AF214" s="359">
        <f t="shared" si="119"/>
        <v>1.0107530943477001</v>
      </c>
      <c r="AG214" s="477">
        <f t="shared" si="120"/>
        <v>0.97291119056220643</v>
      </c>
      <c r="AH214" s="472">
        <f t="shared" si="121"/>
        <v>0.95311689725154769</v>
      </c>
      <c r="AI214" s="360">
        <f t="shared" si="122"/>
        <v>1.9511011218977827</v>
      </c>
      <c r="AJ214" s="541">
        <f t="shared" si="97"/>
        <v>0.1823045177943782</v>
      </c>
      <c r="AK214" s="478">
        <v>0.2387802718518893</v>
      </c>
      <c r="AL214" s="478">
        <v>0.13264653733177739</v>
      </c>
      <c r="AM214" s="429">
        <v>71088</v>
      </c>
      <c r="AN214" s="429">
        <v>80848</v>
      </c>
      <c r="AO214" s="374">
        <f t="shared" si="92"/>
        <v>0.1823045177943782</v>
      </c>
      <c r="AP214" s="363"/>
      <c r="AQ214" s="493">
        <v>0.13349461887471059</v>
      </c>
      <c r="AR214" s="493">
        <v>0.73349408313567255</v>
      </c>
      <c r="AS214" s="374">
        <f t="shared" si="126"/>
        <v>0</v>
      </c>
      <c r="AT214" s="92">
        <v>10349</v>
      </c>
      <c r="AU214" s="92">
        <f t="shared" si="134"/>
        <v>38751</v>
      </c>
      <c r="AV214" s="859">
        <f>'Channel &amp; Campaign Metrics'!Z213</f>
        <v>49100</v>
      </c>
      <c r="AW214" s="455">
        <f t="shared" si="93"/>
        <v>3104.7000000000007</v>
      </c>
      <c r="AX214" s="455">
        <f t="shared" si="94"/>
        <v>11625.300000000003</v>
      </c>
      <c r="AY214" s="386">
        <f t="shared" si="95"/>
        <v>14730.000000000004</v>
      </c>
      <c r="AZ214" s="180">
        <f t="shared" si="98"/>
        <v>40199.349999999991</v>
      </c>
      <c r="BA214" s="449">
        <f t="shared" si="99"/>
        <v>63103.650000000009</v>
      </c>
      <c r="BB214" s="92">
        <v>66945</v>
      </c>
      <c r="BC214" s="92">
        <v>75831</v>
      </c>
      <c r="BD214" s="92">
        <f t="shared" si="135"/>
        <v>13453.7</v>
      </c>
      <c r="BE214" s="92">
        <f t="shared" si="136"/>
        <v>50376.3</v>
      </c>
      <c r="BF214" s="453">
        <f t="shared" si="100"/>
        <v>0.38914019921977089</v>
      </c>
      <c r="BG214" s="453">
        <f t="shared" si="101"/>
        <v>0.61085980078022917</v>
      </c>
      <c r="BH214" s="453">
        <f t="shared" si="102"/>
        <v>0.46888132459236848</v>
      </c>
      <c r="BI214" s="453">
        <f t="shared" si="103"/>
        <v>0.53111867540763158</v>
      </c>
      <c r="BJ214" s="453">
        <f t="shared" si="104"/>
        <v>0.21077393075356415</v>
      </c>
      <c r="BK214" s="390">
        <f t="shared" si="105"/>
        <v>0.7892260692464359</v>
      </c>
      <c r="BL214" s="92">
        <v>80246</v>
      </c>
      <c r="BM214" s="92">
        <v>88758</v>
      </c>
      <c r="BN214" s="386">
        <f t="shared" si="124"/>
        <v>169004</v>
      </c>
    </row>
    <row r="215" spans="1:66" ht="16.350000000000001" customHeight="1">
      <c r="A215" s="175">
        <f t="shared" si="106"/>
        <v>2025</v>
      </c>
      <c r="B215" s="454" t="str">
        <f t="shared" si="107"/>
        <v>01</v>
      </c>
      <c r="C215" s="454" t="str">
        <f t="array" ref="C215">_xlfn.IFS(_xlfn.NUMBERVALUE(B215)&lt;=13,"Q1",AND(_xlfn.NUMBERVALUE(B215)&gt;13,_xlfn.NUMBERVALUE(B215)&lt;=26),"Q2", AND(_xlfn.NUMBERVALUE(B215)&gt;26,_xlfn.NUMBERVALUE(B215)&lt;=39),"Q3",_xlfn.NUMBERVALUE(B215)&gt;39,"Q4")</f>
        <v>Q1</v>
      </c>
      <c r="D215" s="448">
        <f t="shared" si="125"/>
        <v>45318</v>
      </c>
      <c r="E215" s="448">
        <f t="shared" si="108"/>
        <v>45324</v>
      </c>
      <c r="F215" s="79">
        <v>202401</v>
      </c>
      <c r="G215" s="180">
        <f t="shared" si="109"/>
        <v>316383.3</v>
      </c>
      <c r="H215" s="429">
        <f t="shared" si="127"/>
        <v>116032.95000000001</v>
      </c>
      <c r="I215" s="429">
        <f t="shared" si="128"/>
        <v>200350.34999999998</v>
      </c>
      <c r="J215" s="474">
        <f t="shared" si="110"/>
        <v>0.3667480236788731</v>
      </c>
      <c r="K215" s="474">
        <f t="shared" si="111"/>
        <v>0.63325197632112684</v>
      </c>
      <c r="L215" s="92">
        <f t="shared" si="129"/>
        <v>105461.09999999999</v>
      </c>
      <c r="M215" s="92">
        <v>118252</v>
      </c>
      <c r="N215" s="92">
        <f t="shared" si="131"/>
        <v>63107.199999999997</v>
      </c>
      <c r="O215" s="474">
        <f t="shared" si="112"/>
        <v>0.33333333333333331</v>
      </c>
      <c r="P215" s="474">
        <f t="shared" si="113"/>
        <v>0.37376182624051268</v>
      </c>
      <c r="Q215" s="474">
        <f t="shared" si="114"/>
        <v>0.1994643838660258</v>
      </c>
      <c r="R215" s="455">
        <f>Forecast!J210</f>
        <v>228191</v>
      </c>
      <c r="S215" s="455">
        <f>Forecast!N210</f>
        <v>224570</v>
      </c>
      <c r="T215" s="475">
        <f t="shared" si="115"/>
        <v>316383.3</v>
      </c>
      <c r="U215" s="475">
        <f t="shared" si="116"/>
        <v>228191</v>
      </c>
      <c r="V215" s="349">
        <f t="shared" si="117"/>
        <v>224570</v>
      </c>
      <c r="W215" s="350">
        <f t="shared" si="118"/>
        <v>1366268</v>
      </c>
      <c r="X215" s="469">
        <f>'Channel &amp; Campaign Metrics'!AR214</f>
        <v>1181029</v>
      </c>
      <c r="Y215" s="469">
        <f>'Channel &amp; Campaign Metrics'!BS214</f>
        <v>185239</v>
      </c>
      <c r="Z215" s="476">
        <f t="shared" si="132"/>
        <v>819760.79999999993</v>
      </c>
      <c r="AA215" s="476">
        <f t="shared" si="133"/>
        <v>546507.20000000007</v>
      </c>
      <c r="AB215" s="540">
        <f>'Glass Metrics'!AC215</f>
        <v>156918</v>
      </c>
      <c r="AC215" s="475">
        <f>'Glass Metrics'!I215</f>
        <v>124458</v>
      </c>
      <c r="AD215" s="469">
        <f>'Glass Metrics'!N215</f>
        <v>135375</v>
      </c>
      <c r="AE215" s="475">
        <f>'Glass Metrics'!S215</f>
        <v>152949</v>
      </c>
      <c r="AF215" s="359">
        <f t="shared" si="119"/>
        <v>0.97470653462317902</v>
      </c>
      <c r="AG215" s="477">
        <f t="shared" si="120"/>
        <v>0.81372222113253434</v>
      </c>
      <c r="AH215" s="472">
        <f t="shared" si="121"/>
        <v>1.0877163380417489</v>
      </c>
      <c r="AI215" s="360">
        <f t="shared" si="122"/>
        <v>2.016233319313272</v>
      </c>
      <c r="AJ215" s="541">
        <f t="shared" si="97"/>
        <v>0.70947060604985035</v>
      </c>
      <c r="AK215" s="478">
        <v>0.57863956946424056</v>
      </c>
      <c r="AL215" s="478">
        <v>0.88686250868434702</v>
      </c>
      <c r="AM215" s="429">
        <v>88039</v>
      </c>
      <c r="AN215" s="429">
        <v>64931</v>
      </c>
      <c r="AO215" s="374">
        <f t="shared" si="92"/>
        <v>0.70947060604985035</v>
      </c>
      <c r="AP215" s="363"/>
      <c r="AQ215" s="493">
        <v>0.75652430875041388</v>
      </c>
      <c r="AR215" s="493">
        <v>0.80546964284855815</v>
      </c>
      <c r="AS215" s="374">
        <f t="shared" si="126"/>
        <v>0</v>
      </c>
      <c r="AT215" s="92">
        <v>13831</v>
      </c>
      <c r="AU215" s="92">
        <f t="shared" si="134"/>
        <v>34713</v>
      </c>
      <c r="AV215" s="859">
        <f>'Channel &amp; Campaign Metrics'!Z214</f>
        <v>48544</v>
      </c>
      <c r="AW215" s="455">
        <f t="shared" si="93"/>
        <v>4149.2999999999993</v>
      </c>
      <c r="AX215" s="455">
        <f t="shared" si="94"/>
        <v>10413.900000000001</v>
      </c>
      <c r="AY215" s="386">
        <f t="shared" si="95"/>
        <v>14563.2</v>
      </c>
      <c r="AZ215" s="180">
        <f t="shared" si="98"/>
        <v>38677.650000000009</v>
      </c>
      <c r="BA215" s="449">
        <f t="shared" si="99"/>
        <v>66783.449999999983</v>
      </c>
      <c r="BB215" s="92">
        <v>59375</v>
      </c>
      <c r="BC215" s="92">
        <v>88440</v>
      </c>
      <c r="BD215" s="92">
        <f t="shared" si="135"/>
        <v>17980.3</v>
      </c>
      <c r="BE215" s="92">
        <f t="shared" si="136"/>
        <v>45126.9</v>
      </c>
      <c r="BF215" s="453">
        <f t="shared" si="100"/>
        <v>0.36674802367887316</v>
      </c>
      <c r="BG215" s="453">
        <f t="shared" si="101"/>
        <v>0.63325197632112684</v>
      </c>
      <c r="BH215" s="453">
        <f t="shared" si="102"/>
        <v>0.50210567263132966</v>
      </c>
      <c r="BI215" s="453">
        <f t="shared" si="103"/>
        <v>0.74789432736867034</v>
      </c>
      <c r="BJ215" s="453">
        <f t="shared" si="104"/>
        <v>0.2849167765326302</v>
      </c>
      <c r="BK215" s="453">
        <f t="shared" si="105"/>
        <v>0.71508322346736986</v>
      </c>
      <c r="BL215" s="840">
        <v>78080</v>
      </c>
      <c r="BM215" s="92">
        <v>61050</v>
      </c>
      <c r="BN215" s="386">
        <f t="shared" si="124"/>
        <v>139130</v>
      </c>
    </row>
    <row r="216" spans="1:66" ht="16.350000000000001" customHeight="1">
      <c r="A216" s="175">
        <f t="shared" si="106"/>
        <v>2025</v>
      </c>
      <c r="B216" s="454" t="str">
        <f t="shared" si="107"/>
        <v>02</v>
      </c>
      <c r="C216" s="454" t="str">
        <f t="array" ref="C216">_xlfn.IFS(_xlfn.NUMBERVALUE(B216)&lt;=13,"Q1",AND(_xlfn.NUMBERVALUE(B216)&gt;13,_xlfn.NUMBERVALUE(B216)&lt;=26),"Q2", AND(_xlfn.NUMBERVALUE(B216)&gt;26,_xlfn.NUMBERVALUE(B216)&lt;=39),"Q3",_xlfn.NUMBERVALUE(B216)&gt;39,"Q4")</f>
        <v>Q1</v>
      </c>
      <c r="D216" s="448">
        <f t="shared" si="125"/>
        <v>45325</v>
      </c>
      <c r="E216" s="448">
        <f t="shared" si="108"/>
        <v>45331</v>
      </c>
      <c r="F216" s="79">
        <v>202402</v>
      </c>
      <c r="G216" s="180">
        <f t="shared" si="109"/>
        <v>279995.69999999995</v>
      </c>
      <c r="H216" s="429">
        <f t="shared" si="127"/>
        <v>115826.09999999999</v>
      </c>
      <c r="I216" s="429">
        <f t="shared" si="128"/>
        <v>164169.59999999998</v>
      </c>
      <c r="J216" s="474">
        <f t="shared" si="110"/>
        <v>0.41367099566171911</v>
      </c>
      <c r="K216" s="474">
        <f t="shared" si="111"/>
        <v>0.58632900433828095</v>
      </c>
      <c r="L216" s="92">
        <f t="shared" si="129"/>
        <v>93331.89999999998</v>
      </c>
      <c r="M216" s="92">
        <v>102972</v>
      </c>
      <c r="N216" s="92">
        <f t="shared" si="131"/>
        <v>57948.800000000003</v>
      </c>
      <c r="O216" s="474">
        <f t="shared" si="112"/>
        <v>0.33333333333333331</v>
      </c>
      <c r="P216" s="474">
        <f t="shared" si="113"/>
        <v>0.36776279064285639</v>
      </c>
      <c r="Q216" s="474">
        <f t="shared" si="114"/>
        <v>0.20696317836309633</v>
      </c>
      <c r="R216" s="455">
        <f>Forecast!J211</f>
        <v>229073</v>
      </c>
      <c r="S216" s="455">
        <f>Forecast!N211</f>
        <v>211723</v>
      </c>
      <c r="T216" s="475">
        <f t="shared" si="115"/>
        <v>596379</v>
      </c>
      <c r="U216" s="475">
        <f t="shared" si="116"/>
        <v>457264</v>
      </c>
      <c r="V216" s="349">
        <f t="shared" si="117"/>
        <v>436293</v>
      </c>
      <c r="W216" s="350">
        <f t="shared" si="118"/>
        <v>1282868</v>
      </c>
      <c r="X216" s="469">
        <f>'Channel &amp; Campaign Metrics'!AR215</f>
        <v>1113117</v>
      </c>
      <c r="Y216" s="469">
        <f>'Channel &amp; Campaign Metrics'!BS215</f>
        <v>169751</v>
      </c>
      <c r="Z216" s="476">
        <f t="shared" si="132"/>
        <v>769720.79999999993</v>
      </c>
      <c r="AA216" s="476">
        <f t="shared" si="133"/>
        <v>513147.2</v>
      </c>
      <c r="AB216" s="540">
        <f>'Glass Metrics'!AC216</f>
        <v>137938</v>
      </c>
      <c r="AC216" s="475">
        <f>'Glass Metrics'!I216</f>
        <v>175543</v>
      </c>
      <c r="AD216" s="469">
        <f>'Glass Metrics'!N216</f>
        <v>150059</v>
      </c>
      <c r="AE216" s="475">
        <f>'Glass Metrics'!S216</f>
        <v>125118</v>
      </c>
      <c r="AF216" s="359">
        <f t="shared" si="119"/>
        <v>0.90705969348547899</v>
      </c>
      <c r="AG216" s="477">
        <f t="shared" si="120"/>
        <v>1.4030195495452293</v>
      </c>
      <c r="AH216" s="472">
        <f t="shared" si="121"/>
        <v>0.8548275920999413</v>
      </c>
      <c r="AI216" s="360">
        <f t="shared" si="122"/>
        <v>2.0298663167510038</v>
      </c>
      <c r="AJ216" s="363">
        <f t="shared" si="97"/>
        <v>0.28093824650666188</v>
      </c>
      <c r="AK216" s="478">
        <v>7.3558829983382604E-2</v>
      </c>
      <c r="AL216" s="478">
        <v>0.51109624518651819</v>
      </c>
      <c r="AM216" s="429">
        <v>81015</v>
      </c>
      <c r="AN216" s="429">
        <v>72997</v>
      </c>
      <c r="AO216" s="374">
        <f t="shared" si="92"/>
        <v>0.28093824650666188</v>
      </c>
      <c r="AP216" s="363"/>
      <c r="AQ216" s="493">
        <v>0.37695465457635202</v>
      </c>
      <c r="AR216" s="493">
        <v>0.41456594257707741</v>
      </c>
      <c r="AS216" s="374">
        <f t="shared" si="126"/>
        <v>0</v>
      </c>
      <c r="AT216" s="92">
        <v>15698</v>
      </c>
      <c r="AU216" s="92">
        <f t="shared" si="134"/>
        <v>28878</v>
      </c>
      <c r="AV216" s="859">
        <f>'Channel &amp; Campaign Metrics'!Z215</f>
        <v>44576</v>
      </c>
      <c r="AW216" s="455">
        <f t="shared" si="93"/>
        <v>4709.4000000000015</v>
      </c>
      <c r="AX216" s="455">
        <f t="shared" si="94"/>
        <v>8663.4000000000015</v>
      </c>
      <c r="AY216" s="386">
        <f t="shared" si="95"/>
        <v>13372.800000000003</v>
      </c>
      <c r="AZ216" s="180">
        <f t="shared" si="98"/>
        <v>38608.699999999997</v>
      </c>
      <c r="BA216" s="449">
        <f t="shared" si="99"/>
        <v>54723.199999999983</v>
      </c>
      <c r="BB216" s="92">
        <v>56810</v>
      </c>
      <c r="BC216" s="92">
        <v>71905</v>
      </c>
      <c r="BD216" s="92">
        <f t="shared" si="135"/>
        <v>20407.400000000001</v>
      </c>
      <c r="BE216" s="92">
        <f t="shared" si="136"/>
        <v>37541.4</v>
      </c>
      <c r="BF216" s="453">
        <f t="shared" si="100"/>
        <v>0.41367099566171917</v>
      </c>
      <c r="BG216" s="453">
        <f t="shared" si="101"/>
        <v>0.58632900433828083</v>
      </c>
      <c r="BH216" s="453">
        <f t="shared" si="102"/>
        <v>0.55170337567494077</v>
      </c>
      <c r="BI216" s="453">
        <f t="shared" si="103"/>
        <v>0.69829662432505923</v>
      </c>
      <c r="BJ216" s="453">
        <f t="shared" si="104"/>
        <v>0.35216259870782485</v>
      </c>
      <c r="BK216" s="453">
        <f t="shared" si="105"/>
        <v>0.64783740129217515</v>
      </c>
      <c r="BL216" s="840">
        <v>90449</v>
      </c>
      <c r="BM216" s="92">
        <v>69716</v>
      </c>
      <c r="BN216" s="386">
        <f t="shared" si="124"/>
        <v>160165</v>
      </c>
    </row>
    <row r="217" spans="1:66" ht="16.350000000000001" customHeight="1">
      <c r="A217" s="175">
        <f t="shared" si="106"/>
        <v>2025</v>
      </c>
      <c r="B217" s="454" t="str">
        <f t="shared" si="107"/>
        <v>03</v>
      </c>
      <c r="C217" s="454" t="str">
        <f t="array" ref="C217">_xlfn.IFS(_xlfn.NUMBERVALUE(B217)&lt;=13,"Q1",AND(_xlfn.NUMBERVALUE(B217)&gt;13,_xlfn.NUMBERVALUE(B217)&lt;=26),"Q2", AND(_xlfn.NUMBERVALUE(B217)&gt;26,_xlfn.NUMBERVALUE(B217)&lt;=39),"Q3",_xlfn.NUMBERVALUE(B217)&gt;39,"Q4")</f>
        <v>Q1</v>
      </c>
      <c r="D217" s="448">
        <f t="shared" si="125"/>
        <v>45332</v>
      </c>
      <c r="E217" s="448">
        <f t="shared" si="108"/>
        <v>45338</v>
      </c>
      <c r="F217" s="79">
        <v>202403</v>
      </c>
      <c r="G217" s="180">
        <f t="shared" si="109"/>
        <v>316588.5</v>
      </c>
      <c r="H217" s="429">
        <f t="shared" si="127"/>
        <v>153600.90000000002</v>
      </c>
      <c r="I217" s="429">
        <f t="shared" si="128"/>
        <v>162987.59999999998</v>
      </c>
      <c r="J217" s="474">
        <f t="shared" si="110"/>
        <v>0.4851752353607286</v>
      </c>
      <c r="K217" s="474">
        <f t="shared" si="111"/>
        <v>0.5148247646392714</v>
      </c>
      <c r="L217" s="92">
        <f t="shared" si="129"/>
        <v>105529.5</v>
      </c>
      <c r="M217" s="92">
        <v>117721</v>
      </c>
      <c r="N217" s="92">
        <f t="shared" si="131"/>
        <v>63908</v>
      </c>
      <c r="O217" s="474">
        <f t="shared" si="112"/>
        <v>0.33333333333333331</v>
      </c>
      <c r="P217" s="474">
        <f t="shared" si="113"/>
        <v>0.37184231265507117</v>
      </c>
      <c r="Q217" s="474">
        <f t="shared" si="114"/>
        <v>0.20186456551643536</v>
      </c>
      <c r="R217" s="455">
        <f>Forecast!J212</f>
        <v>237897</v>
      </c>
      <c r="S217" s="455">
        <f>Forecast!N212</f>
        <v>182163</v>
      </c>
      <c r="T217" s="475">
        <f t="shared" si="115"/>
        <v>912967.5</v>
      </c>
      <c r="U217" s="475">
        <f t="shared" si="116"/>
        <v>695161</v>
      </c>
      <c r="V217" s="349">
        <f t="shared" si="117"/>
        <v>618456</v>
      </c>
      <c r="W217" s="350">
        <f t="shared" si="118"/>
        <v>1257457</v>
      </c>
      <c r="X217" s="469">
        <f>'Channel &amp; Campaign Metrics'!AR216</f>
        <v>1113908</v>
      </c>
      <c r="Y217" s="469">
        <f>'Channel &amp; Campaign Metrics'!BS216</f>
        <v>143549</v>
      </c>
      <c r="Z217" s="476">
        <f t="shared" si="132"/>
        <v>754474.2</v>
      </c>
      <c r="AA217" s="476">
        <f t="shared" si="133"/>
        <v>502982.80000000005</v>
      </c>
      <c r="AB217" s="358">
        <f>'Glass Metrics'!AC217</f>
        <v>177817</v>
      </c>
      <c r="AC217" s="475">
        <f>'Glass Metrics'!I217</f>
        <v>126648</v>
      </c>
      <c r="AD217" s="469">
        <f>'Glass Metrics'!N217</f>
        <v>150570</v>
      </c>
      <c r="AE217" s="475">
        <f>'Glass Metrics'!S217</f>
        <v>132358</v>
      </c>
      <c r="AF217" s="359">
        <f t="shared" si="119"/>
        <v>0.74434952788541031</v>
      </c>
      <c r="AG217" s="477">
        <f t="shared" si="120"/>
        <v>0.95685942670635704</v>
      </c>
      <c r="AH217" s="472">
        <f t="shared" si="121"/>
        <v>1.1888857305287095</v>
      </c>
      <c r="AI217" s="360">
        <f t="shared" si="122"/>
        <v>1.7804175078873223</v>
      </c>
      <c r="AJ217" s="363">
        <f t="shared" si="97"/>
        <v>0.73441114958044507</v>
      </c>
      <c r="AK217" s="478">
        <v>0.83518601858127817</v>
      </c>
      <c r="AL217" s="478">
        <v>0.65820585186896696</v>
      </c>
      <c r="AM217" s="429">
        <v>75577</v>
      </c>
      <c r="AN217" s="429">
        <v>99944</v>
      </c>
      <c r="AO217" s="374">
        <f t="shared" si="92"/>
        <v>0.73441114958044507</v>
      </c>
      <c r="AP217" s="363"/>
      <c r="AQ217" s="493">
        <v>0.62847501780811121</v>
      </c>
      <c r="AR217" s="493">
        <v>3.9045939401086027E-2</v>
      </c>
      <c r="AS217" s="374">
        <f t="shared" si="126"/>
        <v>0</v>
      </c>
      <c r="AT217" s="92">
        <v>15402</v>
      </c>
      <c r="AU217" s="92">
        <f t="shared" si="134"/>
        <v>33758</v>
      </c>
      <c r="AV217" s="859">
        <f>'Channel &amp; Campaign Metrics'!Z216</f>
        <v>49160</v>
      </c>
      <c r="AW217" s="455">
        <f t="shared" si="93"/>
        <v>4620.6000000000022</v>
      </c>
      <c r="AX217" s="455">
        <f t="shared" si="94"/>
        <v>10127.400000000001</v>
      </c>
      <c r="AY217" s="386">
        <f t="shared" si="95"/>
        <v>14748.000000000004</v>
      </c>
      <c r="AZ217" s="180">
        <f t="shared" si="98"/>
        <v>51200.300000000017</v>
      </c>
      <c r="BA217" s="449">
        <f t="shared" si="99"/>
        <v>54329.199999999983</v>
      </c>
      <c r="BB217" s="92">
        <v>82378</v>
      </c>
      <c r="BC217" s="92">
        <v>64773</v>
      </c>
      <c r="BD217" s="92">
        <f t="shared" si="135"/>
        <v>20022.600000000002</v>
      </c>
      <c r="BE217" s="92">
        <f t="shared" si="136"/>
        <v>43885.4</v>
      </c>
      <c r="BF217" s="453">
        <f t="shared" si="100"/>
        <v>0.48517523536072871</v>
      </c>
      <c r="BG217" s="453">
        <f t="shared" si="101"/>
        <v>0.51482476463927129</v>
      </c>
      <c r="BH217" s="453">
        <f t="shared" si="102"/>
        <v>0.69977319254848325</v>
      </c>
      <c r="BI217" s="453">
        <f t="shared" si="103"/>
        <v>0.55022468378624034</v>
      </c>
      <c r="BJ217" s="453">
        <f t="shared" si="104"/>
        <v>0.31330349877949554</v>
      </c>
      <c r="BK217" s="453">
        <f t="shared" si="105"/>
        <v>0.68669650122050452</v>
      </c>
      <c r="BL217" s="840">
        <v>56282</v>
      </c>
      <c r="BM217" s="92">
        <v>98491</v>
      </c>
      <c r="BN217" s="386">
        <f t="shared" si="124"/>
        <v>154773</v>
      </c>
    </row>
    <row r="218" spans="1:66" ht="16.350000000000001" customHeight="1">
      <c r="A218" s="175">
        <f t="shared" si="106"/>
        <v>2025</v>
      </c>
      <c r="B218" s="454" t="str">
        <f t="shared" si="107"/>
        <v>04</v>
      </c>
      <c r="C218" s="454" t="str">
        <f t="array" ref="C218">_xlfn.IFS(_xlfn.NUMBERVALUE(B218)&lt;=13,"Q1",AND(_xlfn.NUMBERVALUE(B218)&gt;13,_xlfn.NUMBERVALUE(B218)&lt;=26),"Q2", AND(_xlfn.NUMBERVALUE(B218)&gt;26,_xlfn.NUMBERVALUE(B218)&lt;=39),"Q3",_xlfn.NUMBERVALUE(B218)&gt;39,"Q4")</f>
        <v>Q1</v>
      </c>
      <c r="D218" s="448">
        <f t="shared" si="125"/>
        <v>45339</v>
      </c>
      <c r="E218" s="448">
        <f t="shared" si="108"/>
        <v>45345</v>
      </c>
      <c r="F218" s="79">
        <v>202404</v>
      </c>
      <c r="G218" s="180">
        <f t="shared" si="109"/>
        <v>311843.25</v>
      </c>
      <c r="H218" s="429">
        <f t="shared" si="127"/>
        <v>134747.70000000001</v>
      </c>
      <c r="I218" s="429">
        <f t="shared" si="128"/>
        <v>177095.55000000002</v>
      </c>
      <c r="J218" s="474">
        <f t="shared" si="110"/>
        <v>0.4321007429213235</v>
      </c>
      <c r="K218" s="474">
        <f t="shared" si="111"/>
        <v>0.56789925707867661</v>
      </c>
      <c r="L218" s="92">
        <f t="shared" si="129"/>
        <v>103947.75000000001</v>
      </c>
      <c r="M218" s="92">
        <v>107697</v>
      </c>
      <c r="N218" s="92">
        <f t="shared" si="131"/>
        <v>73274.5</v>
      </c>
      <c r="O218" s="474">
        <f t="shared" si="112"/>
        <v>0.33333333333333337</v>
      </c>
      <c r="P218" s="474">
        <f t="shared" si="113"/>
        <v>0.3453562005911624</v>
      </c>
      <c r="Q218" s="474">
        <f t="shared" si="114"/>
        <v>0.23497221761253451</v>
      </c>
      <c r="R218" s="455">
        <f>Forecast!J213</f>
        <v>222613</v>
      </c>
      <c r="S218" s="455">
        <f>Forecast!N213</f>
        <v>222373</v>
      </c>
      <c r="T218" s="475">
        <f t="shared" si="115"/>
        <v>1224810.75</v>
      </c>
      <c r="U218" s="475">
        <f t="shared" si="116"/>
        <v>917774</v>
      </c>
      <c r="V218" s="349">
        <f t="shared" si="117"/>
        <v>840829</v>
      </c>
      <c r="W218" s="350">
        <f t="shared" si="118"/>
        <v>1324507</v>
      </c>
      <c r="X218" s="469">
        <f>'Channel &amp; Campaign Metrics'!AR217</f>
        <v>1170199</v>
      </c>
      <c r="Y218" s="469">
        <f>'Channel &amp; Campaign Metrics'!BS217</f>
        <v>154308</v>
      </c>
      <c r="Z218" s="476">
        <f t="shared" si="132"/>
        <v>794704.2</v>
      </c>
      <c r="AA218" s="476">
        <f t="shared" si="133"/>
        <v>529802.80000000005</v>
      </c>
      <c r="AB218" s="358">
        <f>'Glass Metrics'!AC218</f>
        <v>172517</v>
      </c>
      <c r="AC218" s="475">
        <f>'Glass Metrics'!I218</f>
        <v>177268</v>
      </c>
      <c r="AD218" s="469">
        <f>'Glass Metrics'!N218</f>
        <v>178210</v>
      </c>
      <c r="AE218" s="475">
        <f>'Glass Metrics'!S218</f>
        <v>141754</v>
      </c>
      <c r="AF218" s="359">
        <f t="shared" si="119"/>
        <v>0.82168134154894878</v>
      </c>
      <c r="AG218" s="477">
        <f t="shared" si="120"/>
        <v>1.2505326128363221</v>
      </c>
      <c r="AH218" s="472">
        <f t="shared" si="121"/>
        <v>1.0053139878601891</v>
      </c>
      <c r="AI218" s="360">
        <f t="shared" si="122"/>
        <v>1.8076088153631236</v>
      </c>
      <c r="AJ218" s="363">
        <f t="shared" si="97"/>
        <v>0.35344772567536697</v>
      </c>
      <c r="AK218" s="478">
        <v>0.84484131230675019</v>
      </c>
      <c r="AL218" s="478">
        <v>7.5120629913289605E-2</v>
      </c>
      <c r="AM218" s="429">
        <v>55908</v>
      </c>
      <c r="AN218" s="429">
        <v>98707</v>
      </c>
      <c r="AO218" s="374">
        <f t="shared" si="92"/>
        <v>0.35344772567536697</v>
      </c>
      <c r="AP218" s="363"/>
      <c r="AQ218" s="493">
        <v>0.22358529929427531</v>
      </c>
      <c r="AR218" s="493">
        <v>5.2864551775060893E-2</v>
      </c>
      <c r="AS218" s="374">
        <f t="shared" si="126"/>
        <v>0</v>
      </c>
      <c r="AT218" s="92">
        <v>15796</v>
      </c>
      <c r="AU218" s="92">
        <f t="shared" si="134"/>
        <v>40569</v>
      </c>
      <c r="AV218" s="859">
        <f>'Channel &amp; Campaign Metrics'!Z217</f>
        <v>56365</v>
      </c>
      <c r="AW218" s="455">
        <f t="shared" si="93"/>
        <v>4738.7999999999993</v>
      </c>
      <c r="AX218" s="455">
        <f t="shared" si="94"/>
        <v>12170.700000000004</v>
      </c>
      <c r="AY218" s="386">
        <f t="shared" si="95"/>
        <v>16909.500000000004</v>
      </c>
      <c r="AZ218" s="180">
        <f t="shared" si="98"/>
        <v>44915.900000000009</v>
      </c>
      <c r="BA218" s="449">
        <f t="shared" si="99"/>
        <v>59031.850000000006</v>
      </c>
      <c r="BB218" s="92">
        <v>69297</v>
      </c>
      <c r="BC218" s="92">
        <v>65324</v>
      </c>
      <c r="BD218" s="92">
        <f t="shared" si="135"/>
        <v>20534.8</v>
      </c>
      <c r="BE218" s="92">
        <f t="shared" si="136"/>
        <v>52739.700000000004</v>
      </c>
      <c r="BF218" s="453">
        <f t="shared" si="100"/>
        <v>0.4321007429213235</v>
      </c>
      <c r="BG218" s="453">
        <f t="shared" si="101"/>
        <v>0.5678992570786765</v>
      </c>
      <c r="BH218" s="453">
        <f t="shared" si="102"/>
        <v>0.64344410707819155</v>
      </c>
      <c r="BI218" s="453">
        <f t="shared" si="103"/>
        <v>0.6065535715943805</v>
      </c>
      <c r="BJ218" s="453">
        <f t="shared" si="104"/>
        <v>0.28024483278630352</v>
      </c>
      <c r="BK218" s="453">
        <f t="shared" si="105"/>
        <v>0.71975516721369648</v>
      </c>
      <c r="BL218" s="840">
        <v>99926</v>
      </c>
      <c r="BM218" s="92">
        <v>91538</v>
      </c>
      <c r="BN218" s="386">
        <f t="shared" si="124"/>
        <v>191464</v>
      </c>
    </row>
    <row r="219" spans="1:66" ht="16.350000000000001" customHeight="1">
      <c r="A219" s="175">
        <f t="shared" si="106"/>
        <v>2025</v>
      </c>
      <c r="B219" s="454" t="str">
        <f t="shared" si="107"/>
        <v>05</v>
      </c>
      <c r="C219" s="454" t="str">
        <f t="array" ref="C219">_xlfn.IFS(_xlfn.NUMBERVALUE(B219)&lt;=13,"Q1",AND(_xlfn.NUMBERVALUE(B219)&gt;13,_xlfn.NUMBERVALUE(B219)&lt;=26),"Q2", AND(_xlfn.NUMBERVALUE(B219)&gt;26,_xlfn.NUMBERVALUE(B219)&lt;=39),"Q3",_xlfn.NUMBERVALUE(B219)&gt;39,"Q4")</f>
        <v>Q1</v>
      </c>
      <c r="D219" s="448">
        <f t="shared" si="125"/>
        <v>45346</v>
      </c>
      <c r="E219" s="448">
        <f t="shared" si="108"/>
        <v>45352</v>
      </c>
      <c r="F219" s="79">
        <v>202405</v>
      </c>
      <c r="G219" s="180">
        <f t="shared" si="109"/>
        <v>355742.7</v>
      </c>
      <c r="H219" s="429">
        <f t="shared" si="127"/>
        <v>169375.8</v>
      </c>
      <c r="I219" s="429">
        <f t="shared" si="128"/>
        <v>186366.90000000002</v>
      </c>
      <c r="J219" s="474">
        <f t="shared" si="110"/>
        <v>0.47611883532676841</v>
      </c>
      <c r="K219" s="474">
        <f t="shared" si="111"/>
        <v>0.52388116467323154</v>
      </c>
      <c r="L219" s="92">
        <f t="shared" si="129"/>
        <v>118580.90000000001</v>
      </c>
      <c r="M219" s="92">
        <v>143786</v>
      </c>
      <c r="N219" s="92">
        <f t="shared" si="131"/>
        <v>57428.800000000003</v>
      </c>
      <c r="O219" s="474">
        <f t="shared" si="112"/>
        <v>0.33333333333333337</v>
      </c>
      <c r="P219" s="474">
        <f t="shared" si="113"/>
        <v>0.40418538454900127</v>
      </c>
      <c r="Q219" s="474">
        <f t="shared" si="114"/>
        <v>0.16143353047019657</v>
      </c>
      <c r="R219" s="455">
        <f>Forecast!J214</f>
        <v>218486</v>
      </c>
      <c r="S219" s="455">
        <f>Forecast!N214</f>
        <v>212210</v>
      </c>
      <c r="T219" s="475">
        <f t="shared" si="115"/>
        <v>1580553.45</v>
      </c>
      <c r="U219" s="475">
        <f t="shared" si="116"/>
        <v>1136260</v>
      </c>
      <c r="V219" s="349">
        <f t="shared" si="117"/>
        <v>1053039</v>
      </c>
      <c r="W219" s="350">
        <f t="shared" si="118"/>
        <v>1192964</v>
      </c>
      <c r="X219" s="469">
        <f>'Channel &amp; Campaign Metrics'!AR218</f>
        <v>1059925</v>
      </c>
      <c r="Y219" s="469">
        <f>'Channel &amp; Campaign Metrics'!BS218</f>
        <v>133039</v>
      </c>
      <c r="Z219" s="476">
        <f t="shared" si="132"/>
        <v>715778.4</v>
      </c>
      <c r="AA219" s="476">
        <f t="shared" si="133"/>
        <v>477185.60000000003</v>
      </c>
      <c r="AB219" s="358">
        <f>'Glass Metrics'!AC219</f>
        <v>142350</v>
      </c>
      <c r="AC219" s="475">
        <f>'Glass Metrics'!I219</f>
        <v>159301</v>
      </c>
      <c r="AD219" s="469">
        <f>'Glass Metrics'!N219</f>
        <v>124672</v>
      </c>
      <c r="AE219" s="475">
        <f>'Glass Metrics'!S219</f>
        <v>168522</v>
      </c>
      <c r="AF219" s="359">
        <f t="shared" si="119"/>
        <v>1.1838566912539514</v>
      </c>
      <c r="AG219" s="477">
        <f t="shared" si="120"/>
        <v>0.94528310843688068</v>
      </c>
      <c r="AH219" s="472">
        <f t="shared" si="121"/>
        <v>0.78261906704917106</v>
      </c>
      <c r="AI219" s="360">
        <f t="shared" si="122"/>
        <v>2.4990706006322445</v>
      </c>
      <c r="AJ219" s="363">
        <f t="shared" si="97"/>
        <v>0.7471376203894633</v>
      </c>
      <c r="AK219" s="478">
        <v>0.95089645913512355</v>
      </c>
      <c r="AL219" s="478">
        <v>0.55838034666928416</v>
      </c>
      <c r="AM219" s="429">
        <v>51928</v>
      </c>
      <c r="AN219" s="429">
        <v>56055</v>
      </c>
      <c r="AO219" s="374">
        <f t="shared" si="92"/>
        <v>0.7471376203894633</v>
      </c>
      <c r="AP219" s="363"/>
      <c r="AQ219" s="493">
        <v>7.4359177518640074E-2</v>
      </c>
      <c r="AR219" s="493">
        <v>0.30702618039365498</v>
      </c>
      <c r="AS219" s="374">
        <f t="shared" si="126"/>
        <v>0</v>
      </c>
      <c r="AT219" s="92">
        <v>10794</v>
      </c>
      <c r="AU219" s="92">
        <f t="shared" si="134"/>
        <v>33382</v>
      </c>
      <c r="AV219" s="859">
        <f>'Channel &amp; Campaign Metrics'!Z218</f>
        <v>44176</v>
      </c>
      <c r="AW219" s="455">
        <f t="shared" si="93"/>
        <v>3238.2000000000007</v>
      </c>
      <c r="AX219" s="455">
        <f t="shared" si="94"/>
        <v>10014.599999999999</v>
      </c>
      <c r="AY219" s="386">
        <f t="shared" si="95"/>
        <v>13252.8</v>
      </c>
      <c r="AZ219" s="180">
        <f t="shared" si="98"/>
        <v>56458.599999999991</v>
      </c>
      <c r="BA219" s="449">
        <f t="shared" si="99"/>
        <v>62122.300000000017</v>
      </c>
      <c r="BB219" s="92">
        <v>98885</v>
      </c>
      <c r="BC219" s="92">
        <v>80848</v>
      </c>
      <c r="BD219" s="92">
        <f t="shared" si="135"/>
        <v>14032.2</v>
      </c>
      <c r="BE219" s="92">
        <f t="shared" si="136"/>
        <v>43396.6</v>
      </c>
      <c r="BF219" s="453">
        <f t="shared" si="100"/>
        <v>0.47611883532676835</v>
      </c>
      <c r="BG219" s="453">
        <f t="shared" si="101"/>
        <v>0.52388116467323165</v>
      </c>
      <c r="BH219" s="453">
        <f t="shared" si="102"/>
        <v>0.68772342230815242</v>
      </c>
      <c r="BI219" s="453">
        <f t="shared" si="103"/>
        <v>0.56228005508185774</v>
      </c>
      <c r="BJ219" s="453">
        <f t="shared" si="104"/>
        <v>0.2443408185440058</v>
      </c>
      <c r="BK219" s="453">
        <f t="shared" si="105"/>
        <v>0.75565918145599409</v>
      </c>
      <c r="BL219" s="840">
        <v>55457</v>
      </c>
      <c r="BM219" s="92">
        <v>90084</v>
      </c>
      <c r="BN219" s="386">
        <f t="shared" si="124"/>
        <v>145541</v>
      </c>
    </row>
    <row r="220" spans="1:66" ht="16.350000000000001" customHeight="1">
      <c r="A220" s="175">
        <f t="shared" si="106"/>
        <v>2025</v>
      </c>
      <c r="B220" s="454" t="str">
        <f t="shared" si="107"/>
        <v>06</v>
      </c>
      <c r="C220" s="454" t="str">
        <f t="array" ref="C220">_xlfn.IFS(_xlfn.NUMBERVALUE(B220)&lt;=13,"Q1",AND(_xlfn.NUMBERVALUE(B220)&gt;13,_xlfn.NUMBERVALUE(B220)&lt;=26),"Q2", AND(_xlfn.NUMBERVALUE(B220)&gt;26,_xlfn.NUMBERVALUE(B220)&lt;=39),"Q3",_xlfn.NUMBERVALUE(B220)&gt;39,"Q4")</f>
        <v>Q1</v>
      </c>
      <c r="D220" s="448">
        <f t="shared" si="125"/>
        <v>45353</v>
      </c>
      <c r="E220" s="448">
        <f t="shared" si="108"/>
        <v>45359</v>
      </c>
      <c r="F220" s="79">
        <v>202406</v>
      </c>
      <c r="G220" s="180">
        <f t="shared" si="109"/>
        <v>316070.09999999998</v>
      </c>
      <c r="H220" s="429">
        <f t="shared" si="127"/>
        <v>137173.34999999998</v>
      </c>
      <c r="I220" s="429">
        <f t="shared" si="128"/>
        <v>178896.75</v>
      </c>
      <c r="J220" s="474">
        <f t="shared" si="110"/>
        <v>0.43399660391792827</v>
      </c>
      <c r="K220" s="474">
        <f t="shared" si="111"/>
        <v>0.56600339608207173</v>
      </c>
      <c r="L220" s="92">
        <f t="shared" si="129"/>
        <v>105356.69999999998</v>
      </c>
      <c r="M220" s="92">
        <v>110874</v>
      </c>
      <c r="N220" s="92">
        <f t="shared" si="131"/>
        <v>72121.399999999994</v>
      </c>
      <c r="O220" s="474">
        <f t="shared" si="112"/>
        <v>0.33333333333333331</v>
      </c>
      <c r="P220" s="474">
        <f t="shared" si="113"/>
        <v>0.35078927111422437</v>
      </c>
      <c r="Q220" s="474">
        <f t="shared" si="114"/>
        <v>0.22818165970143964</v>
      </c>
      <c r="R220" s="455">
        <f>Forecast!J215</f>
        <v>236668</v>
      </c>
      <c r="S220" s="455">
        <f>Forecast!N215</f>
        <v>226991</v>
      </c>
      <c r="T220" s="475">
        <f t="shared" si="115"/>
        <v>1896623.5499999998</v>
      </c>
      <c r="U220" s="475">
        <f t="shared" si="116"/>
        <v>1372928</v>
      </c>
      <c r="V220" s="349">
        <f t="shared" si="117"/>
        <v>1280030</v>
      </c>
      <c r="W220" s="350">
        <f t="shared" si="118"/>
        <v>1431018</v>
      </c>
      <c r="X220" s="469">
        <f>'Channel &amp; Campaign Metrics'!AR219</f>
        <v>1308152</v>
      </c>
      <c r="Y220" s="469">
        <f>'Channel &amp; Campaign Metrics'!BS219</f>
        <v>122866</v>
      </c>
      <c r="Z220" s="476">
        <f t="shared" si="132"/>
        <v>858610.79999999993</v>
      </c>
      <c r="AA220" s="476">
        <f t="shared" si="133"/>
        <v>572407.20000000007</v>
      </c>
      <c r="AB220" s="358">
        <f>'Glass Metrics'!AC220</f>
        <v>142626</v>
      </c>
      <c r="AC220" s="475">
        <f>'Glass Metrics'!I220</f>
        <v>143088</v>
      </c>
      <c r="AD220" s="469">
        <f>'Glass Metrics'!N220</f>
        <v>137107</v>
      </c>
      <c r="AE220" s="475">
        <f>'Glass Metrics'!S220</f>
        <v>150311</v>
      </c>
      <c r="AF220" s="359">
        <f t="shared" si="119"/>
        <v>1.0538821813694559</v>
      </c>
      <c r="AG220" s="477">
        <f t="shared" si="120"/>
        <v>0.95194629800879504</v>
      </c>
      <c r="AH220" s="472">
        <f t="shared" si="121"/>
        <v>0.9582005479145701</v>
      </c>
      <c r="AI220" s="360">
        <f t="shared" si="122"/>
        <v>2.2160763114719613</v>
      </c>
      <c r="AJ220" s="363">
        <f t="shared" si="97"/>
        <v>0.79190726160566394</v>
      </c>
      <c r="AK220" s="478">
        <v>0.72382470637851182</v>
      </c>
      <c r="AL220" s="478">
        <v>0.86640692637444983</v>
      </c>
      <c r="AM220" s="429">
        <v>63063</v>
      </c>
      <c r="AN220" s="429">
        <v>57631</v>
      </c>
      <c r="AO220" s="374">
        <f t="shared" si="92"/>
        <v>0.79190726160566394</v>
      </c>
      <c r="AP220" s="363"/>
      <c r="AQ220" s="493">
        <v>7.4354520200544894E-2</v>
      </c>
      <c r="AR220" s="493">
        <v>0.14403638252579529</v>
      </c>
      <c r="AS220" s="374">
        <f t="shared" si="126"/>
        <v>0</v>
      </c>
      <c r="AT220" s="92">
        <v>10133</v>
      </c>
      <c r="AU220" s="92">
        <f t="shared" si="134"/>
        <v>45345</v>
      </c>
      <c r="AV220" s="859">
        <f>'Channel &amp; Campaign Metrics'!Z219</f>
        <v>55478</v>
      </c>
      <c r="AW220" s="455">
        <f t="shared" si="93"/>
        <v>3039.8999999999996</v>
      </c>
      <c r="AX220" s="455">
        <f t="shared" si="94"/>
        <v>13603.5</v>
      </c>
      <c r="AY220" s="386">
        <f t="shared" si="95"/>
        <v>16643.400000000001</v>
      </c>
      <c r="AZ220" s="180">
        <f t="shared" si="98"/>
        <v>45724.449999999983</v>
      </c>
      <c r="BA220" s="449">
        <f t="shared" si="99"/>
        <v>59632.25</v>
      </c>
      <c r="BB220" s="92">
        <v>78276</v>
      </c>
      <c r="BC220" s="92">
        <v>60316</v>
      </c>
      <c r="BD220" s="92">
        <f t="shared" si="135"/>
        <v>13172.9</v>
      </c>
      <c r="BE220" s="92">
        <f t="shared" si="136"/>
        <v>58948.5</v>
      </c>
      <c r="BF220" s="453">
        <f t="shared" si="100"/>
        <v>0.43399660391792821</v>
      </c>
      <c r="BG220" s="453">
        <f t="shared" si="101"/>
        <v>0.56600339608207173</v>
      </c>
      <c r="BH220" s="453">
        <f t="shared" si="102"/>
        <v>0.70599058390605551</v>
      </c>
      <c r="BI220" s="453">
        <f t="shared" si="103"/>
        <v>0.54400490647040789</v>
      </c>
      <c r="BJ220" s="453">
        <f t="shared" si="104"/>
        <v>0.18264897797325066</v>
      </c>
      <c r="BK220" s="453">
        <f t="shared" si="105"/>
        <v>0.81735102202674936</v>
      </c>
      <c r="BL220" s="840">
        <v>75350</v>
      </c>
      <c r="BM220" s="92">
        <v>61365</v>
      </c>
      <c r="BN220" s="386">
        <f t="shared" si="124"/>
        <v>136715</v>
      </c>
    </row>
    <row r="221" spans="1:66" ht="16.350000000000001" customHeight="1">
      <c r="A221" s="175">
        <f t="shared" si="106"/>
        <v>2025</v>
      </c>
      <c r="B221" s="454" t="str">
        <f t="shared" si="107"/>
        <v>07</v>
      </c>
      <c r="C221" s="454" t="str">
        <f t="array" ref="C221">_xlfn.IFS(_xlfn.NUMBERVALUE(B221)&lt;=13,"Q1",AND(_xlfn.NUMBERVALUE(B221)&gt;13,_xlfn.NUMBERVALUE(B221)&lt;=26),"Q2", AND(_xlfn.NUMBERVALUE(B221)&gt;26,_xlfn.NUMBERVALUE(B221)&lt;=39),"Q3",_xlfn.NUMBERVALUE(B221)&gt;39,"Q4")</f>
        <v>Q1</v>
      </c>
      <c r="D221" s="448">
        <f t="shared" si="125"/>
        <v>45360</v>
      </c>
      <c r="E221" s="448">
        <f t="shared" si="108"/>
        <v>45366</v>
      </c>
      <c r="F221" s="79">
        <v>202407</v>
      </c>
      <c r="G221" s="180">
        <f t="shared" si="109"/>
        <v>449592.9</v>
      </c>
      <c r="H221" s="429">
        <f t="shared" si="127"/>
        <v>130811.40000000001</v>
      </c>
      <c r="I221" s="429">
        <f t="shared" si="128"/>
        <v>318781.5</v>
      </c>
      <c r="J221" s="474">
        <f t="shared" si="110"/>
        <v>0.29095521748675301</v>
      </c>
      <c r="K221" s="474">
        <f t="shared" si="111"/>
        <v>0.70904478251324699</v>
      </c>
      <c r="L221" s="92">
        <f t="shared" si="129"/>
        <v>149864.29999999999</v>
      </c>
      <c r="M221" s="92">
        <v>105184</v>
      </c>
      <c r="N221" s="92">
        <v>73500</v>
      </c>
      <c r="O221" s="474">
        <f t="shared" si="112"/>
        <v>0.33333333333333331</v>
      </c>
      <c r="P221" s="474">
        <f t="shared" si="113"/>
        <v>0.23395387249220348</v>
      </c>
      <c r="Q221" s="474">
        <f t="shared" si="114"/>
        <v>0.1634812293521539</v>
      </c>
      <c r="R221" s="455">
        <f>Forecast!J216</f>
        <v>199457</v>
      </c>
      <c r="S221" s="455">
        <f>Forecast!N216</f>
        <v>232534</v>
      </c>
      <c r="T221" s="475">
        <f t="shared" si="115"/>
        <v>2346216.4499999997</v>
      </c>
      <c r="U221" s="475">
        <f t="shared" si="116"/>
        <v>1572385</v>
      </c>
      <c r="V221" s="349">
        <f t="shared" si="117"/>
        <v>1512564</v>
      </c>
      <c r="W221" s="350">
        <f t="shared" si="118"/>
        <v>1342947</v>
      </c>
      <c r="X221" s="469">
        <f>'Channel &amp; Campaign Metrics'!AR220</f>
        <v>1168236</v>
      </c>
      <c r="Y221" s="469">
        <f>'Channel &amp; Campaign Metrics'!BS220</f>
        <v>174711</v>
      </c>
      <c r="Z221" s="476">
        <f t="shared" si="132"/>
        <v>805768.2</v>
      </c>
      <c r="AA221" s="476">
        <f t="shared" si="133"/>
        <v>537178.80000000005</v>
      </c>
      <c r="AB221" s="358">
        <f>'Glass Metrics'!AC221</f>
        <v>158838</v>
      </c>
      <c r="AC221" s="475">
        <f>'Glass Metrics'!I221</f>
        <v>141639</v>
      </c>
      <c r="AD221" s="469">
        <f>'Glass Metrics'!N221</f>
        <v>148426</v>
      </c>
      <c r="AE221" s="475">
        <f>'Glass Metrics'!S221</f>
        <v>189422</v>
      </c>
      <c r="AF221" s="359">
        <f t="shared" si="119"/>
        <v>1.1925483826288419</v>
      </c>
      <c r="AG221" s="477">
        <f t="shared" si="120"/>
        <v>0.74774313437721063</v>
      </c>
      <c r="AH221" s="472">
        <f t="shared" si="121"/>
        <v>1.0479175933182245</v>
      </c>
      <c r="AI221" s="360">
        <f t="shared" si="122"/>
        <v>2.8305122199977335</v>
      </c>
      <c r="AJ221" s="363">
        <f t="shared" si="97"/>
        <v>0.59452576550141667</v>
      </c>
      <c r="AK221" s="478">
        <v>0.83511448060271032</v>
      </c>
      <c r="AL221" s="478">
        <v>0.35777704904506819</v>
      </c>
      <c r="AM221" s="429">
        <v>64736</v>
      </c>
      <c r="AN221" s="429">
        <v>65786</v>
      </c>
      <c r="AO221" s="374">
        <f t="shared" si="92"/>
        <v>0.59452576550141667</v>
      </c>
      <c r="AP221" s="363"/>
      <c r="AQ221" s="493">
        <v>1.2336989465384749E-2</v>
      </c>
      <c r="AR221" s="493">
        <v>0.93866513239046834</v>
      </c>
      <c r="AS221" s="374">
        <f t="shared" si="126"/>
        <v>0</v>
      </c>
      <c r="AT221" s="92">
        <v>13262</v>
      </c>
      <c r="AU221" s="92">
        <f t="shared" si="134"/>
        <v>116160</v>
      </c>
      <c r="AV221" s="859">
        <f>'Channel &amp; Campaign Metrics'!Z220</f>
        <v>129422</v>
      </c>
      <c r="AW221" s="455">
        <f t="shared" si="93"/>
        <v>3978.6000000000022</v>
      </c>
      <c r="AX221" s="455">
        <f t="shared" si="94"/>
        <v>34848</v>
      </c>
      <c r="AY221" s="386">
        <f t="shared" si="95"/>
        <v>38826.600000000006</v>
      </c>
      <c r="AZ221" s="180">
        <f t="shared" si="98"/>
        <v>43603.8</v>
      </c>
      <c r="BA221" s="449">
        <f t="shared" si="99"/>
        <v>106260.5</v>
      </c>
      <c r="BB221" s="92">
        <v>69967</v>
      </c>
      <c r="BC221" s="92">
        <v>61513</v>
      </c>
      <c r="BD221" s="92">
        <f t="shared" si="135"/>
        <v>17240.600000000002</v>
      </c>
      <c r="BE221" s="92">
        <f t="shared" si="136"/>
        <v>151008</v>
      </c>
      <c r="BF221" s="453">
        <f t="shared" si="100"/>
        <v>0.29095521748675307</v>
      </c>
      <c r="BG221" s="453">
        <f t="shared" si="101"/>
        <v>0.70904478251324699</v>
      </c>
      <c r="BH221" s="453">
        <f t="shared" si="102"/>
        <v>0.66518672041375115</v>
      </c>
      <c r="BI221" s="453">
        <f t="shared" si="103"/>
        <v>0.58481327958624885</v>
      </c>
      <c r="BJ221" s="453">
        <f t="shared" si="104"/>
        <v>0.23456598639455786</v>
      </c>
      <c r="BK221" s="453">
        <f t="shared" si="105"/>
        <v>2.0545306122448981</v>
      </c>
      <c r="BL221" s="840">
        <v>99926</v>
      </c>
      <c r="BM221" s="92">
        <v>91538</v>
      </c>
      <c r="BN221" s="386">
        <f t="shared" si="124"/>
        <v>191464</v>
      </c>
    </row>
    <row r="222" spans="1:66" ht="16.350000000000001" customHeight="1">
      <c r="A222" s="175">
        <f t="shared" si="106"/>
        <v>2025</v>
      </c>
      <c r="B222" s="454" t="str">
        <f t="shared" si="107"/>
        <v>08</v>
      </c>
      <c r="C222" s="454" t="str">
        <f t="array" ref="C222">_xlfn.IFS(_xlfn.NUMBERVALUE(B222)&lt;=13,"Q1",AND(_xlfn.NUMBERVALUE(B222)&gt;13,_xlfn.NUMBERVALUE(B222)&lt;=26),"Q2", AND(_xlfn.NUMBERVALUE(B222)&gt;26,_xlfn.NUMBERVALUE(B222)&lt;=39),"Q3",_xlfn.NUMBERVALUE(B222)&gt;39,"Q4")</f>
        <v>Q1</v>
      </c>
      <c r="D222" s="448">
        <f t="shared" si="125"/>
        <v>45367</v>
      </c>
      <c r="E222" s="448">
        <f t="shared" si="108"/>
        <v>45373</v>
      </c>
      <c r="F222" s="79">
        <v>202408</v>
      </c>
      <c r="G222" s="180">
        <f t="shared" si="109"/>
        <v>406108.94999999995</v>
      </c>
      <c r="H222" s="429">
        <f t="shared" si="127"/>
        <v>186214.5</v>
      </c>
      <c r="I222" s="429">
        <f t="shared" si="128"/>
        <v>219894.44999999998</v>
      </c>
      <c r="J222" s="474">
        <f t="shared" si="110"/>
        <v>0.458533356627575</v>
      </c>
      <c r="K222" s="474">
        <f t="shared" si="111"/>
        <v>0.54146664337242512</v>
      </c>
      <c r="L222" s="92">
        <f t="shared" si="129"/>
        <v>135369.65</v>
      </c>
      <c r="M222" s="92">
        <v>156239</v>
      </c>
      <c r="N222" s="92">
        <f t="shared" si="131"/>
        <v>75440.3</v>
      </c>
      <c r="O222" s="474">
        <f t="shared" si="112"/>
        <v>0.33333333333333337</v>
      </c>
      <c r="P222" s="474">
        <f t="shared" si="113"/>
        <v>0.3847218831301305</v>
      </c>
      <c r="Q222" s="474">
        <f t="shared" si="114"/>
        <v>0.18576369715565247</v>
      </c>
      <c r="R222" s="455">
        <f>Forecast!J217</f>
        <v>208460</v>
      </c>
      <c r="S222" s="455">
        <f>Forecast!N217</f>
        <v>234841</v>
      </c>
      <c r="T222" s="475">
        <f t="shared" si="115"/>
        <v>2752325.3999999994</v>
      </c>
      <c r="U222" s="475">
        <f t="shared" si="116"/>
        <v>1780845</v>
      </c>
      <c r="V222" s="349">
        <f t="shared" si="117"/>
        <v>1747405</v>
      </c>
      <c r="W222" s="350">
        <f t="shared" si="118"/>
        <v>1299500</v>
      </c>
      <c r="X222" s="469">
        <f>'Channel &amp; Campaign Metrics'!AR221</f>
        <v>1149238</v>
      </c>
      <c r="Y222" s="469">
        <f>'Channel &amp; Campaign Metrics'!BS221</f>
        <v>150262</v>
      </c>
      <c r="Z222" s="476">
        <f t="shared" si="132"/>
        <v>779700</v>
      </c>
      <c r="AA222" s="476">
        <f t="shared" si="133"/>
        <v>519800</v>
      </c>
      <c r="AB222" s="358">
        <f>'Glass Metrics'!AC222</f>
        <v>136223</v>
      </c>
      <c r="AC222" s="475">
        <f>'Glass Metrics'!I222</f>
        <v>171093</v>
      </c>
      <c r="AD222" s="469">
        <f>'Glass Metrics'!N222</f>
        <v>163071</v>
      </c>
      <c r="AE222" s="475">
        <f>'Glass Metrics'!S222</f>
        <v>128778</v>
      </c>
      <c r="AF222" s="359">
        <f t="shared" si="119"/>
        <v>0.94534696783949845</v>
      </c>
      <c r="AG222" s="477">
        <f t="shared" si="120"/>
        <v>1.3285887341005451</v>
      </c>
      <c r="AH222" s="472">
        <f t="shared" si="121"/>
        <v>0.95311321912643998</v>
      </c>
      <c r="AI222" s="360">
        <f t="shared" si="122"/>
        <v>2.9812069180681675</v>
      </c>
      <c r="AJ222" s="363">
        <f t="shared" si="97"/>
        <v>0.47312403181174656</v>
      </c>
      <c r="AK222" s="478">
        <v>0.55280443921602695</v>
      </c>
      <c r="AL222" s="478">
        <v>0.41309412552540792</v>
      </c>
      <c r="AM222" s="429">
        <v>67244</v>
      </c>
      <c r="AN222" s="429">
        <v>89256</v>
      </c>
      <c r="AO222" s="374">
        <f t="shared" si="92"/>
        <v>0.47312403181174656</v>
      </c>
      <c r="AP222" s="363"/>
      <c r="AQ222" s="493">
        <v>0.32990221645861262</v>
      </c>
      <c r="AR222" s="493">
        <v>0.50325520664790879</v>
      </c>
      <c r="AS222" s="374">
        <f t="shared" si="126"/>
        <v>0</v>
      </c>
      <c r="AT222" s="92">
        <v>18620</v>
      </c>
      <c r="AU222" s="92">
        <f t="shared" si="134"/>
        <v>39411</v>
      </c>
      <c r="AV222" s="859">
        <f>'Channel &amp; Campaign Metrics'!Z221</f>
        <v>58031</v>
      </c>
      <c r="AW222" s="455">
        <f t="shared" si="93"/>
        <v>5586</v>
      </c>
      <c r="AX222" s="455">
        <f t="shared" si="94"/>
        <v>11823.300000000003</v>
      </c>
      <c r="AY222" s="386">
        <f t="shared" si="95"/>
        <v>17409.300000000003</v>
      </c>
      <c r="AZ222" s="180">
        <f t="shared" si="98"/>
        <v>62071.5</v>
      </c>
      <c r="BA222" s="449">
        <f t="shared" si="99"/>
        <v>73298.149999999994</v>
      </c>
      <c r="BB222" s="92">
        <v>99937</v>
      </c>
      <c r="BC222" s="92">
        <v>95362</v>
      </c>
      <c r="BD222" s="92">
        <f t="shared" si="135"/>
        <v>24206</v>
      </c>
      <c r="BE222" s="92">
        <f t="shared" si="136"/>
        <v>51234.3</v>
      </c>
      <c r="BF222" s="453">
        <f t="shared" si="100"/>
        <v>0.45853335662757494</v>
      </c>
      <c r="BG222" s="453">
        <f t="shared" si="101"/>
        <v>0.541466643372425</v>
      </c>
      <c r="BH222" s="453">
        <f t="shared" si="102"/>
        <v>0.63964183078488723</v>
      </c>
      <c r="BI222" s="453">
        <f t="shared" si="103"/>
        <v>0.6103597693277607</v>
      </c>
      <c r="BJ222" s="453">
        <f t="shared" si="104"/>
        <v>0.3208629870241767</v>
      </c>
      <c r="BK222" s="453">
        <f t="shared" si="105"/>
        <v>0.6791370129758233</v>
      </c>
      <c r="BL222" s="840">
        <v>85378</v>
      </c>
      <c r="BM222" s="92">
        <v>79609</v>
      </c>
      <c r="BN222" s="386">
        <f t="shared" si="124"/>
        <v>164987</v>
      </c>
    </row>
    <row r="223" spans="1:66" ht="16.350000000000001" customHeight="1">
      <c r="A223" s="175">
        <f t="shared" si="106"/>
        <v>2025</v>
      </c>
      <c r="B223" s="454" t="str">
        <f t="shared" si="107"/>
        <v>09</v>
      </c>
      <c r="C223" s="454" t="str">
        <f t="array" ref="C223">_xlfn.IFS(_xlfn.NUMBERVALUE(B223)&lt;=13,"Q1",AND(_xlfn.NUMBERVALUE(B223)&gt;13,_xlfn.NUMBERVALUE(B223)&lt;=26),"Q2", AND(_xlfn.NUMBERVALUE(B223)&gt;26,_xlfn.NUMBERVALUE(B223)&lt;=39),"Q3",_xlfn.NUMBERVALUE(B223)&gt;39,"Q4")</f>
        <v>Q1</v>
      </c>
      <c r="D223" s="448">
        <f t="shared" si="125"/>
        <v>45374</v>
      </c>
      <c r="E223" s="448">
        <f t="shared" si="108"/>
        <v>45380</v>
      </c>
      <c r="F223" s="79">
        <v>202409</v>
      </c>
      <c r="G223" s="180">
        <f t="shared" si="109"/>
        <v>319021.5</v>
      </c>
      <c r="H223" s="429">
        <f t="shared" si="127"/>
        <v>142881.59999999998</v>
      </c>
      <c r="I223" s="429">
        <f t="shared" si="128"/>
        <v>176139.90000000002</v>
      </c>
      <c r="J223" s="474">
        <f t="shared" si="110"/>
        <v>0.44787451629435626</v>
      </c>
      <c r="K223" s="474">
        <f t="shared" si="111"/>
        <v>0.55212548370564374</v>
      </c>
      <c r="L223" s="92">
        <f t="shared" si="129"/>
        <v>106340.5</v>
      </c>
      <c r="M223" s="92">
        <v>114266</v>
      </c>
      <c r="N223" s="92">
        <f t="shared" si="131"/>
        <v>69849</v>
      </c>
      <c r="O223" s="474">
        <f t="shared" si="112"/>
        <v>0.33333333333333331</v>
      </c>
      <c r="P223" s="474">
        <f t="shared" si="113"/>
        <v>0.3581764865377412</v>
      </c>
      <c r="Q223" s="474">
        <f t="shared" si="114"/>
        <v>0.21894762578697674</v>
      </c>
      <c r="R223" s="455">
        <f>Forecast!J218</f>
        <v>200645</v>
      </c>
      <c r="S223" s="455">
        <f>Forecast!N218</f>
        <v>274152</v>
      </c>
      <c r="T223" s="475">
        <f t="shared" si="115"/>
        <v>3071346.8999999994</v>
      </c>
      <c r="U223" s="475">
        <f t="shared" si="116"/>
        <v>1981490</v>
      </c>
      <c r="V223" s="349">
        <f t="shared" si="117"/>
        <v>2021557</v>
      </c>
      <c r="W223" s="350">
        <f t="shared" si="118"/>
        <v>1312239</v>
      </c>
      <c r="X223" s="469">
        <f>'Channel &amp; Campaign Metrics'!AR222</f>
        <v>1137761</v>
      </c>
      <c r="Y223" s="469">
        <f>'Channel &amp; Campaign Metrics'!BS222</f>
        <v>174478</v>
      </c>
      <c r="Z223" s="476">
        <f t="shared" si="132"/>
        <v>787343.4</v>
      </c>
      <c r="AA223" s="476">
        <f t="shared" si="133"/>
        <v>524895.6</v>
      </c>
      <c r="AB223" s="358">
        <f>'Glass Metrics'!AC223</f>
        <v>154285</v>
      </c>
      <c r="AC223" s="475">
        <f>'Glass Metrics'!I223</f>
        <v>141601</v>
      </c>
      <c r="AD223" s="469">
        <f>'Glass Metrics'!N223</f>
        <v>172747</v>
      </c>
      <c r="AE223" s="475">
        <f>'Glass Metrics'!S223</f>
        <v>163863</v>
      </c>
      <c r="AF223" s="359">
        <f t="shared" si="119"/>
        <v>1.0620799170366531</v>
      </c>
      <c r="AG223" s="477">
        <f t="shared" si="120"/>
        <v>0.86414260693384104</v>
      </c>
      <c r="AH223" s="472">
        <f t="shared" si="121"/>
        <v>1.2199560737565414</v>
      </c>
      <c r="AI223" s="360">
        <f t="shared" si="122"/>
        <v>2.0677415173218394</v>
      </c>
      <c r="AJ223" s="363">
        <f t="shared" si="97"/>
        <v>0.45213032599427155</v>
      </c>
      <c r="AK223" s="478">
        <v>0.57078677567457203</v>
      </c>
      <c r="AL223" s="478">
        <v>0.3246756364678719</v>
      </c>
      <c r="AM223" s="429">
        <v>61712</v>
      </c>
      <c r="AN223" s="429">
        <v>57452</v>
      </c>
      <c r="AO223" s="374">
        <f t="shared" si="92"/>
        <v>0.45213032599427155</v>
      </c>
      <c r="AP223" s="363"/>
      <c r="AQ223" s="493">
        <v>0.63982550167832031</v>
      </c>
      <c r="AR223" s="493">
        <v>0.10858912143216851</v>
      </c>
      <c r="AS223" s="374">
        <f t="shared" si="126"/>
        <v>0</v>
      </c>
      <c r="AT223" s="92">
        <v>13178</v>
      </c>
      <c r="AU223" s="92">
        <f t="shared" si="134"/>
        <v>40552</v>
      </c>
      <c r="AV223" s="859">
        <f>'Channel &amp; Campaign Metrics'!Z222</f>
        <v>53730</v>
      </c>
      <c r="AW223" s="455">
        <f t="shared" si="93"/>
        <v>3953.4000000000015</v>
      </c>
      <c r="AX223" s="455">
        <f t="shared" si="94"/>
        <v>12165.599999999999</v>
      </c>
      <c r="AY223" s="386">
        <f t="shared" si="95"/>
        <v>16119</v>
      </c>
      <c r="AZ223" s="180">
        <f t="shared" si="98"/>
        <v>47627.199999999983</v>
      </c>
      <c r="BA223" s="449">
        <f t="shared" si="99"/>
        <v>58713.300000000017</v>
      </c>
      <c r="BB223" s="92">
        <v>78123</v>
      </c>
      <c r="BC223" s="92">
        <v>64709</v>
      </c>
      <c r="BD223" s="92">
        <f t="shared" si="135"/>
        <v>17131.400000000001</v>
      </c>
      <c r="BE223" s="92">
        <f t="shared" si="136"/>
        <v>52717.599999999999</v>
      </c>
      <c r="BF223" s="453">
        <f t="shared" si="100"/>
        <v>0.44787451629435615</v>
      </c>
      <c r="BG223" s="453">
        <f t="shared" si="101"/>
        <v>0.55212548370564385</v>
      </c>
      <c r="BH223" s="453">
        <f t="shared" si="102"/>
        <v>0.68369418724730013</v>
      </c>
      <c r="BI223" s="453">
        <f t="shared" si="103"/>
        <v>0.56630143699788216</v>
      </c>
      <c r="BJ223" s="453">
        <f t="shared" si="104"/>
        <v>0.2452633538060674</v>
      </c>
      <c r="BK223" s="453">
        <f t="shared" si="105"/>
        <v>0.75473664619393266</v>
      </c>
      <c r="BL223" s="840">
        <v>76593</v>
      </c>
      <c r="BM223" s="92">
        <v>88728</v>
      </c>
      <c r="BN223" s="386">
        <f t="shared" si="124"/>
        <v>165321</v>
      </c>
    </row>
    <row r="224" spans="1:66" ht="16.350000000000001" customHeight="1">
      <c r="A224" s="175">
        <f t="shared" si="106"/>
        <v>2025</v>
      </c>
      <c r="B224" s="454" t="str">
        <f t="shared" si="107"/>
        <v>10</v>
      </c>
      <c r="C224" s="454" t="str">
        <f t="array" ref="C224">_xlfn.IFS(_xlfn.NUMBERVALUE(B224)&lt;=13,"Q1",AND(_xlfn.NUMBERVALUE(B224)&gt;13,_xlfn.NUMBERVALUE(B224)&lt;=26),"Q2", AND(_xlfn.NUMBERVALUE(B224)&gt;26,_xlfn.NUMBERVALUE(B224)&lt;=39),"Q3",_xlfn.NUMBERVALUE(B224)&gt;39,"Q4")</f>
        <v>Q1</v>
      </c>
      <c r="D224" s="448">
        <f t="shared" si="125"/>
        <v>45381</v>
      </c>
      <c r="E224" s="448">
        <f t="shared" si="108"/>
        <v>45387</v>
      </c>
      <c r="F224" s="79">
        <v>202410</v>
      </c>
      <c r="G224" s="180">
        <f t="shared" si="109"/>
        <v>279022.64999999997</v>
      </c>
      <c r="H224" s="429">
        <f t="shared" si="127"/>
        <v>105235.04999999999</v>
      </c>
      <c r="I224" s="429">
        <f t="shared" si="128"/>
        <v>173787.59999999998</v>
      </c>
      <c r="J224" s="474">
        <f t="shared" si="110"/>
        <v>0.37715594056611534</v>
      </c>
      <c r="K224" s="474">
        <f t="shared" si="111"/>
        <v>0.62284405943388466</v>
      </c>
      <c r="L224" s="92">
        <f t="shared" si="129"/>
        <v>93007.549999999974</v>
      </c>
      <c r="M224" s="92">
        <v>97585</v>
      </c>
      <c r="N224" s="92">
        <f t="shared" si="131"/>
        <v>64034.100000000006</v>
      </c>
      <c r="O224" s="474">
        <f t="shared" si="112"/>
        <v>0.33333333333333326</v>
      </c>
      <c r="P224" s="474">
        <f t="shared" si="113"/>
        <v>0.34973863232966934</v>
      </c>
      <c r="Q224" s="474">
        <f t="shared" si="114"/>
        <v>0.22949427223918922</v>
      </c>
      <c r="R224" s="455">
        <f>Forecast!J219</f>
        <v>222125</v>
      </c>
      <c r="S224" s="455">
        <f>Forecast!N219</f>
        <v>198083</v>
      </c>
      <c r="T224" s="475">
        <f t="shared" si="115"/>
        <v>3350369.5499999993</v>
      </c>
      <c r="U224" s="475">
        <f t="shared" si="116"/>
        <v>2203615</v>
      </c>
      <c r="V224" s="349">
        <f t="shared" si="117"/>
        <v>2219640</v>
      </c>
      <c r="W224" s="350">
        <f t="shared" si="118"/>
        <v>1346601</v>
      </c>
      <c r="X224" s="469">
        <f>'Channel &amp; Campaign Metrics'!AR223</f>
        <v>1205129</v>
      </c>
      <c r="Y224" s="469">
        <f>'Channel &amp; Campaign Metrics'!BS223</f>
        <v>141472</v>
      </c>
      <c r="Z224" s="476">
        <f t="shared" si="132"/>
        <v>807960.6</v>
      </c>
      <c r="AA224" s="476">
        <f t="shared" si="133"/>
        <v>538640.4</v>
      </c>
      <c r="AB224" s="358">
        <f>'Glass Metrics'!AC224</f>
        <v>167588</v>
      </c>
      <c r="AC224" s="475">
        <f>'Glass Metrics'!I224</f>
        <v>197650</v>
      </c>
      <c r="AD224" s="469">
        <f>'Glass Metrics'!N224</f>
        <v>165908</v>
      </c>
      <c r="AE224" s="475">
        <f>'Glass Metrics'!S224</f>
        <v>170830</v>
      </c>
      <c r="AF224" s="359">
        <f t="shared" si="119"/>
        <v>1.0193450605055254</v>
      </c>
      <c r="AG224" s="477">
        <f t="shared" si="120"/>
        <v>1.1569981853304454</v>
      </c>
      <c r="AH224" s="472">
        <f t="shared" si="121"/>
        <v>0.83940298507462685</v>
      </c>
      <c r="AI224" s="360">
        <f t="shared" si="122"/>
        <v>1.6649321550469005</v>
      </c>
      <c r="AJ224" s="363">
        <f t="shared" si="97"/>
        <v>0.64925783954772487</v>
      </c>
      <c r="AK224" s="478">
        <v>0.73709270240591873</v>
      </c>
      <c r="AL224" s="478">
        <v>0.56896689928007571</v>
      </c>
      <c r="AM224" s="429">
        <v>89530</v>
      </c>
      <c r="AN224" s="429">
        <v>97942</v>
      </c>
      <c r="AO224" s="374">
        <f t="shared" si="92"/>
        <v>0.64925783954772487</v>
      </c>
      <c r="AP224" s="363"/>
      <c r="AQ224" s="493">
        <v>4.7442427175743651E-2</v>
      </c>
      <c r="AR224" s="493">
        <v>0.2262466890090942</v>
      </c>
      <c r="AS224" s="374">
        <f t="shared" si="126"/>
        <v>0</v>
      </c>
      <c r="AT224" s="92">
        <v>14209</v>
      </c>
      <c r="AU224" s="92">
        <f t="shared" si="134"/>
        <v>35048</v>
      </c>
      <c r="AV224" s="859">
        <f>'Channel &amp; Campaign Metrics'!Z223</f>
        <v>49257</v>
      </c>
      <c r="AW224" s="455">
        <f t="shared" si="93"/>
        <v>4262.7000000000007</v>
      </c>
      <c r="AX224" s="455">
        <f t="shared" si="94"/>
        <v>10514.400000000001</v>
      </c>
      <c r="AY224" s="386">
        <f t="shared" si="95"/>
        <v>14777.100000000002</v>
      </c>
      <c r="AZ224" s="180">
        <f t="shared" si="98"/>
        <v>35078.349999999991</v>
      </c>
      <c r="BA224" s="449">
        <f t="shared" si="99"/>
        <v>57929.199999999983</v>
      </c>
      <c r="BB224" s="92">
        <v>51685</v>
      </c>
      <c r="BC224" s="92">
        <v>70296</v>
      </c>
      <c r="BD224" s="92">
        <f t="shared" si="135"/>
        <v>18471.7</v>
      </c>
      <c r="BE224" s="92">
        <f t="shared" si="136"/>
        <v>45562.400000000001</v>
      </c>
      <c r="BF224" s="453">
        <f t="shared" si="100"/>
        <v>0.37715594056611534</v>
      </c>
      <c r="BG224" s="453">
        <f t="shared" si="101"/>
        <v>0.62284405943388466</v>
      </c>
      <c r="BH224" s="453">
        <f t="shared" si="102"/>
        <v>0.52964082594661066</v>
      </c>
      <c r="BI224" s="453">
        <f t="shared" si="103"/>
        <v>0.72035661218424962</v>
      </c>
      <c r="BJ224" s="453">
        <f t="shared" si="104"/>
        <v>0.28846661388229083</v>
      </c>
      <c r="BK224" s="453">
        <f t="shared" si="105"/>
        <v>0.71153338611770911</v>
      </c>
      <c r="BL224" s="840">
        <v>92417</v>
      </c>
      <c r="BM224" s="92">
        <v>98720</v>
      </c>
      <c r="BN224" s="386">
        <f t="shared" si="124"/>
        <v>191137</v>
      </c>
    </row>
    <row r="225" spans="1:66" ht="16.350000000000001" customHeight="1">
      <c r="A225" s="175">
        <f t="shared" si="106"/>
        <v>2025</v>
      </c>
      <c r="B225" s="454" t="str">
        <f t="shared" si="107"/>
        <v>11</v>
      </c>
      <c r="C225" s="454" t="str">
        <f t="array" ref="C225">_xlfn.IFS(_xlfn.NUMBERVALUE(B225)&lt;=13,"Q1",AND(_xlfn.NUMBERVALUE(B225)&gt;13,_xlfn.NUMBERVALUE(B225)&lt;=26),"Q2", AND(_xlfn.NUMBERVALUE(B225)&gt;26,_xlfn.NUMBERVALUE(B225)&lt;=39),"Q3",_xlfn.NUMBERVALUE(B225)&gt;39,"Q4")</f>
        <v>Q1</v>
      </c>
      <c r="D225" s="448">
        <f t="shared" si="125"/>
        <v>45388</v>
      </c>
      <c r="E225" s="448">
        <f t="shared" si="108"/>
        <v>45394</v>
      </c>
      <c r="F225" s="79">
        <v>202411</v>
      </c>
      <c r="G225" s="180">
        <f t="shared" si="109"/>
        <v>386364.44999999995</v>
      </c>
      <c r="H225" s="429">
        <f t="shared" si="127"/>
        <v>181619.25</v>
      </c>
      <c r="I225" s="429">
        <f t="shared" si="128"/>
        <v>204745.19999999998</v>
      </c>
      <c r="J225" s="474">
        <f t="shared" si="110"/>
        <v>0.47007236302408262</v>
      </c>
      <c r="K225" s="474">
        <f t="shared" si="111"/>
        <v>0.52992763697591749</v>
      </c>
      <c r="L225" s="92">
        <f t="shared" si="129"/>
        <v>128788.15</v>
      </c>
      <c r="M225" s="92">
        <v>152344</v>
      </c>
      <c r="N225" s="92">
        <f t="shared" si="131"/>
        <v>67146.3</v>
      </c>
      <c r="O225" s="474">
        <f t="shared" si="112"/>
        <v>0.33333333333333337</v>
      </c>
      <c r="P225" s="474">
        <f t="shared" si="113"/>
        <v>0.39430128729493619</v>
      </c>
      <c r="Q225" s="474">
        <f t="shared" si="114"/>
        <v>0.17379005754799648</v>
      </c>
      <c r="R225" s="455">
        <f>Forecast!J220</f>
        <v>223498</v>
      </c>
      <c r="S225" s="455">
        <f>Forecast!N220</f>
        <v>209451</v>
      </c>
      <c r="T225" s="475">
        <f t="shared" si="115"/>
        <v>3736733.9999999991</v>
      </c>
      <c r="U225" s="475">
        <f t="shared" si="116"/>
        <v>2427113</v>
      </c>
      <c r="V225" s="349">
        <f t="shared" si="117"/>
        <v>2429091</v>
      </c>
      <c r="W225" s="350">
        <f t="shared" si="118"/>
        <v>1314716</v>
      </c>
      <c r="X225" s="469">
        <f>'Channel &amp; Campaign Metrics'!AR224</f>
        <v>1132304</v>
      </c>
      <c r="Y225" s="469">
        <f>'Channel &amp; Campaign Metrics'!BS224</f>
        <v>182412</v>
      </c>
      <c r="Z225" s="476">
        <f t="shared" si="132"/>
        <v>788829.6</v>
      </c>
      <c r="AA225" s="476">
        <f t="shared" si="133"/>
        <v>525886.4</v>
      </c>
      <c r="AB225" s="358">
        <f>'Glass Metrics'!AC225</f>
        <v>123542</v>
      </c>
      <c r="AC225" s="475">
        <f>'Glass Metrics'!I225</f>
        <v>177246</v>
      </c>
      <c r="AD225" s="469">
        <f>'Glass Metrics'!N225</f>
        <v>151690</v>
      </c>
      <c r="AE225" s="475">
        <f>'Glass Metrics'!S225</f>
        <v>134225</v>
      </c>
      <c r="AF225" s="359">
        <f t="shared" si="119"/>
        <v>1.0864726166000227</v>
      </c>
      <c r="AG225" s="477">
        <f t="shared" si="120"/>
        <v>1.3205140622089775</v>
      </c>
      <c r="AH225" s="472">
        <f t="shared" si="121"/>
        <v>0.855816210238877</v>
      </c>
      <c r="AI225" s="360">
        <f t="shared" si="122"/>
        <v>3.1273935179938803</v>
      </c>
      <c r="AJ225" s="363">
        <f t="shared" si="97"/>
        <v>0.60755644400370534</v>
      </c>
      <c r="AK225" s="478">
        <v>0.32233489810515542</v>
      </c>
      <c r="AL225" s="478">
        <v>0.85878607228445381</v>
      </c>
      <c r="AM225" s="429">
        <v>53229</v>
      </c>
      <c r="AN225" s="429">
        <v>60431</v>
      </c>
      <c r="AO225" s="374">
        <f t="shared" si="92"/>
        <v>0.60755644400370534</v>
      </c>
      <c r="AP225" s="363"/>
      <c r="AQ225" s="493">
        <v>0.82907038872028416</v>
      </c>
      <c r="AR225" s="493">
        <v>0.84642511545888466</v>
      </c>
      <c r="AS225" s="374">
        <f t="shared" si="126"/>
        <v>0</v>
      </c>
      <c r="AT225" s="92">
        <v>18375</v>
      </c>
      <c r="AU225" s="92">
        <f t="shared" si="134"/>
        <v>33276</v>
      </c>
      <c r="AV225" s="859">
        <f>'Channel &amp; Campaign Metrics'!Z224</f>
        <v>51651</v>
      </c>
      <c r="AW225" s="455">
        <f t="shared" si="93"/>
        <v>5512.5</v>
      </c>
      <c r="AX225" s="455">
        <f t="shared" si="94"/>
        <v>9982.8000000000029</v>
      </c>
      <c r="AY225" s="386">
        <f t="shared" si="95"/>
        <v>15495.300000000003</v>
      </c>
      <c r="AZ225" s="180">
        <f t="shared" si="98"/>
        <v>60539.75</v>
      </c>
      <c r="BA225" s="449">
        <f t="shared" si="99"/>
        <v>68248.399999999994</v>
      </c>
      <c r="BB225" s="92">
        <v>97192</v>
      </c>
      <c r="BC225" s="92">
        <v>93238</v>
      </c>
      <c r="BD225" s="92">
        <f t="shared" si="135"/>
        <v>23887.5</v>
      </c>
      <c r="BE225" s="92">
        <f t="shared" si="136"/>
        <v>43258.8</v>
      </c>
      <c r="BF225" s="453">
        <f t="shared" si="100"/>
        <v>0.47007236302408262</v>
      </c>
      <c r="BG225" s="453">
        <f t="shared" si="101"/>
        <v>0.52992763697591738</v>
      </c>
      <c r="BH225" s="453">
        <f t="shared" si="102"/>
        <v>0.63797720947329728</v>
      </c>
      <c r="BI225" s="453">
        <f t="shared" si="103"/>
        <v>0.61202279052670272</v>
      </c>
      <c r="BJ225" s="453">
        <f t="shared" si="104"/>
        <v>0.35575303479119474</v>
      </c>
      <c r="BK225" s="453">
        <f t="shared" si="105"/>
        <v>0.64424696520880531</v>
      </c>
      <c r="BL225" s="840">
        <v>56757</v>
      </c>
      <c r="BM225" s="92">
        <v>56557</v>
      </c>
      <c r="BN225" s="386">
        <f t="shared" si="124"/>
        <v>113314</v>
      </c>
    </row>
    <row r="226" spans="1:66" ht="16.350000000000001" customHeight="1">
      <c r="A226" s="175">
        <f t="shared" si="106"/>
        <v>2025</v>
      </c>
      <c r="B226" s="454" t="str">
        <f t="shared" si="107"/>
        <v>12</v>
      </c>
      <c r="C226" s="454" t="str">
        <f t="array" ref="C226">_xlfn.IFS(_xlfn.NUMBERVALUE(B226)&lt;=13,"Q1",AND(_xlfn.NUMBERVALUE(B226)&gt;13,_xlfn.NUMBERVALUE(B226)&lt;=26),"Q2", AND(_xlfn.NUMBERVALUE(B226)&gt;26,_xlfn.NUMBERVALUE(B226)&lt;=39),"Q3",_xlfn.NUMBERVALUE(B226)&gt;39,"Q4")</f>
        <v>Q1</v>
      </c>
      <c r="D226" s="448">
        <f t="shared" si="125"/>
        <v>45395</v>
      </c>
      <c r="E226" s="448">
        <f t="shared" si="108"/>
        <v>45401</v>
      </c>
      <c r="F226" s="79">
        <v>202412</v>
      </c>
      <c r="G226" s="180">
        <f t="shared" si="109"/>
        <v>323108.55</v>
      </c>
      <c r="H226" s="429">
        <f t="shared" si="127"/>
        <v>172428.59999999998</v>
      </c>
      <c r="I226" s="429">
        <f t="shared" si="128"/>
        <v>150679.95000000001</v>
      </c>
      <c r="J226" s="474">
        <f t="shared" si="110"/>
        <v>0.53365533038355062</v>
      </c>
      <c r="K226" s="474">
        <f t="shared" si="111"/>
        <v>0.46634466961644938</v>
      </c>
      <c r="L226" s="92">
        <f t="shared" si="129"/>
        <v>107702.84999999999</v>
      </c>
      <c r="M226" s="92">
        <v>131329</v>
      </c>
      <c r="N226" s="92">
        <f t="shared" si="131"/>
        <v>51244.7</v>
      </c>
      <c r="O226" s="474">
        <f t="shared" si="112"/>
        <v>0.33333333333333331</v>
      </c>
      <c r="P226" s="474">
        <f t="shared" si="113"/>
        <v>0.40645473479423555</v>
      </c>
      <c r="Q226" s="474">
        <f t="shared" si="114"/>
        <v>0.15859902190765301</v>
      </c>
      <c r="R226" s="455">
        <f>Forecast!J221</f>
        <v>250512</v>
      </c>
      <c r="S226" s="455">
        <f>Forecast!N221</f>
        <v>242079</v>
      </c>
      <c r="T226" s="475">
        <f t="shared" si="115"/>
        <v>4059842.5499999989</v>
      </c>
      <c r="U226" s="475">
        <f t="shared" si="116"/>
        <v>2677625</v>
      </c>
      <c r="V226" s="349">
        <f t="shared" si="117"/>
        <v>2671170</v>
      </c>
      <c r="W226" s="350">
        <f t="shared" si="118"/>
        <v>1426061</v>
      </c>
      <c r="X226" s="469">
        <f>'Channel &amp; Campaign Metrics'!AR225</f>
        <v>1302617</v>
      </c>
      <c r="Y226" s="469">
        <f>'Channel &amp; Campaign Metrics'!BS225</f>
        <v>123444</v>
      </c>
      <c r="Z226" s="476">
        <f t="shared" si="132"/>
        <v>855636.6</v>
      </c>
      <c r="AA226" s="476">
        <f t="shared" si="133"/>
        <v>570424.4</v>
      </c>
      <c r="AB226" s="358">
        <f>'Glass Metrics'!AC226</f>
        <v>159848</v>
      </c>
      <c r="AC226" s="475">
        <f>'Glass Metrics'!I226</f>
        <v>160253</v>
      </c>
      <c r="AD226" s="469">
        <f>'Glass Metrics'!N226</f>
        <v>158345</v>
      </c>
      <c r="AE226" s="475">
        <f>'Glass Metrics'!S226</f>
        <v>145917</v>
      </c>
      <c r="AF226" s="359">
        <f t="shared" si="119"/>
        <v>0.91284845603323161</v>
      </c>
      <c r="AG226" s="477">
        <f t="shared" si="120"/>
        <v>1.0982476339288774</v>
      </c>
      <c r="AH226" s="472">
        <f t="shared" si="121"/>
        <v>0.98809382663663081</v>
      </c>
      <c r="AI226" s="360">
        <f t="shared" si="122"/>
        <v>2.0213487187828436</v>
      </c>
      <c r="AJ226" s="363">
        <f t="shared" si="97"/>
        <v>0.58797487663387193</v>
      </c>
      <c r="AK226" s="478">
        <v>0.2285752633872371</v>
      </c>
      <c r="AL226" s="478">
        <v>0.93754702853043215</v>
      </c>
      <c r="AM226" s="429">
        <v>63921</v>
      </c>
      <c r="AN226" s="429">
        <v>65718</v>
      </c>
      <c r="AO226" s="374">
        <f t="shared" si="92"/>
        <v>0.58797487663387193</v>
      </c>
      <c r="AP226" s="363"/>
      <c r="AQ226" s="493">
        <v>0.77536174009509673</v>
      </c>
      <c r="AR226" s="493">
        <v>0.66898729966062254</v>
      </c>
      <c r="AS226" s="374">
        <f t="shared" si="126"/>
        <v>0</v>
      </c>
      <c r="AT226" s="92">
        <v>18598</v>
      </c>
      <c r="AU226" s="92">
        <f t="shared" si="134"/>
        <v>20821</v>
      </c>
      <c r="AV226" s="859">
        <f>'Channel &amp; Campaign Metrics'!Z225</f>
        <v>39419</v>
      </c>
      <c r="AW226" s="455">
        <f t="shared" si="93"/>
        <v>5579.4000000000015</v>
      </c>
      <c r="AX226" s="455">
        <f t="shared" si="94"/>
        <v>6246.2999999999993</v>
      </c>
      <c r="AY226" s="386">
        <f t="shared" si="95"/>
        <v>11825.7</v>
      </c>
      <c r="AZ226" s="180">
        <f t="shared" si="98"/>
        <v>57476.199999999983</v>
      </c>
      <c r="BA226" s="449">
        <f t="shared" si="99"/>
        <v>50226.650000000009</v>
      </c>
      <c r="BB226" s="92">
        <v>90775</v>
      </c>
      <c r="BC226" s="92">
        <v>73386</v>
      </c>
      <c r="BD226" s="92">
        <f t="shared" si="135"/>
        <v>24177.4</v>
      </c>
      <c r="BE226" s="92">
        <f t="shared" si="136"/>
        <v>27067.3</v>
      </c>
      <c r="BF226" s="453">
        <f t="shared" si="100"/>
        <v>0.53365533038355051</v>
      </c>
      <c r="BG226" s="453">
        <f t="shared" si="101"/>
        <v>0.46634466961644944</v>
      </c>
      <c r="BH226" s="453">
        <f t="shared" si="102"/>
        <v>0.69120300923634537</v>
      </c>
      <c r="BI226" s="453">
        <f t="shared" si="103"/>
        <v>0.55879508714754544</v>
      </c>
      <c r="BJ226" s="453">
        <f t="shared" si="104"/>
        <v>0.47180293766965176</v>
      </c>
      <c r="BK226" s="453">
        <f t="shared" si="105"/>
        <v>0.52819706233034835</v>
      </c>
      <c r="BL226" s="840">
        <v>96497</v>
      </c>
      <c r="BM226" s="92">
        <v>56471</v>
      </c>
      <c r="BN226" s="386">
        <f t="shared" si="124"/>
        <v>152968</v>
      </c>
    </row>
    <row r="227" spans="1:66" ht="16.350000000000001" customHeight="1">
      <c r="A227" s="175">
        <f t="shared" si="106"/>
        <v>2025</v>
      </c>
      <c r="B227" s="454" t="str">
        <f t="shared" si="107"/>
        <v>13</v>
      </c>
      <c r="C227" s="454" t="str">
        <f t="array" ref="C227">_xlfn.IFS(_xlfn.NUMBERVALUE(B227)&lt;=13,"Q1",AND(_xlfn.NUMBERVALUE(B227)&gt;13,_xlfn.NUMBERVALUE(B227)&lt;=26),"Q2", AND(_xlfn.NUMBERVALUE(B227)&gt;26,_xlfn.NUMBERVALUE(B227)&lt;=39),"Q3",_xlfn.NUMBERVALUE(B227)&gt;39,"Q4")</f>
        <v>Q1</v>
      </c>
      <c r="D227" s="448">
        <f t="shared" si="125"/>
        <v>45402</v>
      </c>
      <c r="E227" s="448">
        <f t="shared" si="108"/>
        <v>45408</v>
      </c>
      <c r="F227" s="79">
        <v>202413</v>
      </c>
      <c r="G227" s="180">
        <f t="shared" si="109"/>
        <v>355868.4</v>
      </c>
      <c r="H227" s="429">
        <f t="shared" si="127"/>
        <v>147238.20000000001</v>
      </c>
      <c r="I227" s="429">
        <f t="shared" si="128"/>
        <v>208630.19999999998</v>
      </c>
      <c r="J227" s="474">
        <f t="shared" si="110"/>
        <v>0.41374339503029772</v>
      </c>
      <c r="K227" s="474">
        <f t="shared" si="111"/>
        <v>0.58625660496970222</v>
      </c>
      <c r="L227" s="92">
        <f t="shared" si="129"/>
        <v>118622.8</v>
      </c>
      <c r="M227" s="92">
        <v>133676</v>
      </c>
      <c r="N227" s="92">
        <f t="shared" si="131"/>
        <v>70150.600000000006</v>
      </c>
      <c r="O227" s="474">
        <f t="shared" si="112"/>
        <v>0.33333333333333331</v>
      </c>
      <c r="P227" s="474">
        <f t="shared" si="113"/>
        <v>0.3756332397032161</v>
      </c>
      <c r="Q227" s="474">
        <f t="shared" si="114"/>
        <v>0.19712511703764651</v>
      </c>
      <c r="R227" s="455">
        <f>Forecast!J222</f>
        <v>255938</v>
      </c>
      <c r="S227" s="455">
        <f>Forecast!N222</f>
        <v>241372</v>
      </c>
      <c r="T227" s="475">
        <f t="shared" si="115"/>
        <v>4415710.9499999993</v>
      </c>
      <c r="U227" s="475">
        <f t="shared" si="116"/>
        <v>2933563</v>
      </c>
      <c r="V227" s="349">
        <f t="shared" si="117"/>
        <v>2912542</v>
      </c>
      <c r="W227" s="350">
        <f t="shared" si="118"/>
        <v>1380988</v>
      </c>
      <c r="X227" s="469">
        <f>'Channel &amp; Campaign Metrics'!AR226</f>
        <v>1206645</v>
      </c>
      <c r="Y227" s="469">
        <f>'Channel &amp; Campaign Metrics'!BS226</f>
        <v>174343</v>
      </c>
      <c r="Z227" s="476">
        <f t="shared" si="132"/>
        <v>828592.79999999993</v>
      </c>
      <c r="AA227" s="476">
        <f t="shared" si="133"/>
        <v>552395.20000000007</v>
      </c>
      <c r="AB227" s="358">
        <f>'Glass Metrics'!AC227</f>
        <v>140645</v>
      </c>
      <c r="AC227" s="475">
        <f>'Glass Metrics'!I227</f>
        <v>189206</v>
      </c>
      <c r="AD227" s="469">
        <f>'Glass Metrics'!N227</f>
        <v>167461</v>
      </c>
      <c r="AE227" s="475">
        <f>'Glass Metrics'!S227</f>
        <v>159052</v>
      </c>
      <c r="AF227" s="359">
        <f t="shared" si="119"/>
        <v>1.1308756088023038</v>
      </c>
      <c r="AG227" s="477">
        <f t="shared" si="120"/>
        <v>1.1895857958403542</v>
      </c>
      <c r="AH227" s="472">
        <f t="shared" si="121"/>
        <v>0.88507235499931292</v>
      </c>
      <c r="AI227" s="360">
        <f t="shared" si="122"/>
        <v>2.5302598741512319</v>
      </c>
      <c r="AJ227" s="363">
        <f t="shared" si="97"/>
        <v>0.88083985228827277</v>
      </c>
      <c r="AK227" s="478">
        <v>0.98470773903152198</v>
      </c>
      <c r="AL227" s="478">
        <v>0.75521271443818272</v>
      </c>
      <c r="AM227" s="429">
        <v>62452</v>
      </c>
      <c r="AN227" s="429">
        <v>51635</v>
      </c>
      <c r="AO227" s="374">
        <f t="shared" si="92"/>
        <v>0.88083985228827277</v>
      </c>
      <c r="AP227" s="363"/>
      <c r="AQ227" s="493">
        <v>0.83421166724213425</v>
      </c>
      <c r="AR227" s="493">
        <v>0.81625981074165055</v>
      </c>
      <c r="AS227" s="374">
        <f t="shared" si="126"/>
        <v>0</v>
      </c>
      <c r="AT227" s="92">
        <v>14736</v>
      </c>
      <c r="AU227" s="92">
        <f t="shared" si="134"/>
        <v>39226</v>
      </c>
      <c r="AV227" s="859">
        <f>'Channel &amp; Campaign Metrics'!Z226</f>
        <v>53962</v>
      </c>
      <c r="AW227" s="455">
        <f t="shared" si="93"/>
        <v>4420.7999999999993</v>
      </c>
      <c r="AX227" s="455">
        <f t="shared" si="94"/>
        <v>11767.800000000003</v>
      </c>
      <c r="AY227" s="386">
        <f t="shared" si="95"/>
        <v>16188.600000000002</v>
      </c>
      <c r="AZ227" s="180">
        <f t="shared" si="98"/>
        <v>49079.400000000009</v>
      </c>
      <c r="BA227" s="449">
        <f t="shared" si="99"/>
        <v>69543.399999999994</v>
      </c>
      <c r="BB227" s="92">
        <v>79002</v>
      </c>
      <c r="BC227" s="92">
        <v>88093</v>
      </c>
      <c r="BD227" s="92">
        <f t="shared" si="135"/>
        <v>19156.8</v>
      </c>
      <c r="BE227" s="92">
        <f t="shared" si="136"/>
        <v>50993.8</v>
      </c>
      <c r="BF227" s="453">
        <f t="shared" si="100"/>
        <v>0.41374339503029778</v>
      </c>
      <c r="BG227" s="453">
        <f t="shared" si="101"/>
        <v>0.58625660496970222</v>
      </c>
      <c r="BH227" s="453">
        <f t="shared" si="102"/>
        <v>0.59099613992040456</v>
      </c>
      <c r="BI227" s="453">
        <f t="shared" si="103"/>
        <v>0.65900386007959544</v>
      </c>
      <c r="BJ227" s="453">
        <f t="shared" si="104"/>
        <v>0.2730810570401393</v>
      </c>
      <c r="BK227" s="453">
        <f t="shared" si="105"/>
        <v>0.72691894295986059</v>
      </c>
      <c r="BL227" s="840">
        <v>58397</v>
      </c>
      <c r="BM227" s="92">
        <v>65286</v>
      </c>
      <c r="BN227" s="386">
        <f t="shared" si="124"/>
        <v>123683</v>
      </c>
    </row>
    <row r="228" spans="1:66" ht="16.350000000000001" customHeight="1">
      <c r="A228" s="175">
        <f t="shared" si="106"/>
        <v>2025</v>
      </c>
      <c r="B228" s="454" t="str">
        <f t="shared" si="107"/>
        <v>14</v>
      </c>
      <c r="C228" s="454" t="str">
        <f t="array" ref="C228">_xlfn.IFS(_xlfn.NUMBERVALUE(B228)&lt;=13,"Q1",AND(_xlfn.NUMBERVALUE(B228)&gt;13,_xlfn.NUMBERVALUE(B228)&lt;=26),"Q2", AND(_xlfn.NUMBERVALUE(B228)&gt;26,_xlfn.NUMBERVALUE(B228)&lt;=39),"Q3",_xlfn.NUMBERVALUE(B228)&gt;39,"Q4")</f>
        <v>Q2</v>
      </c>
      <c r="D228" s="448">
        <f t="shared" si="125"/>
        <v>45409</v>
      </c>
      <c r="E228" s="448">
        <f t="shared" si="108"/>
        <v>45415</v>
      </c>
      <c r="F228" s="79">
        <v>202414</v>
      </c>
      <c r="G228" s="180">
        <f t="shared" si="109"/>
        <v>335820.89999999997</v>
      </c>
      <c r="H228" s="429">
        <f t="shared" si="127"/>
        <v>148795.04999999999</v>
      </c>
      <c r="I228" s="429">
        <f t="shared" si="128"/>
        <v>187025.84999999998</v>
      </c>
      <c r="J228" s="474">
        <f t="shared" si="110"/>
        <v>0.44307858742561884</v>
      </c>
      <c r="K228" s="474">
        <f t="shared" si="111"/>
        <v>0.5569214125743811</v>
      </c>
      <c r="L228" s="92">
        <f t="shared" si="129"/>
        <v>111940.29999999997</v>
      </c>
      <c r="M228" s="92">
        <v>125865</v>
      </c>
      <c r="N228" s="92">
        <f t="shared" si="131"/>
        <v>66549.600000000006</v>
      </c>
      <c r="O228" s="474">
        <f t="shared" si="112"/>
        <v>0.33333333333333331</v>
      </c>
      <c r="P228" s="474">
        <f t="shared" si="113"/>
        <v>0.37479799500269345</v>
      </c>
      <c r="Q228" s="474">
        <f t="shared" si="114"/>
        <v>0.19816991735773448</v>
      </c>
      <c r="R228" s="455">
        <f>Forecast!J223</f>
        <v>217448</v>
      </c>
      <c r="S228" s="455">
        <f>Forecast!N223</f>
        <v>243066</v>
      </c>
      <c r="T228" s="475">
        <f t="shared" si="115"/>
        <v>4751531.8499999996</v>
      </c>
      <c r="U228" s="475">
        <f t="shared" si="116"/>
        <v>3151011</v>
      </c>
      <c r="V228" s="349">
        <f t="shared" si="117"/>
        <v>3155608</v>
      </c>
      <c r="W228" s="350">
        <f t="shared" si="118"/>
        <v>1221630</v>
      </c>
      <c r="X228" s="469">
        <f>'Channel &amp; Campaign Metrics'!AR227</f>
        <v>1095884</v>
      </c>
      <c r="Y228" s="469">
        <f>'Channel &amp; Campaign Metrics'!BS227</f>
        <v>125746</v>
      </c>
      <c r="Z228" s="476">
        <f t="shared" si="132"/>
        <v>732978</v>
      </c>
      <c r="AA228" s="476">
        <f t="shared" si="133"/>
        <v>488652</v>
      </c>
      <c r="AB228" s="358">
        <f>'Glass Metrics'!AC228</f>
        <v>175861</v>
      </c>
      <c r="AC228" s="475">
        <f>'Glass Metrics'!I228</f>
        <v>143789</v>
      </c>
      <c r="AD228" s="469">
        <f>'Glass Metrics'!N228</f>
        <v>192679</v>
      </c>
      <c r="AE228" s="475">
        <f>'Glass Metrics'!S228</f>
        <v>169851</v>
      </c>
      <c r="AF228" s="359">
        <f t="shared" si="119"/>
        <v>0.96582528246740318</v>
      </c>
      <c r="AG228" s="477">
        <f t="shared" si="120"/>
        <v>0.84655963167717585</v>
      </c>
      <c r="AH228" s="472">
        <f t="shared" si="121"/>
        <v>1.3400121010647545</v>
      </c>
      <c r="AI228" s="360">
        <f t="shared" si="122"/>
        <v>1.9095814307890888</v>
      </c>
      <c r="AJ228" s="363">
        <f t="shared" si="97"/>
        <v>0.73523168041169584</v>
      </c>
      <c r="AK228" s="478">
        <v>0.57742650981198218</v>
      </c>
      <c r="AL228" s="478">
        <v>0.84894077694222148</v>
      </c>
      <c r="AM228" s="429">
        <v>60052</v>
      </c>
      <c r="AN228" s="429">
        <v>83340</v>
      </c>
      <c r="AO228" s="374">
        <f t="shared" si="92"/>
        <v>0.73523168041169584</v>
      </c>
      <c r="AP228" s="363"/>
      <c r="AQ228" s="493">
        <v>0.58360706041844224</v>
      </c>
      <c r="AR228" s="493">
        <v>8.1946354223785822E-2</v>
      </c>
      <c r="AS228" s="374">
        <f t="shared" si="126"/>
        <v>0</v>
      </c>
      <c r="AT228" s="92">
        <v>15229</v>
      </c>
      <c r="AU228" s="92">
        <f t="shared" si="134"/>
        <v>35963</v>
      </c>
      <c r="AV228" s="859">
        <f>'Channel &amp; Campaign Metrics'!Z227</f>
        <v>51192</v>
      </c>
      <c r="AW228" s="455">
        <f t="shared" si="93"/>
        <v>4568.7000000000007</v>
      </c>
      <c r="AX228" s="455">
        <f t="shared" si="94"/>
        <v>10788.900000000001</v>
      </c>
      <c r="AY228" s="386">
        <f t="shared" si="95"/>
        <v>15357.600000000002</v>
      </c>
      <c r="AZ228" s="180">
        <f t="shared" si="98"/>
        <v>49598.349999999991</v>
      </c>
      <c r="BA228" s="449">
        <f t="shared" si="99"/>
        <v>62341.949999999983</v>
      </c>
      <c r="BB228" s="92">
        <v>79399</v>
      </c>
      <c r="BC228" s="92">
        <v>77932</v>
      </c>
      <c r="BD228" s="92">
        <f t="shared" si="135"/>
        <v>19797.7</v>
      </c>
      <c r="BE228" s="92">
        <f t="shared" si="136"/>
        <v>46751.9</v>
      </c>
      <c r="BF228" s="453">
        <f t="shared" si="100"/>
        <v>0.44307858742561884</v>
      </c>
      <c r="BG228" s="453">
        <f t="shared" si="101"/>
        <v>0.5569214125743811</v>
      </c>
      <c r="BH228" s="453">
        <f t="shared" si="102"/>
        <v>0.63082667937869941</v>
      </c>
      <c r="BI228" s="453">
        <f t="shared" si="103"/>
        <v>0.61917133436618599</v>
      </c>
      <c r="BJ228" s="453">
        <f t="shared" si="104"/>
        <v>0.29748788873261445</v>
      </c>
      <c r="BK228" s="453">
        <f t="shared" si="105"/>
        <v>0.70251211126738544</v>
      </c>
      <c r="BL228" s="840">
        <v>74881</v>
      </c>
      <c r="BM228" s="92">
        <v>80060</v>
      </c>
      <c r="BN228" s="386">
        <f t="shared" si="124"/>
        <v>154941</v>
      </c>
    </row>
    <row r="229" spans="1:66" ht="16.350000000000001" customHeight="1">
      <c r="A229" s="175">
        <f t="shared" si="106"/>
        <v>2025</v>
      </c>
      <c r="B229" s="454" t="str">
        <f t="shared" si="107"/>
        <v>15</v>
      </c>
      <c r="C229" s="454" t="str">
        <f t="array" ref="C229">_xlfn.IFS(_xlfn.NUMBERVALUE(B229)&lt;=13,"Q1",AND(_xlfn.NUMBERVALUE(B229)&gt;13,_xlfn.NUMBERVALUE(B229)&lt;=26),"Q2", AND(_xlfn.NUMBERVALUE(B229)&gt;26,_xlfn.NUMBERVALUE(B229)&lt;=39),"Q3",_xlfn.NUMBERVALUE(B229)&gt;39,"Q4")</f>
        <v>Q2</v>
      </c>
      <c r="D229" s="448">
        <f t="shared" si="125"/>
        <v>45416</v>
      </c>
      <c r="E229" s="448">
        <f t="shared" si="108"/>
        <v>45422</v>
      </c>
      <c r="F229" s="79">
        <v>202415</v>
      </c>
      <c r="G229" s="180">
        <f t="shared" si="109"/>
        <v>241078.50000000003</v>
      </c>
      <c r="H229" s="429">
        <f t="shared" si="127"/>
        <v>103978.95000000001</v>
      </c>
      <c r="I229" s="429">
        <f t="shared" si="128"/>
        <v>137099.55000000002</v>
      </c>
      <c r="J229" s="474">
        <f t="shared" si="110"/>
        <v>0.43130743720406423</v>
      </c>
      <c r="K229" s="474">
        <f t="shared" si="111"/>
        <v>0.56869256279593572</v>
      </c>
      <c r="L229" s="92">
        <f t="shared" si="129"/>
        <v>80359.500000000015</v>
      </c>
      <c r="M229" s="92">
        <v>82212</v>
      </c>
      <c r="N229" s="92">
        <f t="shared" si="131"/>
        <v>57954</v>
      </c>
      <c r="O229" s="474">
        <f t="shared" si="112"/>
        <v>0.33333333333333337</v>
      </c>
      <c r="P229" s="474">
        <f t="shared" si="113"/>
        <v>0.34101755237401921</v>
      </c>
      <c r="Q229" s="474">
        <f t="shared" si="114"/>
        <v>0.24039472619914257</v>
      </c>
      <c r="R229" s="455">
        <f>Forecast!J224</f>
        <v>249042</v>
      </c>
      <c r="S229" s="455">
        <f>Forecast!N224</f>
        <v>248419</v>
      </c>
      <c r="T229" s="475">
        <f t="shared" si="115"/>
        <v>4992610.3499999996</v>
      </c>
      <c r="U229" s="475">
        <f t="shared" si="116"/>
        <v>3400053</v>
      </c>
      <c r="V229" s="349">
        <f t="shared" si="117"/>
        <v>3404027</v>
      </c>
      <c r="W229" s="350">
        <f t="shared" si="118"/>
        <v>282731</v>
      </c>
      <c r="X229" s="469">
        <v>258527</v>
      </c>
      <c r="Y229" s="469">
        <v>24204</v>
      </c>
      <c r="Z229" s="476">
        <f t="shared" si="132"/>
        <v>169638.6</v>
      </c>
      <c r="AA229" s="476">
        <f t="shared" si="133"/>
        <v>113092.40000000001</v>
      </c>
      <c r="AB229" s="358">
        <f>'Glass Metrics'!AC229</f>
        <v>196813</v>
      </c>
      <c r="AC229" s="475">
        <f>'Glass Metrics'!I229</f>
        <v>174694</v>
      </c>
      <c r="AD229" s="469">
        <f>'Glass Metrics'!N229</f>
        <v>158304</v>
      </c>
      <c r="AE229" s="475">
        <f>'Glass Metrics'!S229</f>
        <v>138226</v>
      </c>
      <c r="AF229" s="359">
        <f t="shared" si="119"/>
        <v>0.70232149299080848</v>
      </c>
      <c r="AG229" s="477">
        <f t="shared" si="120"/>
        <v>1.2638288021066948</v>
      </c>
      <c r="AH229" s="472">
        <f t="shared" si="121"/>
        <v>0.90617880408027751</v>
      </c>
      <c r="AI229" s="360">
        <f t="shared" si="122"/>
        <v>1.224911464181736</v>
      </c>
      <c r="AJ229" s="363">
        <f t="shared" si="97"/>
        <v>0.41846348852677678</v>
      </c>
      <c r="AK229" s="478">
        <v>0.1095209995291677</v>
      </c>
      <c r="AL229" s="478">
        <v>0.89283383307877495</v>
      </c>
      <c r="AM229" s="429">
        <v>82456</v>
      </c>
      <c r="AN229" s="429">
        <v>53701</v>
      </c>
      <c r="AO229" s="374">
        <f t="shared" si="92"/>
        <v>0.41846348852677678</v>
      </c>
      <c r="AP229" s="363"/>
      <c r="AQ229" s="493">
        <v>0.58260624591231325</v>
      </c>
      <c r="AR229" s="493">
        <v>0.36103209842086581</v>
      </c>
      <c r="AS229" s="374">
        <f t="shared" si="126"/>
        <v>0</v>
      </c>
      <c r="AT229" s="92">
        <v>14751</v>
      </c>
      <c r="AU229" s="92">
        <f t="shared" si="134"/>
        <v>29829</v>
      </c>
      <c r="AV229" s="859">
        <f>'Channel &amp; Campaign Metrics'!Z228</f>
        <v>44580</v>
      </c>
      <c r="AW229" s="455">
        <f t="shared" si="93"/>
        <v>4425.2999999999993</v>
      </c>
      <c r="AX229" s="455">
        <f t="shared" si="94"/>
        <v>8948.7000000000044</v>
      </c>
      <c r="AY229" s="386">
        <f t="shared" si="95"/>
        <v>13374.000000000004</v>
      </c>
      <c r="AZ229" s="180">
        <f t="shared" si="98"/>
        <v>34659.650000000009</v>
      </c>
      <c r="BA229" s="449">
        <f t="shared" si="99"/>
        <v>45699.850000000006</v>
      </c>
      <c r="BB229" s="92">
        <v>50143</v>
      </c>
      <c r="BC229" s="92">
        <v>52622</v>
      </c>
      <c r="BD229" s="92">
        <f t="shared" si="135"/>
        <v>19176.3</v>
      </c>
      <c r="BE229" s="92">
        <f t="shared" si="136"/>
        <v>38777.700000000004</v>
      </c>
      <c r="BF229" s="453">
        <f t="shared" si="100"/>
        <v>0.43130743720406428</v>
      </c>
      <c r="BG229" s="453">
        <f t="shared" si="101"/>
        <v>0.56869256279593572</v>
      </c>
      <c r="BH229" s="453">
        <f t="shared" si="102"/>
        <v>0.60992312557777451</v>
      </c>
      <c r="BI229" s="453">
        <f t="shared" si="103"/>
        <v>0.64007687442222549</v>
      </c>
      <c r="BJ229" s="453">
        <f t="shared" si="104"/>
        <v>0.33088829071332437</v>
      </c>
      <c r="BK229" s="453">
        <f t="shared" si="105"/>
        <v>0.66911170928667574</v>
      </c>
      <c r="BL229" s="840">
        <v>50699</v>
      </c>
      <c r="BM229" s="92">
        <v>86976</v>
      </c>
      <c r="BN229" s="386">
        <f t="shared" si="124"/>
        <v>137675</v>
      </c>
    </row>
    <row r="230" spans="1:66" ht="16.350000000000001" customHeight="1">
      <c r="A230" s="175">
        <f t="shared" si="106"/>
        <v>2025</v>
      </c>
      <c r="B230" s="454" t="str">
        <f t="shared" si="107"/>
        <v>16</v>
      </c>
      <c r="C230" s="454" t="str">
        <f t="array" ref="C230">_xlfn.IFS(_xlfn.NUMBERVALUE(B230)&lt;=13,"Q1",AND(_xlfn.NUMBERVALUE(B230)&gt;13,_xlfn.NUMBERVALUE(B230)&lt;=26),"Q2", AND(_xlfn.NUMBERVALUE(B230)&gt;26,_xlfn.NUMBERVALUE(B230)&lt;=39),"Q3",_xlfn.NUMBERVALUE(B230)&gt;39,"Q4")</f>
        <v>Q2</v>
      </c>
      <c r="D230" s="448">
        <f t="shared" si="125"/>
        <v>45423</v>
      </c>
      <c r="E230" s="448">
        <f t="shared" si="108"/>
        <v>45429</v>
      </c>
      <c r="F230" s="79">
        <v>202416</v>
      </c>
      <c r="G230" s="180">
        <f t="shared" si="109"/>
        <v>319361.7</v>
      </c>
      <c r="H230" s="429">
        <f t="shared" si="127"/>
        <v>124596.29999999999</v>
      </c>
      <c r="I230" s="429">
        <f t="shared" si="128"/>
        <v>194765.40000000002</v>
      </c>
      <c r="J230" s="474">
        <f t="shared" si="110"/>
        <v>0.39014164816883173</v>
      </c>
      <c r="K230" s="474">
        <f t="shared" si="111"/>
        <v>0.60985835183116832</v>
      </c>
      <c r="L230" s="92">
        <f t="shared" si="129"/>
        <v>106453.90000000001</v>
      </c>
      <c r="M230" s="92">
        <v>109771</v>
      </c>
      <c r="N230" s="92">
        <f t="shared" si="131"/>
        <v>75693.8</v>
      </c>
      <c r="O230" s="474">
        <f t="shared" si="112"/>
        <v>0.33333333333333337</v>
      </c>
      <c r="P230" s="474">
        <f t="shared" si="113"/>
        <v>0.34371998896548961</v>
      </c>
      <c r="Q230" s="474">
        <f t="shared" si="114"/>
        <v>0.23701589764834041</v>
      </c>
      <c r="R230" s="455">
        <f>Forecast!J225</f>
        <v>262053</v>
      </c>
      <c r="S230" s="455">
        <f>Forecast!N225</f>
        <v>206122</v>
      </c>
      <c r="T230" s="475">
        <f t="shared" si="115"/>
        <v>5311972.05</v>
      </c>
      <c r="U230" s="475">
        <f t="shared" si="116"/>
        <v>3662106</v>
      </c>
      <c r="V230" s="349">
        <f t="shared" si="117"/>
        <v>3610149</v>
      </c>
      <c r="W230" s="350">
        <f t="shared" si="118"/>
        <v>1337842</v>
      </c>
      <c r="X230" s="469">
        <f>'Channel &amp; Campaign Metrics'!AR229</f>
        <v>1193670</v>
      </c>
      <c r="Y230" s="469">
        <f>'Channel &amp; Campaign Metrics'!BS229</f>
        <v>144172</v>
      </c>
      <c r="Z230" s="476">
        <f t="shared" si="132"/>
        <v>802705.2</v>
      </c>
      <c r="AA230" s="476">
        <f t="shared" si="133"/>
        <v>535136.80000000005</v>
      </c>
      <c r="AB230" s="358">
        <f>'Glass Metrics'!AC230</f>
        <v>105438</v>
      </c>
      <c r="AC230" s="475">
        <f>'Glass Metrics'!I230</f>
        <v>169668</v>
      </c>
      <c r="AD230" s="469">
        <f>'Glass Metrics'!N230</f>
        <v>177346</v>
      </c>
      <c r="AE230" s="475">
        <f>'Glass Metrics'!S230</f>
        <v>162281</v>
      </c>
      <c r="AF230" s="359">
        <f t="shared" si="119"/>
        <v>1.5391130332517688</v>
      </c>
      <c r="AG230" s="477">
        <f t="shared" si="120"/>
        <v>1.0455198082338659</v>
      </c>
      <c r="AH230" s="472">
        <f t="shared" si="121"/>
        <v>1.0452530824905109</v>
      </c>
      <c r="AI230" s="360">
        <f t="shared" si="122"/>
        <v>3.028905138564844</v>
      </c>
      <c r="AJ230" s="363">
        <f t="shared" si="97"/>
        <v>0.58409461217562031</v>
      </c>
      <c r="AK230" s="478">
        <v>0.79089575134833623</v>
      </c>
      <c r="AL230" s="478">
        <v>0.28327103933739239</v>
      </c>
      <c r="AM230" s="429">
        <v>88597</v>
      </c>
      <c r="AN230" s="429">
        <v>60906</v>
      </c>
      <c r="AO230" s="374">
        <f t="shared" si="92"/>
        <v>0.58409461217562031</v>
      </c>
      <c r="AP230" s="363"/>
      <c r="AQ230" s="493">
        <v>0.23737309205062829</v>
      </c>
      <c r="AR230" s="493">
        <v>9.9651002599423721E-2</v>
      </c>
      <c r="AS230" s="374">
        <f t="shared" si="126"/>
        <v>0</v>
      </c>
      <c r="AT230" s="92">
        <v>14264</v>
      </c>
      <c r="AU230" s="92">
        <f t="shared" si="134"/>
        <v>43962</v>
      </c>
      <c r="AV230" s="859">
        <f>'Channel &amp; Campaign Metrics'!Z229</f>
        <v>58226</v>
      </c>
      <c r="AW230" s="455">
        <f t="shared" si="93"/>
        <v>4279.2000000000007</v>
      </c>
      <c r="AX230" s="455">
        <f t="shared" si="94"/>
        <v>13188.599999999999</v>
      </c>
      <c r="AY230" s="386">
        <f t="shared" si="95"/>
        <v>17467.8</v>
      </c>
      <c r="AZ230" s="180">
        <f t="shared" si="98"/>
        <v>41532.099999999991</v>
      </c>
      <c r="BA230" s="449">
        <f t="shared" si="99"/>
        <v>64921.800000000017</v>
      </c>
      <c r="BB230" s="92">
        <v>64521</v>
      </c>
      <c r="BC230" s="92">
        <v>72693</v>
      </c>
      <c r="BD230" s="92">
        <f t="shared" si="135"/>
        <v>18543.2</v>
      </c>
      <c r="BE230" s="92">
        <f t="shared" si="136"/>
        <v>57150.6</v>
      </c>
      <c r="BF230" s="453">
        <f t="shared" si="100"/>
        <v>0.39014164816883168</v>
      </c>
      <c r="BG230" s="453">
        <f t="shared" si="101"/>
        <v>0.60985835183116832</v>
      </c>
      <c r="BH230" s="453">
        <f t="shared" si="102"/>
        <v>0.58777819278315768</v>
      </c>
      <c r="BI230" s="453">
        <f t="shared" si="103"/>
        <v>0.66222408468539051</v>
      </c>
      <c r="BJ230" s="453">
        <f t="shared" si="104"/>
        <v>0.24497647099234018</v>
      </c>
      <c r="BK230" s="453">
        <f t="shared" si="105"/>
        <v>0.75502352900765979</v>
      </c>
      <c r="BL230" s="840">
        <v>52710</v>
      </c>
      <c r="BM230" s="92">
        <v>90901</v>
      </c>
      <c r="BN230" s="386">
        <f t="shared" si="124"/>
        <v>143611</v>
      </c>
    </row>
    <row r="231" spans="1:66" ht="16.350000000000001" customHeight="1">
      <c r="A231" s="175">
        <f t="shared" si="106"/>
        <v>2025</v>
      </c>
      <c r="B231" s="454" t="str">
        <f t="shared" si="107"/>
        <v>17</v>
      </c>
      <c r="C231" s="454" t="str">
        <f t="array" ref="C231">_xlfn.IFS(_xlfn.NUMBERVALUE(B231)&lt;=13,"Q1",AND(_xlfn.NUMBERVALUE(B231)&gt;13,_xlfn.NUMBERVALUE(B231)&lt;=26),"Q2", AND(_xlfn.NUMBERVALUE(B231)&gt;26,_xlfn.NUMBERVALUE(B231)&lt;=39),"Q3",_xlfn.NUMBERVALUE(B231)&gt;39,"Q4")</f>
        <v>Q2</v>
      </c>
      <c r="D231" s="448">
        <f t="shared" si="125"/>
        <v>45430</v>
      </c>
      <c r="E231" s="448">
        <f t="shared" si="108"/>
        <v>45436</v>
      </c>
      <c r="F231" s="79">
        <v>202417</v>
      </c>
      <c r="G231" s="180">
        <f t="shared" si="109"/>
        <v>350811.30000000005</v>
      </c>
      <c r="H231" s="429">
        <f t="shared" si="127"/>
        <v>128527.5</v>
      </c>
      <c r="I231" s="429">
        <f t="shared" si="128"/>
        <v>222283.80000000002</v>
      </c>
      <c r="J231" s="474">
        <f t="shared" si="110"/>
        <v>0.36637217786314175</v>
      </c>
      <c r="K231" s="474">
        <f t="shared" si="111"/>
        <v>0.6336278221368582</v>
      </c>
      <c r="L231" s="92">
        <f t="shared" si="129"/>
        <v>116937.1</v>
      </c>
      <c r="M231" s="92">
        <v>128398</v>
      </c>
      <c r="N231" s="92">
        <f t="shared" si="131"/>
        <v>73377.200000000012</v>
      </c>
      <c r="O231" s="474">
        <f t="shared" si="112"/>
        <v>0.33333333333333331</v>
      </c>
      <c r="P231" s="474">
        <f t="shared" si="113"/>
        <v>0.36600303353968355</v>
      </c>
      <c r="Q231" s="474">
        <f t="shared" si="114"/>
        <v>0.20916430000972033</v>
      </c>
      <c r="R231" s="455">
        <f>Forecast!J226</f>
        <v>222409</v>
      </c>
      <c r="S231" s="455">
        <f>Forecast!N226</f>
        <v>201895</v>
      </c>
      <c r="T231" s="475">
        <f t="shared" si="115"/>
        <v>5662783.3499999996</v>
      </c>
      <c r="U231" s="475">
        <f t="shared" si="116"/>
        <v>3884515</v>
      </c>
      <c r="V231" s="349">
        <f t="shared" si="117"/>
        <v>3812044</v>
      </c>
      <c r="W231" s="350">
        <f t="shared" si="118"/>
        <v>1357031</v>
      </c>
      <c r="X231" s="469">
        <f>'Channel &amp; Campaign Metrics'!AR230</f>
        <v>1224368</v>
      </c>
      <c r="Y231" s="469">
        <f>'Channel &amp; Campaign Metrics'!BS230</f>
        <v>132663</v>
      </c>
      <c r="Z231" s="476">
        <f t="shared" si="132"/>
        <v>814218.6</v>
      </c>
      <c r="AA231" s="476">
        <f t="shared" si="133"/>
        <v>542812.4</v>
      </c>
      <c r="AB231" s="358">
        <f>'Glass Metrics'!AC231</f>
        <v>176850</v>
      </c>
      <c r="AC231" s="475">
        <f>'Glass Metrics'!I231</f>
        <v>155857</v>
      </c>
      <c r="AD231" s="469">
        <f>'Glass Metrics'!N231</f>
        <v>137159</v>
      </c>
      <c r="AE231" s="475">
        <f>'Glass Metrics'!S231</f>
        <v>175660</v>
      </c>
      <c r="AF231" s="359">
        <f t="shared" si="119"/>
        <v>0.99327113372914899</v>
      </c>
      <c r="AG231" s="477">
        <f t="shared" si="120"/>
        <v>0.8872651713537516</v>
      </c>
      <c r="AH231" s="472">
        <f t="shared" si="121"/>
        <v>0.88003105410729066</v>
      </c>
      <c r="AI231" s="360">
        <f t="shared" si="122"/>
        <v>1.9836658184902463</v>
      </c>
      <c r="AJ231" s="363">
        <f t="shared" si="97"/>
        <v>0.18213137259533443</v>
      </c>
      <c r="AK231" s="478">
        <v>2.4068717268363678E-2</v>
      </c>
      <c r="AL231" s="478">
        <v>0.35136972779318631</v>
      </c>
      <c r="AM231" s="429">
        <v>84046</v>
      </c>
      <c r="AN231" s="429">
        <v>78496</v>
      </c>
      <c r="AO231" s="374">
        <f t="shared" si="92"/>
        <v>0.18213137259533443</v>
      </c>
      <c r="AP231" s="363"/>
      <c r="AQ231" s="493">
        <v>0.58255922618894318</v>
      </c>
      <c r="AR231" s="493">
        <v>0.53571471305928908</v>
      </c>
      <c r="AS231" s="374">
        <f t="shared" si="126"/>
        <v>0</v>
      </c>
      <c r="AT231" s="92">
        <v>15390</v>
      </c>
      <c r="AU231" s="92">
        <f t="shared" si="134"/>
        <v>41054</v>
      </c>
      <c r="AV231" s="859">
        <f>'Channel &amp; Campaign Metrics'!Z230</f>
        <v>56444</v>
      </c>
      <c r="AW231" s="455">
        <f t="shared" si="93"/>
        <v>4617</v>
      </c>
      <c r="AX231" s="455">
        <f t="shared" si="94"/>
        <v>12316.200000000004</v>
      </c>
      <c r="AY231" s="386">
        <f t="shared" si="95"/>
        <v>16933.200000000004</v>
      </c>
      <c r="AZ231" s="180">
        <f t="shared" si="98"/>
        <v>42842.5</v>
      </c>
      <c r="BA231" s="449">
        <f t="shared" si="99"/>
        <v>74094.600000000006</v>
      </c>
      <c r="BB231" s="92">
        <v>65678</v>
      </c>
      <c r="BC231" s="92">
        <v>94819</v>
      </c>
      <c r="BD231" s="92">
        <f t="shared" si="135"/>
        <v>20007</v>
      </c>
      <c r="BE231" s="92">
        <f t="shared" si="136"/>
        <v>53370.200000000004</v>
      </c>
      <c r="BF231" s="453">
        <f t="shared" si="100"/>
        <v>0.3663721778631418</v>
      </c>
      <c r="BG231" s="453">
        <f t="shared" si="101"/>
        <v>0.6336278221368582</v>
      </c>
      <c r="BH231" s="453">
        <f t="shared" si="102"/>
        <v>0.5115188710104519</v>
      </c>
      <c r="BI231" s="453">
        <f t="shared" si="103"/>
        <v>0.73847723484789485</v>
      </c>
      <c r="BJ231" s="453">
        <f t="shared" si="104"/>
        <v>0.27265962724115933</v>
      </c>
      <c r="BK231" s="453">
        <f t="shared" si="105"/>
        <v>0.72734037275884056</v>
      </c>
      <c r="BL231" s="840">
        <v>94001</v>
      </c>
      <c r="BM231" s="92">
        <v>60162</v>
      </c>
      <c r="BN231" s="386">
        <f t="shared" si="124"/>
        <v>154163</v>
      </c>
    </row>
    <row r="232" spans="1:66" ht="16.350000000000001" customHeight="1">
      <c r="A232" s="175">
        <f t="shared" si="106"/>
        <v>2025</v>
      </c>
      <c r="B232" s="454" t="str">
        <f t="shared" si="107"/>
        <v>18</v>
      </c>
      <c r="C232" s="454" t="str">
        <f t="array" ref="C232">_xlfn.IFS(_xlfn.NUMBERVALUE(B232)&lt;=13,"Q1",AND(_xlfn.NUMBERVALUE(B232)&gt;13,_xlfn.NUMBERVALUE(B232)&lt;=26),"Q2", AND(_xlfn.NUMBERVALUE(B232)&gt;26,_xlfn.NUMBERVALUE(B232)&lt;=39),"Q3",_xlfn.NUMBERVALUE(B232)&gt;39,"Q4")</f>
        <v>Q2</v>
      </c>
      <c r="D232" s="448">
        <f t="shared" si="125"/>
        <v>45437</v>
      </c>
      <c r="E232" s="448">
        <f t="shared" si="108"/>
        <v>45443</v>
      </c>
      <c r="F232" s="79">
        <v>202418</v>
      </c>
      <c r="G232" s="180">
        <f t="shared" si="109"/>
        <v>357869.69999999995</v>
      </c>
      <c r="H232" s="429">
        <f t="shared" si="127"/>
        <v>132020.84999999998</v>
      </c>
      <c r="I232" s="429">
        <f t="shared" si="128"/>
        <v>225848.84999999998</v>
      </c>
      <c r="J232" s="474">
        <f t="shared" si="110"/>
        <v>0.3689075940209523</v>
      </c>
      <c r="K232" s="474">
        <f t="shared" si="111"/>
        <v>0.6310924059790477</v>
      </c>
      <c r="L232" s="92">
        <f t="shared" si="129"/>
        <v>119289.89999999997</v>
      </c>
      <c r="M232" s="92">
        <v>137828</v>
      </c>
      <c r="N232" s="92">
        <f t="shared" si="131"/>
        <v>66294.8</v>
      </c>
      <c r="O232" s="474">
        <f t="shared" si="112"/>
        <v>0.33333333333333326</v>
      </c>
      <c r="P232" s="474">
        <f t="shared" si="113"/>
        <v>0.38513458948885593</v>
      </c>
      <c r="Q232" s="474">
        <f t="shared" si="114"/>
        <v>0.18524842980559689</v>
      </c>
      <c r="R232" s="455">
        <f>Forecast!J227</f>
        <v>200743</v>
      </c>
      <c r="S232" s="455">
        <f>Forecast!N227</f>
        <v>219323</v>
      </c>
      <c r="T232" s="475">
        <f t="shared" si="115"/>
        <v>6020653.0499999998</v>
      </c>
      <c r="U232" s="475">
        <f t="shared" si="116"/>
        <v>4085258</v>
      </c>
      <c r="V232" s="349">
        <f t="shared" si="117"/>
        <v>4031367</v>
      </c>
      <c r="W232" s="350">
        <f t="shared" si="118"/>
        <v>1247208</v>
      </c>
      <c r="X232" s="469">
        <f>'Channel &amp; Campaign Metrics'!AR231</f>
        <v>1086477</v>
      </c>
      <c r="Y232" s="469">
        <f>'Channel &amp; Campaign Metrics'!BS231</f>
        <v>160731</v>
      </c>
      <c r="Z232" s="476">
        <f t="shared" si="132"/>
        <v>748324.79999999993</v>
      </c>
      <c r="AA232" s="476">
        <f t="shared" si="133"/>
        <v>498883.2</v>
      </c>
      <c r="AB232" s="358">
        <f>'Glass Metrics'!AC232</f>
        <v>153525</v>
      </c>
      <c r="AC232" s="475">
        <f>'Glass Metrics'!I232</f>
        <v>168313</v>
      </c>
      <c r="AD232" s="469">
        <f>'Glass Metrics'!N232</f>
        <v>176696</v>
      </c>
      <c r="AE232" s="475">
        <f>'Glass Metrics'!S232</f>
        <v>124488</v>
      </c>
      <c r="AF232" s="359">
        <f t="shared" si="119"/>
        <v>0.81086468001954082</v>
      </c>
      <c r="AG232" s="477">
        <f t="shared" si="120"/>
        <v>1.3520419638840691</v>
      </c>
      <c r="AH232" s="472">
        <f t="shared" si="121"/>
        <v>1.0498060161722504</v>
      </c>
      <c r="AI232" s="360">
        <f t="shared" si="122"/>
        <v>2.3310190522716168</v>
      </c>
      <c r="AJ232" s="363">
        <f t="shared" si="97"/>
        <v>0.55897081685677841</v>
      </c>
      <c r="AK232" s="478">
        <v>0.80291282788726703</v>
      </c>
      <c r="AL232" s="478">
        <v>0.37570929670513592</v>
      </c>
      <c r="AM232" s="429">
        <v>70598</v>
      </c>
      <c r="AN232" s="429">
        <v>93974</v>
      </c>
      <c r="AO232" s="374">
        <f t="shared" si="92"/>
        <v>0.55897081685677841</v>
      </c>
      <c r="AP232" s="363"/>
      <c r="AQ232" s="493">
        <v>0.85249665193305479</v>
      </c>
      <c r="AR232" s="493">
        <v>0.41068006139717922</v>
      </c>
      <c r="AS232" s="374">
        <f t="shared" si="126"/>
        <v>0</v>
      </c>
      <c r="AT232" s="92">
        <v>11733</v>
      </c>
      <c r="AU232" s="92">
        <f t="shared" si="134"/>
        <v>39263</v>
      </c>
      <c r="AV232" s="859">
        <f>'Channel &amp; Campaign Metrics'!Z231</f>
        <v>50996</v>
      </c>
      <c r="AW232" s="455">
        <f t="shared" si="93"/>
        <v>3519.8999999999996</v>
      </c>
      <c r="AX232" s="455">
        <f t="shared" si="94"/>
        <v>11778.900000000001</v>
      </c>
      <c r="AY232" s="386">
        <f t="shared" si="95"/>
        <v>15298.800000000001</v>
      </c>
      <c r="AZ232" s="180">
        <f t="shared" si="98"/>
        <v>44006.949999999983</v>
      </c>
      <c r="BA232" s="449">
        <f t="shared" si="99"/>
        <v>75282.949999999983</v>
      </c>
      <c r="BB232" s="92">
        <v>72761</v>
      </c>
      <c r="BC232" s="92">
        <v>99524</v>
      </c>
      <c r="BD232" s="92">
        <f t="shared" si="135"/>
        <v>15252.9</v>
      </c>
      <c r="BE232" s="92">
        <f t="shared" si="136"/>
        <v>51041.9</v>
      </c>
      <c r="BF232" s="453">
        <f t="shared" si="100"/>
        <v>0.3689075940209523</v>
      </c>
      <c r="BG232" s="453">
        <f t="shared" si="101"/>
        <v>0.6310924059790477</v>
      </c>
      <c r="BH232" s="453">
        <f t="shared" si="102"/>
        <v>0.52791159996517401</v>
      </c>
      <c r="BI232" s="453">
        <f t="shared" si="103"/>
        <v>0.72208840003482599</v>
      </c>
      <c r="BJ232" s="453">
        <f t="shared" si="104"/>
        <v>0.23007686877402148</v>
      </c>
      <c r="BK232" s="453">
        <f t="shared" si="105"/>
        <v>0.76992313122597844</v>
      </c>
      <c r="BL232" s="840">
        <v>78109</v>
      </c>
      <c r="BM232" s="92">
        <v>89836</v>
      </c>
      <c r="BN232" s="386">
        <f t="shared" si="124"/>
        <v>167945</v>
      </c>
    </row>
    <row r="233" spans="1:66" ht="16.350000000000001" customHeight="1">
      <c r="A233" s="175">
        <f t="shared" si="106"/>
        <v>2025</v>
      </c>
      <c r="B233" s="454" t="str">
        <f t="shared" si="107"/>
        <v>19</v>
      </c>
      <c r="C233" s="454" t="str">
        <f t="array" ref="C233">_xlfn.IFS(_xlfn.NUMBERVALUE(B233)&lt;=13,"Q1",AND(_xlfn.NUMBERVALUE(B233)&gt;13,_xlfn.NUMBERVALUE(B233)&lt;=26),"Q2", AND(_xlfn.NUMBERVALUE(B233)&gt;26,_xlfn.NUMBERVALUE(B233)&lt;=39),"Q3",_xlfn.NUMBERVALUE(B233)&gt;39,"Q4")</f>
        <v>Q2</v>
      </c>
      <c r="D233" s="448">
        <f t="shared" si="125"/>
        <v>45444</v>
      </c>
      <c r="E233" s="448">
        <f t="shared" si="108"/>
        <v>45450</v>
      </c>
      <c r="F233" s="79">
        <v>202419</v>
      </c>
      <c r="G233" s="180">
        <f t="shared" si="109"/>
        <v>273247.8</v>
      </c>
      <c r="H233" s="429">
        <f t="shared" si="127"/>
        <v>123592.34999999999</v>
      </c>
      <c r="I233" s="429">
        <f t="shared" si="128"/>
        <v>149655.45000000001</v>
      </c>
      <c r="J233" s="474">
        <f t="shared" si="110"/>
        <v>0.45230867366544214</v>
      </c>
      <c r="K233" s="474">
        <f t="shared" si="111"/>
        <v>0.54769132633455797</v>
      </c>
      <c r="L233" s="92">
        <f t="shared" si="129"/>
        <v>91082.6</v>
      </c>
      <c r="M233" s="92">
        <v>90338</v>
      </c>
      <c r="N233" s="92">
        <f t="shared" si="131"/>
        <v>69243.200000000012</v>
      </c>
      <c r="O233" s="474">
        <f t="shared" si="112"/>
        <v>0.33333333333333337</v>
      </c>
      <c r="P233" s="474">
        <f t="shared" si="113"/>
        <v>0.33060833426655223</v>
      </c>
      <c r="Q233" s="474">
        <f t="shared" si="114"/>
        <v>0.25340807867437548</v>
      </c>
      <c r="R233" s="455">
        <f>Forecast!J228</f>
        <v>235588</v>
      </c>
      <c r="S233" s="455">
        <f>Forecast!N228</f>
        <v>166641</v>
      </c>
      <c r="T233" s="475">
        <f t="shared" si="115"/>
        <v>6293900.8499999996</v>
      </c>
      <c r="U233" s="475">
        <f t="shared" si="116"/>
        <v>4320846</v>
      </c>
      <c r="V233" s="349">
        <f t="shared" si="117"/>
        <v>4198008</v>
      </c>
      <c r="W233" s="350">
        <f t="shared" si="118"/>
        <v>1349871</v>
      </c>
      <c r="X233" s="469">
        <f>'Channel &amp; Campaign Metrics'!AR232</f>
        <v>1209723</v>
      </c>
      <c r="Y233" s="469">
        <f>'Channel &amp; Campaign Metrics'!BS232</f>
        <v>140148</v>
      </c>
      <c r="Z233" s="476">
        <f t="shared" si="132"/>
        <v>809922.6</v>
      </c>
      <c r="AA233" s="476">
        <f t="shared" si="133"/>
        <v>539948.4</v>
      </c>
      <c r="AB233" s="358">
        <f>'Glass Metrics'!AC233</f>
        <v>115310</v>
      </c>
      <c r="AC233" s="475">
        <f>'Glass Metrics'!I233</f>
        <v>185220</v>
      </c>
      <c r="AD233" s="469">
        <f>'Glass Metrics'!N233</f>
        <v>124975</v>
      </c>
      <c r="AE233" s="475">
        <f>'Glass Metrics'!S233</f>
        <v>164184</v>
      </c>
      <c r="AF233" s="359">
        <f t="shared" si="119"/>
        <v>1.423848755528575</v>
      </c>
      <c r="AG233" s="477">
        <f t="shared" si="120"/>
        <v>1.1281245431954392</v>
      </c>
      <c r="AH233" s="472">
        <f t="shared" si="121"/>
        <v>0.67473814922794517</v>
      </c>
      <c r="AI233" s="360">
        <f t="shared" si="122"/>
        <v>2.3696799930621801</v>
      </c>
      <c r="AJ233" s="363">
        <f t="shared" si="97"/>
        <v>0.33530714891725216</v>
      </c>
      <c r="AK233" s="478">
        <v>0.5780501200752256</v>
      </c>
      <c r="AL233" s="478">
        <v>5.3742020818399849E-2</v>
      </c>
      <c r="AM233" s="429">
        <v>70061</v>
      </c>
      <c r="AN233" s="429">
        <v>60401</v>
      </c>
      <c r="AO233" s="374">
        <f t="shared" si="92"/>
        <v>0.33530714891725216</v>
      </c>
      <c r="AP233" s="363"/>
      <c r="AQ233" s="493">
        <v>0.82074484044607654</v>
      </c>
      <c r="AR233" s="493">
        <v>1.685571313377332E-2</v>
      </c>
      <c r="AS233" s="374">
        <f t="shared" si="126"/>
        <v>0</v>
      </c>
      <c r="AT233" s="92">
        <v>19823</v>
      </c>
      <c r="AU233" s="92">
        <f t="shared" si="134"/>
        <v>33441</v>
      </c>
      <c r="AV233" s="859">
        <f>'Channel &amp; Campaign Metrics'!Z232</f>
        <v>53264</v>
      </c>
      <c r="AW233" s="455">
        <f t="shared" si="93"/>
        <v>5946.9000000000015</v>
      </c>
      <c r="AX233" s="455">
        <f t="shared" si="94"/>
        <v>10032.300000000003</v>
      </c>
      <c r="AY233" s="386">
        <f t="shared" si="95"/>
        <v>15979.200000000004</v>
      </c>
      <c r="AZ233" s="180">
        <f t="shared" si="98"/>
        <v>41197.449999999997</v>
      </c>
      <c r="BA233" s="449">
        <f t="shared" si="99"/>
        <v>49885.150000000009</v>
      </c>
      <c r="BB233" s="92">
        <v>56625</v>
      </c>
      <c r="BC233" s="92">
        <v>56297</v>
      </c>
      <c r="BD233" s="92">
        <f t="shared" si="135"/>
        <v>25769.9</v>
      </c>
      <c r="BE233" s="92">
        <f t="shared" si="136"/>
        <v>43473.3</v>
      </c>
      <c r="BF233" s="453">
        <f t="shared" si="100"/>
        <v>0.45230867366544208</v>
      </c>
      <c r="BG233" s="453">
        <f t="shared" si="101"/>
        <v>0.54769132633455797</v>
      </c>
      <c r="BH233" s="453">
        <f t="shared" si="102"/>
        <v>0.62681263698554324</v>
      </c>
      <c r="BI233" s="453">
        <f t="shared" si="103"/>
        <v>0.62318182824503532</v>
      </c>
      <c r="BJ233" s="453">
        <f t="shared" si="104"/>
        <v>0.37216506458395909</v>
      </c>
      <c r="BK233" s="453">
        <f t="shared" si="105"/>
        <v>0.62783493541604074</v>
      </c>
      <c r="BL233" s="840">
        <v>93431</v>
      </c>
      <c r="BM233" s="92">
        <v>58003</v>
      </c>
      <c r="BN233" s="386">
        <f t="shared" si="124"/>
        <v>151434</v>
      </c>
    </row>
    <row r="234" spans="1:66" ht="16.350000000000001" customHeight="1">
      <c r="A234" s="175">
        <f t="shared" si="106"/>
        <v>2025</v>
      </c>
      <c r="B234" s="454" t="str">
        <f t="shared" si="107"/>
        <v>20</v>
      </c>
      <c r="C234" s="454" t="str">
        <f t="array" ref="C234">_xlfn.IFS(_xlfn.NUMBERVALUE(B234)&lt;=13,"Q1",AND(_xlfn.NUMBERVALUE(B234)&gt;13,_xlfn.NUMBERVALUE(B234)&lt;=26),"Q2", AND(_xlfn.NUMBERVALUE(B234)&gt;26,_xlfn.NUMBERVALUE(B234)&lt;=39),"Q3",_xlfn.NUMBERVALUE(B234)&gt;39,"Q4")</f>
        <v>Q2</v>
      </c>
      <c r="D234" s="448">
        <f t="shared" si="125"/>
        <v>45451</v>
      </c>
      <c r="E234" s="448">
        <f t="shared" si="108"/>
        <v>45457</v>
      </c>
      <c r="F234" s="79">
        <v>202420</v>
      </c>
      <c r="G234" s="180">
        <f t="shared" si="109"/>
        <v>298738.65000000002</v>
      </c>
      <c r="H234" s="429">
        <f t="shared" si="127"/>
        <v>137160.15000000002</v>
      </c>
      <c r="I234" s="429">
        <f t="shared" si="128"/>
        <v>161578.5</v>
      </c>
      <c r="J234" s="474">
        <f t="shared" si="110"/>
        <v>0.45913091593605315</v>
      </c>
      <c r="K234" s="474">
        <f t="shared" si="111"/>
        <v>0.54086908406394685</v>
      </c>
      <c r="L234" s="92">
        <f t="shared" si="129"/>
        <v>99579.550000000017</v>
      </c>
      <c r="M234" s="92">
        <v>107538</v>
      </c>
      <c r="N234" s="92">
        <f t="shared" si="131"/>
        <v>64736.1</v>
      </c>
      <c r="O234" s="474">
        <f t="shared" si="112"/>
        <v>0.33333333333333337</v>
      </c>
      <c r="P234" s="474">
        <f t="shared" si="113"/>
        <v>0.35997350861698008</v>
      </c>
      <c r="Q234" s="474">
        <f t="shared" si="114"/>
        <v>0.21669810719168742</v>
      </c>
      <c r="R234" s="455">
        <f>Forecast!J229</f>
        <v>203567</v>
      </c>
      <c r="S234" s="455">
        <f>Forecast!N229</f>
        <v>258844</v>
      </c>
      <c r="T234" s="475">
        <f t="shared" si="115"/>
        <v>6592639.5</v>
      </c>
      <c r="U234" s="475">
        <f t="shared" si="116"/>
        <v>4524413</v>
      </c>
      <c r="V234" s="349">
        <f t="shared" si="117"/>
        <v>4456852</v>
      </c>
      <c r="W234" s="350">
        <f t="shared" si="118"/>
        <v>1332776</v>
      </c>
      <c r="X234" s="469">
        <f>'Channel &amp; Campaign Metrics'!AR233</f>
        <v>1160139</v>
      </c>
      <c r="Y234" s="469">
        <f>'Channel &amp; Campaign Metrics'!BS233</f>
        <v>172637</v>
      </c>
      <c r="Z234" s="476">
        <f t="shared" si="132"/>
        <v>799665.6</v>
      </c>
      <c r="AA234" s="476">
        <f t="shared" si="133"/>
        <v>533110.4</v>
      </c>
      <c r="AB234" s="358">
        <f>'Glass Metrics'!AC234</f>
        <v>153416</v>
      </c>
      <c r="AC234" s="475">
        <f>'Glass Metrics'!I234</f>
        <v>149037</v>
      </c>
      <c r="AD234" s="469">
        <f>'Glass Metrics'!N234</f>
        <v>134529</v>
      </c>
      <c r="AE234" s="475">
        <f>'Glass Metrics'!S234</f>
        <v>173976</v>
      </c>
      <c r="AF234" s="359">
        <f t="shared" si="119"/>
        <v>1.134014705115503</v>
      </c>
      <c r="AG234" s="477">
        <f t="shared" si="120"/>
        <v>0.85665264174368883</v>
      </c>
      <c r="AH234" s="472">
        <f t="shared" si="121"/>
        <v>0.90265504539141284</v>
      </c>
      <c r="AI234" s="360">
        <f t="shared" si="122"/>
        <v>1.9472457240444283</v>
      </c>
      <c r="AJ234" s="363">
        <f t="shared" si="97"/>
        <v>0.75241127506964933</v>
      </c>
      <c r="AK234" s="478">
        <v>0.90138414279325341</v>
      </c>
      <c r="AL234" s="478">
        <v>0.64140426016656205</v>
      </c>
      <c r="AM234" s="429">
        <v>65670</v>
      </c>
      <c r="AN234" s="429">
        <v>88130</v>
      </c>
      <c r="AO234" s="374">
        <f t="shared" si="92"/>
        <v>0.75241127506964933</v>
      </c>
      <c r="AP234" s="363"/>
      <c r="AQ234" s="493">
        <v>0.28514642591054412</v>
      </c>
      <c r="AR234" s="493">
        <v>0.36209095081860371</v>
      </c>
      <c r="AS234" s="374">
        <f t="shared" si="126"/>
        <v>0</v>
      </c>
      <c r="AT234" s="92">
        <v>10267</v>
      </c>
      <c r="AU234" s="92">
        <f t="shared" si="134"/>
        <v>39530</v>
      </c>
      <c r="AV234" s="859">
        <f>'Channel &amp; Campaign Metrics'!Z233</f>
        <v>49797</v>
      </c>
      <c r="AW234" s="455">
        <f t="shared" si="93"/>
        <v>3080.1000000000004</v>
      </c>
      <c r="AX234" s="455">
        <f t="shared" si="94"/>
        <v>11859</v>
      </c>
      <c r="AY234" s="386">
        <f t="shared" si="95"/>
        <v>14939.1</v>
      </c>
      <c r="AZ234" s="180">
        <f t="shared" si="98"/>
        <v>45720.050000000017</v>
      </c>
      <c r="BA234" s="449">
        <f t="shared" si="99"/>
        <v>53859.5</v>
      </c>
      <c r="BB234" s="92">
        <v>78093</v>
      </c>
      <c r="BC234" s="92">
        <v>56330</v>
      </c>
      <c r="BD234" s="92">
        <f t="shared" si="135"/>
        <v>13347.1</v>
      </c>
      <c r="BE234" s="92">
        <f t="shared" si="136"/>
        <v>51389</v>
      </c>
      <c r="BF234" s="453">
        <f t="shared" si="100"/>
        <v>0.45913091593605321</v>
      </c>
      <c r="BG234" s="453">
        <f t="shared" si="101"/>
        <v>0.54086908406394674</v>
      </c>
      <c r="BH234" s="453">
        <f t="shared" si="102"/>
        <v>0.7261898119734419</v>
      </c>
      <c r="BI234" s="453">
        <f t="shared" si="103"/>
        <v>0.52381483754579772</v>
      </c>
      <c r="BJ234" s="453">
        <f t="shared" si="104"/>
        <v>0.20617707894049844</v>
      </c>
      <c r="BK234" s="453">
        <f t="shared" si="105"/>
        <v>0.79382292105950159</v>
      </c>
      <c r="BL234" s="840">
        <v>64332</v>
      </c>
      <c r="BM234" s="92">
        <v>91124</v>
      </c>
      <c r="BN234" s="386">
        <f t="shared" si="124"/>
        <v>155456</v>
      </c>
    </row>
    <row r="235" spans="1:66" ht="16.350000000000001" customHeight="1">
      <c r="A235" s="175">
        <f t="shared" si="106"/>
        <v>2025</v>
      </c>
      <c r="B235" s="454" t="str">
        <f t="shared" si="107"/>
        <v>21</v>
      </c>
      <c r="C235" s="454" t="str">
        <f t="array" ref="C235">_xlfn.IFS(_xlfn.NUMBERVALUE(B235)&lt;=13,"Q1",AND(_xlfn.NUMBERVALUE(B235)&gt;13,_xlfn.NUMBERVALUE(B235)&lt;=26),"Q2", AND(_xlfn.NUMBERVALUE(B235)&gt;26,_xlfn.NUMBERVALUE(B235)&lt;=39),"Q3",_xlfn.NUMBERVALUE(B235)&gt;39,"Q4")</f>
        <v>Q2</v>
      </c>
      <c r="D235" s="448">
        <f t="shared" si="125"/>
        <v>45458</v>
      </c>
      <c r="E235" s="448">
        <f t="shared" si="108"/>
        <v>45464</v>
      </c>
      <c r="F235" s="79">
        <v>202421</v>
      </c>
      <c r="G235" s="180">
        <f t="shared" si="109"/>
        <v>266858.7</v>
      </c>
      <c r="H235" s="429">
        <f t="shared" si="127"/>
        <v>120631.20000000001</v>
      </c>
      <c r="I235" s="429">
        <f t="shared" si="128"/>
        <v>146227.5</v>
      </c>
      <c r="J235" s="474">
        <f t="shared" si="110"/>
        <v>0.45204147363379948</v>
      </c>
      <c r="K235" s="474">
        <f t="shared" si="111"/>
        <v>0.54795852636620057</v>
      </c>
      <c r="L235" s="92">
        <f t="shared" si="129"/>
        <v>88952.900000000009</v>
      </c>
      <c r="M235" s="92">
        <v>92918</v>
      </c>
      <c r="N235" s="92">
        <f t="shared" si="131"/>
        <v>61757.8</v>
      </c>
      <c r="O235" s="474">
        <f t="shared" si="112"/>
        <v>0.33333333333333337</v>
      </c>
      <c r="P235" s="474">
        <f t="shared" si="113"/>
        <v>0.34819175840997502</v>
      </c>
      <c r="Q235" s="474">
        <f t="shared" si="114"/>
        <v>0.23142509500346065</v>
      </c>
      <c r="R235" s="455">
        <f>Forecast!J230</f>
        <v>191987</v>
      </c>
      <c r="S235" s="455">
        <f>Forecast!N230</f>
        <v>250492</v>
      </c>
      <c r="T235" s="475">
        <f t="shared" si="115"/>
        <v>6859498.2000000002</v>
      </c>
      <c r="U235" s="475">
        <f t="shared" si="116"/>
        <v>4716400</v>
      </c>
      <c r="V235" s="349">
        <f t="shared" si="117"/>
        <v>4707344</v>
      </c>
      <c r="W235" s="350">
        <f t="shared" si="118"/>
        <v>1396708</v>
      </c>
      <c r="X235" s="469">
        <f>'Channel &amp; Campaign Metrics'!AR234</f>
        <v>1229474</v>
      </c>
      <c r="Y235" s="469">
        <f>'Channel &amp; Campaign Metrics'!BS234</f>
        <v>167234</v>
      </c>
      <c r="Z235" s="476">
        <f t="shared" si="132"/>
        <v>838024.79999999993</v>
      </c>
      <c r="AA235" s="476">
        <f t="shared" si="133"/>
        <v>558683.20000000007</v>
      </c>
      <c r="AB235" s="358">
        <f>'Glass Metrics'!AC235</f>
        <v>153885</v>
      </c>
      <c r="AC235" s="475">
        <f>'Glass Metrics'!I235</f>
        <v>140001</v>
      </c>
      <c r="AD235" s="469">
        <f>'Glass Metrics'!N235</f>
        <v>127634</v>
      </c>
      <c r="AE235" s="475">
        <f>'Glass Metrics'!S235</f>
        <v>174832</v>
      </c>
      <c r="AF235" s="359">
        <f t="shared" si="119"/>
        <v>1.1361211294148228</v>
      </c>
      <c r="AG235" s="477">
        <f t="shared" si="120"/>
        <v>0.80077445776516887</v>
      </c>
      <c r="AH235" s="472">
        <f t="shared" si="121"/>
        <v>0.9116649166791666</v>
      </c>
      <c r="AI235" s="360">
        <f t="shared" si="122"/>
        <v>1.7341436787211231</v>
      </c>
      <c r="AJ235" s="363">
        <f t="shared" si="97"/>
        <v>0.71627413238784887</v>
      </c>
      <c r="AK235" s="478">
        <v>0.54733552613891745</v>
      </c>
      <c r="AL235" s="478">
        <v>0.8344096123081004</v>
      </c>
      <c r="AM235" s="429">
        <v>57734</v>
      </c>
      <c r="AN235" s="429">
        <v>82562</v>
      </c>
      <c r="AO235" s="374">
        <f t="shared" si="92"/>
        <v>0.71627413238784887</v>
      </c>
      <c r="AP235" s="363"/>
      <c r="AQ235" s="493">
        <v>0.46155637195419591</v>
      </c>
      <c r="AR235" s="493">
        <v>0.70364923669809964</v>
      </c>
      <c r="AS235" s="374">
        <f t="shared" si="126"/>
        <v>0</v>
      </c>
      <c r="AT235" s="92">
        <v>19316</v>
      </c>
      <c r="AU235" s="92">
        <f t="shared" si="134"/>
        <v>28190</v>
      </c>
      <c r="AV235" s="859">
        <f>'Channel &amp; Campaign Metrics'!Z234</f>
        <v>47506</v>
      </c>
      <c r="AW235" s="455">
        <f t="shared" si="93"/>
        <v>5794.7999999999993</v>
      </c>
      <c r="AX235" s="455">
        <f t="shared" si="94"/>
        <v>8457</v>
      </c>
      <c r="AY235" s="386">
        <f t="shared" si="95"/>
        <v>14251.8</v>
      </c>
      <c r="AZ235" s="180">
        <f t="shared" si="98"/>
        <v>40210.400000000009</v>
      </c>
      <c r="BA235" s="449">
        <f t="shared" si="99"/>
        <v>48742.5</v>
      </c>
      <c r="BB235" s="92">
        <v>55310</v>
      </c>
      <c r="BC235" s="92">
        <v>60838</v>
      </c>
      <c r="BD235" s="92">
        <f t="shared" si="135"/>
        <v>25110.799999999999</v>
      </c>
      <c r="BE235" s="92">
        <f t="shared" si="136"/>
        <v>36647</v>
      </c>
      <c r="BF235" s="453">
        <f t="shared" si="100"/>
        <v>0.45204147363379954</v>
      </c>
      <c r="BG235" s="453">
        <f t="shared" si="101"/>
        <v>0.54795852636620046</v>
      </c>
      <c r="BH235" s="453">
        <f t="shared" si="102"/>
        <v>0.59525603220043477</v>
      </c>
      <c r="BI235" s="453">
        <f t="shared" si="103"/>
        <v>0.65474934888826708</v>
      </c>
      <c r="BJ235" s="453">
        <f t="shared" si="104"/>
        <v>0.40660127141834712</v>
      </c>
      <c r="BK235" s="453">
        <f t="shared" si="105"/>
        <v>0.59339872858165277</v>
      </c>
      <c r="BL235" s="840">
        <v>70777</v>
      </c>
      <c r="BM235" s="92">
        <v>91460</v>
      </c>
      <c r="BN235" s="386">
        <f t="shared" si="124"/>
        <v>162237</v>
      </c>
    </row>
    <row r="236" spans="1:66" ht="16.350000000000001" customHeight="1">
      <c r="A236" s="175">
        <f t="shared" si="106"/>
        <v>2025</v>
      </c>
      <c r="B236" s="454" t="str">
        <f t="shared" si="107"/>
        <v>22</v>
      </c>
      <c r="C236" s="454" t="str">
        <f t="array" ref="C236">_xlfn.IFS(_xlfn.NUMBERVALUE(B236)&lt;=13,"Q1",AND(_xlfn.NUMBERVALUE(B236)&gt;13,_xlfn.NUMBERVALUE(B236)&lt;=26),"Q2", AND(_xlfn.NUMBERVALUE(B236)&gt;26,_xlfn.NUMBERVALUE(B236)&lt;=39),"Q3",_xlfn.NUMBERVALUE(B236)&gt;39,"Q4")</f>
        <v>Q2</v>
      </c>
      <c r="D236" s="448">
        <f t="shared" si="125"/>
        <v>45465</v>
      </c>
      <c r="E236" s="448">
        <f t="shared" si="108"/>
        <v>45471</v>
      </c>
      <c r="F236" s="79">
        <v>202422</v>
      </c>
      <c r="G236" s="180">
        <f t="shared" si="109"/>
        <v>257344.95</v>
      </c>
      <c r="H236" s="429">
        <f t="shared" si="127"/>
        <v>114114.90000000001</v>
      </c>
      <c r="I236" s="429">
        <f t="shared" si="128"/>
        <v>143230.04999999999</v>
      </c>
      <c r="J236" s="474">
        <f t="shared" si="110"/>
        <v>0.44343166632957048</v>
      </c>
      <c r="K236" s="474">
        <f t="shared" si="111"/>
        <v>0.55656833367042946</v>
      </c>
      <c r="L236" s="92">
        <f t="shared" si="129"/>
        <v>85781.65</v>
      </c>
      <c r="M236" s="92">
        <v>100392</v>
      </c>
      <c r="N236" s="92">
        <f t="shared" si="131"/>
        <v>46073.3</v>
      </c>
      <c r="O236" s="474">
        <f t="shared" si="112"/>
        <v>0.33333333333333331</v>
      </c>
      <c r="P236" s="474">
        <f t="shared" si="113"/>
        <v>0.39010674194306122</v>
      </c>
      <c r="Q236" s="474">
        <f t="shared" si="114"/>
        <v>0.17903323923784012</v>
      </c>
      <c r="R236" s="455">
        <f>Forecast!J231</f>
        <v>187767</v>
      </c>
      <c r="S236" s="455">
        <f>Forecast!N231</f>
        <v>206999</v>
      </c>
      <c r="T236" s="475">
        <f t="shared" si="115"/>
        <v>7116843.1500000004</v>
      </c>
      <c r="U236" s="475">
        <f t="shared" si="116"/>
        <v>4904167</v>
      </c>
      <c r="V236" s="349">
        <f t="shared" si="117"/>
        <v>4914343</v>
      </c>
      <c r="W236" s="350">
        <f t="shared" si="118"/>
        <v>1257816</v>
      </c>
      <c r="X236" s="469">
        <f>'Channel &amp; Campaign Metrics'!AR235</f>
        <v>1099982</v>
      </c>
      <c r="Y236" s="469">
        <f>'Channel &amp; Campaign Metrics'!BS235</f>
        <v>157834</v>
      </c>
      <c r="Z236" s="476">
        <f t="shared" si="132"/>
        <v>754689.6</v>
      </c>
      <c r="AA236" s="476">
        <f t="shared" si="133"/>
        <v>503126.4</v>
      </c>
      <c r="AB236" s="358">
        <f>'Glass Metrics'!AC236</f>
        <v>157042</v>
      </c>
      <c r="AC236" s="475">
        <f>'Glass Metrics'!I236</f>
        <v>133846</v>
      </c>
      <c r="AD236" s="469">
        <f>'Glass Metrics'!N236</f>
        <v>168150</v>
      </c>
      <c r="AE236" s="475">
        <f>'Glass Metrics'!S236</f>
        <v>162313</v>
      </c>
      <c r="AF236" s="359">
        <f t="shared" si="119"/>
        <v>1.0335642694311076</v>
      </c>
      <c r="AG236" s="477">
        <f t="shared" si="120"/>
        <v>0.82461663575930455</v>
      </c>
      <c r="AH236" s="472">
        <f t="shared" si="121"/>
        <v>1.2562945474649971</v>
      </c>
      <c r="AI236" s="360">
        <f t="shared" si="122"/>
        <v>1.6387014301906497</v>
      </c>
      <c r="AJ236" s="363">
        <f t="shared" si="97"/>
        <v>0.68627308664125009</v>
      </c>
      <c r="AK236" s="478">
        <v>0.28107460902232262</v>
      </c>
      <c r="AL236" s="478">
        <v>0.96359137261320416</v>
      </c>
      <c r="AM236" s="429">
        <v>64641</v>
      </c>
      <c r="AN236" s="429">
        <v>94449</v>
      </c>
      <c r="AO236" s="374">
        <f t="shared" si="92"/>
        <v>0.68627308664125009</v>
      </c>
      <c r="AP236" s="363"/>
      <c r="AQ236" s="493">
        <v>0.92974513979065065</v>
      </c>
      <c r="AR236" s="493">
        <v>0.87827045217809818</v>
      </c>
      <c r="AS236" s="374">
        <f t="shared" si="126"/>
        <v>0</v>
      </c>
      <c r="AT236" s="92">
        <v>15182</v>
      </c>
      <c r="AU236" s="92">
        <f t="shared" si="134"/>
        <v>20259</v>
      </c>
      <c r="AV236" s="859">
        <f>'Channel &amp; Campaign Metrics'!Z235</f>
        <v>35441</v>
      </c>
      <c r="AW236" s="455">
        <f t="shared" si="93"/>
        <v>4554.6000000000022</v>
      </c>
      <c r="AX236" s="455">
        <f t="shared" si="94"/>
        <v>6077.7000000000007</v>
      </c>
      <c r="AY236" s="386">
        <f t="shared" si="95"/>
        <v>10632.300000000003</v>
      </c>
      <c r="AZ236" s="180">
        <f t="shared" si="98"/>
        <v>38038.300000000003</v>
      </c>
      <c r="BA236" s="449">
        <f t="shared" si="99"/>
        <v>47743.349999999991</v>
      </c>
      <c r="BB236" s="92">
        <v>56340</v>
      </c>
      <c r="BC236" s="92">
        <v>69150</v>
      </c>
      <c r="BD236" s="92">
        <f t="shared" si="135"/>
        <v>19736.600000000002</v>
      </c>
      <c r="BE236" s="92">
        <f t="shared" si="136"/>
        <v>26336.7</v>
      </c>
      <c r="BF236" s="453">
        <f t="shared" si="100"/>
        <v>0.44343166632957054</v>
      </c>
      <c r="BG236" s="453">
        <f t="shared" si="101"/>
        <v>0.55656833367042946</v>
      </c>
      <c r="BH236" s="453">
        <f t="shared" si="102"/>
        <v>0.56120009562514939</v>
      </c>
      <c r="BI236" s="453">
        <f t="shared" si="103"/>
        <v>0.68879990437485061</v>
      </c>
      <c r="BJ236" s="453">
        <f t="shared" si="104"/>
        <v>0.42837391721452556</v>
      </c>
      <c r="BK236" s="453">
        <f t="shared" si="105"/>
        <v>0.57162608278547444</v>
      </c>
      <c r="BL236" s="840">
        <v>92100</v>
      </c>
      <c r="BM236" s="92">
        <v>97574</v>
      </c>
      <c r="BN236" s="386">
        <f t="shared" si="124"/>
        <v>189674</v>
      </c>
    </row>
    <row r="237" spans="1:66" ht="16.350000000000001" customHeight="1">
      <c r="A237" s="175">
        <f t="shared" si="106"/>
        <v>2025</v>
      </c>
      <c r="B237" s="454" t="str">
        <f t="shared" si="107"/>
        <v>23</v>
      </c>
      <c r="C237" s="454" t="str">
        <f t="array" ref="C237">_xlfn.IFS(_xlfn.NUMBERVALUE(B237)&lt;=13,"Q1",AND(_xlfn.NUMBERVALUE(B237)&gt;13,_xlfn.NUMBERVALUE(B237)&lt;=26),"Q2", AND(_xlfn.NUMBERVALUE(B237)&gt;26,_xlfn.NUMBERVALUE(B237)&lt;=39),"Q3",_xlfn.NUMBERVALUE(B237)&gt;39,"Q4")</f>
        <v>Q2</v>
      </c>
      <c r="D237" s="448">
        <f t="shared" si="125"/>
        <v>45472</v>
      </c>
      <c r="E237" s="448">
        <f t="shared" si="108"/>
        <v>45478</v>
      </c>
      <c r="F237" s="79">
        <v>202423</v>
      </c>
      <c r="G237" s="180">
        <f t="shared" si="109"/>
        <v>260700</v>
      </c>
      <c r="H237" s="429">
        <f t="shared" si="127"/>
        <v>100120.65000000001</v>
      </c>
      <c r="I237" s="429">
        <f t="shared" si="128"/>
        <v>160579.34999999998</v>
      </c>
      <c r="J237" s="474">
        <f t="shared" si="110"/>
        <v>0.38404545454545458</v>
      </c>
      <c r="K237" s="474">
        <f t="shared" si="111"/>
        <v>0.61595454545454531</v>
      </c>
      <c r="L237" s="92">
        <f t="shared" si="129"/>
        <v>86899.999999999985</v>
      </c>
      <c r="M237" s="92">
        <v>99114</v>
      </c>
      <c r="N237" s="92">
        <f t="shared" si="131"/>
        <v>49907</v>
      </c>
      <c r="O237" s="474">
        <f t="shared" si="112"/>
        <v>0.33333333333333326</v>
      </c>
      <c r="P237" s="474">
        <f t="shared" si="113"/>
        <v>0.38018411967779059</v>
      </c>
      <c r="Q237" s="474">
        <f t="shared" si="114"/>
        <v>0.19143459915611816</v>
      </c>
      <c r="R237" s="455">
        <f>Forecast!J232</f>
        <v>224661</v>
      </c>
      <c r="S237" s="455">
        <f>Forecast!N232</f>
        <v>220153</v>
      </c>
      <c r="T237" s="475">
        <f t="shared" si="115"/>
        <v>7377543.1500000004</v>
      </c>
      <c r="U237" s="475">
        <f t="shared" si="116"/>
        <v>5128828</v>
      </c>
      <c r="V237" s="349">
        <f t="shared" si="117"/>
        <v>5134496</v>
      </c>
      <c r="W237" s="350">
        <f t="shared" si="118"/>
        <v>1351303</v>
      </c>
      <c r="X237" s="469">
        <f>'Channel &amp; Campaign Metrics'!AR236</f>
        <v>1222576</v>
      </c>
      <c r="Y237" s="469">
        <f>'Channel &amp; Campaign Metrics'!BS236</f>
        <v>128727</v>
      </c>
      <c r="Z237" s="476">
        <f t="shared" si="132"/>
        <v>810781.79999999993</v>
      </c>
      <c r="AA237" s="476">
        <f t="shared" si="133"/>
        <v>540521.20000000007</v>
      </c>
      <c r="AB237" s="358">
        <f>'Glass Metrics'!AC237</f>
        <v>135127</v>
      </c>
      <c r="AC237" s="475">
        <f>'Glass Metrics'!I237</f>
        <v>109216</v>
      </c>
      <c r="AD237" s="469">
        <f>'Glass Metrics'!N237</f>
        <v>154893</v>
      </c>
      <c r="AE237" s="475">
        <f>'Glass Metrics'!S237</f>
        <v>157516</v>
      </c>
      <c r="AF237" s="359">
        <f t="shared" si="119"/>
        <v>1.1656885744521821</v>
      </c>
      <c r="AG237" s="477">
        <f t="shared" si="120"/>
        <v>0.69336448360801439</v>
      </c>
      <c r="AH237" s="472">
        <f t="shared" si="121"/>
        <v>1.418226267213595</v>
      </c>
      <c r="AI237" s="360">
        <f t="shared" si="122"/>
        <v>1.9292961436278464</v>
      </c>
      <c r="AJ237" s="363">
        <f t="shared" si="97"/>
        <v>0.17211226669666904</v>
      </c>
      <c r="AK237" s="478">
        <v>7.1352801901657048E-2</v>
      </c>
      <c r="AL237" s="478">
        <v>0.35952138590849159</v>
      </c>
      <c r="AM237" s="429">
        <v>98939</v>
      </c>
      <c r="AN237" s="429">
        <v>53194</v>
      </c>
      <c r="AO237" s="374">
        <f t="shared" si="92"/>
        <v>0.17211226669666904</v>
      </c>
      <c r="AP237" s="363"/>
      <c r="AQ237" s="493">
        <v>0.44258391889670351</v>
      </c>
      <c r="AR237" s="493">
        <v>0.2317446555633722</v>
      </c>
      <c r="AS237" s="374">
        <f t="shared" si="126"/>
        <v>0</v>
      </c>
      <c r="AT237" s="92">
        <v>12747</v>
      </c>
      <c r="AU237" s="92">
        <f t="shared" si="134"/>
        <v>25643</v>
      </c>
      <c r="AV237" s="859">
        <f>'Channel &amp; Campaign Metrics'!Z236</f>
        <v>38390</v>
      </c>
      <c r="AW237" s="455">
        <f t="shared" si="93"/>
        <v>3824.1000000000022</v>
      </c>
      <c r="AX237" s="455">
        <f t="shared" si="94"/>
        <v>7692.9000000000015</v>
      </c>
      <c r="AY237" s="386">
        <f t="shared" si="95"/>
        <v>11517.000000000004</v>
      </c>
      <c r="AZ237" s="180">
        <f t="shared" si="98"/>
        <v>33373.550000000003</v>
      </c>
      <c r="BA237" s="449">
        <f t="shared" si="99"/>
        <v>53526.449999999983</v>
      </c>
      <c r="BB237" s="92">
        <v>50176</v>
      </c>
      <c r="BC237" s="92">
        <v>73717</v>
      </c>
      <c r="BD237" s="92">
        <f t="shared" si="135"/>
        <v>16571.100000000002</v>
      </c>
      <c r="BE237" s="92">
        <f t="shared" si="136"/>
        <v>33335.9</v>
      </c>
      <c r="BF237" s="453">
        <f t="shared" si="100"/>
        <v>0.38404545454545463</v>
      </c>
      <c r="BG237" s="453">
        <f t="shared" si="101"/>
        <v>0.61595454545454531</v>
      </c>
      <c r="BH237" s="453">
        <f t="shared" si="102"/>
        <v>0.50624533365619384</v>
      </c>
      <c r="BI237" s="453">
        <f t="shared" si="103"/>
        <v>0.74375971103981275</v>
      </c>
      <c r="BJ237" s="453">
        <f t="shared" si="104"/>
        <v>0.33203959364417823</v>
      </c>
      <c r="BK237" s="453">
        <f t="shared" si="105"/>
        <v>0.66796040635582188</v>
      </c>
      <c r="BL237" s="840">
        <v>91368</v>
      </c>
      <c r="BM237" s="92">
        <v>65307</v>
      </c>
      <c r="BN237" s="386">
        <f t="shared" si="124"/>
        <v>156675</v>
      </c>
    </row>
    <row r="238" spans="1:66" ht="16.350000000000001" customHeight="1">
      <c r="A238" s="175">
        <f t="shared" si="106"/>
        <v>2025</v>
      </c>
      <c r="B238" s="454" t="str">
        <f t="shared" si="107"/>
        <v>24</v>
      </c>
      <c r="C238" s="454" t="str">
        <f t="array" ref="C238">_xlfn.IFS(_xlfn.NUMBERVALUE(B238)&lt;=13,"Q1",AND(_xlfn.NUMBERVALUE(B238)&gt;13,_xlfn.NUMBERVALUE(B238)&lt;=26),"Q2", AND(_xlfn.NUMBERVALUE(B238)&gt;26,_xlfn.NUMBERVALUE(B238)&lt;=39),"Q3",_xlfn.NUMBERVALUE(B238)&gt;39,"Q4")</f>
        <v>Q2</v>
      </c>
      <c r="D238" s="448">
        <f t="shared" si="125"/>
        <v>45479</v>
      </c>
      <c r="E238" s="448">
        <f t="shared" si="108"/>
        <v>45485</v>
      </c>
      <c r="F238" s="79">
        <v>202424</v>
      </c>
      <c r="G238" s="180">
        <f t="shared" si="109"/>
        <v>309169.65000000002</v>
      </c>
      <c r="H238" s="429">
        <f t="shared" si="127"/>
        <v>141826.5</v>
      </c>
      <c r="I238" s="429">
        <f t="shared" si="128"/>
        <v>167343.15000000002</v>
      </c>
      <c r="J238" s="474">
        <f t="shared" si="110"/>
        <v>0.45873357879727195</v>
      </c>
      <c r="K238" s="474">
        <f t="shared" si="111"/>
        <v>0.54126642120272805</v>
      </c>
      <c r="L238" s="92">
        <f t="shared" si="129"/>
        <v>103056.55000000002</v>
      </c>
      <c r="M238" s="92">
        <v>112446</v>
      </c>
      <c r="N238" s="92">
        <f t="shared" si="131"/>
        <v>65555.100000000006</v>
      </c>
      <c r="O238" s="474">
        <f t="shared" si="112"/>
        <v>0.33333333333333337</v>
      </c>
      <c r="P238" s="474">
        <f t="shared" si="113"/>
        <v>0.36370322895536478</v>
      </c>
      <c r="Q238" s="474">
        <f t="shared" si="114"/>
        <v>0.21203601323739249</v>
      </c>
      <c r="R238" s="455">
        <f>Forecast!J233</f>
        <v>236924</v>
      </c>
      <c r="S238" s="455">
        <f>Forecast!N233</f>
        <v>202516</v>
      </c>
      <c r="T238" s="475">
        <f t="shared" si="115"/>
        <v>7686712.8000000007</v>
      </c>
      <c r="U238" s="475">
        <f t="shared" si="116"/>
        <v>5365752</v>
      </c>
      <c r="V238" s="349">
        <f t="shared" si="117"/>
        <v>5337012</v>
      </c>
      <c r="W238" s="350">
        <f t="shared" si="118"/>
        <v>1349282</v>
      </c>
      <c r="X238" s="469">
        <f>'Channel &amp; Campaign Metrics'!AR237</f>
        <v>1177581</v>
      </c>
      <c r="Y238" s="469">
        <f>'Channel &amp; Campaign Metrics'!BS237</f>
        <v>171701</v>
      </c>
      <c r="Z238" s="476">
        <f t="shared" si="132"/>
        <v>809569.2</v>
      </c>
      <c r="AA238" s="476">
        <f t="shared" si="133"/>
        <v>539712.80000000005</v>
      </c>
      <c r="AB238" s="358">
        <f>'Glass Metrics'!AC238</f>
        <v>134009</v>
      </c>
      <c r="AC238" s="475">
        <f>'Glass Metrics'!I238</f>
        <v>136149</v>
      </c>
      <c r="AD238" s="469">
        <f>'Glass Metrics'!N238</f>
        <v>145535</v>
      </c>
      <c r="AE238" s="475">
        <f>'Glass Metrics'!S238</f>
        <v>149111</v>
      </c>
      <c r="AF238" s="359">
        <f t="shared" si="119"/>
        <v>1.1126939235424487</v>
      </c>
      <c r="AG238" s="477">
        <f t="shared" si="120"/>
        <v>0.9130714702469972</v>
      </c>
      <c r="AH238" s="472">
        <f t="shared" si="121"/>
        <v>1.0689391769311563</v>
      </c>
      <c r="AI238" s="360">
        <f t="shared" si="122"/>
        <v>2.3070812408121846</v>
      </c>
      <c r="AJ238" s="363">
        <f t="shared" si="97"/>
        <v>0.47795947490563301</v>
      </c>
      <c r="AK238" s="478">
        <v>0.74861585349008419</v>
      </c>
      <c r="AL238" s="478">
        <v>0.18517916010381261</v>
      </c>
      <c r="AM238" s="429">
        <v>60888</v>
      </c>
      <c r="AN238" s="429">
        <v>56287</v>
      </c>
      <c r="AO238" s="374">
        <f t="shared" si="92"/>
        <v>0.47795947490563301</v>
      </c>
      <c r="AP238" s="363"/>
      <c r="AQ238" s="493">
        <v>0.17294597646988749</v>
      </c>
      <c r="AR238" s="493">
        <v>0.97694194783186139</v>
      </c>
      <c r="AS238" s="374">
        <f t="shared" si="126"/>
        <v>0</v>
      </c>
      <c r="AT238" s="92">
        <v>15440</v>
      </c>
      <c r="AU238" s="92">
        <f t="shared" si="134"/>
        <v>34987</v>
      </c>
      <c r="AV238" s="859">
        <f>'Channel &amp; Campaign Metrics'!Z237</f>
        <v>50427</v>
      </c>
      <c r="AW238" s="455">
        <f t="shared" si="93"/>
        <v>4632</v>
      </c>
      <c r="AX238" s="455">
        <f t="shared" si="94"/>
        <v>10496.099999999999</v>
      </c>
      <c r="AY238" s="386">
        <f t="shared" si="95"/>
        <v>15128.099999999999</v>
      </c>
      <c r="AZ238" s="180">
        <f t="shared" si="98"/>
        <v>47275.5</v>
      </c>
      <c r="BA238" s="449">
        <f t="shared" si="99"/>
        <v>55781.050000000017</v>
      </c>
      <c r="BB238" s="92">
        <v>74479</v>
      </c>
      <c r="BC238" s="92">
        <v>66079</v>
      </c>
      <c r="BD238" s="92">
        <f t="shared" si="135"/>
        <v>20072</v>
      </c>
      <c r="BE238" s="92">
        <f t="shared" si="136"/>
        <v>45483.1</v>
      </c>
      <c r="BF238" s="453">
        <f t="shared" si="100"/>
        <v>0.45873357879727189</v>
      </c>
      <c r="BG238" s="453">
        <f t="shared" si="101"/>
        <v>0.54126642120272805</v>
      </c>
      <c r="BH238" s="453">
        <f t="shared" si="102"/>
        <v>0.66235348522846527</v>
      </c>
      <c r="BI238" s="453">
        <f t="shared" si="103"/>
        <v>0.58765096135033701</v>
      </c>
      <c r="BJ238" s="453">
        <f t="shared" si="104"/>
        <v>0.30618517857496974</v>
      </c>
      <c r="BK238" s="453">
        <f t="shared" si="105"/>
        <v>0.69381482142503015</v>
      </c>
      <c r="BL238" s="840">
        <v>67292</v>
      </c>
      <c r="BM238" s="92">
        <v>63963</v>
      </c>
      <c r="BN238" s="386">
        <f t="shared" si="124"/>
        <v>131255</v>
      </c>
    </row>
    <row r="239" spans="1:66" ht="16.350000000000001" customHeight="1">
      <c r="A239" s="175">
        <f t="shared" si="106"/>
        <v>2025</v>
      </c>
      <c r="B239" s="454" t="str">
        <f t="shared" si="107"/>
        <v>25</v>
      </c>
      <c r="C239" s="454" t="str">
        <f t="array" ref="C239">_xlfn.IFS(_xlfn.NUMBERVALUE(B239)&lt;=13,"Q1",AND(_xlfn.NUMBERVALUE(B239)&gt;13,_xlfn.NUMBERVALUE(B239)&lt;=26),"Q2", AND(_xlfn.NUMBERVALUE(B239)&gt;26,_xlfn.NUMBERVALUE(B239)&lt;=39),"Q3",_xlfn.NUMBERVALUE(B239)&gt;39,"Q4")</f>
        <v>Q2</v>
      </c>
      <c r="D239" s="448">
        <f t="shared" si="125"/>
        <v>45486</v>
      </c>
      <c r="E239" s="448">
        <f t="shared" si="108"/>
        <v>45492</v>
      </c>
      <c r="F239" s="79">
        <v>202425</v>
      </c>
      <c r="G239" s="180">
        <f t="shared" si="109"/>
        <v>288533.85000000003</v>
      </c>
      <c r="H239" s="429">
        <f t="shared" si="127"/>
        <v>112186.65000000001</v>
      </c>
      <c r="I239" s="429">
        <f t="shared" si="128"/>
        <v>176347.2</v>
      </c>
      <c r="J239" s="474">
        <f t="shared" si="110"/>
        <v>0.3888162515420634</v>
      </c>
      <c r="K239" s="474">
        <f t="shared" si="111"/>
        <v>0.61118374845793655</v>
      </c>
      <c r="L239" s="92">
        <f t="shared" si="129"/>
        <v>96177.950000000012</v>
      </c>
      <c r="M239" s="92">
        <v>107716</v>
      </c>
      <c r="N239" s="92">
        <f t="shared" si="131"/>
        <v>57710.900000000009</v>
      </c>
      <c r="O239" s="474">
        <f t="shared" si="112"/>
        <v>0.33333333333333331</v>
      </c>
      <c r="P239" s="474">
        <f t="shared" si="113"/>
        <v>0.37332188233720232</v>
      </c>
      <c r="Q239" s="474">
        <f t="shared" si="114"/>
        <v>0.20001431374516371</v>
      </c>
      <c r="R239" s="455">
        <f>Forecast!J234</f>
        <v>230724</v>
      </c>
      <c r="S239" s="455">
        <f>Forecast!N234</f>
        <v>237460</v>
      </c>
      <c r="T239" s="475">
        <f t="shared" si="115"/>
        <v>7975246.6500000004</v>
      </c>
      <c r="U239" s="475">
        <f t="shared" si="116"/>
        <v>5596476</v>
      </c>
      <c r="V239" s="349">
        <f t="shared" si="117"/>
        <v>5574472</v>
      </c>
      <c r="W239" s="350">
        <f t="shared" si="118"/>
        <v>1413330</v>
      </c>
      <c r="X239" s="469">
        <f>'Channel &amp; Campaign Metrics'!AR238</f>
        <v>1244925</v>
      </c>
      <c r="Y239" s="469">
        <f>'Channel &amp; Campaign Metrics'!BS238</f>
        <v>168405</v>
      </c>
      <c r="Z239" s="476">
        <f t="shared" si="132"/>
        <v>847998</v>
      </c>
      <c r="AA239" s="476">
        <f t="shared" si="133"/>
        <v>565332</v>
      </c>
      <c r="AB239" s="358">
        <f>'Glass Metrics'!AC239</f>
        <v>157428</v>
      </c>
      <c r="AC239" s="475">
        <f>'Glass Metrics'!I239</f>
        <v>149150</v>
      </c>
      <c r="AD239" s="469">
        <f>'Glass Metrics'!N239</f>
        <v>133205</v>
      </c>
      <c r="AE239" s="475">
        <f>'Glass Metrics'!S239</f>
        <v>142897</v>
      </c>
      <c r="AF239" s="359">
        <f t="shared" si="119"/>
        <v>0.90769748710521636</v>
      </c>
      <c r="AG239" s="477">
        <f t="shared" si="120"/>
        <v>1.0437587912972282</v>
      </c>
      <c r="AH239" s="472">
        <f t="shared" si="121"/>
        <v>0.89309420046932619</v>
      </c>
      <c r="AI239" s="360">
        <f t="shared" si="122"/>
        <v>1.832798803262444</v>
      </c>
      <c r="AJ239" s="363">
        <f t="shared" si="97"/>
        <v>0.41461386777031883</v>
      </c>
      <c r="AK239" s="478">
        <v>0.38718604514834021</v>
      </c>
      <c r="AL239" s="478">
        <v>0.44703917551255351</v>
      </c>
      <c r="AM239" s="429">
        <v>89753</v>
      </c>
      <c r="AN239" s="429">
        <v>75920</v>
      </c>
      <c r="AO239" s="374">
        <f t="shared" ref="AO239:AO302" si="137">AJ239</f>
        <v>0.41461386777031883</v>
      </c>
      <c r="AP239" s="363"/>
      <c r="AQ239" s="493">
        <v>5.9723687719135277E-2</v>
      </c>
      <c r="AR239" s="493">
        <v>0.42933168013113088</v>
      </c>
      <c r="AS239" s="374">
        <f t="shared" si="126"/>
        <v>0</v>
      </c>
      <c r="AT239" s="92">
        <v>18937</v>
      </c>
      <c r="AU239" s="92">
        <f t="shared" si="134"/>
        <v>25456</v>
      </c>
      <c r="AV239" s="859">
        <f>'Channel &amp; Campaign Metrics'!Z238</f>
        <v>44393</v>
      </c>
      <c r="AW239" s="455">
        <f t="shared" ref="AW239:AW302" si="138">BD239-AT239</f>
        <v>5681.1000000000022</v>
      </c>
      <c r="AX239" s="455">
        <f t="shared" ref="AX239:AX302" si="139">BE239-AU239</f>
        <v>7636.8000000000029</v>
      </c>
      <c r="AY239" s="386">
        <f t="shared" ref="AY239:AY302" si="140">SUM(AW239,AX239)</f>
        <v>13317.900000000005</v>
      </c>
      <c r="AZ239" s="180">
        <f t="shared" si="98"/>
        <v>37395.550000000003</v>
      </c>
      <c r="BA239" s="449">
        <f t="shared" si="99"/>
        <v>58782.400000000009</v>
      </c>
      <c r="BB239" s="92">
        <v>50173</v>
      </c>
      <c r="BC239" s="92">
        <v>84472</v>
      </c>
      <c r="BD239" s="92">
        <f t="shared" si="135"/>
        <v>24618.100000000002</v>
      </c>
      <c r="BE239" s="92">
        <f t="shared" si="136"/>
        <v>33092.800000000003</v>
      </c>
      <c r="BF239" s="453">
        <f t="shared" si="100"/>
        <v>0.3888162515420634</v>
      </c>
      <c r="BG239" s="453">
        <f t="shared" si="101"/>
        <v>0.61118374845793655</v>
      </c>
      <c r="BH239" s="453">
        <f t="shared" si="102"/>
        <v>0.46578966912993425</v>
      </c>
      <c r="BI239" s="453">
        <f t="shared" si="103"/>
        <v>0.78421033087006575</v>
      </c>
      <c r="BJ239" s="453">
        <f t="shared" si="104"/>
        <v>0.42657626202329191</v>
      </c>
      <c r="BK239" s="453">
        <f t="shared" si="105"/>
        <v>0.57342373797670798</v>
      </c>
      <c r="BL239" s="840">
        <v>96009</v>
      </c>
      <c r="BM239" s="92">
        <v>62037</v>
      </c>
      <c r="BN239" s="386">
        <f t="shared" si="124"/>
        <v>158046</v>
      </c>
    </row>
    <row r="240" spans="1:66" ht="16.350000000000001" customHeight="1">
      <c r="A240" s="175">
        <f t="shared" si="106"/>
        <v>2025</v>
      </c>
      <c r="B240" s="454" t="str">
        <f t="shared" si="107"/>
        <v>26</v>
      </c>
      <c r="C240" s="454" t="str">
        <f t="array" ref="C240">_xlfn.IFS(_xlfn.NUMBERVALUE(B240)&lt;=13,"Q1",AND(_xlfn.NUMBERVALUE(B240)&gt;13,_xlfn.NUMBERVALUE(B240)&lt;=26),"Q2", AND(_xlfn.NUMBERVALUE(B240)&gt;26,_xlfn.NUMBERVALUE(B240)&lt;=39),"Q3",_xlfn.NUMBERVALUE(B240)&gt;39,"Q4")</f>
        <v>Q2</v>
      </c>
      <c r="D240" s="448">
        <f t="shared" si="125"/>
        <v>45493</v>
      </c>
      <c r="E240" s="448">
        <f t="shared" si="108"/>
        <v>45499</v>
      </c>
      <c r="F240" s="79">
        <v>202426</v>
      </c>
      <c r="G240" s="180">
        <f t="shared" si="109"/>
        <v>332052</v>
      </c>
      <c r="H240" s="429">
        <f t="shared" si="127"/>
        <v>135923.25</v>
      </c>
      <c r="I240" s="429">
        <f t="shared" si="128"/>
        <v>196128.75</v>
      </c>
      <c r="J240" s="474">
        <f t="shared" si="110"/>
        <v>0.40934326551263056</v>
      </c>
      <c r="K240" s="474">
        <f t="shared" si="111"/>
        <v>0.59065673448736944</v>
      </c>
      <c r="L240" s="92">
        <f t="shared" si="129"/>
        <v>110684</v>
      </c>
      <c r="M240" s="92">
        <v>121475</v>
      </c>
      <c r="N240" s="92">
        <f t="shared" si="131"/>
        <v>69524</v>
      </c>
      <c r="O240" s="474">
        <f t="shared" si="112"/>
        <v>0.33333333333333331</v>
      </c>
      <c r="P240" s="474">
        <f t="shared" si="113"/>
        <v>0.36583125534554828</v>
      </c>
      <c r="Q240" s="474">
        <f t="shared" si="114"/>
        <v>0.20937684459060629</v>
      </c>
      <c r="R240" s="455">
        <f>Forecast!J235</f>
        <v>197066</v>
      </c>
      <c r="S240" s="455">
        <f>Forecast!N235</f>
        <v>241322</v>
      </c>
      <c r="T240" s="475">
        <f t="shared" si="115"/>
        <v>8307298.6500000004</v>
      </c>
      <c r="U240" s="475">
        <f t="shared" si="116"/>
        <v>5793542</v>
      </c>
      <c r="V240" s="349">
        <f t="shared" si="117"/>
        <v>5815794</v>
      </c>
      <c r="W240" s="350">
        <f t="shared" si="118"/>
        <v>1275969</v>
      </c>
      <c r="X240" s="469">
        <f>'Channel &amp; Campaign Metrics'!AR239</f>
        <v>1164452</v>
      </c>
      <c r="Y240" s="469">
        <f>'Channel &amp; Campaign Metrics'!BS239</f>
        <v>111517</v>
      </c>
      <c r="Z240" s="476">
        <f t="shared" si="132"/>
        <v>765581.4</v>
      </c>
      <c r="AA240" s="476">
        <f t="shared" si="133"/>
        <v>510387.60000000003</v>
      </c>
      <c r="AB240" s="358">
        <f>'Glass Metrics'!AC240</f>
        <v>147333</v>
      </c>
      <c r="AC240" s="475">
        <f>'Glass Metrics'!I240</f>
        <v>156088</v>
      </c>
      <c r="AD240" s="469">
        <f>'Glass Metrics'!N240</f>
        <v>169180</v>
      </c>
      <c r="AE240" s="475">
        <f>'Glass Metrics'!S240</f>
        <v>161921</v>
      </c>
      <c r="AF240" s="359">
        <f t="shared" si="119"/>
        <v>1.0990137986737527</v>
      </c>
      <c r="AG240" s="477">
        <f t="shared" si="120"/>
        <v>0.96397626002803838</v>
      </c>
      <c r="AH240" s="472">
        <f t="shared" si="121"/>
        <v>1.0838757623904465</v>
      </c>
      <c r="AI240" s="360">
        <f t="shared" si="122"/>
        <v>2.2537517053206004</v>
      </c>
      <c r="AJ240" s="363">
        <f t="shared" si="97"/>
        <v>0.28063537846936587</v>
      </c>
      <c r="AK240" s="478">
        <v>0.16787244841723001</v>
      </c>
      <c r="AL240" s="478">
        <v>0.38891132715569382</v>
      </c>
      <c r="AM240" s="429">
        <v>58518</v>
      </c>
      <c r="AN240" s="429">
        <v>60943</v>
      </c>
      <c r="AO240" s="374">
        <f t="shared" si="137"/>
        <v>0.28063537846936587</v>
      </c>
      <c r="AP240" s="363"/>
      <c r="AQ240" s="493">
        <v>0.2023988442541301</v>
      </c>
      <c r="AR240" s="493">
        <v>0.36411921858060009</v>
      </c>
      <c r="AS240" s="374">
        <f t="shared" si="126"/>
        <v>0</v>
      </c>
      <c r="AT240" s="92">
        <v>18305</v>
      </c>
      <c r="AU240" s="92">
        <f t="shared" si="134"/>
        <v>35175</v>
      </c>
      <c r="AV240" s="859">
        <f>'Channel &amp; Campaign Metrics'!Z239</f>
        <v>53480</v>
      </c>
      <c r="AW240" s="455">
        <f t="shared" si="138"/>
        <v>5491.5</v>
      </c>
      <c r="AX240" s="455">
        <f t="shared" si="139"/>
        <v>10552.5</v>
      </c>
      <c r="AY240" s="386">
        <f t="shared" si="140"/>
        <v>16044</v>
      </c>
      <c r="AZ240" s="180">
        <f t="shared" si="98"/>
        <v>45307.75</v>
      </c>
      <c r="BA240" s="449">
        <f t="shared" si="99"/>
        <v>65376.25</v>
      </c>
      <c r="BB240" s="92">
        <v>66819</v>
      </c>
      <c r="BC240" s="92">
        <v>85025</v>
      </c>
      <c r="BD240" s="92">
        <f t="shared" si="135"/>
        <v>23796.5</v>
      </c>
      <c r="BE240" s="92">
        <f t="shared" si="136"/>
        <v>45727.5</v>
      </c>
      <c r="BF240" s="453">
        <f t="shared" si="100"/>
        <v>0.40934326551263056</v>
      </c>
      <c r="BG240" s="453">
        <f t="shared" si="101"/>
        <v>0.59065673448736944</v>
      </c>
      <c r="BH240" s="453">
        <f t="shared" si="102"/>
        <v>0.55006379913562464</v>
      </c>
      <c r="BI240" s="453">
        <f t="shared" si="103"/>
        <v>0.69993825890100847</v>
      </c>
      <c r="BJ240" s="453">
        <f t="shared" si="104"/>
        <v>0.34227748691099474</v>
      </c>
      <c r="BK240" s="453">
        <f t="shared" si="105"/>
        <v>0.6577225130890052</v>
      </c>
      <c r="BL240" s="840">
        <v>56403</v>
      </c>
      <c r="BM240" s="92">
        <v>85664</v>
      </c>
      <c r="BN240" s="386">
        <f t="shared" si="124"/>
        <v>142067</v>
      </c>
    </row>
    <row r="241" spans="1:66" ht="16.350000000000001" customHeight="1">
      <c r="A241" s="175">
        <f t="shared" si="106"/>
        <v>2025</v>
      </c>
      <c r="B241" s="454" t="str">
        <f t="shared" si="107"/>
        <v>27</v>
      </c>
      <c r="C241" s="454" t="str">
        <f t="array" ref="C241">_xlfn.IFS(_xlfn.NUMBERVALUE(B241)&lt;=13,"Q1",AND(_xlfn.NUMBERVALUE(B241)&gt;13,_xlfn.NUMBERVALUE(B241)&lt;=26),"Q2", AND(_xlfn.NUMBERVALUE(B241)&gt;26,_xlfn.NUMBERVALUE(B241)&lt;=39),"Q3",_xlfn.NUMBERVALUE(B241)&gt;39,"Q4")</f>
        <v>Q3</v>
      </c>
      <c r="D241" s="448">
        <f t="shared" si="125"/>
        <v>45500</v>
      </c>
      <c r="E241" s="448">
        <f t="shared" si="108"/>
        <v>45506</v>
      </c>
      <c r="F241" s="79">
        <v>202427</v>
      </c>
      <c r="G241" s="180">
        <f t="shared" si="109"/>
        <v>248357.55</v>
      </c>
      <c r="H241" s="429">
        <f t="shared" si="127"/>
        <v>116311.5</v>
      </c>
      <c r="I241" s="429">
        <f t="shared" si="128"/>
        <v>132046.04999999999</v>
      </c>
      <c r="J241" s="474">
        <f t="shared" si="110"/>
        <v>0.46832278704633706</v>
      </c>
      <c r="K241" s="474">
        <f t="shared" si="111"/>
        <v>0.53167721295366299</v>
      </c>
      <c r="L241" s="92">
        <f t="shared" si="129"/>
        <v>82785.849999999991</v>
      </c>
      <c r="M241" s="92">
        <v>86771</v>
      </c>
      <c r="N241" s="92">
        <f t="shared" si="131"/>
        <v>57107.7</v>
      </c>
      <c r="O241" s="474">
        <f t="shared" si="112"/>
        <v>0.33333333333333331</v>
      </c>
      <c r="P241" s="474">
        <f t="shared" si="113"/>
        <v>0.34937935246985646</v>
      </c>
      <c r="Q241" s="474">
        <f t="shared" si="114"/>
        <v>0.22994146946609836</v>
      </c>
      <c r="R241" s="455">
        <f>Forecast!J236</f>
        <v>255946</v>
      </c>
      <c r="S241" s="455">
        <f>Forecast!N236</f>
        <v>199114</v>
      </c>
      <c r="T241" s="475">
        <f t="shared" si="115"/>
        <v>8555656.2000000011</v>
      </c>
      <c r="U241" s="475">
        <f t="shared" si="116"/>
        <v>6049488</v>
      </c>
      <c r="V241" s="349">
        <f t="shared" si="117"/>
        <v>6014908</v>
      </c>
      <c r="W241" s="350">
        <f t="shared" si="118"/>
        <v>1264006</v>
      </c>
      <c r="X241" s="469">
        <f>'Channel &amp; Campaign Metrics'!AR240</f>
        <v>1128919</v>
      </c>
      <c r="Y241" s="469">
        <f>'Channel &amp; Campaign Metrics'!BS240</f>
        <v>135087</v>
      </c>
      <c r="Z241" s="476">
        <f t="shared" si="132"/>
        <v>758403.6</v>
      </c>
      <c r="AA241" s="476">
        <f t="shared" si="133"/>
        <v>505602.4</v>
      </c>
      <c r="AB241" s="358">
        <f>'Glass Metrics'!AC241</f>
        <v>141078</v>
      </c>
      <c r="AC241" s="475">
        <f>'Glass Metrics'!I241</f>
        <v>183783</v>
      </c>
      <c r="AD241" s="469">
        <f>'Glass Metrics'!N241</f>
        <v>155413</v>
      </c>
      <c r="AE241" s="475">
        <f>'Glass Metrics'!S241</f>
        <v>148674</v>
      </c>
      <c r="AF241" s="359">
        <f t="shared" si="119"/>
        <v>1.0538425551822397</v>
      </c>
      <c r="AG241" s="477">
        <f t="shared" si="120"/>
        <v>1.2361475442915373</v>
      </c>
      <c r="AH241" s="472">
        <f t="shared" si="121"/>
        <v>0.84563316520026333</v>
      </c>
      <c r="AI241" s="360">
        <f t="shared" si="122"/>
        <v>1.7604272104793093</v>
      </c>
      <c r="AJ241" s="363">
        <f t="shared" si="97"/>
        <v>0.23433635450932497</v>
      </c>
      <c r="AK241" s="478">
        <v>0.43692839308573211</v>
      </c>
      <c r="AL241" s="478">
        <v>1.5803075736424251E-2</v>
      </c>
      <c r="AM241" s="429">
        <v>80278</v>
      </c>
      <c r="AN241" s="429">
        <v>74422</v>
      </c>
      <c r="AO241" s="374">
        <f t="shared" si="137"/>
        <v>0.23433635450932497</v>
      </c>
      <c r="AP241" s="363"/>
      <c r="AQ241" s="493">
        <v>0.51204128027681972</v>
      </c>
      <c r="AR241" s="493">
        <v>0.38088128093242779</v>
      </c>
      <c r="AS241" s="374">
        <f t="shared" ref="AS241:AS272" si="141">AP241</f>
        <v>0</v>
      </c>
      <c r="AT241" s="92">
        <v>19700</v>
      </c>
      <c r="AU241" s="92">
        <f t="shared" si="134"/>
        <v>24229</v>
      </c>
      <c r="AV241" s="859">
        <f>'Channel &amp; Campaign Metrics'!Z240</f>
        <v>43929</v>
      </c>
      <c r="AW241" s="455">
        <f t="shared" si="138"/>
        <v>5910</v>
      </c>
      <c r="AX241" s="455">
        <f t="shared" si="139"/>
        <v>7268.7000000000007</v>
      </c>
      <c r="AY241" s="386">
        <f t="shared" si="140"/>
        <v>13178.7</v>
      </c>
      <c r="AZ241" s="180">
        <f t="shared" si="98"/>
        <v>38770.5</v>
      </c>
      <c r="BA241" s="449">
        <f t="shared" si="99"/>
        <v>44015.349999999991</v>
      </c>
      <c r="BB241" s="92">
        <v>51931</v>
      </c>
      <c r="BC241" s="92">
        <v>56533</v>
      </c>
      <c r="BD241" s="92">
        <f t="shared" si="135"/>
        <v>25610</v>
      </c>
      <c r="BE241" s="92">
        <f t="shared" si="136"/>
        <v>31497.7</v>
      </c>
      <c r="BF241" s="453">
        <f t="shared" si="100"/>
        <v>0.46832278704633706</v>
      </c>
      <c r="BG241" s="453">
        <f t="shared" si="101"/>
        <v>0.53167721295366288</v>
      </c>
      <c r="BH241" s="453">
        <f t="shared" si="102"/>
        <v>0.5984833642576437</v>
      </c>
      <c r="BI241" s="453">
        <f t="shared" si="103"/>
        <v>0.65151951688928333</v>
      </c>
      <c r="BJ241" s="453">
        <f t="shared" si="104"/>
        <v>0.44845090942202193</v>
      </c>
      <c r="BK241" s="453">
        <f t="shared" si="105"/>
        <v>0.55154909057797818</v>
      </c>
      <c r="BL241" s="840">
        <v>57779</v>
      </c>
      <c r="BM241" s="92">
        <v>78084</v>
      </c>
      <c r="BN241" s="386">
        <f t="shared" si="124"/>
        <v>135863</v>
      </c>
    </row>
    <row r="242" spans="1:66" ht="16.350000000000001" customHeight="1">
      <c r="A242" s="175">
        <f t="shared" si="106"/>
        <v>2025</v>
      </c>
      <c r="B242" s="454" t="str">
        <f t="shared" si="107"/>
        <v>28</v>
      </c>
      <c r="C242" s="454" t="str">
        <f t="array" ref="C242">_xlfn.IFS(_xlfn.NUMBERVALUE(B242)&lt;=13,"Q1",AND(_xlfn.NUMBERVALUE(B242)&gt;13,_xlfn.NUMBERVALUE(B242)&lt;=26),"Q2", AND(_xlfn.NUMBERVALUE(B242)&gt;26,_xlfn.NUMBERVALUE(B242)&lt;=39),"Q3",_xlfn.NUMBERVALUE(B242)&gt;39,"Q4")</f>
        <v>Q3</v>
      </c>
      <c r="D242" s="448">
        <f t="shared" si="125"/>
        <v>45507</v>
      </c>
      <c r="E242" s="448">
        <f t="shared" si="108"/>
        <v>45513</v>
      </c>
      <c r="F242" s="79">
        <v>202428</v>
      </c>
      <c r="G242" s="180">
        <f t="shared" si="109"/>
        <v>322584.75</v>
      </c>
      <c r="H242" s="429">
        <f t="shared" si="127"/>
        <v>111802.65000000001</v>
      </c>
      <c r="I242" s="429">
        <f t="shared" si="128"/>
        <v>210782.09999999998</v>
      </c>
      <c r="J242" s="474">
        <f t="shared" si="110"/>
        <v>0.34658380472108496</v>
      </c>
      <c r="K242" s="474">
        <f t="shared" si="111"/>
        <v>0.65341619527891504</v>
      </c>
      <c r="L242" s="92">
        <f t="shared" si="129"/>
        <v>107528.24999999999</v>
      </c>
      <c r="M242" s="92">
        <v>114403</v>
      </c>
      <c r="N242" s="92">
        <f t="shared" si="131"/>
        <v>72052.5</v>
      </c>
      <c r="O242" s="474">
        <f t="shared" si="112"/>
        <v>0.33333333333333331</v>
      </c>
      <c r="P242" s="474">
        <f t="shared" si="113"/>
        <v>0.35464478714508357</v>
      </c>
      <c r="Q242" s="474">
        <f t="shared" si="114"/>
        <v>0.22335990774517395</v>
      </c>
      <c r="R242" s="455">
        <f>Forecast!J237</f>
        <v>255572</v>
      </c>
      <c r="S242" s="455">
        <f>Forecast!N237</f>
        <v>248754</v>
      </c>
      <c r="T242" s="475">
        <f t="shared" si="115"/>
        <v>8878240.9500000011</v>
      </c>
      <c r="U242" s="475">
        <f t="shared" si="116"/>
        <v>6305060</v>
      </c>
      <c r="V242" s="349">
        <f t="shared" si="117"/>
        <v>6263662</v>
      </c>
      <c r="W242" s="350">
        <f t="shared" si="118"/>
        <v>1389548</v>
      </c>
      <c r="X242" s="469">
        <f>'Channel &amp; Campaign Metrics'!AR241</f>
        <v>1214994</v>
      </c>
      <c r="Y242" s="469">
        <f>'Channel &amp; Campaign Metrics'!BS241</f>
        <v>174554</v>
      </c>
      <c r="Z242" s="476">
        <f t="shared" si="132"/>
        <v>833728.79999999993</v>
      </c>
      <c r="AA242" s="476">
        <f t="shared" si="133"/>
        <v>555819.20000000007</v>
      </c>
      <c r="AB242" s="358">
        <f>'Glass Metrics'!AC242</f>
        <v>109029</v>
      </c>
      <c r="AC242" s="475">
        <f>'Glass Metrics'!I242</f>
        <v>164494</v>
      </c>
      <c r="AD242" s="469">
        <f>'Glass Metrics'!N242</f>
        <v>145824</v>
      </c>
      <c r="AE242" s="475">
        <f>'Glass Metrics'!S242</f>
        <v>149845</v>
      </c>
      <c r="AF242" s="359">
        <f t="shared" si="119"/>
        <v>1.3743591154646928</v>
      </c>
      <c r="AG242" s="477">
        <f t="shared" si="120"/>
        <v>1.0977610197203778</v>
      </c>
      <c r="AH242" s="472">
        <f t="shared" si="121"/>
        <v>0.88650041946818725</v>
      </c>
      <c r="AI242" s="360">
        <f t="shared" si="122"/>
        <v>2.9587059406213028</v>
      </c>
      <c r="AJ242" s="363">
        <f t="shared" si="97"/>
        <v>0.56598541626182186</v>
      </c>
      <c r="AK242" s="478">
        <v>0.4410330234258365</v>
      </c>
      <c r="AL242" s="478">
        <v>0.70288080086281002</v>
      </c>
      <c r="AM242" s="429">
        <v>85670</v>
      </c>
      <c r="AN242" s="429">
        <v>78196</v>
      </c>
      <c r="AO242" s="374">
        <f t="shared" si="137"/>
        <v>0.56598541626182186</v>
      </c>
      <c r="AP242" s="363"/>
      <c r="AQ242" s="493">
        <v>0.31817835932304778</v>
      </c>
      <c r="AR242" s="493">
        <v>0.44484990538814378</v>
      </c>
      <c r="AS242" s="374">
        <f t="shared" si="141"/>
        <v>0</v>
      </c>
      <c r="AT242" s="92">
        <v>14067</v>
      </c>
      <c r="AU242" s="92">
        <f t="shared" si="134"/>
        <v>41358</v>
      </c>
      <c r="AV242" s="859">
        <f>'Channel &amp; Campaign Metrics'!Z241</f>
        <v>55425</v>
      </c>
      <c r="AW242" s="455">
        <f t="shared" si="138"/>
        <v>4220.1000000000022</v>
      </c>
      <c r="AX242" s="455">
        <f t="shared" si="139"/>
        <v>12407.400000000001</v>
      </c>
      <c r="AY242" s="386">
        <f t="shared" si="140"/>
        <v>16627.500000000004</v>
      </c>
      <c r="AZ242" s="180">
        <f t="shared" si="98"/>
        <v>37267.550000000003</v>
      </c>
      <c r="BA242" s="449">
        <f t="shared" si="99"/>
        <v>70260.699999999983</v>
      </c>
      <c r="BB242" s="92">
        <v>56248</v>
      </c>
      <c r="BC242" s="92">
        <v>86756</v>
      </c>
      <c r="BD242" s="92">
        <f t="shared" si="135"/>
        <v>18287.100000000002</v>
      </c>
      <c r="BE242" s="92">
        <f t="shared" si="136"/>
        <v>53765.4</v>
      </c>
      <c r="BF242" s="453">
        <f t="shared" si="100"/>
        <v>0.34658380472108502</v>
      </c>
      <c r="BG242" s="453">
        <f t="shared" si="101"/>
        <v>0.65341619527891504</v>
      </c>
      <c r="BH242" s="453">
        <f t="shared" si="102"/>
        <v>0.49166542835415156</v>
      </c>
      <c r="BI242" s="453">
        <f t="shared" si="103"/>
        <v>0.7583367569032281</v>
      </c>
      <c r="BJ242" s="453">
        <f t="shared" si="104"/>
        <v>0.25380243572395134</v>
      </c>
      <c r="BK242" s="453">
        <f t="shared" si="105"/>
        <v>0.74619756427604877</v>
      </c>
      <c r="BL242" s="840">
        <v>56151</v>
      </c>
      <c r="BM242" s="92">
        <v>82685</v>
      </c>
      <c r="BN242" s="386">
        <f t="shared" si="124"/>
        <v>138836</v>
      </c>
    </row>
    <row r="243" spans="1:66" ht="16.350000000000001" customHeight="1">
      <c r="A243" s="175">
        <f t="shared" si="106"/>
        <v>2025</v>
      </c>
      <c r="B243" s="454" t="str">
        <f t="shared" si="107"/>
        <v>29</v>
      </c>
      <c r="C243" s="454" t="str">
        <f t="array" ref="C243">_xlfn.IFS(_xlfn.NUMBERVALUE(B243)&lt;=13,"Q1",AND(_xlfn.NUMBERVALUE(B243)&gt;13,_xlfn.NUMBERVALUE(B243)&lt;=26),"Q2", AND(_xlfn.NUMBERVALUE(B243)&gt;26,_xlfn.NUMBERVALUE(B243)&lt;=39),"Q3",_xlfn.NUMBERVALUE(B243)&gt;39,"Q4")</f>
        <v>Q3</v>
      </c>
      <c r="D243" s="448">
        <f t="shared" si="125"/>
        <v>45514</v>
      </c>
      <c r="E243" s="448">
        <f t="shared" si="108"/>
        <v>45520</v>
      </c>
      <c r="F243" s="79">
        <v>202429</v>
      </c>
      <c r="G243" s="180">
        <f t="shared" si="109"/>
        <v>306532.8</v>
      </c>
      <c r="H243" s="429">
        <f t="shared" ref="H243:H272" si="142">1.5 * (BB243+BD243)</f>
        <v>142539.45000000001</v>
      </c>
      <c r="I243" s="429">
        <f t="shared" ref="I243:I272" si="143">1.5*(BC243+BE243)</f>
        <v>163993.34999999998</v>
      </c>
      <c r="J243" s="474">
        <f t="shared" si="110"/>
        <v>0.46500553937457922</v>
      </c>
      <c r="K243" s="474">
        <f t="shared" si="111"/>
        <v>0.53499446062542078</v>
      </c>
      <c r="L243" s="92">
        <f t="shared" ref="L243:L272" si="144">AZ243+BA243</f>
        <v>102177.59999999999</v>
      </c>
      <c r="M243" s="92">
        <v>114028</v>
      </c>
      <c r="N243" s="92">
        <f t="shared" ref="N243:N272" si="145">BD243+BE243</f>
        <v>61820.2</v>
      </c>
      <c r="O243" s="474">
        <f t="shared" si="112"/>
        <v>0.33333333333333331</v>
      </c>
      <c r="P243" s="474">
        <f t="shared" si="113"/>
        <v>0.37199281773435011</v>
      </c>
      <c r="Q243" s="474">
        <f t="shared" si="114"/>
        <v>0.20167564449872902</v>
      </c>
      <c r="R243" s="455">
        <f>Forecast!J238</f>
        <v>232555</v>
      </c>
      <c r="S243" s="455">
        <f>Forecast!N238</f>
        <v>231261</v>
      </c>
      <c r="T243" s="475">
        <f t="shared" si="115"/>
        <v>9184773.7500000019</v>
      </c>
      <c r="U243" s="475">
        <f t="shared" si="116"/>
        <v>6537615</v>
      </c>
      <c r="V243" s="349">
        <f t="shared" si="117"/>
        <v>6494923</v>
      </c>
      <c r="W243" s="350">
        <f t="shared" si="118"/>
        <v>1381753</v>
      </c>
      <c r="X243" s="469">
        <f>'Channel &amp; Campaign Metrics'!AR242</f>
        <v>1231711</v>
      </c>
      <c r="Y243" s="469">
        <f>'Channel &amp; Campaign Metrics'!BS242</f>
        <v>150042</v>
      </c>
      <c r="Z243" s="476">
        <f t="shared" ref="Z243:Z272" si="146">W243*0.6</f>
        <v>829051.79999999993</v>
      </c>
      <c r="AA243" s="476">
        <f t="shared" ref="AA243:AA272" si="147">W243*0.4</f>
        <v>552701.20000000007</v>
      </c>
      <c r="AB243" s="358">
        <f>'Glass Metrics'!AC243</f>
        <v>185503</v>
      </c>
      <c r="AC243" s="475">
        <f>'Glass Metrics'!I243</f>
        <v>127326</v>
      </c>
      <c r="AD243" s="469">
        <f>'Glass Metrics'!N243</f>
        <v>166924</v>
      </c>
      <c r="AE243" s="475">
        <f>'Glass Metrics'!S243</f>
        <v>144476</v>
      </c>
      <c r="AF243" s="359">
        <f t="shared" si="119"/>
        <v>0.77883376549166317</v>
      </c>
      <c r="AG243" s="477">
        <f t="shared" si="120"/>
        <v>0.88129516321049861</v>
      </c>
      <c r="AH243" s="472">
        <f t="shared" si="121"/>
        <v>1.3109969684117933</v>
      </c>
      <c r="AI243" s="360">
        <f t="shared" si="122"/>
        <v>1.6524412004118532</v>
      </c>
      <c r="AJ243" s="363">
        <f t="shared" si="97"/>
        <v>0.39382214619350148</v>
      </c>
      <c r="AK243" s="478">
        <v>1.521301529559782E-2</v>
      </c>
      <c r="AL243" s="478">
        <v>0.828734955715133</v>
      </c>
      <c r="AM243" s="429">
        <v>96223</v>
      </c>
      <c r="AN243" s="429">
        <v>83766</v>
      </c>
      <c r="AO243" s="374">
        <f t="shared" si="137"/>
        <v>0.39382214619350148</v>
      </c>
      <c r="AP243" s="363"/>
      <c r="AQ243" s="493">
        <v>5.0053634915069312E-2</v>
      </c>
      <c r="AR243" s="493">
        <v>0.9960508220402936</v>
      </c>
      <c r="AS243" s="374">
        <f t="shared" si="141"/>
        <v>0</v>
      </c>
      <c r="AT243" s="92">
        <v>17461</v>
      </c>
      <c r="AU243" s="92">
        <f t="shared" ref="AU243:AU272" si="148">AV243-AT243</f>
        <v>30093</v>
      </c>
      <c r="AV243" s="859">
        <f>'Channel &amp; Campaign Metrics'!Z242</f>
        <v>47554</v>
      </c>
      <c r="AW243" s="455">
        <f t="shared" si="138"/>
        <v>5238.2999999999993</v>
      </c>
      <c r="AX243" s="455">
        <f t="shared" si="139"/>
        <v>9027.9000000000015</v>
      </c>
      <c r="AY243" s="386">
        <f t="shared" si="140"/>
        <v>14266.2</v>
      </c>
      <c r="AZ243" s="180">
        <f t="shared" si="98"/>
        <v>47513.150000000009</v>
      </c>
      <c r="BA243" s="449">
        <f t="shared" si="99"/>
        <v>54664.449999999983</v>
      </c>
      <c r="BB243" s="92">
        <v>72327</v>
      </c>
      <c r="BC243" s="92">
        <v>70208</v>
      </c>
      <c r="BD243" s="92">
        <f t="shared" ref="BD243:BD272" si="149">1.3*AT243</f>
        <v>22699.3</v>
      </c>
      <c r="BE243" s="92">
        <f t="shared" ref="BE243:BE272" si="150">1.3*AU243</f>
        <v>39120.9</v>
      </c>
      <c r="BF243" s="453">
        <f t="shared" si="100"/>
        <v>0.46500553937457928</v>
      </c>
      <c r="BG243" s="453">
        <f t="shared" si="101"/>
        <v>0.53499446062542066</v>
      </c>
      <c r="BH243" s="453">
        <f t="shared" si="102"/>
        <v>0.63429157750727894</v>
      </c>
      <c r="BI243" s="453">
        <f t="shared" si="103"/>
        <v>0.61570842249272106</v>
      </c>
      <c r="BJ243" s="453">
        <f t="shared" si="104"/>
        <v>0.36718257139252219</v>
      </c>
      <c r="BK243" s="453">
        <f t="shared" si="105"/>
        <v>0.63281742860747792</v>
      </c>
      <c r="BL243" s="840">
        <v>88039</v>
      </c>
      <c r="BM243" s="92">
        <v>94580</v>
      </c>
      <c r="BN243" s="386">
        <f t="shared" si="124"/>
        <v>182619</v>
      </c>
    </row>
    <row r="244" spans="1:66" ht="16.350000000000001" customHeight="1">
      <c r="A244" s="175">
        <f t="shared" si="106"/>
        <v>2025</v>
      </c>
      <c r="B244" s="454" t="str">
        <f t="shared" si="107"/>
        <v>30</v>
      </c>
      <c r="C244" s="454" t="str">
        <f t="array" ref="C244">_xlfn.IFS(_xlfn.NUMBERVALUE(B244)&lt;=13,"Q1",AND(_xlfn.NUMBERVALUE(B244)&gt;13,_xlfn.NUMBERVALUE(B244)&lt;=26),"Q2", AND(_xlfn.NUMBERVALUE(B244)&gt;26,_xlfn.NUMBERVALUE(B244)&lt;=39),"Q3",_xlfn.NUMBERVALUE(B244)&gt;39,"Q4")</f>
        <v>Q3</v>
      </c>
      <c r="D244" s="448">
        <f t="shared" si="125"/>
        <v>45521</v>
      </c>
      <c r="E244" s="448">
        <f t="shared" si="108"/>
        <v>45527</v>
      </c>
      <c r="F244" s="79">
        <v>202430</v>
      </c>
      <c r="G244" s="180">
        <f t="shared" si="109"/>
        <v>344529.44999999995</v>
      </c>
      <c r="H244" s="429">
        <f t="shared" si="142"/>
        <v>174497.84999999998</v>
      </c>
      <c r="I244" s="429">
        <f t="shared" si="143"/>
        <v>170031.59999999998</v>
      </c>
      <c r="J244" s="474">
        <f t="shared" si="110"/>
        <v>0.50648166651646176</v>
      </c>
      <c r="K244" s="474">
        <f t="shared" si="111"/>
        <v>0.49351833348353819</v>
      </c>
      <c r="L244" s="92">
        <f t="shared" si="144"/>
        <v>114843.14999999997</v>
      </c>
      <c r="M244" s="92">
        <v>133703</v>
      </c>
      <c r="N244" s="92">
        <f t="shared" si="145"/>
        <v>62557.3</v>
      </c>
      <c r="O244" s="474">
        <f t="shared" si="112"/>
        <v>0.33333333333333326</v>
      </c>
      <c r="P244" s="474">
        <f t="shared" si="113"/>
        <v>0.38807422703632455</v>
      </c>
      <c r="Q244" s="474">
        <f t="shared" si="114"/>
        <v>0.18157315724388731</v>
      </c>
      <c r="R244" s="455">
        <f>Forecast!J239</f>
        <v>237626</v>
      </c>
      <c r="S244" s="455">
        <f>Forecast!N239</f>
        <v>201787</v>
      </c>
      <c r="T244" s="475">
        <f t="shared" si="115"/>
        <v>9529303.2000000011</v>
      </c>
      <c r="U244" s="475">
        <f t="shared" si="116"/>
        <v>6775241</v>
      </c>
      <c r="V244" s="349">
        <f t="shared" si="117"/>
        <v>6696710</v>
      </c>
      <c r="W244" s="350">
        <f t="shared" si="118"/>
        <v>1217086</v>
      </c>
      <c r="X244" s="469">
        <f>'Channel &amp; Campaign Metrics'!AR243</f>
        <v>1077424</v>
      </c>
      <c r="Y244" s="469">
        <f>'Channel &amp; Campaign Metrics'!BS243</f>
        <v>139662</v>
      </c>
      <c r="Z244" s="476">
        <f t="shared" si="146"/>
        <v>730251.6</v>
      </c>
      <c r="AA244" s="476">
        <f t="shared" si="147"/>
        <v>486834.4</v>
      </c>
      <c r="AB244" s="358">
        <f>'Glass Metrics'!AC244</f>
        <v>163212</v>
      </c>
      <c r="AC244" s="475">
        <f>'Glass Metrics'!I244</f>
        <v>170718</v>
      </c>
      <c r="AD244" s="469">
        <f>'Glass Metrics'!N244</f>
        <v>164817</v>
      </c>
      <c r="AE244" s="475">
        <f>'Glass Metrics'!S244</f>
        <v>142465</v>
      </c>
      <c r="AF244" s="359">
        <f t="shared" si="119"/>
        <v>0.87288312133911727</v>
      </c>
      <c r="AG244" s="477">
        <f t="shared" si="120"/>
        <v>1.1983153757063139</v>
      </c>
      <c r="AH244" s="472">
        <f t="shared" si="121"/>
        <v>0.96543422486205321</v>
      </c>
      <c r="AI244" s="360">
        <f t="shared" si="122"/>
        <v>2.1109321005808392</v>
      </c>
      <c r="AJ244" s="363">
        <f t="shared" si="97"/>
        <v>0.51005031318568439</v>
      </c>
      <c r="AK244" s="478">
        <v>0.83545368318481306</v>
      </c>
      <c r="AL244" s="478">
        <v>0.2931268614854613</v>
      </c>
      <c r="AM244" s="429">
        <v>65581</v>
      </c>
      <c r="AN244" s="429">
        <v>98377</v>
      </c>
      <c r="AO244" s="374">
        <f t="shared" si="137"/>
        <v>0.51005031318568439</v>
      </c>
      <c r="AP244" s="363"/>
      <c r="AQ244" s="493">
        <v>0.88881249429024567</v>
      </c>
      <c r="AR244" s="493">
        <v>0.63086474766103173</v>
      </c>
      <c r="AS244" s="374">
        <f t="shared" si="141"/>
        <v>0</v>
      </c>
      <c r="AT244" s="92">
        <v>13153</v>
      </c>
      <c r="AU244" s="92">
        <f t="shared" si="148"/>
        <v>34968</v>
      </c>
      <c r="AV244" s="859">
        <f>'Channel &amp; Campaign Metrics'!Z243</f>
        <v>48121</v>
      </c>
      <c r="AW244" s="455">
        <f t="shared" si="138"/>
        <v>3945.9000000000015</v>
      </c>
      <c r="AX244" s="455">
        <f t="shared" si="139"/>
        <v>10490.400000000001</v>
      </c>
      <c r="AY244" s="386">
        <f t="shared" si="140"/>
        <v>14436.300000000003</v>
      </c>
      <c r="AZ244" s="180">
        <f t="shared" si="98"/>
        <v>58165.949999999983</v>
      </c>
      <c r="BA244" s="449">
        <f t="shared" si="99"/>
        <v>56677.199999999983</v>
      </c>
      <c r="BB244" s="92">
        <v>99233</v>
      </c>
      <c r="BC244" s="92">
        <v>67896</v>
      </c>
      <c r="BD244" s="92">
        <f t="shared" si="149"/>
        <v>17098.900000000001</v>
      </c>
      <c r="BE244" s="92">
        <f t="shared" si="150"/>
        <v>45458.400000000001</v>
      </c>
      <c r="BF244" s="453">
        <f t="shared" si="100"/>
        <v>0.50648166651646176</v>
      </c>
      <c r="BG244" s="453">
        <f t="shared" si="101"/>
        <v>0.49351833348353819</v>
      </c>
      <c r="BH244" s="453">
        <f t="shared" si="102"/>
        <v>0.74218977883817117</v>
      </c>
      <c r="BI244" s="453">
        <f t="shared" si="103"/>
        <v>0.50781209097776414</v>
      </c>
      <c r="BJ244" s="453">
        <f t="shared" si="104"/>
        <v>0.27333180939714469</v>
      </c>
      <c r="BK244" s="453">
        <f t="shared" si="105"/>
        <v>0.72666819060285526</v>
      </c>
      <c r="BL244" s="840">
        <v>58903</v>
      </c>
      <c r="BM244" s="92">
        <v>67727</v>
      </c>
      <c r="BN244" s="386">
        <f t="shared" si="124"/>
        <v>126630</v>
      </c>
    </row>
    <row r="245" spans="1:66" ht="16.350000000000001" customHeight="1">
      <c r="A245" s="175">
        <f t="shared" si="106"/>
        <v>2025</v>
      </c>
      <c r="B245" s="454" t="str">
        <f t="shared" si="107"/>
        <v>31</v>
      </c>
      <c r="C245" s="454" t="str">
        <f t="array" ref="C245">_xlfn.IFS(_xlfn.NUMBERVALUE(B245)&lt;=13,"Q1",AND(_xlfn.NUMBERVALUE(B245)&gt;13,_xlfn.NUMBERVALUE(B245)&lt;=26),"Q2", AND(_xlfn.NUMBERVALUE(B245)&gt;26,_xlfn.NUMBERVALUE(B245)&lt;=39),"Q3",_xlfn.NUMBERVALUE(B245)&gt;39,"Q4")</f>
        <v>Q3</v>
      </c>
      <c r="D245" s="448">
        <f t="shared" si="125"/>
        <v>45528</v>
      </c>
      <c r="E245" s="448">
        <f t="shared" si="108"/>
        <v>45534</v>
      </c>
      <c r="F245" s="79">
        <v>202431</v>
      </c>
      <c r="G245" s="180">
        <f t="shared" si="109"/>
        <v>363879.6</v>
      </c>
      <c r="H245" s="429">
        <f t="shared" si="142"/>
        <v>182342.25</v>
      </c>
      <c r="I245" s="429">
        <f t="shared" si="143"/>
        <v>181537.34999999998</v>
      </c>
      <c r="J245" s="474">
        <f t="shared" si="110"/>
        <v>0.50110599769813979</v>
      </c>
      <c r="K245" s="474">
        <f t="shared" si="111"/>
        <v>0.49889400230186026</v>
      </c>
      <c r="L245" s="92">
        <f t="shared" si="144"/>
        <v>121293.19999999998</v>
      </c>
      <c r="M245" s="92">
        <v>138265</v>
      </c>
      <c r="N245" s="92">
        <f t="shared" si="145"/>
        <v>69755.399999999994</v>
      </c>
      <c r="O245" s="474">
        <f t="shared" si="112"/>
        <v>0.33333333333333331</v>
      </c>
      <c r="P245" s="474">
        <f t="shared" si="113"/>
        <v>0.37997458500009346</v>
      </c>
      <c r="Q245" s="474">
        <f t="shared" si="114"/>
        <v>0.19169912245698853</v>
      </c>
      <c r="R245" s="455">
        <f>Forecast!J240</f>
        <v>190206</v>
      </c>
      <c r="S245" s="455">
        <f>Forecast!N240</f>
        <v>222116</v>
      </c>
      <c r="T245" s="475">
        <f t="shared" si="115"/>
        <v>9893182.8000000007</v>
      </c>
      <c r="U245" s="475">
        <f t="shared" si="116"/>
        <v>6965447</v>
      </c>
      <c r="V245" s="349">
        <f t="shared" si="117"/>
        <v>6918826</v>
      </c>
      <c r="W245" s="350">
        <f t="shared" si="118"/>
        <v>1355784</v>
      </c>
      <c r="X245" s="469">
        <f>'Channel &amp; Campaign Metrics'!AR244</f>
        <v>1199045</v>
      </c>
      <c r="Y245" s="469">
        <f>'Channel &amp; Campaign Metrics'!BS244</f>
        <v>156739</v>
      </c>
      <c r="Z245" s="476">
        <f t="shared" si="146"/>
        <v>813470.4</v>
      </c>
      <c r="AA245" s="476">
        <f t="shared" si="147"/>
        <v>542313.6</v>
      </c>
      <c r="AB245" s="358">
        <f>'Glass Metrics'!AC245</f>
        <v>157061</v>
      </c>
      <c r="AC245" s="475">
        <f>'Glass Metrics'!I245</f>
        <v>116161</v>
      </c>
      <c r="AD245" s="469">
        <f>'Glass Metrics'!N245</f>
        <v>163957</v>
      </c>
      <c r="AE245" s="475">
        <f>'Glass Metrics'!S245</f>
        <v>116953</v>
      </c>
      <c r="AF245" s="359">
        <f t="shared" si="119"/>
        <v>0.74463425038679243</v>
      </c>
      <c r="AG245" s="477">
        <f t="shared" si="120"/>
        <v>0.99322804887433414</v>
      </c>
      <c r="AH245" s="472">
        <f t="shared" si="121"/>
        <v>1.4114633999362953</v>
      </c>
      <c r="AI245" s="360">
        <f t="shared" si="122"/>
        <v>2.3168042989666433</v>
      </c>
      <c r="AJ245" s="363">
        <f t="shared" si="97"/>
        <v>0.51002580387489804</v>
      </c>
      <c r="AK245" s="478">
        <v>0.45321824971540869</v>
      </c>
      <c r="AL245" s="478">
        <v>0.56073374755546512</v>
      </c>
      <c r="AM245" s="429">
        <v>84829</v>
      </c>
      <c r="AN245" s="429">
        <v>95033</v>
      </c>
      <c r="AO245" s="374">
        <f t="shared" si="137"/>
        <v>0.51002580387489804</v>
      </c>
      <c r="AP245" s="363"/>
      <c r="AQ245" s="493">
        <v>0.861778433037514</v>
      </c>
      <c r="AR245" s="493">
        <v>0.98066403960502879</v>
      </c>
      <c r="AS245" s="374">
        <f t="shared" si="141"/>
        <v>0</v>
      </c>
      <c r="AT245" s="92">
        <v>17855</v>
      </c>
      <c r="AU245" s="92">
        <f t="shared" si="148"/>
        <v>35803</v>
      </c>
      <c r="AV245" s="859">
        <f>'Channel &amp; Campaign Metrics'!Z244</f>
        <v>53658</v>
      </c>
      <c r="AW245" s="455">
        <f t="shared" si="138"/>
        <v>5356.5</v>
      </c>
      <c r="AX245" s="455">
        <f t="shared" si="139"/>
        <v>10740.900000000001</v>
      </c>
      <c r="AY245" s="386">
        <f t="shared" si="140"/>
        <v>16097.400000000001</v>
      </c>
      <c r="AZ245" s="180">
        <f t="shared" si="98"/>
        <v>60780.75</v>
      </c>
      <c r="BA245" s="449">
        <f t="shared" si="99"/>
        <v>60512.449999999983</v>
      </c>
      <c r="BB245" s="92">
        <v>98350</v>
      </c>
      <c r="BC245" s="92">
        <v>74481</v>
      </c>
      <c r="BD245" s="92">
        <f t="shared" si="149"/>
        <v>23211.5</v>
      </c>
      <c r="BE245" s="92">
        <f t="shared" si="150"/>
        <v>46543.9</v>
      </c>
      <c r="BF245" s="453">
        <f t="shared" si="100"/>
        <v>0.50110599769813979</v>
      </c>
      <c r="BG245" s="453">
        <f t="shared" si="101"/>
        <v>0.49889400230186021</v>
      </c>
      <c r="BH245" s="453">
        <f t="shared" si="102"/>
        <v>0.71131522800419489</v>
      </c>
      <c r="BI245" s="453">
        <f t="shared" si="103"/>
        <v>0.53868296387372072</v>
      </c>
      <c r="BJ245" s="453">
        <f t="shared" si="104"/>
        <v>0.33275560028327561</v>
      </c>
      <c r="BK245" s="453">
        <f t="shared" si="105"/>
        <v>0.66724439971672456</v>
      </c>
      <c r="BL245" s="840">
        <v>59091</v>
      </c>
      <c r="BM245" s="92">
        <v>73060</v>
      </c>
      <c r="BN245" s="386">
        <f t="shared" si="124"/>
        <v>132151</v>
      </c>
    </row>
    <row r="246" spans="1:66" ht="16.350000000000001" customHeight="1">
      <c r="A246" s="175">
        <f t="shared" si="106"/>
        <v>2025</v>
      </c>
      <c r="B246" s="454" t="str">
        <f t="shared" si="107"/>
        <v>32</v>
      </c>
      <c r="C246" s="454" t="str">
        <f t="array" ref="C246">_xlfn.IFS(_xlfn.NUMBERVALUE(B246)&lt;=13,"Q1",AND(_xlfn.NUMBERVALUE(B246)&gt;13,_xlfn.NUMBERVALUE(B246)&lt;=26),"Q2", AND(_xlfn.NUMBERVALUE(B246)&gt;26,_xlfn.NUMBERVALUE(B246)&lt;=39),"Q3",_xlfn.NUMBERVALUE(B246)&gt;39,"Q4")</f>
        <v>Q3</v>
      </c>
      <c r="D246" s="448">
        <f t="shared" si="125"/>
        <v>45535</v>
      </c>
      <c r="E246" s="448">
        <f t="shared" si="108"/>
        <v>45541</v>
      </c>
      <c r="F246" s="79">
        <v>202432</v>
      </c>
      <c r="G246" s="180">
        <f t="shared" si="109"/>
        <v>313668.75</v>
      </c>
      <c r="H246" s="429">
        <f t="shared" si="142"/>
        <v>159906.90000000002</v>
      </c>
      <c r="I246" s="429">
        <f t="shared" si="143"/>
        <v>153761.84999999998</v>
      </c>
      <c r="J246" s="474">
        <f t="shared" si="110"/>
        <v>0.50979544503556706</v>
      </c>
      <c r="K246" s="474">
        <f t="shared" si="111"/>
        <v>0.49020455496443294</v>
      </c>
      <c r="L246" s="92">
        <f t="shared" si="144"/>
        <v>104556.25</v>
      </c>
      <c r="M246" s="92">
        <v>115514</v>
      </c>
      <c r="N246" s="92">
        <f t="shared" si="145"/>
        <v>64720.5</v>
      </c>
      <c r="O246" s="474">
        <f t="shared" si="112"/>
        <v>0.33333333333333331</v>
      </c>
      <c r="P246" s="474">
        <f t="shared" si="113"/>
        <v>0.36826747962619805</v>
      </c>
      <c r="Q246" s="474">
        <f t="shared" si="114"/>
        <v>0.20633391117221592</v>
      </c>
      <c r="R246" s="455">
        <f>Forecast!J241</f>
        <v>228984</v>
      </c>
      <c r="S246" s="455">
        <f>Forecast!N241</f>
        <v>248909</v>
      </c>
      <c r="T246" s="475">
        <f t="shared" si="115"/>
        <v>10206851.550000001</v>
      </c>
      <c r="U246" s="475">
        <f t="shared" si="116"/>
        <v>7194431</v>
      </c>
      <c r="V246" s="349">
        <f t="shared" si="117"/>
        <v>7167735</v>
      </c>
      <c r="W246" s="350">
        <f t="shared" si="118"/>
        <v>1352627</v>
      </c>
      <c r="X246" s="469">
        <f>'Channel &amp; Campaign Metrics'!AR245</f>
        <v>1207342</v>
      </c>
      <c r="Y246" s="469">
        <f>'Channel &amp; Campaign Metrics'!BS245</f>
        <v>145285</v>
      </c>
      <c r="Z246" s="476">
        <f t="shared" si="146"/>
        <v>811576.2</v>
      </c>
      <c r="AA246" s="476">
        <f t="shared" si="147"/>
        <v>541050.80000000005</v>
      </c>
      <c r="AB246" s="358">
        <f>'Glass Metrics'!AC246</f>
        <v>155328</v>
      </c>
      <c r="AC246" s="475">
        <f>'Glass Metrics'!I246</f>
        <v>169099</v>
      </c>
      <c r="AD246" s="469">
        <f>'Glass Metrics'!N246</f>
        <v>194578</v>
      </c>
      <c r="AE246" s="475">
        <f>'Glass Metrics'!S246</f>
        <v>192288</v>
      </c>
      <c r="AF246" s="359">
        <f t="shared" si="119"/>
        <v>1.2379480840543882</v>
      </c>
      <c r="AG246" s="477">
        <f t="shared" si="120"/>
        <v>0.87940485105674826</v>
      </c>
      <c r="AH246" s="472">
        <f t="shared" si="121"/>
        <v>1.150675048344461</v>
      </c>
      <c r="AI246" s="360">
        <f t="shared" si="122"/>
        <v>2.0193960522249692</v>
      </c>
      <c r="AJ246" s="363">
        <f t="shared" si="97"/>
        <v>0.39301701521159094</v>
      </c>
      <c r="AK246" s="478">
        <v>0.46637185319814423</v>
      </c>
      <c r="AL246" s="478">
        <v>0.33712204928336947</v>
      </c>
      <c r="AM246" s="429">
        <v>74127</v>
      </c>
      <c r="AN246" s="429">
        <v>97282</v>
      </c>
      <c r="AO246" s="374">
        <f t="shared" si="137"/>
        <v>0.39301701521159094</v>
      </c>
      <c r="AP246" s="363"/>
      <c r="AQ246" s="493">
        <v>0.38896599650013541</v>
      </c>
      <c r="AR246" s="493">
        <v>9.9518465668901879E-2</v>
      </c>
      <c r="AS246" s="374">
        <f t="shared" si="141"/>
        <v>0</v>
      </c>
      <c r="AT246" s="92">
        <v>16882</v>
      </c>
      <c r="AU246" s="92">
        <f t="shared" si="148"/>
        <v>32903</v>
      </c>
      <c r="AV246" s="859">
        <f>'Channel &amp; Campaign Metrics'!Z245</f>
        <v>49785</v>
      </c>
      <c r="AW246" s="455">
        <f t="shared" si="138"/>
        <v>5064.6000000000022</v>
      </c>
      <c r="AX246" s="455">
        <f t="shared" si="139"/>
        <v>9870.9000000000015</v>
      </c>
      <c r="AY246" s="386">
        <f t="shared" si="140"/>
        <v>14935.500000000004</v>
      </c>
      <c r="AZ246" s="180">
        <f t="shared" si="98"/>
        <v>53302.300000000017</v>
      </c>
      <c r="BA246" s="449">
        <f t="shared" si="99"/>
        <v>51253.949999999983</v>
      </c>
      <c r="BB246" s="92">
        <v>84658</v>
      </c>
      <c r="BC246" s="92">
        <v>59734</v>
      </c>
      <c r="BD246" s="92">
        <f t="shared" si="149"/>
        <v>21946.600000000002</v>
      </c>
      <c r="BE246" s="92">
        <f t="shared" si="150"/>
        <v>42773.9</v>
      </c>
      <c r="BF246" s="453">
        <f t="shared" si="100"/>
        <v>0.50979544503556717</v>
      </c>
      <c r="BG246" s="453">
        <f t="shared" si="101"/>
        <v>0.49020455496443283</v>
      </c>
      <c r="BH246" s="453">
        <f t="shared" si="102"/>
        <v>0.73288086292570598</v>
      </c>
      <c r="BI246" s="453">
        <f t="shared" si="103"/>
        <v>0.51711480859462922</v>
      </c>
      <c r="BJ246" s="453">
        <f t="shared" si="104"/>
        <v>0.33909812192427441</v>
      </c>
      <c r="BK246" s="453">
        <f t="shared" si="105"/>
        <v>0.66090187807572565</v>
      </c>
      <c r="BL246" s="840">
        <v>56800</v>
      </c>
      <c r="BM246" s="92">
        <v>78678</v>
      </c>
      <c r="BN246" s="386">
        <f t="shared" si="124"/>
        <v>135478</v>
      </c>
    </row>
    <row r="247" spans="1:66" ht="16.350000000000001" customHeight="1">
      <c r="A247" s="175">
        <f t="shared" si="106"/>
        <v>2025</v>
      </c>
      <c r="B247" s="454" t="str">
        <f t="shared" si="107"/>
        <v>33</v>
      </c>
      <c r="C247" s="454" t="str">
        <f t="array" ref="C247">_xlfn.IFS(_xlfn.NUMBERVALUE(B247)&lt;=13,"Q1",AND(_xlfn.NUMBERVALUE(B247)&gt;13,_xlfn.NUMBERVALUE(B247)&lt;=26),"Q2", AND(_xlfn.NUMBERVALUE(B247)&gt;26,_xlfn.NUMBERVALUE(B247)&lt;=39),"Q3",_xlfn.NUMBERVALUE(B247)&gt;39,"Q4")</f>
        <v>Q3</v>
      </c>
      <c r="D247" s="448">
        <f t="shared" si="125"/>
        <v>45542</v>
      </c>
      <c r="E247" s="448">
        <f t="shared" si="108"/>
        <v>45548</v>
      </c>
      <c r="F247" s="79">
        <v>202433</v>
      </c>
      <c r="G247" s="180">
        <f t="shared" si="109"/>
        <v>313572.30000000005</v>
      </c>
      <c r="H247" s="429">
        <f t="shared" si="142"/>
        <v>150287.40000000002</v>
      </c>
      <c r="I247" s="429">
        <f t="shared" si="143"/>
        <v>163284.90000000002</v>
      </c>
      <c r="J247" s="474">
        <f t="shared" si="110"/>
        <v>0.47927511454296184</v>
      </c>
      <c r="K247" s="474">
        <f t="shared" si="111"/>
        <v>0.5207248854570381</v>
      </c>
      <c r="L247" s="92">
        <f t="shared" si="144"/>
        <v>104524.10000000003</v>
      </c>
      <c r="M247" s="92">
        <v>113747</v>
      </c>
      <c r="N247" s="92">
        <f t="shared" si="145"/>
        <v>66864.2</v>
      </c>
      <c r="O247" s="474">
        <f t="shared" si="112"/>
        <v>0.33333333333333337</v>
      </c>
      <c r="P247" s="474">
        <f t="shared" si="113"/>
        <v>0.362745688952755</v>
      </c>
      <c r="Q247" s="474">
        <f t="shared" si="114"/>
        <v>0.2132337582114236</v>
      </c>
      <c r="R247" s="455">
        <f>Forecast!J242</f>
        <v>225727</v>
      </c>
      <c r="S247" s="455">
        <f>Forecast!N242</f>
        <v>247076</v>
      </c>
      <c r="T247" s="475">
        <f t="shared" si="115"/>
        <v>10520423.850000001</v>
      </c>
      <c r="U247" s="475">
        <f t="shared" si="116"/>
        <v>7420158</v>
      </c>
      <c r="V247" s="349">
        <f t="shared" si="117"/>
        <v>7414811</v>
      </c>
      <c r="W247" s="350">
        <f t="shared" si="118"/>
        <v>1841460</v>
      </c>
      <c r="X247" s="469">
        <f>'Channel &amp; Campaign Metrics'!AR246</f>
        <v>1179708</v>
      </c>
      <c r="Y247" s="469">
        <f>'Channel &amp; Campaign Metrics'!BS246</f>
        <v>661752</v>
      </c>
      <c r="Z247" s="476">
        <f t="shared" si="146"/>
        <v>1104876</v>
      </c>
      <c r="AA247" s="476">
        <f t="shared" si="147"/>
        <v>736584</v>
      </c>
      <c r="AB247" s="358">
        <f>'Glass Metrics'!AC247</f>
        <v>120950</v>
      </c>
      <c r="AC247" s="475">
        <f>'Glass Metrics'!I247</f>
        <v>142540</v>
      </c>
      <c r="AD247" s="469">
        <f>'Glass Metrics'!N247</f>
        <v>159250</v>
      </c>
      <c r="AE247" s="475">
        <f>'Glass Metrics'!S247</f>
        <v>184121</v>
      </c>
      <c r="AF247" s="359">
        <f t="shared" si="119"/>
        <v>1.5222902025630425</v>
      </c>
      <c r="AG247" s="477">
        <f t="shared" si="120"/>
        <v>0.77416481552891847</v>
      </c>
      <c r="AH247" s="472">
        <f t="shared" si="121"/>
        <v>1.1172302511575698</v>
      </c>
      <c r="AI247" s="360">
        <f t="shared" si="122"/>
        <v>2.5925779247622986</v>
      </c>
      <c r="AJ247" s="363">
        <f t="shared" si="97"/>
        <v>0.60395255186141639</v>
      </c>
      <c r="AK247" s="478">
        <v>0.56544808781623279</v>
      </c>
      <c r="AL247" s="478">
        <v>0.63180179409012882</v>
      </c>
      <c r="AM247" s="429">
        <v>68980</v>
      </c>
      <c r="AN247" s="429">
        <v>95372</v>
      </c>
      <c r="AO247" s="374">
        <f t="shared" si="137"/>
        <v>0.60395255186141639</v>
      </c>
      <c r="AP247" s="363"/>
      <c r="AQ247" s="493">
        <v>0.13442859257460399</v>
      </c>
      <c r="AR247" s="493">
        <v>0.52427019705375955</v>
      </c>
      <c r="AS247" s="374">
        <f t="shared" si="141"/>
        <v>0</v>
      </c>
      <c r="AT247" s="92">
        <v>12302</v>
      </c>
      <c r="AU247" s="92">
        <f t="shared" si="148"/>
        <v>39132</v>
      </c>
      <c r="AV247" s="859">
        <f>'Channel &amp; Campaign Metrics'!Z246</f>
        <v>51434</v>
      </c>
      <c r="AW247" s="455">
        <f t="shared" si="138"/>
        <v>3690.6000000000004</v>
      </c>
      <c r="AX247" s="455">
        <f t="shared" si="139"/>
        <v>11739.599999999999</v>
      </c>
      <c r="AY247" s="386">
        <f t="shared" si="140"/>
        <v>15430.199999999999</v>
      </c>
      <c r="AZ247" s="180">
        <f t="shared" si="98"/>
        <v>50095.800000000017</v>
      </c>
      <c r="BA247" s="449">
        <f t="shared" si="99"/>
        <v>54428.300000000017</v>
      </c>
      <c r="BB247" s="92">
        <v>84199</v>
      </c>
      <c r="BC247" s="92">
        <v>57985</v>
      </c>
      <c r="BD247" s="92">
        <f t="shared" si="149"/>
        <v>15992.6</v>
      </c>
      <c r="BE247" s="92">
        <f t="shared" si="150"/>
        <v>50871.6</v>
      </c>
      <c r="BF247" s="453">
        <f t="shared" si="100"/>
        <v>0.47927511454296184</v>
      </c>
      <c r="BG247" s="453">
        <f t="shared" si="101"/>
        <v>0.5207248854570381</v>
      </c>
      <c r="BH247" s="453">
        <f t="shared" si="102"/>
        <v>0.7402305115739316</v>
      </c>
      <c r="BI247" s="453">
        <f t="shared" si="103"/>
        <v>0.50977168628623171</v>
      </c>
      <c r="BJ247" s="453">
        <f t="shared" si="104"/>
        <v>0.23918030874518803</v>
      </c>
      <c r="BK247" s="453">
        <f t="shared" si="105"/>
        <v>0.76081969125481197</v>
      </c>
      <c r="BL247" s="840">
        <v>87768</v>
      </c>
      <c r="BM247" s="92">
        <v>80637</v>
      </c>
      <c r="BN247" s="386">
        <f t="shared" si="124"/>
        <v>168405</v>
      </c>
    </row>
    <row r="248" spans="1:66" ht="16.350000000000001" customHeight="1">
      <c r="A248" s="175">
        <f t="shared" si="106"/>
        <v>2025</v>
      </c>
      <c r="B248" s="454" t="str">
        <f t="shared" si="107"/>
        <v>34</v>
      </c>
      <c r="C248" s="454" t="str">
        <f t="array" ref="C248">_xlfn.IFS(_xlfn.NUMBERVALUE(B248)&lt;=13,"Q1",AND(_xlfn.NUMBERVALUE(B248)&gt;13,_xlfn.NUMBERVALUE(B248)&lt;=26),"Q2", AND(_xlfn.NUMBERVALUE(B248)&gt;26,_xlfn.NUMBERVALUE(B248)&lt;=39),"Q3",_xlfn.NUMBERVALUE(B248)&gt;39,"Q4")</f>
        <v>Q3</v>
      </c>
      <c r="D248" s="448">
        <f t="shared" si="125"/>
        <v>45549</v>
      </c>
      <c r="E248" s="448">
        <f t="shared" si="108"/>
        <v>45555</v>
      </c>
      <c r="F248" s="79">
        <v>202434</v>
      </c>
      <c r="G248" s="180">
        <f t="shared" si="109"/>
        <v>334952.54999999993</v>
      </c>
      <c r="H248" s="429">
        <f t="shared" si="142"/>
        <v>131272.34999999998</v>
      </c>
      <c r="I248" s="429">
        <f t="shared" si="143"/>
        <v>203680.19999999998</v>
      </c>
      <c r="J248" s="474">
        <f t="shared" si="110"/>
        <v>0.39191327249187985</v>
      </c>
      <c r="K248" s="474">
        <f t="shared" si="111"/>
        <v>0.60808672750812021</v>
      </c>
      <c r="L248" s="92">
        <f t="shared" si="144"/>
        <v>111650.84999999998</v>
      </c>
      <c r="M248" s="92">
        <v>121380</v>
      </c>
      <c r="N248" s="92">
        <f t="shared" si="145"/>
        <v>71576.7</v>
      </c>
      <c r="O248" s="474">
        <f t="shared" si="112"/>
        <v>0.33333333333333331</v>
      </c>
      <c r="P248" s="474">
        <f t="shared" si="113"/>
        <v>0.36237968631676343</v>
      </c>
      <c r="Q248" s="474">
        <f t="shared" si="114"/>
        <v>0.21369205877071248</v>
      </c>
      <c r="R248" s="455">
        <f>Forecast!J243</f>
        <v>211005</v>
      </c>
      <c r="S248" s="455">
        <f>Forecast!N243</f>
        <v>165828</v>
      </c>
      <c r="T248" s="475">
        <f t="shared" si="115"/>
        <v>10855376.400000002</v>
      </c>
      <c r="U248" s="475">
        <f t="shared" si="116"/>
        <v>7631163</v>
      </c>
      <c r="V248" s="349">
        <f t="shared" si="117"/>
        <v>7580639</v>
      </c>
      <c r="W248" s="350">
        <f t="shared" si="118"/>
        <v>1739202</v>
      </c>
      <c r="X248" s="469">
        <f>'Channel &amp; Campaign Metrics'!AR247</f>
        <v>1114973</v>
      </c>
      <c r="Y248" s="469">
        <f>'Channel &amp; Campaign Metrics'!BS247</f>
        <v>624229</v>
      </c>
      <c r="Z248" s="476">
        <f t="shared" si="146"/>
        <v>1043521.2</v>
      </c>
      <c r="AA248" s="476">
        <f t="shared" si="147"/>
        <v>695680.8</v>
      </c>
      <c r="AB248" s="358">
        <f>'Glass Metrics'!AC248</f>
        <v>164978</v>
      </c>
      <c r="AC248" s="475">
        <f>'Glass Metrics'!I248</f>
        <v>142489</v>
      </c>
      <c r="AD248" s="469">
        <f>'Glass Metrics'!N248</f>
        <v>150053</v>
      </c>
      <c r="AE248" s="475">
        <f>'Glass Metrics'!S248</f>
        <v>138186</v>
      </c>
      <c r="AF248" s="359">
        <f t="shared" si="119"/>
        <v>0.83760258943616728</v>
      </c>
      <c r="AG248" s="477">
        <f t="shared" si="120"/>
        <v>1.0311391892087476</v>
      </c>
      <c r="AH248" s="472">
        <f t="shared" si="121"/>
        <v>1.0530847995283847</v>
      </c>
      <c r="AI248" s="360">
        <f t="shared" si="122"/>
        <v>2.0302861593667032</v>
      </c>
      <c r="AJ248" s="363">
        <f t="shared" si="97"/>
        <v>0.95272336894914411</v>
      </c>
      <c r="AK248" s="478">
        <v>0.96292266785895753</v>
      </c>
      <c r="AL248" s="478">
        <v>0.94671582735643223</v>
      </c>
      <c r="AM248" s="429">
        <v>58468</v>
      </c>
      <c r="AN248" s="429">
        <v>99264</v>
      </c>
      <c r="AO248" s="374">
        <f t="shared" si="137"/>
        <v>0.95272336894914411</v>
      </c>
      <c r="AP248" s="363"/>
      <c r="AQ248" s="493">
        <v>0.98895895645419052</v>
      </c>
      <c r="AR248" s="493">
        <v>0.89584142715411708</v>
      </c>
      <c r="AS248" s="374">
        <f t="shared" si="141"/>
        <v>0</v>
      </c>
      <c r="AT248" s="92">
        <v>11813</v>
      </c>
      <c r="AU248" s="92">
        <f t="shared" si="148"/>
        <v>43246</v>
      </c>
      <c r="AV248" s="859">
        <f>'Channel &amp; Campaign Metrics'!Z247</f>
        <v>55059</v>
      </c>
      <c r="AW248" s="455">
        <f t="shared" si="138"/>
        <v>3543.8999999999996</v>
      </c>
      <c r="AX248" s="455">
        <f t="shared" si="139"/>
        <v>12973.800000000003</v>
      </c>
      <c r="AY248" s="386">
        <f t="shared" si="140"/>
        <v>16517.700000000004</v>
      </c>
      <c r="AZ248" s="180">
        <f t="shared" si="98"/>
        <v>43757.449999999983</v>
      </c>
      <c r="BA248" s="449">
        <f t="shared" si="99"/>
        <v>67893.399999999994</v>
      </c>
      <c r="BB248" s="92">
        <v>72158</v>
      </c>
      <c r="BC248" s="92">
        <v>79567</v>
      </c>
      <c r="BD248" s="92">
        <f t="shared" si="149"/>
        <v>15356.9</v>
      </c>
      <c r="BE248" s="92">
        <f t="shared" si="150"/>
        <v>56219.8</v>
      </c>
      <c r="BF248" s="453">
        <f t="shared" si="100"/>
        <v>0.39191327249187974</v>
      </c>
      <c r="BG248" s="453">
        <f t="shared" si="101"/>
        <v>0.60808672750812021</v>
      </c>
      <c r="BH248" s="453">
        <f t="shared" si="102"/>
        <v>0.59448014499917612</v>
      </c>
      <c r="BI248" s="453">
        <f t="shared" si="103"/>
        <v>0.65551985500082388</v>
      </c>
      <c r="BJ248" s="453">
        <f t="shared" si="104"/>
        <v>0.21455166276176466</v>
      </c>
      <c r="BK248" s="453">
        <f t="shared" si="105"/>
        <v>0.78544833723823537</v>
      </c>
      <c r="BL248" s="840">
        <v>66127</v>
      </c>
      <c r="BM248" s="92">
        <v>60917</v>
      </c>
      <c r="BN248" s="386">
        <f t="shared" si="124"/>
        <v>127044</v>
      </c>
    </row>
    <row r="249" spans="1:66" ht="16.350000000000001" customHeight="1">
      <c r="A249" s="175">
        <f t="shared" si="106"/>
        <v>2025</v>
      </c>
      <c r="B249" s="454" t="str">
        <f t="shared" si="107"/>
        <v>35</v>
      </c>
      <c r="C249" s="454" t="str">
        <f t="array" ref="C249">_xlfn.IFS(_xlfn.NUMBERVALUE(B249)&lt;=13,"Q1",AND(_xlfn.NUMBERVALUE(B249)&gt;13,_xlfn.NUMBERVALUE(B249)&lt;=26),"Q2", AND(_xlfn.NUMBERVALUE(B249)&gt;26,_xlfn.NUMBERVALUE(B249)&lt;=39),"Q3",_xlfn.NUMBERVALUE(B249)&gt;39,"Q4")</f>
        <v>Q3</v>
      </c>
      <c r="D249" s="448">
        <f t="shared" si="125"/>
        <v>45556</v>
      </c>
      <c r="E249" s="448">
        <f t="shared" si="108"/>
        <v>45562</v>
      </c>
      <c r="F249" s="79">
        <v>202435</v>
      </c>
      <c r="G249" s="180">
        <f t="shared" si="109"/>
        <v>319807.34999999998</v>
      </c>
      <c r="H249" s="429">
        <f t="shared" si="142"/>
        <v>151045.34999999998</v>
      </c>
      <c r="I249" s="429">
        <f t="shared" si="143"/>
        <v>168762</v>
      </c>
      <c r="J249" s="474">
        <f t="shared" si="110"/>
        <v>0.47230105874677358</v>
      </c>
      <c r="K249" s="474">
        <f t="shared" si="111"/>
        <v>0.52769894125322636</v>
      </c>
      <c r="L249" s="92">
        <f t="shared" si="144"/>
        <v>106602.44999999998</v>
      </c>
      <c r="M249" s="92">
        <v>115420</v>
      </c>
      <c r="N249" s="92">
        <f t="shared" si="145"/>
        <v>68929.899999999994</v>
      </c>
      <c r="O249" s="474">
        <f t="shared" si="112"/>
        <v>0.33333333333333331</v>
      </c>
      <c r="P249" s="474">
        <f t="shared" si="113"/>
        <v>0.3609047759533982</v>
      </c>
      <c r="Q249" s="474">
        <f t="shared" si="114"/>
        <v>0.21553569672491893</v>
      </c>
      <c r="R249" s="455">
        <f>Forecast!J244</f>
        <v>210747</v>
      </c>
      <c r="S249" s="455">
        <f>Forecast!N244</f>
        <v>208333</v>
      </c>
      <c r="T249" s="475">
        <f t="shared" si="115"/>
        <v>11175183.750000002</v>
      </c>
      <c r="U249" s="475">
        <f t="shared" si="116"/>
        <v>7841910</v>
      </c>
      <c r="V249" s="349">
        <f t="shared" si="117"/>
        <v>7788972</v>
      </c>
      <c r="W249" s="350">
        <f t="shared" si="118"/>
        <v>1704777</v>
      </c>
      <c r="X249" s="469">
        <f>'Channel &amp; Campaign Metrics'!AR248</f>
        <v>1219455</v>
      </c>
      <c r="Y249" s="469">
        <f>'Channel &amp; Campaign Metrics'!BS248</f>
        <v>485322</v>
      </c>
      <c r="Z249" s="476">
        <f t="shared" si="146"/>
        <v>1022866.2</v>
      </c>
      <c r="AA249" s="476">
        <f t="shared" si="147"/>
        <v>681910.8</v>
      </c>
      <c r="AB249" s="358">
        <f>'Glass Metrics'!AC249</f>
        <v>180439</v>
      </c>
      <c r="AC249" s="475">
        <f>'Glass Metrics'!I249</f>
        <v>132814</v>
      </c>
      <c r="AD249" s="469">
        <f>'Glass Metrics'!N249</f>
        <v>150052</v>
      </c>
      <c r="AE249" s="475">
        <f>'Glass Metrics'!S249</f>
        <v>173627</v>
      </c>
      <c r="AF249" s="359">
        <f t="shared" si="119"/>
        <v>0.96224762939275876</v>
      </c>
      <c r="AG249" s="477">
        <f t="shared" si="120"/>
        <v>0.76493863281632468</v>
      </c>
      <c r="AH249" s="472">
        <f t="shared" si="121"/>
        <v>1.129790534130438</v>
      </c>
      <c r="AI249" s="360">
        <f t="shared" si="122"/>
        <v>1.7723848502818125</v>
      </c>
      <c r="AJ249" s="363">
        <f t="shared" si="97"/>
        <v>0.641362815028655</v>
      </c>
      <c r="AK249" s="478">
        <v>0.54496517813749512</v>
      </c>
      <c r="AL249" s="478">
        <v>0.72922947612156397</v>
      </c>
      <c r="AM249" s="429">
        <v>69863</v>
      </c>
      <c r="AN249" s="429">
        <v>76646</v>
      </c>
      <c r="AO249" s="374">
        <f t="shared" si="137"/>
        <v>0.641362815028655</v>
      </c>
      <c r="AP249" s="363"/>
      <c r="AQ249" s="493">
        <v>6.6640612648475539E-2</v>
      </c>
      <c r="AR249" s="493">
        <v>0.60852338074302581</v>
      </c>
      <c r="AS249" s="374">
        <f t="shared" si="141"/>
        <v>0</v>
      </c>
      <c r="AT249" s="92">
        <v>17843</v>
      </c>
      <c r="AU249" s="92">
        <f t="shared" si="148"/>
        <v>35180</v>
      </c>
      <c r="AV249" s="859">
        <f>'Channel &amp; Campaign Metrics'!Z248</f>
        <v>53023</v>
      </c>
      <c r="AW249" s="455">
        <f t="shared" si="138"/>
        <v>5352.9000000000015</v>
      </c>
      <c r="AX249" s="455">
        <f t="shared" si="139"/>
        <v>10554</v>
      </c>
      <c r="AY249" s="386">
        <f t="shared" si="140"/>
        <v>15906.900000000001</v>
      </c>
      <c r="AZ249" s="180">
        <f t="shared" si="98"/>
        <v>50348.449999999983</v>
      </c>
      <c r="BA249" s="449">
        <f t="shared" si="99"/>
        <v>56254</v>
      </c>
      <c r="BB249" s="92">
        <v>77501</v>
      </c>
      <c r="BC249" s="92">
        <v>66774</v>
      </c>
      <c r="BD249" s="92">
        <f t="shared" si="149"/>
        <v>23195.9</v>
      </c>
      <c r="BE249" s="92">
        <f t="shared" si="150"/>
        <v>45734</v>
      </c>
      <c r="BF249" s="453">
        <f t="shared" si="100"/>
        <v>0.47230105874677358</v>
      </c>
      <c r="BG249" s="453">
        <f t="shared" si="101"/>
        <v>0.52769894125322647</v>
      </c>
      <c r="BH249" s="453">
        <f t="shared" si="102"/>
        <v>0.67146941604574595</v>
      </c>
      <c r="BI249" s="453">
        <f t="shared" si="103"/>
        <v>0.57853058395425405</v>
      </c>
      <c r="BJ249" s="453">
        <f t="shared" si="104"/>
        <v>0.33651434283235582</v>
      </c>
      <c r="BK249" s="453">
        <f t="shared" si="105"/>
        <v>0.66348565716764429</v>
      </c>
      <c r="BL249" s="840">
        <v>94162</v>
      </c>
      <c r="BM249" s="92">
        <v>91301</v>
      </c>
      <c r="BN249" s="386">
        <f t="shared" si="124"/>
        <v>185463</v>
      </c>
    </row>
    <row r="250" spans="1:66" ht="16.350000000000001" customHeight="1">
      <c r="A250" s="175">
        <f t="shared" si="106"/>
        <v>2025</v>
      </c>
      <c r="B250" s="454" t="str">
        <f t="shared" si="107"/>
        <v>36</v>
      </c>
      <c r="C250" s="454" t="str">
        <f t="array" ref="C250">_xlfn.IFS(_xlfn.NUMBERVALUE(B250)&lt;=13,"Q1",AND(_xlfn.NUMBERVALUE(B250)&gt;13,_xlfn.NUMBERVALUE(B250)&lt;=26),"Q2", AND(_xlfn.NUMBERVALUE(B250)&gt;26,_xlfn.NUMBERVALUE(B250)&lt;=39),"Q3",_xlfn.NUMBERVALUE(B250)&gt;39,"Q4")</f>
        <v>Q3</v>
      </c>
      <c r="D250" s="448">
        <f t="shared" si="125"/>
        <v>45563</v>
      </c>
      <c r="E250" s="448">
        <f t="shared" si="108"/>
        <v>45569</v>
      </c>
      <c r="F250" s="79">
        <v>202436</v>
      </c>
      <c r="G250" s="180">
        <f t="shared" si="109"/>
        <v>333401.25</v>
      </c>
      <c r="H250" s="429">
        <f t="shared" si="142"/>
        <v>114339.59999999999</v>
      </c>
      <c r="I250" s="429">
        <f t="shared" si="143"/>
        <v>219061.65000000002</v>
      </c>
      <c r="J250" s="474">
        <f t="shared" si="110"/>
        <v>0.34294892415670303</v>
      </c>
      <c r="K250" s="474">
        <f t="shared" si="111"/>
        <v>0.65705107584329703</v>
      </c>
      <c r="L250" s="92">
        <f t="shared" si="144"/>
        <v>111133.75000000001</v>
      </c>
      <c r="M250" s="92">
        <v>126298</v>
      </c>
      <c r="N250" s="92">
        <f t="shared" si="145"/>
        <v>64395.5</v>
      </c>
      <c r="O250" s="474">
        <f t="shared" si="112"/>
        <v>0.33333333333333337</v>
      </c>
      <c r="P250" s="474">
        <f t="shared" si="113"/>
        <v>0.37881681607372497</v>
      </c>
      <c r="Q250" s="474">
        <f t="shared" si="114"/>
        <v>0.19314714626894769</v>
      </c>
      <c r="R250" s="455">
        <f>Forecast!J245</f>
        <v>252979</v>
      </c>
      <c r="S250" s="455">
        <f>Forecast!N245</f>
        <v>225262</v>
      </c>
      <c r="T250" s="475">
        <f t="shared" si="115"/>
        <v>11508585.000000002</v>
      </c>
      <c r="U250" s="475">
        <f t="shared" si="116"/>
        <v>8094889</v>
      </c>
      <c r="V250" s="349">
        <f t="shared" si="117"/>
        <v>8014234</v>
      </c>
      <c r="W250" s="350">
        <f t="shared" si="118"/>
        <v>1838259</v>
      </c>
      <c r="X250" s="469">
        <f>'Channel &amp; Campaign Metrics'!AR249</f>
        <v>1222432</v>
      </c>
      <c r="Y250" s="469">
        <f>'Channel &amp; Campaign Metrics'!BS249</f>
        <v>615827</v>
      </c>
      <c r="Z250" s="476">
        <f t="shared" si="146"/>
        <v>1102955.3999999999</v>
      </c>
      <c r="AA250" s="476">
        <f t="shared" si="147"/>
        <v>735303.60000000009</v>
      </c>
      <c r="AB250" s="358">
        <f>'Glass Metrics'!AC250</f>
        <v>151825</v>
      </c>
      <c r="AC250" s="475">
        <f>'Glass Metrics'!I250</f>
        <v>194279</v>
      </c>
      <c r="AD250" s="469">
        <f>'Glass Metrics'!N250</f>
        <v>168294</v>
      </c>
      <c r="AE250" s="475">
        <f>'Glass Metrics'!S250</f>
        <v>135982</v>
      </c>
      <c r="AF250" s="359">
        <f t="shared" si="119"/>
        <v>0.89564959657500409</v>
      </c>
      <c r="AG250" s="477">
        <f t="shared" si="120"/>
        <v>1.4287111529467136</v>
      </c>
      <c r="AH250" s="472">
        <f t="shared" si="121"/>
        <v>0.86624905419525533</v>
      </c>
      <c r="AI250" s="360">
        <f t="shared" si="122"/>
        <v>2.1959575168779844</v>
      </c>
      <c r="AJ250" s="363">
        <f t="shared" si="97"/>
        <v>0.74934770516710247</v>
      </c>
      <c r="AK250" s="478">
        <v>0.64235946399654598</v>
      </c>
      <c r="AL250" s="478">
        <v>0.89498277661053727</v>
      </c>
      <c r="AM250" s="429">
        <v>87961</v>
      </c>
      <c r="AN250" s="429">
        <v>64619</v>
      </c>
      <c r="AO250" s="374">
        <f t="shared" si="137"/>
        <v>0.74934770516710247</v>
      </c>
      <c r="AP250" s="363"/>
      <c r="AQ250" s="493">
        <v>0.45691681432158587</v>
      </c>
      <c r="AR250" s="493">
        <v>0.14411476511360441</v>
      </c>
      <c r="AS250" s="374">
        <f t="shared" si="141"/>
        <v>0</v>
      </c>
      <c r="AT250" s="92">
        <v>10448</v>
      </c>
      <c r="AU250" s="92">
        <f t="shared" si="148"/>
        <v>39087</v>
      </c>
      <c r="AV250" s="859">
        <f>'Channel &amp; Campaign Metrics'!Z249</f>
        <v>49535</v>
      </c>
      <c r="AW250" s="455">
        <f t="shared" si="138"/>
        <v>3134.3999999999996</v>
      </c>
      <c r="AX250" s="455">
        <f t="shared" si="139"/>
        <v>11726.099999999999</v>
      </c>
      <c r="AY250" s="386">
        <f t="shared" si="140"/>
        <v>14860.499999999998</v>
      </c>
      <c r="AZ250" s="180">
        <f t="shared" si="98"/>
        <v>38113.199999999997</v>
      </c>
      <c r="BA250" s="449">
        <f t="shared" si="99"/>
        <v>73020.550000000017</v>
      </c>
      <c r="BB250" s="92">
        <v>62644</v>
      </c>
      <c r="BC250" s="92">
        <v>95228</v>
      </c>
      <c r="BD250" s="92">
        <f t="shared" si="149"/>
        <v>13582.4</v>
      </c>
      <c r="BE250" s="92">
        <f t="shared" si="150"/>
        <v>50813.1</v>
      </c>
      <c r="BF250" s="453">
        <f t="shared" si="100"/>
        <v>0.34294892415670303</v>
      </c>
      <c r="BG250" s="453">
        <f t="shared" si="101"/>
        <v>0.65705107584329703</v>
      </c>
      <c r="BH250" s="453">
        <f t="shared" si="102"/>
        <v>0.49600152021409682</v>
      </c>
      <c r="BI250" s="453">
        <f t="shared" si="103"/>
        <v>0.75399452089502605</v>
      </c>
      <c r="BJ250" s="453">
        <f t="shared" si="104"/>
        <v>0.21092157060664177</v>
      </c>
      <c r="BK250" s="453">
        <f t="shared" si="105"/>
        <v>0.78907842939335826</v>
      </c>
      <c r="BL250" s="840">
        <v>62341</v>
      </c>
      <c r="BM250" s="92">
        <v>94911</v>
      </c>
      <c r="BN250" s="386">
        <f t="shared" si="124"/>
        <v>157252</v>
      </c>
    </row>
    <row r="251" spans="1:66" ht="16.350000000000001" customHeight="1">
      <c r="A251" s="175">
        <f t="shared" si="106"/>
        <v>2025</v>
      </c>
      <c r="B251" s="454" t="str">
        <f t="shared" si="107"/>
        <v>37</v>
      </c>
      <c r="C251" s="454" t="str">
        <f t="array" ref="C251">_xlfn.IFS(_xlfn.NUMBERVALUE(B251)&lt;=13,"Q1",AND(_xlfn.NUMBERVALUE(B251)&gt;13,_xlfn.NUMBERVALUE(B251)&lt;=26),"Q2", AND(_xlfn.NUMBERVALUE(B251)&gt;26,_xlfn.NUMBERVALUE(B251)&lt;=39),"Q3",_xlfn.NUMBERVALUE(B251)&gt;39,"Q4")</f>
        <v>Q3</v>
      </c>
      <c r="D251" s="448">
        <f t="shared" si="125"/>
        <v>45570</v>
      </c>
      <c r="E251" s="448">
        <f t="shared" si="108"/>
        <v>45576</v>
      </c>
      <c r="F251" s="79">
        <v>202437</v>
      </c>
      <c r="G251" s="180">
        <f t="shared" si="109"/>
        <v>302544.15000000002</v>
      </c>
      <c r="H251" s="429">
        <f t="shared" si="142"/>
        <v>143437.20000000001</v>
      </c>
      <c r="I251" s="429">
        <f t="shared" si="143"/>
        <v>159106.95000000001</v>
      </c>
      <c r="J251" s="474">
        <f t="shared" si="110"/>
        <v>0.47410336640123435</v>
      </c>
      <c r="K251" s="474">
        <f t="shared" si="111"/>
        <v>0.52589663359876571</v>
      </c>
      <c r="L251" s="92">
        <f t="shared" si="144"/>
        <v>100848.05000000002</v>
      </c>
      <c r="M251" s="92">
        <v>107478</v>
      </c>
      <c r="N251" s="92">
        <f t="shared" si="145"/>
        <v>67349.100000000006</v>
      </c>
      <c r="O251" s="474">
        <f t="shared" si="112"/>
        <v>0.33333333333333337</v>
      </c>
      <c r="P251" s="474">
        <f t="shared" si="113"/>
        <v>0.35524732505983009</v>
      </c>
      <c r="Q251" s="474">
        <f t="shared" si="114"/>
        <v>0.22260916299323585</v>
      </c>
      <c r="R251" s="455">
        <f>Forecast!J246</f>
        <v>244321</v>
      </c>
      <c r="S251" s="455">
        <f>Forecast!N246</f>
        <v>207044</v>
      </c>
      <c r="T251" s="475">
        <f t="shared" si="115"/>
        <v>11811129.150000002</v>
      </c>
      <c r="U251" s="475">
        <f t="shared" si="116"/>
        <v>8339210</v>
      </c>
      <c r="V251" s="349">
        <f t="shared" si="117"/>
        <v>8221278</v>
      </c>
      <c r="W251" s="350">
        <f t="shared" si="118"/>
        <v>1641468</v>
      </c>
      <c r="X251" s="469">
        <f>'Channel &amp; Campaign Metrics'!AR250</f>
        <v>1131564</v>
      </c>
      <c r="Y251" s="469">
        <f>'Channel &amp; Campaign Metrics'!BS250</f>
        <v>509904</v>
      </c>
      <c r="Z251" s="476">
        <f t="shared" si="146"/>
        <v>984880.79999999993</v>
      </c>
      <c r="AA251" s="476">
        <f t="shared" si="147"/>
        <v>656587.20000000007</v>
      </c>
      <c r="AB251" s="358">
        <f>'Glass Metrics'!AC251</f>
        <v>135920</v>
      </c>
      <c r="AC251" s="475">
        <f>'Glass Metrics'!I251</f>
        <v>158112</v>
      </c>
      <c r="AD251" s="469">
        <f>'Glass Metrics'!N251</f>
        <v>153857</v>
      </c>
      <c r="AE251" s="475">
        <f>'Glass Metrics'!S251</f>
        <v>165344</v>
      </c>
      <c r="AF251" s="359">
        <f t="shared" si="119"/>
        <v>1.216480282519129</v>
      </c>
      <c r="AG251" s="477">
        <f t="shared" si="120"/>
        <v>0.95626088639442619</v>
      </c>
      <c r="AH251" s="472">
        <f t="shared" si="121"/>
        <v>0.97308869662011743</v>
      </c>
      <c r="AI251" s="360">
        <f t="shared" si="122"/>
        <v>2.2258986904061215</v>
      </c>
      <c r="AJ251" s="363">
        <f t="shared" ref="AJ251:AJ314" si="151">IFERROR(((AK251*AM251)+(AL251*AN251))/(AM251+AN251),"")</f>
        <v>0.35283142956915481</v>
      </c>
      <c r="AK251" s="478">
        <v>0.70830495387047787</v>
      </c>
      <c r="AL251" s="478">
        <v>0.1028783832108288</v>
      </c>
      <c r="AM251" s="429">
        <v>66278</v>
      </c>
      <c r="AN251" s="429">
        <v>94258</v>
      </c>
      <c r="AO251" s="374">
        <f t="shared" si="137"/>
        <v>0.35283142956915481</v>
      </c>
      <c r="AP251" s="363"/>
      <c r="AQ251" s="493">
        <v>0.48951428167789618</v>
      </c>
      <c r="AR251" s="493">
        <v>0.49254817178522692</v>
      </c>
      <c r="AS251" s="374">
        <f t="shared" si="141"/>
        <v>0</v>
      </c>
      <c r="AT251" s="92">
        <v>10186</v>
      </c>
      <c r="AU251" s="92">
        <f t="shared" si="148"/>
        <v>41621</v>
      </c>
      <c r="AV251" s="859">
        <f>'Channel &amp; Campaign Metrics'!Z250</f>
        <v>51807</v>
      </c>
      <c r="AW251" s="455">
        <f t="shared" si="138"/>
        <v>3055.8000000000011</v>
      </c>
      <c r="AX251" s="455">
        <f t="shared" si="139"/>
        <v>12486.300000000003</v>
      </c>
      <c r="AY251" s="386">
        <f t="shared" si="140"/>
        <v>15542.100000000004</v>
      </c>
      <c r="AZ251" s="180">
        <f t="shared" ref="AZ251:AZ319" si="152">H251-(BB251+BD251)</f>
        <v>47812.400000000009</v>
      </c>
      <c r="BA251" s="449">
        <f t="shared" ref="BA251:BA319" si="153">I251-(BC251+BE251)</f>
        <v>53035.650000000009</v>
      </c>
      <c r="BB251" s="92">
        <v>82383</v>
      </c>
      <c r="BC251" s="92">
        <v>51964</v>
      </c>
      <c r="BD251" s="92">
        <f t="shared" si="149"/>
        <v>13241.800000000001</v>
      </c>
      <c r="BE251" s="92">
        <f t="shared" si="150"/>
        <v>54107.3</v>
      </c>
      <c r="BF251" s="453">
        <f t="shared" ref="BF251:BF319" si="154">IFERROR(AZ251/L251,"-")</f>
        <v>0.47410336640123435</v>
      </c>
      <c r="BG251" s="453">
        <f t="shared" ref="BG251:BG319" si="155">IFERROR(BA251/L251,"-")</f>
        <v>0.52589663359876571</v>
      </c>
      <c r="BH251" s="453">
        <f t="shared" ref="BH251:BH319" si="156">IFERROR(BB251/M251,"-")</f>
        <v>0.76651035560765923</v>
      </c>
      <c r="BI251" s="453">
        <f t="shared" ref="BI251:BI319" si="157">IFERROR(BC251/M251,"-")</f>
        <v>0.48348499227748937</v>
      </c>
      <c r="BJ251" s="453">
        <f t="shared" ref="BJ251:BJ319" si="158">IFERROR(BD251/N251,"-")</f>
        <v>0.19661435713320594</v>
      </c>
      <c r="BK251" s="453">
        <f t="shared" ref="BK251:BK319" si="159">IFERROR(BE251/N251,"-")</f>
        <v>0.80338564286679404</v>
      </c>
      <c r="BL251" s="840">
        <v>85678</v>
      </c>
      <c r="BM251" s="92">
        <v>67194</v>
      </c>
      <c r="BN251" s="386">
        <f t="shared" si="124"/>
        <v>152872</v>
      </c>
    </row>
    <row r="252" spans="1:66" ht="16.350000000000001" customHeight="1">
      <c r="A252" s="175">
        <f t="shared" si="106"/>
        <v>2025</v>
      </c>
      <c r="B252" s="454" t="str">
        <f t="shared" si="107"/>
        <v>38</v>
      </c>
      <c r="C252" s="454" t="str">
        <f t="array" ref="C252">_xlfn.IFS(_xlfn.NUMBERVALUE(B252)&lt;=13,"Q1",AND(_xlfn.NUMBERVALUE(B252)&gt;13,_xlfn.NUMBERVALUE(B252)&lt;=26),"Q2", AND(_xlfn.NUMBERVALUE(B252)&gt;26,_xlfn.NUMBERVALUE(B252)&lt;=39),"Q3",_xlfn.NUMBERVALUE(B252)&gt;39,"Q4")</f>
        <v>Q3</v>
      </c>
      <c r="D252" s="448">
        <f t="shared" si="125"/>
        <v>45577</v>
      </c>
      <c r="E252" s="448">
        <f t="shared" si="108"/>
        <v>45583</v>
      </c>
      <c r="F252" s="79">
        <v>202438</v>
      </c>
      <c r="G252" s="180">
        <f t="shared" si="109"/>
        <v>289938.59999999998</v>
      </c>
      <c r="H252" s="429">
        <f t="shared" si="142"/>
        <v>121137.59999999999</v>
      </c>
      <c r="I252" s="429">
        <f t="shared" si="143"/>
        <v>168801</v>
      </c>
      <c r="J252" s="474">
        <f t="shared" si="110"/>
        <v>0.41780432132872269</v>
      </c>
      <c r="K252" s="474">
        <f t="shared" si="111"/>
        <v>0.58219567867127731</v>
      </c>
      <c r="L252" s="92">
        <f t="shared" si="144"/>
        <v>96646.2</v>
      </c>
      <c r="M252" s="92">
        <v>99932</v>
      </c>
      <c r="N252" s="92">
        <f t="shared" si="145"/>
        <v>68377.399999999994</v>
      </c>
      <c r="O252" s="474">
        <f t="shared" si="112"/>
        <v>0.33333333333333337</v>
      </c>
      <c r="P252" s="474">
        <f t="shared" si="113"/>
        <v>0.34466607757642481</v>
      </c>
      <c r="Q252" s="474">
        <f t="shared" si="114"/>
        <v>0.23583406969613566</v>
      </c>
      <c r="R252" s="455">
        <f>Forecast!J247</f>
        <v>290288</v>
      </c>
      <c r="S252" s="455">
        <f>Forecast!N247</f>
        <v>229411</v>
      </c>
      <c r="T252" s="475">
        <f t="shared" si="115"/>
        <v>12101067.750000002</v>
      </c>
      <c r="U252" s="475">
        <f t="shared" si="116"/>
        <v>8629498</v>
      </c>
      <c r="V252" s="349">
        <f t="shared" si="117"/>
        <v>8450689</v>
      </c>
      <c r="W252" s="350">
        <f t="shared" si="118"/>
        <v>1893828</v>
      </c>
      <c r="X252" s="469">
        <f>'Channel &amp; Campaign Metrics'!AR251</f>
        <v>1222092</v>
      </c>
      <c r="Y252" s="469">
        <f>'Channel &amp; Campaign Metrics'!BS251</f>
        <v>671736</v>
      </c>
      <c r="Z252" s="476">
        <f t="shared" si="146"/>
        <v>1136296.8</v>
      </c>
      <c r="AA252" s="476">
        <f t="shared" si="147"/>
        <v>757531.20000000007</v>
      </c>
      <c r="AB252" s="358">
        <f>'Glass Metrics'!AC252</f>
        <v>145889</v>
      </c>
      <c r="AC252" s="475">
        <f>'Glass Metrics'!I252</f>
        <v>111449</v>
      </c>
      <c r="AD252" s="469">
        <f>'Glass Metrics'!N252</f>
        <v>180614</v>
      </c>
      <c r="AE252" s="475">
        <f>'Glass Metrics'!S252</f>
        <v>148074</v>
      </c>
      <c r="AF252" s="359">
        <f t="shared" si="119"/>
        <v>1.0149771401545011</v>
      </c>
      <c r="AG252" s="477">
        <f t="shared" si="120"/>
        <v>0.7526574550562557</v>
      </c>
      <c r="AH252" s="472">
        <f t="shared" si="121"/>
        <v>1.6205977622051342</v>
      </c>
      <c r="AI252" s="360">
        <f t="shared" si="122"/>
        <v>1.9873917841646729</v>
      </c>
      <c r="AJ252" s="363">
        <f t="shared" si="151"/>
        <v>0.28254055676215867</v>
      </c>
      <c r="AK252" s="478">
        <v>0.48810847258916579</v>
      </c>
      <c r="AL252" s="478">
        <v>0.1216286096584507</v>
      </c>
      <c r="AM252" s="429">
        <v>68446</v>
      </c>
      <c r="AN252" s="429">
        <v>87441</v>
      </c>
      <c r="AO252" s="374">
        <f t="shared" si="137"/>
        <v>0.28254055676215867</v>
      </c>
      <c r="AP252" s="363"/>
      <c r="AQ252" s="493">
        <v>3.2549545091895671E-2</v>
      </c>
      <c r="AR252" s="493">
        <v>0.44253114634364471</v>
      </c>
      <c r="AS252" s="374">
        <f t="shared" si="141"/>
        <v>0</v>
      </c>
      <c r="AT252" s="92">
        <v>14648</v>
      </c>
      <c r="AU252" s="92">
        <f t="shared" si="148"/>
        <v>37950</v>
      </c>
      <c r="AV252" s="859">
        <f>'Channel &amp; Campaign Metrics'!Z251</f>
        <v>52598</v>
      </c>
      <c r="AW252" s="455">
        <f t="shared" si="138"/>
        <v>4394.4000000000015</v>
      </c>
      <c r="AX252" s="455">
        <f t="shared" si="139"/>
        <v>11385</v>
      </c>
      <c r="AY252" s="386">
        <f t="shared" si="140"/>
        <v>15779.400000000001</v>
      </c>
      <c r="AZ252" s="180">
        <f t="shared" si="152"/>
        <v>40379.199999999997</v>
      </c>
      <c r="BA252" s="449">
        <f t="shared" si="153"/>
        <v>56267</v>
      </c>
      <c r="BB252" s="92">
        <v>61716</v>
      </c>
      <c r="BC252" s="92">
        <v>63199</v>
      </c>
      <c r="BD252" s="92">
        <f t="shared" si="149"/>
        <v>19042.400000000001</v>
      </c>
      <c r="BE252" s="92">
        <f t="shared" si="150"/>
        <v>49335</v>
      </c>
      <c r="BF252" s="453">
        <f t="shared" si="154"/>
        <v>0.41780432132872269</v>
      </c>
      <c r="BG252" s="453">
        <f t="shared" si="155"/>
        <v>0.58219567867127731</v>
      </c>
      <c r="BH252" s="453">
        <f t="shared" si="156"/>
        <v>0.61757995436897095</v>
      </c>
      <c r="BI252" s="453">
        <f t="shared" si="157"/>
        <v>0.63242004563102905</v>
      </c>
      <c r="BJ252" s="453">
        <f t="shared" si="158"/>
        <v>0.27848967641355188</v>
      </c>
      <c r="BK252" s="453">
        <f t="shared" si="159"/>
        <v>0.72151032358644818</v>
      </c>
      <c r="BL252" s="840">
        <v>94393</v>
      </c>
      <c r="BM252" s="92">
        <v>76737</v>
      </c>
      <c r="BN252" s="386">
        <f t="shared" si="124"/>
        <v>171130</v>
      </c>
    </row>
    <row r="253" spans="1:66" ht="16.350000000000001" customHeight="1">
      <c r="A253" s="175">
        <f t="shared" si="106"/>
        <v>2025</v>
      </c>
      <c r="B253" s="454" t="str">
        <f t="shared" si="107"/>
        <v>39</v>
      </c>
      <c r="C253" s="454" t="str">
        <f t="array" ref="C253">_xlfn.IFS(_xlfn.NUMBERVALUE(B253)&lt;=13,"Q1",AND(_xlfn.NUMBERVALUE(B253)&gt;13,_xlfn.NUMBERVALUE(B253)&lt;=26),"Q2", AND(_xlfn.NUMBERVALUE(B253)&gt;26,_xlfn.NUMBERVALUE(B253)&lt;=39),"Q3",_xlfn.NUMBERVALUE(B253)&gt;39,"Q4")</f>
        <v>Q3</v>
      </c>
      <c r="D253" s="448">
        <f t="shared" si="125"/>
        <v>45584</v>
      </c>
      <c r="E253" s="448">
        <f t="shared" si="108"/>
        <v>45590</v>
      </c>
      <c r="F253" s="79">
        <v>202439</v>
      </c>
      <c r="G253" s="180">
        <f t="shared" si="109"/>
        <v>333483.59999999998</v>
      </c>
      <c r="H253" s="429">
        <f t="shared" si="142"/>
        <v>130863</v>
      </c>
      <c r="I253" s="429">
        <f t="shared" si="143"/>
        <v>202620.59999999998</v>
      </c>
      <c r="J253" s="474">
        <f t="shared" si="110"/>
        <v>0.39241210062503828</v>
      </c>
      <c r="K253" s="474">
        <f t="shared" si="111"/>
        <v>0.60758789937496172</v>
      </c>
      <c r="L253" s="92">
        <f t="shared" si="144"/>
        <v>111161.19999999998</v>
      </c>
      <c r="M253" s="92">
        <v>123936</v>
      </c>
      <c r="N253" s="92">
        <f t="shared" si="145"/>
        <v>67402.399999999994</v>
      </c>
      <c r="O253" s="474">
        <f t="shared" si="112"/>
        <v>0.33333333333333331</v>
      </c>
      <c r="P253" s="474">
        <f t="shared" si="113"/>
        <v>0.37164046447861304</v>
      </c>
      <c r="Q253" s="474">
        <f t="shared" si="114"/>
        <v>0.20211608606840037</v>
      </c>
      <c r="R253" s="455">
        <f>Forecast!J248</f>
        <v>268004</v>
      </c>
      <c r="S253" s="455">
        <f>Forecast!N248</f>
        <v>203490</v>
      </c>
      <c r="T253" s="475">
        <f t="shared" si="115"/>
        <v>12434551.350000001</v>
      </c>
      <c r="U253" s="475">
        <f t="shared" si="116"/>
        <v>8897502</v>
      </c>
      <c r="V253" s="349">
        <f t="shared" si="117"/>
        <v>8654179</v>
      </c>
      <c r="W253" s="350">
        <f t="shared" si="118"/>
        <v>1871349</v>
      </c>
      <c r="X253" s="469">
        <f>'Channel &amp; Campaign Metrics'!AR252</f>
        <v>1239567</v>
      </c>
      <c r="Y253" s="469">
        <f>'Channel &amp; Campaign Metrics'!BS252</f>
        <v>631782</v>
      </c>
      <c r="Z253" s="476">
        <f t="shared" si="146"/>
        <v>1122809.3999999999</v>
      </c>
      <c r="AA253" s="476">
        <f t="shared" si="147"/>
        <v>748539.60000000009</v>
      </c>
      <c r="AB253" s="358">
        <f>'Glass Metrics'!AC253</f>
        <v>149517</v>
      </c>
      <c r="AC253" s="475">
        <f>'Glass Metrics'!I253</f>
        <v>115387</v>
      </c>
      <c r="AD253" s="469">
        <f>'Glass Metrics'!N253</f>
        <v>168916</v>
      </c>
      <c r="AE253" s="475">
        <f>'Glass Metrics'!S253</f>
        <v>186290</v>
      </c>
      <c r="AF253" s="359">
        <f t="shared" si="119"/>
        <v>1.245945277125678</v>
      </c>
      <c r="AG253" s="477">
        <f t="shared" si="120"/>
        <v>0.6193944924579956</v>
      </c>
      <c r="AH253" s="472">
        <f t="shared" si="121"/>
        <v>1.4639084125594737</v>
      </c>
      <c r="AI253" s="360">
        <f t="shared" si="122"/>
        <v>2.2304059070206064</v>
      </c>
      <c r="AJ253" s="363">
        <f t="shared" si="151"/>
        <v>0.82558652275964661</v>
      </c>
      <c r="AK253" s="478">
        <v>0.79444322817297175</v>
      </c>
      <c r="AL253" s="478">
        <v>0.86932955827223601</v>
      </c>
      <c r="AM253" s="429">
        <v>78135</v>
      </c>
      <c r="AN253" s="429">
        <v>55629</v>
      </c>
      <c r="AO253" s="374">
        <f t="shared" si="137"/>
        <v>0.82558652275964661</v>
      </c>
      <c r="AP253" s="363"/>
      <c r="AQ253" s="493">
        <v>0.743985933622345</v>
      </c>
      <c r="AR253" s="493">
        <v>0.79449904388804649</v>
      </c>
      <c r="AS253" s="374">
        <f t="shared" si="141"/>
        <v>0</v>
      </c>
      <c r="AT253" s="92">
        <v>14170</v>
      </c>
      <c r="AU253" s="92">
        <f t="shared" si="148"/>
        <v>37678</v>
      </c>
      <c r="AV253" s="859">
        <f>'Channel &amp; Campaign Metrics'!Z252</f>
        <v>51848</v>
      </c>
      <c r="AW253" s="455">
        <f t="shared" si="138"/>
        <v>4251</v>
      </c>
      <c r="AX253" s="455">
        <f t="shared" si="139"/>
        <v>11303.400000000001</v>
      </c>
      <c r="AY253" s="386">
        <f t="shared" si="140"/>
        <v>15554.400000000001</v>
      </c>
      <c r="AZ253" s="180">
        <f t="shared" si="152"/>
        <v>43621</v>
      </c>
      <c r="BA253" s="449">
        <f t="shared" si="153"/>
        <v>67540.199999999983</v>
      </c>
      <c r="BB253" s="92">
        <v>68821</v>
      </c>
      <c r="BC253" s="92">
        <v>86099</v>
      </c>
      <c r="BD253" s="92">
        <f t="shared" si="149"/>
        <v>18421</v>
      </c>
      <c r="BE253" s="92">
        <f t="shared" si="150"/>
        <v>48981.4</v>
      </c>
      <c r="BF253" s="453">
        <f t="shared" si="154"/>
        <v>0.39241210062503828</v>
      </c>
      <c r="BG253" s="453">
        <f t="shared" si="155"/>
        <v>0.60758789937496172</v>
      </c>
      <c r="BH253" s="453">
        <f t="shared" si="156"/>
        <v>0.55529466821585338</v>
      </c>
      <c r="BI253" s="453">
        <f t="shared" si="157"/>
        <v>0.69470533178414662</v>
      </c>
      <c r="BJ253" s="453">
        <f t="shared" si="158"/>
        <v>0.27329887363061256</v>
      </c>
      <c r="BK253" s="453">
        <f t="shared" si="159"/>
        <v>0.72670112636938755</v>
      </c>
      <c r="BL253" s="840">
        <v>75369</v>
      </c>
      <c r="BM253" s="92">
        <v>70551</v>
      </c>
      <c r="BN253" s="386">
        <f t="shared" si="124"/>
        <v>145920</v>
      </c>
    </row>
    <row r="254" spans="1:66" ht="16.350000000000001" customHeight="1">
      <c r="A254" s="175">
        <f t="shared" si="106"/>
        <v>2025</v>
      </c>
      <c r="B254" s="454" t="str">
        <f t="shared" si="107"/>
        <v>40</v>
      </c>
      <c r="C254" s="454" t="str">
        <f t="array" ref="C254">_xlfn.IFS(_xlfn.NUMBERVALUE(B254)&lt;=13,"Q1",AND(_xlfn.NUMBERVALUE(B254)&gt;13,_xlfn.NUMBERVALUE(B254)&lt;=26),"Q2", AND(_xlfn.NUMBERVALUE(B254)&gt;26,_xlfn.NUMBERVALUE(B254)&lt;=39),"Q3",_xlfn.NUMBERVALUE(B254)&gt;39,"Q4")</f>
        <v>Q4</v>
      </c>
      <c r="D254" s="448">
        <f t="shared" si="125"/>
        <v>45591</v>
      </c>
      <c r="E254" s="448">
        <f t="shared" si="108"/>
        <v>45597</v>
      </c>
      <c r="F254" s="79">
        <v>202440</v>
      </c>
      <c r="G254" s="180">
        <f t="shared" si="109"/>
        <v>275550.14999999997</v>
      </c>
      <c r="H254" s="429">
        <f t="shared" si="142"/>
        <v>129067.34999999999</v>
      </c>
      <c r="I254" s="429">
        <f t="shared" si="143"/>
        <v>146482.79999999999</v>
      </c>
      <c r="J254" s="474">
        <f t="shared" si="110"/>
        <v>0.46839876516126017</v>
      </c>
      <c r="K254" s="474">
        <f t="shared" si="111"/>
        <v>0.53160123483873989</v>
      </c>
      <c r="L254" s="92">
        <f t="shared" si="144"/>
        <v>91850.049999999988</v>
      </c>
      <c r="M254" s="92">
        <v>105197</v>
      </c>
      <c r="N254" s="92">
        <f t="shared" si="145"/>
        <v>52204.100000000006</v>
      </c>
      <c r="O254" s="474">
        <f t="shared" si="112"/>
        <v>0.33333333333333331</v>
      </c>
      <c r="P254" s="474">
        <f t="shared" si="113"/>
        <v>0.38177079562468036</v>
      </c>
      <c r="Q254" s="474">
        <f t="shared" si="114"/>
        <v>0.18945407941167883</v>
      </c>
      <c r="R254" s="455">
        <f>Forecast!J249</f>
        <v>241070</v>
      </c>
      <c r="S254" s="455">
        <f>Forecast!N249</f>
        <v>228326</v>
      </c>
      <c r="T254" s="475">
        <f t="shared" si="115"/>
        <v>12710101.500000002</v>
      </c>
      <c r="U254" s="475">
        <f t="shared" si="116"/>
        <v>9138572</v>
      </c>
      <c r="V254" s="349">
        <f t="shared" si="117"/>
        <v>8882505</v>
      </c>
      <c r="W254" s="350">
        <f t="shared" si="118"/>
        <v>1706003</v>
      </c>
      <c r="X254" s="469">
        <f>'Channel &amp; Campaign Metrics'!AR253</f>
        <v>1145937</v>
      </c>
      <c r="Y254" s="469">
        <f>'Channel &amp; Campaign Metrics'!BS253</f>
        <v>560066</v>
      </c>
      <c r="Z254" s="476">
        <f t="shared" si="146"/>
        <v>1023601.7999999999</v>
      </c>
      <c r="AA254" s="476">
        <f t="shared" si="147"/>
        <v>682401.20000000007</v>
      </c>
      <c r="AB254" s="358">
        <f>'Glass Metrics'!AC254</f>
        <v>119492</v>
      </c>
      <c r="AC254" s="475">
        <f>'Glass Metrics'!I254</f>
        <v>167306</v>
      </c>
      <c r="AD254" s="469">
        <f>'Glass Metrics'!N254</f>
        <v>131028</v>
      </c>
      <c r="AE254" s="475">
        <f>'Glass Metrics'!S254</f>
        <v>116538</v>
      </c>
      <c r="AF254" s="359">
        <f t="shared" si="119"/>
        <v>0.97527867974425064</v>
      </c>
      <c r="AG254" s="477">
        <f t="shared" si="120"/>
        <v>1.4356347285863837</v>
      </c>
      <c r="AH254" s="472">
        <f t="shared" si="121"/>
        <v>0.78316378372562845</v>
      </c>
      <c r="AI254" s="360">
        <f t="shared" si="122"/>
        <v>2.3060133732802193</v>
      </c>
      <c r="AJ254" s="363">
        <f t="shared" si="151"/>
        <v>0.81836359010612159</v>
      </c>
      <c r="AK254" s="478">
        <v>0.91673630297818864</v>
      </c>
      <c r="AL254" s="478">
        <v>0.70565357759206182</v>
      </c>
      <c r="AM254" s="429">
        <v>73236</v>
      </c>
      <c r="AN254" s="429">
        <v>63920</v>
      </c>
      <c r="AO254" s="374">
        <f t="shared" si="137"/>
        <v>0.81836359010612159</v>
      </c>
      <c r="AP254" s="363"/>
      <c r="AQ254" s="493">
        <v>0.50447974406693841</v>
      </c>
      <c r="AR254" s="493">
        <v>0.45894372620896112</v>
      </c>
      <c r="AS254" s="374">
        <f t="shared" si="141"/>
        <v>0</v>
      </c>
      <c r="AT254" s="92">
        <v>18253</v>
      </c>
      <c r="AU254" s="92">
        <f t="shared" si="148"/>
        <v>21904</v>
      </c>
      <c r="AV254" s="859">
        <f>'Channel &amp; Campaign Metrics'!Z253</f>
        <v>40157</v>
      </c>
      <c r="AW254" s="455">
        <f t="shared" si="138"/>
        <v>5475.9000000000015</v>
      </c>
      <c r="AX254" s="455">
        <f t="shared" si="139"/>
        <v>6571.2000000000007</v>
      </c>
      <c r="AY254" s="386">
        <f t="shared" si="140"/>
        <v>12047.100000000002</v>
      </c>
      <c r="AZ254" s="180">
        <f t="shared" si="152"/>
        <v>43022.45</v>
      </c>
      <c r="BA254" s="449">
        <f t="shared" si="153"/>
        <v>48827.599999999991</v>
      </c>
      <c r="BB254" s="92">
        <v>62316</v>
      </c>
      <c r="BC254" s="92">
        <v>69180</v>
      </c>
      <c r="BD254" s="92">
        <f t="shared" si="149"/>
        <v>23728.9</v>
      </c>
      <c r="BE254" s="92">
        <f t="shared" si="150"/>
        <v>28475.200000000001</v>
      </c>
      <c r="BF254" s="453">
        <f t="shared" si="154"/>
        <v>0.46839876516126017</v>
      </c>
      <c r="BG254" s="453">
        <f t="shared" si="155"/>
        <v>0.53160123483873989</v>
      </c>
      <c r="BH254" s="453">
        <f t="shared" si="156"/>
        <v>0.59237430725210793</v>
      </c>
      <c r="BI254" s="453">
        <f t="shared" si="157"/>
        <v>0.65762331625426584</v>
      </c>
      <c r="BJ254" s="453">
        <f t="shared" si="158"/>
        <v>0.45454092686206637</v>
      </c>
      <c r="BK254" s="453">
        <f t="shared" si="159"/>
        <v>0.54545907313793351</v>
      </c>
      <c r="BL254" s="840">
        <v>62736</v>
      </c>
      <c r="BM254" s="92">
        <v>65253</v>
      </c>
      <c r="BN254" s="386">
        <f t="shared" si="124"/>
        <v>127989</v>
      </c>
    </row>
    <row r="255" spans="1:66" ht="16.350000000000001" customHeight="1">
      <c r="A255" s="175">
        <f t="shared" si="106"/>
        <v>2025</v>
      </c>
      <c r="B255" s="454" t="str">
        <f t="shared" si="107"/>
        <v>41</v>
      </c>
      <c r="C255" s="454" t="str">
        <f t="array" ref="C255">_xlfn.IFS(_xlfn.NUMBERVALUE(B255)&lt;=13,"Q1",AND(_xlfn.NUMBERVALUE(B255)&gt;13,_xlfn.NUMBERVALUE(B255)&lt;=26),"Q2", AND(_xlfn.NUMBERVALUE(B255)&gt;26,_xlfn.NUMBERVALUE(B255)&lt;=39),"Q3",_xlfn.NUMBERVALUE(B255)&gt;39,"Q4")</f>
        <v>Q4</v>
      </c>
      <c r="D255" s="448">
        <f t="shared" si="125"/>
        <v>45598</v>
      </c>
      <c r="E255" s="448">
        <f t="shared" si="108"/>
        <v>45604</v>
      </c>
      <c r="F255" s="79">
        <v>202441</v>
      </c>
      <c r="G255" s="180">
        <f t="shared" si="109"/>
        <v>329899.95</v>
      </c>
      <c r="H255" s="429">
        <f t="shared" si="142"/>
        <v>151065.75</v>
      </c>
      <c r="I255" s="429">
        <f t="shared" si="143"/>
        <v>178834.2</v>
      </c>
      <c r="J255" s="474">
        <f t="shared" si="110"/>
        <v>0.45791383114789802</v>
      </c>
      <c r="K255" s="474">
        <f t="shared" si="111"/>
        <v>0.54208616885210203</v>
      </c>
      <c r="L255" s="92">
        <f t="shared" si="144"/>
        <v>109966.65000000001</v>
      </c>
      <c r="M255" s="92">
        <v>133503</v>
      </c>
      <c r="N255" s="92">
        <f t="shared" si="145"/>
        <v>53054.3</v>
      </c>
      <c r="O255" s="474">
        <f t="shared" si="112"/>
        <v>0.33333333333333337</v>
      </c>
      <c r="P255" s="474">
        <f t="shared" si="113"/>
        <v>0.40467723623480389</v>
      </c>
      <c r="Q255" s="474">
        <f t="shared" si="114"/>
        <v>0.16081936356765134</v>
      </c>
      <c r="R255" s="455">
        <f>Forecast!J250</f>
        <v>251023</v>
      </c>
      <c r="S255" s="455">
        <f>Forecast!N250</f>
        <v>219157</v>
      </c>
      <c r="T255" s="475">
        <f t="shared" si="115"/>
        <v>13040001.450000001</v>
      </c>
      <c r="U255" s="475">
        <f t="shared" si="116"/>
        <v>9389595</v>
      </c>
      <c r="V255" s="349">
        <f t="shared" si="117"/>
        <v>9101662</v>
      </c>
      <c r="W255" s="350">
        <f t="shared" si="118"/>
        <v>1911723</v>
      </c>
      <c r="X255" s="469">
        <f>'Channel &amp; Campaign Metrics'!AR254</f>
        <v>1250352</v>
      </c>
      <c r="Y255" s="469">
        <f>'Channel &amp; Campaign Metrics'!BS254</f>
        <v>661371</v>
      </c>
      <c r="Z255" s="476">
        <f t="shared" si="146"/>
        <v>1147033.8</v>
      </c>
      <c r="AA255" s="476">
        <f t="shared" si="147"/>
        <v>764689.20000000007</v>
      </c>
      <c r="AB255" s="358">
        <f>'Glass Metrics'!AC255</f>
        <v>152636</v>
      </c>
      <c r="AC255" s="475">
        <f>'Glass Metrics'!I255</f>
        <v>123924</v>
      </c>
      <c r="AD255" s="469">
        <f>'Glass Metrics'!N255</f>
        <v>111478</v>
      </c>
      <c r="AE255" s="475">
        <f>'Glass Metrics'!S255</f>
        <v>145702</v>
      </c>
      <c r="AF255" s="359">
        <f t="shared" si="119"/>
        <v>0.95457166068293198</v>
      </c>
      <c r="AG255" s="477">
        <f t="shared" si="120"/>
        <v>0.85053053492745467</v>
      </c>
      <c r="AH255" s="472">
        <f t="shared" si="121"/>
        <v>0.89956747684064431</v>
      </c>
      <c r="AI255" s="360">
        <f t="shared" si="122"/>
        <v>2.1613508608716163</v>
      </c>
      <c r="AJ255" s="363">
        <f t="shared" si="151"/>
        <v>0.24906326838848863</v>
      </c>
      <c r="AK255" s="478">
        <v>0.36503882551138978</v>
      </c>
      <c r="AL255" s="478">
        <v>0.11612911628218001</v>
      </c>
      <c r="AM255" s="429">
        <v>72626</v>
      </c>
      <c r="AN255" s="429">
        <v>63361</v>
      </c>
      <c r="AO255" s="374">
        <f t="shared" si="137"/>
        <v>0.24906326838848863</v>
      </c>
      <c r="AP255" s="363"/>
      <c r="AQ255" s="493">
        <v>0.2817230622108744</v>
      </c>
      <c r="AR255" s="493">
        <v>0.63865892972568405</v>
      </c>
      <c r="AS255" s="374">
        <f t="shared" si="141"/>
        <v>0</v>
      </c>
      <c r="AT255" s="92">
        <v>12575</v>
      </c>
      <c r="AU255" s="92">
        <f t="shared" si="148"/>
        <v>28236</v>
      </c>
      <c r="AV255" s="859">
        <f>'Channel &amp; Campaign Metrics'!Z254</f>
        <v>40811</v>
      </c>
      <c r="AW255" s="455">
        <f t="shared" si="138"/>
        <v>3772.5</v>
      </c>
      <c r="AX255" s="455">
        <f t="shared" si="139"/>
        <v>8470.8000000000029</v>
      </c>
      <c r="AY255" s="386">
        <f t="shared" si="140"/>
        <v>12243.300000000003</v>
      </c>
      <c r="AZ255" s="180">
        <f t="shared" si="152"/>
        <v>50355.25</v>
      </c>
      <c r="BA255" s="449">
        <f t="shared" si="153"/>
        <v>59611.400000000009</v>
      </c>
      <c r="BB255" s="92">
        <v>84363</v>
      </c>
      <c r="BC255" s="92">
        <v>82516</v>
      </c>
      <c r="BD255" s="92">
        <f t="shared" si="149"/>
        <v>16347.5</v>
      </c>
      <c r="BE255" s="92">
        <f t="shared" si="150"/>
        <v>36706.800000000003</v>
      </c>
      <c r="BF255" s="453">
        <f t="shared" si="154"/>
        <v>0.45791383114789797</v>
      </c>
      <c r="BG255" s="453">
        <f t="shared" si="155"/>
        <v>0.54208616885210203</v>
      </c>
      <c r="BH255" s="453">
        <f t="shared" si="156"/>
        <v>0.63191838385654253</v>
      </c>
      <c r="BI255" s="453">
        <f t="shared" si="157"/>
        <v>0.61808348876055219</v>
      </c>
      <c r="BJ255" s="453">
        <f t="shared" si="158"/>
        <v>0.30812771066624195</v>
      </c>
      <c r="BK255" s="453">
        <f t="shared" si="159"/>
        <v>0.69187228933375811</v>
      </c>
      <c r="BL255" s="840">
        <v>58310</v>
      </c>
      <c r="BM255" s="92">
        <v>53987</v>
      </c>
      <c r="BN255" s="386">
        <f t="shared" si="124"/>
        <v>112297</v>
      </c>
    </row>
    <row r="256" spans="1:66" ht="16.350000000000001" customHeight="1">
      <c r="A256" s="175">
        <f t="shared" si="106"/>
        <v>2025</v>
      </c>
      <c r="B256" s="454" t="str">
        <f t="shared" si="107"/>
        <v>42</v>
      </c>
      <c r="C256" s="454" t="str">
        <f t="array" ref="C256">_xlfn.IFS(_xlfn.NUMBERVALUE(B256)&lt;=13,"Q1",AND(_xlfn.NUMBERVALUE(B256)&gt;13,_xlfn.NUMBERVALUE(B256)&lt;=26),"Q2", AND(_xlfn.NUMBERVALUE(B256)&gt;26,_xlfn.NUMBERVALUE(B256)&lt;=39),"Q3",_xlfn.NUMBERVALUE(B256)&gt;39,"Q4")</f>
        <v>Q4</v>
      </c>
      <c r="D256" s="448">
        <f t="shared" si="125"/>
        <v>45605</v>
      </c>
      <c r="E256" s="448">
        <f t="shared" si="108"/>
        <v>45611</v>
      </c>
      <c r="F256" s="79">
        <v>202442</v>
      </c>
      <c r="G256" s="180">
        <f t="shared" si="109"/>
        <v>377520.75</v>
      </c>
      <c r="H256" s="429">
        <f t="shared" si="142"/>
        <v>170793.3</v>
      </c>
      <c r="I256" s="429">
        <f t="shared" si="143"/>
        <v>206727.44999999998</v>
      </c>
      <c r="J256" s="474">
        <f t="shared" si="110"/>
        <v>0.45240771533750129</v>
      </c>
      <c r="K256" s="474">
        <f t="shared" si="111"/>
        <v>0.54759228466249865</v>
      </c>
      <c r="L256" s="92">
        <f t="shared" si="144"/>
        <v>125840.24999999999</v>
      </c>
      <c r="M256" s="92">
        <v>153707</v>
      </c>
      <c r="N256" s="92">
        <f t="shared" si="145"/>
        <v>59546.5</v>
      </c>
      <c r="O256" s="474">
        <f t="shared" si="112"/>
        <v>0.33333333333333331</v>
      </c>
      <c r="P256" s="474">
        <f t="shared" si="113"/>
        <v>0.40714848124242176</v>
      </c>
      <c r="Q256" s="474">
        <f t="shared" si="114"/>
        <v>0.15773040289838372</v>
      </c>
      <c r="R256" s="455">
        <f>Forecast!J251</f>
        <v>236949</v>
      </c>
      <c r="S256" s="455">
        <f>Forecast!N251</f>
        <v>230886</v>
      </c>
      <c r="T256" s="475">
        <f t="shared" si="115"/>
        <v>13417522.200000001</v>
      </c>
      <c r="U256" s="475">
        <f t="shared" si="116"/>
        <v>9626544</v>
      </c>
      <c r="V256" s="349">
        <f t="shared" si="117"/>
        <v>9332548</v>
      </c>
      <c r="W256" s="350">
        <f t="shared" si="118"/>
        <v>1753731</v>
      </c>
      <c r="X256" s="469">
        <f>'Channel &amp; Campaign Metrics'!AR255</f>
        <v>1211029</v>
      </c>
      <c r="Y256" s="469">
        <f>'Channel &amp; Campaign Metrics'!BS255</f>
        <v>542702</v>
      </c>
      <c r="Z256" s="476">
        <f t="shared" si="146"/>
        <v>1052238.5999999999</v>
      </c>
      <c r="AA256" s="476">
        <f t="shared" si="147"/>
        <v>701492.4</v>
      </c>
      <c r="AB256" s="358">
        <f>'Glass Metrics'!AC256</f>
        <v>182147</v>
      </c>
      <c r="AC256" s="475">
        <f>'Glass Metrics'!I256</f>
        <v>176812</v>
      </c>
      <c r="AD256" s="469">
        <f>'Glass Metrics'!N256</f>
        <v>148091</v>
      </c>
      <c r="AE256" s="475">
        <f>'Glass Metrics'!S256</f>
        <v>143225</v>
      </c>
      <c r="AF256" s="359">
        <f t="shared" si="119"/>
        <v>0.78631544851136714</v>
      </c>
      <c r="AG256" s="477">
        <f t="shared" si="120"/>
        <v>1.2345051492407051</v>
      </c>
      <c r="AH256" s="472">
        <f t="shared" si="121"/>
        <v>0.83756193018573399</v>
      </c>
      <c r="AI256" s="360">
        <f t="shared" si="122"/>
        <v>2.0726157993269174</v>
      </c>
      <c r="AJ256" s="363">
        <f t="shared" si="151"/>
        <v>0.46855771139373975</v>
      </c>
      <c r="AK256" s="478">
        <v>0.57735321359030822</v>
      </c>
      <c r="AL256" s="478">
        <v>0.36100146623782808</v>
      </c>
      <c r="AM256" s="429">
        <v>66829</v>
      </c>
      <c r="AN256" s="429">
        <v>67599</v>
      </c>
      <c r="AO256" s="374">
        <f t="shared" si="137"/>
        <v>0.46855771139373975</v>
      </c>
      <c r="AP256" s="363"/>
      <c r="AQ256" s="493">
        <v>0.41438581199638169</v>
      </c>
      <c r="AR256" s="493">
        <v>0.82187849994323103</v>
      </c>
      <c r="AS256" s="374">
        <f t="shared" si="141"/>
        <v>0</v>
      </c>
      <c r="AT256" s="92">
        <v>11874</v>
      </c>
      <c r="AU256" s="92">
        <f t="shared" si="148"/>
        <v>33931</v>
      </c>
      <c r="AV256" s="859">
        <f>'Channel &amp; Campaign Metrics'!Z255</f>
        <v>45805</v>
      </c>
      <c r="AW256" s="455">
        <f t="shared" si="138"/>
        <v>3562.2000000000007</v>
      </c>
      <c r="AX256" s="455">
        <f t="shared" si="139"/>
        <v>10179.300000000003</v>
      </c>
      <c r="AY256" s="386">
        <f t="shared" si="140"/>
        <v>13741.500000000004</v>
      </c>
      <c r="AZ256" s="180">
        <f t="shared" si="152"/>
        <v>56931.099999999991</v>
      </c>
      <c r="BA256" s="449">
        <f t="shared" si="153"/>
        <v>68909.149999999994</v>
      </c>
      <c r="BB256" s="92">
        <v>98426</v>
      </c>
      <c r="BC256" s="92">
        <v>93708</v>
      </c>
      <c r="BD256" s="92">
        <f t="shared" si="149"/>
        <v>15436.2</v>
      </c>
      <c r="BE256" s="92">
        <f t="shared" si="150"/>
        <v>44110.3</v>
      </c>
      <c r="BF256" s="453">
        <f t="shared" si="154"/>
        <v>0.45240771533750129</v>
      </c>
      <c r="BG256" s="453">
        <f t="shared" si="155"/>
        <v>0.54759228466249865</v>
      </c>
      <c r="BH256" s="453">
        <f t="shared" si="156"/>
        <v>0.64034819494232531</v>
      </c>
      <c r="BI256" s="453">
        <f t="shared" si="157"/>
        <v>0.60965343152881779</v>
      </c>
      <c r="BJ256" s="453">
        <f t="shared" si="158"/>
        <v>0.25922934177491541</v>
      </c>
      <c r="BK256" s="453">
        <f t="shared" si="159"/>
        <v>0.7407706582250847</v>
      </c>
      <c r="BL256" s="840">
        <v>74689</v>
      </c>
      <c r="BM256" s="92">
        <v>81787</v>
      </c>
      <c r="BN256" s="386">
        <f t="shared" si="124"/>
        <v>156476</v>
      </c>
    </row>
    <row r="257" spans="1:68" ht="16.350000000000001" customHeight="1">
      <c r="A257" s="175">
        <f t="shared" si="106"/>
        <v>2025</v>
      </c>
      <c r="B257" s="454" t="str">
        <f t="shared" si="107"/>
        <v>43</v>
      </c>
      <c r="C257" s="454" t="str">
        <f t="array" ref="C257">_xlfn.IFS(_xlfn.NUMBERVALUE(B257)&lt;=13,"Q1",AND(_xlfn.NUMBERVALUE(B257)&gt;13,_xlfn.NUMBERVALUE(B257)&lt;=26),"Q2", AND(_xlfn.NUMBERVALUE(B257)&gt;26,_xlfn.NUMBERVALUE(B257)&lt;=39),"Q3",_xlfn.NUMBERVALUE(B257)&gt;39,"Q4")</f>
        <v>Q4</v>
      </c>
      <c r="D257" s="448">
        <f t="shared" si="125"/>
        <v>45612</v>
      </c>
      <c r="E257" s="448">
        <f t="shared" si="108"/>
        <v>45618</v>
      </c>
      <c r="F257" s="79">
        <v>202443</v>
      </c>
      <c r="G257" s="180">
        <f t="shared" si="109"/>
        <v>313749.30000000005</v>
      </c>
      <c r="H257" s="429">
        <f t="shared" si="142"/>
        <v>161890.5</v>
      </c>
      <c r="I257" s="429">
        <f t="shared" si="143"/>
        <v>151858.80000000002</v>
      </c>
      <c r="J257" s="474">
        <f t="shared" si="110"/>
        <v>0.51598680857614654</v>
      </c>
      <c r="K257" s="474">
        <f t="shared" si="111"/>
        <v>0.48401319142385335</v>
      </c>
      <c r="L257" s="92">
        <f t="shared" si="144"/>
        <v>104583.1</v>
      </c>
      <c r="M257" s="92">
        <v>118334</v>
      </c>
      <c r="N257" s="92">
        <f t="shared" si="145"/>
        <v>61248.200000000004</v>
      </c>
      <c r="O257" s="474">
        <f t="shared" si="112"/>
        <v>0.33333333333333331</v>
      </c>
      <c r="P257" s="474">
        <f t="shared" si="113"/>
        <v>0.37716100083729265</v>
      </c>
      <c r="Q257" s="474">
        <f t="shared" si="114"/>
        <v>0.19521382199099727</v>
      </c>
      <c r="R257" s="455">
        <f>Forecast!J252</f>
        <v>206101</v>
      </c>
      <c r="S257" s="455">
        <f>Forecast!N252</f>
        <v>188066</v>
      </c>
      <c r="T257" s="475">
        <f t="shared" si="115"/>
        <v>13731271.500000002</v>
      </c>
      <c r="U257" s="475">
        <f t="shared" si="116"/>
        <v>9832645</v>
      </c>
      <c r="V257" s="349">
        <f t="shared" si="117"/>
        <v>9520614</v>
      </c>
      <c r="W257" s="350">
        <f t="shared" si="118"/>
        <v>1759044</v>
      </c>
      <c r="X257" s="469">
        <f>'Channel &amp; Campaign Metrics'!AR256</f>
        <v>1185201</v>
      </c>
      <c r="Y257" s="469">
        <f>'Channel &amp; Campaign Metrics'!BS256</f>
        <v>573843</v>
      </c>
      <c r="Z257" s="476">
        <f t="shared" si="146"/>
        <v>1055426.3999999999</v>
      </c>
      <c r="AA257" s="476">
        <f t="shared" si="147"/>
        <v>703617.60000000009</v>
      </c>
      <c r="AB257" s="358">
        <f>'Glass Metrics'!AC257</f>
        <v>136923</v>
      </c>
      <c r="AC257" s="475">
        <f>'Glass Metrics'!I257</f>
        <v>124955</v>
      </c>
      <c r="AD257" s="469">
        <f>'Glass Metrics'!N257</f>
        <v>150268</v>
      </c>
      <c r="AE257" s="475">
        <f>'Glass Metrics'!S257</f>
        <v>128134</v>
      </c>
      <c r="AF257" s="359">
        <f t="shared" si="119"/>
        <v>0.93581063809586407</v>
      </c>
      <c r="AG257" s="477">
        <f t="shared" si="120"/>
        <v>0.9751900354316575</v>
      </c>
      <c r="AH257" s="472">
        <f t="shared" si="121"/>
        <v>1.2025769276939697</v>
      </c>
      <c r="AI257" s="360">
        <f t="shared" si="122"/>
        <v>2.2914287592296403</v>
      </c>
      <c r="AJ257" s="363">
        <f t="shared" si="151"/>
        <v>0.43223569596300515</v>
      </c>
      <c r="AK257" s="478">
        <v>0.45342656409187709</v>
      </c>
      <c r="AL257" s="478">
        <v>0.41532582351332481</v>
      </c>
      <c r="AM257" s="429">
        <v>55916</v>
      </c>
      <c r="AN257" s="429">
        <v>70072</v>
      </c>
      <c r="AO257" s="374">
        <f t="shared" si="137"/>
        <v>0.43223569596300515</v>
      </c>
      <c r="AP257" s="363"/>
      <c r="AQ257" s="493">
        <v>0.29552775325740471</v>
      </c>
      <c r="AR257" s="493">
        <v>6.5899718215791103E-2</v>
      </c>
      <c r="AS257" s="374">
        <f t="shared" si="141"/>
        <v>0</v>
      </c>
      <c r="AT257" s="92">
        <v>13360</v>
      </c>
      <c r="AU257" s="92">
        <f t="shared" si="148"/>
        <v>33754</v>
      </c>
      <c r="AV257" s="859">
        <f>'Channel &amp; Campaign Metrics'!Z256</f>
        <v>47114</v>
      </c>
      <c r="AW257" s="455">
        <f t="shared" si="138"/>
        <v>4008</v>
      </c>
      <c r="AX257" s="455">
        <f t="shared" si="139"/>
        <v>10126.200000000004</v>
      </c>
      <c r="AY257" s="386">
        <f t="shared" si="140"/>
        <v>14134.200000000004</v>
      </c>
      <c r="AZ257" s="180">
        <f t="shared" si="152"/>
        <v>53963.5</v>
      </c>
      <c r="BA257" s="449">
        <f t="shared" si="153"/>
        <v>50619.600000000006</v>
      </c>
      <c r="BB257" s="92">
        <v>90559</v>
      </c>
      <c r="BC257" s="92">
        <v>57359</v>
      </c>
      <c r="BD257" s="92">
        <f t="shared" si="149"/>
        <v>17368</v>
      </c>
      <c r="BE257" s="92">
        <f t="shared" si="150"/>
        <v>43880.200000000004</v>
      </c>
      <c r="BF257" s="453">
        <f t="shared" si="154"/>
        <v>0.51598680857614665</v>
      </c>
      <c r="BG257" s="453">
        <f t="shared" si="155"/>
        <v>0.48401319142385341</v>
      </c>
      <c r="BH257" s="453">
        <f t="shared" si="156"/>
        <v>0.76528301249007047</v>
      </c>
      <c r="BI257" s="453">
        <f t="shared" si="157"/>
        <v>0.48472121283823755</v>
      </c>
      <c r="BJ257" s="453">
        <f t="shared" si="158"/>
        <v>0.28356751708621641</v>
      </c>
      <c r="BK257" s="453">
        <f t="shared" si="159"/>
        <v>0.71643248291378359</v>
      </c>
      <c r="BL257" s="840">
        <v>98052</v>
      </c>
      <c r="BM257" s="92">
        <v>57588</v>
      </c>
      <c r="BN257" s="386">
        <f t="shared" si="124"/>
        <v>155640</v>
      </c>
    </row>
    <row r="258" spans="1:68" ht="16.350000000000001" customHeight="1">
      <c r="A258" s="175">
        <f t="shared" si="106"/>
        <v>2025</v>
      </c>
      <c r="B258" s="454" t="str">
        <f t="shared" si="107"/>
        <v>44</v>
      </c>
      <c r="C258" s="454" t="str">
        <f t="array" ref="C258">_xlfn.IFS(_xlfn.NUMBERVALUE(B258)&lt;=13,"Q1",AND(_xlfn.NUMBERVALUE(B258)&gt;13,_xlfn.NUMBERVALUE(B258)&lt;=26),"Q2", AND(_xlfn.NUMBERVALUE(B258)&gt;26,_xlfn.NUMBERVALUE(B258)&lt;=39),"Q3",_xlfn.NUMBERVALUE(B258)&gt;39,"Q4")</f>
        <v>Q4</v>
      </c>
      <c r="D258" s="448">
        <f t="shared" si="125"/>
        <v>45619</v>
      </c>
      <c r="E258" s="448">
        <f t="shared" si="108"/>
        <v>45625</v>
      </c>
      <c r="F258" s="79">
        <v>202444</v>
      </c>
      <c r="G258" s="180">
        <f t="shared" si="109"/>
        <v>294372.60000000003</v>
      </c>
      <c r="H258" s="429">
        <f t="shared" si="142"/>
        <v>139166.40000000002</v>
      </c>
      <c r="I258" s="429">
        <f t="shared" si="143"/>
        <v>155206.20000000001</v>
      </c>
      <c r="J258" s="474">
        <f t="shared" si="110"/>
        <v>0.47275595622690431</v>
      </c>
      <c r="K258" s="474">
        <f t="shared" si="111"/>
        <v>0.52724404377309575</v>
      </c>
      <c r="L258" s="92">
        <f t="shared" si="144"/>
        <v>98124.200000000026</v>
      </c>
      <c r="M258" s="92">
        <v>96452</v>
      </c>
      <c r="N258" s="92">
        <f t="shared" si="145"/>
        <v>75683.400000000009</v>
      </c>
      <c r="O258" s="474">
        <f t="shared" si="112"/>
        <v>0.33333333333333337</v>
      </c>
      <c r="P258" s="474">
        <f t="shared" si="113"/>
        <v>0.327652777466381</v>
      </c>
      <c r="Q258" s="474">
        <f t="shared" si="114"/>
        <v>0.25710069483369036</v>
      </c>
      <c r="R258" s="455">
        <f>Forecast!J253</f>
        <v>207588</v>
      </c>
      <c r="S258" s="455">
        <f>Forecast!N253</f>
        <v>190564</v>
      </c>
      <c r="T258" s="475">
        <f t="shared" si="115"/>
        <v>14025644.100000001</v>
      </c>
      <c r="U258" s="475">
        <f t="shared" si="116"/>
        <v>10040233</v>
      </c>
      <c r="V258" s="349">
        <f t="shared" si="117"/>
        <v>9711178</v>
      </c>
      <c r="W258" s="350">
        <f t="shared" si="118"/>
        <v>1799680</v>
      </c>
      <c r="X258" s="469">
        <f>'Channel &amp; Campaign Metrics'!AR257</f>
        <v>1141133</v>
      </c>
      <c r="Y258" s="469">
        <f>'Channel &amp; Campaign Metrics'!BS257</f>
        <v>658547</v>
      </c>
      <c r="Z258" s="476">
        <f t="shared" si="146"/>
        <v>1079808</v>
      </c>
      <c r="AA258" s="476">
        <f t="shared" si="147"/>
        <v>719872</v>
      </c>
      <c r="AB258" s="358">
        <f>'Glass Metrics'!AC258</f>
        <v>143037</v>
      </c>
      <c r="AC258" s="475">
        <f>'Glass Metrics'!I258</f>
        <v>136090</v>
      </c>
      <c r="AD258" s="469">
        <f>'Glass Metrics'!N258</f>
        <v>181073</v>
      </c>
      <c r="AE258" s="475">
        <f>'Glass Metrics'!S258</f>
        <v>130100</v>
      </c>
      <c r="AF258" s="359">
        <f t="shared" si="119"/>
        <v>0.90955487041814354</v>
      </c>
      <c r="AG258" s="477">
        <f t="shared" si="120"/>
        <v>1.0460415065334359</v>
      </c>
      <c r="AH258" s="472">
        <f t="shared" si="121"/>
        <v>1.3305386141523992</v>
      </c>
      <c r="AI258" s="360">
        <f t="shared" si="122"/>
        <v>2.0580171564000924</v>
      </c>
      <c r="AJ258" s="363">
        <f t="shared" si="151"/>
        <v>0.5339944266468154</v>
      </c>
      <c r="AK258" s="478">
        <v>0.63620741086173116</v>
      </c>
      <c r="AL258" s="478">
        <v>0.38348991940695831</v>
      </c>
      <c r="AM258" s="429">
        <v>80065</v>
      </c>
      <c r="AN258" s="429">
        <v>54375</v>
      </c>
      <c r="AO258" s="374">
        <f t="shared" si="137"/>
        <v>0.5339944266468154</v>
      </c>
      <c r="AP258" s="363"/>
      <c r="AQ258" s="493">
        <v>0.86904933126474282</v>
      </c>
      <c r="AR258" s="493">
        <v>0.74097640676949295</v>
      </c>
      <c r="AS258" s="374">
        <f t="shared" si="141"/>
        <v>0</v>
      </c>
      <c r="AT258" s="92">
        <v>19822</v>
      </c>
      <c r="AU258" s="92">
        <f t="shared" si="148"/>
        <v>38396</v>
      </c>
      <c r="AV258" s="859">
        <f>'Channel &amp; Campaign Metrics'!Z257</f>
        <v>58218</v>
      </c>
      <c r="AW258" s="455">
        <f t="shared" si="138"/>
        <v>5946.6000000000022</v>
      </c>
      <c r="AX258" s="455">
        <f t="shared" si="139"/>
        <v>11518.800000000003</v>
      </c>
      <c r="AY258" s="386">
        <f t="shared" si="140"/>
        <v>17465.400000000005</v>
      </c>
      <c r="AZ258" s="180">
        <f t="shared" si="152"/>
        <v>46388.800000000017</v>
      </c>
      <c r="BA258" s="449">
        <f t="shared" si="153"/>
        <v>51735.400000000009</v>
      </c>
      <c r="BB258" s="92">
        <v>67009</v>
      </c>
      <c r="BC258" s="92">
        <v>53556</v>
      </c>
      <c r="BD258" s="92">
        <f t="shared" si="149"/>
        <v>25768.600000000002</v>
      </c>
      <c r="BE258" s="92">
        <f t="shared" si="150"/>
        <v>49914.8</v>
      </c>
      <c r="BF258" s="453">
        <f t="shared" si="154"/>
        <v>0.47275595622690431</v>
      </c>
      <c r="BG258" s="453">
        <f t="shared" si="155"/>
        <v>0.52724404377309564</v>
      </c>
      <c r="BH258" s="453">
        <f t="shared" si="156"/>
        <v>0.69473935221664662</v>
      </c>
      <c r="BI258" s="453">
        <f t="shared" si="157"/>
        <v>0.55526064778335338</v>
      </c>
      <c r="BJ258" s="453">
        <f t="shared" si="158"/>
        <v>0.34047888969047374</v>
      </c>
      <c r="BK258" s="453">
        <f t="shared" si="159"/>
        <v>0.6595211103095262</v>
      </c>
      <c r="BL258" s="840">
        <v>66932</v>
      </c>
      <c r="BM258" s="92">
        <v>53347</v>
      </c>
      <c r="BN258" s="386">
        <f t="shared" si="124"/>
        <v>120279</v>
      </c>
    </row>
    <row r="259" spans="1:68" ht="16.350000000000001" customHeight="1">
      <c r="A259" s="175">
        <f t="shared" si="106"/>
        <v>2025</v>
      </c>
      <c r="B259" s="454" t="str">
        <f t="shared" si="107"/>
        <v>45</v>
      </c>
      <c r="C259" s="454" t="str">
        <f t="array" ref="C259">_xlfn.IFS(_xlfn.NUMBERVALUE(B259)&lt;=13,"Q1",AND(_xlfn.NUMBERVALUE(B259)&gt;13,_xlfn.NUMBERVALUE(B259)&lt;=26),"Q2", AND(_xlfn.NUMBERVALUE(B259)&gt;26,_xlfn.NUMBERVALUE(B259)&lt;=39),"Q3",_xlfn.NUMBERVALUE(B259)&gt;39,"Q4")</f>
        <v>Q4</v>
      </c>
      <c r="D259" s="448">
        <f t="shared" si="125"/>
        <v>45626</v>
      </c>
      <c r="E259" s="448">
        <f t="shared" si="108"/>
        <v>45632</v>
      </c>
      <c r="F259" s="79">
        <v>202445</v>
      </c>
      <c r="G259" s="180">
        <f t="shared" si="109"/>
        <v>316103.10000000003</v>
      </c>
      <c r="H259" s="429">
        <f t="shared" si="142"/>
        <v>147619.95000000001</v>
      </c>
      <c r="I259" s="429">
        <f t="shared" si="143"/>
        <v>168483.15000000002</v>
      </c>
      <c r="J259" s="474">
        <f t="shared" si="110"/>
        <v>0.46699937457114465</v>
      </c>
      <c r="K259" s="474">
        <f t="shared" si="111"/>
        <v>0.5330006254288554</v>
      </c>
      <c r="L259" s="92">
        <f t="shared" si="144"/>
        <v>105367.70000000003</v>
      </c>
      <c r="M259" s="92">
        <v>116954</v>
      </c>
      <c r="N259" s="92">
        <f t="shared" si="145"/>
        <v>64542.400000000001</v>
      </c>
      <c r="O259" s="474">
        <f t="shared" si="112"/>
        <v>0.33333333333333337</v>
      </c>
      <c r="P259" s="474">
        <f t="shared" si="113"/>
        <v>0.36998688086260462</v>
      </c>
      <c r="Q259" s="474">
        <f t="shared" si="114"/>
        <v>0.20418148382600484</v>
      </c>
      <c r="R259" s="455">
        <f>Forecast!J254</f>
        <v>193177</v>
      </c>
      <c r="S259" s="455">
        <f>Forecast!N254</f>
        <v>213251</v>
      </c>
      <c r="T259" s="475">
        <f t="shared" si="115"/>
        <v>14341747.200000001</v>
      </c>
      <c r="U259" s="475">
        <f t="shared" si="116"/>
        <v>10233410</v>
      </c>
      <c r="V259" s="349">
        <f t="shared" si="117"/>
        <v>9924429</v>
      </c>
      <c r="W259" s="350">
        <f t="shared" si="118"/>
        <v>1850942</v>
      </c>
      <c r="X259" s="469">
        <f>'Channel &amp; Campaign Metrics'!AR258</f>
        <v>1235776</v>
      </c>
      <c r="Y259" s="469">
        <f>'Channel &amp; Campaign Metrics'!BS258</f>
        <v>615166</v>
      </c>
      <c r="Z259" s="476">
        <f t="shared" si="146"/>
        <v>1110565.2</v>
      </c>
      <c r="AA259" s="476">
        <f t="shared" si="147"/>
        <v>740376.8</v>
      </c>
      <c r="AB259" s="358">
        <f>'Glass Metrics'!AC259</f>
        <v>185888</v>
      </c>
      <c r="AC259" s="475">
        <f>'Glass Metrics'!I259</f>
        <v>156882</v>
      </c>
      <c r="AD259" s="469">
        <f>'Glass Metrics'!N259</f>
        <v>158690</v>
      </c>
      <c r="AE259" s="475">
        <f>'Glass Metrics'!S259</f>
        <v>160652</v>
      </c>
      <c r="AF259" s="359">
        <f t="shared" si="119"/>
        <v>0.86424083318987777</v>
      </c>
      <c r="AG259" s="477">
        <f t="shared" si="120"/>
        <v>0.97653312750541543</v>
      </c>
      <c r="AH259" s="472">
        <f t="shared" si="121"/>
        <v>1.0115245853571475</v>
      </c>
      <c r="AI259" s="360">
        <f t="shared" si="122"/>
        <v>1.7005029910483733</v>
      </c>
      <c r="AJ259" s="363">
        <f t="shared" si="151"/>
        <v>0.51690858492537972</v>
      </c>
      <c r="AK259" s="478">
        <v>0.70488823681439494</v>
      </c>
      <c r="AL259" s="478">
        <v>0.29425998614210752</v>
      </c>
      <c r="AM259" s="429">
        <v>85074</v>
      </c>
      <c r="AN259" s="429">
        <v>71827</v>
      </c>
      <c r="AO259" s="374">
        <f t="shared" si="137"/>
        <v>0.51690858492537972</v>
      </c>
      <c r="AP259" s="363"/>
      <c r="AQ259" s="493">
        <v>0.60952229504929878</v>
      </c>
      <c r="AR259" s="493">
        <v>3.5580388048310208E-2</v>
      </c>
      <c r="AS259" s="374">
        <f t="shared" si="141"/>
        <v>0</v>
      </c>
      <c r="AT259" s="92">
        <v>10021</v>
      </c>
      <c r="AU259" s="92">
        <f t="shared" si="148"/>
        <v>39627</v>
      </c>
      <c r="AV259" s="859">
        <f>'Channel &amp; Campaign Metrics'!Z258</f>
        <v>49648</v>
      </c>
      <c r="AW259" s="455">
        <f t="shared" si="138"/>
        <v>3006.3000000000011</v>
      </c>
      <c r="AX259" s="455">
        <f t="shared" si="139"/>
        <v>11888.099999999999</v>
      </c>
      <c r="AY259" s="386">
        <f t="shared" si="140"/>
        <v>14894.4</v>
      </c>
      <c r="AZ259" s="180">
        <f t="shared" si="152"/>
        <v>49206.650000000009</v>
      </c>
      <c r="BA259" s="449">
        <f t="shared" si="153"/>
        <v>56161.050000000017</v>
      </c>
      <c r="BB259" s="92">
        <v>85386</v>
      </c>
      <c r="BC259" s="92">
        <v>60807</v>
      </c>
      <c r="BD259" s="92">
        <f t="shared" si="149"/>
        <v>13027.300000000001</v>
      </c>
      <c r="BE259" s="92">
        <f t="shared" si="150"/>
        <v>51515.1</v>
      </c>
      <c r="BF259" s="453">
        <f t="shared" si="154"/>
        <v>0.46699937457114465</v>
      </c>
      <c r="BG259" s="453">
        <f t="shared" si="155"/>
        <v>0.5330006254288554</v>
      </c>
      <c r="BH259" s="453">
        <f t="shared" si="156"/>
        <v>0.73008191254681332</v>
      </c>
      <c r="BI259" s="453">
        <f t="shared" si="157"/>
        <v>0.51992236263830227</v>
      </c>
      <c r="BJ259" s="453">
        <f t="shared" si="158"/>
        <v>0.20184096036094104</v>
      </c>
      <c r="BK259" s="453">
        <f t="shared" si="159"/>
        <v>0.79815903963905899</v>
      </c>
      <c r="BL259" s="840">
        <v>55601</v>
      </c>
      <c r="BM259" s="92">
        <v>81038</v>
      </c>
      <c r="BN259" s="386">
        <f t="shared" si="124"/>
        <v>136639</v>
      </c>
    </row>
    <row r="260" spans="1:68" ht="16.350000000000001" customHeight="1">
      <c r="A260" s="175">
        <f t="shared" si="106"/>
        <v>2025</v>
      </c>
      <c r="B260" s="454" t="str">
        <f t="shared" si="107"/>
        <v>46</v>
      </c>
      <c r="C260" s="454" t="str">
        <f t="array" ref="C260">_xlfn.IFS(_xlfn.NUMBERVALUE(B260)&lt;=13,"Q1",AND(_xlfn.NUMBERVALUE(B260)&gt;13,_xlfn.NUMBERVALUE(B260)&lt;=26),"Q2", AND(_xlfn.NUMBERVALUE(B260)&gt;26,_xlfn.NUMBERVALUE(B260)&lt;=39),"Q3",_xlfn.NUMBERVALUE(B260)&gt;39,"Q4")</f>
        <v>Q4</v>
      </c>
      <c r="D260" s="448">
        <f t="shared" si="125"/>
        <v>45633</v>
      </c>
      <c r="E260" s="448">
        <f t="shared" si="108"/>
        <v>45639</v>
      </c>
      <c r="F260" s="79">
        <v>202446</v>
      </c>
      <c r="G260" s="180">
        <f t="shared" si="109"/>
        <v>316198.8</v>
      </c>
      <c r="H260" s="429">
        <f t="shared" si="142"/>
        <v>132467.84999999998</v>
      </c>
      <c r="I260" s="429">
        <f t="shared" si="143"/>
        <v>183730.95</v>
      </c>
      <c r="J260" s="474">
        <f t="shared" si="110"/>
        <v>0.41893849692029184</v>
      </c>
      <c r="K260" s="474">
        <f t="shared" si="111"/>
        <v>0.58106150307970816</v>
      </c>
      <c r="L260" s="92">
        <f t="shared" si="144"/>
        <v>105399.59999999999</v>
      </c>
      <c r="M260" s="92">
        <v>126266</v>
      </c>
      <c r="N260" s="92">
        <f t="shared" si="145"/>
        <v>52967.199999999997</v>
      </c>
      <c r="O260" s="474">
        <f t="shared" si="112"/>
        <v>0.33333333333333331</v>
      </c>
      <c r="P260" s="474">
        <f t="shared" si="113"/>
        <v>0.39932472862009599</v>
      </c>
      <c r="Q260" s="474">
        <f t="shared" si="114"/>
        <v>0.16751233717522016</v>
      </c>
      <c r="R260" s="455">
        <f>Forecast!J255</f>
        <v>235867</v>
      </c>
      <c r="S260" s="455">
        <f>Forecast!N255</f>
        <v>216214</v>
      </c>
      <c r="T260" s="475">
        <f t="shared" si="115"/>
        <v>14657946.000000002</v>
      </c>
      <c r="U260" s="475">
        <f t="shared" si="116"/>
        <v>10469277</v>
      </c>
      <c r="V260" s="349">
        <f t="shared" si="117"/>
        <v>10140643</v>
      </c>
      <c r="W260" s="350">
        <f t="shared" si="118"/>
        <v>1910361</v>
      </c>
      <c r="X260" s="469">
        <f>'Channel &amp; Campaign Metrics'!AR259</f>
        <v>1317125</v>
      </c>
      <c r="Y260" s="469">
        <f>'Channel &amp; Campaign Metrics'!BS259</f>
        <v>593236</v>
      </c>
      <c r="Z260" s="476">
        <f t="shared" si="146"/>
        <v>1146216.5999999999</v>
      </c>
      <c r="AA260" s="476">
        <f t="shared" si="147"/>
        <v>764144.4</v>
      </c>
      <c r="AB260" s="358">
        <f>'Glass Metrics'!AC260</f>
        <v>159772</v>
      </c>
      <c r="AC260" s="475">
        <f>'Glass Metrics'!I260</f>
        <v>142453</v>
      </c>
      <c r="AD260" s="469">
        <f>'Glass Metrics'!N260</f>
        <v>162371</v>
      </c>
      <c r="AE260" s="475">
        <f>'Glass Metrics'!S260</f>
        <v>168431</v>
      </c>
      <c r="AF260" s="359">
        <f t="shared" si="119"/>
        <v>1.0541959792704605</v>
      </c>
      <c r="AG260" s="477">
        <f t="shared" si="120"/>
        <v>0.84576473452036738</v>
      </c>
      <c r="AH260" s="472">
        <f t="shared" si="121"/>
        <v>1.1398215551796032</v>
      </c>
      <c r="AI260" s="360">
        <f t="shared" si="122"/>
        <v>1.9790626642966227</v>
      </c>
      <c r="AJ260" s="363">
        <f t="shared" si="151"/>
        <v>0.52656680521728305</v>
      </c>
      <c r="AK260" s="478">
        <v>0.79015973242170034</v>
      </c>
      <c r="AL260" s="478">
        <v>0.31175859475414819</v>
      </c>
      <c r="AM260" s="429">
        <v>68813</v>
      </c>
      <c r="AN260" s="429">
        <v>84441</v>
      </c>
      <c r="AO260" s="374">
        <f t="shared" si="137"/>
        <v>0.52656680521728305</v>
      </c>
      <c r="AP260" s="363"/>
      <c r="AQ260" s="493">
        <v>0.14997464007136829</v>
      </c>
      <c r="AR260" s="493">
        <v>0.87913682776479629</v>
      </c>
      <c r="AS260" s="374">
        <f t="shared" si="141"/>
        <v>0</v>
      </c>
      <c r="AT260" s="92">
        <v>16983</v>
      </c>
      <c r="AU260" s="92">
        <f t="shared" si="148"/>
        <v>23761</v>
      </c>
      <c r="AV260" s="859">
        <f>'Channel &amp; Campaign Metrics'!Z259</f>
        <v>40744</v>
      </c>
      <c r="AW260" s="455">
        <f t="shared" si="138"/>
        <v>5094.9000000000015</v>
      </c>
      <c r="AX260" s="455">
        <f t="shared" si="139"/>
        <v>7128.2999999999993</v>
      </c>
      <c r="AY260" s="386">
        <f t="shared" si="140"/>
        <v>12223.2</v>
      </c>
      <c r="AZ260" s="180">
        <f t="shared" si="152"/>
        <v>44155.949999999983</v>
      </c>
      <c r="BA260" s="449">
        <f t="shared" si="153"/>
        <v>61243.650000000009</v>
      </c>
      <c r="BB260" s="92">
        <v>66234</v>
      </c>
      <c r="BC260" s="92">
        <v>91598</v>
      </c>
      <c r="BD260" s="92">
        <f t="shared" si="149"/>
        <v>22077.9</v>
      </c>
      <c r="BE260" s="92">
        <f t="shared" si="150"/>
        <v>30889.3</v>
      </c>
      <c r="BF260" s="453">
        <f t="shared" si="154"/>
        <v>0.41893849692029178</v>
      </c>
      <c r="BG260" s="453">
        <f t="shared" si="155"/>
        <v>0.58106150307970816</v>
      </c>
      <c r="BH260" s="453">
        <f t="shared" si="156"/>
        <v>0.52455926377647188</v>
      </c>
      <c r="BI260" s="453">
        <f t="shared" si="157"/>
        <v>0.72543677632933645</v>
      </c>
      <c r="BJ260" s="453">
        <f t="shared" si="158"/>
        <v>0.41682210877675246</v>
      </c>
      <c r="BK260" s="453">
        <f t="shared" si="159"/>
        <v>0.58317789122324759</v>
      </c>
      <c r="BL260" s="840">
        <v>64388</v>
      </c>
      <c r="BM260" s="92">
        <v>94977</v>
      </c>
      <c r="BN260" s="386">
        <f t="shared" si="124"/>
        <v>159365</v>
      </c>
    </row>
    <row r="261" spans="1:68" ht="16.350000000000001" customHeight="1">
      <c r="A261" s="175">
        <f t="shared" si="106"/>
        <v>2025</v>
      </c>
      <c r="B261" s="454" t="str">
        <f t="shared" si="107"/>
        <v>47</v>
      </c>
      <c r="C261" s="454" t="str">
        <f t="array" ref="C261">_xlfn.IFS(_xlfn.NUMBERVALUE(B261)&lt;=13,"Q1",AND(_xlfn.NUMBERVALUE(B261)&gt;13,_xlfn.NUMBERVALUE(B261)&lt;=26),"Q2", AND(_xlfn.NUMBERVALUE(B261)&gt;26,_xlfn.NUMBERVALUE(B261)&lt;=39),"Q3",_xlfn.NUMBERVALUE(B261)&gt;39,"Q4")</f>
        <v>Q4</v>
      </c>
      <c r="D261" s="448">
        <f t="shared" si="125"/>
        <v>45640</v>
      </c>
      <c r="E261" s="448">
        <f t="shared" si="108"/>
        <v>45646</v>
      </c>
      <c r="F261" s="79">
        <v>202447</v>
      </c>
      <c r="G261" s="180">
        <f t="shared" si="109"/>
        <v>280694.85000000003</v>
      </c>
      <c r="H261" s="429">
        <f t="shared" si="142"/>
        <v>117362.40000000001</v>
      </c>
      <c r="I261" s="429">
        <f t="shared" si="143"/>
        <v>163332.45000000001</v>
      </c>
      <c r="J261" s="474">
        <f t="shared" si="110"/>
        <v>0.41811383429371785</v>
      </c>
      <c r="K261" s="474">
        <f t="shared" si="111"/>
        <v>0.58188616570628204</v>
      </c>
      <c r="L261" s="92">
        <f t="shared" si="144"/>
        <v>93564.950000000012</v>
      </c>
      <c r="M261" s="92">
        <v>97274</v>
      </c>
      <c r="N261" s="92">
        <f t="shared" si="145"/>
        <v>65536.900000000009</v>
      </c>
      <c r="O261" s="474">
        <f t="shared" si="112"/>
        <v>0.33333333333333331</v>
      </c>
      <c r="P261" s="474">
        <f t="shared" si="113"/>
        <v>0.34654714897690497</v>
      </c>
      <c r="Q261" s="474">
        <f t="shared" si="114"/>
        <v>0.23348094915172116</v>
      </c>
      <c r="R261" s="455">
        <f>Forecast!J256</f>
        <v>251348</v>
      </c>
      <c r="S261" s="455">
        <f>Forecast!N256</f>
        <v>267579</v>
      </c>
      <c r="T261" s="475">
        <f t="shared" si="115"/>
        <v>14938640.850000001</v>
      </c>
      <c r="U261" s="475">
        <f t="shared" si="116"/>
        <v>10720625</v>
      </c>
      <c r="V261" s="349">
        <f t="shared" si="117"/>
        <v>10408222</v>
      </c>
      <c r="W261" s="350">
        <f t="shared" si="118"/>
        <v>1873469</v>
      </c>
      <c r="X261" s="469">
        <f>'Channel &amp; Campaign Metrics'!AR260</f>
        <v>1238176</v>
      </c>
      <c r="Y261" s="469">
        <f>'Channel &amp; Campaign Metrics'!BS260</f>
        <v>635293</v>
      </c>
      <c r="Z261" s="476">
        <f t="shared" si="146"/>
        <v>1124081.3999999999</v>
      </c>
      <c r="AA261" s="476">
        <f t="shared" si="147"/>
        <v>749387.60000000009</v>
      </c>
      <c r="AB261" s="358">
        <f>'Glass Metrics'!AC261</f>
        <v>157815</v>
      </c>
      <c r="AC261" s="475">
        <f>'Glass Metrics'!I261</f>
        <v>132950</v>
      </c>
      <c r="AD261" s="469">
        <f>'Glass Metrics'!N261</f>
        <v>154156</v>
      </c>
      <c r="AE261" s="475">
        <f>'Glass Metrics'!S261</f>
        <v>151617</v>
      </c>
      <c r="AF261" s="359">
        <f t="shared" si="119"/>
        <v>0.96072616671419064</v>
      </c>
      <c r="AG261" s="477">
        <f t="shared" si="120"/>
        <v>0.87688056088697175</v>
      </c>
      <c r="AH261" s="472">
        <f t="shared" si="121"/>
        <v>1.1595035727717187</v>
      </c>
      <c r="AI261" s="360">
        <f t="shared" si="122"/>
        <v>1.778632259290942</v>
      </c>
      <c r="AJ261" s="363">
        <f t="shared" si="151"/>
        <v>0.1610779355007502</v>
      </c>
      <c r="AK261" s="478">
        <v>0.24026613455850179</v>
      </c>
      <c r="AL261" s="478">
        <v>6.7745429189915884E-2</v>
      </c>
      <c r="AM261" s="429">
        <v>75897</v>
      </c>
      <c r="AN261" s="429">
        <v>64395</v>
      </c>
      <c r="AO261" s="374">
        <f t="shared" si="137"/>
        <v>0.1610779355007502</v>
      </c>
      <c r="AP261" s="363">
        <f t="shared" ref="AP261:AP272" si="160">AVERAGE(AQ261:AR261)</f>
        <v>0.2257026136667564</v>
      </c>
      <c r="AQ261" s="493">
        <v>0.32910124770650218</v>
      </c>
      <c r="AR261" s="493">
        <v>0.1223039796270106</v>
      </c>
      <c r="AS261" s="374">
        <f t="shared" si="141"/>
        <v>0.2257026136667564</v>
      </c>
      <c r="AT261" s="92">
        <v>19732</v>
      </c>
      <c r="AU261" s="92">
        <f t="shared" si="148"/>
        <v>30681</v>
      </c>
      <c r="AV261" s="859">
        <f>'Channel &amp; Campaign Metrics'!Z260</f>
        <v>50413</v>
      </c>
      <c r="AW261" s="455">
        <f t="shared" si="138"/>
        <v>5919.6000000000022</v>
      </c>
      <c r="AX261" s="455">
        <f t="shared" si="139"/>
        <v>9204.3000000000029</v>
      </c>
      <c r="AY261" s="386">
        <f t="shared" si="140"/>
        <v>15123.900000000005</v>
      </c>
      <c r="AZ261" s="180">
        <f t="shared" si="152"/>
        <v>39120.800000000003</v>
      </c>
      <c r="BA261" s="449">
        <f t="shared" si="153"/>
        <v>54444.150000000009</v>
      </c>
      <c r="BB261" s="92">
        <v>52590</v>
      </c>
      <c r="BC261" s="92">
        <v>69003</v>
      </c>
      <c r="BD261" s="92">
        <f t="shared" si="149"/>
        <v>25651.600000000002</v>
      </c>
      <c r="BE261" s="92">
        <f t="shared" si="150"/>
        <v>39885.300000000003</v>
      </c>
      <c r="BF261" s="453">
        <f t="shared" si="154"/>
        <v>0.41811383429371785</v>
      </c>
      <c r="BG261" s="453">
        <f t="shared" si="155"/>
        <v>0.58188616570628215</v>
      </c>
      <c r="BH261" s="453">
        <f t="shared" si="156"/>
        <v>0.54063778604765922</v>
      </c>
      <c r="BI261" s="453">
        <f t="shared" si="157"/>
        <v>0.7093673540720028</v>
      </c>
      <c r="BJ261" s="453">
        <f t="shared" si="158"/>
        <v>0.39140697835875665</v>
      </c>
      <c r="BK261" s="453">
        <f t="shared" si="159"/>
        <v>0.60859302164124329</v>
      </c>
      <c r="BL261" s="840">
        <v>50070</v>
      </c>
      <c r="BM261" s="92">
        <v>77898</v>
      </c>
      <c r="BN261" s="386">
        <f t="shared" si="124"/>
        <v>127968</v>
      </c>
    </row>
    <row r="262" spans="1:68" ht="16.350000000000001" customHeight="1">
      <c r="A262" s="175">
        <f t="shared" si="106"/>
        <v>2025</v>
      </c>
      <c r="B262" s="454" t="str">
        <f t="shared" si="107"/>
        <v>48</v>
      </c>
      <c r="C262" s="454" t="str">
        <f t="array" ref="C262">_xlfn.IFS(_xlfn.NUMBERVALUE(B262)&lt;=13,"Q1",AND(_xlfn.NUMBERVALUE(B262)&gt;13,_xlfn.NUMBERVALUE(B262)&lt;=26),"Q2", AND(_xlfn.NUMBERVALUE(B262)&gt;26,_xlfn.NUMBERVALUE(B262)&lt;=39),"Q3",_xlfn.NUMBERVALUE(B262)&gt;39,"Q4")</f>
        <v>Q4</v>
      </c>
      <c r="D262" s="448">
        <f t="shared" si="125"/>
        <v>45647</v>
      </c>
      <c r="E262" s="448">
        <f t="shared" si="108"/>
        <v>45653</v>
      </c>
      <c r="F262" s="79">
        <v>202448</v>
      </c>
      <c r="G262" s="180">
        <f t="shared" si="109"/>
        <v>349283.85</v>
      </c>
      <c r="H262" s="429">
        <f t="shared" si="142"/>
        <v>148256.54999999999</v>
      </c>
      <c r="I262" s="429">
        <f t="shared" si="143"/>
        <v>201027.30000000002</v>
      </c>
      <c r="J262" s="474">
        <f t="shared" si="110"/>
        <v>0.42445864588357007</v>
      </c>
      <c r="K262" s="474">
        <f t="shared" si="111"/>
        <v>0.57554135411643004</v>
      </c>
      <c r="L262" s="92">
        <f t="shared" si="144"/>
        <v>116427.95</v>
      </c>
      <c r="M262" s="92">
        <v>136226</v>
      </c>
      <c r="N262" s="92">
        <f t="shared" si="145"/>
        <v>62572.900000000009</v>
      </c>
      <c r="O262" s="474">
        <f t="shared" si="112"/>
        <v>0.33333333333333337</v>
      </c>
      <c r="P262" s="474">
        <f t="shared" si="113"/>
        <v>0.39001516961061899</v>
      </c>
      <c r="Q262" s="474">
        <f t="shared" si="114"/>
        <v>0.1791462731529099</v>
      </c>
      <c r="R262" s="455">
        <f>Forecast!J257</f>
        <v>160891</v>
      </c>
      <c r="S262" s="455">
        <f>Forecast!N257</f>
        <v>178663</v>
      </c>
      <c r="T262" s="475">
        <f t="shared" si="115"/>
        <v>15287924.700000001</v>
      </c>
      <c r="U262" s="475">
        <f t="shared" si="116"/>
        <v>10881516</v>
      </c>
      <c r="V262" s="349">
        <f t="shared" si="117"/>
        <v>10586885</v>
      </c>
      <c r="W262" s="350">
        <f t="shared" si="118"/>
        <v>1759991</v>
      </c>
      <c r="X262" s="469">
        <f>'Channel &amp; Campaign Metrics'!AR261</f>
        <v>1182236</v>
      </c>
      <c r="Y262" s="469">
        <f>'Channel &amp; Campaign Metrics'!BS261</f>
        <v>577755</v>
      </c>
      <c r="Z262" s="476">
        <f t="shared" si="146"/>
        <v>1055994.5999999999</v>
      </c>
      <c r="AA262" s="476">
        <f t="shared" si="147"/>
        <v>703996.4</v>
      </c>
      <c r="AB262" s="358">
        <f>'Glass Metrics'!AC262</f>
        <v>108198</v>
      </c>
      <c r="AC262" s="475">
        <f>'Glass Metrics'!I262</f>
        <v>159226</v>
      </c>
      <c r="AD262" s="469">
        <f>'Glass Metrics'!N262</f>
        <v>147533</v>
      </c>
      <c r="AE262" s="475">
        <f>'Glass Metrics'!S262</f>
        <v>165857</v>
      </c>
      <c r="AF262" s="359">
        <f t="shared" si="119"/>
        <v>1.5329026414536313</v>
      </c>
      <c r="AG262" s="477">
        <f t="shared" si="120"/>
        <v>0.96001977607215849</v>
      </c>
      <c r="AH262" s="472">
        <f t="shared" si="121"/>
        <v>0.92656350093577677</v>
      </c>
      <c r="AI262" s="360">
        <f t="shared" si="122"/>
        <v>3.2281913713747019</v>
      </c>
      <c r="AJ262" s="363">
        <f t="shared" si="151"/>
        <v>0.80982079137310115</v>
      </c>
      <c r="AK262" s="478">
        <v>0.89394557074930248</v>
      </c>
      <c r="AL262" s="478">
        <v>0.70374848822723146</v>
      </c>
      <c r="AM262" s="429">
        <v>66937</v>
      </c>
      <c r="AN262" s="429">
        <v>53087</v>
      </c>
      <c r="AO262" s="374">
        <f t="shared" si="137"/>
        <v>0.80982079137310115</v>
      </c>
      <c r="AP262" s="363">
        <f t="shared" si="160"/>
        <v>0.45217675627669074</v>
      </c>
      <c r="AQ262" s="493">
        <v>0.63645023979090842</v>
      </c>
      <c r="AR262" s="493">
        <v>0.26790327276247311</v>
      </c>
      <c r="AS262" s="374">
        <f t="shared" si="141"/>
        <v>0.45217675627669074</v>
      </c>
      <c r="AT262" s="92">
        <v>16639</v>
      </c>
      <c r="AU262" s="92">
        <f t="shared" si="148"/>
        <v>31494</v>
      </c>
      <c r="AV262" s="859">
        <f>'Channel &amp; Campaign Metrics'!Z261</f>
        <v>48133</v>
      </c>
      <c r="AW262" s="455">
        <f t="shared" si="138"/>
        <v>4991.7000000000007</v>
      </c>
      <c r="AX262" s="455">
        <f t="shared" si="139"/>
        <v>9448.2000000000044</v>
      </c>
      <c r="AY262" s="386">
        <f t="shared" si="140"/>
        <v>14439.900000000005</v>
      </c>
      <c r="AZ262" s="180">
        <f t="shared" si="152"/>
        <v>49418.849999999991</v>
      </c>
      <c r="BA262" s="449">
        <f t="shared" si="153"/>
        <v>67009.100000000006</v>
      </c>
      <c r="BB262" s="92">
        <v>77207</v>
      </c>
      <c r="BC262" s="92">
        <v>93076</v>
      </c>
      <c r="BD262" s="92">
        <f t="shared" si="149"/>
        <v>21630.7</v>
      </c>
      <c r="BE262" s="92">
        <f t="shared" si="150"/>
        <v>40942.200000000004</v>
      </c>
      <c r="BF262" s="453">
        <f t="shared" si="154"/>
        <v>0.42445864588356996</v>
      </c>
      <c r="BG262" s="453">
        <f t="shared" si="155"/>
        <v>0.57554135411643004</v>
      </c>
      <c r="BH262" s="453">
        <f t="shared" si="156"/>
        <v>0.56675671310909814</v>
      </c>
      <c r="BI262" s="453">
        <f t="shared" si="157"/>
        <v>0.68324695726219664</v>
      </c>
      <c r="BJ262" s="453">
        <f t="shared" si="158"/>
        <v>0.34568798952901331</v>
      </c>
      <c r="BK262" s="453">
        <f t="shared" si="159"/>
        <v>0.65431201047098664</v>
      </c>
      <c r="BL262" s="840">
        <v>76112</v>
      </c>
      <c r="BM262" s="92">
        <v>52793</v>
      </c>
      <c r="BN262" s="386">
        <f t="shared" si="124"/>
        <v>128905</v>
      </c>
    </row>
    <row r="263" spans="1:68" ht="16.350000000000001" customHeight="1">
      <c r="A263" s="175">
        <f t="shared" ref="A263:A319" si="161">LEFT(F263,4)+1</f>
        <v>2025</v>
      </c>
      <c r="B263" s="454" t="str">
        <f t="shared" ref="B263:B319" si="162">RIGHT(F263,2)</f>
        <v>49</v>
      </c>
      <c r="C263" s="454" t="str">
        <f t="array" ref="C263">_xlfn.IFS(_xlfn.NUMBERVALUE(B263)&lt;=13,"Q1",AND(_xlfn.NUMBERVALUE(B263)&gt;13,_xlfn.NUMBERVALUE(B263)&lt;=26),"Q2", AND(_xlfn.NUMBERVALUE(B263)&gt;26,_xlfn.NUMBERVALUE(B263)&lt;=39),"Q3",_xlfn.NUMBERVALUE(B263)&gt;39,"Q4")</f>
        <v>Q4</v>
      </c>
      <c r="D263" s="448">
        <f t="shared" si="125"/>
        <v>45654</v>
      </c>
      <c r="E263" s="448">
        <f t="shared" ref="E263:E319" si="163">D263+6</f>
        <v>45660</v>
      </c>
      <c r="F263" s="79">
        <v>202449</v>
      </c>
      <c r="G263" s="180">
        <f t="shared" ref="G263:G319" si="164">SUM(H263:I263)</f>
        <v>267546.3</v>
      </c>
      <c r="H263" s="429">
        <f t="shared" si="142"/>
        <v>116969.54999999999</v>
      </c>
      <c r="I263" s="429">
        <f t="shared" si="143"/>
        <v>150576.75</v>
      </c>
      <c r="J263" s="474">
        <f t="shared" ref="J263:J319" si="165">IFERROR(H263/G263,0)</f>
        <v>0.43719367451540159</v>
      </c>
      <c r="K263" s="474">
        <f t="shared" ref="K263:K319" si="166">IFERROR(I263/G263,0)</f>
        <v>0.56280632548459841</v>
      </c>
      <c r="L263" s="92">
        <f t="shared" si="144"/>
        <v>89182.099999999991</v>
      </c>
      <c r="M263" s="92">
        <v>89023</v>
      </c>
      <c r="N263" s="92">
        <f t="shared" si="145"/>
        <v>67085.2</v>
      </c>
      <c r="O263" s="474">
        <f t="shared" ref="O263:O319" si="167">IFERROR(L263/$G263,0)</f>
        <v>0.33333333333333331</v>
      </c>
      <c r="P263" s="474">
        <f t="shared" ref="P263:P319" si="168">IFERROR(M263/$G263,0)</f>
        <v>0.33273866990498469</v>
      </c>
      <c r="Q263" s="474">
        <f t="shared" ref="Q263:Q319" si="169">IFERROR(N263/$G263,0)</f>
        <v>0.25074239486772942</v>
      </c>
      <c r="R263" s="455">
        <f>Forecast!J258</f>
        <v>211710</v>
      </c>
      <c r="S263" s="455">
        <f>Forecast!N258</f>
        <v>265998</v>
      </c>
      <c r="T263" s="475">
        <f t="shared" ref="T263:T319" si="170">IF(OR(RIGHT(F263,2) = "01",G263 = 0),G263,T262+G263)</f>
        <v>15555471.000000002</v>
      </c>
      <c r="U263" s="475">
        <f t="shared" ref="U263:U319" si="171">IF(RIGHT(F263,2)="01",R263,R263+U262)</f>
        <v>11093226</v>
      </c>
      <c r="V263" s="349">
        <f t="shared" ref="V263:V319" si="172">IF(RIGHT(F263,2)="01",S263,S263+V262)</f>
        <v>10852883</v>
      </c>
      <c r="W263" s="350">
        <f t="shared" ref="W263:W272" si="173">X263+Y263</f>
        <v>1914267</v>
      </c>
      <c r="X263" s="469">
        <f>'Channel &amp; Campaign Metrics'!AR262</f>
        <v>1268734</v>
      </c>
      <c r="Y263" s="469">
        <f>'Channel &amp; Campaign Metrics'!BS262</f>
        <v>645533</v>
      </c>
      <c r="Z263" s="476">
        <f t="shared" si="146"/>
        <v>1148560.2</v>
      </c>
      <c r="AA263" s="476">
        <f t="shared" si="147"/>
        <v>765706.8</v>
      </c>
      <c r="AB263" s="358">
        <f>'Glass Metrics'!AC263</f>
        <v>186469</v>
      </c>
      <c r="AC263" s="475">
        <f>'Glass Metrics'!I263</f>
        <v>142713</v>
      </c>
      <c r="AD263" s="469">
        <f>'Glass Metrics'!N263</f>
        <v>193959</v>
      </c>
      <c r="AE263" s="475">
        <f>'Glass Metrics'!S263</f>
        <v>147865</v>
      </c>
      <c r="AF263" s="359">
        <f t="shared" ref="AF263:AF319" si="174">IFERROR(AE263/AB263,"")</f>
        <v>0.79297363100568996</v>
      </c>
      <c r="AG263" s="477">
        <f t="shared" ref="AG263:AG319" si="175">IFERROR(AC263/AE263,"")</f>
        <v>0.96515740709430897</v>
      </c>
      <c r="AH263" s="472">
        <f t="shared" ref="AH263:AH319" si="176">IFERROR(AD263/AC263,"")</f>
        <v>1.3590843160749195</v>
      </c>
      <c r="AI263" s="360">
        <f t="shared" ref="AI263:AI319" si="177">IFERROR(G263/AB263,"")</f>
        <v>1.4348031040012013</v>
      </c>
      <c r="AJ263" s="363">
        <f t="shared" si="151"/>
        <v>0.35298281002040832</v>
      </c>
      <c r="AK263" s="478">
        <v>0.16895757642804149</v>
      </c>
      <c r="AL263" s="478">
        <v>0.63246038440133923</v>
      </c>
      <c r="AM263" s="429">
        <v>79950</v>
      </c>
      <c r="AN263" s="429">
        <v>52644</v>
      </c>
      <c r="AO263" s="374">
        <f t="shared" si="137"/>
        <v>0.35298281002040832</v>
      </c>
      <c r="AP263" s="363">
        <f t="shared" si="160"/>
        <v>0.33028967727072855</v>
      </c>
      <c r="AQ263" s="493">
        <v>4.3106826183461067E-2</v>
      </c>
      <c r="AR263" s="493">
        <v>0.61747252835799604</v>
      </c>
      <c r="AS263" s="374">
        <f t="shared" si="141"/>
        <v>0.33028967727072855</v>
      </c>
      <c r="AT263" s="92">
        <v>19209</v>
      </c>
      <c r="AU263" s="92">
        <f t="shared" si="148"/>
        <v>32395</v>
      </c>
      <c r="AV263" s="859">
        <f>'Channel &amp; Campaign Metrics'!Z262</f>
        <v>51604</v>
      </c>
      <c r="AW263" s="455">
        <f t="shared" si="138"/>
        <v>5762.7000000000007</v>
      </c>
      <c r="AX263" s="455">
        <f t="shared" si="139"/>
        <v>9718.5</v>
      </c>
      <c r="AY263" s="386">
        <f t="shared" si="140"/>
        <v>15481.2</v>
      </c>
      <c r="AZ263" s="180">
        <f t="shared" si="152"/>
        <v>38989.849999999991</v>
      </c>
      <c r="BA263" s="449">
        <f t="shared" si="153"/>
        <v>50192.25</v>
      </c>
      <c r="BB263" s="92">
        <v>53008</v>
      </c>
      <c r="BC263" s="92">
        <v>58271</v>
      </c>
      <c r="BD263" s="92">
        <f t="shared" si="149"/>
        <v>24971.7</v>
      </c>
      <c r="BE263" s="92">
        <f t="shared" si="150"/>
        <v>42113.5</v>
      </c>
      <c r="BF263" s="453">
        <f t="shared" si="154"/>
        <v>0.43719367451540159</v>
      </c>
      <c r="BG263" s="453">
        <f t="shared" si="155"/>
        <v>0.56280632548459841</v>
      </c>
      <c r="BH263" s="453">
        <f t="shared" si="156"/>
        <v>0.59544162744459295</v>
      </c>
      <c r="BI263" s="453">
        <f t="shared" si="157"/>
        <v>0.65456118081844017</v>
      </c>
      <c r="BJ263" s="453">
        <f t="shared" si="158"/>
        <v>0.37223858615611194</v>
      </c>
      <c r="BK263" s="453">
        <f t="shared" si="159"/>
        <v>0.62776141384388806</v>
      </c>
      <c r="BL263" s="840">
        <v>55490</v>
      </c>
      <c r="BM263" s="92">
        <v>71620</v>
      </c>
      <c r="BN263" s="386">
        <f t="shared" ref="BN263:BN319" si="178">SUM(BL263:BM263)</f>
        <v>127110</v>
      </c>
    </row>
    <row r="264" spans="1:68" ht="16.350000000000001" customHeight="1">
      <c r="A264" s="175">
        <f t="shared" si="161"/>
        <v>2025</v>
      </c>
      <c r="B264" s="454" t="str">
        <f t="shared" si="162"/>
        <v>50</v>
      </c>
      <c r="C264" s="454" t="str">
        <f t="array" ref="C264">_xlfn.IFS(_xlfn.NUMBERVALUE(B264)&lt;=13,"Q1",AND(_xlfn.NUMBERVALUE(B264)&gt;13,_xlfn.NUMBERVALUE(B264)&lt;=26),"Q2", AND(_xlfn.NUMBERVALUE(B264)&gt;26,_xlfn.NUMBERVALUE(B264)&lt;=39),"Q3",_xlfn.NUMBERVALUE(B264)&gt;39,"Q4")</f>
        <v>Q4</v>
      </c>
      <c r="D264" s="448">
        <f t="shared" ref="D264:D319" si="179">E263+1</f>
        <v>45661</v>
      </c>
      <c r="E264" s="448">
        <f t="shared" si="163"/>
        <v>45667</v>
      </c>
      <c r="F264" s="79">
        <v>202450</v>
      </c>
      <c r="G264" s="180">
        <f t="shared" si="164"/>
        <v>284680.95</v>
      </c>
      <c r="H264" s="429">
        <f t="shared" si="142"/>
        <v>140398.5</v>
      </c>
      <c r="I264" s="429">
        <f t="shared" si="143"/>
        <v>144282.45000000001</v>
      </c>
      <c r="J264" s="474">
        <f t="shared" si="165"/>
        <v>0.49317841604785989</v>
      </c>
      <c r="K264" s="474">
        <f t="shared" si="166"/>
        <v>0.50682158395214016</v>
      </c>
      <c r="L264" s="92">
        <f t="shared" si="144"/>
        <v>94893.650000000009</v>
      </c>
      <c r="M264" s="92">
        <v>105923</v>
      </c>
      <c r="N264" s="92">
        <f t="shared" si="145"/>
        <v>57383.3</v>
      </c>
      <c r="O264" s="474">
        <f t="shared" si="167"/>
        <v>0.33333333333333337</v>
      </c>
      <c r="P264" s="474">
        <f t="shared" si="168"/>
        <v>0.37207617861328618</v>
      </c>
      <c r="Q264" s="474">
        <f t="shared" si="169"/>
        <v>0.20157056522398145</v>
      </c>
      <c r="R264" s="455">
        <f>Forecast!J259</f>
        <v>243228</v>
      </c>
      <c r="S264" s="455">
        <f>Forecast!N259</f>
        <v>253788</v>
      </c>
      <c r="T264" s="475">
        <f t="shared" si="170"/>
        <v>15840151.950000001</v>
      </c>
      <c r="U264" s="475">
        <f t="shared" si="171"/>
        <v>11336454</v>
      </c>
      <c r="V264" s="349">
        <f t="shared" si="172"/>
        <v>11106671</v>
      </c>
      <c r="W264" s="350">
        <f t="shared" si="173"/>
        <v>1850926</v>
      </c>
      <c r="X264" s="469">
        <f>'Channel &amp; Campaign Metrics'!AR263</f>
        <v>1218263</v>
      </c>
      <c r="Y264" s="469">
        <f>'Channel &amp; Campaign Metrics'!BS263</f>
        <v>632663</v>
      </c>
      <c r="Z264" s="476">
        <f t="shared" si="146"/>
        <v>1110555.5999999999</v>
      </c>
      <c r="AA264" s="476">
        <f t="shared" si="147"/>
        <v>740370.4</v>
      </c>
      <c r="AB264" s="358">
        <f>'Glass Metrics'!AC264</f>
        <v>123452</v>
      </c>
      <c r="AC264" s="475">
        <f>'Glass Metrics'!I264</f>
        <v>145797</v>
      </c>
      <c r="AD264" s="469">
        <f>'Glass Metrics'!N264</f>
        <v>153718</v>
      </c>
      <c r="AE264" s="475">
        <f>'Glass Metrics'!S264</f>
        <v>171159</v>
      </c>
      <c r="AF264" s="359">
        <f t="shared" si="174"/>
        <v>1.3864416939377249</v>
      </c>
      <c r="AG264" s="477">
        <f t="shared" si="175"/>
        <v>0.85182199007939985</v>
      </c>
      <c r="AH264" s="472">
        <f t="shared" si="176"/>
        <v>1.0543289642448062</v>
      </c>
      <c r="AI264" s="360">
        <f t="shared" si="177"/>
        <v>2.3060051680005187</v>
      </c>
      <c r="AJ264" s="363">
        <f t="shared" si="151"/>
        <v>0.43925729020045573</v>
      </c>
      <c r="AK264" s="478">
        <v>0.23540444153653159</v>
      </c>
      <c r="AL264" s="478">
        <v>0.66861859698374626</v>
      </c>
      <c r="AM264" s="429">
        <v>58724</v>
      </c>
      <c r="AN264" s="429">
        <v>52193</v>
      </c>
      <c r="AO264" s="374">
        <f t="shared" si="137"/>
        <v>0.43925729020045573</v>
      </c>
      <c r="AP264" s="363">
        <f t="shared" si="160"/>
        <v>0.47437756898929639</v>
      </c>
      <c r="AQ264" s="493">
        <v>0.85494808171317482</v>
      </c>
      <c r="AR264" s="493">
        <v>9.3807056265417965E-2</v>
      </c>
      <c r="AS264" s="374">
        <f t="shared" si="141"/>
        <v>0.47437756898929639</v>
      </c>
      <c r="AT264" s="92">
        <v>14700</v>
      </c>
      <c r="AU264" s="92">
        <f t="shared" si="148"/>
        <v>29441</v>
      </c>
      <c r="AV264" s="859">
        <f>'Channel &amp; Campaign Metrics'!Z263</f>
        <v>44141</v>
      </c>
      <c r="AW264" s="455">
        <f t="shared" si="138"/>
        <v>4410</v>
      </c>
      <c r="AX264" s="455">
        <f t="shared" si="139"/>
        <v>8832.3000000000029</v>
      </c>
      <c r="AY264" s="386">
        <f t="shared" si="140"/>
        <v>13242.300000000003</v>
      </c>
      <c r="AZ264" s="180">
        <f t="shared" si="152"/>
        <v>46799.5</v>
      </c>
      <c r="BA264" s="449">
        <f t="shared" si="153"/>
        <v>48094.150000000009</v>
      </c>
      <c r="BB264" s="92">
        <v>74489</v>
      </c>
      <c r="BC264" s="92">
        <v>57915</v>
      </c>
      <c r="BD264" s="92">
        <f t="shared" si="149"/>
        <v>19110</v>
      </c>
      <c r="BE264" s="92">
        <f t="shared" si="150"/>
        <v>38273.300000000003</v>
      </c>
      <c r="BF264" s="453">
        <f t="shared" si="154"/>
        <v>0.49317841604785984</v>
      </c>
      <c r="BG264" s="453">
        <f t="shared" si="155"/>
        <v>0.50682158395214016</v>
      </c>
      <c r="BH264" s="453">
        <f t="shared" si="156"/>
        <v>0.70323725725291009</v>
      </c>
      <c r="BI264" s="453">
        <f t="shared" si="157"/>
        <v>0.54676510295214453</v>
      </c>
      <c r="BJ264" s="453">
        <f t="shared" si="158"/>
        <v>0.33302371944450737</v>
      </c>
      <c r="BK264" s="453">
        <f t="shared" si="159"/>
        <v>0.66697628055549263</v>
      </c>
      <c r="BL264" s="840">
        <v>71908</v>
      </c>
      <c r="BM264" s="92">
        <v>76577</v>
      </c>
      <c r="BN264" s="386">
        <f t="shared" si="178"/>
        <v>148485</v>
      </c>
    </row>
    <row r="265" spans="1:68" ht="16.350000000000001" customHeight="1">
      <c r="A265" s="175">
        <f t="shared" si="161"/>
        <v>2025</v>
      </c>
      <c r="B265" s="454" t="str">
        <f t="shared" si="162"/>
        <v>51</v>
      </c>
      <c r="C265" s="454" t="str">
        <f t="array" ref="C265">_xlfn.IFS(_xlfn.NUMBERVALUE(B265)&lt;=13,"Q1",AND(_xlfn.NUMBERVALUE(B265)&gt;13,_xlfn.NUMBERVALUE(B265)&lt;=26),"Q2", AND(_xlfn.NUMBERVALUE(B265)&gt;26,_xlfn.NUMBERVALUE(B265)&lt;=39),"Q3",_xlfn.NUMBERVALUE(B265)&gt;39,"Q4")</f>
        <v>Q4</v>
      </c>
      <c r="D265" s="448">
        <f t="shared" si="179"/>
        <v>45668</v>
      </c>
      <c r="E265" s="448">
        <f t="shared" si="163"/>
        <v>45674</v>
      </c>
      <c r="F265" s="79">
        <v>202451</v>
      </c>
      <c r="G265" s="180">
        <f t="shared" si="164"/>
        <v>299101.95</v>
      </c>
      <c r="H265" s="429">
        <f t="shared" si="142"/>
        <v>142549.79999999999</v>
      </c>
      <c r="I265" s="429">
        <f t="shared" si="143"/>
        <v>156552.15000000002</v>
      </c>
      <c r="J265" s="474">
        <f t="shared" si="165"/>
        <v>0.47659268018814316</v>
      </c>
      <c r="K265" s="474">
        <f t="shared" si="166"/>
        <v>0.52340731981185684</v>
      </c>
      <c r="L265" s="92">
        <f t="shared" si="144"/>
        <v>99700.650000000009</v>
      </c>
      <c r="M265" s="92">
        <v>103308</v>
      </c>
      <c r="N265" s="92">
        <f t="shared" si="145"/>
        <v>70266.3</v>
      </c>
      <c r="O265" s="474">
        <f t="shared" si="167"/>
        <v>0.33333333333333337</v>
      </c>
      <c r="P265" s="474">
        <f t="shared" si="168"/>
        <v>0.34539393674966007</v>
      </c>
      <c r="Q265" s="474">
        <f t="shared" si="169"/>
        <v>0.23492424572959153</v>
      </c>
      <c r="R265" s="455">
        <f>Forecast!J260</f>
        <v>211156</v>
      </c>
      <c r="S265" s="455">
        <f>Forecast!N260</f>
        <v>274114</v>
      </c>
      <c r="T265" s="475">
        <f t="shared" si="170"/>
        <v>16139253.9</v>
      </c>
      <c r="U265" s="475">
        <f t="shared" si="171"/>
        <v>11547610</v>
      </c>
      <c r="V265" s="349">
        <f t="shared" si="172"/>
        <v>11380785</v>
      </c>
      <c r="W265" s="350">
        <f t="shared" si="173"/>
        <v>1755796</v>
      </c>
      <c r="X265" s="469">
        <f>'Channel &amp; Campaign Metrics'!AR264</f>
        <v>1225069</v>
      </c>
      <c r="Y265" s="469">
        <f>'Channel &amp; Campaign Metrics'!BS264</f>
        <v>530727</v>
      </c>
      <c r="Z265" s="476">
        <f t="shared" si="146"/>
        <v>1053477.5999999999</v>
      </c>
      <c r="AA265" s="476">
        <f t="shared" si="147"/>
        <v>702318.4</v>
      </c>
      <c r="AB265" s="358">
        <f>'Glass Metrics'!AC265</f>
        <v>161043</v>
      </c>
      <c r="AC265" s="475">
        <f>'Glass Metrics'!I265</f>
        <v>148889</v>
      </c>
      <c r="AD265" s="469">
        <f>'Glass Metrics'!N265</f>
        <v>123796</v>
      </c>
      <c r="AE265" s="475">
        <f>'Glass Metrics'!S265</f>
        <v>148481</v>
      </c>
      <c r="AF265" s="359">
        <f t="shared" si="174"/>
        <v>0.92199598864899435</v>
      </c>
      <c r="AG265" s="477">
        <f t="shared" si="175"/>
        <v>1.0027478263212128</v>
      </c>
      <c r="AH265" s="472">
        <f t="shared" si="176"/>
        <v>0.83146505114548419</v>
      </c>
      <c r="AI265" s="360">
        <f t="shared" si="177"/>
        <v>1.857280043218271</v>
      </c>
      <c r="AJ265" s="363">
        <f t="shared" si="151"/>
        <v>0.56151134233004829</v>
      </c>
      <c r="AK265" s="478">
        <v>0.3255353740595146</v>
      </c>
      <c r="AL265" s="478">
        <v>0.76578869639927116</v>
      </c>
      <c r="AM265" s="429">
        <v>52296</v>
      </c>
      <c r="AN265" s="429">
        <v>60411</v>
      </c>
      <c r="AO265" s="374">
        <f t="shared" si="137"/>
        <v>0.56151134233004829</v>
      </c>
      <c r="AP265" s="363">
        <f t="shared" si="160"/>
        <v>0.44586440253187887</v>
      </c>
      <c r="AQ265" s="493">
        <v>0.18816079426264071</v>
      </c>
      <c r="AR265" s="493">
        <v>0.70356801080111708</v>
      </c>
      <c r="AS265" s="374">
        <f t="shared" si="141"/>
        <v>0.44586440253187887</v>
      </c>
      <c r="AT265" s="92">
        <v>13914</v>
      </c>
      <c r="AU265" s="92">
        <f t="shared" si="148"/>
        <v>40137</v>
      </c>
      <c r="AV265" s="859">
        <f>'Channel &amp; Campaign Metrics'!Z264</f>
        <v>54051</v>
      </c>
      <c r="AW265" s="455">
        <f t="shared" si="138"/>
        <v>4174.2000000000007</v>
      </c>
      <c r="AX265" s="455">
        <f t="shared" si="139"/>
        <v>12041.099999999999</v>
      </c>
      <c r="AY265" s="386">
        <f t="shared" si="140"/>
        <v>16215.3</v>
      </c>
      <c r="AZ265" s="180">
        <f t="shared" si="152"/>
        <v>47516.599999999991</v>
      </c>
      <c r="BA265" s="449">
        <f t="shared" si="153"/>
        <v>52184.050000000017</v>
      </c>
      <c r="BB265" s="92">
        <v>76945</v>
      </c>
      <c r="BC265" s="92">
        <v>52190</v>
      </c>
      <c r="BD265" s="92">
        <f t="shared" si="149"/>
        <v>18088.2</v>
      </c>
      <c r="BE265" s="92">
        <f t="shared" si="150"/>
        <v>52178.1</v>
      </c>
      <c r="BF265" s="453">
        <f t="shared" si="154"/>
        <v>0.4765926801881431</v>
      </c>
      <c r="BG265" s="453">
        <f t="shared" si="155"/>
        <v>0.52340731981185695</v>
      </c>
      <c r="BH265" s="453">
        <f t="shared" si="156"/>
        <v>0.74481163123862626</v>
      </c>
      <c r="BI265" s="453">
        <f t="shared" si="157"/>
        <v>0.50518836876137374</v>
      </c>
      <c r="BJ265" s="453">
        <f t="shared" si="158"/>
        <v>0.25742354443026033</v>
      </c>
      <c r="BK265" s="453">
        <f t="shared" si="159"/>
        <v>0.74257645556973961</v>
      </c>
      <c r="BL265" s="840">
        <v>81608</v>
      </c>
      <c r="BM265" s="92">
        <v>68460</v>
      </c>
      <c r="BN265" s="386">
        <f t="shared" si="178"/>
        <v>150068</v>
      </c>
    </row>
    <row r="266" spans="1:68" ht="16.350000000000001" customHeight="1">
      <c r="A266" s="175">
        <f t="shared" si="161"/>
        <v>2025</v>
      </c>
      <c r="B266" s="454" t="str">
        <f t="shared" si="162"/>
        <v>52</v>
      </c>
      <c r="C266" s="454" t="str">
        <f t="array" ref="C266">_xlfn.IFS(_xlfn.NUMBERVALUE(B266)&lt;=13,"Q1",AND(_xlfn.NUMBERVALUE(B266)&gt;13,_xlfn.NUMBERVALUE(B266)&lt;=26),"Q2", AND(_xlfn.NUMBERVALUE(B266)&gt;26,_xlfn.NUMBERVALUE(B266)&lt;=39),"Q3",_xlfn.NUMBERVALUE(B266)&gt;39,"Q4")</f>
        <v>Q4</v>
      </c>
      <c r="D266" s="448">
        <f t="shared" si="179"/>
        <v>45675</v>
      </c>
      <c r="E266" s="448">
        <f t="shared" si="163"/>
        <v>45681</v>
      </c>
      <c r="F266" s="79">
        <v>202452</v>
      </c>
      <c r="G266" s="180">
        <f t="shared" si="164"/>
        <v>289992.75</v>
      </c>
      <c r="H266" s="429">
        <f t="shared" si="142"/>
        <v>128250</v>
      </c>
      <c r="I266" s="429">
        <f t="shared" si="143"/>
        <v>161742.75</v>
      </c>
      <c r="J266" s="474">
        <f t="shared" si="165"/>
        <v>0.44225243562123534</v>
      </c>
      <c r="K266" s="474">
        <f t="shared" si="166"/>
        <v>0.5577475643787646</v>
      </c>
      <c r="L266" s="92">
        <f t="shared" si="144"/>
        <v>96664.25</v>
      </c>
      <c r="M266" s="92">
        <v>104228</v>
      </c>
      <c r="N266" s="92">
        <f t="shared" si="145"/>
        <v>63043.5</v>
      </c>
      <c r="O266" s="474">
        <f t="shared" si="167"/>
        <v>0.33333333333333331</v>
      </c>
      <c r="P266" s="474">
        <f t="shared" si="168"/>
        <v>0.35941588194877283</v>
      </c>
      <c r="Q266" s="474">
        <f t="shared" si="169"/>
        <v>0.21739681423070059</v>
      </c>
      <c r="R266" s="455">
        <f>Forecast!J261</f>
        <v>198621</v>
      </c>
      <c r="S266" s="455">
        <f>Forecast!N261</f>
        <v>251812</v>
      </c>
      <c r="T266" s="475">
        <f t="shared" si="170"/>
        <v>16429246.65</v>
      </c>
      <c r="U266" s="475">
        <f t="shared" si="171"/>
        <v>11746231</v>
      </c>
      <c r="V266" s="349">
        <f t="shared" si="172"/>
        <v>11632597</v>
      </c>
      <c r="W266" s="350">
        <f t="shared" si="173"/>
        <v>1780228</v>
      </c>
      <c r="X266" s="469">
        <f>'Channel &amp; Campaign Metrics'!AR265</f>
        <v>1182991</v>
      </c>
      <c r="Y266" s="469">
        <f>'Channel &amp; Campaign Metrics'!BS265</f>
        <v>597237</v>
      </c>
      <c r="Z266" s="476">
        <f t="shared" si="146"/>
        <v>1068136.8</v>
      </c>
      <c r="AA266" s="476">
        <f t="shared" si="147"/>
        <v>712091.20000000007</v>
      </c>
      <c r="AB266" s="358">
        <f>'Glass Metrics'!AC266</f>
        <v>115294</v>
      </c>
      <c r="AC266" s="475">
        <f>'Glass Metrics'!I266</f>
        <v>153981</v>
      </c>
      <c r="AD266" s="469">
        <f>'Glass Metrics'!N266</f>
        <v>146588</v>
      </c>
      <c r="AE266" s="475">
        <f>'Glass Metrics'!S266</f>
        <v>153399</v>
      </c>
      <c r="AF266" s="359">
        <f t="shared" si="174"/>
        <v>1.3305028882682532</v>
      </c>
      <c r="AG266" s="477">
        <f t="shared" si="175"/>
        <v>1.0037940273404651</v>
      </c>
      <c r="AH266" s="472">
        <f t="shared" si="176"/>
        <v>0.95198758288360252</v>
      </c>
      <c r="AI266" s="360">
        <f t="shared" si="177"/>
        <v>2.5152458063732719</v>
      </c>
      <c r="AJ266" s="363">
        <f t="shared" si="151"/>
        <v>0.75712619097222567</v>
      </c>
      <c r="AK266" s="478">
        <v>0.78517896715002966</v>
      </c>
      <c r="AL266" s="478">
        <v>0.73460173200608159</v>
      </c>
      <c r="AM266" s="429">
        <v>52971</v>
      </c>
      <c r="AN266" s="429">
        <v>65972</v>
      </c>
      <c r="AO266" s="374">
        <f t="shared" si="137"/>
        <v>0.75712619097222567</v>
      </c>
      <c r="AP266" s="363">
        <f t="shared" si="160"/>
        <v>0.55116722865492285</v>
      </c>
      <c r="AQ266" s="493">
        <v>0.1596890664231719</v>
      </c>
      <c r="AR266" s="493">
        <v>0.94264539088667376</v>
      </c>
      <c r="AS266" s="374">
        <f t="shared" si="141"/>
        <v>0.55116722865492285</v>
      </c>
      <c r="AT266" s="92">
        <v>12520</v>
      </c>
      <c r="AU266" s="92">
        <f t="shared" si="148"/>
        <v>35975</v>
      </c>
      <c r="AV266" s="859">
        <f>'Channel &amp; Campaign Metrics'!Z265</f>
        <v>48495</v>
      </c>
      <c r="AW266" s="455">
        <f t="shared" si="138"/>
        <v>3756</v>
      </c>
      <c r="AX266" s="455">
        <f t="shared" si="139"/>
        <v>10792.5</v>
      </c>
      <c r="AY266" s="386">
        <f t="shared" si="140"/>
        <v>14548.5</v>
      </c>
      <c r="AZ266" s="180">
        <f t="shared" si="152"/>
        <v>42750</v>
      </c>
      <c r="BA266" s="449">
        <f t="shared" si="153"/>
        <v>53914.25</v>
      </c>
      <c r="BB266" s="92">
        <v>69224</v>
      </c>
      <c r="BC266" s="92">
        <v>61061</v>
      </c>
      <c r="BD266" s="92">
        <f t="shared" si="149"/>
        <v>16276</v>
      </c>
      <c r="BE266" s="92">
        <f t="shared" si="150"/>
        <v>46767.5</v>
      </c>
      <c r="BF266" s="453">
        <f t="shared" si="154"/>
        <v>0.44225243562123534</v>
      </c>
      <c r="BG266" s="453">
        <f t="shared" si="155"/>
        <v>0.5577475643787646</v>
      </c>
      <c r="BH266" s="453">
        <f t="shared" si="156"/>
        <v>0.66415934297885404</v>
      </c>
      <c r="BI266" s="453">
        <f t="shared" si="157"/>
        <v>0.58584065702114596</v>
      </c>
      <c r="BJ266" s="453">
        <f t="shared" si="158"/>
        <v>0.25817094545829467</v>
      </c>
      <c r="BK266" s="453">
        <f t="shared" si="159"/>
        <v>0.74182905454170533</v>
      </c>
      <c r="BL266" s="840">
        <v>73196</v>
      </c>
      <c r="BM266" s="92">
        <v>95771</v>
      </c>
      <c r="BN266" s="386">
        <f t="shared" si="178"/>
        <v>168967</v>
      </c>
    </row>
    <row r="267" spans="1:68" ht="16.5" customHeight="1">
      <c r="A267" s="175">
        <f t="shared" si="161"/>
        <v>2025</v>
      </c>
      <c r="B267" s="454" t="str">
        <f t="shared" si="162"/>
        <v>53</v>
      </c>
      <c r="C267" s="454" t="str">
        <f t="array" ref="C267">_xlfn.IFS(_xlfn.NUMBERVALUE(B267)&lt;=13,"Q1",AND(_xlfn.NUMBERVALUE(B267)&gt;13,_xlfn.NUMBERVALUE(B267)&lt;=26),"Q2", AND(_xlfn.NUMBERVALUE(B267)&gt;26,_xlfn.NUMBERVALUE(B267)&lt;=39),"Q3",_xlfn.NUMBERVALUE(B267)&gt;39,"Q4")</f>
        <v>Q4</v>
      </c>
      <c r="D267" s="448">
        <f t="shared" si="179"/>
        <v>45682</v>
      </c>
      <c r="E267" s="448">
        <f t="shared" si="163"/>
        <v>45688</v>
      </c>
      <c r="F267" s="79">
        <v>202453</v>
      </c>
      <c r="G267" s="180">
        <f t="shared" si="164"/>
        <v>291963.3</v>
      </c>
      <c r="H267" s="429">
        <f t="shared" si="142"/>
        <v>112805.70000000001</v>
      </c>
      <c r="I267" s="429">
        <f t="shared" si="143"/>
        <v>179157.59999999998</v>
      </c>
      <c r="J267" s="474">
        <f t="shared" si="165"/>
        <v>0.38636945122897304</v>
      </c>
      <c r="K267" s="474">
        <f t="shared" si="166"/>
        <v>0.61363054877102696</v>
      </c>
      <c r="L267" s="92">
        <f t="shared" si="144"/>
        <v>97321.099999999991</v>
      </c>
      <c r="M267" s="92">
        <v>111718</v>
      </c>
      <c r="N267" s="92">
        <f t="shared" si="145"/>
        <v>54995.199999999997</v>
      </c>
      <c r="O267" s="474">
        <f t="shared" si="167"/>
        <v>0.33333333333333331</v>
      </c>
      <c r="P267" s="474">
        <f t="shared" si="168"/>
        <v>0.38264398299375302</v>
      </c>
      <c r="Q267" s="474">
        <f t="shared" si="169"/>
        <v>0.18836340046848354</v>
      </c>
      <c r="R267" s="455">
        <f>Forecast!J262</f>
        <v>210039</v>
      </c>
      <c r="S267" s="455">
        <f>Forecast!N262</f>
        <v>196274</v>
      </c>
      <c r="T267" s="475">
        <f t="shared" si="170"/>
        <v>16721209.950000001</v>
      </c>
      <c r="U267" s="475">
        <f t="shared" si="171"/>
        <v>11956270</v>
      </c>
      <c r="V267" s="349">
        <f t="shared" si="172"/>
        <v>11828871</v>
      </c>
      <c r="W267" s="350">
        <f t="shared" si="173"/>
        <v>1872137</v>
      </c>
      <c r="X267" s="469">
        <f>'Channel &amp; Campaign Metrics'!AR266</f>
        <v>1200930</v>
      </c>
      <c r="Y267" s="469">
        <f>'Channel &amp; Campaign Metrics'!BS266</f>
        <v>671207</v>
      </c>
      <c r="Z267" s="476">
        <f t="shared" si="146"/>
        <v>1123282.2</v>
      </c>
      <c r="AA267" s="476">
        <f t="shared" si="147"/>
        <v>748854.8</v>
      </c>
      <c r="AB267" s="358">
        <f>'Glass Metrics'!AC267</f>
        <v>176625</v>
      </c>
      <c r="AC267" s="475">
        <f>'Glass Metrics'!I267</f>
        <v>131087</v>
      </c>
      <c r="AD267" s="469">
        <f>'Glass Metrics'!N267</f>
        <v>193034</v>
      </c>
      <c r="AE267" s="349">
        <f>'Glass Metrics'!S267</f>
        <v>152785</v>
      </c>
      <c r="AF267" s="359">
        <f t="shared" si="174"/>
        <v>0.86502476999292288</v>
      </c>
      <c r="AG267" s="477">
        <f t="shared" si="175"/>
        <v>0.85798344078279931</v>
      </c>
      <c r="AH267" s="472">
        <f t="shared" si="176"/>
        <v>1.472564022366825</v>
      </c>
      <c r="AI267" s="360">
        <f t="shared" si="177"/>
        <v>1.653012314225053</v>
      </c>
      <c r="AJ267" s="363">
        <f t="shared" si="151"/>
        <v>0.87982754465174595</v>
      </c>
      <c r="AK267" s="478">
        <v>0.83120543432133309</v>
      </c>
      <c r="AL267" s="478">
        <v>0.91662442895450846</v>
      </c>
      <c r="AM267" s="429">
        <v>68402</v>
      </c>
      <c r="AN267" s="429">
        <v>90384</v>
      </c>
      <c r="AO267" s="374">
        <f t="shared" si="137"/>
        <v>0.87982754465174595</v>
      </c>
      <c r="AP267" s="363">
        <f t="shared" si="160"/>
        <v>0.13201230871177499</v>
      </c>
      <c r="AQ267" s="493">
        <v>0.1383564130181332</v>
      </c>
      <c r="AR267" s="493">
        <v>0.12566820440541679</v>
      </c>
      <c r="AS267" s="374">
        <f t="shared" si="141"/>
        <v>0.13201230871177499</v>
      </c>
      <c r="AT267" s="92">
        <v>19296</v>
      </c>
      <c r="AU267" s="92">
        <f t="shared" si="148"/>
        <v>23008</v>
      </c>
      <c r="AV267" s="859">
        <f>'Channel &amp; Campaign Metrics'!Z266</f>
        <v>42304</v>
      </c>
      <c r="AW267" s="455">
        <f t="shared" si="138"/>
        <v>5788.7999999999993</v>
      </c>
      <c r="AX267" s="455">
        <f t="shared" si="139"/>
        <v>6902.4000000000015</v>
      </c>
      <c r="AY267" s="386">
        <f t="shared" si="140"/>
        <v>12691.2</v>
      </c>
      <c r="AZ267" s="180">
        <f t="shared" si="152"/>
        <v>37601.900000000009</v>
      </c>
      <c r="BA267" s="449">
        <f t="shared" si="153"/>
        <v>59719.199999999983</v>
      </c>
      <c r="BB267" s="92">
        <v>50119</v>
      </c>
      <c r="BC267" s="92">
        <v>89528</v>
      </c>
      <c r="BD267" s="92">
        <f t="shared" si="149"/>
        <v>25084.799999999999</v>
      </c>
      <c r="BE267" s="92">
        <f t="shared" si="150"/>
        <v>29910.400000000001</v>
      </c>
      <c r="BF267" s="453">
        <f t="shared" si="154"/>
        <v>0.38636945122897309</v>
      </c>
      <c r="BG267" s="453">
        <f t="shared" si="155"/>
        <v>0.61363054877102696</v>
      </c>
      <c r="BH267" s="453">
        <f t="shared" si="156"/>
        <v>0.44862063409656455</v>
      </c>
      <c r="BI267" s="453">
        <f t="shared" si="157"/>
        <v>0.80137489034891418</v>
      </c>
      <c r="BJ267" s="453">
        <f t="shared" si="158"/>
        <v>0.45612708018154313</v>
      </c>
      <c r="BK267" s="453">
        <f t="shared" si="159"/>
        <v>0.54387291981845698</v>
      </c>
      <c r="BL267" s="840">
        <v>70583</v>
      </c>
      <c r="BM267" s="92">
        <v>87555</v>
      </c>
      <c r="BN267" s="386">
        <f t="shared" si="178"/>
        <v>158138</v>
      </c>
    </row>
    <row r="268" spans="1:68" ht="15.75" customHeight="1">
      <c r="A268" s="175">
        <f t="shared" si="161"/>
        <v>2026</v>
      </c>
      <c r="B268" s="454" t="str">
        <f t="shared" si="162"/>
        <v>01</v>
      </c>
      <c r="C268" s="454" t="str">
        <f t="array" ref="C268">_xlfn.IFS(_xlfn.NUMBERVALUE(B268)&lt;=13,"Q1",AND(_xlfn.NUMBERVALUE(B268)&gt;13,_xlfn.NUMBERVALUE(B268)&lt;=26),"Q2", AND(_xlfn.NUMBERVALUE(B268)&gt;26,_xlfn.NUMBERVALUE(B268)&lt;=39),"Q3",_xlfn.NUMBERVALUE(B268)&gt;39,"Q4")</f>
        <v>Q1</v>
      </c>
      <c r="D268" s="448">
        <f t="shared" si="179"/>
        <v>45689</v>
      </c>
      <c r="E268" s="448">
        <f t="shared" si="163"/>
        <v>45695</v>
      </c>
      <c r="F268" s="79">
        <v>202501</v>
      </c>
      <c r="G268" s="180">
        <f t="shared" si="164"/>
        <v>353362.5</v>
      </c>
      <c r="H268" s="429">
        <f t="shared" si="142"/>
        <v>173094.90000000002</v>
      </c>
      <c r="I268" s="429">
        <f t="shared" si="143"/>
        <v>180267.59999999998</v>
      </c>
      <c r="J268" s="474">
        <f t="shared" si="165"/>
        <v>0.48985079061869902</v>
      </c>
      <c r="K268" s="474">
        <f t="shared" si="166"/>
        <v>0.51014920938130104</v>
      </c>
      <c r="L268" s="92">
        <f t="shared" si="144"/>
        <v>117787.5</v>
      </c>
      <c r="M268" s="92">
        <v>136699</v>
      </c>
      <c r="N268" s="92">
        <f t="shared" si="145"/>
        <v>64701</v>
      </c>
      <c r="O268" s="474">
        <f t="shared" si="167"/>
        <v>0.33333333333333331</v>
      </c>
      <c r="P268" s="474">
        <f t="shared" si="168"/>
        <v>0.38685202872404401</v>
      </c>
      <c r="Q268" s="474">
        <f t="shared" si="169"/>
        <v>0.18310092327284305</v>
      </c>
      <c r="R268" s="455">
        <f>Forecast!J263</f>
        <v>191530</v>
      </c>
      <c r="S268" s="455">
        <f>Forecast!N263</f>
        <v>238115</v>
      </c>
      <c r="T268" s="475">
        <f t="shared" si="170"/>
        <v>353362.5</v>
      </c>
      <c r="U268" s="475">
        <f t="shared" si="171"/>
        <v>191530</v>
      </c>
      <c r="V268" s="349">
        <f t="shared" si="172"/>
        <v>238115</v>
      </c>
      <c r="W268" s="350">
        <f t="shared" si="173"/>
        <v>1803110</v>
      </c>
      <c r="X268" s="469">
        <f>'Channel &amp; Campaign Metrics'!AR267</f>
        <v>1124309</v>
      </c>
      <c r="Y268" s="469">
        <f>'Channel &amp; Campaign Metrics'!BS267</f>
        <v>678801</v>
      </c>
      <c r="Z268" s="476">
        <f t="shared" si="146"/>
        <v>1081866</v>
      </c>
      <c r="AA268" s="476">
        <f t="shared" si="147"/>
        <v>721244</v>
      </c>
      <c r="AB268" s="358">
        <f>'Glass Metrics'!AC268</f>
        <v>175738</v>
      </c>
      <c r="AC268" s="475">
        <f>'Glass Metrics'!I268</f>
        <v>129485</v>
      </c>
      <c r="AD268" s="469">
        <f>'Glass Metrics'!N268</f>
        <v>154009</v>
      </c>
      <c r="AE268" s="349">
        <f>'Glass Metrics'!S268</f>
        <v>143614</v>
      </c>
      <c r="AF268" s="359">
        <f t="shared" si="174"/>
        <v>0.81720515767790691</v>
      </c>
      <c r="AG268" s="477">
        <f t="shared" si="175"/>
        <v>0.90161822663528624</v>
      </c>
      <c r="AH268" s="472">
        <f t="shared" si="176"/>
        <v>1.1893964551878595</v>
      </c>
      <c r="AI268" s="360">
        <f t="shared" si="177"/>
        <v>2.0107347301095948</v>
      </c>
      <c r="AJ268" s="363">
        <f t="shared" si="151"/>
        <v>0.36629853707818161</v>
      </c>
      <c r="AK268" s="478">
        <v>0.55941884991900415</v>
      </c>
      <c r="AL268" s="478">
        <v>0.118535708832898</v>
      </c>
      <c r="AM268" s="429">
        <v>89361</v>
      </c>
      <c r="AN268" s="429">
        <v>69653</v>
      </c>
      <c r="AO268" s="374">
        <f t="shared" si="137"/>
        <v>0.36629853707818161</v>
      </c>
      <c r="AP268" s="363">
        <f t="shared" si="160"/>
        <v>0.66889426698691135</v>
      </c>
      <c r="AQ268" s="493">
        <v>0.6334125574241104</v>
      </c>
      <c r="AR268" s="493">
        <v>0.7043759765497124</v>
      </c>
      <c r="AS268" s="374">
        <f t="shared" si="141"/>
        <v>0.66889426698691135</v>
      </c>
      <c r="AT268" s="92">
        <v>12522</v>
      </c>
      <c r="AU268" s="92">
        <f t="shared" si="148"/>
        <v>37248</v>
      </c>
      <c r="AV268" s="859">
        <f>'Channel &amp; Campaign Metrics'!Z267</f>
        <v>49770</v>
      </c>
      <c r="AW268" s="455">
        <f t="shared" si="138"/>
        <v>3756.6000000000004</v>
      </c>
      <c r="AX268" s="455">
        <f t="shared" si="139"/>
        <v>11174.400000000001</v>
      </c>
      <c r="AY268" s="386">
        <f t="shared" si="140"/>
        <v>14931.000000000002</v>
      </c>
      <c r="AZ268" s="180">
        <f t="shared" si="152"/>
        <v>57698.300000000017</v>
      </c>
      <c r="BA268" s="449">
        <f t="shared" si="153"/>
        <v>60089.199999999983</v>
      </c>
      <c r="BB268" s="92">
        <v>99118</v>
      </c>
      <c r="BC268" s="92">
        <v>71756</v>
      </c>
      <c r="BD268" s="92">
        <f t="shared" si="149"/>
        <v>16278.6</v>
      </c>
      <c r="BE268" s="92">
        <f t="shared" si="150"/>
        <v>48422.400000000001</v>
      </c>
      <c r="BF268" s="453">
        <f t="shared" si="154"/>
        <v>0.48985079061869907</v>
      </c>
      <c r="BG268" s="453">
        <f t="shared" si="155"/>
        <v>0.51014920938130093</v>
      </c>
      <c r="BH268" s="453">
        <f t="shared" si="156"/>
        <v>0.72508211471920059</v>
      </c>
      <c r="BI268" s="453">
        <f t="shared" si="157"/>
        <v>0.52491971411641636</v>
      </c>
      <c r="BJ268" s="453">
        <f t="shared" si="158"/>
        <v>0.25159734779987947</v>
      </c>
      <c r="BK268" s="453">
        <f t="shared" si="159"/>
        <v>0.74840265220012059</v>
      </c>
      <c r="BL268" s="840">
        <v>71252</v>
      </c>
      <c r="BM268" s="92">
        <v>50443</v>
      </c>
      <c r="BN268" s="386">
        <f t="shared" si="178"/>
        <v>121695</v>
      </c>
    </row>
    <row r="269" spans="1:68" ht="15.75" customHeight="1">
      <c r="A269" s="175">
        <f t="shared" si="161"/>
        <v>2026</v>
      </c>
      <c r="B269" s="454" t="str">
        <f t="shared" si="162"/>
        <v>02</v>
      </c>
      <c r="C269" s="454" t="str">
        <f t="array" ref="C269">_xlfn.IFS(_xlfn.NUMBERVALUE(B269)&lt;=13,"Q1",AND(_xlfn.NUMBERVALUE(B269)&gt;13,_xlfn.NUMBERVALUE(B269)&lt;=26),"Q2", AND(_xlfn.NUMBERVALUE(B269)&gt;26,_xlfn.NUMBERVALUE(B269)&lt;=39),"Q3",_xlfn.NUMBERVALUE(B269)&gt;39,"Q4")</f>
        <v>Q1</v>
      </c>
      <c r="D269" s="448">
        <f t="shared" si="179"/>
        <v>45696</v>
      </c>
      <c r="E269" s="448">
        <f t="shared" si="163"/>
        <v>45702</v>
      </c>
      <c r="F269" s="79">
        <v>202502</v>
      </c>
      <c r="G269" s="180">
        <f t="shared" si="164"/>
        <v>294482.55000000005</v>
      </c>
      <c r="H269" s="429">
        <f t="shared" si="142"/>
        <v>138853.65000000002</v>
      </c>
      <c r="I269" s="429">
        <f t="shared" si="143"/>
        <v>155628.90000000002</v>
      </c>
      <c r="J269" s="474">
        <f t="shared" si="165"/>
        <v>0.47151741249184376</v>
      </c>
      <c r="K269" s="474">
        <f t="shared" si="166"/>
        <v>0.52848258750815624</v>
      </c>
      <c r="L269" s="92">
        <f t="shared" si="144"/>
        <v>98160.850000000035</v>
      </c>
      <c r="M269" s="92">
        <v>105131</v>
      </c>
      <c r="N269" s="92">
        <f t="shared" si="145"/>
        <v>64907.7</v>
      </c>
      <c r="O269" s="474">
        <f t="shared" si="167"/>
        <v>0.33333333333333343</v>
      </c>
      <c r="P269" s="474">
        <f t="shared" si="168"/>
        <v>0.35700247773594729</v>
      </c>
      <c r="Q269" s="474">
        <f t="shared" si="169"/>
        <v>0.22041272054999519</v>
      </c>
      <c r="R269" s="455">
        <f>Forecast!J264</f>
        <v>238039</v>
      </c>
      <c r="S269" s="455">
        <f>Forecast!N264</f>
        <v>194614</v>
      </c>
      <c r="T269" s="475">
        <f t="shared" si="170"/>
        <v>647845.05000000005</v>
      </c>
      <c r="U269" s="475">
        <f t="shared" si="171"/>
        <v>429569</v>
      </c>
      <c r="V269" s="349">
        <f t="shared" si="172"/>
        <v>432729</v>
      </c>
      <c r="W269" s="350">
        <f t="shared" si="173"/>
        <v>1664887</v>
      </c>
      <c r="X269" s="469">
        <f>'Channel &amp; Campaign Metrics'!AR268</f>
        <v>1173559</v>
      </c>
      <c r="Y269" s="469">
        <f>'Channel &amp; Campaign Metrics'!BS268</f>
        <v>491328</v>
      </c>
      <c r="Z269" s="476">
        <f t="shared" si="146"/>
        <v>998932.2</v>
      </c>
      <c r="AA269" s="476">
        <f t="shared" si="147"/>
        <v>665954.80000000005</v>
      </c>
      <c r="AB269" s="358">
        <f>'Glass Metrics'!AC269</f>
        <v>173134</v>
      </c>
      <c r="AC269" s="475">
        <f>'Glass Metrics'!I269</f>
        <v>144354</v>
      </c>
      <c r="AD269" s="469">
        <f>'Glass Metrics'!N269</f>
        <v>144805</v>
      </c>
      <c r="AE269" s="349">
        <f>'Glass Metrics'!S269</f>
        <v>117590</v>
      </c>
      <c r="AF269" s="359">
        <f t="shared" si="174"/>
        <v>0.67918490879896498</v>
      </c>
      <c r="AG269" s="477">
        <f t="shared" si="175"/>
        <v>1.2276043881282421</v>
      </c>
      <c r="AH269" s="472">
        <f t="shared" si="176"/>
        <v>1.003124263962204</v>
      </c>
      <c r="AI269" s="360">
        <f t="shared" si="177"/>
        <v>1.7008938163503415</v>
      </c>
      <c r="AJ269" s="363">
        <f t="shared" si="151"/>
        <v>0.55675799922966229</v>
      </c>
      <c r="AK269" s="478">
        <v>0.84142750320000659</v>
      </c>
      <c r="AL269" s="478">
        <v>5.059705424879879E-2</v>
      </c>
      <c r="AM269" s="429">
        <v>94161</v>
      </c>
      <c r="AN269" s="429">
        <v>52957</v>
      </c>
      <c r="AO269" s="374">
        <f t="shared" si="137"/>
        <v>0.55675799922966229</v>
      </c>
      <c r="AP269" s="363">
        <f t="shared" si="160"/>
        <v>0.82897484211468964</v>
      </c>
      <c r="AQ269" s="493">
        <v>0.85315489944441636</v>
      </c>
      <c r="AR269" s="493">
        <v>0.80479478478496291</v>
      </c>
      <c r="AS269" s="374">
        <f t="shared" si="141"/>
        <v>0.82897484211468964</v>
      </c>
      <c r="AT269" s="92">
        <v>10647</v>
      </c>
      <c r="AU269" s="92">
        <f t="shared" si="148"/>
        <v>39282</v>
      </c>
      <c r="AV269" s="859">
        <f>'Channel &amp; Campaign Metrics'!Z268</f>
        <v>49929</v>
      </c>
      <c r="AW269" s="455">
        <f t="shared" si="138"/>
        <v>3194.1000000000004</v>
      </c>
      <c r="AX269" s="455">
        <f t="shared" si="139"/>
        <v>11784.599999999999</v>
      </c>
      <c r="AY269" s="386">
        <f t="shared" si="140"/>
        <v>14978.699999999999</v>
      </c>
      <c r="AZ269" s="180">
        <f t="shared" si="152"/>
        <v>46284.550000000017</v>
      </c>
      <c r="BA269" s="449">
        <f t="shared" si="153"/>
        <v>51876.300000000017</v>
      </c>
      <c r="BB269" s="92">
        <v>78728</v>
      </c>
      <c r="BC269" s="92">
        <v>52686</v>
      </c>
      <c r="BD269" s="92">
        <f t="shared" si="149"/>
        <v>13841.1</v>
      </c>
      <c r="BE269" s="92">
        <f t="shared" si="150"/>
        <v>51066.6</v>
      </c>
      <c r="BF269" s="453">
        <f t="shared" si="154"/>
        <v>0.47151741249184376</v>
      </c>
      <c r="BG269" s="453">
        <f t="shared" si="155"/>
        <v>0.52848258750815624</v>
      </c>
      <c r="BH269" s="453">
        <f t="shared" si="156"/>
        <v>0.74885618894522077</v>
      </c>
      <c r="BI269" s="453">
        <f t="shared" si="157"/>
        <v>0.50114618904034014</v>
      </c>
      <c r="BJ269" s="453">
        <f t="shared" si="158"/>
        <v>0.21324280478279159</v>
      </c>
      <c r="BK269" s="453">
        <f t="shared" si="159"/>
        <v>0.78675719521720844</v>
      </c>
      <c r="BL269" s="840">
        <v>66686</v>
      </c>
      <c r="BM269" s="92">
        <v>93659</v>
      </c>
      <c r="BN269" s="386">
        <f t="shared" si="178"/>
        <v>160345</v>
      </c>
    </row>
    <row r="270" spans="1:68" ht="15.75" customHeight="1">
      <c r="A270" s="175">
        <f t="shared" si="161"/>
        <v>2026</v>
      </c>
      <c r="B270" s="454" t="str">
        <f t="shared" si="162"/>
        <v>03</v>
      </c>
      <c r="C270" s="454" t="str">
        <f t="array" ref="C270">_xlfn.IFS(_xlfn.NUMBERVALUE(B270)&lt;=13,"Q1",AND(_xlfn.NUMBERVALUE(B270)&gt;13,_xlfn.NUMBERVALUE(B270)&lt;=26),"Q2", AND(_xlfn.NUMBERVALUE(B270)&gt;26,_xlfn.NUMBERVALUE(B270)&lt;=39),"Q3",_xlfn.NUMBERVALUE(B270)&gt;39,"Q4")</f>
        <v>Q1</v>
      </c>
      <c r="D270" s="448">
        <f t="shared" si="179"/>
        <v>45703</v>
      </c>
      <c r="E270" s="448">
        <f t="shared" si="163"/>
        <v>45709</v>
      </c>
      <c r="F270" s="79">
        <v>202503</v>
      </c>
      <c r="G270" s="180">
        <f t="shared" si="164"/>
        <v>326350.8</v>
      </c>
      <c r="H270" s="429">
        <f t="shared" si="142"/>
        <v>113360.84999999999</v>
      </c>
      <c r="I270" s="429">
        <f t="shared" si="143"/>
        <v>212989.94999999998</v>
      </c>
      <c r="J270" s="474">
        <f t="shared" si="165"/>
        <v>0.34735888497898582</v>
      </c>
      <c r="K270" s="474">
        <f t="shared" si="166"/>
        <v>0.65264111502101418</v>
      </c>
      <c r="L270" s="92">
        <f t="shared" si="144"/>
        <v>108783.59999999999</v>
      </c>
      <c r="M270" s="92">
        <v>122112</v>
      </c>
      <c r="N270" s="92">
        <f t="shared" si="145"/>
        <v>64927.200000000004</v>
      </c>
      <c r="O270" s="474">
        <f t="shared" si="167"/>
        <v>0.33333333333333331</v>
      </c>
      <c r="P270" s="474">
        <f t="shared" si="168"/>
        <v>0.37417404829404433</v>
      </c>
      <c r="Q270" s="474">
        <f t="shared" si="169"/>
        <v>0.19894910629911128</v>
      </c>
      <c r="R270" s="455">
        <f>Forecast!J265</f>
        <v>187605</v>
      </c>
      <c r="S270" s="455">
        <f>Forecast!N265</f>
        <v>230560</v>
      </c>
      <c r="T270" s="475">
        <f t="shared" si="170"/>
        <v>974195.85000000009</v>
      </c>
      <c r="U270" s="475">
        <f t="shared" si="171"/>
        <v>617174</v>
      </c>
      <c r="V270" s="349">
        <f t="shared" si="172"/>
        <v>663289</v>
      </c>
      <c r="W270" s="350">
        <f t="shared" si="173"/>
        <v>1773824</v>
      </c>
      <c r="X270" s="469">
        <f>'Channel &amp; Campaign Metrics'!AR269</f>
        <v>1169097</v>
      </c>
      <c r="Y270" s="469">
        <f>'Channel &amp; Campaign Metrics'!BS269</f>
        <v>604727</v>
      </c>
      <c r="Z270" s="476">
        <f t="shared" si="146"/>
        <v>1064294.3999999999</v>
      </c>
      <c r="AA270" s="476">
        <f t="shared" si="147"/>
        <v>709529.60000000009</v>
      </c>
      <c r="AB270" s="358">
        <f>'Glass Metrics'!AC270</f>
        <v>182846</v>
      </c>
      <c r="AC270" s="475">
        <f>'Glass Metrics'!I270</f>
        <v>150378</v>
      </c>
      <c r="AD270" s="469">
        <f>'Glass Metrics'!N270</f>
        <v>172892</v>
      </c>
      <c r="AE270" s="349">
        <f>'Glass Metrics'!S270</f>
        <v>152766</v>
      </c>
      <c r="AF270" s="359">
        <f t="shared" si="174"/>
        <v>0.83548997517036194</v>
      </c>
      <c r="AG270" s="477">
        <f t="shared" si="175"/>
        <v>0.98436824947959622</v>
      </c>
      <c r="AH270" s="472">
        <f t="shared" si="176"/>
        <v>1.1497160488901301</v>
      </c>
      <c r="AI270" s="360">
        <f t="shared" si="177"/>
        <v>1.78483970116929</v>
      </c>
      <c r="AJ270" s="363">
        <f t="shared" si="151"/>
        <v>0.38611219942844988</v>
      </c>
      <c r="AK270" s="478">
        <v>4.9346617899582612E-2</v>
      </c>
      <c r="AL270" s="478">
        <v>0.76261058308602914</v>
      </c>
      <c r="AM270" s="429">
        <v>66643</v>
      </c>
      <c r="AN270" s="429">
        <v>59610</v>
      </c>
      <c r="AO270" s="374">
        <f t="shared" si="137"/>
        <v>0.38611219942844988</v>
      </c>
      <c r="AP270" s="363">
        <f t="shared" si="160"/>
        <v>0.53398387849074791</v>
      </c>
      <c r="AQ270" s="493">
        <v>0.76856390960649845</v>
      </c>
      <c r="AR270" s="493">
        <v>0.29940384737499731</v>
      </c>
      <c r="AS270" s="374">
        <f t="shared" si="141"/>
        <v>0.53398387849074791</v>
      </c>
      <c r="AT270" s="92">
        <v>14163</v>
      </c>
      <c r="AU270" s="92">
        <f t="shared" si="148"/>
        <v>35781</v>
      </c>
      <c r="AV270" s="859">
        <f>'Channel &amp; Campaign Metrics'!Z269</f>
        <v>49944</v>
      </c>
      <c r="AW270" s="455">
        <f t="shared" si="138"/>
        <v>4248.9000000000015</v>
      </c>
      <c r="AX270" s="455">
        <f t="shared" si="139"/>
        <v>10734.300000000003</v>
      </c>
      <c r="AY270" s="386">
        <f t="shared" si="140"/>
        <v>14983.200000000004</v>
      </c>
      <c r="AZ270" s="180">
        <f t="shared" si="152"/>
        <v>37786.949999999997</v>
      </c>
      <c r="BA270" s="449">
        <f t="shared" si="153"/>
        <v>70996.649999999994</v>
      </c>
      <c r="BB270" s="92">
        <v>57162</v>
      </c>
      <c r="BC270" s="92">
        <v>95478</v>
      </c>
      <c r="BD270" s="92">
        <f t="shared" si="149"/>
        <v>18411.900000000001</v>
      </c>
      <c r="BE270" s="92">
        <f t="shared" si="150"/>
        <v>46515.3</v>
      </c>
      <c r="BF270" s="453">
        <f t="shared" si="154"/>
        <v>0.34735888497898582</v>
      </c>
      <c r="BG270" s="453">
        <f t="shared" si="155"/>
        <v>0.65264111502101418</v>
      </c>
      <c r="BH270" s="453">
        <f t="shared" si="156"/>
        <v>0.4681112421383648</v>
      </c>
      <c r="BI270" s="453">
        <f t="shared" si="157"/>
        <v>0.78188875786163525</v>
      </c>
      <c r="BJ270" s="453">
        <f t="shared" si="158"/>
        <v>0.28357760691975015</v>
      </c>
      <c r="BK270" s="453">
        <f t="shared" si="159"/>
        <v>0.71642239308024991</v>
      </c>
      <c r="BL270" s="840">
        <v>66884</v>
      </c>
      <c r="BM270" s="92">
        <v>89159</v>
      </c>
      <c r="BN270" s="386">
        <f t="shared" si="178"/>
        <v>156043</v>
      </c>
      <c r="BP270" s="706"/>
    </row>
    <row r="271" spans="1:68" ht="15.75" customHeight="1">
      <c r="A271" s="175">
        <f t="shared" si="161"/>
        <v>2026</v>
      </c>
      <c r="B271" s="454" t="str">
        <f t="shared" si="162"/>
        <v>04</v>
      </c>
      <c r="C271" s="454" t="str">
        <f t="array" ref="C271">_xlfn.IFS(_xlfn.NUMBERVALUE(B271)&lt;=13,"Q1",AND(_xlfn.NUMBERVALUE(B271)&gt;13,_xlfn.NUMBERVALUE(B271)&lt;=26),"Q2", AND(_xlfn.NUMBERVALUE(B271)&gt;26,_xlfn.NUMBERVALUE(B271)&lt;=39),"Q3",_xlfn.NUMBERVALUE(B271)&gt;39,"Q4")</f>
        <v>Q1</v>
      </c>
      <c r="D271" s="448">
        <f t="shared" si="179"/>
        <v>45710</v>
      </c>
      <c r="E271" s="448">
        <f t="shared" si="163"/>
        <v>45716</v>
      </c>
      <c r="F271" s="79">
        <v>202504</v>
      </c>
      <c r="G271" s="180">
        <f t="shared" si="164"/>
        <v>358902.75</v>
      </c>
      <c r="H271" s="429">
        <f t="shared" si="142"/>
        <v>142395</v>
      </c>
      <c r="I271" s="429">
        <f t="shared" si="143"/>
        <v>216507.75</v>
      </c>
      <c r="J271" s="474">
        <f t="shared" si="165"/>
        <v>0.39675093044007048</v>
      </c>
      <c r="K271" s="474">
        <f t="shared" si="166"/>
        <v>0.60324906955992952</v>
      </c>
      <c r="L271" s="92">
        <f t="shared" si="144"/>
        <v>119634.25</v>
      </c>
      <c r="M271" s="92">
        <v>137267</v>
      </c>
      <c r="N271" s="92">
        <f t="shared" si="145"/>
        <v>67684.5</v>
      </c>
      <c r="O271" s="474">
        <f t="shared" si="167"/>
        <v>0.33333333333333331</v>
      </c>
      <c r="P271" s="474">
        <f t="shared" si="168"/>
        <v>0.38246293738345555</v>
      </c>
      <c r="Q271" s="474">
        <f t="shared" si="169"/>
        <v>0.18858729836982302</v>
      </c>
      <c r="R271" s="455">
        <f>Forecast!J266</f>
        <v>202527</v>
      </c>
      <c r="S271" s="455">
        <f>Forecast!N266</f>
        <v>264373</v>
      </c>
      <c r="T271" s="475">
        <f t="shared" si="170"/>
        <v>1333098.6000000001</v>
      </c>
      <c r="U271" s="475">
        <f t="shared" si="171"/>
        <v>819701</v>
      </c>
      <c r="V271" s="349">
        <f t="shared" si="172"/>
        <v>927662</v>
      </c>
      <c r="W271" s="350">
        <f t="shared" si="173"/>
        <v>1890495</v>
      </c>
      <c r="X271" s="469">
        <f>'Channel &amp; Campaign Metrics'!AR270</f>
        <v>1279132</v>
      </c>
      <c r="Y271" s="469">
        <f>'Channel &amp; Campaign Metrics'!BS270</f>
        <v>611363</v>
      </c>
      <c r="Z271" s="476">
        <f t="shared" si="146"/>
        <v>1134297</v>
      </c>
      <c r="AA271" s="476">
        <f t="shared" si="147"/>
        <v>756198</v>
      </c>
      <c r="AB271" s="358">
        <f>'Glass Metrics'!AC271</f>
        <v>127315</v>
      </c>
      <c r="AC271" s="475">
        <f>'Glass Metrics'!I271</f>
        <v>146870</v>
      </c>
      <c r="AD271" s="469">
        <f>'Glass Metrics'!N271</f>
        <v>172899</v>
      </c>
      <c r="AE271" s="349">
        <f>'Glass Metrics'!S271</f>
        <v>144282</v>
      </c>
      <c r="AF271" s="359">
        <f t="shared" si="174"/>
        <v>1.1332678788830852</v>
      </c>
      <c r="AG271" s="477">
        <f t="shared" si="175"/>
        <v>1.0179370954103768</v>
      </c>
      <c r="AH271" s="472">
        <f t="shared" si="176"/>
        <v>1.1772247565874583</v>
      </c>
      <c r="AI271" s="360">
        <f t="shared" si="177"/>
        <v>2.8190138632525628</v>
      </c>
      <c r="AJ271" s="363">
        <f t="shared" si="151"/>
        <v>0.42066360505684436</v>
      </c>
      <c r="AK271" s="478">
        <v>0.52496735343153322</v>
      </c>
      <c r="AL271" s="478">
        <v>0.30240345598929202</v>
      </c>
      <c r="AM271" s="429">
        <v>94158</v>
      </c>
      <c r="AN271" s="429">
        <v>83046</v>
      </c>
      <c r="AO271" s="374">
        <f t="shared" si="137"/>
        <v>0.42066360505684436</v>
      </c>
      <c r="AP271" s="363">
        <f t="shared" si="160"/>
        <v>0.51146992684400039</v>
      </c>
      <c r="AQ271" s="493">
        <v>0.89225036827434179</v>
      </c>
      <c r="AR271" s="493">
        <v>0.13068948541365899</v>
      </c>
      <c r="AS271" s="374">
        <f t="shared" si="141"/>
        <v>0.51146992684400039</v>
      </c>
      <c r="AT271" s="92">
        <v>12670</v>
      </c>
      <c r="AU271" s="92">
        <f t="shared" si="148"/>
        <v>39395</v>
      </c>
      <c r="AV271" s="859">
        <f>'Channel &amp; Campaign Metrics'!Z270</f>
        <v>52065</v>
      </c>
      <c r="AW271" s="455">
        <f t="shared" si="138"/>
        <v>3801</v>
      </c>
      <c r="AX271" s="455">
        <f t="shared" si="139"/>
        <v>11818.5</v>
      </c>
      <c r="AY271" s="386">
        <f t="shared" si="140"/>
        <v>15619.5</v>
      </c>
      <c r="AZ271" s="180">
        <f t="shared" si="152"/>
        <v>47465</v>
      </c>
      <c r="BA271" s="449">
        <f t="shared" si="153"/>
        <v>72169.25</v>
      </c>
      <c r="BB271" s="92">
        <v>78459</v>
      </c>
      <c r="BC271" s="92">
        <v>93125</v>
      </c>
      <c r="BD271" s="92">
        <f t="shared" si="149"/>
        <v>16471</v>
      </c>
      <c r="BE271" s="92">
        <f t="shared" si="150"/>
        <v>51213.5</v>
      </c>
      <c r="BF271" s="453">
        <f t="shared" si="154"/>
        <v>0.39675093044007048</v>
      </c>
      <c r="BG271" s="453">
        <f t="shared" si="155"/>
        <v>0.60324906955992952</v>
      </c>
      <c r="BH271" s="453">
        <f t="shared" si="156"/>
        <v>0.57157947649471463</v>
      </c>
      <c r="BI271" s="453">
        <f t="shared" si="157"/>
        <v>0.67842234477332497</v>
      </c>
      <c r="BJ271" s="453">
        <f t="shared" si="158"/>
        <v>0.24334965907999617</v>
      </c>
      <c r="BK271" s="453">
        <f t="shared" si="159"/>
        <v>0.75665034092000383</v>
      </c>
      <c r="BL271" s="840">
        <v>65558</v>
      </c>
      <c r="BM271" s="92">
        <v>74888</v>
      </c>
      <c r="BN271" s="386">
        <f t="shared" si="178"/>
        <v>140446</v>
      </c>
    </row>
    <row r="272" spans="1:68" ht="15.75" customHeight="1">
      <c r="A272" s="175">
        <f t="shared" si="161"/>
        <v>2026</v>
      </c>
      <c r="B272" s="454" t="str">
        <f t="shared" si="162"/>
        <v>05</v>
      </c>
      <c r="C272" s="454" t="str">
        <f t="array" ref="C272">_xlfn.IFS(_xlfn.NUMBERVALUE(B272)&lt;=13,"Q1",AND(_xlfn.NUMBERVALUE(B272)&gt;13,_xlfn.NUMBERVALUE(B272)&lt;=26),"Q2", AND(_xlfn.NUMBERVALUE(B272)&gt;26,_xlfn.NUMBERVALUE(B272)&lt;=39),"Q3",_xlfn.NUMBERVALUE(B272)&gt;39,"Q4")</f>
        <v>Q1</v>
      </c>
      <c r="D272" s="448">
        <f t="shared" si="179"/>
        <v>45717</v>
      </c>
      <c r="E272" s="448">
        <f t="shared" si="163"/>
        <v>45723</v>
      </c>
      <c r="F272" s="79">
        <v>202505</v>
      </c>
      <c r="G272" s="180">
        <f t="shared" si="164"/>
        <v>335376.59999999998</v>
      </c>
      <c r="H272" s="429">
        <f t="shared" si="142"/>
        <v>116120.09999999999</v>
      </c>
      <c r="I272" s="429">
        <f t="shared" si="143"/>
        <v>219256.5</v>
      </c>
      <c r="J272" s="474">
        <f t="shared" si="165"/>
        <v>0.34623793073219777</v>
      </c>
      <c r="K272" s="474">
        <f t="shared" si="166"/>
        <v>0.65376206926780223</v>
      </c>
      <c r="L272" s="92">
        <f t="shared" si="144"/>
        <v>111792.2</v>
      </c>
      <c r="M272" s="92">
        <v>117718</v>
      </c>
      <c r="N272" s="92">
        <f t="shared" si="145"/>
        <v>76437.399999999994</v>
      </c>
      <c r="O272" s="474">
        <f t="shared" si="167"/>
        <v>0.33333333333333337</v>
      </c>
      <c r="P272" s="474">
        <f t="shared" si="168"/>
        <v>0.35100242533319265</v>
      </c>
      <c r="Q272" s="474">
        <f t="shared" si="169"/>
        <v>0.22791512586149421</v>
      </c>
      <c r="R272" s="455">
        <f>Forecast!J267</f>
        <v>243459</v>
      </c>
      <c r="S272" s="455">
        <f>Forecast!N267</f>
        <v>182028</v>
      </c>
      <c r="T272" s="475">
        <f t="shared" si="170"/>
        <v>1668475.2000000002</v>
      </c>
      <c r="U272" s="475">
        <f t="shared" si="171"/>
        <v>1063160</v>
      </c>
      <c r="V272" s="349">
        <f t="shared" si="172"/>
        <v>1109690</v>
      </c>
      <c r="W272" s="350">
        <f t="shared" si="173"/>
        <v>1758034</v>
      </c>
      <c r="X272" s="469">
        <f>'Channel &amp; Campaign Metrics'!AR271</f>
        <v>1204261</v>
      </c>
      <c r="Y272" s="469">
        <f>'Channel &amp; Campaign Metrics'!BS271</f>
        <v>553773</v>
      </c>
      <c r="Z272" s="476">
        <f t="shared" si="146"/>
        <v>1054820.3999999999</v>
      </c>
      <c r="AA272" s="476">
        <f t="shared" si="147"/>
        <v>703213.60000000009</v>
      </c>
      <c r="AB272" s="358">
        <f>'Glass Metrics'!AC272</f>
        <v>108198</v>
      </c>
      <c r="AC272" s="475">
        <f>'Glass Metrics'!I272</f>
        <v>121763</v>
      </c>
      <c r="AD272" s="469">
        <f>'Glass Metrics'!N272</f>
        <v>143766</v>
      </c>
      <c r="AE272" s="349">
        <f>'Glass Metrics'!S272</f>
        <v>169068</v>
      </c>
      <c r="AF272" s="359">
        <f t="shared" si="174"/>
        <v>1.5625797149670049</v>
      </c>
      <c r="AG272" s="477">
        <f t="shared" si="175"/>
        <v>0.72020133910615847</v>
      </c>
      <c r="AH272" s="472">
        <f t="shared" si="176"/>
        <v>1.1807034977784714</v>
      </c>
      <c r="AI272" s="360">
        <f t="shared" si="177"/>
        <v>3.0996561858814395</v>
      </c>
      <c r="AJ272" s="363">
        <f t="shared" si="151"/>
        <v>0.34256607878803114</v>
      </c>
      <c r="AK272" s="478">
        <v>0.3421210776353697</v>
      </c>
      <c r="AL272" s="478">
        <v>0.34330053910789232</v>
      </c>
      <c r="AM272" s="429">
        <v>95676</v>
      </c>
      <c r="AN272" s="429">
        <v>57969</v>
      </c>
      <c r="AO272" s="374">
        <f t="shared" si="137"/>
        <v>0.34256607878803114</v>
      </c>
      <c r="AP272" s="363">
        <f t="shared" si="160"/>
        <v>0.39143571693918916</v>
      </c>
      <c r="AQ272" s="493">
        <v>0.19021245043110269</v>
      </c>
      <c r="AR272" s="493">
        <v>0.59265898344727563</v>
      </c>
      <c r="AS272" s="374">
        <f t="shared" si="141"/>
        <v>0.39143571693918916</v>
      </c>
      <c r="AT272" s="92">
        <v>15228</v>
      </c>
      <c r="AU272" s="92">
        <f t="shared" si="148"/>
        <v>43570</v>
      </c>
      <c r="AV272" s="859">
        <f>'Channel &amp; Campaign Metrics'!Z271</f>
        <v>58798</v>
      </c>
      <c r="AW272" s="455">
        <f t="shared" si="138"/>
        <v>4568.4000000000015</v>
      </c>
      <c r="AX272" s="455">
        <f t="shared" si="139"/>
        <v>13071</v>
      </c>
      <c r="AY272" s="386">
        <f t="shared" si="140"/>
        <v>17639.400000000001</v>
      </c>
      <c r="AZ272" s="180">
        <f t="shared" si="152"/>
        <v>38706.699999999997</v>
      </c>
      <c r="BA272" s="449">
        <f t="shared" si="153"/>
        <v>73085.5</v>
      </c>
      <c r="BB272" s="92">
        <v>57617</v>
      </c>
      <c r="BC272" s="92">
        <v>89530</v>
      </c>
      <c r="BD272" s="92">
        <f t="shared" si="149"/>
        <v>19796.400000000001</v>
      </c>
      <c r="BE272" s="92">
        <f t="shared" si="150"/>
        <v>56641</v>
      </c>
      <c r="BF272" s="453">
        <f t="shared" si="154"/>
        <v>0.34623793073219777</v>
      </c>
      <c r="BG272" s="453">
        <f t="shared" si="155"/>
        <v>0.65376206926780223</v>
      </c>
      <c r="BH272" s="453">
        <f t="shared" si="156"/>
        <v>0.48944936203469308</v>
      </c>
      <c r="BI272" s="453">
        <f t="shared" si="157"/>
        <v>0.76054639052651252</v>
      </c>
      <c r="BJ272" s="453">
        <f t="shared" si="158"/>
        <v>0.25898840096601927</v>
      </c>
      <c r="BK272" s="453">
        <f t="shared" si="159"/>
        <v>0.74101159903398084</v>
      </c>
      <c r="BL272" s="840">
        <v>73196</v>
      </c>
      <c r="BM272" s="92">
        <v>95771</v>
      </c>
      <c r="BN272" s="386">
        <f t="shared" si="178"/>
        <v>168967</v>
      </c>
    </row>
    <row r="273" spans="1:66" ht="15.75" customHeight="1">
      <c r="A273" s="175">
        <f t="shared" si="161"/>
        <v>2026</v>
      </c>
      <c r="B273" s="454" t="str">
        <f t="shared" si="162"/>
        <v>06</v>
      </c>
      <c r="C273" s="454" t="str">
        <f t="array" ref="C273">_xlfn.IFS(_xlfn.NUMBERVALUE(B273)&lt;=13,"Q1",AND(_xlfn.NUMBERVALUE(B273)&gt;13,_xlfn.NUMBERVALUE(B273)&lt;=26),"Q2", AND(_xlfn.NUMBERVALUE(B273)&gt;26,_xlfn.NUMBERVALUE(B273)&lt;=39),"Q3",_xlfn.NUMBERVALUE(B273)&gt;39,"Q4")</f>
        <v>Q1</v>
      </c>
      <c r="D273" s="448">
        <f t="shared" si="179"/>
        <v>45724</v>
      </c>
      <c r="E273" s="448">
        <f t="shared" si="163"/>
        <v>45730</v>
      </c>
      <c r="F273" s="79">
        <v>202506</v>
      </c>
      <c r="G273" s="180">
        <f t="shared" si="164"/>
        <v>316103.10000000003</v>
      </c>
      <c r="H273" s="429">
        <v>147619.95000000001</v>
      </c>
      <c r="I273" s="429">
        <v>168483.15000000002</v>
      </c>
      <c r="J273" s="474">
        <f t="shared" si="165"/>
        <v>0.46699937457114465</v>
      </c>
      <c r="K273" s="474">
        <f t="shared" si="166"/>
        <v>0.5330006254288554</v>
      </c>
      <c r="L273" s="92">
        <v>105367.70000000003</v>
      </c>
      <c r="M273" s="92">
        <v>116954</v>
      </c>
      <c r="N273" s="92">
        <v>64542.400000000001</v>
      </c>
      <c r="O273" s="474">
        <f t="shared" si="167"/>
        <v>0.33333333333333337</v>
      </c>
      <c r="P273" s="474">
        <f t="shared" si="168"/>
        <v>0.36998688086260462</v>
      </c>
      <c r="Q273" s="474">
        <f t="shared" si="169"/>
        <v>0.20418148382600484</v>
      </c>
      <c r="R273" s="455">
        <f>Forecast!J268</f>
        <v>193177</v>
      </c>
      <c r="S273" s="455">
        <f>Forecast!N268</f>
        <v>213251</v>
      </c>
      <c r="T273" s="475">
        <f t="shared" si="170"/>
        <v>1984578.3000000003</v>
      </c>
      <c r="U273" s="475">
        <f t="shared" si="171"/>
        <v>1256337</v>
      </c>
      <c r="V273" s="349">
        <f t="shared" si="172"/>
        <v>1322941</v>
      </c>
      <c r="W273" s="350">
        <f t="shared" ref="W273:W319" si="180">Z273+AA273</f>
        <v>1850942</v>
      </c>
      <c r="X273" s="469">
        <f>'Channel &amp; Campaign Metrics'!AR272</f>
        <v>1235776</v>
      </c>
      <c r="Y273" s="469">
        <f>'Channel &amp; Campaign Metrics'!BS272</f>
        <v>615166</v>
      </c>
      <c r="Z273" s="446">
        <v>1110565.2</v>
      </c>
      <c r="AA273" s="112">
        <v>740376.8</v>
      </c>
      <c r="AB273" s="358">
        <f>'Glass Metrics'!AC273</f>
        <v>186469</v>
      </c>
      <c r="AC273" s="475">
        <f>'Glass Metrics'!I273</f>
        <v>156882</v>
      </c>
      <c r="AD273" s="469">
        <f>'Glass Metrics'!N273</f>
        <v>158690</v>
      </c>
      <c r="AE273" s="349">
        <f>'Glass Metrics'!S273</f>
        <v>160652</v>
      </c>
      <c r="AF273" s="359">
        <f t="shared" si="174"/>
        <v>0.86154803211257636</v>
      </c>
      <c r="AG273" s="477">
        <f t="shared" si="175"/>
        <v>0.97653312750541543</v>
      </c>
      <c r="AH273" s="472">
        <f t="shared" si="176"/>
        <v>1.0115245853571475</v>
      </c>
      <c r="AI273" s="360">
        <f t="shared" si="177"/>
        <v>1.6952045648338332</v>
      </c>
      <c r="AJ273" s="363">
        <f t="shared" si="151"/>
        <v>0.51690858492537972</v>
      </c>
      <c r="AK273" s="478">
        <v>0.70488823681439494</v>
      </c>
      <c r="AL273" s="478">
        <v>0.29425998614210752</v>
      </c>
      <c r="AM273" s="429">
        <v>85074</v>
      </c>
      <c r="AN273" s="429">
        <v>71827</v>
      </c>
      <c r="AO273" s="374">
        <f t="shared" si="137"/>
        <v>0.51690858492537972</v>
      </c>
      <c r="AP273" s="363">
        <f>AVERAGE(AQ273:AR273)</f>
        <v>0.32255134154880449</v>
      </c>
      <c r="AQ273" s="493">
        <v>0.60952229504929878</v>
      </c>
      <c r="AR273" s="493">
        <v>3.5580388048310208E-2</v>
      </c>
      <c r="AS273" s="374">
        <f t="shared" ref="AS273:AS304" si="181">AP273</f>
        <v>0.32255134154880449</v>
      </c>
      <c r="AT273" s="92">
        <v>10021</v>
      </c>
      <c r="AU273" s="92">
        <v>39627</v>
      </c>
      <c r="AV273" s="455">
        <f t="shared" ref="AV273:AV319" si="182">SUM(AT273:AU273)</f>
        <v>49648</v>
      </c>
      <c r="AW273" s="455">
        <f t="shared" si="138"/>
        <v>3006.3000000000011</v>
      </c>
      <c r="AX273" s="455">
        <f t="shared" si="139"/>
        <v>11888.099999999999</v>
      </c>
      <c r="AY273" s="386">
        <f t="shared" si="140"/>
        <v>14894.4</v>
      </c>
      <c r="AZ273" s="180">
        <f t="shared" si="152"/>
        <v>49206.650000000009</v>
      </c>
      <c r="BA273" s="449">
        <f t="shared" si="153"/>
        <v>56161.050000000017</v>
      </c>
      <c r="BB273" s="429">
        <v>85386</v>
      </c>
      <c r="BC273" s="429">
        <v>60807</v>
      </c>
      <c r="BD273" s="429">
        <v>13027.300000000001</v>
      </c>
      <c r="BE273" s="429">
        <v>51515.1</v>
      </c>
      <c r="BF273" s="453">
        <f t="shared" si="154"/>
        <v>0.46699937457114465</v>
      </c>
      <c r="BG273" s="453">
        <f t="shared" si="155"/>
        <v>0.5330006254288554</v>
      </c>
      <c r="BH273" s="453">
        <f t="shared" si="156"/>
        <v>0.73008191254681332</v>
      </c>
      <c r="BI273" s="453">
        <f t="shared" si="157"/>
        <v>0.51992236263830227</v>
      </c>
      <c r="BJ273" s="453">
        <f t="shared" si="158"/>
        <v>0.20184096036094104</v>
      </c>
      <c r="BK273" s="453">
        <f t="shared" si="159"/>
        <v>0.79815903963905899</v>
      </c>
      <c r="BL273" s="840">
        <v>70583</v>
      </c>
      <c r="BM273" s="92">
        <v>87555</v>
      </c>
      <c r="BN273" s="386">
        <f t="shared" si="178"/>
        <v>158138</v>
      </c>
    </row>
    <row r="274" spans="1:66" ht="15.75" customHeight="1">
      <c r="A274" s="175">
        <f t="shared" si="161"/>
        <v>2026</v>
      </c>
      <c r="B274" s="454" t="str">
        <f t="shared" si="162"/>
        <v>07</v>
      </c>
      <c r="C274" s="454" t="str">
        <f t="array" ref="C274">_xlfn.IFS(_xlfn.NUMBERVALUE(B274)&lt;=13,"Q1",AND(_xlfn.NUMBERVALUE(B274)&gt;13,_xlfn.NUMBERVALUE(B274)&lt;=26),"Q2", AND(_xlfn.NUMBERVALUE(B274)&gt;26,_xlfn.NUMBERVALUE(B274)&lt;=39),"Q3",_xlfn.NUMBERVALUE(B274)&gt;39,"Q4")</f>
        <v>Q1</v>
      </c>
      <c r="D274" s="448">
        <f t="shared" si="179"/>
        <v>45731</v>
      </c>
      <c r="E274" s="448">
        <f t="shared" si="163"/>
        <v>45737</v>
      </c>
      <c r="F274" s="79">
        <v>202507</v>
      </c>
      <c r="G274" s="180">
        <f t="shared" si="164"/>
        <v>0</v>
      </c>
      <c r="H274" s="429"/>
      <c r="I274" s="429"/>
      <c r="J274" s="474">
        <f t="shared" si="165"/>
        <v>0</v>
      </c>
      <c r="K274" s="474">
        <f t="shared" si="166"/>
        <v>0</v>
      </c>
      <c r="L274" s="92"/>
      <c r="M274" s="92"/>
      <c r="N274" s="92"/>
      <c r="O274" s="474">
        <f t="shared" si="167"/>
        <v>0</v>
      </c>
      <c r="P274" s="474">
        <f t="shared" si="168"/>
        <v>0</v>
      </c>
      <c r="Q274" s="474">
        <f t="shared" si="169"/>
        <v>0</v>
      </c>
      <c r="R274" s="455">
        <f>Forecast!J269</f>
        <v>0</v>
      </c>
      <c r="S274" s="455">
        <f>Forecast!N269</f>
        <v>0</v>
      </c>
      <c r="T274" s="475">
        <f t="shared" si="170"/>
        <v>0</v>
      </c>
      <c r="U274" s="475">
        <f t="shared" si="171"/>
        <v>1256337</v>
      </c>
      <c r="V274" s="349">
        <f t="shared" si="172"/>
        <v>1322941</v>
      </c>
      <c r="W274" s="350">
        <f t="shared" si="180"/>
        <v>0</v>
      </c>
      <c r="X274" s="469">
        <f>'Channel &amp; Campaign Metrics'!AR273</f>
        <v>0</v>
      </c>
      <c r="Y274" s="469">
        <f>'Channel &amp; Campaign Metrics'!BS273</f>
        <v>0</v>
      </c>
      <c r="Z274" s="446"/>
      <c r="AA274" s="112"/>
      <c r="AB274" s="358">
        <f>'Glass Metrics'!AC274</f>
        <v>0</v>
      </c>
      <c r="AC274" s="475">
        <f>'Glass Metrics'!I274</f>
        <v>0</v>
      </c>
      <c r="AD274" s="469">
        <f>'Glass Metrics'!N274</f>
        <v>0</v>
      </c>
      <c r="AE274" s="349">
        <f>'Glass Metrics'!S274</f>
        <v>0</v>
      </c>
      <c r="AF274" s="359" t="str">
        <f t="shared" si="174"/>
        <v/>
      </c>
      <c r="AG274" s="477" t="str">
        <f t="shared" si="175"/>
        <v/>
      </c>
      <c r="AH274" s="472" t="str">
        <f t="shared" si="176"/>
        <v/>
      </c>
      <c r="AI274" s="360" t="str">
        <f t="shared" si="177"/>
        <v/>
      </c>
      <c r="AJ274" s="363" t="str">
        <f t="shared" si="151"/>
        <v/>
      </c>
      <c r="AK274" s="542"/>
      <c r="AL274" s="542"/>
      <c r="AM274" s="429"/>
      <c r="AN274" s="429"/>
      <c r="AO274" s="374" t="str">
        <f t="shared" si="137"/>
        <v/>
      </c>
      <c r="AP274" s="363"/>
      <c r="AQ274" s="493"/>
      <c r="AR274" s="493"/>
      <c r="AS274" s="374">
        <f t="shared" si="181"/>
        <v>0</v>
      </c>
      <c r="AT274" s="92"/>
      <c r="AU274" s="92"/>
      <c r="AV274" s="455">
        <f t="shared" si="182"/>
        <v>0</v>
      </c>
      <c r="AW274" s="455">
        <f t="shared" si="138"/>
        <v>0</v>
      </c>
      <c r="AX274" s="455">
        <f t="shared" si="139"/>
        <v>0</v>
      </c>
      <c r="AY274" s="386">
        <f t="shared" si="140"/>
        <v>0</v>
      </c>
      <c r="AZ274" s="180">
        <f t="shared" si="152"/>
        <v>0</v>
      </c>
      <c r="BA274" s="449">
        <f t="shared" si="153"/>
        <v>0</v>
      </c>
      <c r="BB274" s="429"/>
      <c r="BC274" s="429"/>
      <c r="BD274" s="429"/>
      <c r="BE274" s="429"/>
      <c r="BF274" s="453" t="str">
        <f t="shared" si="154"/>
        <v>-</v>
      </c>
      <c r="BG274" s="453" t="str">
        <f t="shared" si="155"/>
        <v>-</v>
      </c>
      <c r="BH274" s="453" t="str">
        <f t="shared" si="156"/>
        <v>-</v>
      </c>
      <c r="BI274" s="453" t="str">
        <f t="shared" si="157"/>
        <v>-</v>
      </c>
      <c r="BJ274" s="453" t="str">
        <f t="shared" si="158"/>
        <v>-</v>
      </c>
      <c r="BK274" s="453" t="str">
        <f t="shared" si="159"/>
        <v>-</v>
      </c>
      <c r="BL274" s="840"/>
      <c r="BM274" s="92"/>
      <c r="BN274" s="386">
        <f t="shared" si="178"/>
        <v>0</v>
      </c>
    </row>
    <row r="275" spans="1:66" ht="15.75" customHeight="1">
      <c r="A275" s="175">
        <f t="shared" si="161"/>
        <v>2026</v>
      </c>
      <c r="B275" s="454" t="str">
        <f t="shared" si="162"/>
        <v>08</v>
      </c>
      <c r="C275" s="454" t="str">
        <f t="array" ref="C275">_xlfn.IFS(_xlfn.NUMBERVALUE(B275)&lt;=13,"Q1",AND(_xlfn.NUMBERVALUE(B275)&gt;13,_xlfn.NUMBERVALUE(B275)&lt;=26),"Q2", AND(_xlfn.NUMBERVALUE(B275)&gt;26,_xlfn.NUMBERVALUE(B275)&lt;=39),"Q3",_xlfn.NUMBERVALUE(B275)&gt;39,"Q4")</f>
        <v>Q1</v>
      </c>
      <c r="D275" s="448">
        <f t="shared" si="179"/>
        <v>45738</v>
      </c>
      <c r="E275" s="448">
        <f t="shared" si="163"/>
        <v>45744</v>
      </c>
      <c r="F275" s="79">
        <v>202508</v>
      </c>
      <c r="G275" s="180">
        <f t="shared" si="164"/>
        <v>0</v>
      </c>
      <c r="H275" s="429"/>
      <c r="I275" s="429"/>
      <c r="J275" s="474">
        <f t="shared" si="165"/>
        <v>0</v>
      </c>
      <c r="K275" s="474">
        <f t="shared" si="166"/>
        <v>0</v>
      </c>
      <c r="L275" s="92">
        <f t="shared" ref="L275:L319" si="183">AZ275+BA275</f>
        <v>0</v>
      </c>
      <c r="M275" s="92">
        <f t="shared" ref="M275:M319" si="184">BB275+BC275</f>
        <v>0</v>
      </c>
      <c r="N275" s="92"/>
      <c r="O275" s="474">
        <f t="shared" si="167"/>
        <v>0</v>
      </c>
      <c r="P275" s="474">
        <f t="shared" si="168"/>
        <v>0</v>
      </c>
      <c r="Q275" s="474">
        <f t="shared" si="169"/>
        <v>0</v>
      </c>
      <c r="R275" s="455">
        <f>Forecast!J270</f>
        <v>0</v>
      </c>
      <c r="S275" s="455">
        <f>Forecast!N270</f>
        <v>0</v>
      </c>
      <c r="T275" s="475">
        <f t="shared" si="170"/>
        <v>0</v>
      </c>
      <c r="U275" s="475">
        <f t="shared" si="171"/>
        <v>1256337</v>
      </c>
      <c r="V275" s="349">
        <f t="shared" si="172"/>
        <v>1322941</v>
      </c>
      <c r="W275" s="350">
        <f t="shared" si="180"/>
        <v>0</v>
      </c>
      <c r="X275" s="469">
        <f>'Channel &amp; Campaign Metrics'!AR274</f>
        <v>0</v>
      </c>
      <c r="Y275" s="469">
        <f>'Channel &amp; Campaign Metrics'!BS274</f>
        <v>0</v>
      </c>
      <c r="Z275" s="476"/>
      <c r="AA275" s="339"/>
      <c r="AB275" s="358">
        <f>'Glass Metrics'!AC275</f>
        <v>0</v>
      </c>
      <c r="AC275" s="475">
        <f>'Glass Metrics'!I275</f>
        <v>0</v>
      </c>
      <c r="AD275" s="469">
        <f>'Glass Metrics'!N275</f>
        <v>0</v>
      </c>
      <c r="AE275" s="349">
        <f>'Glass Metrics'!S275</f>
        <v>0</v>
      </c>
      <c r="AF275" s="359" t="str">
        <f t="shared" si="174"/>
        <v/>
      </c>
      <c r="AG275" s="477" t="str">
        <f t="shared" si="175"/>
        <v/>
      </c>
      <c r="AH275" s="472" t="str">
        <f t="shared" si="176"/>
        <v/>
      </c>
      <c r="AI275" s="360" t="str">
        <f t="shared" si="177"/>
        <v/>
      </c>
      <c r="AJ275" s="363" t="str">
        <f t="shared" si="151"/>
        <v/>
      </c>
      <c r="AK275" s="478"/>
      <c r="AL275" s="478"/>
      <c r="AM275" s="429"/>
      <c r="AN275" s="429"/>
      <c r="AO275" s="374" t="str">
        <f t="shared" si="137"/>
        <v/>
      </c>
      <c r="AP275" s="363"/>
      <c r="AQ275" s="479"/>
      <c r="AR275" s="479"/>
      <c r="AS275" s="374">
        <f t="shared" si="181"/>
        <v>0</v>
      </c>
      <c r="AT275" s="125"/>
      <c r="AU275" s="92"/>
      <c r="AV275" s="455">
        <f t="shared" si="182"/>
        <v>0</v>
      </c>
      <c r="AW275" s="455">
        <f t="shared" si="138"/>
        <v>0</v>
      </c>
      <c r="AX275" s="455">
        <f t="shared" si="139"/>
        <v>0</v>
      </c>
      <c r="AY275" s="386">
        <f t="shared" si="140"/>
        <v>0</v>
      </c>
      <c r="AZ275" s="180">
        <f t="shared" si="152"/>
        <v>0</v>
      </c>
      <c r="BA275" s="449">
        <f t="shared" si="153"/>
        <v>0</v>
      </c>
      <c r="BB275" s="429"/>
      <c r="BC275" s="429"/>
      <c r="BD275" s="429"/>
      <c r="BE275" s="429"/>
      <c r="BF275" s="453" t="str">
        <f t="shared" si="154"/>
        <v>-</v>
      </c>
      <c r="BG275" s="453" t="str">
        <f t="shared" si="155"/>
        <v>-</v>
      </c>
      <c r="BH275" s="453" t="str">
        <f t="shared" si="156"/>
        <v>-</v>
      </c>
      <c r="BI275" s="453" t="str">
        <f t="shared" si="157"/>
        <v>-</v>
      </c>
      <c r="BJ275" s="453" t="str">
        <f t="shared" si="158"/>
        <v>-</v>
      </c>
      <c r="BK275" s="390" t="str">
        <f t="shared" si="159"/>
        <v>-</v>
      </c>
      <c r="BL275" s="125"/>
      <c r="BM275" s="92"/>
      <c r="BN275" s="386">
        <f t="shared" si="178"/>
        <v>0</v>
      </c>
    </row>
    <row r="276" spans="1:66" ht="15.75" customHeight="1">
      <c r="A276" s="175">
        <f t="shared" si="161"/>
        <v>2026</v>
      </c>
      <c r="B276" s="454" t="str">
        <f t="shared" si="162"/>
        <v>09</v>
      </c>
      <c r="C276" s="454" t="str">
        <f t="array" ref="C276">_xlfn.IFS(_xlfn.NUMBERVALUE(B276)&lt;=13,"Q1",AND(_xlfn.NUMBERVALUE(B276)&gt;13,_xlfn.NUMBERVALUE(B276)&lt;=26),"Q2", AND(_xlfn.NUMBERVALUE(B276)&gt;26,_xlfn.NUMBERVALUE(B276)&lt;=39),"Q3",_xlfn.NUMBERVALUE(B276)&gt;39,"Q4")</f>
        <v>Q1</v>
      </c>
      <c r="D276" s="448">
        <f t="shared" si="179"/>
        <v>45745</v>
      </c>
      <c r="E276" s="448">
        <f t="shared" si="163"/>
        <v>45751</v>
      </c>
      <c r="F276" s="79">
        <v>202509</v>
      </c>
      <c r="G276" s="180">
        <f t="shared" si="164"/>
        <v>0</v>
      </c>
      <c r="H276" s="429"/>
      <c r="I276" s="429"/>
      <c r="J276" s="474">
        <f t="shared" si="165"/>
        <v>0</v>
      </c>
      <c r="K276" s="474">
        <f t="shared" si="166"/>
        <v>0</v>
      </c>
      <c r="L276" s="92">
        <f t="shared" si="183"/>
        <v>0</v>
      </c>
      <c r="M276" s="92">
        <f t="shared" si="184"/>
        <v>0</v>
      </c>
      <c r="N276" s="92"/>
      <c r="O276" s="474">
        <f t="shared" si="167"/>
        <v>0</v>
      </c>
      <c r="P276" s="474">
        <f t="shared" si="168"/>
        <v>0</v>
      </c>
      <c r="Q276" s="474">
        <f t="shared" si="169"/>
        <v>0</v>
      </c>
      <c r="R276" s="455">
        <f>Forecast!J271</f>
        <v>0</v>
      </c>
      <c r="S276" s="455">
        <f>Forecast!N271</f>
        <v>0</v>
      </c>
      <c r="T276" s="475">
        <f t="shared" si="170"/>
        <v>0</v>
      </c>
      <c r="U276" s="475">
        <f t="shared" si="171"/>
        <v>1256337</v>
      </c>
      <c r="V276" s="349">
        <f t="shared" si="172"/>
        <v>1322941</v>
      </c>
      <c r="W276" s="350">
        <f t="shared" si="180"/>
        <v>0</v>
      </c>
      <c r="X276" s="469">
        <f>'Channel &amp; Campaign Metrics'!AR275</f>
        <v>0</v>
      </c>
      <c r="Y276" s="469">
        <f>'Channel &amp; Campaign Metrics'!BS275</f>
        <v>0</v>
      </c>
      <c r="Z276" s="476"/>
      <c r="AA276" s="339"/>
      <c r="AB276" s="358">
        <f>'Glass Metrics'!AC276</f>
        <v>0</v>
      </c>
      <c r="AC276" s="475">
        <f>'Glass Metrics'!I276</f>
        <v>0</v>
      </c>
      <c r="AD276" s="469">
        <f>'Glass Metrics'!N276</f>
        <v>0</v>
      </c>
      <c r="AE276" s="349">
        <f>'Glass Metrics'!S276</f>
        <v>0</v>
      </c>
      <c r="AF276" s="359" t="str">
        <f t="shared" si="174"/>
        <v/>
      </c>
      <c r="AG276" s="477" t="str">
        <f t="shared" si="175"/>
        <v/>
      </c>
      <c r="AH276" s="472" t="str">
        <f t="shared" si="176"/>
        <v/>
      </c>
      <c r="AI276" s="360" t="str">
        <f t="shared" si="177"/>
        <v/>
      </c>
      <c r="AJ276" s="363" t="str">
        <f t="shared" si="151"/>
        <v/>
      </c>
      <c r="AK276" s="478"/>
      <c r="AL276" s="478"/>
      <c r="AM276" s="429"/>
      <c r="AN276" s="429"/>
      <c r="AO276" s="374" t="str">
        <f t="shared" si="137"/>
        <v/>
      </c>
      <c r="AP276" s="363"/>
      <c r="AQ276" s="479"/>
      <c r="AR276" s="479"/>
      <c r="AS276" s="374">
        <f t="shared" si="181"/>
        <v>0</v>
      </c>
      <c r="AT276" s="125"/>
      <c r="AU276" s="92"/>
      <c r="AV276" s="455">
        <f t="shared" si="182"/>
        <v>0</v>
      </c>
      <c r="AW276" s="455">
        <f t="shared" si="138"/>
        <v>0</v>
      </c>
      <c r="AX276" s="455">
        <f t="shared" si="139"/>
        <v>0</v>
      </c>
      <c r="AY276" s="386">
        <f t="shared" si="140"/>
        <v>0</v>
      </c>
      <c r="AZ276" s="180">
        <f t="shared" si="152"/>
        <v>0</v>
      </c>
      <c r="BA276" s="449">
        <f t="shared" si="153"/>
        <v>0</v>
      </c>
      <c r="BB276" s="429"/>
      <c r="BC276" s="429"/>
      <c r="BD276" s="429"/>
      <c r="BE276" s="429"/>
      <c r="BF276" s="453" t="str">
        <f t="shared" si="154"/>
        <v>-</v>
      </c>
      <c r="BG276" s="453" t="str">
        <f t="shared" si="155"/>
        <v>-</v>
      </c>
      <c r="BH276" s="453" t="str">
        <f t="shared" si="156"/>
        <v>-</v>
      </c>
      <c r="BI276" s="453" t="str">
        <f t="shared" si="157"/>
        <v>-</v>
      </c>
      <c r="BJ276" s="453" t="str">
        <f t="shared" si="158"/>
        <v>-</v>
      </c>
      <c r="BK276" s="390" t="str">
        <f t="shared" si="159"/>
        <v>-</v>
      </c>
      <c r="BL276" s="125"/>
      <c r="BM276" s="92"/>
      <c r="BN276" s="386">
        <f t="shared" si="178"/>
        <v>0</v>
      </c>
    </row>
    <row r="277" spans="1:66" ht="15.75" customHeight="1">
      <c r="A277" s="175">
        <f t="shared" si="161"/>
        <v>2026</v>
      </c>
      <c r="B277" s="454" t="str">
        <f t="shared" si="162"/>
        <v>10</v>
      </c>
      <c r="C277" s="454" t="str">
        <f t="array" ref="C277">_xlfn.IFS(_xlfn.NUMBERVALUE(B277)&lt;=13,"Q1",AND(_xlfn.NUMBERVALUE(B277)&gt;13,_xlfn.NUMBERVALUE(B277)&lt;=26),"Q2", AND(_xlfn.NUMBERVALUE(B277)&gt;26,_xlfn.NUMBERVALUE(B277)&lt;=39),"Q3",_xlfn.NUMBERVALUE(B277)&gt;39,"Q4")</f>
        <v>Q1</v>
      </c>
      <c r="D277" s="448">
        <f t="shared" si="179"/>
        <v>45752</v>
      </c>
      <c r="E277" s="448">
        <f t="shared" si="163"/>
        <v>45758</v>
      </c>
      <c r="F277" s="79">
        <v>202510</v>
      </c>
      <c r="G277" s="180">
        <f t="shared" si="164"/>
        <v>0</v>
      </c>
      <c r="H277" s="429"/>
      <c r="I277" s="429"/>
      <c r="J277" s="474">
        <f t="shared" si="165"/>
        <v>0</v>
      </c>
      <c r="K277" s="474">
        <f t="shared" si="166"/>
        <v>0</v>
      </c>
      <c r="L277" s="92">
        <f t="shared" si="183"/>
        <v>0</v>
      </c>
      <c r="M277" s="92">
        <f t="shared" si="184"/>
        <v>0</v>
      </c>
      <c r="N277" s="92"/>
      <c r="O277" s="474">
        <f t="shared" si="167"/>
        <v>0</v>
      </c>
      <c r="P277" s="474">
        <f t="shared" si="168"/>
        <v>0</v>
      </c>
      <c r="Q277" s="474">
        <f t="shared" si="169"/>
        <v>0</v>
      </c>
      <c r="R277" s="455">
        <f>Forecast!J272</f>
        <v>0</v>
      </c>
      <c r="S277" s="455">
        <f>Forecast!N272</f>
        <v>0</v>
      </c>
      <c r="T277" s="475">
        <f t="shared" si="170"/>
        <v>0</v>
      </c>
      <c r="U277" s="475">
        <f t="shared" si="171"/>
        <v>1256337</v>
      </c>
      <c r="V277" s="349">
        <f t="shared" si="172"/>
        <v>1322941</v>
      </c>
      <c r="W277" s="350">
        <f t="shared" si="180"/>
        <v>0</v>
      </c>
      <c r="X277" s="469">
        <f>'Channel &amp; Campaign Metrics'!AR276</f>
        <v>0</v>
      </c>
      <c r="Y277" s="469">
        <f>'Channel &amp; Campaign Metrics'!BS276</f>
        <v>0</v>
      </c>
      <c r="Z277" s="476"/>
      <c r="AA277" s="339"/>
      <c r="AB277" s="358">
        <f>'Glass Metrics'!AC277</f>
        <v>0</v>
      </c>
      <c r="AC277" s="475">
        <f>'Glass Metrics'!I277</f>
        <v>0</v>
      </c>
      <c r="AD277" s="469">
        <f>'Glass Metrics'!N277</f>
        <v>0</v>
      </c>
      <c r="AE277" s="349">
        <f>'Glass Metrics'!S277</f>
        <v>0</v>
      </c>
      <c r="AF277" s="359" t="str">
        <f t="shared" si="174"/>
        <v/>
      </c>
      <c r="AG277" s="477" t="str">
        <f t="shared" si="175"/>
        <v/>
      </c>
      <c r="AH277" s="472" t="str">
        <f t="shared" si="176"/>
        <v/>
      </c>
      <c r="AI277" s="360" t="str">
        <f t="shared" si="177"/>
        <v/>
      </c>
      <c r="AJ277" s="363" t="str">
        <f t="shared" si="151"/>
        <v/>
      </c>
      <c r="AK277" s="478"/>
      <c r="AL277" s="478"/>
      <c r="AM277" s="429"/>
      <c r="AN277" s="429"/>
      <c r="AO277" s="374" t="str">
        <f t="shared" si="137"/>
        <v/>
      </c>
      <c r="AP277" s="363"/>
      <c r="AQ277" s="479"/>
      <c r="AR277" s="479"/>
      <c r="AS277" s="374">
        <f t="shared" si="181"/>
        <v>0</v>
      </c>
      <c r="AT277" s="125"/>
      <c r="AU277" s="92"/>
      <c r="AV277" s="455">
        <f t="shared" si="182"/>
        <v>0</v>
      </c>
      <c r="AW277" s="455">
        <f t="shared" si="138"/>
        <v>0</v>
      </c>
      <c r="AX277" s="455">
        <f t="shared" si="139"/>
        <v>0</v>
      </c>
      <c r="AY277" s="386">
        <f t="shared" si="140"/>
        <v>0</v>
      </c>
      <c r="AZ277" s="180">
        <f t="shared" si="152"/>
        <v>0</v>
      </c>
      <c r="BA277" s="449">
        <f t="shared" si="153"/>
        <v>0</v>
      </c>
      <c r="BB277" s="429"/>
      <c r="BC277" s="429"/>
      <c r="BD277" s="429"/>
      <c r="BE277" s="429"/>
      <c r="BF277" s="453" t="str">
        <f t="shared" si="154"/>
        <v>-</v>
      </c>
      <c r="BG277" s="453" t="str">
        <f t="shared" si="155"/>
        <v>-</v>
      </c>
      <c r="BH277" s="453" t="str">
        <f t="shared" si="156"/>
        <v>-</v>
      </c>
      <c r="BI277" s="453" t="str">
        <f t="shared" si="157"/>
        <v>-</v>
      </c>
      <c r="BJ277" s="453" t="str">
        <f t="shared" si="158"/>
        <v>-</v>
      </c>
      <c r="BK277" s="390" t="str">
        <f t="shared" si="159"/>
        <v>-</v>
      </c>
      <c r="BL277" s="125"/>
      <c r="BM277" s="92"/>
      <c r="BN277" s="386">
        <f t="shared" si="178"/>
        <v>0</v>
      </c>
    </row>
    <row r="278" spans="1:66" ht="15.75" customHeight="1">
      <c r="A278" s="175">
        <f t="shared" si="161"/>
        <v>2026</v>
      </c>
      <c r="B278" s="454" t="str">
        <f t="shared" si="162"/>
        <v>11</v>
      </c>
      <c r="C278" s="454" t="str">
        <f t="array" ref="C278">_xlfn.IFS(_xlfn.NUMBERVALUE(B278)&lt;=13,"Q1",AND(_xlfn.NUMBERVALUE(B278)&gt;13,_xlfn.NUMBERVALUE(B278)&lt;=26),"Q2", AND(_xlfn.NUMBERVALUE(B278)&gt;26,_xlfn.NUMBERVALUE(B278)&lt;=39),"Q3",_xlfn.NUMBERVALUE(B278)&gt;39,"Q4")</f>
        <v>Q1</v>
      </c>
      <c r="D278" s="448">
        <f t="shared" si="179"/>
        <v>45759</v>
      </c>
      <c r="E278" s="448">
        <f t="shared" si="163"/>
        <v>45765</v>
      </c>
      <c r="F278" s="79">
        <v>202511</v>
      </c>
      <c r="G278" s="180">
        <f t="shared" si="164"/>
        <v>0</v>
      </c>
      <c r="H278" s="429"/>
      <c r="I278" s="429"/>
      <c r="J278" s="474">
        <f t="shared" si="165"/>
        <v>0</v>
      </c>
      <c r="K278" s="474">
        <f t="shared" si="166"/>
        <v>0</v>
      </c>
      <c r="L278" s="92">
        <f t="shared" si="183"/>
        <v>0</v>
      </c>
      <c r="M278" s="92">
        <f t="shared" si="184"/>
        <v>0</v>
      </c>
      <c r="N278" s="92"/>
      <c r="O278" s="474">
        <f t="shared" si="167"/>
        <v>0</v>
      </c>
      <c r="P278" s="474">
        <f t="shared" si="168"/>
        <v>0</v>
      </c>
      <c r="Q278" s="474">
        <f t="shared" si="169"/>
        <v>0</v>
      </c>
      <c r="R278" s="455">
        <f>Forecast!J273</f>
        <v>0</v>
      </c>
      <c r="S278" s="455">
        <f>Forecast!N273</f>
        <v>0</v>
      </c>
      <c r="T278" s="475">
        <f t="shared" si="170"/>
        <v>0</v>
      </c>
      <c r="U278" s="475">
        <f t="shared" si="171"/>
        <v>1256337</v>
      </c>
      <c r="V278" s="349">
        <f t="shared" si="172"/>
        <v>1322941</v>
      </c>
      <c r="W278" s="350">
        <f t="shared" si="180"/>
        <v>0</v>
      </c>
      <c r="X278" s="469">
        <f>'Channel &amp; Campaign Metrics'!AR277</f>
        <v>0</v>
      </c>
      <c r="Y278" s="469">
        <f>'Channel &amp; Campaign Metrics'!BS277</f>
        <v>0</v>
      </c>
      <c r="Z278" s="476"/>
      <c r="AA278" s="339"/>
      <c r="AB278" s="358">
        <f>'Glass Metrics'!AC278</f>
        <v>0</v>
      </c>
      <c r="AC278" s="475">
        <f>'Glass Metrics'!I278</f>
        <v>0</v>
      </c>
      <c r="AD278" s="469">
        <f>'Glass Metrics'!N278</f>
        <v>0</v>
      </c>
      <c r="AE278" s="349">
        <f>'Glass Metrics'!S278</f>
        <v>0</v>
      </c>
      <c r="AF278" s="359" t="str">
        <f t="shared" si="174"/>
        <v/>
      </c>
      <c r="AG278" s="477" t="str">
        <f t="shared" si="175"/>
        <v/>
      </c>
      <c r="AH278" s="472" t="str">
        <f t="shared" si="176"/>
        <v/>
      </c>
      <c r="AI278" s="360" t="str">
        <f t="shared" si="177"/>
        <v/>
      </c>
      <c r="AJ278" s="363" t="str">
        <f t="shared" si="151"/>
        <v/>
      </c>
      <c r="AK278" s="478"/>
      <c r="AL278" s="478"/>
      <c r="AM278" s="429"/>
      <c r="AN278" s="429"/>
      <c r="AO278" s="374" t="str">
        <f t="shared" si="137"/>
        <v/>
      </c>
      <c r="AP278" s="363"/>
      <c r="AQ278" s="479"/>
      <c r="AR278" s="479"/>
      <c r="AS278" s="374">
        <f t="shared" si="181"/>
        <v>0</v>
      </c>
      <c r="AT278" s="125"/>
      <c r="AU278" s="92"/>
      <c r="AV278" s="455">
        <f t="shared" si="182"/>
        <v>0</v>
      </c>
      <c r="AW278" s="455">
        <f t="shared" si="138"/>
        <v>0</v>
      </c>
      <c r="AX278" s="455">
        <f t="shared" si="139"/>
        <v>0</v>
      </c>
      <c r="AY278" s="386">
        <f t="shared" si="140"/>
        <v>0</v>
      </c>
      <c r="AZ278" s="180">
        <f t="shared" si="152"/>
        <v>0</v>
      </c>
      <c r="BA278" s="449">
        <f t="shared" si="153"/>
        <v>0</v>
      </c>
      <c r="BB278" s="429"/>
      <c r="BC278" s="429"/>
      <c r="BD278" s="429"/>
      <c r="BE278" s="429"/>
      <c r="BF278" s="453" t="str">
        <f t="shared" si="154"/>
        <v>-</v>
      </c>
      <c r="BG278" s="453" t="str">
        <f t="shared" si="155"/>
        <v>-</v>
      </c>
      <c r="BH278" s="453" t="str">
        <f t="shared" si="156"/>
        <v>-</v>
      </c>
      <c r="BI278" s="453" t="str">
        <f t="shared" si="157"/>
        <v>-</v>
      </c>
      <c r="BJ278" s="453" t="str">
        <f t="shared" si="158"/>
        <v>-</v>
      </c>
      <c r="BK278" s="390" t="str">
        <f t="shared" si="159"/>
        <v>-</v>
      </c>
      <c r="BL278" s="125"/>
      <c r="BM278" s="92"/>
      <c r="BN278" s="386">
        <f t="shared" si="178"/>
        <v>0</v>
      </c>
    </row>
    <row r="279" spans="1:66" ht="15.75" customHeight="1">
      <c r="A279" s="175">
        <f t="shared" si="161"/>
        <v>2026</v>
      </c>
      <c r="B279" s="454" t="str">
        <f t="shared" si="162"/>
        <v>12</v>
      </c>
      <c r="C279" s="454" t="str">
        <f t="array" ref="C279">_xlfn.IFS(_xlfn.NUMBERVALUE(B279)&lt;=13,"Q1",AND(_xlfn.NUMBERVALUE(B279)&gt;13,_xlfn.NUMBERVALUE(B279)&lt;=26),"Q2", AND(_xlfn.NUMBERVALUE(B279)&gt;26,_xlfn.NUMBERVALUE(B279)&lt;=39),"Q3",_xlfn.NUMBERVALUE(B279)&gt;39,"Q4")</f>
        <v>Q1</v>
      </c>
      <c r="D279" s="448">
        <f t="shared" si="179"/>
        <v>45766</v>
      </c>
      <c r="E279" s="448">
        <f t="shared" si="163"/>
        <v>45772</v>
      </c>
      <c r="F279" s="79">
        <v>202512</v>
      </c>
      <c r="G279" s="180">
        <f t="shared" si="164"/>
        <v>0</v>
      </c>
      <c r="H279" s="429"/>
      <c r="I279" s="429"/>
      <c r="J279" s="474">
        <f t="shared" si="165"/>
        <v>0</v>
      </c>
      <c r="K279" s="474">
        <f t="shared" si="166"/>
        <v>0</v>
      </c>
      <c r="L279" s="92">
        <f t="shared" si="183"/>
        <v>0</v>
      </c>
      <c r="M279" s="92">
        <f t="shared" si="184"/>
        <v>0</v>
      </c>
      <c r="N279" s="92"/>
      <c r="O279" s="474">
        <f t="shared" si="167"/>
        <v>0</v>
      </c>
      <c r="P279" s="474">
        <f t="shared" si="168"/>
        <v>0</v>
      </c>
      <c r="Q279" s="474">
        <f t="shared" si="169"/>
        <v>0</v>
      </c>
      <c r="R279" s="455">
        <f>Forecast!J274</f>
        <v>0</v>
      </c>
      <c r="S279" s="455">
        <f>Forecast!N274</f>
        <v>0</v>
      </c>
      <c r="T279" s="475">
        <f t="shared" si="170"/>
        <v>0</v>
      </c>
      <c r="U279" s="475">
        <f t="shared" si="171"/>
        <v>1256337</v>
      </c>
      <c r="V279" s="349">
        <f t="shared" si="172"/>
        <v>1322941</v>
      </c>
      <c r="W279" s="350">
        <f t="shared" si="180"/>
        <v>0</v>
      </c>
      <c r="X279" s="469">
        <f>'Channel &amp; Campaign Metrics'!AR278</f>
        <v>0</v>
      </c>
      <c r="Y279" s="469">
        <f>'Channel &amp; Campaign Metrics'!BS278</f>
        <v>0</v>
      </c>
      <c r="Z279" s="476"/>
      <c r="AA279" s="339"/>
      <c r="AB279" s="358">
        <f>'Glass Metrics'!AC279</f>
        <v>0</v>
      </c>
      <c r="AC279" s="475">
        <f>'Glass Metrics'!I279</f>
        <v>0</v>
      </c>
      <c r="AD279" s="469">
        <f>'Glass Metrics'!N279</f>
        <v>0</v>
      </c>
      <c r="AE279" s="349">
        <f>'Glass Metrics'!S279</f>
        <v>0</v>
      </c>
      <c r="AF279" s="359" t="str">
        <f t="shared" si="174"/>
        <v/>
      </c>
      <c r="AG279" s="477" t="str">
        <f t="shared" si="175"/>
        <v/>
      </c>
      <c r="AH279" s="472" t="str">
        <f t="shared" si="176"/>
        <v/>
      </c>
      <c r="AI279" s="360" t="str">
        <f t="shared" si="177"/>
        <v/>
      </c>
      <c r="AJ279" s="363" t="str">
        <f t="shared" si="151"/>
        <v/>
      </c>
      <c r="AK279" s="478"/>
      <c r="AL279" s="478"/>
      <c r="AM279" s="429"/>
      <c r="AN279" s="429"/>
      <c r="AO279" s="374" t="str">
        <f t="shared" si="137"/>
        <v/>
      </c>
      <c r="AP279" s="363"/>
      <c r="AQ279" s="479"/>
      <c r="AR279" s="479"/>
      <c r="AS279" s="374">
        <f t="shared" si="181"/>
        <v>0</v>
      </c>
      <c r="AT279" s="125"/>
      <c r="AU279" s="92"/>
      <c r="AV279" s="455">
        <f t="shared" si="182"/>
        <v>0</v>
      </c>
      <c r="AW279" s="455">
        <f t="shared" si="138"/>
        <v>0</v>
      </c>
      <c r="AX279" s="455">
        <f t="shared" si="139"/>
        <v>0</v>
      </c>
      <c r="AY279" s="386">
        <f t="shared" si="140"/>
        <v>0</v>
      </c>
      <c r="AZ279" s="180">
        <f t="shared" si="152"/>
        <v>0</v>
      </c>
      <c r="BA279" s="449">
        <f t="shared" si="153"/>
        <v>0</v>
      </c>
      <c r="BB279" s="429"/>
      <c r="BC279" s="429"/>
      <c r="BD279" s="429"/>
      <c r="BE279" s="429"/>
      <c r="BF279" s="453" t="str">
        <f t="shared" si="154"/>
        <v>-</v>
      </c>
      <c r="BG279" s="453" t="str">
        <f t="shared" si="155"/>
        <v>-</v>
      </c>
      <c r="BH279" s="453" t="str">
        <f t="shared" si="156"/>
        <v>-</v>
      </c>
      <c r="BI279" s="453" t="str">
        <f t="shared" si="157"/>
        <v>-</v>
      </c>
      <c r="BJ279" s="453" t="str">
        <f t="shared" si="158"/>
        <v>-</v>
      </c>
      <c r="BK279" s="390" t="str">
        <f t="shared" si="159"/>
        <v>-</v>
      </c>
      <c r="BL279" s="125"/>
      <c r="BM279" s="92"/>
      <c r="BN279" s="386">
        <f t="shared" si="178"/>
        <v>0</v>
      </c>
    </row>
    <row r="280" spans="1:66" ht="15.75" customHeight="1">
      <c r="A280" s="175">
        <f t="shared" si="161"/>
        <v>2026</v>
      </c>
      <c r="B280" s="454" t="str">
        <f t="shared" si="162"/>
        <v>13</v>
      </c>
      <c r="C280" s="454" t="str">
        <f t="array" ref="C280">_xlfn.IFS(_xlfn.NUMBERVALUE(B280)&lt;=13,"Q1",AND(_xlfn.NUMBERVALUE(B280)&gt;13,_xlfn.NUMBERVALUE(B280)&lt;=26),"Q2", AND(_xlfn.NUMBERVALUE(B280)&gt;26,_xlfn.NUMBERVALUE(B280)&lt;=39),"Q3",_xlfn.NUMBERVALUE(B280)&gt;39,"Q4")</f>
        <v>Q1</v>
      </c>
      <c r="D280" s="448">
        <f t="shared" si="179"/>
        <v>45773</v>
      </c>
      <c r="E280" s="448">
        <f t="shared" si="163"/>
        <v>45779</v>
      </c>
      <c r="F280" s="79">
        <v>202513</v>
      </c>
      <c r="G280" s="180">
        <f t="shared" si="164"/>
        <v>0</v>
      </c>
      <c r="H280" s="429"/>
      <c r="I280" s="429"/>
      <c r="J280" s="474">
        <f t="shared" si="165"/>
        <v>0</v>
      </c>
      <c r="K280" s="474">
        <f t="shared" si="166"/>
        <v>0</v>
      </c>
      <c r="L280" s="92">
        <f t="shared" si="183"/>
        <v>0</v>
      </c>
      <c r="M280" s="92">
        <f t="shared" si="184"/>
        <v>0</v>
      </c>
      <c r="N280" s="92"/>
      <c r="O280" s="474">
        <f t="shared" si="167"/>
        <v>0</v>
      </c>
      <c r="P280" s="474">
        <f t="shared" si="168"/>
        <v>0</v>
      </c>
      <c r="Q280" s="474">
        <f t="shared" si="169"/>
        <v>0</v>
      </c>
      <c r="R280" s="455">
        <f>Forecast!J275</f>
        <v>0</v>
      </c>
      <c r="S280" s="455">
        <f>Forecast!N275</f>
        <v>0</v>
      </c>
      <c r="T280" s="475">
        <f t="shared" si="170"/>
        <v>0</v>
      </c>
      <c r="U280" s="475">
        <f t="shared" si="171"/>
        <v>1256337</v>
      </c>
      <c r="V280" s="349">
        <f t="shared" si="172"/>
        <v>1322941</v>
      </c>
      <c r="W280" s="350">
        <f t="shared" si="180"/>
        <v>0</v>
      </c>
      <c r="X280" s="469">
        <f>'Channel &amp; Campaign Metrics'!AR279</f>
        <v>0</v>
      </c>
      <c r="Y280" s="469">
        <f>'Channel &amp; Campaign Metrics'!BS279</f>
        <v>0</v>
      </c>
      <c r="Z280" s="476"/>
      <c r="AA280" s="339"/>
      <c r="AB280" s="358">
        <f>'Glass Metrics'!AC280</f>
        <v>0</v>
      </c>
      <c r="AC280" s="475">
        <f>'Glass Metrics'!I280</f>
        <v>0</v>
      </c>
      <c r="AD280" s="469">
        <f>'Glass Metrics'!N280</f>
        <v>0</v>
      </c>
      <c r="AE280" s="349">
        <f>'Glass Metrics'!S280</f>
        <v>0</v>
      </c>
      <c r="AF280" s="359" t="str">
        <f t="shared" si="174"/>
        <v/>
      </c>
      <c r="AG280" s="477" t="str">
        <f t="shared" si="175"/>
        <v/>
      </c>
      <c r="AH280" s="472" t="str">
        <f t="shared" si="176"/>
        <v/>
      </c>
      <c r="AI280" s="360" t="str">
        <f t="shared" si="177"/>
        <v/>
      </c>
      <c r="AJ280" s="363" t="str">
        <f t="shared" si="151"/>
        <v/>
      </c>
      <c r="AK280" s="478"/>
      <c r="AL280" s="478"/>
      <c r="AM280" s="429"/>
      <c r="AN280" s="429"/>
      <c r="AO280" s="374" t="str">
        <f t="shared" si="137"/>
        <v/>
      </c>
      <c r="AP280" s="363"/>
      <c r="AQ280" s="479"/>
      <c r="AR280" s="479"/>
      <c r="AS280" s="374">
        <f t="shared" si="181"/>
        <v>0</v>
      </c>
      <c r="AT280" s="125"/>
      <c r="AU280" s="92"/>
      <c r="AV280" s="455">
        <f t="shared" si="182"/>
        <v>0</v>
      </c>
      <c r="AW280" s="455">
        <f t="shared" si="138"/>
        <v>0</v>
      </c>
      <c r="AX280" s="455">
        <f t="shared" si="139"/>
        <v>0</v>
      </c>
      <c r="AY280" s="386">
        <f t="shared" si="140"/>
        <v>0</v>
      </c>
      <c r="AZ280" s="180">
        <f t="shared" si="152"/>
        <v>0</v>
      </c>
      <c r="BA280" s="449">
        <f t="shared" si="153"/>
        <v>0</v>
      </c>
      <c r="BB280" s="429"/>
      <c r="BC280" s="429"/>
      <c r="BD280" s="429"/>
      <c r="BE280" s="429"/>
      <c r="BF280" s="453" t="str">
        <f t="shared" si="154"/>
        <v>-</v>
      </c>
      <c r="BG280" s="453" t="str">
        <f t="shared" si="155"/>
        <v>-</v>
      </c>
      <c r="BH280" s="453" t="str">
        <f t="shared" si="156"/>
        <v>-</v>
      </c>
      <c r="BI280" s="453" t="str">
        <f t="shared" si="157"/>
        <v>-</v>
      </c>
      <c r="BJ280" s="453" t="str">
        <f t="shared" si="158"/>
        <v>-</v>
      </c>
      <c r="BK280" s="390" t="str">
        <f t="shared" si="159"/>
        <v>-</v>
      </c>
      <c r="BL280" s="125"/>
      <c r="BM280" s="92"/>
      <c r="BN280" s="386">
        <f t="shared" si="178"/>
        <v>0</v>
      </c>
    </row>
    <row r="281" spans="1:66" ht="15.75" customHeight="1">
      <c r="A281" s="175">
        <f t="shared" si="161"/>
        <v>2026</v>
      </c>
      <c r="B281" s="454" t="str">
        <f t="shared" si="162"/>
        <v>14</v>
      </c>
      <c r="C281" s="454" t="str">
        <f t="array" ref="C281">_xlfn.IFS(_xlfn.NUMBERVALUE(B281)&lt;=13,"Q1",AND(_xlfn.NUMBERVALUE(B281)&gt;13,_xlfn.NUMBERVALUE(B281)&lt;=26),"Q2", AND(_xlfn.NUMBERVALUE(B281)&gt;26,_xlfn.NUMBERVALUE(B281)&lt;=39),"Q3",_xlfn.NUMBERVALUE(B281)&gt;39,"Q4")</f>
        <v>Q2</v>
      </c>
      <c r="D281" s="448">
        <f t="shared" si="179"/>
        <v>45780</v>
      </c>
      <c r="E281" s="448">
        <f t="shared" si="163"/>
        <v>45786</v>
      </c>
      <c r="F281" s="79">
        <v>202514</v>
      </c>
      <c r="G281" s="180">
        <f t="shared" si="164"/>
        <v>0</v>
      </c>
      <c r="H281" s="429"/>
      <c r="I281" s="429"/>
      <c r="J281" s="474">
        <f t="shared" si="165"/>
        <v>0</v>
      </c>
      <c r="K281" s="474">
        <f t="shared" si="166"/>
        <v>0</v>
      </c>
      <c r="L281" s="92">
        <f t="shared" si="183"/>
        <v>0</v>
      </c>
      <c r="M281" s="92">
        <f t="shared" si="184"/>
        <v>0</v>
      </c>
      <c r="N281" s="92"/>
      <c r="O281" s="474">
        <f t="shared" si="167"/>
        <v>0</v>
      </c>
      <c r="P281" s="474">
        <f t="shared" si="168"/>
        <v>0</v>
      </c>
      <c r="Q281" s="474">
        <f t="shared" si="169"/>
        <v>0</v>
      </c>
      <c r="R281" s="455">
        <f>Forecast!J276</f>
        <v>0</v>
      </c>
      <c r="S281" s="455">
        <f>Forecast!N276</f>
        <v>0</v>
      </c>
      <c r="T281" s="475">
        <f t="shared" si="170"/>
        <v>0</v>
      </c>
      <c r="U281" s="475">
        <f t="shared" si="171"/>
        <v>1256337</v>
      </c>
      <c r="V281" s="349">
        <f t="shared" si="172"/>
        <v>1322941</v>
      </c>
      <c r="W281" s="350">
        <f t="shared" si="180"/>
        <v>0</v>
      </c>
      <c r="X281" s="469">
        <f>'Channel &amp; Campaign Metrics'!AR280</f>
        <v>0</v>
      </c>
      <c r="Y281" s="469">
        <f>'Channel &amp; Campaign Metrics'!BS280</f>
        <v>0</v>
      </c>
      <c r="Z281" s="476"/>
      <c r="AA281" s="339"/>
      <c r="AB281" s="358">
        <f>'Glass Metrics'!AC281</f>
        <v>0</v>
      </c>
      <c r="AC281" s="475">
        <f>'Glass Metrics'!I281</f>
        <v>0</v>
      </c>
      <c r="AD281" s="469">
        <f>'Glass Metrics'!N281</f>
        <v>0</v>
      </c>
      <c r="AE281" s="349">
        <f>'Glass Metrics'!S281</f>
        <v>0</v>
      </c>
      <c r="AF281" s="359" t="str">
        <f t="shared" si="174"/>
        <v/>
      </c>
      <c r="AG281" s="477" t="str">
        <f t="shared" si="175"/>
        <v/>
      </c>
      <c r="AH281" s="472" t="str">
        <f t="shared" si="176"/>
        <v/>
      </c>
      <c r="AI281" s="360" t="str">
        <f t="shared" si="177"/>
        <v/>
      </c>
      <c r="AJ281" s="363" t="str">
        <f t="shared" si="151"/>
        <v/>
      </c>
      <c r="AK281" s="478"/>
      <c r="AL281" s="478"/>
      <c r="AM281" s="429"/>
      <c r="AN281" s="429"/>
      <c r="AO281" s="374" t="str">
        <f t="shared" si="137"/>
        <v/>
      </c>
      <c r="AP281" s="363"/>
      <c r="AQ281" s="479"/>
      <c r="AR281" s="479"/>
      <c r="AS281" s="374">
        <f t="shared" si="181"/>
        <v>0</v>
      </c>
      <c r="AT281" s="125"/>
      <c r="AU281" s="92"/>
      <c r="AV281" s="455">
        <f t="shared" si="182"/>
        <v>0</v>
      </c>
      <c r="AW281" s="455">
        <f t="shared" si="138"/>
        <v>0</v>
      </c>
      <c r="AX281" s="455">
        <f t="shared" si="139"/>
        <v>0</v>
      </c>
      <c r="AY281" s="386">
        <f t="shared" si="140"/>
        <v>0</v>
      </c>
      <c r="AZ281" s="180">
        <f t="shared" si="152"/>
        <v>0</v>
      </c>
      <c r="BA281" s="449">
        <f t="shared" si="153"/>
        <v>0</v>
      </c>
      <c r="BB281" s="429"/>
      <c r="BC281" s="429"/>
      <c r="BD281" s="429"/>
      <c r="BE281" s="429"/>
      <c r="BF281" s="453" t="str">
        <f t="shared" si="154"/>
        <v>-</v>
      </c>
      <c r="BG281" s="453" t="str">
        <f t="shared" si="155"/>
        <v>-</v>
      </c>
      <c r="BH281" s="453" t="str">
        <f t="shared" si="156"/>
        <v>-</v>
      </c>
      <c r="BI281" s="453" t="str">
        <f t="shared" si="157"/>
        <v>-</v>
      </c>
      <c r="BJ281" s="453" t="str">
        <f t="shared" si="158"/>
        <v>-</v>
      </c>
      <c r="BK281" s="390" t="str">
        <f t="shared" si="159"/>
        <v>-</v>
      </c>
      <c r="BL281" s="125"/>
      <c r="BM281" s="92"/>
      <c r="BN281" s="386">
        <f t="shared" si="178"/>
        <v>0</v>
      </c>
    </row>
    <row r="282" spans="1:66" ht="15.75" customHeight="1">
      <c r="A282" s="175">
        <f t="shared" si="161"/>
        <v>2026</v>
      </c>
      <c r="B282" s="454" t="str">
        <f t="shared" si="162"/>
        <v>15</v>
      </c>
      <c r="C282" s="454" t="str">
        <f t="array" ref="C282">_xlfn.IFS(_xlfn.NUMBERVALUE(B282)&lt;=13,"Q1",AND(_xlfn.NUMBERVALUE(B282)&gt;13,_xlfn.NUMBERVALUE(B282)&lt;=26),"Q2", AND(_xlfn.NUMBERVALUE(B282)&gt;26,_xlfn.NUMBERVALUE(B282)&lt;=39),"Q3",_xlfn.NUMBERVALUE(B282)&gt;39,"Q4")</f>
        <v>Q2</v>
      </c>
      <c r="D282" s="448">
        <f t="shared" si="179"/>
        <v>45787</v>
      </c>
      <c r="E282" s="448">
        <f t="shared" si="163"/>
        <v>45793</v>
      </c>
      <c r="F282" s="79">
        <v>202515</v>
      </c>
      <c r="G282" s="180">
        <f t="shared" si="164"/>
        <v>0</v>
      </c>
      <c r="H282" s="429"/>
      <c r="I282" s="429"/>
      <c r="J282" s="474">
        <f t="shared" si="165"/>
        <v>0</v>
      </c>
      <c r="K282" s="474">
        <f t="shared" si="166"/>
        <v>0</v>
      </c>
      <c r="L282" s="92">
        <f t="shared" si="183"/>
        <v>0</v>
      </c>
      <c r="M282" s="92">
        <f t="shared" si="184"/>
        <v>0</v>
      </c>
      <c r="N282" s="92"/>
      <c r="O282" s="474">
        <f t="shared" si="167"/>
        <v>0</v>
      </c>
      <c r="P282" s="474">
        <f t="shared" si="168"/>
        <v>0</v>
      </c>
      <c r="Q282" s="474">
        <f t="shared" si="169"/>
        <v>0</v>
      </c>
      <c r="R282" s="455">
        <f>Forecast!J277</f>
        <v>0</v>
      </c>
      <c r="S282" s="455">
        <f>Forecast!N277</f>
        <v>0</v>
      </c>
      <c r="T282" s="475">
        <f t="shared" si="170"/>
        <v>0</v>
      </c>
      <c r="U282" s="475">
        <f t="shared" si="171"/>
        <v>1256337</v>
      </c>
      <c r="V282" s="349">
        <f t="shared" si="172"/>
        <v>1322941</v>
      </c>
      <c r="W282" s="350">
        <f t="shared" si="180"/>
        <v>0</v>
      </c>
      <c r="X282" s="469">
        <f>'Channel &amp; Campaign Metrics'!AR281</f>
        <v>0</v>
      </c>
      <c r="Y282" s="469">
        <f>'Channel &amp; Campaign Metrics'!BS281</f>
        <v>0</v>
      </c>
      <c r="Z282" s="476"/>
      <c r="AA282" s="339"/>
      <c r="AB282" s="358">
        <f>'Glass Metrics'!AC282</f>
        <v>0</v>
      </c>
      <c r="AC282" s="475">
        <f>'Glass Metrics'!I282</f>
        <v>0</v>
      </c>
      <c r="AD282" s="469">
        <f>'Glass Metrics'!N282</f>
        <v>0</v>
      </c>
      <c r="AE282" s="349">
        <f>'Glass Metrics'!S282</f>
        <v>0</v>
      </c>
      <c r="AF282" s="359" t="str">
        <f t="shared" si="174"/>
        <v/>
      </c>
      <c r="AG282" s="477" t="str">
        <f t="shared" si="175"/>
        <v/>
      </c>
      <c r="AH282" s="472" t="str">
        <f t="shared" si="176"/>
        <v/>
      </c>
      <c r="AI282" s="360" t="str">
        <f t="shared" si="177"/>
        <v/>
      </c>
      <c r="AJ282" s="363" t="str">
        <f t="shared" si="151"/>
        <v/>
      </c>
      <c r="AK282" s="478"/>
      <c r="AL282" s="478"/>
      <c r="AM282" s="429"/>
      <c r="AN282" s="429"/>
      <c r="AO282" s="374" t="str">
        <f t="shared" si="137"/>
        <v/>
      </c>
      <c r="AP282" s="363"/>
      <c r="AQ282" s="479"/>
      <c r="AR282" s="479"/>
      <c r="AS282" s="374">
        <f t="shared" si="181"/>
        <v>0</v>
      </c>
      <c r="AT282" s="125"/>
      <c r="AU282" s="92"/>
      <c r="AV282" s="455">
        <f t="shared" si="182"/>
        <v>0</v>
      </c>
      <c r="AW282" s="455">
        <f t="shared" si="138"/>
        <v>0</v>
      </c>
      <c r="AX282" s="455">
        <f t="shared" si="139"/>
        <v>0</v>
      </c>
      <c r="AY282" s="386">
        <f t="shared" si="140"/>
        <v>0</v>
      </c>
      <c r="AZ282" s="180">
        <f t="shared" si="152"/>
        <v>0</v>
      </c>
      <c r="BA282" s="449">
        <f t="shared" si="153"/>
        <v>0</v>
      </c>
      <c r="BB282" s="429"/>
      <c r="BC282" s="429"/>
      <c r="BD282" s="429"/>
      <c r="BE282" s="429"/>
      <c r="BF282" s="453" t="str">
        <f t="shared" si="154"/>
        <v>-</v>
      </c>
      <c r="BG282" s="453" t="str">
        <f t="shared" si="155"/>
        <v>-</v>
      </c>
      <c r="BH282" s="453" t="str">
        <f t="shared" si="156"/>
        <v>-</v>
      </c>
      <c r="BI282" s="453" t="str">
        <f t="shared" si="157"/>
        <v>-</v>
      </c>
      <c r="BJ282" s="453" t="str">
        <f t="shared" si="158"/>
        <v>-</v>
      </c>
      <c r="BK282" s="390" t="str">
        <f t="shared" si="159"/>
        <v>-</v>
      </c>
      <c r="BL282" s="125"/>
      <c r="BM282" s="92"/>
      <c r="BN282" s="386">
        <f t="shared" si="178"/>
        <v>0</v>
      </c>
    </row>
    <row r="283" spans="1:66" ht="15.75" customHeight="1">
      <c r="A283" s="175">
        <f t="shared" si="161"/>
        <v>2026</v>
      </c>
      <c r="B283" s="454" t="str">
        <f t="shared" si="162"/>
        <v>16</v>
      </c>
      <c r="C283" s="454" t="str">
        <f t="array" ref="C283">_xlfn.IFS(_xlfn.NUMBERVALUE(B283)&lt;=13,"Q1",AND(_xlfn.NUMBERVALUE(B283)&gt;13,_xlfn.NUMBERVALUE(B283)&lt;=26),"Q2", AND(_xlfn.NUMBERVALUE(B283)&gt;26,_xlfn.NUMBERVALUE(B283)&lt;=39),"Q3",_xlfn.NUMBERVALUE(B283)&gt;39,"Q4")</f>
        <v>Q2</v>
      </c>
      <c r="D283" s="448">
        <f t="shared" si="179"/>
        <v>45794</v>
      </c>
      <c r="E283" s="448">
        <f t="shared" si="163"/>
        <v>45800</v>
      </c>
      <c r="F283" s="79">
        <v>202516</v>
      </c>
      <c r="G283" s="180">
        <f t="shared" si="164"/>
        <v>0</v>
      </c>
      <c r="H283" s="429"/>
      <c r="I283" s="429"/>
      <c r="J283" s="474">
        <f t="shared" si="165"/>
        <v>0</v>
      </c>
      <c r="K283" s="474">
        <f t="shared" si="166"/>
        <v>0</v>
      </c>
      <c r="L283" s="92">
        <f t="shared" si="183"/>
        <v>0</v>
      </c>
      <c r="M283" s="92">
        <f t="shared" si="184"/>
        <v>0</v>
      </c>
      <c r="N283" s="92"/>
      <c r="O283" s="474">
        <f t="shared" si="167"/>
        <v>0</v>
      </c>
      <c r="P283" s="474">
        <f t="shared" si="168"/>
        <v>0</v>
      </c>
      <c r="Q283" s="474">
        <f t="shared" si="169"/>
        <v>0</v>
      </c>
      <c r="R283" s="455">
        <f>Forecast!J278</f>
        <v>0</v>
      </c>
      <c r="S283" s="455">
        <f>Forecast!N278</f>
        <v>0</v>
      </c>
      <c r="T283" s="475">
        <f t="shared" si="170"/>
        <v>0</v>
      </c>
      <c r="U283" s="475">
        <f t="shared" si="171"/>
        <v>1256337</v>
      </c>
      <c r="V283" s="349">
        <f t="shared" si="172"/>
        <v>1322941</v>
      </c>
      <c r="W283" s="350">
        <f t="shared" si="180"/>
        <v>0</v>
      </c>
      <c r="X283" s="469">
        <f>'Channel &amp; Campaign Metrics'!AR282</f>
        <v>0</v>
      </c>
      <c r="Y283" s="469">
        <f>'Channel &amp; Campaign Metrics'!BS282</f>
        <v>0</v>
      </c>
      <c r="Z283" s="476"/>
      <c r="AA283" s="339"/>
      <c r="AB283" s="358">
        <f>'Glass Metrics'!AC283</f>
        <v>0</v>
      </c>
      <c r="AC283" s="475">
        <f>'Glass Metrics'!I283</f>
        <v>0</v>
      </c>
      <c r="AD283" s="469">
        <f>'Glass Metrics'!N283</f>
        <v>0</v>
      </c>
      <c r="AE283" s="349">
        <f>'Glass Metrics'!S283</f>
        <v>0</v>
      </c>
      <c r="AF283" s="359" t="str">
        <f t="shared" si="174"/>
        <v/>
      </c>
      <c r="AG283" s="477" t="str">
        <f t="shared" si="175"/>
        <v/>
      </c>
      <c r="AH283" s="472" t="str">
        <f t="shared" si="176"/>
        <v/>
      </c>
      <c r="AI283" s="360" t="str">
        <f t="shared" si="177"/>
        <v/>
      </c>
      <c r="AJ283" s="363" t="str">
        <f t="shared" si="151"/>
        <v/>
      </c>
      <c r="AK283" s="478"/>
      <c r="AL283" s="478"/>
      <c r="AM283" s="429"/>
      <c r="AN283" s="429"/>
      <c r="AO283" s="374" t="str">
        <f t="shared" si="137"/>
        <v/>
      </c>
      <c r="AP283" s="363"/>
      <c r="AQ283" s="479"/>
      <c r="AR283" s="479"/>
      <c r="AS283" s="374">
        <f t="shared" si="181"/>
        <v>0</v>
      </c>
      <c r="AT283" s="125"/>
      <c r="AU283" s="92"/>
      <c r="AV283" s="455">
        <f t="shared" si="182"/>
        <v>0</v>
      </c>
      <c r="AW283" s="455">
        <f t="shared" si="138"/>
        <v>0</v>
      </c>
      <c r="AX283" s="455">
        <f t="shared" si="139"/>
        <v>0</v>
      </c>
      <c r="AY283" s="386">
        <f t="shared" si="140"/>
        <v>0</v>
      </c>
      <c r="AZ283" s="180">
        <f t="shared" si="152"/>
        <v>0</v>
      </c>
      <c r="BA283" s="449">
        <f t="shared" si="153"/>
        <v>0</v>
      </c>
      <c r="BB283" s="429"/>
      <c r="BC283" s="429"/>
      <c r="BD283" s="429"/>
      <c r="BE283" s="429"/>
      <c r="BF283" s="453" t="str">
        <f t="shared" si="154"/>
        <v>-</v>
      </c>
      <c r="BG283" s="453" t="str">
        <f t="shared" si="155"/>
        <v>-</v>
      </c>
      <c r="BH283" s="453" t="str">
        <f t="shared" si="156"/>
        <v>-</v>
      </c>
      <c r="BI283" s="453" t="str">
        <f t="shared" si="157"/>
        <v>-</v>
      </c>
      <c r="BJ283" s="453" t="str">
        <f t="shared" si="158"/>
        <v>-</v>
      </c>
      <c r="BK283" s="390" t="str">
        <f t="shared" si="159"/>
        <v>-</v>
      </c>
      <c r="BL283" s="125"/>
      <c r="BM283" s="92"/>
      <c r="BN283" s="386">
        <f t="shared" si="178"/>
        <v>0</v>
      </c>
    </row>
    <row r="284" spans="1:66" ht="15.75" customHeight="1">
      <c r="A284" s="175">
        <f t="shared" si="161"/>
        <v>2026</v>
      </c>
      <c r="B284" s="454" t="str">
        <f t="shared" si="162"/>
        <v>17</v>
      </c>
      <c r="C284" s="454" t="str">
        <f t="array" ref="C284">_xlfn.IFS(_xlfn.NUMBERVALUE(B284)&lt;=13,"Q1",AND(_xlfn.NUMBERVALUE(B284)&gt;13,_xlfn.NUMBERVALUE(B284)&lt;=26),"Q2", AND(_xlfn.NUMBERVALUE(B284)&gt;26,_xlfn.NUMBERVALUE(B284)&lt;=39),"Q3",_xlfn.NUMBERVALUE(B284)&gt;39,"Q4")</f>
        <v>Q2</v>
      </c>
      <c r="D284" s="448">
        <f t="shared" si="179"/>
        <v>45801</v>
      </c>
      <c r="E284" s="448">
        <f t="shared" si="163"/>
        <v>45807</v>
      </c>
      <c r="F284" s="79">
        <v>202517</v>
      </c>
      <c r="G284" s="180">
        <f t="shared" si="164"/>
        <v>0</v>
      </c>
      <c r="H284" s="429"/>
      <c r="I284" s="429"/>
      <c r="J284" s="474">
        <f t="shared" si="165"/>
        <v>0</v>
      </c>
      <c r="K284" s="474">
        <f t="shared" si="166"/>
        <v>0</v>
      </c>
      <c r="L284" s="92">
        <f t="shared" si="183"/>
        <v>0</v>
      </c>
      <c r="M284" s="92">
        <f t="shared" si="184"/>
        <v>0</v>
      </c>
      <c r="N284" s="92"/>
      <c r="O284" s="474">
        <f t="shared" si="167"/>
        <v>0</v>
      </c>
      <c r="P284" s="474">
        <f t="shared" si="168"/>
        <v>0</v>
      </c>
      <c r="Q284" s="474">
        <f t="shared" si="169"/>
        <v>0</v>
      </c>
      <c r="R284" s="455">
        <f>Forecast!J279</f>
        <v>0</v>
      </c>
      <c r="S284" s="455">
        <f>Forecast!N279</f>
        <v>0</v>
      </c>
      <c r="T284" s="475">
        <f t="shared" si="170"/>
        <v>0</v>
      </c>
      <c r="U284" s="475">
        <f t="shared" si="171"/>
        <v>1256337</v>
      </c>
      <c r="V284" s="349">
        <f t="shared" si="172"/>
        <v>1322941</v>
      </c>
      <c r="W284" s="350">
        <f t="shared" si="180"/>
        <v>0</v>
      </c>
      <c r="X284" s="469">
        <f>'Channel &amp; Campaign Metrics'!AR283</f>
        <v>0</v>
      </c>
      <c r="Y284" s="469">
        <f>'Channel &amp; Campaign Metrics'!BS283</f>
        <v>0</v>
      </c>
      <c r="Z284" s="476"/>
      <c r="AA284" s="339"/>
      <c r="AB284" s="358">
        <f>'Glass Metrics'!AC284</f>
        <v>0</v>
      </c>
      <c r="AC284" s="475">
        <f>'Glass Metrics'!I284</f>
        <v>0</v>
      </c>
      <c r="AD284" s="469">
        <f>'Glass Metrics'!N284</f>
        <v>0</v>
      </c>
      <c r="AE284" s="349">
        <f>'Glass Metrics'!S284</f>
        <v>0</v>
      </c>
      <c r="AF284" s="359" t="str">
        <f t="shared" si="174"/>
        <v/>
      </c>
      <c r="AG284" s="477" t="str">
        <f t="shared" si="175"/>
        <v/>
      </c>
      <c r="AH284" s="472" t="str">
        <f t="shared" si="176"/>
        <v/>
      </c>
      <c r="AI284" s="360" t="str">
        <f t="shared" si="177"/>
        <v/>
      </c>
      <c r="AJ284" s="363" t="str">
        <f t="shared" si="151"/>
        <v/>
      </c>
      <c r="AK284" s="478"/>
      <c r="AL284" s="478"/>
      <c r="AM284" s="429"/>
      <c r="AN284" s="429"/>
      <c r="AO284" s="374" t="str">
        <f t="shared" si="137"/>
        <v/>
      </c>
      <c r="AP284" s="363"/>
      <c r="AQ284" s="479"/>
      <c r="AR284" s="479"/>
      <c r="AS284" s="374">
        <f t="shared" si="181"/>
        <v>0</v>
      </c>
      <c r="AT284" s="125"/>
      <c r="AU284" s="92"/>
      <c r="AV284" s="455">
        <f t="shared" si="182"/>
        <v>0</v>
      </c>
      <c r="AW284" s="455">
        <f t="shared" si="138"/>
        <v>0</v>
      </c>
      <c r="AX284" s="455">
        <f t="shared" si="139"/>
        <v>0</v>
      </c>
      <c r="AY284" s="386">
        <f t="shared" si="140"/>
        <v>0</v>
      </c>
      <c r="AZ284" s="180">
        <f t="shared" si="152"/>
        <v>0</v>
      </c>
      <c r="BA284" s="449">
        <f t="shared" si="153"/>
        <v>0</v>
      </c>
      <c r="BB284" s="429"/>
      <c r="BC284" s="429"/>
      <c r="BD284" s="429"/>
      <c r="BE284" s="429"/>
      <c r="BF284" s="453" t="str">
        <f t="shared" si="154"/>
        <v>-</v>
      </c>
      <c r="BG284" s="453" t="str">
        <f t="shared" si="155"/>
        <v>-</v>
      </c>
      <c r="BH284" s="453" t="str">
        <f t="shared" si="156"/>
        <v>-</v>
      </c>
      <c r="BI284" s="453" t="str">
        <f t="shared" si="157"/>
        <v>-</v>
      </c>
      <c r="BJ284" s="453" t="str">
        <f t="shared" si="158"/>
        <v>-</v>
      </c>
      <c r="BK284" s="390" t="str">
        <f t="shared" si="159"/>
        <v>-</v>
      </c>
      <c r="BL284" s="125"/>
      <c r="BM284" s="92"/>
      <c r="BN284" s="386">
        <f t="shared" si="178"/>
        <v>0</v>
      </c>
    </row>
    <row r="285" spans="1:66" ht="15.75" customHeight="1">
      <c r="A285" s="175">
        <f t="shared" si="161"/>
        <v>2026</v>
      </c>
      <c r="B285" s="454" t="str">
        <f t="shared" si="162"/>
        <v>18</v>
      </c>
      <c r="C285" s="454" t="str">
        <f t="array" ref="C285">_xlfn.IFS(_xlfn.NUMBERVALUE(B285)&lt;=13,"Q1",AND(_xlfn.NUMBERVALUE(B285)&gt;13,_xlfn.NUMBERVALUE(B285)&lt;=26),"Q2", AND(_xlfn.NUMBERVALUE(B285)&gt;26,_xlfn.NUMBERVALUE(B285)&lt;=39),"Q3",_xlfn.NUMBERVALUE(B285)&gt;39,"Q4")</f>
        <v>Q2</v>
      </c>
      <c r="D285" s="448">
        <f t="shared" si="179"/>
        <v>45808</v>
      </c>
      <c r="E285" s="448">
        <f t="shared" si="163"/>
        <v>45814</v>
      </c>
      <c r="F285" s="79">
        <v>202518</v>
      </c>
      <c r="G285" s="180">
        <f t="shared" si="164"/>
        <v>0</v>
      </c>
      <c r="H285" s="429"/>
      <c r="I285" s="429"/>
      <c r="J285" s="474">
        <f t="shared" si="165"/>
        <v>0</v>
      </c>
      <c r="K285" s="474">
        <f t="shared" si="166"/>
        <v>0</v>
      </c>
      <c r="L285" s="92">
        <f t="shared" si="183"/>
        <v>0</v>
      </c>
      <c r="M285" s="92">
        <f t="shared" si="184"/>
        <v>0</v>
      </c>
      <c r="N285" s="92"/>
      <c r="O285" s="474">
        <f t="shared" si="167"/>
        <v>0</v>
      </c>
      <c r="P285" s="474">
        <f t="shared" si="168"/>
        <v>0</v>
      </c>
      <c r="Q285" s="474">
        <f t="shared" si="169"/>
        <v>0</v>
      </c>
      <c r="R285" s="455">
        <f>Forecast!J280</f>
        <v>0</v>
      </c>
      <c r="S285" s="455">
        <f>Forecast!N280</f>
        <v>0</v>
      </c>
      <c r="T285" s="475">
        <f t="shared" si="170"/>
        <v>0</v>
      </c>
      <c r="U285" s="475">
        <f t="shared" si="171"/>
        <v>1256337</v>
      </c>
      <c r="V285" s="349">
        <f t="shared" si="172"/>
        <v>1322941</v>
      </c>
      <c r="W285" s="350">
        <f t="shared" si="180"/>
        <v>0</v>
      </c>
      <c r="X285" s="469">
        <f>'Channel &amp; Campaign Metrics'!AR284</f>
        <v>0</v>
      </c>
      <c r="Y285" s="469">
        <f>'Channel &amp; Campaign Metrics'!BS284</f>
        <v>0</v>
      </c>
      <c r="Z285" s="476"/>
      <c r="AA285" s="339"/>
      <c r="AB285" s="358">
        <f>'Glass Metrics'!AC285</f>
        <v>0</v>
      </c>
      <c r="AC285" s="475">
        <f>'Glass Metrics'!I285</f>
        <v>0</v>
      </c>
      <c r="AD285" s="469">
        <f>'Glass Metrics'!N285</f>
        <v>0</v>
      </c>
      <c r="AE285" s="349">
        <f>'Glass Metrics'!S285</f>
        <v>0</v>
      </c>
      <c r="AF285" s="359" t="str">
        <f t="shared" si="174"/>
        <v/>
      </c>
      <c r="AG285" s="477" t="str">
        <f t="shared" si="175"/>
        <v/>
      </c>
      <c r="AH285" s="472" t="str">
        <f t="shared" si="176"/>
        <v/>
      </c>
      <c r="AI285" s="360" t="str">
        <f t="shared" si="177"/>
        <v/>
      </c>
      <c r="AJ285" s="363" t="str">
        <f t="shared" si="151"/>
        <v/>
      </c>
      <c r="AK285" s="478"/>
      <c r="AL285" s="478"/>
      <c r="AM285" s="429"/>
      <c r="AN285" s="429"/>
      <c r="AO285" s="374" t="str">
        <f t="shared" si="137"/>
        <v/>
      </c>
      <c r="AP285" s="363"/>
      <c r="AQ285" s="479"/>
      <c r="AR285" s="479"/>
      <c r="AS285" s="374">
        <f t="shared" si="181"/>
        <v>0</v>
      </c>
      <c r="AT285" s="125"/>
      <c r="AU285" s="92"/>
      <c r="AV285" s="455">
        <f t="shared" si="182"/>
        <v>0</v>
      </c>
      <c r="AW285" s="455">
        <f t="shared" si="138"/>
        <v>0</v>
      </c>
      <c r="AX285" s="455">
        <f t="shared" si="139"/>
        <v>0</v>
      </c>
      <c r="AY285" s="386">
        <f t="shared" si="140"/>
        <v>0</v>
      </c>
      <c r="AZ285" s="180">
        <f t="shared" si="152"/>
        <v>0</v>
      </c>
      <c r="BA285" s="449">
        <f t="shared" si="153"/>
        <v>0</v>
      </c>
      <c r="BB285" s="429"/>
      <c r="BC285" s="429"/>
      <c r="BD285" s="429"/>
      <c r="BE285" s="429"/>
      <c r="BF285" s="453" t="str">
        <f t="shared" si="154"/>
        <v>-</v>
      </c>
      <c r="BG285" s="453" t="str">
        <f t="shared" si="155"/>
        <v>-</v>
      </c>
      <c r="BH285" s="453" t="str">
        <f t="shared" si="156"/>
        <v>-</v>
      </c>
      <c r="BI285" s="453" t="str">
        <f t="shared" si="157"/>
        <v>-</v>
      </c>
      <c r="BJ285" s="453" t="str">
        <f t="shared" si="158"/>
        <v>-</v>
      </c>
      <c r="BK285" s="390" t="str">
        <f t="shared" si="159"/>
        <v>-</v>
      </c>
      <c r="BL285" s="125"/>
      <c r="BM285" s="92"/>
      <c r="BN285" s="386">
        <f t="shared" si="178"/>
        <v>0</v>
      </c>
    </row>
    <row r="286" spans="1:66" ht="15.75" customHeight="1">
      <c r="A286" s="175">
        <f t="shared" si="161"/>
        <v>2026</v>
      </c>
      <c r="B286" s="454" t="str">
        <f t="shared" si="162"/>
        <v>19</v>
      </c>
      <c r="C286" s="454" t="str">
        <f t="array" ref="C286">_xlfn.IFS(_xlfn.NUMBERVALUE(B286)&lt;=13,"Q1",AND(_xlfn.NUMBERVALUE(B286)&gt;13,_xlfn.NUMBERVALUE(B286)&lt;=26),"Q2", AND(_xlfn.NUMBERVALUE(B286)&gt;26,_xlfn.NUMBERVALUE(B286)&lt;=39),"Q3",_xlfn.NUMBERVALUE(B286)&gt;39,"Q4")</f>
        <v>Q2</v>
      </c>
      <c r="D286" s="448">
        <f t="shared" si="179"/>
        <v>45815</v>
      </c>
      <c r="E286" s="448">
        <f t="shared" si="163"/>
        <v>45821</v>
      </c>
      <c r="F286" s="79">
        <v>202519</v>
      </c>
      <c r="G286" s="180">
        <f t="shared" si="164"/>
        <v>0</v>
      </c>
      <c r="H286" s="429"/>
      <c r="I286" s="429"/>
      <c r="J286" s="474">
        <f t="shared" si="165"/>
        <v>0</v>
      </c>
      <c r="K286" s="474">
        <f t="shared" si="166"/>
        <v>0</v>
      </c>
      <c r="L286" s="92">
        <f t="shared" si="183"/>
        <v>0</v>
      </c>
      <c r="M286" s="92">
        <f t="shared" si="184"/>
        <v>0</v>
      </c>
      <c r="N286" s="92"/>
      <c r="O286" s="474">
        <f t="shared" si="167"/>
        <v>0</v>
      </c>
      <c r="P286" s="474">
        <f t="shared" si="168"/>
        <v>0</v>
      </c>
      <c r="Q286" s="474">
        <f t="shared" si="169"/>
        <v>0</v>
      </c>
      <c r="R286" s="455">
        <f>Forecast!J281</f>
        <v>0</v>
      </c>
      <c r="S286" s="455">
        <f>Forecast!N281</f>
        <v>0</v>
      </c>
      <c r="T286" s="475">
        <f t="shared" si="170"/>
        <v>0</v>
      </c>
      <c r="U286" s="475">
        <f t="shared" si="171"/>
        <v>1256337</v>
      </c>
      <c r="V286" s="349">
        <f t="shared" si="172"/>
        <v>1322941</v>
      </c>
      <c r="W286" s="350">
        <f t="shared" si="180"/>
        <v>0</v>
      </c>
      <c r="X286" s="469">
        <f>'Channel &amp; Campaign Metrics'!AR285</f>
        <v>0</v>
      </c>
      <c r="Y286" s="469">
        <f>'Channel &amp; Campaign Metrics'!BS285</f>
        <v>0</v>
      </c>
      <c r="Z286" s="476"/>
      <c r="AA286" s="339"/>
      <c r="AB286" s="358">
        <f>'Glass Metrics'!AC286</f>
        <v>0</v>
      </c>
      <c r="AC286" s="475">
        <f>'Glass Metrics'!I286</f>
        <v>0</v>
      </c>
      <c r="AD286" s="469">
        <f>'Glass Metrics'!N286</f>
        <v>0</v>
      </c>
      <c r="AE286" s="349">
        <f>'Glass Metrics'!S286</f>
        <v>0</v>
      </c>
      <c r="AF286" s="359" t="str">
        <f t="shared" si="174"/>
        <v/>
      </c>
      <c r="AG286" s="477" t="str">
        <f t="shared" si="175"/>
        <v/>
      </c>
      <c r="AH286" s="472" t="str">
        <f t="shared" si="176"/>
        <v/>
      </c>
      <c r="AI286" s="360" t="str">
        <f t="shared" si="177"/>
        <v/>
      </c>
      <c r="AJ286" s="363" t="str">
        <f t="shared" si="151"/>
        <v/>
      </c>
      <c r="AK286" s="478"/>
      <c r="AL286" s="478"/>
      <c r="AM286" s="429"/>
      <c r="AN286" s="429"/>
      <c r="AO286" s="374" t="str">
        <f t="shared" si="137"/>
        <v/>
      </c>
      <c r="AP286" s="363"/>
      <c r="AQ286" s="479"/>
      <c r="AR286" s="479"/>
      <c r="AS286" s="374">
        <f t="shared" si="181"/>
        <v>0</v>
      </c>
      <c r="AT286" s="125"/>
      <c r="AU286" s="92"/>
      <c r="AV286" s="455">
        <f t="shared" si="182"/>
        <v>0</v>
      </c>
      <c r="AW286" s="455">
        <f t="shared" si="138"/>
        <v>0</v>
      </c>
      <c r="AX286" s="455">
        <f t="shared" si="139"/>
        <v>0</v>
      </c>
      <c r="AY286" s="386">
        <f t="shared" si="140"/>
        <v>0</v>
      </c>
      <c r="AZ286" s="180">
        <f t="shared" si="152"/>
        <v>0</v>
      </c>
      <c r="BA286" s="449">
        <f t="shared" si="153"/>
        <v>0</v>
      </c>
      <c r="BB286" s="429"/>
      <c r="BC286" s="429"/>
      <c r="BD286" s="429"/>
      <c r="BE286" s="429"/>
      <c r="BF286" s="453" t="str">
        <f t="shared" si="154"/>
        <v>-</v>
      </c>
      <c r="BG286" s="453" t="str">
        <f t="shared" si="155"/>
        <v>-</v>
      </c>
      <c r="BH286" s="453" t="str">
        <f t="shared" si="156"/>
        <v>-</v>
      </c>
      <c r="BI286" s="453" t="str">
        <f t="shared" si="157"/>
        <v>-</v>
      </c>
      <c r="BJ286" s="453" t="str">
        <f t="shared" si="158"/>
        <v>-</v>
      </c>
      <c r="BK286" s="390" t="str">
        <f t="shared" si="159"/>
        <v>-</v>
      </c>
      <c r="BL286" s="125"/>
      <c r="BM286" s="92"/>
      <c r="BN286" s="386">
        <f t="shared" si="178"/>
        <v>0</v>
      </c>
    </row>
    <row r="287" spans="1:66" ht="15.75" customHeight="1">
      <c r="A287" s="175">
        <f t="shared" si="161"/>
        <v>2026</v>
      </c>
      <c r="B287" s="454" t="str">
        <f t="shared" si="162"/>
        <v>20</v>
      </c>
      <c r="C287" s="454" t="str">
        <f t="array" ref="C287">_xlfn.IFS(_xlfn.NUMBERVALUE(B287)&lt;=13,"Q1",AND(_xlfn.NUMBERVALUE(B287)&gt;13,_xlfn.NUMBERVALUE(B287)&lt;=26),"Q2", AND(_xlfn.NUMBERVALUE(B287)&gt;26,_xlfn.NUMBERVALUE(B287)&lt;=39),"Q3",_xlfn.NUMBERVALUE(B287)&gt;39,"Q4")</f>
        <v>Q2</v>
      </c>
      <c r="D287" s="448">
        <f t="shared" si="179"/>
        <v>45822</v>
      </c>
      <c r="E287" s="448">
        <f t="shared" si="163"/>
        <v>45828</v>
      </c>
      <c r="F287" s="79">
        <v>202520</v>
      </c>
      <c r="G287" s="180">
        <f t="shared" si="164"/>
        <v>0</v>
      </c>
      <c r="H287" s="429"/>
      <c r="I287" s="429"/>
      <c r="J287" s="474">
        <f t="shared" si="165"/>
        <v>0</v>
      </c>
      <c r="K287" s="474">
        <f t="shared" si="166"/>
        <v>0</v>
      </c>
      <c r="L287" s="92">
        <f t="shared" si="183"/>
        <v>0</v>
      </c>
      <c r="M287" s="92">
        <f t="shared" si="184"/>
        <v>0</v>
      </c>
      <c r="N287" s="92"/>
      <c r="O287" s="474">
        <f t="shared" si="167"/>
        <v>0</v>
      </c>
      <c r="P287" s="474">
        <f t="shared" si="168"/>
        <v>0</v>
      </c>
      <c r="Q287" s="474">
        <f t="shared" si="169"/>
        <v>0</v>
      </c>
      <c r="R287" s="455">
        <f>Forecast!J282</f>
        <v>0</v>
      </c>
      <c r="S287" s="455">
        <f>Forecast!N282</f>
        <v>0</v>
      </c>
      <c r="T287" s="475">
        <f t="shared" si="170"/>
        <v>0</v>
      </c>
      <c r="U287" s="475">
        <f t="shared" si="171"/>
        <v>1256337</v>
      </c>
      <c r="V287" s="349">
        <f t="shared" si="172"/>
        <v>1322941</v>
      </c>
      <c r="W287" s="350">
        <f t="shared" si="180"/>
        <v>0</v>
      </c>
      <c r="X287" s="469">
        <f>'Channel &amp; Campaign Metrics'!AR286</f>
        <v>0</v>
      </c>
      <c r="Y287" s="469">
        <f>'Channel &amp; Campaign Metrics'!BS286</f>
        <v>0</v>
      </c>
      <c r="Z287" s="476"/>
      <c r="AA287" s="339"/>
      <c r="AB287" s="358">
        <f>'Glass Metrics'!AC287</f>
        <v>0</v>
      </c>
      <c r="AC287" s="475">
        <f>'Glass Metrics'!I287</f>
        <v>0</v>
      </c>
      <c r="AD287" s="469">
        <f>'Glass Metrics'!N287</f>
        <v>0</v>
      </c>
      <c r="AE287" s="349">
        <f>'Glass Metrics'!S287</f>
        <v>0</v>
      </c>
      <c r="AF287" s="359" t="str">
        <f t="shared" si="174"/>
        <v/>
      </c>
      <c r="AG287" s="477" t="str">
        <f t="shared" si="175"/>
        <v/>
      </c>
      <c r="AH287" s="472" t="str">
        <f t="shared" si="176"/>
        <v/>
      </c>
      <c r="AI287" s="360" t="str">
        <f t="shared" si="177"/>
        <v/>
      </c>
      <c r="AJ287" s="363" t="str">
        <f t="shared" si="151"/>
        <v/>
      </c>
      <c r="AK287" s="478"/>
      <c r="AL287" s="478"/>
      <c r="AM287" s="429"/>
      <c r="AN287" s="429"/>
      <c r="AO287" s="374" t="str">
        <f t="shared" si="137"/>
        <v/>
      </c>
      <c r="AP287" s="363"/>
      <c r="AQ287" s="479"/>
      <c r="AR287" s="479"/>
      <c r="AS287" s="374">
        <f t="shared" si="181"/>
        <v>0</v>
      </c>
      <c r="AT287" s="125"/>
      <c r="AU287" s="92"/>
      <c r="AV287" s="455">
        <f t="shared" si="182"/>
        <v>0</v>
      </c>
      <c r="AW287" s="455">
        <f t="shared" si="138"/>
        <v>0</v>
      </c>
      <c r="AX287" s="455">
        <f t="shared" si="139"/>
        <v>0</v>
      </c>
      <c r="AY287" s="386">
        <f t="shared" si="140"/>
        <v>0</v>
      </c>
      <c r="AZ287" s="180">
        <f t="shared" si="152"/>
        <v>0</v>
      </c>
      <c r="BA287" s="449">
        <f t="shared" si="153"/>
        <v>0</v>
      </c>
      <c r="BB287" s="429"/>
      <c r="BC287" s="429"/>
      <c r="BD287" s="429"/>
      <c r="BE287" s="429"/>
      <c r="BF287" s="453" t="str">
        <f t="shared" si="154"/>
        <v>-</v>
      </c>
      <c r="BG287" s="453" t="str">
        <f t="shared" si="155"/>
        <v>-</v>
      </c>
      <c r="BH287" s="453" t="str">
        <f t="shared" si="156"/>
        <v>-</v>
      </c>
      <c r="BI287" s="453" t="str">
        <f t="shared" si="157"/>
        <v>-</v>
      </c>
      <c r="BJ287" s="453" t="str">
        <f t="shared" si="158"/>
        <v>-</v>
      </c>
      <c r="BK287" s="390" t="str">
        <f t="shared" si="159"/>
        <v>-</v>
      </c>
      <c r="BL287" s="125"/>
      <c r="BM287" s="92"/>
      <c r="BN287" s="386">
        <f t="shared" si="178"/>
        <v>0</v>
      </c>
    </row>
    <row r="288" spans="1:66" ht="15.75" customHeight="1">
      <c r="A288" s="175">
        <f t="shared" si="161"/>
        <v>2026</v>
      </c>
      <c r="B288" s="454" t="str">
        <f t="shared" si="162"/>
        <v>21</v>
      </c>
      <c r="C288" s="454" t="str">
        <f t="array" ref="C288">_xlfn.IFS(_xlfn.NUMBERVALUE(B288)&lt;=13,"Q1",AND(_xlfn.NUMBERVALUE(B288)&gt;13,_xlfn.NUMBERVALUE(B288)&lt;=26),"Q2", AND(_xlfn.NUMBERVALUE(B288)&gt;26,_xlfn.NUMBERVALUE(B288)&lt;=39),"Q3",_xlfn.NUMBERVALUE(B288)&gt;39,"Q4")</f>
        <v>Q2</v>
      </c>
      <c r="D288" s="448">
        <f t="shared" si="179"/>
        <v>45829</v>
      </c>
      <c r="E288" s="448">
        <f t="shared" si="163"/>
        <v>45835</v>
      </c>
      <c r="F288" s="79">
        <v>202521</v>
      </c>
      <c r="G288" s="180">
        <f t="shared" si="164"/>
        <v>0</v>
      </c>
      <c r="H288" s="429"/>
      <c r="I288" s="429"/>
      <c r="J288" s="474">
        <f t="shared" si="165"/>
        <v>0</v>
      </c>
      <c r="K288" s="474">
        <f t="shared" si="166"/>
        <v>0</v>
      </c>
      <c r="L288" s="92">
        <f t="shared" si="183"/>
        <v>0</v>
      </c>
      <c r="M288" s="92">
        <f t="shared" si="184"/>
        <v>0</v>
      </c>
      <c r="N288" s="92"/>
      <c r="O288" s="474">
        <f t="shared" si="167"/>
        <v>0</v>
      </c>
      <c r="P288" s="474">
        <f t="shared" si="168"/>
        <v>0</v>
      </c>
      <c r="Q288" s="474">
        <f t="shared" si="169"/>
        <v>0</v>
      </c>
      <c r="R288" s="455">
        <f>Forecast!J283</f>
        <v>0</v>
      </c>
      <c r="S288" s="455">
        <f>Forecast!N283</f>
        <v>0</v>
      </c>
      <c r="T288" s="475">
        <f t="shared" si="170"/>
        <v>0</v>
      </c>
      <c r="U288" s="475">
        <f t="shared" si="171"/>
        <v>1256337</v>
      </c>
      <c r="V288" s="349">
        <f t="shared" si="172"/>
        <v>1322941</v>
      </c>
      <c r="W288" s="350">
        <f t="shared" si="180"/>
        <v>0</v>
      </c>
      <c r="X288" s="469">
        <f>'Channel &amp; Campaign Metrics'!AR287</f>
        <v>0</v>
      </c>
      <c r="Y288" s="469">
        <f>'Channel &amp; Campaign Metrics'!BS287</f>
        <v>0</v>
      </c>
      <c r="Z288" s="476"/>
      <c r="AA288" s="339"/>
      <c r="AB288" s="358">
        <f>'Glass Metrics'!AC288</f>
        <v>0</v>
      </c>
      <c r="AC288" s="475">
        <f>'Glass Metrics'!I288</f>
        <v>0</v>
      </c>
      <c r="AD288" s="469">
        <f>'Glass Metrics'!N288</f>
        <v>0</v>
      </c>
      <c r="AE288" s="349">
        <f>'Glass Metrics'!S288</f>
        <v>0</v>
      </c>
      <c r="AF288" s="359" t="str">
        <f t="shared" si="174"/>
        <v/>
      </c>
      <c r="AG288" s="477" t="str">
        <f t="shared" si="175"/>
        <v/>
      </c>
      <c r="AH288" s="472" t="str">
        <f t="shared" si="176"/>
        <v/>
      </c>
      <c r="AI288" s="360" t="str">
        <f t="shared" si="177"/>
        <v/>
      </c>
      <c r="AJ288" s="363" t="str">
        <f t="shared" si="151"/>
        <v/>
      </c>
      <c r="AK288" s="478"/>
      <c r="AL288" s="478"/>
      <c r="AM288" s="429"/>
      <c r="AN288" s="429"/>
      <c r="AO288" s="374" t="str">
        <f t="shared" si="137"/>
        <v/>
      </c>
      <c r="AP288" s="363"/>
      <c r="AQ288" s="479"/>
      <c r="AR288" s="479"/>
      <c r="AS288" s="374">
        <f t="shared" si="181"/>
        <v>0</v>
      </c>
      <c r="AT288" s="125"/>
      <c r="AU288" s="92"/>
      <c r="AV288" s="455">
        <f t="shared" si="182"/>
        <v>0</v>
      </c>
      <c r="AW288" s="455">
        <f t="shared" si="138"/>
        <v>0</v>
      </c>
      <c r="AX288" s="455">
        <f t="shared" si="139"/>
        <v>0</v>
      </c>
      <c r="AY288" s="386">
        <f t="shared" si="140"/>
        <v>0</v>
      </c>
      <c r="AZ288" s="180">
        <f t="shared" si="152"/>
        <v>0</v>
      </c>
      <c r="BA288" s="449">
        <f t="shared" si="153"/>
        <v>0</v>
      </c>
      <c r="BB288" s="429"/>
      <c r="BC288" s="429"/>
      <c r="BD288" s="429"/>
      <c r="BE288" s="429"/>
      <c r="BF288" s="453" t="str">
        <f t="shared" si="154"/>
        <v>-</v>
      </c>
      <c r="BG288" s="453" t="str">
        <f t="shared" si="155"/>
        <v>-</v>
      </c>
      <c r="BH288" s="453" t="str">
        <f t="shared" si="156"/>
        <v>-</v>
      </c>
      <c r="BI288" s="453" t="str">
        <f t="shared" si="157"/>
        <v>-</v>
      </c>
      <c r="BJ288" s="453" t="str">
        <f t="shared" si="158"/>
        <v>-</v>
      </c>
      <c r="BK288" s="390" t="str">
        <f t="shared" si="159"/>
        <v>-</v>
      </c>
      <c r="BL288" s="125"/>
      <c r="BM288" s="92"/>
      <c r="BN288" s="386">
        <f t="shared" si="178"/>
        <v>0</v>
      </c>
    </row>
    <row r="289" spans="1:66" ht="15.75" customHeight="1">
      <c r="A289" s="175">
        <f t="shared" si="161"/>
        <v>2026</v>
      </c>
      <c r="B289" s="454" t="str">
        <f t="shared" si="162"/>
        <v>22</v>
      </c>
      <c r="C289" s="454" t="str">
        <f t="array" ref="C289">_xlfn.IFS(_xlfn.NUMBERVALUE(B289)&lt;=13,"Q1",AND(_xlfn.NUMBERVALUE(B289)&gt;13,_xlfn.NUMBERVALUE(B289)&lt;=26),"Q2", AND(_xlfn.NUMBERVALUE(B289)&gt;26,_xlfn.NUMBERVALUE(B289)&lt;=39),"Q3",_xlfn.NUMBERVALUE(B289)&gt;39,"Q4")</f>
        <v>Q2</v>
      </c>
      <c r="D289" s="448">
        <f t="shared" si="179"/>
        <v>45836</v>
      </c>
      <c r="E289" s="448">
        <f t="shared" si="163"/>
        <v>45842</v>
      </c>
      <c r="F289" s="79">
        <v>202522</v>
      </c>
      <c r="G289" s="180">
        <f t="shared" si="164"/>
        <v>0</v>
      </c>
      <c r="H289" s="429"/>
      <c r="I289" s="429"/>
      <c r="J289" s="474">
        <f t="shared" si="165"/>
        <v>0</v>
      </c>
      <c r="K289" s="474">
        <f t="shared" si="166"/>
        <v>0</v>
      </c>
      <c r="L289" s="92">
        <f t="shared" si="183"/>
        <v>0</v>
      </c>
      <c r="M289" s="92">
        <f t="shared" si="184"/>
        <v>0</v>
      </c>
      <c r="N289" s="92"/>
      <c r="O289" s="474">
        <f t="shared" si="167"/>
        <v>0</v>
      </c>
      <c r="P289" s="474">
        <f t="shared" si="168"/>
        <v>0</v>
      </c>
      <c r="Q289" s="474">
        <f t="shared" si="169"/>
        <v>0</v>
      </c>
      <c r="R289" s="455">
        <f>Forecast!J284</f>
        <v>0</v>
      </c>
      <c r="S289" s="455">
        <f>Forecast!N284</f>
        <v>0</v>
      </c>
      <c r="T289" s="475">
        <f t="shared" si="170"/>
        <v>0</v>
      </c>
      <c r="U289" s="475">
        <f t="shared" si="171"/>
        <v>1256337</v>
      </c>
      <c r="V289" s="349">
        <f t="shared" si="172"/>
        <v>1322941</v>
      </c>
      <c r="W289" s="350">
        <f t="shared" si="180"/>
        <v>0</v>
      </c>
      <c r="X289" s="469">
        <f>'Channel &amp; Campaign Metrics'!AR288</f>
        <v>0</v>
      </c>
      <c r="Y289" s="469">
        <f>'Channel &amp; Campaign Metrics'!BS288</f>
        <v>0</v>
      </c>
      <c r="Z289" s="476"/>
      <c r="AA289" s="339"/>
      <c r="AB289" s="358">
        <f>'Glass Metrics'!AC289</f>
        <v>0</v>
      </c>
      <c r="AC289" s="475">
        <f>'Glass Metrics'!I289</f>
        <v>0</v>
      </c>
      <c r="AD289" s="469">
        <f>'Glass Metrics'!N289</f>
        <v>0</v>
      </c>
      <c r="AE289" s="349">
        <f>'Glass Metrics'!S289</f>
        <v>0</v>
      </c>
      <c r="AF289" s="359" t="str">
        <f t="shared" si="174"/>
        <v/>
      </c>
      <c r="AG289" s="477" t="str">
        <f t="shared" si="175"/>
        <v/>
      </c>
      <c r="AH289" s="472" t="str">
        <f t="shared" si="176"/>
        <v/>
      </c>
      <c r="AI289" s="360" t="str">
        <f t="shared" si="177"/>
        <v/>
      </c>
      <c r="AJ289" s="363" t="str">
        <f t="shared" si="151"/>
        <v/>
      </c>
      <c r="AK289" s="478"/>
      <c r="AL289" s="478"/>
      <c r="AM289" s="429"/>
      <c r="AN289" s="429"/>
      <c r="AO289" s="374" t="str">
        <f t="shared" si="137"/>
        <v/>
      </c>
      <c r="AP289" s="363"/>
      <c r="AQ289" s="479"/>
      <c r="AR289" s="479"/>
      <c r="AS289" s="374">
        <f t="shared" si="181"/>
        <v>0</v>
      </c>
      <c r="AT289" s="125"/>
      <c r="AU289" s="92"/>
      <c r="AV289" s="455">
        <f t="shared" si="182"/>
        <v>0</v>
      </c>
      <c r="AW289" s="455">
        <f t="shared" si="138"/>
        <v>0</v>
      </c>
      <c r="AX289" s="455">
        <f t="shared" si="139"/>
        <v>0</v>
      </c>
      <c r="AY289" s="386">
        <f t="shared" si="140"/>
        <v>0</v>
      </c>
      <c r="AZ289" s="180">
        <f t="shared" si="152"/>
        <v>0</v>
      </c>
      <c r="BA289" s="449">
        <f t="shared" si="153"/>
        <v>0</v>
      </c>
      <c r="BB289" s="429"/>
      <c r="BC289" s="429"/>
      <c r="BD289" s="429"/>
      <c r="BE289" s="429"/>
      <c r="BF289" s="453" t="str">
        <f t="shared" si="154"/>
        <v>-</v>
      </c>
      <c r="BG289" s="453" t="str">
        <f t="shared" si="155"/>
        <v>-</v>
      </c>
      <c r="BH289" s="453" t="str">
        <f t="shared" si="156"/>
        <v>-</v>
      </c>
      <c r="BI289" s="453" t="str">
        <f t="shared" si="157"/>
        <v>-</v>
      </c>
      <c r="BJ289" s="453" t="str">
        <f t="shared" si="158"/>
        <v>-</v>
      </c>
      <c r="BK289" s="390" t="str">
        <f t="shared" si="159"/>
        <v>-</v>
      </c>
      <c r="BL289" s="125"/>
      <c r="BM289" s="92"/>
      <c r="BN289" s="386">
        <f t="shared" si="178"/>
        <v>0</v>
      </c>
    </row>
    <row r="290" spans="1:66" ht="15.75" customHeight="1">
      <c r="A290" s="175">
        <f t="shared" si="161"/>
        <v>2026</v>
      </c>
      <c r="B290" s="454" t="str">
        <f t="shared" si="162"/>
        <v>23</v>
      </c>
      <c r="C290" s="454" t="str">
        <f t="array" ref="C290">_xlfn.IFS(_xlfn.NUMBERVALUE(B290)&lt;=13,"Q1",AND(_xlfn.NUMBERVALUE(B290)&gt;13,_xlfn.NUMBERVALUE(B290)&lt;=26),"Q2", AND(_xlfn.NUMBERVALUE(B290)&gt;26,_xlfn.NUMBERVALUE(B290)&lt;=39),"Q3",_xlfn.NUMBERVALUE(B290)&gt;39,"Q4")</f>
        <v>Q2</v>
      </c>
      <c r="D290" s="448">
        <f t="shared" si="179"/>
        <v>45843</v>
      </c>
      <c r="E290" s="448">
        <f t="shared" si="163"/>
        <v>45849</v>
      </c>
      <c r="F290" s="79">
        <v>202523</v>
      </c>
      <c r="G290" s="180">
        <f t="shared" si="164"/>
        <v>0</v>
      </c>
      <c r="H290" s="429"/>
      <c r="I290" s="429"/>
      <c r="J290" s="474">
        <f t="shared" si="165"/>
        <v>0</v>
      </c>
      <c r="K290" s="474">
        <f t="shared" si="166"/>
        <v>0</v>
      </c>
      <c r="L290" s="92">
        <f t="shared" si="183"/>
        <v>0</v>
      </c>
      <c r="M290" s="92">
        <f t="shared" si="184"/>
        <v>0</v>
      </c>
      <c r="N290" s="92"/>
      <c r="O290" s="474">
        <f t="shared" si="167"/>
        <v>0</v>
      </c>
      <c r="P290" s="474">
        <f t="shared" si="168"/>
        <v>0</v>
      </c>
      <c r="Q290" s="474">
        <f t="shared" si="169"/>
        <v>0</v>
      </c>
      <c r="R290" s="455">
        <f>Forecast!J285</f>
        <v>0</v>
      </c>
      <c r="S290" s="455">
        <f>Forecast!N285</f>
        <v>0</v>
      </c>
      <c r="T290" s="475">
        <f t="shared" si="170"/>
        <v>0</v>
      </c>
      <c r="U290" s="475">
        <f t="shared" si="171"/>
        <v>1256337</v>
      </c>
      <c r="V290" s="349">
        <f t="shared" si="172"/>
        <v>1322941</v>
      </c>
      <c r="W290" s="350">
        <f t="shared" si="180"/>
        <v>0</v>
      </c>
      <c r="X290" s="469">
        <f>'Channel &amp; Campaign Metrics'!AR289</f>
        <v>0</v>
      </c>
      <c r="Y290" s="469">
        <f>'Channel &amp; Campaign Metrics'!BS289</f>
        <v>0</v>
      </c>
      <c r="Z290" s="476"/>
      <c r="AA290" s="339"/>
      <c r="AB290" s="358">
        <f>'Glass Metrics'!AC290</f>
        <v>0</v>
      </c>
      <c r="AC290" s="475">
        <f>'Glass Metrics'!I290</f>
        <v>0</v>
      </c>
      <c r="AD290" s="469">
        <f>'Glass Metrics'!N290</f>
        <v>0</v>
      </c>
      <c r="AE290" s="349">
        <f>'Glass Metrics'!S290</f>
        <v>0</v>
      </c>
      <c r="AF290" s="359" t="str">
        <f t="shared" si="174"/>
        <v/>
      </c>
      <c r="AG290" s="477" t="str">
        <f t="shared" si="175"/>
        <v/>
      </c>
      <c r="AH290" s="472" t="str">
        <f t="shared" si="176"/>
        <v/>
      </c>
      <c r="AI290" s="360" t="str">
        <f t="shared" si="177"/>
        <v/>
      </c>
      <c r="AJ290" s="363" t="str">
        <f t="shared" si="151"/>
        <v/>
      </c>
      <c r="AK290" s="478"/>
      <c r="AL290" s="478"/>
      <c r="AM290" s="429"/>
      <c r="AN290" s="429"/>
      <c r="AO290" s="374" t="str">
        <f t="shared" si="137"/>
        <v/>
      </c>
      <c r="AP290" s="363"/>
      <c r="AQ290" s="479"/>
      <c r="AR290" s="479"/>
      <c r="AS290" s="374">
        <f t="shared" si="181"/>
        <v>0</v>
      </c>
      <c r="AT290" s="125"/>
      <c r="AU290" s="92"/>
      <c r="AV290" s="455">
        <f t="shared" si="182"/>
        <v>0</v>
      </c>
      <c r="AW290" s="455">
        <f t="shared" si="138"/>
        <v>0</v>
      </c>
      <c r="AX290" s="455">
        <f t="shared" si="139"/>
        <v>0</v>
      </c>
      <c r="AY290" s="386">
        <f t="shared" si="140"/>
        <v>0</v>
      </c>
      <c r="AZ290" s="180">
        <f t="shared" si="152"/>
        <v>0</v>
      </c>
      <c r="BA290" s="449">
        <f t="shared" si="153"/>
        <v>0</v>
      </c>
      <c r="BB290" s="429"/>
      <c r="BC290" s="429"/>
      <c r="BD290" s="429"/>
      <c r="BE290" s="429"/>
      <c r="BF290" s="453" t="str">
        <f t="shared" si="154"/>
        <v>-</v>
      </c>
      <c r="BG290" s="453" t="str">
        <f t="shared" si="155"/>
        <v>-</v>
      </c>
      <c r="BH290" s="453" t="str">
        <f t="shared" si="156"/>
        <v>-</v>
      </c>
      <c r="BI290" s="453" t="str">
        <f t="shared" si="157"/>
        <v>-</v>
      </c>
      <c r="BJ290" s="453" t="str">
        <f t="shared" si="158"/>
        <v>-</v>
      </c>
      <c r="BK290" s="390" t="str">
        <f t="shared" si="159"/>
        <v>-</v>
      </c>
      <c r="BL290" s="125"/>
      <c r="BM290" s="92"/>
      <c r="BN290" s="386">
        <f t="shared" si="178"/>
        <v>0</v>
      </c>
    </row>
    <row r="291" spans="1:66" ht="15.75" customHeight="1">
      <c r="A291" s="175">
        <f t="shared" si="161"/>
        <v>2026</v>
      </c>
      <c r="B291" s="454" t="str">
        <f t="shared" si="162"/>
        <v>24</v>
      </c>
      <c r="C291" s="454" t="str">
        <f t="array" ref="C291">_xlfn.IFS(_xlfn.NUMBERVALUE(B291)&lt;=13,"Q1",AND(_xlfn.NUMBERVALUE(B291)&gt;13,_xlfn.NUMBERVALUE(B291)&lt;=26),"Q2", AND(_xlfn.NUMBERVALUE(B291)&gt;26,_xlfn.NUMBERVALUE(B291)&lt;=39),"Q3",_xlfn.NUMBERVALUE(B291)&gt;39,"Q4")</f>
        <v>Q2</v>
      </c>
      <c r="D291" s="448">
        <f t="shared" si="179"/>
        <v>45850</v>
      </c>
      <c r="E291" s="448">
        <f t="shared" si="163"/>
        <v>45856</v>
      </c>
      <c r="F291" s="79">
        <v>202524</v>
      </c>
      <c r="G291" s="180">
        <f t="shared" si="164"/>
        <v>0</v>
      </c>
      <c r="H291" s="429"/>
      <c r="I291" s="429"/>
      <c r="J291" s="474">
        <f t="shared" si="165"/>
        <v>0</v>
      </c>
      <c r="K291" s="474">
        <f t="shared" si="166"/>
        <v>0</v>
      </c>
      <c r="L291" s="92">
        <f t="shared" si="183"/>
        <v>0</v>
      </c>
      <c r="M291" s="92">
        <f t="shared" si="184"/>
        <v>0</v>
      </c>
      <c r="N291" s="92"/>
      <c r="O291" s="474">
        <f t="shared" si="167"/>
        <v>0</v>
      </c>
      <c r="P291" s="474">
        <f t="shared" si="168"/>
        <v>0</v>
      </c>
      <c r="Q291" s="474">
        <f t="shared" si="169"/>
        <v>0</v>
      </c>
      <c r="R291" s="455">
        <f>Forecast!J286</f>
        <v>0</v>
      </c>
      <c r="S291" s="455">
        <f>Forecast!N286</f>
        <v>0</v>
      </c>
      <c r="T291" s="475">
        <f t="shared" si="170"/>
        <v>0</v>
      </c>
      <c r="U291" s="475">
        <f t="shared" si="171"/>
        <v>1256337</v>
      </c>
      <c r="V291" s="349">
        <f t="shared" si="172"/>
        <v>1322941</v>
      </c>
      <c r="W291" s="350">
        <f t="shared" si="180"/>
        <v>0</v>
      </c>
      <c r="X291" s="469">
        <f>'Channel &amp; Campaign Metrics'!AR290</f>
        <v>0</v>
      </c>
      <c r="Y291" s="469">
        <f>'Channel &amp; Campaign Metrics'!BS290</f>
        <v>0</v>
      </c>
      <c r="Z291" s="476"/>
      <c r="AA291" s="339"/>
      <c r="AB291" s="358">
        <f>'Glass Metrics'!AC291</f>
        <v>0</v>
      </c>
      <c r="AC291" s="475">
        <f>'Glass Metrics'!I291</f>
        <v>0</v>
      </c>
      <c r="AD291" s="469">
        <f>'Glass Metrics'!N291</f>
        <v>0</v>
      </c>
      <c r="AE291" s="349">
        <f>'Glass Metrics'!S291</f>
        <v>0</v>
      </c>
      <c r="AF291" s="359" t="str">
        <f t="shared" si="174"/>
        <v/>
      </c>
      <c r="AG291" s="477" t="str">
        <f t="shared" si="175"/>
        <v/>
      </c>
      <c r="AH291" s="472" t="str">
        <f t="shared" si="176"/>
        <v/>
      </c>
      <c r="AI291" s="360" t="str">
        <f t="shared" si="177"/>
        <v/>
      </c>
      <c r="AJ291" s="363" t="str">
        <f t="shared" si="151"/>
        <v/>
      </c>
      <c r="AK291" s="478"/>
      <c r="AL291" s="478"/>
      <c r="AM291" s="429"/>
      <c r="AN291" s="429"/>
      <c r="AO291" s="374" t="str">
        <f t="shared" si="137"/>
        <v/>
      </c>
      <c r="AP291" s="363"/>
      <c r="AQ291" s="479"/>
      <c r="AR291" s="479"/>
      <c r="AS291" s="374">
        <f t="shared" si="181"/>
        <v>0</v>
      </c>
      <c r="AT291" s="125"/>
      <c r="AU291" s="92"/>
      <c r="AV291" s="455">
        <f t="shared" si="182"/>
        <v>0</v>
      </c>
      <c r="AW291" s="455">
        <f t="shared" si="138"/>
        <v>0</v>
      </c>
      <c r="AX291" s="455">
        <f t="shared" si="139"/>
        <v>0</v>
      </c>
      <c r="AY291" s="386">
        <f t="shared" si="140"/>
        <v>0</v>
      </c>
      <c r="AZ291" s="180">
        <f t="shared" si="152"/>
        <v>0</v>
      </c>
      <c r="BA291" s="449">
        <f t="shared" si="153"/>
        <v>0</v>
      </c>
      <c r="BB291" s="429"/>
      <c r="BC291" s="429"/>
      <c r="BD291" s="429"/>
      <c r="BE291" s="429"/>
      <c r="BF291" s="453" t="str">
        <f t="shared" si="154"/>
        <v>-</v>
      </c>
      <c r="BG291" s="453" t="str">
        <f t="shared" si="155"/>
        <v>-</v>
      </c>
      <c r="BH291" s="453" t="str">
        <f t="shared" si="156"/>
        <v>-</v>
      </c>
      <c r="BI291" s="453" t="str">
        <f t="shared" si="157"/>
        <v>-</v>
      </c>
      <c r="BJ291" s="453" t="str">
        <f t="shared" si="158"/>
        <v>-</v>
      </c>
      <c r="BK291" s="390" t="str">
        <f t="shared" si="159"/>
        <v>-</v>
      </c>
      <c r="BL291" s="125"/>
      <c r="BM291" s="92"/>
      <c r="BN291" s="386">
        <f t="shared" si="178"/>
        <v>0</v>
      </c>
    </row>
    <row r="292" spans="1:66" ht="15.75" customHeight="1">
      <c r="A292" s="175">
        <f t="shared" si="161"/>
        <v>2026</v>
      </c>
      <c r="B292" s="454" t="str">
        <f t="shared" si="162"/>
        <v>25</v>
      </c>
      <c r="C292" s="454" t="str">
        <f t="array" ref="C292">_xlfn.IFS(_xlfn.NUMBERVALUE(B292)&lt;=13,"Q1",AND(_xlfn.NUMBERVALUE(B292)&gt;13,_xlfn.NUMBERVALUE(B292)&lt;=26),"Q2", AND(_xlfn.NUMBERVALUE(B292)&gt;26,_xlfn.NUMBERVALUE(B292)&lt;=39),"Q3",_xlfn.NUMBERVALUE(B292)&gt;39,"Q4")</f>
        <v>Q2</v>
      </c>
      <c r="D292" s="448">
        <f t="shared" si="179"/>
        <v>45857</v>
      </c>
      <c r="E292" s="448">
        <f t="shared" si="163"/>
        <v>45863</v>
      </c>
      <c r="F292" s="79">
        <v>202525</v>
      </c>
      <c r="G292" s="180">
        <f t="shared" si="164"/>
        <v>0</v>
      </c>
      <c r="H292" s="429"/>
      <c r="I292" s="429"/>
      <c r="J292" s="474">
        <f t="shared" si="165"/>
        <v>0</v>
      </c>
      <c r="K292" s="474">
        <f t="shared" si="166"/>
        <v>0</v>
      </c>
      <c r="L292" s="92">
        <f t="shared" si="183"/>
        <v>0</v>
      </c>
      <c r="M292" s="92">
        <f t="shared" si="184"/>
        <v>0</v>
      </c>
      <c r="N292" s="92"/>
      <c r="O292" s="474">
        <f t="shared" si="167"/>
        <v>0</v>
      </c>
      <c r="P292" s="474">
        <f t="shared" si="168"/>
        <v>0</v>
      </c>
      <c r="Q292" s="474">
        <f t="shared" si="169"/>
        <v>0</v>
      </c>
      <c r="R292" s="455">
        <f>Forecast!J287</f>
        <v>0</v>
      </c>
      <c r="S292" s="455">
        <f>Forecast!N287</f>
        <v>0</v>
      </c>
      <c r="T292" s="475">
        <f t="shared" si="170"/>
        <v>0</v>
      </c>
      <c r="U292" s="475">
        <f t="shared" si="171"/>
        <v>1256337</v>
      </c>
      <c r="V292" s="349">
        <f t="shared" si="172"/>
        <v>1322941</v>
      </c>
      <c r="W292" s="350">
        <f t="shared" si="180"/>
        <v>0</v>
      </c>
      <c r="X292" s="469">
        <f>'Channel &amp; Campaign Metrics'!AR291</f>
        <v>0</v>
      </c>
      <c r="Y292" s="469">
        <f>'Channel &amp; Campaign Metrics'!BS291</f>
        <v>0</v>
      </c>
      <c r="Z292" s="476"/>
      <c r="AA292" s="339"/>
      <c r="AB292" s="358">
        <f>'Glass Metrics'!AC292</f>
        <v>0</v>
      </c>
      <c r="AC292" s="475">
        <f>'Glass Metrics'!I292</f>
        <v>0</v>
      </c>
      <c r="AD292" s="469">
        <f>'Glass Metrics'!N292</f>
        <v>0</v>
      </c>
      <c r="AE292" s="349">
        <f>'Glass Metrics'!S292</f>
        <v>0</v>
      </c>
      <c r="AF292" s="359" t="str">
        <f t="shared" si="174"/>
        <v/>
      </c>
      <c r="AG292" s="477" t="str">
        <f t="shared" si="175"/>
        <v/>
      </c>
      <c r="AH292" s="472" t="str">
        <f t="shared" si="176"/>
        <v/>
      </c>
      <c r="AI292" s="360" t="str">
        <f t="shared" si="177"/>
        <v/>
      </c>
      <c r="AJ292" s="363" t="str">
        <f t="shared" si="151"/>
        <v/>
      </c>
      <c r="AK292" s="478"/>
      <c r="AL292" s="478"/>
      <c r="AM292" s="429"/>
      <c r="AN292" s="429"/>
      <c r="AO292" s="374" t="str">
        <f t="shared" si="137"/>
        <v/>
      </c>
      <c r="AP292" s="363"/>
      <c r="AQ292" s="479"/>
      <c r="AR292" s="479"/>
      <c r="AS292" s="374">
        <f t="shared" si="181"/>
        <v>0</v>
      </c>
      <c r="AT292" s="125"/>
      <c r="AU292" s="92"/>
      <c r="AV292" s="455">
        <f t="shared" si="182"/>
        <v>0</v>
      </c>
      <c r="AW292" s="455">
        <f t="shared" si="138"/>
        <v>0</v>
      </c>
      <c r="AX292" s="455">
        <f t="shared" si="139"/>
        <v>0</v>
      </c>
      <c r="AY292" s="386">
        <f t="shared" si="140"/>
        <v>0</v>
      </c>
      <c r="AZ292" s="180">
        <f t="shared" si="152"/>
        <v>0</v>
      </c>
      <c r="BA292" s="449">
        <f t="shared" si="153"/>
        <v>0</v>
      </c>
      <c r="BB292" s="429"/>
      <c r="BC292" s="429"/>
      <c r="BD292" s="429"/>
      <c r="BE292" s="429"/>
      <c r="BF292" s="453" t="str">
        <f t="shared" si="154"/>
        <v>-</v>
      </c>
      <c r="BG292" s="453" t="str">
        <f t="shared" si="155"/>
        <v>-</v>
      </c>
      <c r="BH292" s="453" t="str">
        <f t="shared" si="156"/>
        <v>-</v>
      </c>
      <c r="BI292" s="453" t="str">
        <f t="shared" si="157"/>
        <v>-</v>
      </c>
      <c r="BJ292" s="453" t="str">
        <f t="shared" si="158"/>
        <v>-</v>
      </c>
      <c r="BK292" s="390" t="str">
        <f t="shared" si="159"/>
        <v>-</v>
      </c>
      <c r="BL292" s="125"/>
      <c r="BM292" s="92"/>
      <c r="BN292" s="386">
        <f t="shared" si="178"/>
        <v>0</v>
      </c>
    </row>
    <row r="293" spans="1:66" ht="15.75" customHeight="1">
      <c r="A293" s="175">
        <f t="shared" si="161"/>
        <v>2026</v>
      </c>
      <c r="B293" s="454" t="str">
        <f t="shared" si="162"/>
        <v>26</v>
      </c>
      <c r="C293" s="454" t="str">
        <f t="array" ref="C293">_xlfn.IFS(_xlfn.NUMBERVALUE(B293)&lt;=13,"Q1",AND(_xlfn.NUMBERVALUE(B293)&gt;13,_xlfn.NUMBERVALUE(B293)&lt;=26),"Q2", AND(_xlfn.NUMBERVALUE(B293)&gt;26,_xlfn.NUMBERVALUE(B293)&lt;=39),"Q3",_xlfn.NUMBERVALUE(B293)&gt;39,"Q4")</f>
        <v>Q2</v>
      </c>
      <c r="D293" s="448">
        <f t="shared" si="179"/>
        <v>45864</v>
      </c>
      <c r="E293" s="448">
        <f t="shared" si="163"/>
        <v>45870</v>
      </c>
      <c r="F293" s="79">
        <v>202526</v>
      </c>
      <c r="G293" s="180">
        <f t="shared" si="164"/>
        <v>0</v>
      </c>
      <c r="H293" s="429"/>
      <c r="I293" s="429"/>
      <c r="J293" s="474">
        <f t="shared" si="165"/>
        <v>0</v>
      </c>
      <c r="K293" s="474">
        <f t="shared" si="166"/>
        <v>0</v>
      </c>
      <c r="L293" s="92">
        <f t="shared" si="183"/>
        <v>0</v>
      </c>
      <c r="M293" s="92">
        <f t="shared" si="184"/>
        <v>0</v>
      </c>
      <c r="N293" s="92"/>
      <c r="O293" s="474">
        <f t="shared" si="167"/>
        <v>0</v>
      </c>
      <c r="P293" s="474">
        <f t="shared" si="168"/>
        <v>0</v>
      </c>
      <c r="Q293" s="474">
        <f t="shared" si="169"/>
        <v>0</v>
      </c>
      <c r="R293" s="455">
        <f>Forecast!J288</f>
        <v>0</v>
      </c>
      <c r="S293" s="455">
        <f>Forecast!N288</f>
        <v>0</v>
      </c>
      <c r="T293" s="475">
        <f t="shared" si="170"/>
        <v>0</v>
      </c>
      <c r="U293" s="475">
        <f t="shared" si="171"/>
        <v>1256337</v>
      </c>
      <c r="V293" s="349">
        <f t="shared" si="172"/>
        <v>1322941</v>
      </c>
      <c r="W293" s="350">
        <f t="shared" si="180"/>
        <v>0</v>
      </c>
      <c r="X293" s="469">
        <f>'Channel &amp; Campaign Metrics'!AR292</f>
        <v>0</v>
      </c>
      <c r="Y293" s="469">
        <f>'Channel &amp; Campaign Metrics'!BS292</f>
        <v>0</v>
      </c>
      <c r="Z293" s="476"/>
      <c r="AA293" s="339"/>
      <c r="AB293" s="358">
        <f>'Glass Metrics'!AC293</f>
        <v>0</v>
      </c>
      <c r="AC293" s="475">
        <f>'Glass Metrics'!I293</f>
        <v>0</v>
      </c>
      <c r="AD293" s="469">
        <f>'Glass Metrics'!N293</f>
        <v>0</v>
      </c>
      <c r="AE293" s="349">
        <f>'Glass Metrics'!S293</f>
        <v>0</v>
      </c>
      <c r="AF293" s="359" t="str">
        <f t="shared" si="174"/>
        <v/>
      </c>
      <c r="AG293" s="477" t="str">
        <f t="shared" si="175"/>
        <v/>
      </c>
      <c r="AH293" s="472" t="str">
        <f t="shared" si="176"/>
        <v/>
      </c>
      <c r="AI293" s="360" t="str">
        <f t="shared" si="177"/>
        <v/>
      </c>
      <c r="AJ293" s="363" t="str">
        <f t="shared" si="151"/>
        <v/>
      </c>
      <c r="AK293" s="478"/>
      <c r="AL293" s="478"/>
      <c r="AM293" s="429"/>
      <c r="AN293" s="429"/>
      <c r="AO293" s="374" t="str">
        <f t="shared" si="137"/>
        <v/>
      </c>
      <c r="AP293" s="363"/>
      <c r="AQ293" s="479"/>
      <c r="AR293" s="479"/>
      <c r="AS293" s="374">
        <f t="shared" si="181"/>
        <v>0</v>
      </c>
      <c r="AT293" s="125"/>
      <c r="AU293" s="92"/>
      <c r="AV293" s="455">
        <f t="shared" si="182"/>
        <v>0</v>
      </c>
      <c r="AW293" s="455">
        <f t="shared" si="138"/>
        <v>0</v>
      </c>
      <c r="AX293" s="455">
        <f t="shared" si="139"/>
        <v>0</v>
      </c>
      <c r="AY293" s="386">
        <f t="shared" si="140"/>
        <v>0</v>
      </c>
      <c r="AZ293" s="180">
        <f t="shared" si="152"/>
        <v>0</v>
      </c>
      <c r="BA293" s="449">
        <f t="shared" si="153"/>
        <v>0</v>
      </c>
      <c r="BB293" s="429"/>
      <c r="BC293" s="429"/>
      <c r="BD293" s="429"/>
      <c r="BE293" s="429"/>
      <c r="BF293" s="453" t="str">
        <f t="shared" si="154"/>
        <v>-</v>
      </c>
      <c r="BG293" s="453" t="str">
        <f t="shared" si="155"/>
        <v>-</v>
      </c>
      <c r="BH293" s="453" t="str">
        <f t="shared" si="156"/>
        <v>-</v>
      </c>
      <c r="BI293" s="453" t="str">
        <f t="shared" si="157"/>
        <v>-</v>
      </c>
      <c r="BJ293" s="453" t="str">
        <f t="shared" si="158"/>
        <v>-</v>
      </c>
      <c r="BK293" s="390" t="str">
        <f t="shared" si="159"/>
        <v>-</v>
      </c>
      <c r="BL293" s="125"/>
      <c r="BM293" s="92"/>
      <c r="BN293" s="386">
        <f t="shared" si="178"/>
        <v>0</v>
      </c>
    </row>
    <row r="294" spans="1:66" ht="15.75" customHeight="1">
      <c r="A294" s="175">
        <f t="shared" si="161"/>
        <v>2026</v>
      </c>
      <c r="B294" s="454" t="str">
        <f t="shared" si="162"/>
        <v>27</v>
      </c>
      <c r="C294" s="454" t="str">
        <f t="array" ref="C294">_xlfn.IFS(_xlfn.NUMBERVALUE(B294)&lt;=13,"Q1",AND(_xlfn.NUMBERVALUE(B294)&gt;13,_xlfn.NUMBERVALUE(B294)&lt;=26),"Q2", AND(_xlfn.NUMBERVALUE(B294)&gt;26,_xlfn.NUMBERVALUE(B294)&lt;=39),"Q3",_xlfn.NUMBERVALUE(B294)&gt;39,"Q4")</f>
        <v>Q3</v>
      </c>
      <c r="D294" s="448">
        <f t="shared" si="179"/>
        <v>45871</v>
      </c>
      <c r="E294" s="448">
        <f t="shared" si="163"/>
        <v>45877</v>
      </c>
      <c r="F294" s="79">
        <v>202527</v>
      </c>
      <c r="G294" s="180">
        <f t="shared" si="164"/>
        <v>0</v>
      </c>
      <c r="H294" s="429"/>
      <c r="I294" s="429"/>
      <c r="J294" s="474">
        <f t="shared" si="165"/>
        <v>0</v>
      </c>
      <c r="K294" s="474">
        <f t="shared" si="166"/>
        <v>0</v>
      </c>
      <c r="L294" s="92">
        <f t="shared" si="183"/>
        <v>0</v>
      </c>
      <c r="M294" s="92">
        <f t="shared" si="184"/>
        <v>0</v>
      </c>
      <c r="N294" s="92"/>
      <c r="O294" s="474">
        <f t="shared" si="167"/>
        <v>0</v>
      </c>
      <c r="P294" s="474">
        <f t="shared" si="168"/>
        <v>0</v>
      </c>
      <c r="Q294" s="474">
        <f t="shared" si="169"/>
        <v>0</v>
      </c>
      <c r="R294" s="455">
        <f>Forecast!J289</f>
        <v>0</v>
      </c>
      <c r="S294" s="455">
        <f>Forecast!N289</f>
        <v>0</v>
      </c>
      <c r="T294" s="475">
        <f t="shared" si="170"/>
        <v>0</v>
      </c>
      <c r="U294" s="475">
        <f t="shared" si="171"/>
        <v>1256337</v>
      </c>
      <c r="V294" s="349">
        <f t="shared" si="172"/>
        <v>1322941</v>
      </c>
      <c r="W294" s="350">
        <f t="shared" si="180"/>
        <v>0</v>
      </c>
      <c r="X294" s="469">
        <f>'Channel &amp; Campaign Metrics'!AR293</f>
        <v>0</v>
      </c>
      <c r="Y294" s="469">
        <f>'Channel &amp; Campaign Metrics'!BS293</f>
        <v>0</v>
      </c>
      <c r="Z294" s="476"/>
      <c r="AA294" s="339"/>
      <c r="AB294" s="358">
        <f>'Glass Metrics'!AC294</f>
        <v>0</v>
      </c>
      <c r="AC294" s="475">
        <f>'Glass Metrics'!I294</f>
        <v>0</v>
      </c>
      <c r="AD294" s="469">
        <f>'Glass Metrics'!N294</f>
        <v>0</v>
      </c>
      <c r="AE294" s="349">
        <f>'Glass Metrics'!S294</f>
        <v>0</v>
      </c>
      <c r="AF294" s="359" t="str">
        <f t="shared" si="174"/>
        <v/>
      </c>
      <c r="AG294" s="477" t="str">
        <f t="shared" si="175"/>
        <v/>
      </c>
      <c r="AH294" s="472" t="str">
        <f t="shared" si="176"/>
        <v/>
      </c>
      <c r="AI294" s="360" t="str">
        <f t="shared" si="177"/>
        <v/>
      </c>
      <c r="AJ294" s="363" t="str">
        <f t="shared" si="151"/>
        <v/>
      </c>
      <c r="AK294" s="478"/>
      <c r="AL294" s="478"/>
      <c r="AM294" s="429"/>
      <c r="AN294" s="429"/>
      <c r="AO294" s="374" t="str">
        <f t="shared" si="137"/>
        <v/>
      </c>
      <c r="AP294" s="363"/>
      <c r="AQ294" s="479"/>
      <c r="AR294" s="479"/>
      <c r="AS294" s="374">
        <f t="shared" si="181"/>
        <v>0</v>
      </c>
      <c r="AT294" s="125"/>
      <c r="AU294" s="92"/>
      <c r="AV294" s="455">
        <f t="shared" si="182"/>
        <v>0</v>
      </c>
      <c r="AW294" s="455">
        <f t="shared" si="138"/>
        <v>0</v>
      </c>
      <c r="AX294" s="455">
        <f t="shared" si="139"/>
        <v>0</v>
      </c>
      <c r="AY294" s="386">
        <f t="shared" si="140"/>
        <v>0</v>
      </c>
      <c r="AZ294" s="180">
        <f t="shared" si="152"/>
        <v>0</v>
      </c>
      <c r="BA294" s="449">
        <f t="shared" si="153"/>
        <v>0</v>
      </c>
      <c r="BB294" s="429"/>
      <c r="BC294" s="429"/>
      <c r="BD294" s="429"/>
      <c r="BE294" s="429"/>
      <c r="BF294" s="453" t="str">
        <f t="shared" si="154"/>
        <v>-</v>
      </c>
      <c r="BG294" s="453" t="str">
        <f t="shared" si="155"/>
        <v>-</v>
      </c>
      <c r="BH294" s="453" t="str">
        <f t="shared" si="156"/>
        <v>-</v>
      </c>
      <c r="BI294" s="453" t="str">
        <f t="shared" si="157"/>
        <v>-</v>
      </c>
      <c r="BJ294" s="453" t="str">
        <f t="shared" si="158"/>
        <v>-</v>
      </c>
      <c r="BK294" s="390" t="str">
        <f t="shared" si="159"/>
        <v>-</v>
      </c>
      <c r="BL294" s="125"/>
      <c r="BM294" s="92"/>
      <c r="BN294" s="386">
        <f t="shared" si="178"/>
        <v>0</v>
      </c>
    </row>
    <row r="295" spans="1:66" ht="15.75" customHeight="1">
      <c r="A295" s="175">
        <f t="shared" si="161"/>
        <v>2026</v>
      </c>
      <c r="B295" s="454" t="str">
        <f t="shared" si="162"/>
        <v>28</v>
      </c>
      <c r="C295" s="454" t="str">
        <f t="array" ref="C295">_xlfn.IFS(_xlfn.NUMBERVALUE(B295)&lt;=13,"Q1",AND(_xlfn.NUMBERVALUE(B295)&gt;13,_xlfn.NUMBERVALUE(B295)&lt;=26),"Q2", AND(_xlfn.NUMBERVALUE(B295)&gt;26,_xlfn.NUMBERVALUE(B295)&lt;=39),"Q3",_xlfn.NUMBERVALUE(B295)&gt;39,"Q4")</f>
        <v>Q3</v>
      </c>
      <c r="D295" s="448">
        <f t="shared" si="179"/>
        <v>45878</v>
      </c>
      <c r="E295" s="448">
        <f t="shared" si="163"/>
        <v>45884</v>
      </c>
      <c r="F295" s="79">
        <v>202528</v>
      </c>
      <c r="G295" s="180">
        <f t="shared" si="164"/>
        <v>0</v>
      </c>
      <c r="H295" s="429"/>
      <c r="I295" s="429"/>
      <c r="J295" s="474">
        <f t="shared" si="165"/>
        <v>0</v>
      </c>
      <c r="K295" s="474">
        <f t="shared" si="166"/>
        <v>0</v>
      </c>
      <c r="L295" s="92">
        <f t="shared" si="183"/>
        <v>0</v>
      </c>
      <c r="M295" s="92">
        <f t="shared" si="184"/>
        <v>0</v>
      </c>
      <c r="N295" s="92"/>
      <c r="O295" s="474">
        <f t="shared" si="167"/>
        <v>0</v>
      </c>
      <c r="P295" s="474">
        <f t="shared" si="168"/>
        <v>0</v>
      </c>
      <c r="Q295" s="474">
        <f t="shared" si="169"/>
        <v>0</v>
      </c>
      <c r="R295" s="455">
        <f>Forecast!J290</f>
        <v>0</v>
      </c>
      <c r="S295" s="455">
        <f>Forecast!N290</f>
        <v>0</v>
      </c>
      <c r="T295" s="475">
        <f t="shared" si="170"/>
        <v>0</v>
      </c>
      <c r="U295" s="475">
        <f t="shared" si="171"/>
        <v>1256337</v>
      </c>
      <c r="V295" s="349">
        <f t="shared" si="172"/>
        <v>1322941</v>
      </c>
      <c r="W295" s="350">
        <f t="shared" si="180"/>
        <v>0</v>
      </c>
      <c r="X295" s="469">
        <f>'Channel &amp; Campaign Metrics'!AR294</f>
        <v>0</v>
      </c>
      <c r="Y295" s="469">
        <f>'Channel &amp; Campaign Metrics'!BS294</f>
        <v>0</v>
      </c>
      <c r="Z295" s="476"/>
      <c r="AA295" s="339"/>
      <c r="AB295" s="358">
        <f>'Glass Metrics'!AC295</f>
        <v>0</v>
      </c>
      <c r="AC295" s="475">
        <f>'Glass Metrics'!I295</f>
        <v>0</v>
      </c>
      <c r="AD295" s="469">
        <f>'Glass Metrics'!N295</f>
        <v>0</v>
      </c>
      <c r="AE295" s="349">
        <f>'Glass Metrics'!S295</f>
        <v>0</v>
      </c>
      <c r="AF295" s="359" t="str">
        <f t="shared" si="174"/>
        <v/>
      </c>
      <c r="AG295" s="477" t="str">
        <f t="shared" si="175"/>
        <v/>
      </c>
      <c r="AH295" s="472" t="str">
        <f t="shared" si="176"/>
        <v/>
      </c>
      <c r="AI295" s="360" t="str">
        <f t="shared" si="177"/>
        <v/>
      </c>
      <c r="AJ295" s="363" t="str">
        <f t="shared" si="151"/>
        <v/>
      </c>
      <c r="AK295" s="478"/>
      <c r="AL295" s="478"/>
      <c r="AM295" s="429"/>
      <c r="AN295" s="429"/>
      <c r="AO295" s="374" t="str">
        <f t="shared" si="137"/>
        <v/>
      </c>
      <c r="AP295" s="363"/>
      <c r="AQ295" s="479"/>
      <c r="AR295" s="479"/>
      <c r="AS295" s="374">
        <f t="shared" si="181"/>
        <v>0</v>
      </c>
      <c r="AT295" s="125"/>
      <c r="AU295" s="92"/>
      <c r="AV295" s="455">
        <f t="shared" si="182"/>
        <v>0</v>
      </c>
      <c r="AW295" s="455">
        <f t="shared" si="138"/>
        <v>0</v>
      </c>
      <c r="AX295" s="455">
        <f t="shared" si="139"/>
        <v>0</v>
      </c>
      <c r="AY295" s="386">
        <f t="shared" si="140"/>
        <v>0</v>
      </c>
      <c r="AZ295" s="180">
        <f t="shared" si="152"/>
        <v>0</v>
      </c>
      <c r="BA295" s="449">
        <f t="shared" si="153"/>
        <v>0</v>
      </c>
      <c r="BB295" s="429"/>
      <c r="BC295" s="429"/>
      <c r="BD295" s="429"/>
      <c r="BE295" s="429"/>
      <c r="BF295" s="453" t="str">
        <f t="shared" si="154"/>
        <v>-</v>
      </c>
      <c r="BG295" s="453" t="str">
        <f t="shared" si="155"/>
        <v>-</v>
      </c>
      <c r="BH295" s="453" t="str">
        <f t="shared" si="156"/>
        <v>-</v>
      </c>
      <c r="BI295" s="453" t="str">
        <f t="shared" si="157"/>
        <v>-</v>
      </c>
      <c r="BJ295" s="453" t="str">
        <f t="shared" si="158"/>
        <v>-</v>
      </c>
      <c r="BK295" s="390" t="str">
        <f t="shared" si="159"/>
        <v>-</v>
      </c>
      <c r="BL295" s="125"/>
      <c r="BM295" s="92"/>
      <c r="BN295" s="386">
        <f t="shared" si="178"/>
        <v>0</v>
      </c>
    </row>
    <row r="296" spans="1:66" ht="15.75" customHeight="1">
      <c r="A296" s="175">
        <f t="shared" si="161"/>
        <v>2026</v>
      </c>
      <c r="B296" s="454" t="str">
        <f t="shared" si="162"/>
        <v>29</v>
      </c>
      <c r="C296" s="454" t="str">
        <f t="array" ref="C296">_xlfn.IFS(_xlfn.NUMBERVALUE(B296)&lt;=13,"Q1",AND(_xlfn.NUMBERVALUE(B296)&gt;13,_xlfn.NUMBERVALUE(B296)&lt;=26),"Q2", AND(_xlfn.NUMBERVALUE(B296)&gt;26,_xlfn.NUMBERVALUE(B296)&lt;=39),"Q3",_xlfn.NUMBERVALUE(B296)&gt;39,"Q4")</f>
        <v>Q3</v>
      </c>
      <c r="D296" s="448">
        <f t="shared" si="179"/>
        <v>45885</v>
      </c>
      <c r="E296" s="448">
        <f t="shared" si="163"/>
        <v>45891</v>
      </c>
      <c r="F296" s="79">
        <v>202529</v>
      </c>
      <c r="G296" s="180">
        <f t="shared" si="164"/>
        <v>0</v>
      </c>
      <c r="H296" s="429"/>
      <c r="I296" s="429"/>
      <c r="J296" s="474">
        <f t="shared" si="165"/>
        <v>0</v>
      </c>
      <c r="K296" s="474">
        <f t="shared" si="166"/>
        <v>0</v>
      </c>
      <c r="L296" s="92">
        <f t="shared" si="183"/>
        <v>0</v>
      </c>
      <c r="M296" s="92">
        <f t="shared" si="184"/>
        <v>0</v>
      </c>
      <c r="N296" s="92"/>
      <c r="O296" s="474">
        <f t="shared" si="167"/>
        <v>0</v>
      </c>
      <c r="P296" s="474">
        <f t="shared" si="168"/>
        <v>0</v>
      </c>
      <c r="Q296" s="474">
        <f t="shared" si="169"/>
        <v>0</v>
      </c>
      <c r="R296" s="455">
        <f>Forecast!J291</f>
        <v>0</v>
      </c>
      <c r="S296" s="455">
        <f>Forecast!N291</f>
        <v>0</v>
      </c>
      <c r="T296" s="475">
        <f t="shared" si="170"/>
        <v>0</v>
      </c>
      <c r="U296" s="475">
        <f t="shared" si="171"/>
        <v>1256337</v>
      </c>
      <c r="V296" s="349">
        <f t="shared" si="172"/>
        <v>1322941</v>
      </c>
      <c r="W296" s="350">
        <f t="shared" si="180"/>
        <v>0</v>
      </c>
      <c r="X296" s="469">
        <f>'Channel &amp; Campaign Metrics'!AR295</f>
        <v>0</v>
      </c>
      <c r="Y296" s="469">
        <f>'Channel &amp; Campaign Metrics'!BS295</f>
        <v>0</v>
      </c>
      <c r="Z296" s="476"/>
      <c r="AA296" s="339"/>
      <c r="AB296" s="358">
        <f>'Glass Metrics'!AC296</f>
        <v>0</v>
      </c>
      <c r="AC296" s="475">
        <f>'Glass Metrics'!I296</f>
        <v>0</v>
      </c>
      <c r="AD296" s="469">
        <f>'Glass Metrics'!N296</f>
        <v>0</v>
      </c>
      <c r="AE296" s="349">
        <f>'Glass Metrics'!S296</f>
        <v>0</v>
      </c>
      <c r="AF296" s="359" t="str">
        <f t="shared" si="174"/>
        <v/>
      </c>
      <c r="AG296" s="477" t="str">
        <f t="shared" si="175"/>
        <v/>
      </c>
      <c r="AH296" s="472" t="str">
        <f t="shared" si="176"/>
        <v/>
      </c>
      <c r="AI296" s="360" t="str">
        <f t="shared" si="177"/>
        <v/>
      </c>
      <c r="AJ296" s="363" t="str">
        <f t="shared" si="151"/>
        <v/>
      </c>
      <c r="AK296" s="478"/>
      <c r="AL296" s="478"/>
      <c r="AM296" s="429"/>
      <c r="AN296" s="429"/>
      <c r="AO296" s="374" t="str">
        <f t="shared" si="137"/>
        <v/>
      </c>
      <c r="AP296" s="363"/>
      <c r="AQ296" s="479"/>
      <c r="AR296" s="479"/>
      <c r="AS296" s="374">
        <f t="shared" si="181"/>
        <v>0</v>
      </c>
      <c r="AT296" s="125"/>
      <c r="AU296" s="92"/>
      <c r="AV296" s="455">
        <f t="shared" si="182"/>
        <v>0</v>
      </c>
      <c r="AW296" s="455">
        <f t="shared" si="138"/>
        <v>0</v>
      </c>
      <c r="AX296" s="455">
        <f t="shared" si="139"/>
        <v>0</v>
      </c>
      <c r="AY296" s="386">
        <f t="shared" si="140"/>
        <v>0</v>
      </c>
      <c r="AZ296" s="180">
        <f t="shared" si="152"/>
        <v>0</v>
      </c>
      <c r="BA296" s="449">
        <f t="shared" si="153"/>
        <v>0</v>
      </c>
      <c r="BB296" s="429"/>
      <c r="BC296" s="429"/>
      <c r="BD296" s="429"/>
      <c r="BE296" s="429"/>
      <c r="BF296" s="453" t="str">
        <f t="shared" si="154"/>
        <v>-</v>
      </c>
      <c r="BG296" s="453" t="str">
        <f t="shared" si="155"/>
        <v>-</v>
      </c>
      <c r="BH296" s="453" t="str">
        <f t="shared" si="156"/>
        <v>-</v>
      </c>
      <c r="BI296" s="453" t="str">
        <f t="shared" si="157"/>
        <v>-</v>
      </c>
      <c r="BJ296" s="453" t="str">
        <f t="shared" si="158"/>
        <v>-</v>
      </c>
      <c r="BK296" s="390" t="str">
        <f t="shared" si="159"/>
        <v>-</v>
      </c>
      <c r="BL296" s="125"/>
      <c r="BM296" s="92"/>
      <c r="BN296" s="386">
        <f t="shared" si="178"/>
        <v>0</v>
      </c>
    </row>
    <row r="297" spans="1:66" ht="15.75" customHeight="1">
      <c r="A297" s="175">
        <f t="shared" si="161"/>
        <v>2026</v>
      </c>
      <c r="B297" s="454" t="str">
        <f t="shared" si="162"/>
        <v>30</v>
      </c>
      <c r="C297" s="454" t="str">
        <f t="array" ref="C297">_xlfn.IFS(_xlfn.NUMBERVALUE(B297)&lt;=13,"Q1",AND(_xlfn.NUMBERVALUE(B297)&gt;13,_xlfn.NUMBERVALUE(B297)&lt;=26),"Q2", AND(_xlfn.NUMBERVALUE(B297)&gt;26,_xlfn.NUMBERVALUE(B297)&lt;=39),"Q3",_xlfn.NUMBERVALUE(B297)&gt;39,"Q4")</f>
        <v>Q3</v>
      </c>
      <c r="D297" s="448">
        <f t="shared" si="179"/>
        <v>45892</v>
      </c>
      <c r="E297" s="448">
        <f t="shared" si="163"/>
        <v>45898</v>
      </c>
      <c r="F297" s="79">
        <v>202530</v>
      </c>
      <c r="G297" s="180">
        <f t="shared" si="164"/>
        <v>0</v>
      </c>
      <c r="H297" s="429"/>
      <c r="I297" s="429"/>
      <c r="J297" s="474">
        <f t="shared" si="165"/>
        <v>0</v>
      </c>
      <c r="K297" s="474">
        <f t="shared" si="166"/>
        <v>0</v>
      </c>
      <c r="L297" s="92">
        <f t="shared" si="183"/>
        <v>0</v>
      </c>
      <c r="M297" s="92">
        <f t="shared" si="184"/>
        <v>0</v>
      </c>
      <c r="N297" s="92"/>
      <c r="O297" s="474">
        <f t="shared" si="167"/>
        <v>0</v>
      </c>
      <c r="P297" s="474">
        <f t="shared" si="168"/>
        <v>0</v>
      </c>
      <c r="Q297" s="474">
        <f t="shared" si="169"/>
        <v>0</v>
      </c>
      <c r="R297" s="455">
        <f>Forecast!J292</f>
        <v>0</v>
      </c>
      <c r="S297" s="455">
        <f>Forecast!N292</f>
        <v>0</v>
      </c>
      <c r="T297" s="475">
        <f t="shared" si="170"/>
        <v>0</v>
      </c>
      <c r="U297" s="475">
        <f t="shared" si="171"/>
        <v>1256337</v>
      </c>
      <c r="V297" s="349">
        <f t="shared" si="172"/>
        <v>1322941</v>
      </c>
      <c r="W297" s="350">
        <f t="shared" si="180"/>
        <v>0</v>
      </c>
      <c r="X297" s="469">
        <f>'Channel &amp; Campaign Metrics'!AR296</f>
        <v>0</v>
      </c>
      <c r="Y297" s="469">
        <f>'Channel &amp; Campaign Metrics'!BS296</f>
        <v>0</v>
      </c>
      <c r="Z297" s="476"/>
      <c r="AA297" s="339"/>
      <c r="AB297" s="358">
        <f>'Glass Metrics'!AC297</f>
        <v>0</v>
      </c>
      <c r="AC297" s="475">
        <f>'Glass Metrics'!I297</f>
        <v>0</v>
      </c>
      <c r="AD297" s="469">
        <f>'Glass Metrics'!N297</f>
        <v>0</v>
      </c>
      <c r="AE297" s="349">
        <f>'Glass Metrics'!S297</f>
        <v>0</v>
      </c>
      <c r="AF297" s="359" t="str">
        <f t="shared" si="174"/>
        <v/>
      </c>
      <c r="AG297" s="477" t="str">
        <f t="shared" si="175"/>
        <v/>
      </c>
      <c r="AH297" s="472" t="str">
        <f t="shared" si="176"/>
        <v/>
      </c>
      <c r="AI297" s="360" t="str">
        <f t="shared" si="177"/>
        <v/>
      </c>
      <c r="AJ297" s="363" t="str">
        <f t="shared" si="151"/>
        <v/>
      </c>
      <c r="AK297" s="478"/>
      <c r="AL297" s="478"/>
      <c r="AM297" s="429"/>
      <c r="AN297" s="429"/>
      <c r="AO297" s="374" t="str">
        <f t="shared" si="137"/>
        <v/>
      </c>
      <c r="AP297" s="363"/>
      <c r="AQ297" s="479"/>
      <c r="AR297" s="479"/>
      <c r="AS297" s="374">
        <f t="shared" si="181"/>
        <v>0</v>
      </c>
      <c r="AT297" s="125"/>
      <c r="AU297" s="92"/>
      <c r="AV297" s="455">
        <f t="shared" si="182"/>
        <v>0</v>
      </c>
      <c r="AW297" s="455">
        <f t="shared" si="138"/>
        <v>0</v>
      </c>
      <c r="AX297" s="455">
        <f t="shared" si="139"/>
        <v>0</v>
      </c>
      <c r="AY297" s="386">
        <f t="shared" si="140"/>
        <v>0</v>
      </c>
      <c r="AZ297" s="180">
        <f t="shared" si="152"/>
        <v>0</v>
      </c>
      <c r="BA297" s="449">
        <f t="shared" si="153"/>
        <v>0</v>
      </c>
      <c r="BB297" s="429"/>
      <c r="BC297" s="429"/>
      <c r="BD297" s="429"/>
      <c r="BE297" s="429"/>
      <c r="BF297" s="453" t="str">
        <f t="shared" si="154"/>
        <v>-</v>
      </c>
      <c r="BG297" s="453" t="str">
        <f t="shared" si="155"/>
        <v>-</v>
      </c>
      <c r="BH297" s="453" t="str">
        <f t="shared" si="156"/>
        <v>-</v>
      </c>
      <c r="BI297" s="453" t="str">
        <f t="shared" si="157"/>
        <v>-</v>
      </c>
      <c r="BJ297" s="453" t="str">
        <f t="shared" si="158"/>
        <v>-</v>
      </c>
      <c r="BK297" s="390" t="str">
        <f t="shared" si="159"/>
        <v>-</v>
      </c>
      <c r="BL297" s="125"/>
      <c r="BM297" s="92"/>
      <c r="BN297" s="386">
        <f t="shared" si="178"/>
        <v>0</v>
      </c>
    </row>
    <row r="298" spans="1:66" ht="15.75" customHeight="1">
      <c r="A298" s="175">
        <f t="shared" si="161"/>
        <v>2026</v>
      </c>
      <c r="B298" s="454" t="str">
        <f t="shared" si="162"/>
        <v>31</v>
      </c>
      <c r="C298" s="454" t="str">
        <f t="array" ref="C298">_xlfn.IFS(_xlfn.NUMBERVALUE(B298)&lt;=13,"Q1",AND(_xlfn.NUMBERVALUE(B298)&gt;13,_xlfn.NUMBERVALUE(B298)&lt;=26),"Q2", AND(_xlfn.NUMBERVALUE(B298)&gt;26,_xlfn.NUMBERVALUE(B298)&lt;=39),"Q3",_xlfn.NUMBERVALUE(B298)&gt;39,"Q4")</f>
        <v>Q3</v>
      </c>
      <c r="D298" s="448">
        <f t="shared" si="179"/>
        <v>45899</v>
      </c>
      <c r="E298" s="448">
        <f t="shared" si="163"/>
        <v>45905</v>
      </c>
      <c r="F298" s="79">
        <v>202531</v>
      </c>
      <c r="G298" s="180">
        <f t="shared" si="164"/>
        <v>0</v>
      </c>
      <c r="H298" s="429"/>
      <c r="I298" s="429"/>
      <c r="J298" s="474">
        <f t="shared" si="165"/>
        <v>0</v>
      </c>
      <c r="K298" s="474">
        <f t="shared" si="166"/>
        <v>0</v>
      </c>
      <c r="L298" s="92">
        <f t="shared" si="183"/>
        <v>0</v>
      </c>
      <c r="M298" s="92">
        <f t="shared" si="184"/>
        <v>0</v>
      </c>
      <c r="N298" s="92"/>
      <c r="O298" s="474">
        <f t="shared" si="167"/>
        <v>0</v>
      </c>
      <c r="P298" s="474">
        <f t="shared" si="168"/>
        <v>0</v>
      </c>
      <c r="Q298" s="474">
        <f t="shared" si="169"/>
        <v>0</v>
      </c>
      <c r="R298" s="455">
        <f>Forecast!J293</f>
        <v>0</v>
      </c>
      <c r="S298" s="455">
        <f>Forecast!N293</f>
        <v>0</v>
      </c>
      <c r="T298" s="475">
        <f t="shared" si="170"/>
        <v>0</v>
      </c>
      <c r="U298" s="475">
        <f t="shared" si="171"/>
        <v>1256337</v>
      </c>
      <c r="V298" s="349">
        <f t="shared" si="172"/>
        <v>1322941</v>
      </c>
      <c r="W298" s="350">
        <f t="shared" si="180"/>
        <v>0</v>
      </c>
      <c r="X298" s="469">
        <f>'Channel &amp; Campaign Metrics'!AR297</f>
        <v>0</v>
      </c>
      <c r="Y298" s="469">
        <f>'Channel &amp; Campaign Metrics'!BS297</f>
        <v>0</v>
      </c>
      <c r="Z298" s="476"/>
      <c r="AA298" s="339"/>
      <c r="AB298" s="358">
        <f>'Glass Metrics'!AC298</f>
        <v>0</v>
      </c>
      <c r="AC298" s="475">
        <f>'Glass Metrics'!I298</f>
        <v>0</v>
      </c>
      <c r="AD298" s="469">
        <f>'Glass Metrics'!N298</f>
        <v>0</v>
      </c>
      <c r="AE298" s="349">
        <f>'Glass Metrics'!S298</f>
        <v>0</v>
      </c>
      <c r="AF298" s="359" t="str">
        <f t="shared" si="174"/>
        <v/>
      </c>
      <c r="AG298" s="477" t="str">
        <f t="shared" si="175"/>
        <v/>
      </c>
      <c r="AH298" s="472" t="str">
        <f t="shared" si="176"/>
        <v/>
      </c>
      <c r="AI298" s="360" t="str">
        <f t="shared" si="177"/>
        <v/>
      </c>
      <c r="AJ298" s="363" t="str">
        <f t="shared" si="151"/>
        <v/>
      </c>
      <c r="AK298" s="478"/>
      <c r="AL298" s="478"/>
      <c r="AM298" s="429"/>
      <c r="AN298" s="429"/>
      <c r="AO298" s="374" t="str">
        <f t="shared" si="137"/>
        <v/>
      </c>
      <c r="AP298" s="363"/>
      <c r="AQ298" s="479"/>
      <c r="AR298" s="479"/>
      <c r="AS298" s="374">
        <f t="shared" si="181"/>
        <v>0</v>
      </c>
      <c r="AT298" s="125"/>
      <c r="AU298" s="92"/>
      <c r="AV298" s="455">
        <f t="shared" si="182"/>
        <v>0</v>
      </c>
      <c r="AW298" s="455">
        <f t="shared" si="138"/>
        <v>0</v>
      </c>
      <c r="AX298" s="455">
        <f t="shared" si="139"/>
        <v>0</v>
      </c>
      <c r="AY298" s="386">
        <f t="shared" si="140"/>
        <v>0</v>
      </c>
      <c r="AZ298" s="180">
        <f t="shared" si="152"/>
        <v>0</v>
      </c>
      <c r="BA298" s="449">
        <f t="shared" si="153"/>
        <v>0</v>
      </c>
      <c r="BB298" s="429"/>
      <c r="BC298" s="429"/>
      <c r="BD298" s="429"/>
      <c r="BE298" s="429"/>
      <c r="BF298" s="453" t="str">
        <f t="shared" si="154"/>
        <v>-</v>
      </c>
      <c r="BG298" s="453" t="str">
        <f t="shared" si="155"/>
        <v>-</v>
      </c>
      <c r="BH298" s="453" t="str">
        <f t="shared" si="156"/>
        <v>-</v>
      </c>
      <c r="BI298" s="453" t="str">
        <f t="shared" si="157"/>
        <v>-</v>
      </c>
      <c r="BJ298" s="453" t="str">
        <f t="shared" si="158"/>
        <v>-</v>
      </c>
      <c r="BK298" s="390" t="str">
        <f t="shared" si="159"/>
        <v>-</v>
      </c>
      <c r="BL298" s="125"/>
      <c r="BM298" s="92"/>
      <c r="BN298" s="386">
        <f t="shared" si="178"/>
        <v>0</v>
      </c>
    </row>
    <row r="299" spans="1:66" ht="15.75" customHeight="1">
      <c r="A299" s="175">
        <f t="shared" si="161"/>
        <v>2026</v>
      </c>
      <c r="B299" s="454" t="str">
        <f t="shared" si="162"/>
        <v>32</v>
      </c>
      <c r="C299" s="454" t="str">
        <f t="array" ref="C299">_xlfn.IFS(_xlfn.NUMBERVALUE(B299)&lt;=13,"Q1",AND(_xlfn.NUMBERVALUE(B299)&gt;13,_xlfn.NUMBERVALUE(B299)&lt;=26),"Q2", AND(_xlfn.NUMBERVALUE(B299)&gt;26,_xlfn.NUMBERVALUE(B299)&lt;=39),"Q3",_xlfn.NUMBERVALUE(B299)&gt;39,"Q4")</f>
        <v>Q3</v>
      </c>
      <c r="D299" s="448">
        <f t="shared" si="179"/>
        <v>45906</v>
      </c>
      <c r="E299" s="448">
        <f t="shared" si="163"/>
        <v>45912</v>
      </c>
      <c r="F299" s="79">
        <v>202532</v>
      </c>
      <c r="G299" s="180">
        <f t="shared" si="164"/>
        <v>0</v>
      </c>
      <c r="H299" s="429"/>
      <c r="I299" s="429"/>
      <c r="J299" s="474">
        <f t="shared" si="165"/>
        <v>0</v>
      </c>
      <c r="K299" s="474">
        <f t="shared" si="166"/>
        <v>0</v>
      </c>
      <c r="L299" s="92">
        <f t="shared" si="183"/>
        <v>0</v>
      </c>
      <c r="M299" s="92">
        <f t="shared" si="184"/>
        <v>0</v>
      </c>
      <c r="N299" s="92"/>
      <c r="O299" s="474">
        <f t="shared" si="167"/>
        <v>0</v>
      </c>
      <c r="P299" s="474">
        <f t="shared" si="168"/>
        <v>0</v>
      </c>
      <c r="Q299" s="474">
        <f t="shared" si="169"/>
        <v>0</v>
      </c>
      <c r="R299" s="455">
        <f>Forecast!J294</f>
        <v>0</v>
      </c>
      <c r="S299" s="455">
        <f>Forecast!N294</f>
        <v>0</v>
      </c>
      <c r="T299" s="475">
        <f t="shared" si="170"/>
        <v>0</v>
      </c>
      <c r="U299" s="475">
        <f t="shared" si="171"/>
        <v>1256337</v>
      </c>
      <c r="V299" s="349">
        <f t="shared" si="172"/>
        <v>1322941</v>
      </c>
      <c r="W299" s="350">
        <f t="shared" si="180"/>
        <v>0</v>
      </c>
      <c r="X299" s="469">
        <f>'Channel &amp; Campaign Metrics'!AR298</f>
        <v>0</v>
      </c>
      <c r="Y299" s="469">
        <f>'Channel &amp; Campaign Metrics'!BS298</f>
        <v>0</v>
      </c>
      <c r="Z299" s="476"/>
      <c r="AA299" s="339"/>
      <c r="AB299" s="358">
        <f>'Glass Metrics'!AC299</f>
        <v>0</v>
      </c>
      <c r="AC299" s="475">
        <f>'Glass Metrics'!I299</f>
        <v>0</v>
      </c>
      <c r="AD299" s="469">
        <f>'Glass Metrics'!N299</f>
        <v>0</v>
      </c>
      <c r="AE299" s="349">
        <f>'Glass Metrics'!S299</f>
        <v>0</v>
      </c>
      <c r="AF299" s="359" t="str">
        <f t="shared" si="174"/>
        <v/>
      </c>
      <c r="AG299" s="477" t="str">
        <f t="shared" si="175"/>
        <v/>
      </c>
      <c r="AH299" s="472" t="str">
        <f t="shared" si="176"/>
        <v/>
      </c>
      <c r="AI299" s="360" t="str">
        <f t="shared" si="177"/>
        <v/>
      </c>
      <c r="AJ299" s="363" t="str">
        <f t="shared" si="151"/>
        <v/>
      </c>
      <c r="AK299" s="478"/>
      <c r="AL299" s="478"/>
      <c r="AM299" s="429"/>
      <c r="AN299" s="429"/>
      <c r="AO299" s="374" t="str">
        <f t="shared" si="137"/>
        <v/>
      </c>
      <c r="AP299" s="363"/>
      <c r="AQ299" s="479"/>
      <c r="AR299" s="479"/>
      <c r="AS299" s="374">
        <f t="shared" si="181"/>
        <v>0</v>
      </c>
      <c r="AT299" s="125"/>
      <c r="AU299" s="92"/>
      <c r="AV299" s="455">
        <f t="shared" si="182"/>
        <v>0</v>
      </c>
      <c r="AW299" s="455">
        <f t="shared" si="138"/>
        <v>0</v>
      </c>
      <c r="AX299" s="455">
        <f t="shared" si="139"/>
        <v>0</v>
      </c>
      <c r="AY299" s="386">
        <f t="shared" si="140"/>
        <v>0</v>
      </c>
      <c r="AZ299" s="180">
        <f t="shared" si="152"/>
        <v>0</v>
      </c>
      <c r="BA299" s="449">
        <f t="shared" si="153"/>
        <v>0</v>
      </c>
      <c r="BB299" s="429"/>
      <c r="BC299" s="429"/>
      <c r="BD299" s="429"/>
      <c r="BE299" s="429"/>
      <c r="BF299" s="453" t="str">
        <f t="shared" si="154"/>
        <v>-</v>
      </c>
      <c r="BG299" s="453" t="str">
        <f t="shared" si="155"/>
        <v>-</v>
      </c>
      <c r="BH299" s="453" t="str">
        <f t="shared" si="156"/>
        <v>-</v>
      </c>
      <c r="BI299" s="453" t="str">
        <f t="shared" si="157"/>
        <v>-</v>
      </c>
      <c r="BJ299" s="453" t="str">
        <f t="shared" si="158"/>
        <v>-</v>
      </c>
      <c r="BK299" s="390" t="str">
        <f t="shared" si="159"/>
        <v>-</v>
      </c>
      <c r="BL299" s="125"/>
      <c r="BM299" s="92"/>
      <c r="BN299" s="386">
        <f t="shared" si="178"/>
        <v>0</v>
      </c>
    </row>
    <row r="300" spans="1:66" ht="15.75" customHeight="1">
      <c r="A300" s="175">
        <f t="shared" si="161"/>
        <v>2026</v>
      </c>
      <c r="B300" s="454" t="str">
        <f t="shared" si="162"/>
        <v>33</v>
      </c>
      <c r="C300" s="454" t="str">
        <f t="array" ref="C300">_xlfn.IFS(_xlfn.NUMBERVALUE(B300)&lt;=13,"Q1",AND(_xlfn.NUMBERVALUE(B300)&gt;13,_xlfn.NUMBERVALUE(B300)&lt;=26),"Q2", AND(_xlfn.NUMBERVALUE(B300)&gt;26,_xlfn.NUMBERVALUE(B300)&lt;=39),"Q3",_xlfn.NUMBERVALUE(B300)&gt;39,"Q4")</f>
        <v>Q3</v>
      </c>
      <c r="D300" s="448">
        <f t="shared" si="179"/>
        <v>45913</v>
      </c>
      <c r="E300" s="448">
        <f t="shared" si="163"/>
        <v>45919</v>
      </c>
      <c r="F300" s="79">
        <v>202533</v>
      </c>
      <c r="G300" s="180">
        <f t="shared" si="164"/>
        <v>0</v>
      </c>
      <c r="H300" s="429"/>
      <c r="I300" s="429"/>
      <c r="J300" s="474">
        <f t="shared" si="165"/>
        <v>0</v>
      </c>
      <c r="K300" s="474">
        <f t="shared" si="166"/>
        <v>0</v>
      </c>
      <c r="L300" s="92">
        <f t="shared" si="183"/>
        <v>0</v>
      </c>
      <c r="M300" s="92">
        <f t="shared" si="184"/>
        <v>0</v>
      </c>
      <c r="N300" s="92"/>
      <c r="O300" s="474">
        <f t="shared" si="167"/>
        <v>0</v>
      </c>
      <c r="P300" s="474">
        <f t="shared" si="168"/>
        <v>0</v>
      </c>
      <c r="Q300" s="474">
        <f t="shared" si="169"/>
        <v>0</v>
      </c>
      <c r="R300" s="455">
        <f>Forecast!J295</f>
        <v>0</v>
      </c>
      <c r="S300" s="455">
        <f>Forecast!N295</f>
        <v>0</v>
      </c>
      <c r="T300" s="475">
        <f t="shared" si="170"/>
        <v>0</v>
      </c>
      <c r="U300" s="475">
        <f t="shared" si="171"/>
        <v>1256337</v>
      </c>
      <c r="V300" s="349">
        <f t="shared" si="172"/>
        <v>1322941</v>
      </c>
      <c r="W300" s="350">
        <f t="shared" si="180"/>
        <v>0</v>
      </c>
      <c r="X300" s="469">
        <f>'Channel &amp; Campaign Metrics'!AR299</f>
        <v>0</v>
      </c>
      <c r="Y300" s="469">
        <f>'Channel &amp; Campaign Metrics'!BS299</f>
        <v>0</v>
      </c>
      <c r="Z300" s="476"/>
      <c r="AA300" s="339"/>
      <c r="AB300" s="358">
        <f>'Glass Metrics'!AC300</f>
        <v>0</v>
      </c>
      <c r="AC300" s="475">
        <f>'Glass Metrics'!I300</f>
        <v>0</v>
      </c>
      <c r="AD300" s="469">
        <f>'Glass Metrics'!N300</f>
        <v>0</v>
      </c>
      <c r="AE300" s="349">
        <f>'Glass Metrics'!S300</f>
        <v>0</v>
      </c>
      <c r="AF300" s="359" t="str">
        <f t="shared" si="174"/>
        <v/>
      </c>
      <c r="AG300" s="477" t="str">
        <f t="shared" si="175"/>
        <v/>
      </c>
      <c r="AH300" s="472" t="str">
        <f t="shared" si="176"/>
        <v/>
      </c>
      <c r="AI300" s="360" t="str">
        <f t="shared" si="177"/>
        <v/>
      </c>
      <c r="AJ300" s="363" t="str">
        <f t="shared" si="151"/>
        <v/>
      </c>
      <c r="AK300" s="478"/>
      <c r="AL300" s="478"/>
      <c r="AM300" s="429"/>
      <c r="AN300" s="429"/>
      <c r="AO300" s="374" t="str">
        <f t="shared" si="137"/>
        <v/>
      </c>
      <c r="AP300" s="363"/>
      <c r="AQ300" s="479"/>
      <c r="AR300" s="479"/>
      <c r="AS300" s="374">
        <f t="shared" si="181"/>
        <v>0</v>
      </c>
      <c r="AT300" s="125"/>
      <c r="AU300" s="92"/>
      <c r="AV300" s="455">
        <f t="shared" si="182"/>
        <v>0</v>
      </c>
      <c r="AW300" s="455">
        <f t="shared" si="138"/>
        <v>0</v>
      </c>
      <c r="AX300" s="455">
        <f t="shared" si="139"/>
        <v>0</v>
      </c>
      <c r="AY300" s="386">
        <f t="shared" si="140"/>
        <v>0</v>
      </c>
      <c r="AZ300" s="180">
        <f t="shared" si="152"/>
        <v>0</v>
      </c>
      <c r="BA300" s="449">
        <f t="shared" si="153"/>
        <v>0</v>
      </c>
      <c r="BB300" s="429"/>
      <c r="BC300" s="429"/>
      <c r="BD300" s="429"/>
      <c r="BE300" s="429"/>
      <c r="BF300" s="453" t="str">
        <f t="shared" si="154"/>
        <v>-</v>
      </c>
      <c r="BG300" s="453" t="str">
        <f t="shared" si="155"/>
        <v>-</v>
      </c>
      <c r="BH300" s="453" t="str">
        <f t="shared" si="156"/>
        <v>-</v>
      </c>
      <c r="BI300" s="453" t="str">
        <f t="shared" si="157"/>
        <v>-</v>
      </c>
      <c r="BJ300" s="453" t="str">
        <f t="shared" si="158"/>
        <v>-</v>
      </c>
      <c r="BK300" s="390" t="str">
        <f t="shared" si="159"/>
        <v>-</v>
      </c>
      <c r="BL300" s="125"/>
      <c r="BM300" s="92"/>
      <c r="BN300" s="386">
        <f t="shared" si="178"/>
        <v>0</v>
      </c>
    </row>
    <row r="301" spans="1:66" ht="15.75" customHeight="1">
      <c r="A301" s="175">
        <f t="shared" si="161"/>
        <v>2026</v>
      </c>
      <c r="B301" s="454" t="str">
        <f t="shared" si="162"/>
        <v>34</v>
      </c>
      <c r="C301" s="454" t="str">
        <f t="array" ref="C301">_xlfn.IFS(_xlfn.NUMBERVALUE(B301)&lt;=13,"Q1",AND(_xlfn.NUMBERVALUE(B301)&gt;13,_xlfn.NUMBERVALUE(B301)&lt;=26),"Q2", AND(_xlfn.NUMBERVALUE(B301)&gt;26,_xlfn.NUMBERVALUE(B301)&lt;=39),"Q3",_xlfn.NUMBERVALUE(B301)&gt;39,"Q4")</f>
        <v>Q3</v>
      </c>
      <c r="D301" s="448">
        <f t="shared" si="179"/>
        <v>45920</v>
      </c>
      <c r="E301" s="448">
        <f t="shared" si="163"/>
        <v>45926</v>
      </c>
      <c r="F301" s="79">
        <v>202534</v>
      </c>
      <c r="G301" s="180">
        <f t="shared" si="164"/>
        <v>0</v>
      </c>
      <c r="H301" s="429"/>
      <c r="I301" s="429"/>
      <c r="J301" s="474">
        <f t="shared" si="165"/>
        <v>0</v>
      </c>
      <c r="K301" s="474">
        <f t="shared" si="166"/>
        <v>0</v>
      </c>
      <c r="L301" s="92">
        <f t="shared" si="183"/>
        <v>0</v>
      </c>
      <c r="M301" s="92">
        <f t="shared" si="184"/>
        <v>0</v>
      </c>
      <c r="N301" s="92"/>
      <c r="O301" s="474">
        <f t="shared" si="167"/>
        <v>0</v>
      </c>
      <c r="P301" s="474">
        <f t="shared" si="168"/>
        <v>0</v>
      </c>
      <c r="Q301" s="474">
        <f t="shared" si="169"/>
        <v>0</v>
      </c>
      <c r="R301" s="455">
        <f>Forecast!J296</f>
        <v>0</v>
      </c>
      <c r="S301" s="455">
        <f>Forecast!N296</f>
        <v>0</v>
      </c>
      <c r="T301" s="475">
        <f t="shared" si="170"/>
        <v>0</v>
      </c>
      <c r="U301" s="475">
        <f t="shared" si="171"/>
        <v>1256337</v>
      </c>
      <c r="V301" s="349">
        <f t="shared" si="172"/>
        <v>1322941</v>
      </c>
      <c r="W301" s="350">
        <f t="shared" si="180"/>
        <v>0</v>
      </c>
      <c r="X301" s="469">
        <f>'Channel &amp; Campaign Metrics'!AR300</f>
        <v>0</v>
      </c>
      <c r="Y301" s="469">
        <f>'Channel &amp; Campaign Metrics'!BS300</f>
        <v>0</v>
      </c>
      <c r="Z301" s="476"/>
      <c r="AA301" s="339"/>
      <c r="AB301" s="358">
        <f>'Glass Metrics'!AC301</f>
        <v>0</v>
      </c>
      <c r="AC301" s="475">
        <f>'Glass Metrics'!I301</f>
        <v>0</v>
      </c>
      <c r="AD301" s="469">
        <f>'Glass Metrics'!N301</f>
        <v>0</v>
      </c>
      <c r="AE301" s="349">
        <f>'Glass Metrics'!S301</f>
        <v>0</v>
      </c>
      <c r="AF301" s="359" t="str">
        <f t="shared" si="174"/>
        <v/>
      </c>
      <c r="AG301" s="477" t="str">
        <f t="shared" si="175"/>
        <v/>
      </c>
      <c r="AH301" s="472" t="str">
        <f t="shared" si="176"/>
        <v/>
      </c>
      <c r="AI301" s="360" t="str">
        <f t="shared" si="177"/>
        <v/>
      </c>
      <c r="AJ301" s="363" t="str">
        <f t="shared" si="151"/>
        <v/>
      </c>
      <c r="AK301" s="478"/>
      <c r="AL301" s="478"/>
      <c r="AM301" s="429"/>
      <c r="AN301" s="429"/>
      <c r="AO301" s="374" t="str">
        <f t="shared" si="137"/>
        <v/>
      </c>
      <c r="AP301" s="363"/>
      <c r="AQ301" s="479"/>
      <c r="AR301" s="479"/>
      <c r="AS301" s="374">
        <f t="shared" si="181"/>
        <v>0</v>
      </c>
      <c r="AT301" s="125"/>
      <c r="AU301" s="92"/>
      <c r="AV301" s="455">
        <f t="shared" si="182"/>
        <v>0</v>
      </c>
      <c r="AW301" s="455">
        <f t="shared" si="138"/>
        <v>0</v>
      </c>
      <c r="AX301" s="455">
        <f t="shared" si="139"/>
        <v>0</v>
      </c>
      <c r="AY301" s="386">
        <f t="shared" si="140"/>
        <v>0</v>
      </c>
      <c r="AZ301" s="180">
        <f t="shared" si="152"/>
        <v>0</v>
      </c>
      <c r="BA301" s="449">
        <f t="shared" si="153"/>
        <v>0</v>
      </c>
      <c r="BB301" s="429"/>
      <c r="BC301" s="429"/>
      <c r="BD301" s="429"/>
      <c r="BE301" s="429"/>
      <c r="BF301" s="453" t="str">
        <f t="shared" si="154"/>
        <v>-</v>
      </c>
      <c r="BG301" s="453" t="str">
        <f t="shared" si="155"/>
        <v>-</v>
      </c>
      <c r="BH301" s="453" t="str">
        <f t="shared" si="156"/>
        <v>-</v>
      </c>
      <c r="BI301" s="453" t="str">
        <f t="shared" si="157"/>
        <v>-</v>
      </c>
      <c r="BJ301" s="453" t="str">
        <f t="shared" si="158"/>
        <v>-</v>
      </c>
      <c r="BK301" s="390" t="str">
        <f t="shared" si="159"/>
        <v>-</v>
      </c>
      <c r="BL301" s="125"/>
      <c r="BM301" s="92"/>
      <c r="BN301" s="386">
        <f t="shared" si="178"/>
        <v>0</v>
      </c>
    </row>
    <row r="302" spans="1:66" ht="15.75" customHeight="1">
      <c r="A302" s="175">
        <f t="shared" si="161"/>
        <v>2026</v>
      </c>
      <c r="B302" s="454" t="str">
        <f t="shared" si="162"/>
        <v>35</v>
      </c>
      <c r="C302" s="454" t="str">
        <f t="array" ref="C302">_xlfn.IFS(_xlfn.NUMBERVALUE(B302)&lt;=13,"Q1",AND(_xlfn.NUMBERVALUE(B302)&gt;13,_xlfn.NUMBERVALUE(B302)&lt;=26),"Q2", AND(_xlfn.NUMBERVALUE(B302)&gt;26,_xlfn.NUMBERVALUE(B302)&lt;=39),"Q3",_xlfn.NUMBERVALUE(B302)&gt;39,"Q4")</f>
        <v>Q3</v>
      </c>
      <c r="D302" s="448">
        <f t="shared" si="179"/>
        <v>45927</v>
      </c>
      <c r="E302" s="448">
        <f t="shared" si="163"/>
        <v>45933</v>
      </c>
      <c r="F302" s="79">
        <v>202535</v>
      </c>
      <c r="G302" s="180">
        <f t="shared" si="164"/>
        <v>0</v>
      </c>
      <c r="H302" s="429"/>
      <c r="I302" s="429"/>
      <c r="J302" s="474">
        <f t="shared" si="165"/>
        <v>0</v>
      </c>
      <c r="K302" s="474">
        <f t="shared" si="166"/>
        <v>0</v>
      </c>
      <c r="L302" s="92">
        <f t="shared" si="183"/>
        <v>0</v>
      </c>
      <c r="M302" s="92">
        <f t="shared" si="184"/>
        <v>0</v>
      </c>
      <c r="N302" s="92"/>
      <c r="O302" s="474">
        <f t="shared" si="167"/>
        <v>0</v>
      </c>
      <c r="P302" s="474">
        <f t="shared" si="168"/>
        <v>0</v>
      </c>
      <c r="Q302" s="474">
        <f t="shared" si="169"/>
        <v>0</v>
      </c>
      <c r="R302" s="455">
        <f>Forecast!J297</f>
        <v>0</v>
      </c>
      <c r="S302" s="455">
        <f>Forecast!N297</f>
        <v>0</v>
      </c>
      <c r="T302" s="475">
        <f t="shared" si="170"/>
        <v>0</v>
      </c>
      <c r="U302" s="475">
        <f t="shared" si="171"/>
        <v>1256337</v>
      </c>
      <c r="V302" s="349">
        <f t="shared" si="172"/>
        <v>1322941</v>
      </c>
      <c r="W302" s="350">
        <f t="shared" si="180"/>
        <v>0</v>
      </c>
      <c r="X302" s="469">
        <f>'Channel &amp; Campaign Metrics'!AR301</f>
        <v>0</v>
      </c>
      <c r="Y302" s="469">
        <f>'Channel &amp; Campaign Metrics'!BS301</f>
        <v>0</v>
      </c>
      <c r="Z302" s="476"/>
      <c r="AA302" s="339"/>
      <c r="AB302" s="358">
        <f>'Glass Metrics'!AC302</f>
        <v>0</v>
      </c>
      <c r="AC302" s="475">
        <f>'Glass Metrics'!I302</f>
        <v>0</v>
      </c>
      <c r="AD302" s="469">
        <f>'Glass Metrics'!N302</f>
        <v>0</v>
      </c>
      <c r="AE302" s="349">
        <f>'Glass Metrics'!S302</f>
        <v>0</v>
      </c>
      <c r="AF302" s="359" t="str">
        <f t="shared" si="174"/>
        <v/>
      </c>
      <c r="AG302" s="477" t="str">
        <f t="shared" si="175"/>
        <v/>
      </c>
      <c r="AH302" s="472" t="str">
        <f t="shared" si="176"/>
        <v/>
      </c>
      <c r="AI302" s="360" t="str">
        <f t="shared" si="177"/>
        <v/>
      </c>
      <c r="AJ302" s="363" t="str">
        <f t="shared" si="151"/>
        <v/>
      </c>
      <c r="AK302" s="478"/>
      <c r="AL302" s="478"/>
      <c r="AM302" s="429"/>
      <c r="AN302" s="429"/>
      <c r="AO302" s="374" t="str">
        <f t="shared" si="137"/>
        <v/>
      </c>
      <c r="AP302" s="363"/>
      <c r="AQ302" s="479"/>
      <c r="AR302" s="479"/>
      <c r="AS302" s="374">
        <f t="shared" si="181"/>
        <v>0</v>
      </c>
      <c r="AT302" s="125"/>
      <c r="AU302" s="92"/>
      <c r="AV302" s="455">
        <f t="shared" si="182"/>
        <v>0</v>
      </c>
      <c r="AW302" s="455">
        <f t="shared" si="138"/>
        <v>0</v>
      </c>
      <c r="AX302" s="455">
        <f t="shared" si="139"/>
        <v>0</v>
      </c>
      <c r="AY302" s="386">
        <f t="shared" si="140"/>
        <v>0</v>
      </c>
      <c r="AZ302" s="180">
        <f t="shared" si="152"/>
        <v>0</v>
      </c>
      <c r="BA302" s="449">
        <f t="shared" si="153"/>
        <v>0</v>
      </c>
      <c r="BB302" s="429"/>
      <c r="BC302" s="429"/>
      <c r="BD302" s="429"/>
      <c r="BE302" s="429"/>
      <c r="BF302" s="453" t="str">
        <f t="shared" si="154"/>
        <v>-</v>
      </c>
      <c r="BG302" s="453" t="str">
        <f t="shared" si="155"/>
        <v>-</v>
      </c>
      <c r="BH302" s="453" t="str">
        <f t="shared" si="156"/>
        <v>-</v>
      </c>
      <c r="BI302" s="453" t="str">
        <f t="shared" si="157"/>
        <v>-</v>
      </c>
      <c r="BJ302" s="453" t="str">
        <f t="shared" si="158"/>
        <v>-</v>
      </c>
      <c r="BK302" s="390" t="str">
        <f t="shared" si="159"/>
        <v>-</v>
      </c>
      <c r="BL302" s="125"/>
      <c r="BM302" s="92"/>
      <c r="BN302" s="386">
        <f t="shared" si="178"/>
        <v>0</v>
      </c>
    </row>
    <row r="303" spans="1:66" ht="15.75" customHeight="1">
      <c r="A303" s="175">
        <f t="shared" si="161"/>
        <v>2026</v>
      </c>
      <c r="B303" s="454" t="str">
        <f t="shared" si="162"/>
        <v>36</v>
      </c>
      <c r="C303" s="454" t="str">
        <f t="array" ref="C303">_xlfn.IFS(_xlfn.NUMBERVALUE(B303)&lt;=13,"Q1",AND(_xlfn.NUMBERVALUE(B303)&gt;13,_xlfn.NUMBERVALUE(B303)&lt;=26),"Q2", AND(_xlfn.NUMBERVALUE(B303)&gt;26,_xlfn.NUMBERVALUE(B303)&lt;=39),"Q3",_xlfn.NUMBERVALUE(B303)&gt;39,"Q4")</f>
        <v>Q3</v>
      </c>
      <c r="D303" s="448">
        <f t="shared" si="179"/>
        <v>45934</v>
      </c>
      <c r="E303" s="448">
        <f t="shared" si="163"/>
        <v>45940</v>
      </c>
      <c r="F303" s="79">
        <v>202536</v>
      </c>
      <c r="G303" s="180">
        <f t="shared" si="164"/>
        <v>0</v>
      </c>
      <c r="H303" s="429"/>
      <c r="I303" s="429"/>
      <c r="J303" s="474">
        <f t="shared" si="165"/>
        <v>0</v>
      </c>
      <c r="K303" s="474">
        <f t="shared" si="166"/>
        <v>0</v>
      </c>
      <c r="L303" s="92">
        <f t="shared" si="183"/>
        <v>0</v>
      </c>
      <c r="M303" s="92">
        <f t="shared" si="184"/>
        <v>0</v>
      </c>
      <c r="N303" s="92"/>
      <c r="O303" s="474">
        <f t="shared" si="167"/>
        <v>0</v>
      </c>
      <c r="P303" s="474">
        <f t="shared" si="168"/>
        <v>0</v>
      </c>
      <c r="Q303" s="474">
        <f t="shared" si="169"/>
        <v>0</v>
      </c>
      <c r="R303" s="455">
        <f>Forecast!J298</f>
        <v>0</v>
      </c>
      <c r="S303" s="455">
        <f>Forecast!N298</f>
        <v>0</v>
      </c>
      <c r="T303" s="475">
        <f t="shared" si="170"/>
        <v>0</v>
      </c>
      <c r="U303" s="475">
        <f t="shared" si="171"/>
        <v>1256337</v>
      </c>
      <c r="V303" s="349">
        <f t="shared" si="172"/>
        <v>1322941</v>
      </c>
      <c r="W303" s="350">
        <f t="shared" si="180"/>
        <v>0</v>
      </c>
      <c r="X303" s="469">
        <f>'Channel &amp; Campaign Metrics'!AR302</f>
        <v>0</v>
      </c>
      <c r="Y303" s="469">
        <f>'Channel &amp; Campaign Metrics'!BS302</f>
        <v>0</v>
      </c>
      <c r="Z303" s="476"/>
      <c r="AA303" s="339"/>
      <c r="AB303" s="358">
        <f>'Glass Metrics'!AC303</f>
        <v>0</v>
      </c>
      <c r="AC303" s="475">
        <f>'Glass Metrics'!I303</f>
        <v>0</v>
      </c>
      <c r="AD303" s="469">
        <f>'Glass Metrics'!N303</f>
        <v>0</v>
      </c>
      <c r="AE303" s="349">
        <f>'Glass Metrics'!S303</f>
        <v>0</v>
      </c>
      <c r="AF303" s="359" t="str">
        <f t="shared" si="174"/>
        <v/>
      </c>
      <c r="AG303" s="477" t="str">
        <f t="shared" si="175"/>
        <v/>
      </c>
      <c r="AH303" s="472" t="str">
        <f t="shared" si="176"/>
        <v/>
      </c>
      <c r="AI303" s="360" t="str">
        <f t="shared" si="177"/>
        <v/>
      </c>
      <c r="AJ303" s="363" t="str">
        <f t="shared" si="151"/>
        <v/>
      </c>
      <c r="AK303" s="478"/>
      <c r="AL303" s="478"/>
      <c r="AM303" s="429"/>
      <c r="AN303" s="429"/>
      <c r="AO303" s="374" t="str">
        <f t="shared" ref="AO303:AO319" si="185">AJ303</f>
        <v/>
      </c>
      <c r="AP303" s="363"/>
      <c r="AQ303" s="479"/>
      <c r="AR303" s="479"/>
      <c r="AS303" s="374">
        <f t="shared" si="181"/>
        <v>0</v>
      </c>
      <c r="AT303" s="125"/>
      <c r="AU303" s="92"/>
      <c r="AV303" s="455">
        <f t="shared" si="182"/>
        <v>0</v>
      </c>
      <c r="AW303" s="455">
        <f t="shared" ref="AW303:AW319" si="186">BD303-AT303</f>
        <v>0</v>
      </c>
      <c r="AX303" s="455">
        <f t="shared" ref="AX303:AX319" si="187">BE303-AU303</f>
        <v>0</v>
      </c>
      <c r="AY303" s="386">
        <f t="shared" ref="AY303:AY319" si="188">SUM(AW303,AX303)</f>
        <v>0</v>
      </c>
      <c r="AZ303" s="180">
        <f t="shared" si="152"/>
        <v>0</v>
      </c>
      <c r="BA303" s="449">
        <f t="shared" si="153"/>
        <v>0</v>
      </c>
      <c r="BB303" s="429"/>
      <c r="BC303" s="429"/>
      <c r="BD303" s="429"/>
      <c r="BE303" s="429"/>
      <c r="BF303" s="453" t="str">
        <f t="shared" si="154"/>
        <v>-</v>
      </c>
      <c r="BG303" s="453" t="str">
        <f t="shared" si="155"/>
        <v>-</v>
      </c>
      <c r="BH303" s="453" t="str">
        <f t="shared" si="156"/>
        <v>-</v>
      </c>
      <c r="BI303" s="453" t="str">
        <f t="shared" si="157"/>
        <v>-</v>
      </c>
      <c r="BJ303" s="453" t="str">
        <f t="shared" si="158"/>
        <v>-</v>
      </c>
      <c r="BK303" s="390" t="str">
        <f t="shared" si="159"/>
        <v>-</v>
      </c>
      <c r="BL303" s="125"/>
      <c r="BM303" s="92"/>
      <c r="BN303" s="386">
        <f t="shared" si="178"/>
        <v>0</v>
      </c>
    </row>
    <row r="304" spans="1:66" ht="15.75" customHeight="1">
      <c r="A304" s="175">
        <f t="shared" si="161"/>
        <v>2026</v>
      </c>
      <c r="B304" s="454" t="str">
        <f t="shared" si="162"/>
        <v>37</v>
      </c>
      <c r="C304" s="454" t="str">
        <f t="array" ref="C304">_xlfn.IFS(_xlfn.NUMBERVALUE(B304)&lt;=13,"Q1",AND(_xlfn.NUMBERVALUE(B304)&gt;13,_xlfn.NUMBERVALUE(B304)&lt;=26),"Q2", AND(_xlfn.NUMBERVALUE(B304)&gt;26,_xlfn.NUMBERVALUE(B304)&lt;=39),"Q3",_xlfn.NUMBERVALUE(B304)&gt;39,"Q4")</f>
        <v>Q3</v>
      </c>
      <c r="D304" s="448">
        <f t="shared" si="179"/>
        <v>45941</v>
      </c>
      <c r="E304" s="448">
        <f t="shared" si="163"/>
        <v>45947</v>
      </c>
      <c r="F304" s="79">
        <v>202537</v>
      </c>
      <c r="G304" s="180">
        <f t="shared" si="164"/>
        <v>0</v>
      </c>
      <c r="H304" s="429"/>
      <c r="I304" s="429"/>
      <c r="J304" s="474">
        <f t="shared" si="165"/>
        <v>0</v>
      </c>
      <c r="K304" s="474">
        <f t="shared" si="166"/>
        <v>0</v>
      </c>
      <c r="L304" s="92">
        <f t="shared" si="183"/>
        <v>0</v>
      </c>
      <c r="M304" s="92">
        <f t="shared" si="184"/>
        <v>0</v>
      </c>
      <c r="N304" s="92"/>
      <c r="O304" s="474">
        <f t="shared" si="167"/>
        <v>0</v>
      </c>
      <c r="P304" s="474">
        <f t="shared" si="168"/>
        <v>0</v>
      </c>
      <c r="Q304" s="474">
        <f t="shared" si="169"/>
        <v>0</v>
      </c>
      <c r="R304" s="455">
        <f>Forecast!J299</f>
        <v>0</v>
      </c>
      <c r="S304" s="455">
        <f>Forecast!N299</f>
        <v>0</v>
      </c>
      <c r="T304" s="475">
        <f t="shared" si="170"/>
        <v>0</v>
      </c>
      <c r="U304" s="475">
        <f t="shared" si="171"/>
        <v>1256337</v>
      </c>
      <c r="V304" s="349">
        <f t="shared" si="172"/>
        <v>1322941</v>
      </c>
      <c r="W304" s="350">
        <f t="shared" si="180"/>
        <v>0</v>
      </c>
      <c r="X304" s="469">
        <f>'Channel &amp; Campaign Metrics'!AR303</f>
        <v>0</v>
      </c>
      <c r="Y304" s="469">
        <f>'Channel &amp; Campaign Metrics'!BS303</f>
        <v>0</v>
      </c>
      <c r="Z304" s="476"/>
      <c r="AA304" s="339"/>
      <c r="AB304" s="358">
        <f>'Glass Metrics'!AC304</f>
        <v>0</v>
      </c>
      <c r="AC304" s="475">
        <f>'Glass Metrics'!I304</f>
        <v>0</v>
      </c>
      <c r="AD304" s="469">
        <f>'Glass Metrics'!N304</f>
        <v>0</v>
      </c>
      <c r="AE304" s="349">
        <f>'Glass Metrics'!S304</f>
        <v>0</v>
      </c>
      <c r="AF304" s="359" t="str">
        <f t="shared" si="174"/>
        <v/>
      </c>
      <c r="AG304" s="477" t="str">
        <f t="shared" si="175"/>
        <v/>
      </c>
      <c r="AH304" s="472" t="str">
        <f t="shared" si="176"/>
        <v/>
      </c>
      <c r="AI304" s="360" t="str">
        <f t="shared" si="177"/>
        <v/>
      </c>
      <c r="AJ304" s="363" t="str">
        <f t="shared" si="151"/>
        <v/>
      </c>
      <c r="AK304" s="478"/>
      <c r="AL304" s="478"/>
      <c r="AM304" s="429"/>
      <c r="AN304" s="429"/>
      <c r="AO304" s="374" t="str">
        <f t="shared" si="185"/>
        <v/>
      </c>
      <c r="AP304" s="363"/>
      <c r="AQ304" s="479"/>
      <c r="AR304" s="479"/>
      <c r="AS304" s="374">
        <f t="shared" si="181"/>
        <v>0</v>
      </c>
      <c r="AT304" s="125"/>
      <c r="AU304" s="92"/>
      <c r="AV304" s="455">
        <f t="shared" si="182"/>
        <v>0</v>
      </c>
      <c r="AW304" s="455">
        <f t="shared" si="186"/>
        <v>0</v>
      </c>
      <c r="AX304" s="455">
        <f t="shared" si="187"/>
        <v>0</v>
      </c>
      <c r="AY304" s="386">
        <f t="shared" si="188"/>
        <v>0</v>
      </c>
      <c r="AZ304" s="180">
        <f t="shared" si="152"/>
        <v>0</v>
      </c>
      <c r="BA304" s="449">
        <f t="shared" si="153"/>
        <v>0</v>
      </c>
      <c r="BB304" s="429"/>
      <c r="BC304" s="429"/>
      <c r="BD304" s="429"/>
      <c r="BE304" s="429"/>
      <c r="BF304" s="453" t="str">
        <f t="shared" si="154"/>
        <v>-</v>
      </c>
      <c r="BG304" s="453" t="str">
        <f t="shared" si="155"/>
        <v>-</v>
      </c>
      <c r="BH304" s="453" t="str">
        <f t="shared" si="156"/>
        <v>-</v>
      </c>
      <c r="BI304" s="453" t="str">
        <f t="shared" si="157"/>
        <v>-</v>
      </c>
      <c r="BJ304" s="453" t="str">
        <f t="shared" si="158"/>
        <v>-</v>
      </c>
      <c r="BK304" s="390" t="str">
        <f t="shared" si="159"/>
        <v>-</v>
      </c>
      <c r="BL304" s="125"/>
      <c r="BM304" s="92"/>
      <c r="BN304" s="386">
        <f t="shared" si="178"/>
        <v>0</v>
      </c>
    </row>
    <row r="305" spans="1:66" ht="15.75" customHeight="1">
      <c r="A305" s="175">
        <f t="shared" si="161"/>
        <v>2026</v>
      </c>
      <c r="B305" s="454" t="str">
        <f t="shared" si="162"/>
        <v>38</v>
      </c>
      <c r="C305" s="454" t="str">
        <f t="array" ref="C305">_xlfn.IFS(_xlfn.NUMBERVALUE(B305)&lt;=13,"Q1",AND(_xlfn.NUMBERVALUE(B305)&gt;13,_xlfn.NUMBERVALUE(B305)&lt;=26),"Q2", AND(_xlfn.NUMBERVALUE(B305)&gt;26,_xlfn.NUMBERVALUE(B305)&lt;=39),"Q3",_xlfn.NUMBERVALUE(B305)&gt;39,"Q4")</f>
        <v>Q3</v>
      </c>
      <c r="D305" s="448">
        <f t="shared" si="179"/>
        <v>45948</v>
      </c>
      <c r="E305" s="448">
        <f t="shared" si="163"/>
        <v>45954</v>
      </c>
      <c r="F305" s="79">
        <v>202538</v>
      </c>
      <c r="G305" s="180">
        <f t="shared" si="164"/>
        <v>0</v>
      </c>
      <c r="H305" s="429"/>
      <c r="I305" s="429"/>
      <c r="J305" s="474">
        <f t="shared" si="165"/>
        <v>0</v>
      </c>
      <c r="K305" s="474">
        <f t="shared" si="166"/>
        <v>0</v>
      </c>
      <c r="L305" s="92">
        <f t="shared" si="183"/>
        <v>0</v>
      </c>
      <c r="M305" s="92">
        <f t="shared" si="184"/>
        <v>0</v>
      </c>
      <c r="N305" s="92"/>
      <c r="O305" s="474">
        <f t="shared" si="167"/>
        <v>0</v>
      </c>
      <c r="P305" s="474">
        <f t="shared" si="168"/>
        <v>0</v>
      </c>
      <c r="Q305" s="474">
        <f t="shared" si="169"/>
        <v>0</v>
      </c>
      <c r="R305" s="455">
        <f>Forecast!J300</f>
        <v>0</v>
      </c>
      <c r="S305" s="455">
        <f>Forecast!N300</f>
        <v>0</v>
      </c>
      <c r="T305" s="475">
        <f t="shared" si="170"/>
        <v>0</v>
      </c>
      <c r="U305" s="475">
        <f t="shared" si="171"/>
        <v>1256337</v>
      </c>
      <c r="V305" s="349">
        <f t="shared" si="172"/>
        <v>1322941</v>
      </c>
      <c r="W305" s="350">
        <f t="shared" si="180"/>
        <v>0</v>
      </c>
      <c r="X305" s="469">
        <f>'Channel &amp; Campaign Metrics'!AR304</f>
        <v>0</v>
      </c>
      <c r="Y305" s="469">
        <f>'Channel &amp; Campaign Metrics'!BS304</f>
        <v>0</v>
      </c>
      <c r="Z305" s="476"/>
      <c r="AA305" s="339"/>
      <c r="AB305" s="358">
        <f>'Glass Metrics'!AC305</f>
        <v>0</v>
      </c>
      <c r="AC305" s="475">
        <f>'Glass Metrics'!I305</f>
        <v>0</v>
      </c>
      <c r="AD305" s="469">
        <f>'Glass Metrics'!N305</f>
        <v>0</v>
      </c>
      <c r="AE305" s="349">
        <f>'Glass Metrics'!S305</f>
        <v>0</v>
      </c>
      <c r="AF305" s="359" t="str">
        <f t="shared" si="174"/>
        <v/>
      </c>
      <c r="AG305" s="477" t="str">
        <f t="shared" si="175"/>
        <v/>
      </c>
      <c r="AH305" s="472" t="str">
        <f t="shared" si="176"/>
        <v/>
      </c>
      <c r="AI305" s="360" t="str">
        <f t="shared" si="177"/>
        <v/>
      </c>
      <c r="AJ305" s="363" t="str">
        <f t="shared" si="151"/>
        <v/>
      </c>
      <c r="AK305" s="478"/>
      <c r="AL305" s="478"/>
      <c r="AM305" s="429"/>
      <c r="AN305" s="429"/>
      <c r="AO305" s="374" t="str">
        <f t="shared" si="185"/>
        <v/>
      </c>
      <c r="AP305" s="363"/>
      <c r="AQ305" s="479"/>
      <c r="AR305" s="479"/>
      <c r="AS305" s="374">
        <f t="shared" ref="AS305:AS319" si="189">AP305</f>
        <v>0</v>
      </c>
      <c r="AT305" s="125"/>
      <c r="AU305" s="92"/>
      <c r="AV305" s="455">
        <f t="shared" si="182"/>
        <v>0</v>
      </c>
      <c r="AW305" s="455">
        <f t="shared" si="186"/>
        <v>0</v>
      </c>
      <c r="AX305" s="455">
        <f t="shared" si="187"/>
        <v>0</v>
      </c>
      <c r="AY305" s="386">
        <f t="shared" si="188"/>
        <v>0</v>
      </c>
      <c r="AZ305" s="180">
        <f t="shared" si="152"/>
        <v>0</v>
      </c>
      <c r="BA305" s="449">
        <f t="shared" si="153"/>
        <v>0</v>
      </c>
      <c r="BB305" s="429"/>
      <c r="BC305" s="429"/>
      <c r="BD305" s="429"/>
      <c r="BE305" s="429"/>
      <c r="BF305" s="453" t="str">
        <f t="shared" si="154"/>
        <v>-</v>
      </c>
      <c r="BG305" s="453" t="str">
        <f t="shared" si="155"/>
        <v>-</v>
      </c>
      <c r="BH305" s="453" t="str">
        <f t="shared" si="156"/>
        <v>-</v>
      </c>
      <c r="BI305" s="453" t="str">
        <f t="shared" si="157"/>
        <v>-</v>
      </c>
      <c r="BJ305" s="453" t="str">
        <f t="shared" si="158"/>
        <v>-</v>
      </c>
      <c r="BK305" s="390" t="str">
        <f t="shared" si="159"/>
        <v>-</v>
      </c>
      <c r="BL305" s="125"/>
      <c r="BM305" s="92"/>
      <c r="BN305" s="386">
        <f t="shared" si="178"/>
        <v>0</v>
      </c>
    </row>
    <row r="306" spans="1:66" ht="15.75" customHeight="1">
      <c r="A306" s="175">
        <f t="shared" si="161"/>
        <v>2026</v>
      </c>
      <c r="B306" s="454" t="str">
        <f t="shared" si="162"/>
        <v>39</v>
      </c>
      <c r="C306" s="454" t="str">
        <f t="array" ref="C306">_xlfn.IFS(_xlfn.NUMBERVALUE(B306)&lt;=13,"Q1",AND(_xlfn.NUMBERVALUE(B306)&gt;13,_xlfn.NUMBERVALUE(B306)&lt;=26),"Q2", AND(_xlfn.NUMBERVALUE(B306)&gt;26,_xlfn.NUMBERVALUE(B306)&lt;=39),"Q3",_xlfn.NUMBERVALUE(B306)&gt;39,"Q4")</f>
        <v>Q3</v>
      </c>
      <c r="D306" s="448">
        <f t="shared" si="179"/>
        <v>45955</v>
      </c>
      <c r="E306" s="448">
        <f t="shared" si="163"/>
        <v>45961</v>
      </c>
      <c r="F306" s="79">
        <v>202539</v>
      </c>
      <c r="G306" s="180">
        <f t="shared" si="164"/>
        <v>0</v>
      </c>
      <c r="H306" s="429"/>
      <c r="I306" s="429"/>
      <c r="J306" s="474">
        <f t="shared" si="165"/>
        <v>0</v>
      </c>
      <c r="K306" s="474">
        <f t="shared" si="166"/>
        <v>0</v>
      </c>
      <c r="L306" s="92">
        <f t="shared" si="183"/>
        <v>0</v>
      </c>
      <c r="M306" s="92">
        <f t="shared" si="184"/>
        <v>0</v>
      </c>
      <c r="N306" s="92"/>
      <c r="O306" s="474">
        <f t="shared" si="167"/>
        <v>0</v>
      </c>
      <c r="P306" s="474">
        <f t="shared" si="168"/>
        <v>0</v>
      </c>
      <c r="Q306" s="474">
        <f t="shared" si="169"/>
        <v>0</v>
      </c>
      <c r="R306" s="455">
        <f>Forecast!J301</f>
        <v>0</v>
      </c>
      <c r="S306" s="455">
        <f>Forecast!N301</f>
        <v>0</v>
      </c>
      <c r="T306" s="475">
        <f t="shared" si="170"/>
        <v>0</v>
      </c>
      <c r="U306" s="475">
        <f t="shared" si="171"/>
        <v>1256337</v>
      </c>
      <c r="V306" s="349">
        <f t="shared" si="172"/>
        <v>1322941</v>
      </c>
      <c r="W306" s="350">
        <f t="shared" si="180"/>
        <v>0</v>
      </c>
      <c r="X306" s="469">
        <f>'Channel &amp; Campaign Metrics'!AR305</f>
        <v>0</v>
      </c>
      <c r="Y306" s="469">
        <f>'Channel &amp; Campaign Metrics'!BS305</f>
        <v>0</v>
      </c>
      <c r="Z306" s="476"/>
      <c r="AA306" s="339"/>
      <c r="AB306" s="358">
        <f>'Glass Metrics'!AC306</f>
        <v>0</v>
      </c>
      <c r="AC306" s="475">
        <f>'Glass Metrics'!I306</f>
        <v>0</v>
      </c>
      <c r="AD306" s="469">
        <f>'Glass Metrics'!N306</f>
        <v>0</v>
      </c>
      <c r="AE306" s="349">
        <f>'Glass Metrics'!S306</f>
        <v>0</v>
      </c>
      <c r="AF306" s="359" t="str">
        <f t="shared" si="174"/>
        <v/>
      </c>
      <c r="AG306" s="477" t="str">
        <f t="shared" si="175"/>
        <v/>
      </c>
      <c r="AH306" s="472" t="str">
        <f t="shared" si="176"/>
        <v/>
      </c>
      <c r="AI306" s="360" t="str">
        <f t="shared" si="177"/>
        <v/>
      </c>
      <c r="AJ306" s="363" t="str">
        <f t="shared" si="151"/>
        <v/>
      </c>
      <c r="AK306" s="478"/>
      <c r="AL306" s="478"/>
      <c r="AM306" s="429"/>
      <c r="AN306" s="429"/>
      <c r="AO306" s="374" t="str">
        <f t="shared" si="185"/>
        <v/>
      </c>
      <c r="AP306" s="363"/>
      <c r="AQ306" s="479"/>
      <c r="AR306" s="479"/>
      <c r="AS306" s="374">
        <f t="shared" si="189"/>
        <v>0</v>
      </c>
      <c r="AT306" s="125"/>
      <c r="AU306" s="92"/>
      <c r="AV306" s="455">
        <f t="shared" si="182"/>
        <v>0</v>
      </c>
      <c r="AW306" s="455">
        <f t="shared" si="186"/>
        <v>0</v>
      </c>
      <c r="AX306" s="455">
        <f t="shared" si="187"/>
        <v>0</v>
      </c>
      <c r="AY306" s="386">
        <f t="shared" si="188"/>
        <v>0</v>
      </c>
      <c r="AZ306" s="180">
        <f t="shared" si="152"/>
        <v>0</v>
      </c>
      <c r="BA306" s="449">
        <f t="shared" si="153"/>
        <v>0</v>
      </c>
      <c r="BB306" s="429"/>
      <c r="BC306" s="429"/>
      <c r="BD306" s="429"/>
      <c r="BE306" s="429"/>
      <c r="BF306" s="453" t="str">
        <f t="shared" si="154"/>
        <v>-</v>
      </c>
      <c r="BG306" s="453" t="str">
        <f t="shared" si="155"/>
        <v>-</v>
      </c>
      <c r="BH306" s="453" t="str">
        <f t="shared" si="156"/>
        <v>-</v>
      </c>
      <c r="BI306" s="453" t="str">
        <f t="shared" si="157"/>
        <v>-</v>
      </c>
      <c r="BJ306" s="453" t="str">
        <f t="shared" si="158"/>
        <v>-</v>
      </c>
      <c r="BK306" s="390" t="str">
        <f t="shared" si="159"/>
        <v>-</v>
      </c>
      <c r="BL306" s="125"/>
      <c r="BM306" s="92"/>
      <c r="BN306" s="386">
        <f t="shared" si="178"/>
        <v>0</v>
      </c>
    </row>
    <row r="307" spans="1:66" ht="15.75" customHeight="1">
      <c r="A307" s="175">
        <f t="shared" si="161"/>
        <v>2026</v>
      </c>
      <c r="B307" s="454" t="str">
        <f t="shared" si="162"/>
        <v>40</v>
      </c>
      <c r="C307" s="454" t="str">
        <f t="array" ref="C307">_xlfn.IFS(_xlfn.NUMBERVALUE(B307)&lt;=13,"Q1",AND(_xlfn.NUMBERVALUE(B307)&gt;13,_xlfn.NUMBERVALUE(B307)&lt;=26),"Q2", AND(_xlfn.NUMBERVALUE(B307)&gt;26,_xlfn.NUMBERVALUE(B307)&lt;=39),"Q3",_xlfn.NUMBERVALUE(B307)&gt;39,"Q4")</f>
        <v>Q4</v>
      </c>
      <c r="D307" s="448">
        <f t="shared" si="179"/>
        <v>45962</v>
      </c>
      <c r="E307" s="448">
        <f t="shared" si="163"/>
        <v>45968</v>
      </c>
      <c r="F307" s="79">
        <v>202540</v>
      </c>
      <c r="G307" s="180">
        <f t="shared" si="164"/>
        <v>0</v>
      </c>
      <c r="H307" s="429"/>
      <c r="I307" s="429"/>
      <c r="J307" s="474">
        <f t="shared" si="165"/>
        <v>0</v>
      </c>
      <c r="K307" s="474">
        <f t="shared" si="166"/>
        <v>0</v>
      </c>
      <c r="L307" s="92">
        <f t="shared" si="183"/>
        <v>0</v>
      </c>
      <c r="M307" s="92">
        <f t="shared" si="184"/>
        <v>0</v>
      </c>
      <c r="N307" s="92"/>
      <c r="O307" s="474">
        <f t="shared" si="167"/>
        <v>0</v>
      </c>
      <c r="P307" s="474">
        <f t="shared" si="168"/>
        <v>0</v>
      </c>
      <c r="Q307" s="474">
        <f t="shared" si="169"/>
        <v>0</v>
      </c>
      <c r="R307" s="455">
        <f>Forecast!J302</f>
        <v>0</v>
      </c>
      <c r="S307" s="455">
        <f>Forecast!N302</f>
        <v>0</v>
      </c>
      <c r="T307" s="475">
        <f t="shared" si="170"/>
        <v>0</v>
      </c>
      <c r="U307" s="475">
        <f t="shared" si="171"/>
        <v>1256337</v>
      </c>
      <c r="V307" s="349">
        <f t="shared" si="172"/>
        <v>1322941</v>
      </c>
      <c r="W307" s="350">
        <f t="shared" si="180"/>
        <v>0</v>
      </c>
      <c r="X307" s="469">
        <f>'Channel &amp; Campaign Metrics'!AR306</f>
        <v>0</v>
      </c>
      <c r="Y307" s="469">
        <f>'Channel &amp; Campaign Metrics'!BS306</f>
        <v>0</v>
      </c>
      <c r="Z307" s="476"/>
      <c r="AA307" s="339"/>
      <c r="AB307" s="358">
        <f>'Glass Metrics'!AC307</f>
        <v>0</v>
      </c>
      <c r="AC307" s="475">
        <f>'Glass Metrics'!I307</f>
        <v>0</v>
      </c>
      <c r="AD307" s="469">
        <f>'Glass Metrics'!N307</f>
        <v>0</v>
      </c>
      <c r="AE307" s="349">
        <f>'Glass Metrics'!S307</f>
        <v>0</v>
      </c>
      <c r="AF307" s="359" t="str">
        <f t="shared" si="174"/>
        <v/>
      </c>
      <c r="AG307" s="477" t="str">
        <f t="shared" si="175"/>
        <v/>
      </c>
      <c r="AH307" s="472" t="str">
        <f t="shared" si="176"/>
        <v/>
      </c>
      <c r="AI307" s="360" t="str">
        <f t="shared" si="177"/>
        <v/>
      </c>
      <c r="AJ307" s="363" t="str">
        <f t="shared" si="151"/>
        <v/>
      </c>
      <c r="AK307" s="478"/>
      <c r="AL307" s="478"/>
      <c r="AM307" s="429"/>
      <c r="AN307" s="429"/>
      <c r="AO307" s="374" t="str">
        <f t="shared" si="185"/>
        <v/>
      </c>
      <c r="AP307" s="363"/>
      <c r="AQ307" s="479"/>
      <c r="AR307" s="479"/>
      <c r="AS307" s="374">
        <f t="shared" si="189"/>
        <v>0</v>
      </c>
      <c r="AT307" s="125"/>
      <c r="AU307" s="92"/>
      <c r="AV307" s="455">
        <f t="shared" si="182"/>
        <v>0</v>
      </c>
      <c r="AW307" s="455">
        <f t="shared" si="186"/>
        <v>0</v>
      </c>
      <c r="AX307" s="455">
        <f t="shared" si="187"/>
        <v>0</v>
      </c>
      <c r="AY307" s="386">
        <f t="shared" si="188"/>
        <v>0</v>
      </c>
      <c r="AZ307" s="180">
        <f t="shared" si="152"/>
        <v>0</v>
      </c>
      <c r="BA307" s="449">
        <f t="shared" si="153"/>
        <v>0</v>
      </c>
      <c r="BB307" s="429"/>
      <c r="BC307" s="429"/>
      <c r="BD307" s="429"/>
      <c r="BE307" s="429"/>
      <c r="BF307" s="453" t="str">
        <f t="shared" si="154"/>
        <v>-</v>
      </c>
      <c r="BG307" s="453" t="str">
        <f t="shared" si="155"/>
        <v>-</v>
      </c>
      <c r="BH307" s="453" t="str">
        <f t="shared" si="156"/>
        <v>-</v>
      </c>
      <c r="BI307" s="453" t="str">
        <f t="shared" si="157"/>
        <v>-</v>
      </c>
      <c r="BJ307" s="453" t="str">
        <f t="shared" si="158"/>
        <v>-</v>
      </c>
      <c r="BK307" s="390" t="str">
        <f t="shared" si="159"/>
        <v>-</v>
      </c>
      <c r="BL307" s="125"/>
      <c r="BM307" s="92"/>
      <c r="BN307" s="386">
        <f t="shared" si="178"/>
        <v>0</v>
      </c>
    </row>
    <row r="308" spans="1:66" ht="15.75" customHeight="1">
      <c r="A308" s="175">
        <f t="shared" si="161"/>
        <v>2026</v>
      </c>
      <c r="B308" s="454" t="str">
        <f t="shared" si="162"/>
        <v>41</v>
      </c>
      <c r="C308" s="454" t="str">
        <f t="array" ref="C308">_xlfn.IFS(_xlfn.NUMBERVALUE(B308)&lt;=13,"Q1",AND(_xlfn.NUMBERVALUE(B308)&gt;13,_xlfn.NUMBERVALUE(B308)&lt;=26),"Q2", AND(_xlfn.NUMBERVALUE(B308)&gt;26,_xlfn.NUMBERVALUE(B308)&lt;=39),"Q3",_xlfn.NUMBERVALUE(B308)&gt;39,"Q4")</f>
        <v>Q4</v>
      </c>
      <c r="D308" s="448">
        <f t="shared" si="179"/>
        <v>45969</v>
      </c>
      <c r="E308" s="448">
        <f t="shared" si="163"/>
        <v>45975</v>
      </c>
      <c r="F308" s="79">
        <v>202541</v>
      </c>
      <c r="G308" s="180">
        <f t="shared" si="164"/>
        <v>0</v>
      </c>
      <c r="H308" s="429"/>
      <c r="I308" s="429"/>
      <c r="J308" s="474">
        <f t="shared" si="165"/>
        <v>0</v>
      </c>
      <c r="K308" s="474">
        <f t="shared" si="166"/>
        <v>0</v>
      </c>
      <c r="L308" s="92">
        <f t="shared" si="183"/>
        <v>0</v>
      </c>
      <c r="M308" s="92">
        <f t="shared" si="184"/>
        <v>0</v>
      </c>
      <c r="N308" s="92"/>
      <c r="O308" s="474">
        <f t="shared" si="167"/>
        <v>0</v>
      </c>
      <c r="P308" s="474">
        <f t="shared" si="168"/>
        <v>0</v>
      </c>
      <c r="Q308" s="474">
        <f t="shared" si="169"/>
        <v>0</v>
      </c>
      <c r="R308" s="455">
        <f>Forecast!J303</f>
        <v>0</v>
      </c>
      <c r="S308" s="455">
        <f>Forecast!N303</f>
        <v>0</v>
      </c>
      <c r="T308" s="475">
        <f t="shared" si="170"/>
        <v>0</v>
      </c>
      <c r="U308" s="475">
        <f t="shared" si="171"/>
        <v>1256337</v>
      </c>
      <c r="V308" s="349">
        <f t="shared" si="172"/>
        <v>1322941</v>
      </c>
      <c r="W308" s="350">
        <f t="shared" si="180"/>
        <v>0</v>
      </c>
      <c r="X308" s="469">
        <f>'Channel &amp; Campaign Metrics'!AR307</f>
        <v>0</v>
      </c>
      <c r="Y308" s="469">
        <f>'Channel &amp; Campaign Metrics'!BS307</f>
        <v>0</v>
      </c>
      <c r="Z308" s="476"/>
      <c r="AA308" s="339"/>
      <c r="AB308" s="358">
        <f>'Glass Metrics'!AC308</f>
        <v>0</v>
      </c>
      <c r="AC308" s="475">
        <f>'Glass Metrics'!I308</f>
        <v>0</v>
      </c>
      <c r="AD308" s="469">
        <f>'Glass Metrics'!N308</f>
        <v>0</v>
      </c>
      <c r="AE308" s="349">
        <f>'Glass Metrics'!S308</f>
        <v>0</v>
      </c>
      <c r="AF308" s="359" t="str">
        <f t="shared" si="174"/>
        <v/>
      </c>
      <c r="AG308" s="477" t="str">
        <f t="shared" si="175"/>
        <v/>
      </c>
      <c r="AH308" s="472" t="str">
        <f t="shared" si="176"/>
        <v/>
      </c>
      <c r="AI308" s="360" t="str">
        <f t="shared" si="177"/>
        <v/>
      </c>
      <c r="AJ308" s="363" t="str">
        <f t="shared" si="151"/>
        <v/>
      </c>
      <c r="AK308" s="478"/>
      <c r="AL308" s="478"/>
      <c r="AM308" s="429"/>
      <c r="AN308" s="429"/>
      <c r="AO308" s="374" t="str">
        <f t="shared" si="185"/>
        <v/>
      </c>
      <c r="AP308" s="363"/>
      <c r="AQ308" s="479"/>
      <c r="AR308" s="479"/>
      <c r="AS308" s="374">
        <f t="shared" si="189"/>
        <v>0</v>
      </c>
      <c r="AT308" s="125"/>
      <c r="AU308" s="92"/>
      <c r="AV308" s="455">
        <f t="shared" si="182"/>
        <v>0</v>
      </c>
      <c r="AW308" s="455">
        <f t="shared" si="186"/>
        <v>0</v>
      </c>
      <c r="AX308" s="455">
        <f t="shared" si="187"/>
        <v>0</v>
      </c>
      <c r="AY308" s="386">
        <f t="shared" si="188"/>
        <v>0</v>
      </c>
      <c r="AZ308" s="180">
        <f t="shared" si="152"/>
        <v>0</v>
      </c>
      <c r="BA308" s="449">
        <f t="shared" si="153"/>
        <v>0</v>
      </c>
      <c r="BB308" s="429"/>
      <c r="BC308" s="429"/>
      <c r="BD308" s="429"/>
      <c r="BE308" s="429"/>
      <c r="BF308" s="453" t="str">
        <f t="shared" si="154"/>
        <v>-</v>
      </c>
      <c r="BG308" s="453" t="str">
        <f t="shared" si="155"/>
        <v>-</v>
      </c>
      <c r="BH308" s="453" t="str">
        <f t="shared" si="156"/>
        <v>-</v>
      </c>
      <c r="BI308" s="453" t="str">
        <f t="shared" si="157"/>
        <v>-</v>
      </c>
      <c r="BJ308" s="453" t="str">
        <f t="shared" si="158"/>
        <v>-</v>
      </c>
      <c r="BK308" s="390" t="str">
        <f t="shared" si="159"/>
        <v>-</v>
      </c>
      <c r="BL308" s="125"/>
      <c r="BM308" s="92"/>
      <c r="BN308" s="386">
        <f t="shared" si="178"/>
        <v>0</v>
      </c>
    </row>
    <row r="309" spans="1:66" ht="15.75" customHeight="1">
      <c r="A309" s="175">
        <f t="shared" si="161"/>
        <v>2026</v>
      </c>
      <c r="B309" s="454" t="str">
        <f t="shared" si="162"/>
        <v>42</v>
      </c>
      <c r="C309" s="454" t="str">
        <f t="array" ref="C309">_xlfn.IFS(_xlfn.NUMBERVALUE(B309)&lt;=13,"Q1",AND(_xlfn.NUMBERVALUE(B309)&gt;13,_xlfn.NUMBERVALUE(B309)&lt;=26),"Q2", AND(_xlfn.NUMBERVALUE(B309)&gt;26,_xlfn.NUMBERVALUE(B309)&lt;=39),"Q3",_xlfn.NUMBERVALUE(B309)&gt;39,"Q4")</f>
        <v>Q4</v>
      </c>
      <c r="D309" s="448">
        <f t="shared" si="179"/>
        <v>45976</v>
      </c>
      <c r="E309" s="448">
        <f t="shared" si="163"/>
        <v>45982</v>
      </c>
      <c r="F309" s="79">
        <v>202542</v>
      </c>
      <c r="G309" s="180">
        <f t="shared" si="164"/>
        <v>0</v>
      </c>
      <c r="H309" s="429"/>
      <c r="I309" s="429"/>
      <c r="J309" s="474">
        <f t="shared" si="165"/>
        <v>0</v>
      </c>
      <c r="K309" s="474">
        <f t="shared" si="166"/>
        <v>0</v>
      </c>
      <c r="L309" s="92">
        <f t="shared" si="183"/>
        <v>0</v>
      </c>
      <c r="M309" s="92">
        <f t="shared" si="184"/>
        <v>0</v>
      </c>
      <c r="N309" s="92"/>
      <c r="O309" s="474">
        <f t="shared" si="167"/>
        <v>0</v>
      </c>
      <c r="P309" s="474">
        <f t="shared" si="168"/>
        <v>0</v>
      </c>
      <c r="Q309" s="474">
        <f t="shared" si="169"/>
        <v>0</v>
      </c>
      <c r="R309" s="455">
        <f>Forecast!J304</f>
        <v>0</v>
      </c>
      <c r="S309" s="455">
        <f>Forecast!N304</f>
        <v>0</v>
      </c>
      <c r="T309" s="475">
        <f t="shared" si="170"/>
        <v>0</v>
      </c>
      <c r="U309" s="475">
        <f t="shared" si="171"/>
        <v>1256337</v>
      </c>
      <c r="V309" s="349">
        <f t="shared" si="172"/>
        <v>1322941</v>
      </c>
      <c r="W309" s="350">
        <f t="shared" si="180"/>
        <v>0</v>
      </c>
      <c r="X309" s="469">
        <f>'Channel &amp; Campaign Metrics'!AR308</f>
        <v>0</v>
      </c>
      <c r="Y309" s="469">
        <f>'Channel &amp; Campaign Metrics'!BS308</f>
        <v>0</v>
      </c>
      <c r="Z309" s="476"/>
      <c r="AA309" s="339"/>
      <c r="AB309" s="358">
        <f>'Glass Metrics'!AC309</f>
        <v>0</v>
      </c>
      <c r="AC309" s="475">
        <f>'Glass Metrics'!I309</f>
        <v>0</v>
      </c>
      <c r="AD309" s="469">
        <f>'Glass Metrics'!N309</f>
        <v>0</v>
      </c>
      <c r="AE309" s="349">
        <f>'Glass Metrics'!S309</f>
        <v>0</v>
      </c>
      <c r="AF309" s="359" t="str">
        <f t="shared" si="174"/>
        <v/>
      </c>
      <c r="AG309" s="477" t="str">
        <f t="shared" si="175"/>
        <v/>
      </c>
      <c r="AH309" s="472" t="str">
        <f t="shared" si="176"/>
        <v/>
      </c>
      <c r="AI309" s="360" t="str">
        <f t="shared" si="177"/>
        <v/>
      </c>
      <c r="AJ309" s="363" t="str">
        <f t="shared" si="151"/>
        <v/>
      </c>
      <c r="AK309" s="478"/>
      <c r="AL309" s="478"/>
      <c r="AM309" s="429"/>
      <c r="AN309" s="429"/>
      <c r="AO309" s="374" t="str">
        <f t="shared" si="185"/>
        <v/>
      </c>
      <c r="AP309" s="363"/>
      <c r="AQ309" s="479"/>
      <c r="AR309" s="479"/>
      <c r="AS309" s="374">
        <f t="shared" si="189"/>
        <v>0</v>
      </c>
      <c r="AT309" s="125"/>
      <c r="AU309" s="92"/>
      <c r="AV309" s="455">
        <f t="shared" si="182"/>
        <v>0</v>
      </c>
      <c r="AW309" s="455">
        <f t="shared" si="186"/>
        <v>0</v>
      </c>
      <c r="AX309" s="455">
        <f t="shared" si="187"/>
        <v>0</v>
      </c>
      <c r="AY309" s="386">
        <f t="shared" si="188"/>
        <v>0</v>
      </c>
      <c r="AZ309" s="180">
        <f t="shared" si="152"/>
        <v>0</v>
      </c>
      <c r="BA309" s="449">
        <f t="shared" si="153"/>
        <v>0</v>
      </c>
      <c r="BB309" s="429"/>
      <c r="BC309" s="429"/>
      <c r="BD309" s="429"/>
      <c r="BE309" s="429"/>
      <c r="BF309" s="453" t="str">
        <f t="shared" si="154"/>
        <v>-</v>
      </c>
      <c r="BG309" s="453" t="str">
        <f t="shared" si="155"/>
        <v>-</v>
      </c>
      <c r="BH309" s="453" t="str">
        <f t="shared" si="156"/>
        <v>-</v>
      </c>
      <c r="BI309" s="453" t="str">
        <f t="shared" si="157"/>
        <v>-</v>
      </c>
      <c r="BJ309" s="453" t="str">
        <f t="shared" si="158"/>
        <v>-</v>
      </c>
      <c r="BK309" s="390" t="str">
        <f t="shared" si="159"/>
        <v>-</v>
      </c>
      <c r="BL309" s="125"/>
      <c r="BM309" s="92"/>
      <c r="BN309" s="386">
        <f t="shared" si="178"/>
        <v>0</v>
      </c>
    </row>
    <row r="310" spans="1:66" ht="15.75" customHeight="1">
      <c r="A310" s="175">
        <f t="shared" si="161"/>
        <v>2026</v>
      </c>
      <c r="B310" s="454" t="str">
        <f t="shared" si="162"/>
        <v>43</v>
      </c>
      <c r="C310" s="454" t="str">
        <f t="array" ref="C310">_xlfn.IFS(_xlfn.NUMBERVALUE(B310)&lt;=13,"Q1",AND(_xlfn.NUMBERVALUE(B310)&gt;13,_xlfn.NUMBERVALUE(B310)&lt;=26),"Q2", AND(_xlfn.NUMBERVALUE(B310)&gt;26,_xlfn.NUMBERVALUE(B310)&lt;=39),"Q3",_xlfn.NUMBERVALUE(B310)&gt;39,"Q4")</f>
        <v>Q4</v>
      </c>
      <c r="D310" s="448">
        <f t="shared" si="179"/>
        <v>45983</v>
      </c>
      <c r="E310" s="448">
        <f t="shared" si="163"/>
        <v>45989</v>
      </c>
      <c r="F310" s="79">
        <v>202543</v>
      </c>
      <c r="G310" s="180">
        <f t="shared" si="164"/>
        <v>0</v>
      </c>
      <c r="H310" s="429"/>
      <c r="I310" s="429"/>
      <c r="J310" s="474">
        <f t="shared" si="165"/>
        <v>0</v>
      </c>
      <c r="K310" s="474">
        <f t="shared" si="166"/>
        <v>0</v>
      </c>
      <c r="L310" s="92">
        <f t="shared" si="183"/>
        <v>0</v>
      </c>
      <c r="M310" s="92">
        <f t="shared" si="184"/>
        <v>0</v>
      </c>
      <c r="N310" s="92"/>
      <c r="O310" s="474">
        <f t="shared" si="167"/>
        <v>0</v>
      </c>
      <c r="P310" s="474">
        <f t="shared" si="168"/>
        <v>0</v>
      </c>
      <c r="Q310" s="474">
        <f t="shared" si="169"/>
        <v>0</v>
      </c>
      <c r="R310" s="455">
        <f>Forecast!J305</f>
        <v>0</v>
      </c>
      <c r="S310" s="455">
        <f>Forecast!N305</f>
        <v>0</v>
      </c>
      <c r="T310" s="475">
        <f t="shared" si="170"/>
        <v>0</v>
      </c>
      <c r="U310" s="475">
        <f t="shared" si="171"/>
        <v>1256337</v>
      </c>
      <c r="V310" s="349">
        <f t="shared" si="172"/>
        <v>1322941</v>
      </c>
      <c r="W310" s="350">
        <f t="shared" si="180"/>
        <v>0</v>
      </c>
      <c r="X310" s="469">
        <f>'Channel &amp; Campaign Metrics'!AR309</f>
        <v>0</v>
      </c>
      <c r="Y310" s="469">
        <f>'Channel &amp; Campaign Metrics'!BS309</f>
        <v>0</v>
      </c>
      <c r="Z310" s="476"/>
      <c r="AA310" s="339"/>
      <c r="AB310" s="358">
        <f>'Glass Metrics'!AC310</f>
        <v>0</v>
      </c>
      <c r="AC310" s="475">
        <f>'Glass Metrics'!I310</f>
        <v>0</v>
      </c>
      <c r="AD310" s="469">
        <f>'Glass Metrics'!N310</f>
        <v>0</v>
      </c>
      <c r="AE310" s="349">
        <f>'Glass Metrics'!S310</f>
        <v>0</v>
      </c>
      <c r="AF310" s="359" t="str">
        <f t="shared" si="174"/>
        <v/>
      </c>
      <c r="AG310" s="477" t="str">
        <f t="shared" si="175"/>
        <v/>
      </c>
      <c r="AH310" s="472" t="str">
        <f t="shared" si="176"/>
        <v/>
      </c>
      <c r="AI310" s="360" t="str">
        <f t="shared" si="177"/>
        <v/>
      </c>
      <c r="AJ310" s="363" t="str">
        <f t="shared" si="151"/>
        <v/>
      </c>
      <c r="AK310" s="478"/>
      <c r="AL310" s="478"/>
      <c r="AM310" s="429"/>
      <c r="AN310" s="429"/>
      <c r="AO310" s="374" t="str">
        <f t="shared" si="185"/>
        <v/>
      </c>
      <c r="AP310" s="363"/>
      <c r="AQ310" s="479"/>
      <c r="AR310" s="479"/>
      <c r="AS310" s="374">
        <f t="shared" si="189"/>
        <v>0</v>
      </c>
      <c r="AT310" s="125"/>
      <c r="AU310" s="92"/>
      <c r="AV310" s="455">
        <f t="shared" si="182"/>
        <v>0</v>
      </c>
      <c r="AW310" s="455">
        <f t="shared" si="186"/>
        <v>0</v>
      </c>
      <c r="AX310" s="455">
        <f t="shared" si="187"/>
        <v>0</v>
      </c>
      <c r="AY310" s="386">
        <f t="shared" si="188"/>
        <v>0</v>
      </c>
      <c r="AZ310" s="180">
        <f t="shared" si="152"/>
        <v>0</v>
      </c>
      <c r="BA310" s="449">
        <f t="shared" si="153"/>
        <v>0</v>
      </c>
      <c r="BB310" s="429"/>
      <c r="BC310" s="429"/>
      <c r="BD310" s="429"/>
      <c r="BE310" s="429"/>
      <c r="BF310" s="453" t="str">
        <f t="shared" si="154"/>
        <v>-</v>
      </c>
      <c r="BG310" s="453" t="str">
        <f t="shared" si="155"/>
        <v>-</v>
      </c>
      <c r="BH310" s="453" t="str">
        <f t="shared" si="156"/>
        <v>-</v>
      </c>
      <c r="BI310" s="453" t="str">
        <f t="shared" si="157"/>
        <v>-</v>
      </c>
      <c r="BJ310" s="453" t="str">
        <f t="shared" si="158"/>
        <v>-</v>
      </c>
      <c r="BK310" s="390" t="str">
        <f t="shared" si="159"/>
        <v>-</v>
      </c>
      <c r="BL310" s="125"/>
      <c r="BM310" s="92"/>
      <c r="BN310" s="386">
        <f t="shared" si="178"/>
        <v>0</v>
      </c>
    </row>
    <row r="311" spans="1:66" ht="15.75" customHeight="1">
      <c r="A311" s="175">
        <f t="shared" si="161"/>
        <v>2026</v>
      </c>
      <c r="B311" s="454" t="str">
        <f t="shared" si="162"/>
        <v>44</v>
      </c>
      <c r="C311" s="454" t="str">
        <f t="array" ref="C311">_xlfn.IFS(_xlfn.NUMBERVALUE(B311)&lt;=13,"Q1",AND(_xlfn.NUMBERVALUE(B311)&gt;13,_xlfn.NUMBERVALUE(B311)&lt;=26),"Q2", AND(_xlfn.NUMBERVALUE(B311)&gt;26,_xlfn.NUMBERVALUE(B311)&lt;=39),"Q3",_xlfn.NUMBERVALUE(B311)&gt;39,"Q4")</f>
        <v>Q4</v>
      </c>
      <c r="D311" s="448">
        <f t="shared" si="179"/>
        <v>45990</v>
      </c>
      <c r="E311" s="448">
        <f t="shared" si="163"/>
        <v>45996</v>
      </c>
      <c r="F311" s="79">
        <v>202544</v>
      </c>
      <c r="G311" s="180">
        <f t="shared" si="164"/>
        <v>0</v>
      </c>
      <c r="H311" s="429"/>
      <c r="I311" s="429"/>
      <c r="J311" s="474">
        <f t="shared" si="165"/>
        <v>0</v>
      </c>
      <c r="K311" s="474">
        <f t="shared" si="166"/>
        <v>0</v>
      </c>
      <c r="L311" s="92">
        <f t="shared" si="183"/>
        <v>0</v>
      </c>
      <c r="M311" s="92">
        <f t="shared" si="184"/>
        <v>0</v>
      </c>
      <c r="N311" s="92"/>
      <c r="O311" s="474">
        <f t="shared" si="167"/>
        <v>0</v>
      </c>
      <c r="P311" s="474">
        <f t="shared" si="168"/>
        <v>0</v>
      </c>
      <c r="Q311" s="474">
        <f t="shared" si="169"/>
        <v>0</v>
      </c>
      <c r="R311" s="455">
        <f>Forecast!J306</f>
        <v>0</v>
      </c>
      <c r="S311" s="455">
        <f>Forecast!N306</f>
        <v>0</v>
      </c>
      <c r="T311" s="475">
        <f t="shared" si="170"/>
        <v>0</v>
      </c>
      <c r="U311" s="475">
        <f t="shared" si="171"/>
        <v>1256337</v>
      </c>
      <c r="V311" s="349">
        <f t="shared" si="172"/>
        <v>1322941</v>
      </c>
      <c r="W311" s="350">
        <f t="shared" si="180"/>
        <v>0</v>
      </c>
      <c r="X311" s="469">
        <f>'Channel &amp; Campaign Metrics'!AR310</f>
        <v>0</v>
      </c>
      <c r="Y311" s="469">
        <f>'Channel &amp; Campaign Metrics'!BS310</f>
        <v>0</v>
      </c>
      <c r="Z311" s="476"/>
      <c r="AA311" s="339"/>
      <c r="AB311" s="358">
        <f>'Glass Metrics'!AC311</f>
        <v>0</v>
      </c>
      <c r="AC311" s="475">
        <f>'Glass Metrics'!I311</f>
        <v>0</v>
      </c>
      <c r="AD311" s="469">
        <f>'Glass Metrics'!N311</f>
        <v>0</v>
      </c>
      <c r="AE311" s="349">
        <f>'Glass Metrics'!S311</f>
        <v>0</v>
      </c>
      <c r="AF311" s="359" t="str">
        <f t="shared" si="174"/>
        <v/>
      </c>
      <c r="AG311" s="477" t="str">
        <f t="shared" si="175"/>
        <v/>
      </c>
      <c r="AH311" s="472" t="str">
        <f t="shared" si="176"/>
        <v/>
      </c>
      <c r="AI311" s="360" t="str">
        <f t="shared" si="177"/>
        <v/>
      </c>
      <c r="AJ311" s="363" t="str">
        <f t="shared" si="151"/>
        <v/>
      </c>
      <c r="AK311" s="478"/>
      <c r="AL311" s="478"/>
      <c r="AM311" s="429"/>
      <c r="AN311" s="429"/>
      <c r="AO311" s="374" t="str">
        <f t="shared" si="185"/>
        <v/>
      </c>
      <c r="AP311" s="363"/>
      <c r="AQ311" s="479"/>
      <c r="AR311" s="479"/>
      <c r="AS311" s="374">
        <f t="shared" si="189"/>
        <v>0</v>
      </c>
      <c r="AT311" s="125"/>
      <c r="AU311" s="92"/>
      <c r="AV311" s="455">
        <f t="shared" si="182"/>
        <v>0</v>
      </c>
      <c r="AW311" s="455">
        <f t="shared" si="186"/>
        <v>0</v>
      </c>
      <c r="AX311" s="455">
        <f t="shared" si="187"/>
        <v>0</v>
      </c>
      <c r="AY311" s="386">
        <f t="shared" si="188"/>
        <v>0</v>
      </c>
      <c r="AZ311" s="180">
        <f t="shared" si="152"/>
        <v>0</v>
      </c>
      <c r="BA311" s="449">
        <f t="shared" si="153"/>
        <v>0</v>
      </c>
      <c r="BB311" s="429"/>
      <c r="BC311" s="429"/>
      <c r="BD311" s="429"/>
      <c r="BE311" s="429"/>
      <c r="BF311" s="453" t="str">
        <f t="shared" si="154"/>
        <v>-</v>
      </c>
      <c r="BG311" s="453" t="str">
        <f t="shared" si="155"/>
        <v>-</v>
      </c>
      <c r="BH311" s="453" t="str">
        <f t="shared" si="156"/>
        <v>-</v>
      </c>
      <c r="BI311" s="453" t="str">
        <f t="shared" si="157"/>
        <v>-</v>
      </c>
      <c r="BJ311" s="453" t="str">
        <f t="shared" si="158"/>
        <v>-</v>
      </c>
      <c r="BK311" s="390" t="str">
        <f t="shared" si="159"/>
        <v>-</v>
      </c>
      <c r="BL311" s="125"/>
      <c r="BM311" s="92"/>
      <c r="BN311" s="386">
        <f t="shared" si="178"/>
        <v>0</v>
      </c>
    </row>
    <row r="312" spans="1:66" ht="15.75" customHeight="1">
      <c r="A312" s="175">
        <f t="shared" si="161"/>
        <v>2026</v>
      </c>
      <c r="B312" s="454" t="str">
        <f t="shared" si="162"/>
        <v>45</v>
      </c>
      <c r="C312" s="454" t="str">
        <f t="array" ref="C312">_xlfn.IFS(_xlfn.NUMBERVALUE(B312)&lt;=13,"Q1",AND(_xlfn.NUMBERVALUE(B312)&gt;13,_xlfn.NUMBERVALUE(B312)&lt;=26),"Q2", AND(_xlfn.NUMBERVALUE(B312)&gt;26,_xlfn.NUMBERVALUE(B312)&lt;=39),"Q3",_xlfn.NUMBERVALUE(B312)&gt;39,"Q4")</f>
        <v>Q4</v>
      </c>
      <c r="D312" s="448">
        <f t="shared" si="179"/>
        <v>45997</v>
      </c>
      <c r="E312" s="448">
        <f t="shared" si="163"/>
        <v>46003</v>
      </c>
      <c r="F312" s="79">
        <v>202545</v>
      </c>
      <c r="G312" s="180">
        <f t="shared" si="164"/>
        <v>0</v>
      </c>
      <c r="H312" s="429"/>
      <c r="I312" s="429"/>
      <c r="J312" s="474">
        <f t="shared" si="165"/>
        <v>0</v>
      </c>
      <c r="K312" s="474">
        <f t="shared" si="166"/>
        <v>0</v>
      </c>
      <c r="L312" s="92">
        <f t="shared" si="183"/>
        <v>0</v>
      </c>
      <c r="M312" s="92">
        <f t="shared" si="184"/>
        <v>0</v>
      </c>
      <c r="N312" s="92"/>
      <c r="O312" s="474">
        <f t="shared" si="167"/>
        <v>0</v>
      </c>
      <c r="P312" s="474">
        <f t="shared" si="168"/>
        <v>0</v>
      </c>
      <c r="Q312" s="474">
        <f t="shared" si="169"/>
        <v>0</v>
      </c>
      <c r="R312" s="455">
        <f>Forecast!J307</f>
        <v>0</v>
      </c>
      <c r="S312" s="455">
        <f>Forecast!N307</f>
        <v>0</v>
      </c>
      <c r="T312" s="475">
        <f t="shared" si="170"/>
        <v>0</v>
      </c>
      <c r="U312" s="475">
        <f t="shared" si="171"/>
        <v>1256337</v>
      </c>
      <c r="V312" s="349">
        <f t="shared" si="172"/>
        <v>1322941</v>
      </c>
      <c r="W312" s="350">
        <f t="shared" si="180"/>
        <v>0</v>
      </c>
      <c r="X312" s="469">
        <f>'Channel &amp; Campaign Metrics'!AR311</f>
        <v>0</v>
      </c>
      <c r="Y312" s="469">
        <f>'Channel &amp; Campaign Metrics'!BS311</f>
        <v>0</v>
      </c>
      <c r="Z312" s="476"/>
      <c r="AA312" s="339"/>
      <c r="AB312" s="358">
        <f>'Glass Metrics'!AC312</f>
        <v>0</v>
      </c>
      <c r="AC312" s="475">
        <f>'Glass Metrics'!I312</f>
        <v>0</v>
      </c>
      <c r="AD312" s="469">
        <f>'Glass Metrics'!N312</f>
        <v>0</v>
      </c>
      <c r="AE312" s="349">
        <f>'Glass Metrics'!S312</f>
        <v>0</v>
      </c>
      <c r="AF312" s="359" t="str">
        <f t="shared" si="174"/>
        <v/>
      </c>
      <c r="AG312" s="477" t="str">
        <f t="shared" si="175"/>
        <v/>
      </c>
      <c r="AH312" s="472" t="str">
        <f t="shared" si="176"/>
        <v/>
      </c>
      <c r="AI312" s="360" t="str">
        <f t="shared" si="177"/>
        <v/>
      </c>
      <c r="AJ312" s="363" t="str">
        <f t="shared" si="151"/>
        <v/>
      </c>
      <c r="AK312" s="478"/>
      <c r="AL312" s="478"/>
      <c r="AM312" s="429"/>
      <c r="AN312" s="429"/>
      <c r="AO312" s="374" t="str">
        <f t="shared" si="185"/>
        <v/>
      </c>
      <c r="AP312" s="363"/>
      <c r="AQ312" s="479"/>
      <c r="AR312" s="479"/>
      <c r="AS312" s="374">
        <f t="shared" si="189"/>
        <v>0</v>
      </c>
      <c r="AT312" s="125"/>
      <c r="AU312" s="92"/>
      <c r="AV312" s="455">
        <f t="shared" si="182"/>
        <v>0</v>
      </c>
      <c r="AW312" s="455">
        <f t="shared" si="186"/>
        <v>0</v>
      </c>
      <c r="AX312" s="455">
        <f t="shared" si="187"/>
        <v>0</v>
      </c>
      <c r="AY312" s="386">
        <f t="shared" si="188"/>
        <v>0</v>
      </c>
      <c r="AZ312" s="180">
        <f t="shared" si="152"/>
        <v>0</v>
      </c>
      <c r="BA312" s="449">
        <f t="shared" si="153"/>
        <v>0</v>
      </c>
      <c r="BB312" s="429"/>
      <c r="BC312" s="429"/>
      <c r="BD312" s="429"/>
      <c r="BE312" s="429"/>
      <c r="BF312" s="453" t="str">
        <f t="shared" si="154"/>
        <v>-</v>
      </c>
      <c r="BG312" s="453" t="str">
        <f t="shared" si="155"/>
        <v>-</v>
      </c>
      <c r="BH312" s="453" t="str">
        <f t="shared" si="156"/>
        <v>-</v>
      </c>
      <c r="BI312" s="453" t="str">
        <f t="shared" si="157"/>
        <v>-</v>
      </c>
      <c r="BJ312" s="453" t="str">
        <f t="shared" si="158"/>
        <v>-</v>
      </c>
      <c r="BK312" s="390" t="str">
        <f t="shared" si="159"/>
        <v>-</v>
      </c>
      <c r="BL312" s="125"/>
      <c r="BM312" s="92"/>
      <c r="BN312" s="386">
        <f t="shared" si="178"/>
        <v>0</v>
      </c>
    </row>
    <row r="313" spans="1:66" ht="15.75" customHeight="1">
      <c r="A313" s="175">
        <f t="shared" si="161"/>
        <v>2026</v>
      </c>
      <c r="B313" s="454" t="str">
        <f t="shared" si="162"/>
        <v>46</v>
      </c>
      <c r="C313" s="454" t="str">
        <f t="array" ref="C313">_xlfn.IFS(_xlfn.NUMBERVALUE(B313)&lt;=13,"Q1",AND(_xlfn.NUMBERVALUE(B313)&gt;13,_xlfn.NUMBERVALUE(B313)&lt;=26),"Q2", AND(_xlfn.NUMBERVALUE(B313)&gt;26,_xlfn.NUMBERVALUE(B313)&lt;=39),"Q3",_xlfn.NUMBERVALUE(B313)&gt;39,"Q4")</f>
        <v>Q4</v>
      </c>
      <c r="D313" s="448">
        <f t="shared" si="179"/>
        <v>46004</v>
      </c>
      <c r="E313" s="448">
        <f t="shared" si="163"/>
        <v>46010</v>
      </c>
      <c r="F313" s="79">
        <v>202546</v>
      </c>
      <c r="G313" s="180">
        <f t="shared" si="164"/>
        <v>0</v>
      </c>
      <c r="H313" s="429"/>
      <c r="I313" s="429"/>
      <c r="J313" s="474">
        <f t="shared" si="165"/>
        <v>0</v>
      </c>
      <c r="K313" s="474">
        <f t="shared" si="166"/>
        <v>0</v>
      </c>
      <c r="L313" s="92">
        <f t="shared" si="183"/>
        <v>0</v>
      </c>
      <c r="M313" s="92">
        <f t="shared" si="184"/>
        <v>0</v>
      </c>
      <c r="N313" s="92"/>
      <c r="O313" s="474">
        <f t="shared" si="167"/>
        <v>0</v>
      </c>
      <c r="P313" s="474">
        <f t="shared" si="168"/>
        <v>0</v>
      </c>
      <c r="Q313" s="474">
        <f t="shared" si="169"/>
        <v>0</v>
      </c>
      <c r="R313" s="455">
        <f>Forecast!J308</f>
        <v>0</v>
      </c>
      <c r="S313" s="455">
        <f>Forecast!N308</f>
        <v>0</v>
      </c>
      <c r="T313" s="475">
        <f t="shared" si="170"/>
        <v>0</v>
      </c>
      <c r="U313" s="475">
        <f t="shared" si="171"/>
        <v>1256337</v>
      </c>
      <c r="V313" s="349">
        <f t="shared" si="172"/>
        <v>1322941</v>
      </c>
      <c r="W313" s="350">
        <f t="shared" si="180"/>
        <v>0</v>
      </c>
      <c r="X313" s="469">
        <f>'Channel &amp; Campaign Metrics'!AR312</f>
        <v>0</v>
      </c>
      <c r="Y313" s="469">
        <f>'Channel &amp; Campaign Metrics'!BS312</f>
        <v>0</v>
      </c>
      <c r="Z313" s="476"/>
      <c r="AA313" s="339"/>
      <c r="AB313" s="358">
        <f>'Glass Metrics'!AC313</f>
        <v>0</v>
      </c>
      <c r="AC313" s="475">
        <f>'Glass Metrics'!I313</f>
        <v>0</v>
      </c>
      <c r="AD313" s="469">
        <f>'Glass Metrics'!N313</f>
        <v>0</v>
      </c>
      <c r="AE313" s="349">
        <f>'Glass Metrics'!S313</f>
        <v>0</v>
      </c>
      <c r="AF313" s="359" t="str">
        <f t="shared" si="174"/>
        <v/>
      </c>
      <c r="AG313" s="477" t="str">
        <f t="shared" si="175"/>
        <v/>
      </c>
      <c r="AH313" s="472" t="str">
        <f t="shared" si="176"/>
        <v/>
      </c>
      <c r="AI313" s="360" t="str">
        <f t="shared" si="177"/>
        <v/>
      </c>
      <c r="AJ313" s="363" t="str">
        <f t="shared" si="151"/>
        <v/>
      </c>
      <c r="AK313" s="478"/>
      <c r="AL313" s="478"/>
      <c r="AM313" s="429"/>
      <c r="AN313" s="429"/>
      <c r="AO313" s="374" t="str">
        <f t="shared" si="185"/>
        <v/>
      </c>
      <c r="AP313" s="363"/>
      <c r="AQ313" s="479"/>
      <c r="AR313" s="479"/>
      <c r="AS313" s="374">
        <f t="shared" si="189"/>
        <v>0</v>
      </c>
      <c r="AT313" s="125"/>
      <c r="AU313" s="92"/>
      <c r="AV313" s="455">
        <f t="shared" si="182"/>
        <v>0</v>
      </c>
      <c r="AW313" s="455">
        <f t="shared" si="186"/>
        <v>0</v>
      </c>
      <c r="AX313" s="455">
        <f t="shared" si="187"/>
        <v>0</v>
      </c>
      <c r="AY313" s="386">
        <f t="shared" si="188"/>
        <v>0</v>
      </c>
      <c r="AZ313" s="180">
        <f t="shared" si="152"/>
        <v>0</v>
      </c>
      <c r="BA313" s="449">
        <f t="shared" si="153"/>
        <v>0</v>
      </c>
      <c r="BB313" s="429"/>
      <c r="BC313" s="429"/>
      <c r="BD313" s="429"/>
      <c r="BE313" s="429"/>
      <c r="BF313" s="453" t="str">
        <f t="shared" si="154"/>
        <v>-</v>
      </c>
      <c r="BG313" s="453" t="str">
        <f t="shared" si="155"/>
        <v>-</v>
      </c>
      <c r="BH313" s="453" t="str">
        <f t="shared" si="156"/>
        <v>-</v>
      </c>
      <c r="BI313" s="453" t="str">
        <f t="shared" si="157"/>
        <v>-</v>
      </c>
      <c r="BJ313" s="453" t="str">
        <f t="shared" si="158"/>
        <v>-</v>
      </c>
      <c r="BK313" s="390" t="str">
        <f t="shared" si="159"/>
        <v>-</v>
      </c>
      <c r="BL313" s="125"/>
      <c r="BM313" s="92"/>
      <c r="BN313" s="386">
        <f t="shared" si="178"/>
        <v>0</v>
      </c>
    </row>
    <row r="314" spans="1:66" ht="15.75" customHeight="1">
      <c r="A314" s="175">
        <f t="shared" si="161"/>
        <v>2026</v>
      </c>
      <c r="B314" s="454" t="str">
        <f t="shared" si="162"/>
        <v>47</v>
      </c>
      <c r="C314" s="454" t="str">
        <f t="array" ref="C314">_xlfn.IFS(_xlfn.NUMBERVALUE(B314)&lt;=13,"Q1",AND(_xlfn.NUMBERVALUE(B314)&gt;13,_xlfn.NUMBERVALUE(B314)&lt;=26),"Q2", AND(_xlfn.NUMBERVALUE(B314)&gt;26,_xlfn.NUMBERVALUE(B314)&lt;=39),"Q3",_xlfn.NUMBERVALUE(B314)&gt;39,"Q4")</f>
        <v>Q4</v>
      </c>
      <c r="D314" s="448">
        <f t="shared" si="179"/>
        <v>46011</v>
      </c>
      <c r="E314" s="448">
        <f t="shared" si="163"/>
        <v>46017</v>
      </c>
      <c r="F314" s="79">
        <v>202547</v>
      </c>
      <c r="G314" s="180">
        <f t="shared" si="164"/>
        <v>0</v>
      </c>
      <c r="H314" s="429"/>
      <c r="I314" s="429"/>
      <c r="J314" s="474">
        <f t="shared" si="165"/>
        <v>0</v>
      </c>
      <c r="K314" s="474">
        <f t="shared" si="166"/>
        <v>0</v>
      </c>
      <c r="L314" s="92">
        <f t="shared" si="183"/>
        <v>0</v>
      </c>
      <c r="M314" s="92">
        <f t="shared" si="184"/>
        <v>0</v>
      </c>
      <c r="N314" s="92"/>
      <c r="O314" s="474">
        <f t="shared" si="167"/>
        <v>0</v>
      </c>
      <c r="P314" s="474">
        <f t="shared" si="168"/>
        <v>0</v>
      </c>
      <c r="Q314" s="474">
        <f t="shared" si="169"/>
        <v>0</v>
      </c>
      <c r="R314" s="455">
        <f>Forecast!J309</f>
        <v>0</v>
      </c>
      <c r="S314" s="455">
        <f>Forecast!N309</f>
        <v>0</v>
      </c>
      <c r="T314" s="475">
        <f t="shared" si="170"/>
        <v>0</v>
      </c>
      <c r="U314" s="475">
        <f t="shared" si="171"/>
        <v>1256337</v>
      </c>
      <c r="V314" s="349">
        <f t="shared" si="172"/>
        <v>1322941</v>
      </c>
      <c r="W314" s="350">
        <f t="shared" si="180"/>
        <v>0</v>
      </c>
      <c r="X314" s="469">
        <f>'Channel &amp; Campaign Metrics'!AR313</f>
        <v>0</v>
      </c>
      <c r="Y314" s="469">
        <f>'Channel &amp; Campaign Metrics'!BS313</f>
        <v>0</v>
      </c>
      <c r="Z314" s="476"/>
      <c r="AA314" s="339"/>
      <c r="AB314" s="358">
        <f>'Glass Metrics'!AC314</f>
        <v>0</v>
      </c>
      <c r="AC314" s="475">
        <f>'Glass Metrics'!I314</f>
        <v>0</v>
      </c>
      <c r="AD314" s="469">
        <f>'Glass Metrics'!N314</f>
        <v>0</v>
      </c>
      <c r="AE314" s="349">
        <f>'Glass Metrics'!S314</f>
        <v>0</v>
      </c>
      <c r="AF314" s="359" t="str">
        <f t="shared" si="174"/>
        <v/>
      </c>
      <c r="AG314" s="477" t="str">
        <f t="shared" si="175"/>
        <v/>
      </c>
      <c r="AH314" s="472" t="str">
        <f t="shared" si="176"/>
        <v/>
      </c>
      <c r="AI314" s="360" t="str">
        <f t="shared" si="177"/>
        <v/>
      </c>
      <c r="AJ314" s="363" t="str">
        <f t="shared" si="151"/>
        <v/>
      </c>
      <c r="AK314" s="478"/>
      <c r="AL314" s="478"/>
      <c r="AM314" s="429"/>
      <c r="AN314" s="429"/>
      <c r="AO314" s="374" t="str">
        <f t="shared" si="185"/>
        <v/>
      </c>
      <c r="AP314" s="363"/>
      <c r="AQ314" s="479"/>
      <c r="AR314" s="479"/>
      <c r="AS314" s="374">
        <f t="shared" si="189"/>
        <v>0</v>
      </c>
      <c r="AT314" s="125"/>
      <c r="AU314" s="92"/>
      <c r="AV314" s="455">
        <f t="shared" si="182"/>
        <v>0</v>
      </c>
      <c r="AW314" s="455">
        <f t="shared" si="186"/>
        <v>0</v>
      </c>
      <c r="AX314" s="455">
        <f t="shared" si="187"/>
        <v>0</v>
      </c>
      <c r="AY314" s="386">
        <f t="shared" si="188"/>
        <v>0</v>
      </c>
      <c r="AZ314" s="180">
        <f t="shared" si="152"/>
        <v>0</v>
      </c>
      <c r="BA314" s="449">
        <f t="shared" si="153"/>
        <v>0</v>
      </c>
      <c r="BB314" s="429"/>
      <c r="BC314" s="429"/>
      <c r="BD314" s="429"/>
      <c r="BE314" s="429"/>
      <c r="BF314" s="453" t="str">
        <f t="shared" si="154"/>
        <v>-</v>
      </c>
      <c r="BG314" s="453" t="str">
        <f t="shared" si="155"/>
        <v>-</v>
      </c>
      <c r="BH314" s="453" t="str">
        <f t="shared" si="156"/>
        <v>-</v>
      </c>
      <c r="BI314" s="453" t="str">
        <f t="shared" si="157"/>
        <v>-</v>
      </c>
      <c r="BJ314" s="453" t="str">
        <f t="shared" si="158"/>
        <v>-</v>
      </c>
      <c r="BK314" s="390" t="str">
        <f t="shared" si="159"/>
        <v>-</v>
      </c>
      <c r="BL314" s="125"/>
      <c r="BM314" s="92"/>
      <c r="BN314" s="386">
        <f t="shared" si="178"/>
        <v>0</v>
      </c>
    </row>
    <row r="315" spans="1:66" ht="15.75" customHeight="1">
      <c r="A315" s="175">
        <f t="shared" si="161"/>
        <v>2026</v>
      </c>
      <c r="B315" s="454" t="str">
        <f t="shared" si="162"/>
        <v>48</v>
      </c>
      <c r="C315" s="454" t="str">
        <f t="array" ref="C315">_xlfn.IFS(_xlfn.NUMBERVALUE(B315)&lt;=13,"Q1",AND(_xlfn.NUMBERVALUE(B315)&gt;13,_xlfn.NUMBERVALUE(B315)&lt;=26),"Q2", AND(_xlfn.NUMBERVALUE(B315)&gt;26,_xlfn.NUMBERVALUE(B315)&lt;=39),"Q3",_xlfn.NUMBERVALUE(B315)&gt;39,"Q4")</f>
        <v>Q4</v>
      </c>
      <c r="D315" s="448">
        <f t="shared" si="179"/>
        <v>46018</v>
      </c>
      <c r="E315" s="448">
        <f t="shared" si="163"/>
        <v>46024</v>
      </c>
      <c r="F315" s="79">
        <v>202548</v>
      </c>
      <c r="G315" s="180">
        <f t="shared" si="164"/>
        <v>0</v>
      </c>
      <c r="H315" s="429"/>
      <c r="I315" s="429"/>
      <c r="J315" s="474">
        <f t="shared" si="165"/>
        <v>0</v>
      </c>
      <c r="K315" s="474">
        <f t="shared" si="166"/>
        <v>0</v>
      </c>
      <c r="L315" s="92">
        <f t="shared" si="183"/>
        <v>0</v>
      </c>
      <c r="M315" s="92">
        <f t="shared" si="184"/>
        <v>0</v>
      </c>
      <c r="N315" s="92"/>
      <c r="O315" s="474">
        <f t="shared" si="167"/>
        <v>0</v>
      </c>
      <c r="P315" s="474">
        <f t="shared" si="168"/>
        <v>0</v>
      </c>
      <c r="Q315" s="474">
        <f t="shared" si="169"/>
        <v>0</v>
      </c>
      <c r="R315" s="455">
        <f>Forecast!J310</f>
        <v>0</v>
      </c>
      <c r="S315" s="455">
        <f>Forecast!N310</f>
        <v>0</v>
      </c>
      <c r="T315" s="475">
        <f t="shared" si="170"/>
        <v>0</v>
      </c>
      <c r="U315" s="475">
        <f t="shared" si="171"/>
        <v>1256337</v>
      </c>
      <c r="V315" s="349">
        <f t="shared" si="172"/>
        <v>1322941</v>
      </c>
      <c r="W315" s="350">
        <f t="shared" si="180"/>
        <v>0</v>
      </c>
      <c r="X315" s="469">
        <f>'Channel &amp; Campaign Metrics'!AR314</f>
        <v>0</v>
      </c>
      <c r="Y315" s="469">
        <f>'Channel &amp; Campaign Metrics'!BS314</f>
        <v>0</v>
      </c>
      <c r="Z315" s="476"/>
      <c r="AA315" s="339"/>
      <c r="AB315" s="358">
        <f>'Glass Metrics'!AC315</f>
        <v>0</v>
      </c>
      <c r="AC315" s="475">
        <f>'Glass Metrics'!I315</f>
        <v>0</v>
      </c>
      <c r="AD315" s="469">
        <f>'Glass Metrics'!N315</f>
        <v>0</v>
      </c>
      <c r="AE315" s="349">
        <f>'Glass Metrics'!S315</f>
        <v>0</v>
      </c>
      <c r="AF315" s="359" t="str">
        <f t="shared" si="174"/>
        <v/>
      </c>
      <c r="AG315" s="477" t="str">
        <f t="shared" si="175"/>
        <v/>
      </c>
      <c r="AH315" s="472" t="str">
        <f t="shared" si="176"/>
        <v/>
      </c>
      <c r="AI315" s="360" t="str">
        <f t="shared" si="177"/>
        <v/>
      </c>
      <c r="AJ315" s="363" t="str">
        <f t="shared" ref="AJ315:AJ319" si="190">IFERROR(((AK315*AM315)+(AL315*AN315))/(AM315+AN315),"")</f>
        <v/>
      </c>
      <c r="AK315" s="478"/>
      <c r="AL315" s="478"/>
      <c r="AM315" s="429"/>
      <c r="AN315" s="429"/>
      <c r="AO315" s="374" t="str">
        <f t="shared" si="185"/>
        <v/>
      </c>
      <c r="AP315" s="363"/>
      <c r="AQ315" s="479"/>
      <c r="AR315" s="479"/>
      <c r="AS315" s="374">
        <f t="shared" si="189"/>
        <v>0</v>
      </c>
      <c r="AT315" s="125"/>
      <c r="AU315" s="92"/>
      <c r="AV315" s="455">
        <f t="shared" si="182"/>
        <v>0</v>
      </c>
      <c r="AW315" s="455">
        <f t="shared" si="186"/>
        <v>0</v>
      </c>
      <c r="AX315" s="455">
        <f t="shared" si="187"/>
        <v>0</v>
      </c>
      <c r="AY315" s="386">
        <f t="shared" si="188"/>
        <v>0</v>
      </c>
      <c r="AZ315" s="180">
        <f t="shared" si="152"/>
        <v>0</v>
      </c>
      <c r="BA315" s="449">
        <f t="shared" si="153"/>
        <v>0</v>
      </c>
      <c r="BB315" s="429"/>
      <c r="BC315" s="429"/>
      <c r="BD315" s="429"/>
      <c r="BE315" s="429"/>
      <c r="BF315" s="453" t="str">
        <f t="shared" si="154"/>
        <v>-</v>
      </c>
      <c r="BG315" s="453" t="str">
        <f t="shared" si="155"/>
        <v>-</v>
      </c>
      <c r="BH315" s="453" t="str">
        <f t="shared" si="156"/>
        <v>-</v>
      </c>
      <c r="BI315" s="453" t="str">
        <f t="shared" si="157"/>
        <v>-</v>
      </c>
      <c r="BJ315" s="453" t="str">
        <f t="shared" si="158"/>
        <v>-</v>
      </c>
      <c r="BK315" s="390" t="str">
        <f t="shared" si="159"/>
        <v>-</v>
      </c>
      <c r="BL315" s="125"/>
      <c r="BM315" s="92"/>
      <c r="BN315" s="386">
        <f t="shared" si="178"/>
        <v>0</v>
      </c>
    </row>
    <row r="316" spans="1:66" ht="15.75" customHeight="1">
      <c r="A316" s="175">
        <f t="shared" si="161"/>
        <v>2026</v>
      </c>
      <c r="B316" s="454" t="str">
        <f t="shared" si="162"/>
        <v>49</v>
      </c>
      <c r="C316" s="454" t="str">
        <f t="array" ref="C316">_xlfn.IFS(_xlfn.NUMBERVALUE(B316)&lt;=13,"Q1",AND(_xlfn.NUMBERVALUE(B316)&gt;13,_xlfn.NUMBERVALUE(B316)&lt;=26),"Q2", AND(_xlfn.NUMBERVALUE(B316)&gt;26,_xlfn.NUMBERVALUE(B316)&lt;=39),"Q3",_xlfn.NUMBERVALUE(B316)&gt;39,"Q4")</f>
        <v>Q4</v>
      </c>
      <c r="D316" s="448">
        <f t="shared" si="179"/>
        <v>46025</v>
      </c>
      <c r="E316" s="448">
        <f t="shared" si="163"/>
        <v>46031</v>
      </c>
      <c r="F316" s="79">
        <v>202549</v>
      </c>
      <c r="G316" s="180">
        <f t="shared" si="164"/>
        <v>0</v>
      </c>
      <c r="H316" s="429"/>
      <c r="I316" s="429"/>
      <c r="J316" s="474">
        <f t="shared" si="165"/>
        <v>0</v>
      </c>
      <c r="K316" s="474">
        <f t="shared" si="166"/>
        <v>0</v>
      </c>
      <c r="L316" s="92">
        <f t="shared" si="183"/>
        <v>0</v>
      </c>
      <c r="M316" s="92">
        <f t="shared" si="184"/>
        <v>0</v>
      </c>
      <c r="N316" s="92"/>
      <c r="O316" s="474">
        <f t="shared" si="167"/>
        <v>0</v>
      </c>
      <c r="P316" s="474">
        <f t="shared" si="168"/>
        <v>0</v>
      </c>
      <c r="Q316" s="474">
        <f t="shared" si="169"/>
        <v>0</v>
      </c>
      <c r="R316" s="455">
        <f>Forecast!J311</f>
        <v>0</v>
      </c>
      <c r="S316" s="455">
        <f>Forecast!N311</f>
        <v>0</v>
      </c>
      <c r="T316" s="475">
        <f t="shared" si="170"/>
        <v>0</v>
      </c>
      <c r="U316" s="475">
        <f t="shared" si="171"/>
        <v>1256337</v>
      </c>
      <c r="V316" s="349">
        <f t="shared" si="172"/>
        <v>1322941</v>
      </c>
      <c r="W316" s="350">
        <f t="shared" si="180"/>
        <v>0</v>
      </c>
      <c r="X316" s="469">
        <f>'Channel &amp; Campaign Metrics'!AR315</f>
        <v>0</v>
      </c>
      <c r="Y316" s="469">
        <f>'Channel &amp; Campaign Metrics'!BS315</f>
        <v>0</v>
      </c>
      <c r="Z316" s="476"/>
      <c r="AA316" s="339"/>
      <c r="AB316" s="358">
        <f>'Glass Metrics'!AC316</f>
        <v>0</v>
      </c>
      <c r="AC316" s="475">
        <f>'Glass Metrics'!I316</f>
        <v>0</v>
      </c>
      <c r="AD316" s="469">
        <f>'Glass Metrics'!N316</f>
        <v>0</v>
      </c>
      <c r="AE316" s="349">
        <f>'Glass Metrics'!S316</f>
        <v>0</v>
      </c>
      <c r="AF316" s="359" t="str">
        <f t="shared" si="174"/>
        <v/>
      </c>
      <c r="AG316" s="477" t="str">
        <f t="shared" si="175"/>
        <v/>
      </c>
      <c r="AH316" s="472" t="str">
        <f t="shared" si="176"/>
        <v/>
      </c>
      <c r="AI316" s="360" t="str">
        <f t="shared" si="177"/>
        <v/>
      </c>
      <c r="AJ316" s="363" t="str">
        <f t="shared" si="190"/>
        <v/>
      </c>
      <c r="AK316" s="478"/>
      <c r="AL316" s="478"/>
      <c r="AM316" s="429"/>
      <c r="AN316" s="429"/>
      <c r="AO316" s="374" t="str">
        <f t="shared" si="185"/>
        <v/>
      </c>
      <c r="AP316" s="363"/>
      <c r="AQ316" s="479"/>
      <c r="AR316" s="479"/>
      <c r="AS316" s="374">
        <f t="shared" si="189"/>
        <v>0</v>
      </c>
      <c r="AT316" s="125"/>
      <c r="AU316" s="92"/>
      <c r="AV316" s="455">
        <f t="shared" si="182"/>
        <v>0</v>
      </c>
      <c r="AW316" s="455">
        <f t="shared" si="186"/>
        <v>0</v>
      </c>
      <c r="AX316" s="455">
        <f t="shared" si="187"/>
        <v>0</v>
      </c>
      <c r="AY316" s="386">
        <f t="shared" si="188"/>
        <v>0</v>
      </c>
      <c r="AZ316" s="180">
        <f t="shared" si="152"/>
        <v>0</v>
      </c>
      <c r="BA316" s="449">
        <f t="shared" si="153"/>
        <v>0</v>
      </c>
      <c r="BB316" s="429"/>
      <c r="BC316" s="429"/>
      <c r="BD316" s="429"/>
      <c r="BE316" s="429"/>
      <c r="BF316" s="453" t="str">
        <f t="shared" si="154"/>
        <v>-</v>
      </c>
      <c r="BG316" s="453" t="str">
        <f t="shared" si="155"/>
        <v>-</v>
      </c>
      <c r="BH316" s="453" t="str">
        <f t="shared" si="156"/>
        <v>-</v>
      </c>
      <c r="BI316" s="453" t="str">
        <f t="shared" si="157"/>
        <v>-</v>
      </c>
      <c r="BJ316" s="453" t="str">
        <f t="shared" si="158"/>
        <v>-</v>
      </c>
      <c r="BK316" s="390" t="str">
        <f t="shared" si="159"/>
        <v>-</v>
      </c>
      <c r="BL316" s="125"/>
      <c r="BM316" s="92"/>
      <c r="BN316" s="386">
        <f t="shared" si="178"/>
        <v>0</v>
      </c>
    </row>
    <row r="317" spans="1:66" ht="15.75" customHeight="1">
      <c r="A317" s="175">
        <f t="shared" si="161"/>
        <v>2026</v>
      </c>
      <c r="B317" s="454" t="str">
        <f t="shared" si="162"/>
        <v>50</v>
      </c>
      <c r="C317" s="454" t="str">
        <f t="array" ref="C317">_xlfn.IFS(_xlfn.NUMBERVALUE(B317)&lt;=13,"Q1",AND(_xlfn.NUMBERVALUE(B317)&gt;13,_xlfn.NUMBERVALUE(B317)&lt;=26),"Q2", AND(_xlfn.NUMBERVALUE(B317)&gt;26,_xlfn.NUMBERVALUE(B317)&lt;=39),"Q3",_xlfn.NUMBERVALUE(B317)&gt;39,"Q4")</f>
        <v>Q4</v>
      </c>
      <c r="D317" s="448">
        <f t="shared" si="179"/>
        <v>46032</v>
      </c>
      <c r="E317" s="448">
        <f t="shared" si="163"/>
        <v>46038</v>
      </c>
      <c r="F317" s="79">
        <v>202550</v>
      </c>
      <c r="G317" s="180">
        <f t="shared" si="164"/>
        <v>0</v>
      </c>
      <c r="H317" s="429"/>
      <c r="I317" s="429"/>
      <c r="J317" s="474">
        <f t="shared" si="165"/>
        <v>0</v>
      </c>
      <c r="K317" s="474">
        <f t="shared" si="166"/>
        <v>0</v>
      </c>
      <c r="L317" s="92">
        <f t="shared" si="183"/>
        <v>0</v>
      </c>
      <c r="M317" s="92">
        <f t="shared" si="184"/>
        <v>0</v>
      </c>
      <c r="N317" s="92"/>
      <c r="O317" s="474">
        <f t="shared" si="167"/>
        <v>0</v>
      </c>
      <c r="P317" s="474">
        <f t="shared" si="168"/>
        <v>0</v>
      </c>
      <c r="Q317" s="474">
        <f t="shared" si="169"/>
        <v>0</v>
      </c>
      <c r="R317" s="455">
        <f>Forecast!J312</f>
        <v>0</v>
      </c>
      <c r="S317" s="455">
        <f>Forecast!N312</f>
        <v>0</v>
      </c>
      <c r="T317" s="475">
        <f t="shared" si="170"/>
        <v>0</v>
      </c>
      <c r="U317" s="475">
        <f t="shared" si="171"/>
        <v>1256337</v>
      </c>
      <c r="V317" s="349">
        <f t="shared" si="172"/>
        <v>1322941</v>
      </c>
      <c r="W317" s="350">
        <f t="shared" si="180"/>
        <v>0</v>
      </c>
      <c r="X317" s="469">
        <f>'Channel &amp; Campaign Metrics'!AR316</f>
        <v>0</v>
      </c>
      <c r="Y317" s="469">
        <f>'Channel &amp; Campaign Metrics'!BS316</f>
        <v>0</v>
      </c>
      <c r="Z317" s="476"/>
      <c r="AA317" s="339"/>
      <c r="AB317" s="358">
        <f>'Glass Metrics'!AC317</f>
        <v>0</v>
      </c>
      <c r="AC317" s="475">
        <f>'Glass Metrics'!I317</f>
        <v>0</v>
      </c>
      <c r="AD317" s="469">
        <f>'Glass Metrics'!N317</f>
        <v>0</v>
      </c>
      <c r="AE317" s="349">
        <f>'Glass Metrics'!S317</f>
        <v>0</v>
      </c>
      <c r="AF317" s="359" t="str">
        <f t="shared" si="174"/>
        <v/>
      </c>
      <c r="AG317" s="477" t="str">
        <f t="shared" si="175"/>
        <v/>
      </c>
      <c r="AH317" s="472" t="str">
        <f t="shared" si="176"/>
        <v/>
      </c>
      <c r="AI317" s="360" t="str">
        <f t="shared" si="177"/>
        <v/>
      </c>
      <c r="AJ317" s="363" t="str">
        <f t="shared" si="190"/>
        <v/>
      </c>
      <c r="AK317" s="478"/>
      <c r="AL317" s="478"/>
      <c r="AM317" s="429"/>
      <c r="AN317" s="429"/>
      <c r="AO317" s="374" t="str">
        <f t="shared" si="185"/>
        <v/>
      </c>
      <c r="AP317" s="363"/>
      <c r="AQ317" s="479"/>
      <c r="AR317" s="479"/>
      <c r="AS317" s="374">
        <f t="shared" si="189"/>
        <v>0</v>
      </c>
      <c r="AT317" s="125"/>
      <c r="AU317" s="92"/>
      <c r="AV317" s="455">
        <f t="shared" si="182"/>
        <v>0</v>
      </c>
      <c r="AW317" s="455">
        <f t="shared" si="186"/>
        <v>0</v>
      </c>
      <c r="AX317" s="455">
        <f t="shared" si="187"/>
        <v>0</v>
      </c>
      <c r="AY317" s="386">
        <f t="shared" si="188"/>
        <v>0</v>
      </c>
      <c r="AZ317" s="180">
        <f t="shared" si="152"/>
        <v>0</v>
      </c>
      <c r="BA317" s="449">
        <f t="shared" si="153"/>
        <v>0</v>
      </c>
      <c r="BB317" s="429"/>
      <c r="BC317" s="429"/>
      <c r="BD317" s="429"/>
      <c r="BE317" s="429"/>
      <c r="BF317" s="453" t="str">
        <f t="shared" si="154"/>
        <v>-</v>
      </c>
      <c r="BG317" s="453" t="str">
        <f t="shared" si="155"/>
        <v>-</v>
      </c>
      <c r="BH317" s="453" t="str">
        <f t="shared" si="156"/>
        <v>-</v>
      </c>
      <c r="BI317" s="453" t="str">
        <f t="shared" si="157"/>
        <v>-</v>
      </c>
      <c r="BJ317" s="453" t="str">
        <f t="shared" si="158"/>
        <v>-</v>
      </c>
      <c r="BK317" s="390" t="str">
        <f t="shared" si="159"/>
        <v>-</v>
      </c>
      <c r="BL317" s="125"/>
      <c r="BM317" s="92"/>
      <c r="BN317" s="386">
        <f t="shared" si="178"/>
        <v>0</v>
      </c>
    </row>
    <row r="318" spans="1:66" ht="15.75" customHeight="1">
      <c r="A318" s="175">
        <f t="shared" si="161"/>
        <v>2026</v>
      </c>
      <c r="B318" s="454" t="str">
        <f t="shared" si="162"/>
        <v>51</v>
      </c>
      <c r="C318" s="454" t="str">
        <f t="array" ref="C318">_xlfn.IFS(_xlfn.NUMBERVALUE(B318)&lt;=13,"Q1",AND(_xlfn.NUMBERVALUE(B318)&gt;13,_xlfn.NUMBERVALUE(B318)&lt;=26),"Q2", AND(_xlfn.NUMBERVALUE(B318)&gt;26,_xlfn.NUMBERVALUE(B318)&lt;=39),"Q3",_xlfn.NUMBERVALUE(B318)&gt;39,"Q4")</f>
        <v>Q4</v>
      </c>
      <c r="D318" s="448">
        <f t="shared" si="179"/>
        <v>46039</v>
      </c>
      <c r="E318" s="448">
        <f t="shared" si="163"/>
        <v>46045</v>
      </c>
      <c r="F318" s="79">
        <v>202551</v>
      </c>
      <c r="G318" s="180">
        <f t="shared" si="164"/>
        <v>0</v>
      </c>
      <c r="H318" s="429"/>
      <c r="I318" s="429"/>
      <c r="J318" s="474">
        <f t="shared" si="165"/>
        <v>0</v>
      </c>
      <c r="K318" s="474">
        <f t="shared" si="166"/>
        <v>0</v>
      </c>
      <c r="L318" s="92">
        <f t="shared" si="183"/>
        <v>0</v>
      </c>
      <c r="M318" s="92">
        <f t="shared" si="184"/>
        <v>0</v>
      </c>
      <c r="N318" s="92"/>
      <c r="O318" s="474">
        <f t="shared" si="167"/>
        <v>0</v>
      </c>
      <c r="P318" s="474">
        <f t="shared" si="168"/>
        <v>0</v>
      </c>
      <c r="Q318" s="474">
        <f t="shared" si="169"/>
        <v>0</v>
      </c>
      <c r="R318" s="455">
        <f>Forecast!J313</f>
        <v>0</v>
      </c>
      <c r="S318" s="455">
        <f>Forecast!N313</f>
        <v>0</v>
      </c>
      <c r="T318" s="475">
        <f t="shared" si="170"/>
        <v>0</v>
      </c>
      <c r="U318" s="475">
        <f t="shared" si="171"/>
        <v>1256337</v>
      </c>
      <c r="V318" s="349">
        <f t="shared" si="172"/>
        <v>1322941</v>
      </c>
      <c r="W318" s="350">
        <f t="shared" si="180"/>
        <v>0</v>
      </c>
      <c r="X318" s="469">
        <f>'Channel &amp; Campaign Metrics'!AR317</f>
        <v>0</v>
      </c>
      <c r="Y318" s="469">
        <f>'Channel &amp; Campaign Metrics'!BS317</f>
        <v>0</v>
      </c>
      <c r="Z318" s="476"/>
      <c r="AA318" s="339"/>
      <c r="AB318" s="358">
        <f>'Glass Metrics'!AC318</f>
        <v>0</v>
      </c>
      <c r="AC318" s="475">
        <f>'Glass Metrics'!I318</f>
        <v>0</v>
      </c>
      <c r="AD318" s="469">
        <f>'Glass Metrics'!N318</f>
        <v>0</v>
      </c>
      <c r="AE318" s="349">
        <f>'Glass Metrics'!S318</f>
        <v>0</v>
      </c>
      <c r="AF318" s="359" t="str">
        <f t="shared" si="174"/>
        <v/>
      </c>
      <c r="AG318" s="477" t="str">
        <f t="shared" si="175"/>
        <v/>
      </c>
      <c r="AH318" s="472" t="str">
        <f t="shared" si="176"/>
        <v/>
      </c>
      <c r="AI318" s="360" t="str">
        <f t="shared" si="177"/>
        <v/>
      </c>
      <c r="AJ318" s="363" t="str">
        <f t="shared" si="190"/>
        <v/>
      </c>
      <c r="AK318" s="478"/>
      <c r="AL318" s="478"/>
      <c r="AM318" s="429"/>
      <c r="AN318" s="429"/>
      <c r="AO318" s="374" t="str">
        <f t="shared" si="185"/>
        <v/>
      </c>
      <c r="AP318" s="363"/>
      <c r="AQ318" s="479"/>
      <c r="AR318" s="479"/>
      <c r="AS318" s="374">
        <f t="shared" si="189"/>
        <v>0</v>
      </c>
      <c r="AT318" s="125"/>
      <c r="AU318" s="92"/>
      <c r="AV318" s="455">
        <f t="shared" si="182"/>
        <v>0</v>
      </c>
      <c r="AW318" s="455">
        <f t="shared" si="186"/>
        <v>0</v>
      </c>
      <c r="AX318" s="455">
        <f t="shared" si="187"/>
        <v>0</v>
      </c>
      <c r="AY318" s="386">
        <f t="shared" si="188"/>
        <v>0</v>
      </c>
      <c r="AZ318" s="180">
        <f t="shared" si="152"/>
        <v>0</v>
      </c>
      <c r="BA318" s="449">
        <f t="shared" si="153"/>
        <v>0</v>
      </c>
      <c r="BB318" s="429"/>
      <c r="BC318" s="429"/>
      <c r="BD318" s="429"/>
      <c r="BE318" s="429"/>
      <c r="BF318" s="453" t="str">
        <f t="shared" si="154"/>
        <v>-</v>
      </c>
      <c r="BG318" s="453" t="str">
        <f t="shared" si="155"/>
        <v>-</v>
      </c>
      <c r="BH318" s="453" t="str">
        <f t="shared" si="156"/>
        <v>-</v>
      </c>
      <c r="BI318" s="453" t="str">
        <f t="shared" si="157"/>
        <v>-</v>
      </c>
      <c r="BJ318" s="453" t="str">
        <f t="shared" si="158"/>
        <v>-</v>
      </c>
      <c r="BK318" s="390" t="str">
        <f t="shared" si="159"/>
        <v>-</v>
      </c>
      <c r="BL318" s="125"/>
      <c r="BM318" s="92"/>
      <c r="BN318" s="386">
        <f t="shared" si="178"/>
        <v>0</v>
      </c>
    </row>
    <row r="319" spans="1:66" ht="16.5" customHeight="1" thickBot="1">
      <c r="A319" s="176">
        <f t="shared" si="161"/>
        <v>2026</v>
      </c>
      <c r="B319" s="177" t="str">
        <f t="shared" si="162"/>
        <v>52</v>
      </c>
      <c r="C319" s="177" t="str">
        <f t="array" ref="C319">_xlfn.IFS(_xlfn.NUMBERVALUE(B319)&lt;=13,"Q1",AND(_xlfn.NUMBERVALUE(B319)&gt;13,_xlfn.NUMBERVALUE(B319)&lt;=26),"Q2", AND(_xlfn.NUMBERVALUE(B319)&gt;26,_xlfn.NUMBERVALUE(B319)&lt;=39),"Q3",_xlfn.NUMBERVALUE(B319)&gt;39,"Q4")</f>
        <v>Q4</v>
      </c>
      <c r="D319" s="178">
        <f t="shared" si="179"/>
        <v>46046</v>
      </c>
      <c r="E319" s="178">
        <f t="shared" si="163"/>
        <v>46052</v>
      </c>
      <c r="F319" s="98">
        <v>202552</v>
      </c>
      <c r="G319" s="181">
        <f t="shared" si="164"/>
        <v>0</v>
      </c>
      <c r="H319" s="105"/>
      <c r="I319" s="105"/>
      <c r="J319" s="344">
        <f t="shared" si="165"/>
        <v>0</v>
      </c>
      <c r="K319" s="344">
        <f t="shared" si="166"/>
        <v>0</v>
      </c>
      <c r="L319" s="768">
        <f t="shared" si="183"/>
        <v>0</v>
      </c>
      <c r="M319" s="768">
        <f t="shared" si="184"/>
        <v>0</v>
      </c>
      <c r="N319" s="768"/>
      <c r="O319" s="344">
        <f t="shared" si="167"/>
        <v>0</v>
      </c>
      <c r="P319" s="344">
        <f t="shared" si="168"/>
        <v>0</v>
      </c>
      <c r="Q319" s="344">
        <f t="shared" si="169"/>
        <v>0</v>
      </c>
      <c r="R319" s="182">
        <f>Forecast!J314</f>
        <v>0</v>
      </c>
      <c r="S319" s="182">
        <f>Forecast!N314</f>
        <v>0</v>
      </c>
      <c r="T319" s="351">
        <f t="shared" si="170"/>
        <v>0</v>
      </c>
      <c r="U319" s="351">
        <f t="shared" si="171"/>
        <v>1256337</v>
      </c>
      <c r="V319" s="352">
        <f t="shared" si="172"/>
        <v>1322941</v>
      </c>
      <c r="W319" s="350">
        <f t="shared" si="180"/>
        <v>0</v>
      </c>
      <c r="X319" s="183">
        <f>'Channel &amp; Campaign Metrics'!AR318</f>
        <v>0</v>
      </c>
      <c r="Y319" s="183">
        <f>'Channel &amp; Campaign Metrics'!BS318</f>
        <v>0</v>
      </c>
      <c r="Z319" s="410"/>
      <c r="AA319" s="411"/>
      <c r="AB319" s="365">
        <f>'Glass Metrics'!AC319</f>
        <v>0</v>
      </c>
      <c r="AC319" s="351">
        <f>'Glass Metrics'!I319</f>
        <v>0</v>
      </c>
      <c r="AD319" s="183">
        <f>'Glass Metrics'!N319</f>
        <v>0</v>
      </c>
      <c r="AE319" s="352">
        <f>'Glass Metrics'!S319</f>
        <v>0</v>
      </c>
      <c r="AF319" s="366" t="str">
        <f t="shared" si="174"/>
        <v/>
      </c>
      <c r="AG319" s="367" t="str">
        <f t="shared" si="175"/>
        <v/>
      </c>
      <c r="AH319" s="185" t="str">
        <f t="shared" si="176"/>
        <v/>
      </c>
      <c r="AI319" s="368" t="str">
        <f t="shared" si="177"/>
        <v/>
      </c>
      <c r="AJ319" s="376" t="str">
        <f t="shared" si="190"/>
        <v/>
      </c>
      <c r="AK319" s="121"/>
      <c r="AL319" s="121"/>
      <c r="AM319" s="105"/>
      <c r="AN319" s="105"/>
      <c r="AO319" s="375" t="str">
        <f t="shared" si="185"/>
        <v/>
      </c>
      <c r="AP319" s="376"/>
      <c r="AQ319" s="147"/>
      <c r="AR319" s="147"/>
      <c r="AS319" s="375">
        <f t="shared" si="189"/>
        <v>0</v>
      </c>
      <c r="AT319" s="769"/>
      <c r="AU319" s="768"/>
      <c r="AV319" s="182">
        <f t="shared" si="182"/>
        <v>0</v>
      </c>
      <c r="AW319" s="182">
        <f t="shared" si="186"/>
        <v>0</v>
      </c>
      <c r="AX319" s="182">
        <f t="shared" si="187"/>
        <v>0</v>
      </c>
      <c r="AY319" s="444">
        <f t="shared" si="188"/>
        <v>0</v>
      </c>
      <c r="AZ319" s="181">
        <f t="shared" si="152"/>
        <v>0</v>
      </c>
      <c r="BA319" s="189">
        <f t="shared" si="153"/>
        <v>0</v>
      </c>
      <c r="BB319" s="105"/>
      <c r="BC319" s="105"/>
      <c r="BD319" s="105"/>
      <c r="BE319" s="105"/>
      <c r="BF319" s="190" t="str">
        <f t="shared" si="154"/>
        <v>-</v>
      </c>
      <c r="BG319" s="190" t="str">
        <f t="shared" si="155"/>
        <v>-</v>
      </c>
      <c r="BH319" s="190" t="str">
        <f t="shared" si="156"/>
        <v>-</v>
      </c>
      <c r="BI319" s="190" t="str">
        <f t="shared" si="157"/>
        <v>-</v>
      </c>
      <c r="BJ319" s="190" t="str">
        <f t="shared" si="158"/>
        <v>-</v>
      </c>
      <c r="BK319" s="391" t="str">
        <f t="shared" si="159"/>
        <v>-</v>
      </c>
      <c r="BL319" s="431"/>
      <c r="BM319" s="431"/>
      <c r="BN319" s="444">
        <f t="shared" si="178"/>
        <v>0</v>
      </c>
    </row>
    <row r="320" spans="1:66">
      <c r="F320" s="767"/>
    </row>
    <row r="327" spans="12:13">
      <c r="L327" s="93"/>
      <c r="M327" s="93"/>
    </row>
    <row r="328" spans="12:13">
      <c r="L328" s="93"/>
      <c r="M328" s="93"/>
    </row>
    <row r="329" spans="12:13">
      <c r="L329" s="93"/>
      <c r="M329" s="93"/>
    </row>
    <row r="330" spans="12:13">
      <c r="L330" s="93"/>
      <c r="M330" s="93"/>
    </row>
    <row r="331" spans="12:13">
      <c r="L331" s="93"/>
      <c r="M331" s="93"/>
    </row>
    <row r="332" spans="12:13">
      <c r="L332" s="93"/>
      <c r="M332" s="93"/>
    </row>
    <row r="333" spans="12:13">
      <c r="L333" s="93"/>
      <c r="M333" s="93"/>
    </row>
    <row r="334" spans="12:13">
      <c r="L334" s="93"/>
      <c r="M334" s="93"/>
    </row>
    <row r="335" spans="12:13">
      <c r="L335" s="93"/>
      <c r="M335" s="93"/>
    </row>
    <row r="336" spans="12:13">
      <c r="L336" s="93"/>
      <c r="M336" s="93"/>
    </row>
    <row r="337" spans="12:13">
      <c r="L337" s="93"/>
      <c r="M337" s="93"/>
    </row>
    <row r="338" spans="12:13">
      <c r="L338" s="93"/>
      <c r="M338" s="93"/>
    </row>
    <row r="339" spans="12:13">
      <c r="L339" s="93"/>
      <c r="M339" s="93"/>
    </row>
    <row r="340" spans="12:13">
      <c r="L340" s="93"/>
      <c r="M340" s="93"/>
    </row>
    <row r="341" spans="12:13">
      <c r="L341" s="93"/>
      <c r="M341" s="93"/>
    </row>
    <row r="342" spans="12:13">
      <c r="L342" s="93"/>
      <c r="M342" s="93"/>
    </row>
    <row r="343" spans="12:13">
      <c r="L343" s="93"/>
      <c r="M343" s="93"/>
    </row>
    <row r="344" spans="12:13">
      <c r="L344" s="93"/>
      <c r="M344" s="93"/>
    </row>
    <row r="345" spans="12:13">
      <c r="L345" s="93"/>
      <c r="M345" s="93"/>
    </row>
    <row r="346" spans="12:13">
      <c r="L346" s="93"/>
      <c r="M346" s="93"/>
    </row>
    <row r="347" spans="12:13">
      <c r="L347" s="93"/>
      <c r="M347" s="93"/>
    </row>
    <row r="348" spans="12:13">
      <c r="L348" s="93"/>
      <c r="M348" s="93"/>
    </row>
    <row r="349" spans="12:13">
      <c r="L349" s="93"/>
      <c r="M349" s="93"/>
    </row>
    <row r="350" spans="12:13">
      <c r="L350" s="93"/>
      <c r="M350" s="93"/>
    </row>
    <row r="351" spans="12:13">
      <c r="L351" s="93"/>
      <c r="M351" s="93"/>
    </row>
    <row r="352" spans="12:13">
      <c r="L352" s="93"/>
      <c r="M352" s="93"/>
    </row>
    <row r="353" spans="12:13">
      <c r="L353" s="93"/>
      <c r="M353" s="93"/>
    </row>
    <row r="354" spans="12:13">
      <c r="L354" s="93"/>
      <c r="M354" s="93"/>
    </row>
    <row r="355" spans="12:13">
      <c r="L355" s="93"/>
      <c r="M355" s="93"/>
    </row>
    <row r="356" spans="12:13">
      <c r="L356" s="93"/>
      <c r="M356" s="93"/>
    </row>
    <row r="357" spans="12:13">
      <c r="L357" s="93"/>
      <c r="M357" s="93"/>
    </row>
    <row r="358" spans="12:13">
      <c r="L358" s="93"/>
      <c r="M358" s="93"/>
    </row>
    <row r="359" spans="12:13">
      <c r="L359" s="93"/>
      <c r="M359" s="93"/>
    </row>
    <row r="360" spans="12:13">
      <c r="L360" s="93"/>
      <c r="M360" s="93"/>
    </row>
    <row r="361" spans="12:13">
      <c r="L361" s="93"/>
      <c r="M361" s="93"/>
    </row>
    <row r="362" spans="12:13">
      <c r="L362" s="93"/>
      <c r="M362" s="93"/>
    </row>
    <row r="363" spans="12:13">
      <c r="L363" s="93"/>
      <c r="M363" s="93"/>
    </row>
    <row r="364" spans="12:13">
      <c r="L364" s="93"/>
      <c r="M364" s="93"/>
    </row>
    <row r="365" spans="12:13">
      <c r="L365" s="93"/>
      <c r="M365" s="93"/>
    </row>
    <row r="366" spans="12:13">
      <c r="L366" s="93"/>
      <c r="M366" s="93"/>
    </row>
    <row r="367" spans="12:13">
      <c r="L367" s="93"/>
      <c r="M367" s="93"/>
    </row>
    <row r="368" spans="12:13">
      <c r="L368" s="93"/>
      <c r="M368" s="93"/>
    </row>
    <row r="369" spans="12:13">
      <c r="L369" s="93"/>
      <c r="M369" s="93"/>
    </row>
    <row r="370" spans="12:13">
      <c r="L370" s="93"/>
      <c r="M370" s="93"/>
    </row>
    <row r="371" spans="12:13">
      <c r="L371" s="93"/>
      <c r="M371" s="93"/>
    </row>
    <row r="372" spans="12:13">
      <c r="L372" s="93"/>
      <c r="M372" s="93"/>
    </row>
    <row r="373" spans="12:13">
      <c r="L373" s="93"/>
      <c r="M373" s="93"/>
    </row>
    <row r="374" spans="12:13">
      <c r="L374" s="93"/>
      <c r="M374" s="93"/>
    </row>
    <row r="375" spans="12:13">
      <c r="L375" s="93"/>
      <c r="M375" s="93"/>
    </row>
    <row r="376" spans="12:13">
      <c r="L376" s="93"/>
      <c r="M376" s="93"/>
    </row>
    <row r="377" spans="12:13">
      <c r="L377" s="93"/>
      <c r="M377" s="93"/>
    </row>
    <row r="378" spans="12:13">
      <c r="L378" s="93"/>
      <c r="M378" s="93"/>
    </row>
    <row r="379" spans="12:13">
      <c r="L379" s="93"/>
      <c r="M379" s="93"/>
    </row>
    <row r="380" spans="12:13">
      <c r="L380" s="93"/>
      <c r="M380" s="93"/>
    </row>
    <row r="381" spans="12:13">
      <c r="L381" s="93"/>
      <c r="M381" s="93"/>
    </row>
    <row r="382" spans="12:13">
      <c r="L382" s="93"/>
      <c r="M382" s="93"/>
    </row>
    <row r="383" spans="12:13">
      <c r="L383" s="93"/>
      <c r="M383" s="93"/>
    </row>
    <row r="384" spans="12:13">
      <c r="L384" s="93"/>
      <c r="M384" s="93"/>
    </row>
    <row r="385" spans="12:13">
      <c r="L385" s="93"/>
      <c r="M385" s="93"/>
    </row>
  </sheetData>
  <mergeCells count="3">
    <mergeCell ref="D1:D4"/>
    <mergeCell ref="A1:C4"/>
    <mergeCell ref="E1:E4"/>
  </mergeCells>
  <conditionalFormatting sqref="G1:BN2">
    <cfRule type="cellIs" dxfId="96" priority="1" operator="between">
      <formula>-0.1</formula>
      <formula>0</formula>
    </cfRule>
    <cfRule type="cellIs" dxfId="95" priority="2" operator="between">
      <formula>0</formula>
      <formula>0.1</formula>
    </cfRule>
    <cfRule type="cellIs" dxfId="94" priority="3" operator="lessThanOrEqual">
      <formula>-0.1</formula>
    </cfRule>
    <cfRule type="cellIs" dxfId="93" priority="4" operator="greaterThanOrEqual">
      <formula>0.1</formula>
    </cfRule>
  </conditionalFormatting>
  <pageMargins left="0.7" right="0.7" top="0.75" bottom="0.75" header="0.3" footer="0.3"/>
  <pageSetup paperSize="9" orientation="portrait"/>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A1:CD318"/>
  <sheetViews>
    <sheetView showGridLines="0" zoomScale="80" zoomScaleNormal="80" workbookViewId="0">
      <pane xSplit="6" ySplit="5" topLeftCell="BM264" activePane="bottomRight" state="frozen"/>
      <selection pane="topRight" activeCell="W230" sqref="W230:AA230"/>
      <selection pane="bottomLeft" activeCell="W230" sqref="W230:AA230"/>
      <selection pane="bottomRight" activeCell="E1" sqref="E1:E3"/>
    </sheetView>
  </sheetViews>
  <sheetFormatPr defaultColWidth="8.42578125" defaultRowHeight="15"/>
  <cols>
    <col min="1" max="1" width="7.42578125" style="78" bestFit="1" customWidth="1"/>
    <col min="2" max="2" width="7" style="78" bestFit="1" customWidth="1"/>
    <col min="3" max="3" width="15.5703125" style="78" customWidth="1"/>
    <col min="4" max="4" width="11" style="78" bestFit="1" customWidth="1"/>
    <col min="5" max="5" width="10.5703125" style="78" bestFit="1" customWidth="1"/>
    <col min="6" max="6" width="13.5703125" style="158" bestFit="1" customWidth="1"/>
    <col min="7" max="7" width="16" style="78" bestFit="1" customWidth="1"/>
    <col min="8" max="9" width="12.42578125" style="78" bestFit="1" customWidth="1"/>
    <col min="10" max="10" width="16" style="78" bestFit="1" customWidth="1"/>
    <col min="11" max="11" width="13.42578125" style="78" bestFit="1" customWidth="1"/>
    <col min="12" max="13" width="12.42578125" style="78" bestFit="1" customWidth="1"/>
    <col min="14" max="14" width="11.5703125" style="78" bestFit="1" customWidth="1"/>
    <col min="15" max="15" width="15.5703125" style="78" bestFit="1" customWidth="1"/>
    <col min="16" max="16" width="12.42578125" style="78" bestFit="1" customWidth="1"/>
    <col min="17" max="17" width="15.5703125" style="78" bestFit="1" customWidth="1"/>
    <col min="18" max="18" width="12.5703125" style="78" customWidth="1"/>
    <col min="19" max="19" width="11.5703125" style="78" bestFit="1" customWidth="1"/>
    <col min="20" max="22" width="13.42578125" style="78" customWidth="1"/>
    <col min="23" max="24" width="17" style="78" customWidth="1"/>
    <col min="25" max="26" width="16" style="78" bestFit="1" customWidth="1"/>
    <col min="27" max="27" width="10.42578125" style="78" bestFit="1" customWidth="1"/>
    <col min="28" max="28" width="15.42578125" style="78" customWidth="1"/>
    <col min="29" max="30" width="12.42578125" style="78" bestFit="1" customWidth="1"/>
    <col min="31" max="31" width="15.42578125" style="78" customWidth="1"/>
    <col min="32" max="32" width="11.42578125" style="78" bestFit="1" customWidth="1"/>
    <col min="33" max="33" width="12.42578125" style="78" bestFit="1" customWidth="1"/>
    <col min="34" max="34" width="15.5703125" style="78" customWidth="1"/>
    <col min="35" max="35" width="13" style="204" customWidth="1"/>
    <col min="36" max="36" width="15.5703125" style="78" customWidth="1"/>
    <col min="37" max="38" width="12.5703125" style="78" bestFit="1" customWidth="1"/>
    <col min="39" max="43" width="15.5703125" style="78" customWidth="1"/>
    <col min="44" max="44" width="11.42578125" style="78" bestFit="1" customWidth="1"/>
    <col min="45" max="45" width="9.42578125" style="78" bestFit="1" customWidth="1"/>
    <col min="46" max="46" width="7.42578125" style="78" bestFit="1" customWidth="1"/>
    <col min="47" max="47" width="7" style="78" bestFit="1" customWidth="1"/>
    <col min="48" max="48" width="13.5703125" style="78" bestFit="1" customWidth="1"/>
    <col min="49" max="49" width="8.5703125" style="78" bestFit="1" customWidth="1"/>
    <col min="50" max="50" width="7.42578125" style="78" bestFit="1" customWidth="1"/>
    <col min="51" max="51" width="10.5703125" style="78" bestFit="1" customWidth="1"/>
    <col min="52" max="52" width="12" style="78" customWidth="1"/>
    <col min="53" max="53" width="9.42578125" style="78" bestFit="1" customWidth="1"/>
    <col min="54" max="54" width="8.42578125" style="78" bestFit="1" customWidth="1"/>
    <col min="55" max="55" width="7" style="78" bestFit="1" customWidth="1"/>
    <col min="56" max="56" width="9.42578125" style="78" bestFit="1" customWidth="1"/>
    <col min="57" max="58" width="9.42578125" style="78" customWidth="1"/>
    <col min="59" max="59" width="11.42578125" style="78" bestFit="1" customWidth="1"/>
    <col min="60" max="60" width="11.42578125" style="78" customWidth="1"/>
    <col min="61" max="61" width="7.5703125" style="78" bestFit="1" customWidth="1"/>
    <col min="62" max="62" width="17.42578125" style="78" bestFit="1" customWidth="1"/>
    <col min="63" max="64" width="13.42578125" style="78" bestFit="1" customWidth="1"/>
    <col min="65" max="66" width="13" style="78" bestFit="1" customWidth="1"/>
    <col min="67" max="67" width="17.42578125" style="78" bestFit="1" customWidth="1"/>
    <col min="68" max="68" width="12.5703125" style="78" customWidth="1"/>
    <col min="69" max="69" width="13.42578125" style="78" bestFit="1" customWidth="1"/>
    <col min="70" max="70" width="12.5703125" style="78" bestFit="1" customWidth="1"/>
    <col min="71" max="71" width="11.42578125" style="78" bestFit="1" customWidth="1"/>
    <col min="72" max="72" width="9.42578125" style="78" bestFit="1" customWidth="1"/>
    <col min="73" max="74" width="8.42578125" style="78" bestFit="1" customWidth="1"/>
    <col min="75" max="75" width="6.5703125" style="78" bestFit="1" customWidth="1"/>
    <col min="76" max="76" width="8.42578125" style="78" bestFit="1" customWidth="1"/>
    <col min="77" max="77" width="19.42578125" style="78" bestFit="1" customWidth="1"/>
    <col min="78" max="78" width="18.42578125" style="78" bestFit="1" customWidth="1"/>
    <col min="79" max="79" width="17.42578125" style="78" bestFit="1" customWidth="1"/>
    <col min="80" max="80" width="9.42578125" style="78" bestFit="1" customWidth="1"/>
    <col min="81" max="81" width="12.42578125" style="78" bestFit="1" customWidth="1"/>
    <col min="82" max="82" width="8.5703125" style="78" bestFit="1" customWidth="1"/>
    <col min="83" max="144" width="8.42578125" style="78" customWidth="1"/>
    <col min="145" max="16384" width="8.42578125" style="78"/>
  </cols>
  <sheetData>
    <row r="1" spans="1:82" ht="18.600000000000001" customHeight="1" thickBot="1">
      <c r="A1" s="979">
        <f>VLOOKUP(E1,E6:F318,2,FALSE)</f>
        <v>202505</v>
      </c>
      <c r="B1" s="980"/>
      <c r="C1" s="980"/>
      <c r="D1" s="976">
        <f>E1-6</f>
        <v>45717</v>
      </c>
      <c r="E1" s="976">
        <f>'Overall Metrics'!E1</f>
        <v>45723</v>
      </c>
      <c r="F1" s="538" t="s">
        <v>162</v>
      </c>
      <c r="G1" s="205">
        <f>IFERROR(VLOOKUP($A$1,$F$6:G318,COLUMNS($F$6:G318),FALSE)/VLOOKUP(($A$1-IF(RIGHT($A$1,2)="01",48,1)),$F$6:G318,COLUMNS($F$6:G318),FALSE)-1,"NA")</f>
        <v>-6.933043220255164E-2</v>
      </c>
      <c r="H1" s="206">
        <f>IFERROR(VLOOKUP($A$1,$F$6:H318,COLUMNS($F$6:H318),FALSE)/VLOOKUP(($A$1-IF(RIGHT($A$1,2)="01",48,1)),$F$6:H318,COLUMNS($F$6:H318),FALSE)-1,"NA")</f>
        <v>-0.23682539682539683</v>
      </c>
      <c r="I1" s="206" t="str">
        <f>IFERROR(VLOOKUP($A$1,$F$6:I318,COLUMNS($F$6:I318),FALSE)/VLOOKUP(($A$1-IF(RIGHT($A$1,2)="01",48,1)),$F$6:I318,COLUMNS($F$6:I318),FALSE)-1,"NA")</f>
        <v>NA</v>
      </c>
      <c r="J1" s="206" t="str">
        <f>IFERROR(VLOOKUP($A$1,$F$6:J318,COLUMNS($F$6:J318),FALSE)/VLOOKUP(($A$1-IF(RIGHT($A$1,2)="01",48,1)),$F$6:J318,COLUMNS($F$6:J318),FALSE)-1,"NA")</f>
        <v>NA</v>
      </c>
      <c r="K1" s="206">
        <f>IFERROR(VLOOKUP($A$1,$F$6:K318,COLUMNS($F$6:K318),FALSE)/VLOOKUP(($A$1-IF(RIGHT($A$1,2)="01",48,1)),$F$6:K318,COLUMNS($F$6:K318),FALSE)-1,"NA")</f>
        <v>-7.8376935397757586E-2</v>
      </c>
      <c r="L1" s="206">
        <f>IFERROR(VLOOKUP($A$1,$F$6:L318,COLUMNS($F$6:L318),FALSE)/VLOOKUP(($A$1-IF(RIGHT($A$1,2)="01",48,1)),$F$6:L318,COLUMNS($F$6:L318),FALSE)-1,"NA")</f>
        <v>0.10508033000434214</v>
      </c>
      <c r="M1" s="206" t="str">
        <f>IFERROR(VLOOKUP($A$1,$F$6:M318,COLUMNS($F$6:M318),FALSE)/VLOOKUP(($A$1-IF(RIGHT($A$1,2)="01",48,1)),$F$6:M318,COLUMNS($F$6:M318),FALSE)-1,"NA")</f>
        <v>NA</v>
      </c>
      <c r="N1" s="206" t="str">
        <f>IFERROR(VLOOKUP($A$1,$F$6:N318,COLUMNS($F$6:N318),FALSE)/VLOOKUP(($A$1-IF(RIGHT($A$1,2)="01",48,1)),$F$6:N318,COLUMNS($F$6:N318),FALSE)-1,"NA")</f>
        <v>NA</v>
      </c>
      <c r="O1" s="206">
        <f>IFERROR(VLOOKUP($A$1,$F$6:O318,COLUMNS($F$6:O318),FALSE)/VLOOKUP(($A$1-IF(RIGHT($A$1,2)="01",48,1)),$F$6:O318,COLUMNS($F$6:O318),FALSE)-1,"NA")</f>
        <v>-5.6069008009858257E-2</v>
      </c>
      <c r="P1" s="206">
        <f>IFERROR(VLOOKUP($A$1,$F$6:P318,COLUMNS($F$6:P318),FALSE)/VLOOKUP(($A$1-IF(RIGHT($A$1,2)="01",48,1)),$F$6:P318,COLUMNS($F$6:P318),FALSE)-1,"NA")</f>
        <v>0.67324955116696583</v>
      </c>
      <c r="Q1" s="206" t="str">
        <f>IFERROR(VLOOKUP($A$1,$F$6:Q318,COLUMNS($F$6:Q318),FALSE)/VLOOKUP(($A$1-IF(RIGHT($A$1,2)="01",48,1)),$F$6:Q318,COLUMNS($F$6:Q318),FALSE)-1,"NA")</f>
        <v>NA</v>
      </c>
      <c r="R1" s="206" t="str">
        <f>IFERROR(VLOOKUP($A$1,$F$6:R318,COLUMNS($F$6:R318),FALSE)/VLOOKUP(($A$1-IF(RIGHT($A$1,2)="01",48,1)),$F$6:R318,COLUMNS($F$6:R318),FALSE)-1,"NA")</f>
        <v>NA</v>
      </c>
      <c r="S1" s="206" t="str">
        <f>IFERROR(VLOOKUP($A$1,$F$6:S318,COLUMNS($F$6:S318),FALSE)/VLOOKUP(($A$1-IF(RIGHT($A$1,2)="01",48,1)),$F$6:S318,COLUMNS($F$6:S318),FALSE)-1,"NA")</f>
        <v>NA</v>
      </c>
      <c r="T1" s="206" t="str">
        <f>IFERROR(VLOOKUP($A$1,$F$6:T318,COLUMNS($F$6:T318),FALSE)/VLOOKUP(($A$1-IF(RIGHT($A$1,2)="01",48,1)),$F$6:T318,COLUMNS($F$6:T318),FALSE)-1,"NA")</f>
        <v>NA</v>
      </c>
      <c r="U1" s="206" t="str">
        <f>IFERROR(VLOOKUP($A$1,$F$6:U318,COLUMNS($F$6:U318),FALSE)/VLOOKUP(($A$1-IF(RIGHT($A$1,2)="01",48,1)),$F$6:U318,COLUMNS($F$6:U318),FALSE)-1,"NA")</f>
        <v>NA</v>
      </c>
      <c r="V1" s="206" t="str">
        <f>IFERROR(VLOOKUP($A$1,$F$6:V318,COLUMNS($F$6:V318),FALSE)/VLOOKUP(($A$1-IF(RIGHT($A$1,2)="01",48,1)),$F$6:V318,COLUMNS($F$6:V318),FALSE)-1,"NA")</f>
        <v>NA</v>
      </c>
      <c r="W1" s="206" t="str">
        <f>IFERROR(VLOOKUP($A$1,$F$6:W318,COLUMNS($F$6:W318),FALSE)/VLOOKUP(($A$1-IF(RIGHT($A$1,2)="01",48,1)),$F$6:W318,COLUMNS($F$6:W318),FALSE)-1,"NA")</f>
        <v>NA</v>
      </c>
      <c r="X1" s="206" t="str">
        <f>IFERROR(VLOOKUP($A$1,$F$6:X318,COLUMNS($F$6:X318),FALSE)/VLOOKUP(($A$1-IF(RIGHT($A$1,2)="01",48,1)),$F$6:X318,COLUMNS($F$6:X318),FALSE)-1,"NA")</f>
        <v>NA</v>
      </c>
      <c r="Y1" s="206">
        <f>IFERROR(VLOOKUP($A$1,$F$6:Y318,COLUMNS($F$6:Y318),FALSE)/VLOOKUP(($A$1-IF(RIGHT($A$1,2)="01",48,1)),$F$6:Y318,COLUMNS($F$6:Y318),FALSE)-1,"NA")</f>
        <v>0.12931912033035586</v>
      </c>
      <c r="Z1" s="206">
        <f>IFERROR(VLOOKUP($A$1,$F$6:Z318,COLUMNS($F$6:Z318),FALSE)/VLOOKUP(($A$1-IF(RIGHT($A$1,2)="01",48,1)),$F$6:Z318,COLUMNS($F$6:Z318),FALSE)-1,"NA")</f>
        <v>0.12931912033035631</v>
      </c>
      <c r="AA1" s="207">
        <f>IFERROR(VLOOKUP($A$1,$F$6:AA318,COLUMNS($F$6:AA318),FALSE)/VLOOKUP(($A$1-IF(RIGHT($A$1,2)="01",48,1)),$F$6:AA318,COLUMNS($F$6:AA318),FALSE)-1,"NA")</f>
        <v>0.12931912033035631</v>
      </c>
      <c r="AB1" s="205">
        <f>IFERROR(VLOOKUP($A$1,$F$6:AB318,COLUMNS($F$6:AB318),FALSE)/VLOOKUP(($A$1-IF(RIGHT($A$1,2)="01",48,1)),$F$6:AB318,COLUMNS($F$6:AB318),FALSE)-1,"NA")</f>
        <v>-0.16265671544076732</v>
      </c>
      <c r="AC1" s="206">
        <f>IFERROR(VLOOKUP($A$1,$F$6:AC318,COLUMNS($F$6:AC318),FALSE)/VLOOKUP(($A$1-IF(RIGHT($A$1,2)="01",48,1)),$F$6:AC318,COLUMNS($F$6:AC318),FALSE)-1,"NA")</f>
        <v>-2.8819084308786436E-2</v>
      </c>
      <c r="AD1" s="206">
        <f>IFERROR(VLOOKUP($A$1,$F$6:AD318,COLUMNS($F$6:AD318),FALSE)/VLOOKUP(($A$1-IF(RIGHT($A$1,2)="01",48,1)),$F$6:AD318,COLUMNS($F$6:AD318),FALSE)-1,"NA")</f>
        <v>7.2720223158030839E-2</v>
      </c>
      <c r="AE1" s="206">
        <f>IFERROR(VLOOKUP($A$1,$F$6:AE318,COLUMNS($F$6:AE318),FALSE)/VLOOKUP(($A$1-IF(RIGHT($A$1,2)="01",48,1)),$F$6:AE318,COLUMNS($F$6:AE318),FALSE)-1,"NA")</f>
        <v>-2.2065436501783275E-2</v>
      </c>
      <c r="AF1" s="206">
        <f>IFERROR(VLOOKUP($A$1,$F$6:AF318,COLUMNS($F$6:AF318),FALSE)/VLOOKUP(($A$1-IF(RIGHT($A$1,2)="01",48,1)),$F$6:AF318,COLUMNS($F$6:AF318),FALSE)-1,"NA")</f>
        <v>-5.7613734334586941E-2</v>
      </c>
      <c r="AG1" s="206">
        <f>IFERROR(VLOOKUP($A$1,$F$6:AG318,COLUMNS($F$6:AG318),FALSE)/VLOOKUP(($A$1-IF(RIGHT($A$1,2)="01",48,1)),$F$6:AG318,COLUMNS($F$6:AG318),FALSE)-1,"NA")</f>
        <v>0.17147110748069871</v>
      </c>
      <c r="AH1" s="206">
        <f>IFERROR(VLOOKUP($A$1,$F$6:AH318,COLUMNS($F$6:AH318),FALSE)/VLOOKUP(($A$1-IF(RIGHT($A$1,2)="01",48,1)),$F$6:AH318,COLUMNS($F$6:AH318),FALSE)-1,"NA")</f>
        <v>-0.17309153412133971</v>
      </c>
      <c r="AI1" s="206">
        <f>IFERROR(VLOOKUP($A$1,$F$6:AI318,COLUMNS($F$6:AI318),FALSE)/VLOOKUP(($A$1-IF(RIGHT($A$1,2)="01",48,1)),$F$6:AI318,COLUMNS($F$6:AI318),FALSE)-1,"NA")</f>
        <v>-0.30534877485092637</v>
      </c>
      <c r="AJ1" s="206">
        <f>IFERROR(VLOOKUP($A$1,$F$6:AJ318,COLUMNS($F$6:AJ318),FALSE)/VLOOKUP(($A$1-IF(RIGHT($A$1,2)="01",48,1)),$F$6:AJ318,COLUMNS($F$6:AJ318),FALSE)-1,"NA")</f>
        <v>-0.13051924881388188</v>
      </c>
      <c r="AK1" s="206">
        <f>IFERROR(VLOOKUP($A$1,$F$6:AK318,COLUMNS($F$6:AK318),FALSE)/VLOOKUP(($A$1-IF(RIGHT($A$1,2)="01",48,1)),$F$6:AK318,COLUMNS($F$6:AK318),FALSE)-1,"NA")</f>
        <v>0.50702066723430605</v>
      </c>
      <c r="AL1" s="206">
        <f>IFERROR(VLOOKUP($A$1,$F$6:AL318,COLUMNS($F$6:AL318),FALSE)/VLOOKUP(($A$1-IF(RIGHT($A$1,2)="01",48,1)),$F$6:AL318,COLUMNS($F$6:AL318),FALSE)-1,"NA")</f>
        <v>7.5709402636861878E-2</v>
      </c>
      <c r="AM1" s="206">
        <f>IFERROR(VLOOKUP($A$1,$F$6:AM318,COLUMNS($F$6:AM318),FALSE)/VLOOKUP(($A$1-IF(RIGHT($A$1,2)="01",48,1)),$F$6:AM318,COLUMNS($F$6:AM318),FALSE)-1,"NA")</f>
        <v>-0.30304596827327557</v>
      </c>
      <c r="AN1" s="206">
        <f>IFERROR(VLOOKUP($A$1,$F$6:AN318,COLUMNS($F$6:AN318),FALSE)/VLOOKUP(($A$1-IF(RIGHT($A$1,2)="01",48,1)),$F$6:AN318,COLUMNS($F$6:AN318),FALSE)-1,"NA")</f>
        <v>0.12364665879440606</v>
      </c>
      <c r="AO1" s="206">
        <f>IFERROR(VLOOKUP($A$1,$F$6:AO318,COLUMNS($F$6:AO318),FALSE)/VLOOKUP(($A$1-IF(RIGHT($A$1,2)="01",48,1)),$F$6:AO318,COLUMNS($F$6:AO318),FALSE)-1,"NA")</f>
        <v>-0.20220788495757325</v>
      </c>
      <c r="AP1" s="206">
        <f>IFERROR(VLOOKUP($A$1,$F$6:AP318,COLUMNS($F$6:AP318),FALSE)/VLOOKUP(($A$1-IF(RIGHT($A$1,2)="01",48,1)),$F$6:AP318,COLUMNS($F$6:AP318),FALSE)-1,"NA")</f>
        <v>-5.3424399237392839E-2</v>
      </c>
      <c r="AQ1" s="206">
        <f>IFERROR(VLOOKUP($A$1,$F$6:AQ318,COLUMNS($F$6:AQ318),FALSE)/VLOOKUP(($A$1-IF(RIGHT($A$1,2)="01",48,1)),$F$6:AQ318,COLUMNS($F$6:AQ318),FALSE)-1,"NA")</f>
        <v>-0.25762055999707956</v>
      </c>
      <c r="AR1" s="207">
        <f>IFERROR(VLOOKUP($A$1,$F$6:AR318,COLUMNS($F$6:AR318),FALSE)/VLOOKUP(($A$1-IF(RIGHT($A$1,2)="01",48,1)),$F$6:AR318,COLUMNS($F$6:AR318),FALSE)-1,"NA")</f>
        <v>-5.853266121088363E-2</v>
      </c>
      <c r="AS1" s="205">
        <f>IFERROR(VLOOKUP($A$1,$F$6:AS318,COLUMNS($F$6:AS318),FALSE)/VLOOKUP(($A$1-IF(RIGHT($A$1,2)="01",48,1)),$F$6:AS318,COLUMNS($F$6:AS318),FALSE)-1,"NA")</f>
        <v>-0.10027864503948969</v>
      </c>
      <c r="AT1" s="206">
        <f>IFERROR(VLOOKUP($A$1,$F$6:AT318,COLUMNS($F$6:AT318),FALSE)/VLOOKUP(($A$1-IF(RIGHT($A$1,2)="01",48,1)),$F$6:AT318,COLUMNS($F$6:AT318),FALSE)-1,"NA")</f>
        <v>0.27255402846394428</v>
      </c>
      <c r="AU1" s="206" t="str">
        <f>IFERROR(VLOOKUP($A$1,$F$6:AU318,COLUMNS($F$6:AU318),FALSE)/VLOOKUP(($A$1-IF(RIGHT($A$1,2)="01",48,1)),$F$6:AU318,COLUMNS($F$6:AU318),FALSE)-1,"NA")</f>
        <v>NA</v>
      </c>
      <c r="AV1" s="206" t="str">
        <f>IFERROR(VLOOKUP($A$1,$F$6:AV318,COLUMNS($F$6:AV318),FALSE)/VLOOKUP(($A$1-IF(RIGHT($A$1,2)="01",48,1)),$F$6:AV318,COLUMNS($F$6:AV318),FALSE)-1,"NA")</f>
        <v>NA</v>
      </c>
      <c r="AW1" s="206">
        <f>IFERROR(VLOOKUP($A$1,$F$6:AW318,COLUMNS($F$6:AW318),FALSE)/VLOOKUP(($A$1-IF(RIGHT($A$1,2)="01",48,1)),$F$6:AW318,COLUMNS($F$6:AW318),FALSE)-1,"NA")</f>
        <v>2.2528951217309023E-2</v>
      </c>
      <c r="AX1" s="206">
        <f>IFERROR(VLOOKUP($A$1,$F$6:AX318,COLUMNS($F$6:AX318),FALSE)/VLOOKUP(($A$1-IF(RIGHT($A$1,2)="01",48,1)),$F$6:AX318,COLUMNS($F$6:AX318),FALSE)-1,"NA")</f>
        <v>6.0077784097465337E-2</v>
      </c>
      <c r="AY1" s="206">
        <f>IFERROR(VLOOKUP($A$1,$F$6:AY318,COLUMNS($F$6:AY318),FALSE)/VLOOKUP(($A$1-IF(RIGHT($A$1,2)="01",48,1)),$F$6:AY318,COLUMNS($F$6:AY318),FALSE)-1,"NA")</f>
        <v>-0.12397360305413474</v>
      </c>
      <c r="AZ1" s="206">
        <f>IFERROR(VLOOKUP($A$1,$F$6:AZ318,COLUMNS($F$6:AZ318),FALSE)/VLOOKUP(($A$1-IF(RIGHT($A$1,2)="01",48,1)),$F$6:AZ318,COLUMNS($F$6:AZ318),FALSE)-1,"NA")</f>
        <v>-0.58484899956219527</v>
      </c>
      <c r="BA1" s="206" t="str">
        <f>IFERROR(VLOOKUP($A$1,$F$6:BA318,COLUMNS($F$6:BA318),FALSE)/VLOOKUP(($A$1-IF(RIGHT($A$1,2)="01",48,1)),$F$6:BA318,COLUMNS($F$6:BA318),FALSE)-1,"NA")</f>
        <v>NA</v>
      </c>
      <c r="BB1" s="206" t="str">
        <f>IFERROR(VLOOKUP($A$1,$F$6:BB318,COLUMNS($F$6:BB318),FALSE)/VLOOKUP(($A$1-IF(RIGHT($A$1,2)="01",48,1)),$F$6:BB318,COLUMNS($F$6:BB318),FALSE)-1,"NA")</f>
        <v>NA</v>
      </c>
      <c r="BC1" s="206" t="str">
        <f>IFERROR(VLOOKUP($A$1,$F$6:BC318,COLUMNS($F$6:BC318),FALSE)/VLOOKUP(($A$1-IF(RIGHT($A$1,2)="01",48,1)),$F$6:BC318,COLUMNS($F$6:BC318),FALSE)-1,"NA")</f>
        <v>NA</v>
      </c>
      <c r="BD1" s="206" t="str">
        <f>IFERROR(VLOOKUP($A$1,$F$6:BD318,COLUMNS($F$6:BD318),FALSE)/VLOOKUP(($A$1-IF(RIGHT($A$1,2)="01",48,1)),$F$6:BD318,COLUMNS($F$6:BD318),FALSE)-1,"NA")</f>
        <v>NA</v>
      </c>
      <c r="BE1" s="206" t="str">
        <f>IFERROR(VLOOKUP($A$1,$F$6:BE318,COLUMNS($F$6:BE318),FALSE)/VLOOKUP(($A$1-IF(RIGHT($A$1,2)="01",48,1)),$F$6:BE318,COLUMNS($F$6:BE318),FALSE)-1,"NA")</f>
        <v>NA</v>
      </c>
      <c r="BF1" s="206" t="str">
        <f>IFERROR(VLOOKUP($A$1,$F$6:BF318,COLUMNS($F$6:BF318),FALSE)/VLOOKUP(($A$1-IF(RIGHT($A$1,2)="01",48,1)),$F$6:BF318,COLUMNS($F$6:BF318),FALSE)-1,"NA")</f>
        <v>NA</v>
      </c>
      <c r="BG1" s="206" t="str">
        <f>IFERROR(VLOOKUP($A$1,$F$6:BG318,COLUMNS($F$6:BG318),FALSE)/VLOOKUP(($A$1-IF(RIGHT($A$1,2)="01",48,1)),$F$6:BG318,COLUMNS($F$6:BG318),FALSE)-1,"NA")</f>
        <v>NA</v>
      </c>
      <c r="BH1" s="206" t="str">
        <f>IFERROR(VLOOKUP($A$1,$F$6:BH318,COLUMNS($F$6:BH318),FALSE)/VLOOKUP(($A$1-IF(RIGHT($A$1,2)="01",48,1)),$F$6:BH318,COLUMNS($F$6:BH318),FALSE)-1,"NA")</f>
        <v>NA</v>
      </c>
      <c r="BI1" s="207">
        <f>IFERROR(VLOOKUP($A$1,$F$6:BI318,COLUMNS($F$6:BI318),FALSE)/VLOOKUP(($A$1-IF(RIGHT($A$1,2)="01",48,1)),$F$6:BI318,COLUMNS($F$6:BI318),FALSE)-1,"NA")</f>
        <v>-0.16634074298351409</v>
      </c>
      <c r="BJ1" s="205">
        <f>IFERROR(VLOOKUP($A$1,$F$6:BJ318,COLUMNS($F$6:BJ318),FALSE)/VLOOKUP(($A$1-IF(RIGHT($A$1,2)="01",48,1)),$F$6:BJ318,COLUMNS($F$6:BJ318),FALSE)-1,"NA")</f>
        <v>-4.8786563972679553E-2</v>
      </c>
      <c r="BK1" s="206">
        <f>IFERROR(VLOOKUP($A$1,$F$6:BK318,COLUMNS($F$6:BK318),FALSE)/VLOOKUP(($A$1-IF(RIGHT($A$1,2)="01",48,1)),$F$6:BK318,COLUMNS($F$6:BK318),FALSE)-1,"NA")</f>
        <v>-2.0613971027578781E-3</v>
      </c>
      <c r="BL1" s="206">
        <f>IFERROR(VLOOKUP($A$1,$F$6:BL318,COLUMNS($F$6:BL318),FALSE)/VLOOKUP(($A$1-IF(RIGHT($A$1,2)="01",48,1)),$F$6:BL318,COLUMNS($F$6:BL318),FALSE)-1,"NA")</f>
        <v>2.2123555079231361E-2</v>
      </c>
      <c r="BM1" s="206">
        <f>IFERROR(VLOOKUP($A$1,$F$6:BM318,COLUMNS($F$6:BM318),FALSE)/VLOOKUP(($A$1-IF(RIGHT($A$1,2)="01",48,1)),$F$6:BM318,COLUMNS($F$6:BM318),FALSE)-1,"NA")</f>
        <v>0.27027440579414463</v>
      </c>
      <c r="BN1" s="207">
        <f>IFERROR(VLOOKUP($A$1,$F$6:BN318,COLUMNS($F$6:BN318),FALSE)/VLOOKUP(($A$1-IF(RIGHT($A$1,2)="01",48,1)),$F$6:BN318,COLUMNS($F$6:BN318),FALSE)-1,"NA")</f>
        <v>1.6848978770861445E-2</v>
      </c>
      <c r="BO1" s="205">
        <f>IFERROR(VLOOKUP($A$1,$F$6:BO318,COLUMNS($F$6:BO318),FALSE)/VLOOKUP(($A$1-IF(RIGHT($A$1,2)="01",48,1)),$F$6:BO318,COLUMNS($F$6:BO318),FALSE)-1,"NA")</f>
        <v>-0.20051336565635614</v>
      </c>
      <c r="BP1" s="206">
        <f>IFERROR(VLOOKUP($A$1,$F$6:BP318,COLUMNS($F$6:BP318),FALSE)/VLOOKUP(($A$1-IF(RIGHT($A$1,2)="01",48,1)),$F$6:BP318,COLUMNS($F$6:BP318),FALSE)-1,"NA")</f>
        <v>-4.2814278030967046E-4</v>
      </c>
      <c r="BQ1" s="206">
        <f>IFERROR(VLOOKUP($A$1,$F$6:BQ318,COLUMNS($F$6:BQ318),FALSE)/VLOOKUP(($A$1-IF(RIGHT($A$1,2)="01",48,1)),$F$6:BQ318,COLUMNS($F$6:BQ318),FALSE)-1,"NA")</f>
        <v>-4.6486216477787168E-2</v>
      </c>
      <c r="BR1" s="206">
        <f>IFERROR(VLOOKUP($A$1,$F$6:BR318,COLUMNS($F$6:BR318),FALSE)/VLOOKUP(($A$1-IF(RIGHT($A$1,2)="01",48,1)),$F$6:BR318,COLUMNS($F$6:BR318),FALSE)-1,"NA")</f>
        <v>-0.22025334075723835</v>
      </c>
      <c r="BS1" s="207">
        <f>IFERROR(VLOOKUP($A$1,$F$6:BS318,COLUMNS($F$6:BS318),FALSE)/VLOOKUP(($A$1-IF(RIGHT($A$1,2)="01",48,1)),$F$6:BS318,COLUMNS($F$6:BS318),FALSE)-1,"NA")</f>
        <v>-9.4199354556948944E-2</v>
      </c>
      <c r="BT1" s="205">
        <f>IFERROR(VLOOKUP($A$1,$F$6:BT318,COLUMNS($F$6:BT318),FALSE)/VLOOKUP(($A$1-IF(RIGHT($A$1,2)="01",48,1)),$F$6:BT318,COLUMNS($F$6:BT318),FALSE)-1,"NA")</f>
        <v>-0.15950868221264147</v>
      </c>
      <c r="BU1" s="206">
        <f>IFERROR(VLOOKUP($A$1,$F$6:BU318,COLUMNS($F$6:BU318),FALSE)/VLOOKUP(($A$1-IF(RIGHT($A$1,2)="01",48,1)),$F$6:BU318,COLUMNS($F$6:BU318),FALSE)-1,"NA")</f>
        <v>1.6366280627950758E-3</v>
      </c>
      <c r="BV1" s="206">
        <f>IFERROR(VLOOKUP($A$1,$F$6:BV318,COLUMNS($F$6:BV318),FALSE)/VLOOKUP(($A$1-IF(RIGHT($A$1,2)="01",48,1)),$F$6:BV318,COLUMNS($F$6:BV318),FALSE)-1,"NA")</f>
        <v>-6.7124733811364079E-2</v>
      </c>
      <c r="BW1" s="206">
        <f>IFERROR(VLOOKUP($A$1,$F$6:BW318,COLUMNS($F$6:BW318),FALSE)/VLOOKUP(($A$1-IF(RIGHT($A$1,2)="01",48,1)),$F$6:BW318,COLUMNS($F$6:BW318),FALSE)-1,"NA")</f>
        <v>-0.3861588837135681</v>
      </c>
      <c r="BX1" s="207">
        <f>IFERROR(VLOOKUP($A$1,$F$6:BX318,COLUMNS($F$6:BX318),FALSE)/VLOOKUP(($A$1-IF(RIGHT($A$1,2)="01",48,1)),$F$6:BX318,COLUMNS($F$6:BX318),FALSE)-1,"NA")</f>
        <v>-0.10920828524806359</v>
      </c>
      <c r="BY1" s="205">
        <f>IFERROR(VLOOKUP($A$1,$F$6:BY318,COLUMNS($F$6:BY318),FALSE)/VLOOKUP(($A$1-IF(RIGHT($A$1,2)="01",48,1)),$F$6:BY318,COLUMNS($F$6:BY318),FALSE)-1,"NA")</f>
        <v>-0.11088125298927609</v>
      </c>
      <c r="BZ1" s="206">
        <f>IFERROR(VLOOKUP($A$1,$F$6:BZ318,COLUMNS($F$6:BZ318),FALSE)/VLOOKUP(($A$1-IF(RIGHT($A$1,2)="01",48,1)),$F$6:BZ318,COLUMNS($F$6:BZ318),FALSE)-1,"NA")</f>
        <v>6.9643655012983086E-3</v>
      </c>
      <c r="CA1" s="207">
        <f>IFERROR(VLOOKUP($A$1,$F$6:CA318,COLUMNS($F$6:CA318),FALSE)/VLOOKUP(($A$1-IF(RIGHT($A$1,2)="01",48,1)),$F$6:CA318,COLUMNS($F$6:CA318),FALSE)-1,"NA")</f>
        <v>-3.54294716985043E-2</v>
      </c>
      <c r="CB1" s="205">
        <f>IFERROR(VLOOKUP($A$1,$F$6:CB318,COLUMNS($F$6:CB318),FALSE)/VLOOKUP(($A$1-IF(RIGHT($A$1,2)="01",48,1)),$F$6:CB318,COLUMNS($F$6:CB318),FALSE)-1,"NA")</f>
        <v>-0.10081005823848532</v>
      </c>
      <c r="CC1" s="206">
        <f>IFERROR(VLOOKUP($A$1,$F$6:CC318,COLUMNS($F$6:CC318),FALSE)/VLOOKUP(($A$1-IF(RIGHT($A$1,2)="01",48,1)),$F$6:CC318,COLUMNS($F$6:CC318),FALSE)-1,"NA")</f>
        <v>-7.3413802264271633E-3</v>
      </c>
      <c r="CD1" s="207">
        <f>IFERROR(VLOOKUP($A$1,$F$6:CD318,COLUMNS($F$6:CD318),FALSE)/VLOOKUP(($A$1-IF(RIGHT($A$1,2)="01",48,1)),$F$6:CD318,COLUMNS($F$6:CD318),FALSE)-1,"NA")</f>
        <v>-6.0928549166780033E-2</v>
      </c>
    </row>
    <row r="2" spans="1:82" ht="18.600000000000001" customHeight="1">
      <c r="A2" s="981"/>
      <c r="B2" s="986"/>
      <c r="C2" s="986"/>
      <c r="D2" s="986"/>
      <c r="E2" s="986"/>
      <c r="F2" s="537" t="s">
        <v>233</v>
      </c>
      <c r="G2" s="208">
        <f>IFERROR(VLOOKUP($A$1,$F$6:G318,COLUMNS($F$6:G318),FALSE)-VLOOKUP(($A$1-IF(RIGHT($A$1,2)="01",48,1)),$F$6:G318,COLUMNS($F$6:G318),FALSE),"NA")</f>
        <v>-701</v>
      </c>
      <c r="H2" s="779">
        <f>IFERROR(VLOOKUP($A$1,$F$6:H318,COLUMNS($F$6:H318),FALSE)-VLOOKUP(($A$1-IF(RIGHT($A$1,2)="01",48,1)),$F$6:H318,COLUMNS($F$6:H318),FALSE),"NA")</f>
        <v>-3357</v>
      </c>
      <c r="I2" s="779">
        <f>IFERROR(VLOOKUP($A$1,$F$6:I318,COLUMNS($F$6:I318),FALSE)-VLOOKUP(($A$1-IF(RIGHT($A$1,2)="01",48,1)),$F$6:I318,COLUMNS($F$6:I318),FALSE),"NA")</f>
        <v>0</v>
      </c>
      <c r="J2" s="779">
        <f>IFERROR(VLOOKUP($A$1,$F$6:J318,COLUMNS($F$6:J318),FALSE)-VLOOKUP(($A$1-IF(RIGHT($A$1,2)="01",48,1)),$F$6:J318,COLUMNS($F$6:J318),FALSE),"NA")</f>
        <v>0</v>
      </c>
      <c r="K2" s="779">
        <f>IFERROR(VLOOKUP($A$1,$F$6:K318,COLUMNS($F$6:K318),FALSE)-VLOOKUP(($A$1-IF(RIGHT($A$1,2)="01",48,1)),$F$6:K318,COLUMNS($F$6:K318),FALSE),"NA")</f>
        <v>-734</v>
      </c>
      <c r="L2" s="779">
        <f>IFERROR(VLOOKUP($A$1,$F$6:L318,COLUMNS($F$6:L318),FALSE)-VLOOKUP(($A$1-IF(RIGHT($A$1,2)="01",48,1)),$F$6:L318,COLUMNS($F$6:L318),FALSE),"NA")</f>
        <v>726</v>
      </c>
      <c r="M2" s="779">
        <f>IFERROR(VLOOKUP($A$1,$F$6:M318,COLUMNS($F$6:M318),FALSE)-VLOOKUP(($A$1-IF(RIGHT($A$1,2)="01",48,1)),$F$6:M318,COLUMNS($F$6:M318),FALSE),"NA")</f>
        <v>0</v>
      </c>
      <c r="N2" s="779">
        <f>IFERROR(VLOOKUP($A$1,$F$6:N318,COLUMNS($F$6:N318),FALSE)-VLOOKUP(($A$1-IF(RIGHT($A$1,2)="01",48,1)),$F$6:N318,COLUMNS($F$6:N318),FALSE),"NA")</f>
        <v>0</v>
      </c>
      <c r="O2" s="779">
        <f>IFERROR(VLOOKUP($A$1,$F$6:O318,COLUMNS($F$6:O318),FALSE)-VLOOKUP(($A$1-IF(RIGHT($A$1,2)="01",48,1)),$F$6:O318,COLUMNS($F$6:O318),FALSE),"NA")</f>
        <v>-364</v>
      </c>
      <c r="P2" s="779">
        <f>IFERROR(VLOOKUP($A$1,$F$6:P318,COLUMNS($F$6:P318),FALSE)-VLOOKUP(($A$1-IF(RIGHT($A$1,2)="01",48,1)),$F$6:P318,COLUMNS($F$6:P318),FALSE),"NA")</f>
        <v>3375</v>
      </c>
      <c r="Q2" s="779">
        <f>IFERROR(VLOOKUP($A$1,$F$6:Q318,COLUMNS($F$6:Q318),FALSE)-VLOOKUP(($A$1-IF(RIGHT($A$1,2)="01",48,1)),$F$6:Q318,COLUMNS($F$6:Q318),FALSE),"NA")</f>
        <v>0</v>
      </c>
      <c r="R2" s="779">
        <f>IFERROR(VLOOKUP($A$1,$F$6:R318,COLUMNS($F$6:R318),FALSE)-VLOOKUP(($A$1-IF(RIGHT($A$1,2)="01",48,1)),$F$6:R318,COLUMNS($F$6:R318),FALSE),"NA")</f>
        <v>0</v>
      </c>
      <c r="S2" s="779">
        <f>IFERROR(VLOOKUP($A$1,$F$6:S318,COLUMNS($F$6:S318),FALSE)-VLOOKUP(($A$1-IF(RIGHT($A$1,2)="01",48,1)),$F$6:S318,COLUMNS($F$6:S318),FALSE),"NA")</f>
        <v>0</v>
      </c>
      <c r="T2" s="779">
        <f>IFERROR(VLOOKUP($A$1,$F$6:T318,COLUMNS($F$6:T318),FALSE)-VLOOKUP(($A$1-IF(RIGHT($A$1,2)="01",48,1)),$F$6:T318,COLUMNS($F$6:T318),FALSE),"NA")</f>
        <v>0</v>
      </c>
      <c r="U2" s="779">
        <f>IFERROR(VLOOKUP($A$1,$F$6:U318,COLUMNS($F$6:U318),FALSE)-VLOOKUP(($A$1-IF(RIGHT($A$1,2)="01",48,1)),$F$6:U318,COLUMNS($F$6:U318),FALSE),"NA")</f>
        <v>0</v>
      </c>
      <c r="V2" s="779">
        <f>IFERROR(VLOOKUP($A$1,$F$6:V318,COLUMNS($F$6:V318),FALSE)-VLOOKUP(($A$1-IF(RIGHT($A$1,2)="01",48,1)),$F$6:V318,COLUMNS($F$6:V318),FALSE),"NA")</f>
        <v>0</v>
      </c>
      <c r="W2" s="779">
        <f>IFERROR(VLOOKUP($A$1,$F$6:W318,COLUMNS($F$6:W318),FALSE)-VLOOKUP(($A$1-IF(RIGHT($A$1,2)="01",48,1)),$F$6:W318,COLUMNS($F$6:W318),FALSE),"NA")</f>
        <v>0</v>
      </c>
      <c r="X2" s="779">
        <f>IFERROR(VLOOKUP($A$1,$F$6:X318,COLUMNS($F$6:X318),FALSE)-VLOOKUP(($A$1-IF(RIGHT($A$1,2)="01",48,1)),$F$6:X318,COLUMNS($F$6:X318),FALSE),"NA")</f>
        <v>7788</v>
      </c>
      <c r="Y2" s="779">
        <f>IFERROR(VLOOKUP($A$1,$F$6:Y318,COLUMNS($F$6:Y318),FALSE)-VLOOKUP(($A$1-IF(RIGHT($A$1,2)="01",48,1)),$F$6:Y318,COLUMNS($F$6:Y318),FALSE),"NA")</f>
        <v>2019.8999999999942</v>
      </c>
      <c r="Z2" s="779">
        <f>IFERROR(VLOOKUP($A$1,$F$6:Z318,COLUMNS($F$6:Z318),FALSE)-VLOOKUP(($A$1-IF(RIGHT($A$1,2)="01",48,1)),$F$6:Z318,COLUMNS($F$6:Z318),FALSE),"NA")</f>
        <v>6733</v>
      </c>
      <c r="AA2" s="779">
        <f>IFERROR(VLOOKUP($A$1,$F$6:AA318,COLUMNS($F$6:AA318),FALSE)-VLOOKUP(($A$1-IF(RIGHT($A$1,2)="01",48,1)),$F$6:AA318,COLUMNS($F$6:AA318),FALSE),"NA")</f>
        <v>8752.8999999999942</v>
      </c>
      <c r="AB2" s="208">
        <f>IFERROR(VLOOKUP($A$1,$F$6:AB318,COLUMNS($F$6:AB318),FALSE)-VLOOKUP(($A$1-IF(RIGHT($A$1,2)="01",48,1)),$F$6:AB318,COLUMNS($F$6:AB318),FALSE),"NA")</f>
        <v>-14907</v>
      </c>
      <c r="AC2" s="779">
        <f>IFERROR(VLOOKUP($A$1,$F$6:AC318,COLUMNS($F$6:AC318),FALSE)-VLOOKUP(($A$1-IF(RIGHT($A$1,2)="01",48,1)),$F$6:AC318,COLUMNS($F$6:AC318),FALSE),"NA")</f>
        <v>-1556</v>
      </c>
      <c r="AD2" s="779">
        <f>IFERROR(VLOOKUP($A$1,$F$6:AD318,COLUMNS($F$6:AD318),FALSE)-VLOOKUP(($A$1-IF(RIGHT($A$1,2)="01",48,1)),$F$6:AD318,COLUMNS($F$6:AD318),FALSE),"NA")</f>
        <v>6752</v>
      </c>
      <c r="AE2" s="779">
        <f>IFERROR(VLOOKUP($A$1,$F$6:AE318,COLUMNS($F$6:AE318),FALSE)-VLOOKUP(($A$1-IF(RIGHT($A$1,2)="01",48,1)),$F$6:AE318,COLUMNS($F$6:AE318),FALSE),"NA")</f>
        <v>-1423</v>
      </c>
      <c r="AF2" s="779">
        <f>IFERROR(VLOOKUP($A$1,$F$6:AF318,COLUMNS($F$6:AF318),FALSE)-VLOOKUP(($A$1-IF(RIGHT($A$1,2)="01",48,1)),$F$6:AF318,COLUMNS($F$6:AF318),FALSE),"NA")</f>
        <v>-4611</v>
      </c>
      <c r="AG2" s="779">
        <f>IFERROR(VLOOKUP($A$1,$F$6:AG318,COLUMNS($F$6:AG318),FALSE)-VLOOKUP(($A$1-IF(RIGHT($A$1,2)="01",48,1)),$F$6:AG318,COLUMNS($F$6:AG318),FALSE),"NA")</f>
        <v>13015</v>
      </c>
      <c r="AH2" s="779">
        <f>IFERROR(VLOOKUP($A$1,$F$6:AH318,COLUMNS($F$6:AH318),FALSE)-VLOOKUP(($A$1-IF(RIGHT($A$1,2)="01",48,1)),$F$6:AH318,COLUMNS($F$6:AH318),FALSE),"NA")</f>
        <v>-13897</v>
      </c>
      <c r="AI2" s="779">
        <f>IFERROR(VLOOKUP($A$1,$F$6:AI318,COLUMNS($F$6:AI318),FALSE)-VLOOKUP(($A$1-IF(RIGHT($A$1,2)="01",48,1)),$F$6:AI318,COLUMNS($F$6:AI318),FALSE),"NA")</f>
        <v>-23914</v>
      </c>
      <c r="AJ2" s="779">
        <f>IFERROR(VLOOKUP($A$1,$F$6:AJ318,COLUMNS($F$6:AJ318),FALSE)-VLOOKUP(($A$1-IF(RIGHT($A$1,2)="01",48,1)),$F$6:AJ318,COLUMNS($F$6:AJ318),FALSE),"NA")</f>
        <v>-9876</v>
      </c>
      <c r="AK2" s="779">
        <f>IFERROR(VLOOKUP($A$1,$F$6:AK318,COLUMNS($F$6:AK318),FALSE)-VLOOKUP(($A$1-IF(RIGHT($A$1,2)="01",48,1)),$F$6:AK318,COLUMNS($F$6:AK318),FALSE),"NA")</f>
        <v>32751</v>
      </c>
      <c r="AL2" s="779">
        <f>IFERROR(VLOOKUP($A$1,$F$6:AL318,COLUMNS($F$6:AL318),FALSE)-VLOOKUP(($A$1-IF(RIGHT($A$1,2)="01",48,1)),$F$6:AL318,COLUMNS($F$6:AL318),FALSE),"NA")</f>
        <v>6977</v>
      </c>
      <c r="AM2" s="779">
        <f>IFERROR(VLOOKUP($A$1,$F$6:AM318,COLUMNS($F$6:AM318),FALSE)-VLOOKUP(($A$1-IF(RIGHT($A$1,2)="01",48,1)),$F$6:AM318,COLUMNS($F$6:AM318),FALSE),"NA")</f>
        <v>-29897</v>
      </c>
      <c r="AN2" s="779">
        <f>IFERROR(VLOOKUP($A$1,$F$6:AN318,COLUMNS($F$6:AN318),FALSE)-VLOOKUP(($A$1-IF(RIGHT($A$1,2)="01",48,1)),$F$6:AN318,COLUMNS($F$6:AN318),FALSE),"NA")</f>
        <v>8691</v>
      </c>
      <c r="AO2" s="779">
        <f>IFERROR(VLOOKUP($A$1,$F$6:AO318,COLUMNS($F$6:AO318),FALSE)-VLOOKUP(($A$1-IF(RIGHT($A$1,2)="01",48,1)),$F$6:AO318,COLUMNS($F$6:AO318),FALSE),"NA")</f>
        <v>-16705</v>
      </c>
      <c r="AP2" s="779">
        <f>IFERROR(VLOOKUP($A$1,$F$6:AP318,COLUMNS($F$6:AP318),FALSE)-VLOOKUP(($A$1-IF(RIGHT($A$1,2)="01",48,1)),$F$6:AP318,COLUMNS($F$6:AP318),FALSE),"NA")</f>
        <v>-5100</v>
      </c>
      <c r="AQ2" s="779">
        <f>IFERROR(VLOOKUP($A$1,$F$6:AQ318,COLUMNS($F$6:AQ318),FALSE)-VLOOKUP(($A$1-IF(RIGHT($A$1,2)="01",48,1)),$F$6:AQ318,COLUMNS($F$6:AQ318),FALSE),"NA")</f>
        <v>-21171</v>
      </c>
      <c r="AR2" s="779">
        <f>IFERROR(VLOOKUP($A$1,$F$6:AR318,COLUMNS($F$6:AR318),FALSE)-VLOOKUP(($A$1-IF(RIGHT($A$1,2)="01",48,1)),$F$6:AR318,COLUMNS($F$6:AR318),FALSE),"NA")</f>
        <v>-74871</v>
      </c>
      <c r="AS2" s="781">
        <f>IFERROR(VLOOKUP($A$1,$F$6:AS318,COLUMNS($F$6:AS318),FALSE)-VLOOKUP(($A$1-IF(RIGHT($A$1,2)="01",48,1)),$F$6:AS318,COLUMNS($F$6:AS318),FALSE),"NA")</f>
        <v>-0.90893452496628591</v>
      </c>
      <c r="AT2" s="780">
        <f>IFERROR(VLOOKUP($A$1,$F$6:AT318,COLUMNS($F$6:AT318),FALSE)-VLOOKUP(($A$1-IF(RIGHT($A$1,2)="01",48,1)),$F$6:AT318,COLUMNS($F$6:AT318),FALSE),"NA")</f>
        <v>1.0381472384356463</v>
      </c>
      <c r="AU2" s="780" t="str">
        <f>IFERROR(VLOOKUP($A$1,$F$6:AU318,COLUMNS($F$6:AU318),FALSE)-VLOOKUP(($A$1-IF(RIGHT($A$1,2)="01",48,1)),$F$6:AU318,COLUMNS($F$6:AU318),FALSE),"NA")</f>
        <v>NA</v>
      </c>
      <c r="AV2" s="780" t="str">
        <f>IFERROR(VLOOKUP($A$1,$F$6:AV318,COLUMNS($F$6:AV318),FALSE)-VLOOKUP(($A$1-IF(RIGHT($A$1,2)="01",48,1)),$F$6:AV318,COLUMNS($F$6:AV318),FALSE),"NA")</f>
        <v>NA</v>
      </c>
      <c r="AW2" s="780">
        <f>IFERROR(VLOOKUP($A$1,$F$6:AW318,COLUMNS($F$6:AW318),FALSE)-VLOOKUP(($A$1-IF(RIGHT($A$1,2)="01",48,1)),$F$6:AW318,COLUMNS($F$6:AW318),FALSE),"NA")</f>
        <v>0.19253171946341574</v>
      </c>
      <c r="AX2" s="780">
        <f>IFERROR(VLOOKUP($A$1,$F$6:AX318,COLUMNS($F$6:AX318),FALSE)-VLOOKUP(($A$1-IF(RIGHT($A$1,2)="01",48,1)),$F$6:AX318,COLUMNS($F$6:AX318),FALSE),"NA")</f>
        <v>0.660012153504967</v>
      </c>
      <c r="AY2" s="780">
        <f>IFERROR(VLOOKUP($A$1,$F$6:AY318,COLUMNS($F$6:AY318),FALSE)-VLOOKUP(($A$1-IF(RIGHT($A$1,2)="01",48,1)),$F$6:AY318,COLUMNS($F$6:AY318),FALSE),"NA")</f>
        <v>-1.5331898749857231</v>
      </c>
      <c r="AZ2" s="780">
        <f>IFERROR(VLOOKUP($A$1,$F$6:AZ318,COLUMNS($F$6:AZ318),FALSE)-VLOOKUP(($A$1-IF(RIGHT($A$1,2)="01",48,1)),$F$6:AZ318,COLUMNS($F$6:AZ318),FALSE),"NA")</f>
        <v>-9.1369677037128358</v>
      </c>
      <c r="BA2" s="780" t="str">
        <f>IFERROR(VLOOKUP($A$1,$F$6:BA318,COLUMNS($F$6:BA318),FALSE)-VLOOKUP(($A$1-IF(RIGHT($A$1,2)="01",48,1)),$F$6:BA318,COLUMNS($F$6:BA318),FALSE),"NA")</f>
        <v>NA</v>
      </c>
      <c r="BB2" s="780" t="str">
        <f>IFERROR(VLOOKUP($A$1,$F$6:BB318,COLUMNS($F$6:BB318),FALSE)-VLOOKUP(($A$1-IF(RIGHT($A$1,2)="01",48,1)),$F$6:BB318,COLUMNS($F$6:BB318),FALSE),"NA")</f>
        <v>NA</v>
      </c>
      <c r="BC2" s="780" t="str">
        <f>IFERROR(VLOOKUP($A$1,$F$6:BC318,COLUMNS($F$6:BC318),FALSE)-VLOOKUP(($A$1-IF(RIGHT($A$1,2)="01",48,1)),$F$6:BC318,COLUMNS($F$6:BC318),FALSE),"NA")</f>
        <v>NA</v>
      </c>
      <c r="BD2" s="780" t="str">
        <f>IFERROR(VLOOKUP($A$1,$F$6:BD318,COLUMNS($F$6:BD318),FALSE)-VLOOKUP(($A$1-IF(RIGHT($A$1,2)="01",48,1)),$F$6:BD318,COLUMNS($F$6:BD318),FALSE),"NA")</f>
        <v>NA</v>
      </c>
      <c r="BE2" s="780" t="str">
        <f>IFERROR(VLOOKUP($A$1,$F$6:BE318,COLUMNS($F$6:BE318),FALSE)-VLOOKUP(($A$1-IF(RIGHT($A$1,2)="01",48,1)),$F$6:BE318,COLUMNS($F$6:BE318),FALSE),"NA")</f>
        <v>NA</v>
      </c>
      <c r="BF2" s="780" t="str">
        <f>IFERROR(VLOOKUP($A$1,$F$6:BF318,COLUMNS($F$6:BF318),FALSE)-VLOOKUP(($A$1-IF(RIGHT($A$1,2)="01",48,1)),$F$6:BF318,COLUMNS($F$6:BF318),FALSE),"NA")</f>
        <v>NA</v>
      </c>
      <c r="BG2" s="780" t="str">
        <f>IFERROR(VLOOKUP($A$1,$F$6:BG318,COLUMNS($F$6:BG318),FALSE)-VLOOKUP(($A$1-IF(RIGHT($A$1,2)="01",48,1)),$F$6:BG318,COLUMNS($F$6:BG318),FALSE),"NA")</f>
        <v>NA</v>
      </c>
      <c r="BH2" s="780" t="str">
        <f>IFERROR(VLOOKUP($A$1,$F$6:BH318,COLUMNS($F$6:BH318),FALSE)-VLOOKUP(($A$1-IF(RIGHT($A$1,2)="01",48,1)),$F$6:BH318,COLUMNS($F$6:BH318),FALSE),"NA")</f>
        <v>NA</v>
      </c>
      <c r="BI2" s="780">
        <f>IFERROR(VLOOKUP($A$1,$F$6:BI318,COLUMNS($F$6:BI318),FALSE)-VLOOKUP(($A$1-IF(RIGHT($A$1,2)="01",48,1)),$F$6:BI318,COLUMNS($F$6:BI318),FALSE),"NA")</f>
        <v>-4.0866564343414638</v>
      </c>
      <c r="BJ2" s="208">
        <f>IFERROR(VLOOKUP($A$1,$F$6:BJ318,COLUMNS($F$6:BJ318),FALSE)-VLOOKUP(($A$1-IF(RIGHT($A$1,2)="01",48,1)),$F$6:BJ318,COLUMNS($F$6:BJ318),FALSE),"NA")</f>
        <v>-7050</v>
      </c>
      <c r="BK2" s="779">
        <f>IFERROR(VLOOKUP($A$1,$F$6:BK318,COLUMNS($F$6:BK318),FALSE)-VLOOKUP(($A$1-IF(RIGHT($A$1,2)="01",48,1)),$F$6:BK318,COLUMNS($F$6:BK318),FALSE),"NA")</f>
        <v>-621</v>
      </c>
      <c r="BL2" s="779">
        <f>IFERROR(VLOOKUP($A$1,$F$6:BL318,COLUMNS($F$6:BL318),FALSE)-VLOOKUP(($A$1-IF(RIGHT($A$1,2)="01",48,1)),$F$6:BL318,COLUMNS($F$6:BL318),FALSE),"NA")</f>
        <v>1156</v>
      </c>
      <c r="BM2" s="779">
        <f>IFERROR(VLOOKUP($A$1,$F$6:BM318,COLUMNS($F$6:BM318),FALSE)-VLOOKUP(($A$1-IF(RIGHT($A$1,2)="01",48,1)),$F$6:BM318,COLUMNS($F$6:BM318),FALSE),"NA")</f>
        <v>15897</v>
      </c>
      <c r="BN2" s="779">
        <f>IFERROR(VLOOKUP($A$1,$F$6:BN318,COLUMNS($F$6:BN318),FALSE)-VLOOKUP(($A$1-IF(RIGHT($A$1,2)="01",48,1)),$F$6:BN318,COLUMNS($F$6:BN318),FALSE),"NA")</f>
        <v>9382</v>
      </c>
      <c r="BO2" s="208">
        <f>IFERROR(VLOOKUP($A$1,$F$6:BO318,COLUMNS($F$6:BO318),FALSE)-VLOOKUP(($A$1-IF(RIGHT($A$1,2)="01",48,1)),$F$6:BO318,COLUMNS($F$6:BO318),FALSE),"NA")</f>
        <v>-38668</v>
      </c>
      <c r="BP2" s="779">
        <f>IFERROR(VLOOKUP($A$1,$F$6:BP318,COLUMNS($F$6:BP318),FALSE)-VLOOKUP(($A$1-IF(RIGHT($A$1,2)="01",48,1)),$F$6:BP318,COLUMNS($F$6:BP318),FALSE),"NA")</f>
        <v>-121</v>
      </c>
      <c r="BQ2" s="779">
        <f>IFERROR(VLOOKUP($A$1,$F$6:BQ318,COLUMNS($F$6:BQ318),FALSE)-VLOOKUP(($A$1-IF(RIGHT($A$1,2)="01",48,1)),$F$6:BQ318,COLUMNS($F$6:BQ318),FALSE),"NA")</f>
        <v>-2978</v>
      </c>
      <c r="BR2" s="779">
        <f>IFERROR(VLOOKUP($A$1,$F$6:BR318,COLUMNS($F$6:BR318),FALSE)-VLOOKUP(($A$1-IF(RIGHT($A$1,2)="01",48,1)),$F$6:BR318,COLUMNS($F$6:BR318),FALSE),"NA")</f>
        <v>-15823</v>
      </c>
      <c r="BS2" s="779">
        <f>IFERROR(VLOOKUP($A$1,$F$6:BS318,COLUMNS($F$6:BS318),FALSE)-VLOOKUP(($A$1-IF(RIGHT($A$1,2)="01",48,1)),$F$6:BS318,COLUMNS($F$6:BS318),FALSE),"NA")</f>
        <v>-57590</v>
      </c>
      <c r="BT2" s="781">
        <f>IFERROR(VLOOKUP($A$1,$F$6:BT318,COLUMNS($F$6:BT318),FALSE)-VLOOKUP(($A$1-IF(RIGHT($A$1,2)="01",48,1)),$F$6:BT318,COLUMNS($F$6:BT318),FALSE),"NA")</f>
        <v>-0.21286478732031555</v>
      </c>
      <c r="BU2" s="780">
        <f>IFERROR(VLOOKUP($A$1,$F$6:BU318,COLUMNS($F$6:BU318),FALSE)-VLOOKUP(($A$1-IF(RIGHT($A$1,2)="01",48,1)),$F$6:BU318,COLUMNS($F$6:BU318),FALSE),"NA")</f>
        <v>1.5353832558618885E-3</v>
      </c>
      <c r="BV2" s="779">
        <f>IFERROR(VLOOKUP($A$1,$F$6:BV318,COLUMNS($F$6:BV318),FALSE)-VLOOKUP(($A$1-IF(RIGHT($A$1,2)="01",48,1)),$F$6:BV318,COLUMNS($F$6:BV318),FALSE),"NA")</f>
        <v>-8.2296269949927447E-2</v>
      </c>
      <c r="BW2" s="779">
        <f>IFERROR(VLOOKUP($A$1,$F$6:BW318,COLUMNS($F$6:BW318),FALSE)-VLOOKUP(($A$1-IF(RIGHT($A$1,2)="01",48,1)),$F$6:BW318,COLUMNS($F$6:BW318),FALSE),"NA")</f>
        <v>-0.47165245683264878</v>
      </c>
      <c r="BX2" s="780">
        <f>IFERROR(VLOOKUP($A$1,$F$6:BX318,COLUMNS($F$6:BX318),FALSE)-VLOOKUP(($A$1-IF(RIGHT($A$1,2)="01",48,1)),$F$6:BX318,COLUMNS($F$6:BX318),FALSE),"NA")</f>
        <v>-0.11990378535261614</v>
      </c>
      <c r="BY2" s="208">
        <f>IFERROR(VLOOKUP($A$1,$F$6:BY318,COLUMNS($F$6:BY318),FALSE)-VLOOKUP(($A$1-IF(RIGHT($A$1,2)="01",48,1)),$F$6:BY318,COLUMNS($F$6:BY318),FALSE),"NA")</f>
        <v>-19242</v>
      </c>
      <c r="BZ2" s="779">
        <f>IFERROR(VLOOKUP($A$1,$F$6:BZ318,COLUMNS($F$6:BZ318),FALSE)-VLOOKUP(($A$1-IF(RIGHT($A$1,2)="01",48,1)),$F$6:BZ318,COLUMNS($F$6:BZ318),FALSE),"NA")</f>
        <v>2151</v>
      </c>
      <c r="CA2" s="779">
        <f>IFERROR(VLOOKUP($A$1,$F$6:CA318,COLUMNS($F$6:CA318),FALSE)-VLOOKUP(($A$1-IF(RIGHT($A$1,2)="01",48,1)),$F$6:CA318,COLUMNS($F$6:CA318),FALSE),"NA")</f>
        <v>-17091</v>
      </c>
      <c r="CB2" s="781">
        <f>IFERROR(VLOOKUP($A$1,$F$6:CB318,COLUMNS($F$6:CB318),FALSE)-VLOOKUP(($A$1-IF(RIGHT($A$1,2)="01",48,1)),$F$6:CB318,COLUMNS($F$6:CB318),FALSE),"NA")</f>
        <v>-0.11202634412834556</v>
      </c>
      <c r="CC2" s="780">
        <f>IFERROR(VLOOKUP($A$1,$F$6:CC318,COLUMNS($F$6:CC318),FALSE)-VLOOKUP(($A$1-IF(RIGHT($A$1,2)="01",48,1)),$F$6:CC318,COLUMNS($F$6:CC318),FALSE),"NA")</f>
        <v>-6.7176227071079619E-3</v>
      </c>
      <c r="CD2" s="782">
        <f>IFERROR(VLOOKUP($A$1,$F$6:CD318,COLUMNS($F$6:CD318),FALSE)-VLOOKUP(($A$1-IF(RIGHT($A$1,2)="01",48,1)),$F$6:CD318,COLUMNS($F$6:CD318),FALSE),"NA")</f>
        <v>-7.7217758484748211E-2</v>
      </c>
    </row>
    <row r="3" spans="1:82" ht="18.600000000000001" customHeight="1" thickBot="1">
      <c r="A3" s="982"/>
      <c r="B3" s="978"/>
      <c r="C3" s="978"/>
      <c r="D3" s="978"/>
      <c r="E3" s="978"/>
      <c r="F3" s="539" t="s">
        <v>163</v>
      </c>
      <c r="G3" s="209">
        <f>IFERROR(VLOOKUP(($A$1),$F$6:G318,COLUMNS($F$6:G318),FALSE)/VLOOKUP(($A$1-99),$F$6:G318,COLUMNS($F$6:G318),FALSE)-1,"NA")</f>
        <v>-0.15997143367255851</v>
      </c>
      <c r="H3" s="210">
        <f>IFERROR(VLOOKUP(($A$1),$F$6:H318,COLUMNS($F$6:H318),FALSE)/VLOOKUP(($A$1-99),$F$6:H318,COLUMNS($F$6:H318),FALSE)-1,"NA")</f>
        <v>-8.8319568515085156E-2</v>
      </c>
      <c r="I3" s="210" t="str">
        <f>IFERROR(VLOOKUP(($A$1),$F$6:I318,COLUMNS($F$6:I318),FALSE)/VLOOKUP(($A$1-99),$F$6:I318,COLUMNS($F$6:I318),FALSE)-1,"NA")</f>
        <v>NA</v>
      </c>
      <c r="J3" s="210" t="str">
        <f>IFERROR(VLOOKUP(($A$1),$F$6:J318,COLUMNS($F$6:J318),FALSE)/VLOOKUP(($A$1-99),$F$6:J318,COLUMNS($F$6:J318),FALSE)-1,"NA")</f>
        <v>NA</v>
      </c>
      <c r="K3" s="210">
        <f>IFERROR(VLOOKUP(($A$1),$F$6:K318,COLUMNS($F$6:K318),FALSE)/VLOOKUP(($A$1-99),$F$6:K318,COLUMNS($F$6:K318),FALSE)-1,"NA")</f>
        <v>-8.5008615738081383E-3</v>
      </c>
      <c r="L3" s="210">
        <f>IFERROR(VLOOKUP(($A$1),$F$6:L318,COLUMNS($F$6:L318),FALSE)/VLOOKUP(($A$1-99),$F$6:L318,COLUMNS($F$6:L318),FALSE)-1,"NA")</f>
        <v>0.23763981196304096</v>
      </c>
      <c r="M3" s="210" t="str">
        <f>IFERROR(VLOOKUP(($A$1),$F$6:M318,COLUMNS($F$6:M318),FALSE)/VLOOKUP(($A$1-99),$F$6:M318,COLUMNS($F$6:M318),FALSE)-1,"NA")</f>
        <v>NA</v>
      </c>
      <c r="N3" s="210" t="str">
        <f>IFERROR(VLOOKUP(($A$1),$F$6:N318,COLUMNS($F$6:N318),FALSE)/VLOOKUP(($A$1-99),$F$6:N318,COLUMNS($F$6:N318),FALSE)-1,"NA")</f>
        <v>NA</v>
      </c>
      <c r="O3" s="210">
        <f>IFERROR(VLOOKUP(($A$1),$F$6:O318,COLUMNS($F$6:O318),FALSE)/VLOOKUP(($A$1-99),$F$6:O318,COLUMNS($F$6:O318),FALSE)-1,"NA")</f>
        <v>-0.34029497254817531</v>
      </c>
      <c r="P3" s="210">
        <f>IFERROR(VLOOKUP(($A$1),$F$6:P318,COLUMNS($F$6:P318),FALSE)/VLOOKUP(($A$1-99),$F$6:P318,COLUMNS($F$6:P318),FALSE)-1,"NA")</f>
        <v>1.7097126227719084E-2</v>
      </c>
      <c r="Q3" s="210" t="str">
        <f>IFERROR(VLOOKUP(($A$1),$F$6:Q318,COLUMNS($F$6:Q318),FALSE)/VLOOKUP(($A$1-99),$F$6:Q318,COLUMNS($F$6:Q318),FALSE)-1,"NA")</f>
        <v>NA</v>
      </c>
      <c r="R3" s="210" t="str">
        <f>IFERROR(VLOOKUP(($A$1),$F$6:R318,COLUMNS($F$6:R318),FALSE)/VLOOKUP(($A$1-99),$F$6:R318,COLUMNS($F$6:R318),FALSE)-1,"NA")</f>
        <v>NA</v>
      </c>
      <c r="S3" s="210" t="str">
        <f>IFERROR(VLOOKUP(($A$1),$F$6:S318,COLUMNS($F$6:S318),FALSE)/VLOOKUP(($A$1-99),$F$6:S318,COLUMNS($F$6:S318),FALSE)-1,"NA")</f>
        <v>NA</v>
      </c>
      <c r="T3" s="210" t="str">
        <f>IFERROR(VLOOKUP(($A$1),$F$6:T318,COLUMNS($F$6:T318),FALSE)/VLOOKUP(($A$1-99),$F$6:T318,COLUMNS($F$6:T318),FALSE)-1,"NA")</f>
        <v>NA</v>
      </c>
      <c r="U3" s="210" t="str">
        <f>IFERROR(VLOOKUP(($A$1),$F$6:U318,COLUMNS($F$6:U318),FALSE)/VLOOKUP(($A$1-99),$F$6:U318,COLUMNS($F$6:U318),FALSE)-1,"NA")</f>
        <v>NA</v>
      </c>
      <c r="V3" s="210" t="str">
        <f>IFERROR(VLOOKUP(($A$1),$F$6:V318,COLUMNS($F$6:V318),FALSE)/VLOOKUP(($A$1-99),$F$6:V318,COLUMNS($F$6:V318),FALSE)-1,"NA")</f>
        <v>NA</v>
      </c>
      <c r="W3" s="210" t="str">
        <f>IFERROR(VLOOKUP(($A$1),$F$6:W318,COLUMNS($F$6:W318),FALSE)/VLOOKUP(($A$1-99),$F$6:W318,COLUMNS($F$6:W318),FALSE)-1,"NA")</f>
        <v>NA</v>
      </c>
      <c r="X3" s="210" t="str">
        <f>IFERROR(VLOOKUP(($A$1),$F$6:X318,COLUMNS($F$6:X318),FALSE)/VLOOKUP(($A$1-99),$F$6:X318,COLUMNS($F$6:X318),FALSE)-1,"NA")</f>
        <v>NA</v>
      </c>
      <c r="Y3" s="210">
        <f>IFERROR(VLOOKUP(($A$1),$F$6:Y318,COLUMNS($F$6:Y318),FALSE)/VLOOKUP(($A$1-99),$F$6:Y318,COLUMNS($F$6:Y318),FALSE)-1,"NA")</f>
        <v>5.9843541584051252E-2</v>
      </c>
      <c r="Z3" s="210">
        <f>IFERROR(VLOOKUP(($A$1),$F$6:Z318,COLUMNS($F$6:Z318),FALSE)/VLOOKUP(($A$1-99),$F$6:Z318,COLUMNS($F$6:Z318),FALSE)-1,"NA")</f>
        <v>5.9843541584051252E-2</v>
      </c>
      <c r="AA3" s="210">
        <f>IFERROR(VLOOKUP(($A$1),$F$6:AA318,COLUMNS($F$6:AA318),FALSE)/VLOOKUP(($A$1-99),$F$6:AA318,COLUMNS($F$6:AA318),FALSE)-1,"NA")</f>
        <v>5.9843541584051252E-2</v>
      </c>
      <c r="AB3" s="209">
        <f>IFERROR(VLOOKUP(($A$1),$F$6:AB318,COLUMNS($F$6:AB318),FALSE)/VLOOKUP(($A$1-99),$F$6:AB318,COLUMNS($F$6:AB318),FALSE)-1,"NA")</f>
        <v>0.18433236619544413</v>
      </c>
      <c r="AC3" s="210">
        <f>IFERROR(VLOOKUP(($A$1),$F$6:AC318,COLUMNS($F$6:AC318),FALSE)/VLOOKUP(($A$1-99),$F$6:AC318,COLUMNS($F$6:AC318),FALSE)-1,"NA")</f>
        <v>-0.22667610535940774</v>
      </c>
      <c r="AD3" s="210">
        <f>IFERROR(VLOOKUP(($A$1),$F$6:AD318,COLUMNS($F$6:AD318),FALSE)/VLOOKUP(($A$1-99),$F$6:AD318,COLUMNS($F$6:AD318),FALSE)-1,"NA")</f>
        <v>3.6398447499037534E-2</v>
      </c>
      <c r="AE3" s="210">
        <f>IFERROR(VLOOKUP(($A$1),$F$6:AE318,COLUMNS($F$6:AE318),FALSE)/VLOOKUP(($A$1-99),$F$6:AE318,COLUMNS($F$6:AE318),FALSE)-1,"NA")</f>
        <v>-0.32705563499007662</v>
      </c>
      <c r="AF3" s="210">
        <f>IFERROR(VLOOKUP(($A$1),$F$6:AF318,COLUMNS($F$6:AF318),FALSE)/VLOOKUP(($A$1-99),$F$6:AF318,COLUMNS($F$6:AF318),FALSE)-1,"NA")</f>
        <v>3.9672474636083033E-2</v>
      </c>
      <c r="AG3" s="210">
        <f>IFERROR(VLOOKUP(($A$1),$F$6:AG318,COLUMNS($F$6:AG318),FALSE)/VLOOKUP(($A$1-99),$F$6:AG318,COLUMNS($F$6:AG318),FALSE)-1,"NA")</f>
        <v>2.8881868990175974E-2</v>
      </c>
      <c r="AH3" s="210">
        <f>IFERROR(VLOOKUP(($A$1),$F$6:AH318,COLUMNS($F$6:AH318),FALSE)/VLOOKUP(($A$1-99),$F$6:AH318,COLUMNS($F$6:AH318),FALSE)-1,"NA")</f>
        <v>-0.33289790996784563</v>
      </c>
      <c r="AI3" s="210">
        <f>IFERROR(VLOOKUP(($A$1),$F$6:AI318,COLUMNS($F$6:AI318),FALSE)/VLOOKUP(($A$1-99),$F$6:AI318,COLUMNS($F$6:AI318),FALSE)-1,"NA")</f>
        <v>-0.32356451893666227</v>
      </c>
      <c r="AJ3" s="210">
        <f>IFERROR(VLOOKUP(($A$1),$F$6:AJ318,COLUMNS($F$6:AJ318),FALSE)/VLOOKUP(($A$1-99),$F$6:AJ318,COLUMNS($F$6:AJ318),FALSE)-1,"NA")</f>
        <v>-0.27519004076236642</v>
      </c>
      <c r="AK3" s="210">
        <f>IFERROR(VLOOKUP(($A$1),$F$6:AK318,COLUMNS($F$6:AK318),FALSE)/VLOOKUP(($A$1-99),$F$6:AK318,COLUMNS($F$6:AK318),FALSE)-1,"NA")</f>
        <v>-3.7660928833125329E-3</v>
      </c>
      <c r="AL3" s="210">
        <f>IFERROR(VLOOKUP(($A$1),$F$6:AL318,COLUMNS($F$6:AL318),FALSE)/VLOOKUP(($A$1-99),$F$6:AL318,COLUMNS($F$6:AL318),FALSE)-1,"NA")</f>
        <v>5.0182742730017438E-2</v>
      </c>
      <c r="AM3" s="210">
        <f>IFERROR(VLOOKUP(($A$1),$F$6:AM318,COLUMNS($F$6:AM318),FALSE)/VLOOKUP(($A$1-99),$F$6:AM318,COLUMNS($F$6:AM318),FALSE)-1,"NA")</f>
        <v>0.35585265814797284</v>
      </c>
      <c r="AN3" s="210">
        <f>IFERROR(VLOOKUP(($A$1),$F$6:AN318,COLUMNS($F$6:AN318),FALSE)/VLOOKUP(($A$1-99),$F$6:AN318,COLUMNS($F$6:AN318),FALSE)-1,"NA")</f>
        <v>0.2674722770529423</v>
      </c>
      <c r="AO3" s="210">
        <f>IFERROR(VLOOKUP(($A$1),$F$6:AO318,COLUMNS($F$6:AO318),FALSE)/VLOOKUP(($A$1-99),$F$6:AO318,COLUMNS($F$6:AO318),FALSE)-1,"NA")</f>
        <v>-7.4544824782012409E-3</v>
      </c>
      <c r="AP3" s="210">
        <f>IFERROR(VLOOKUP(($A$1),$F$6:AP318,COLUMNS($F$6:AP318),FALSE)/VLOOKUP(($A$1-99),$F$6:AP318,COLUMNS($F$6:AP318),FALSE)-1,"NA")</f>
        <v>4.6728755444351844E-2</v>
      </c>
      <c r="AQ3" s="210">
        <f>IFERROR(VLOOKUP(($A$1),$F$6:AQ318,COLUMNS($F$6:AQ318),FALSE)/VLOOKUP(($A$1-99),$F$6:AQ318,COLUMNS($F$6:AQ318),FALSE)-1,"NA")</f>
        <v>-0.37862970167951682</v>
      </c>
      <c r="AR3" s="210">
        <f>IFERROR(VLOOKUP(($A$1),$F$6:AR318,COLUMNS($F$6:AR318),FALSE)/VLOOKUP(($A$1-99),$F$6:AR318,COLUMNS($F$6:AR318),FALSE)-1,"NA")</f>
        <v>-7.9418141011136312E-2</v>
      </c>
      <c r="AS3" s="209">
        <f>IFERROR(VLOOKUP(($A$1),$F$6:AS318,COLUMNS($F$6:AS318),FALSE)/VLOOKUP(($A$1-99),$F$6:AS318,COLUMNS($F$6:AS318),FALSE)-1,"NA")</f>
        <v>0.40987153731364145</v>
      </c>
      <c r="AT3" s="210">
        <f>IFERROR(VLOOKUP(($A$1),$F$6:AT318,COLUMNS($F$6:AT318),FALSE)/VLOOKUP(($A$1-99),$F$6:AT318,COLUMNS($F$6:AT318),FALSE)-1,"NA")</f>
        <v>-0.15175990628533309</v>
      </c>
      <c r="AU3" s="210" t="str">
        <f>IFERROR(VLOOKUP(($A$1),$F$6:AU318,COLUMNS($F$6:AU318),FALSE)/VLOOKUP(($A$1-99),$F$6:AU318,COLUMNS($F$6:AU318),FALSE)-1,"NA")</f>
        <v>NA</v>
      </c>
      <c r="AV3" s="210" t="str">
        <f>IFERROR(VLOOKUP(($A$1),$F$6:AV318,COLUMNS($F$6:AV318),FALSE)/VLOOKUP(($A$1-99),$F$6:AV318,COLUMNS($F$6:AV318),FALSE)-1,"NA")</f>
        <v>NA</v>
      </c>
      <c r="AW3" s="210">
        <f>IFERROR(VLOOKUP(($A$1),$F$6:AW318,COLUMNS($F$6:AW318),FALSE)/VLOOKUP(($A$1-99),$F$6:AW318,COLUMNS($F$6:AW318),FALSE)-1,"NA")</f>
        <v>4.858636214889378E-2</v>
      </c>
      <c r="AX3" s="210">
        <f>IFERROR(VLOOKUP(($A$1),$F$6:AX318,COLUMNS($F$6:AX318),FALSE)/VLOOKUP(($A$1-99),$F$6:AX318,COLUMNS($F$6:AX318),FALSE)-1,"NA")</f>
        <v>-0.16867423054349773</v>
      </c>
      <c r="AY3" s="210">
        <f>IFERROR(VLOOKUP(($A$1),$F$6:AY318,COLUMNS($F$6:AY318),FALSE)/VLOOKUP(($A$1-99),$F$6:AY318,COLUMNS($F$6:AY318),FALSE)-1,"NA")</f>
        <v>1.121268183888402E-2</v>
      </c>
      <c r="AZ3" s="210">
        <f>IFERROR(VLOOKUP(($A$1),$F$6:AZ318,COLUMNS($F$6:AZ318),FALSE)/VLOOKUP(($A$1-99),$F$6:AZ318,COLUMNS($F$6:AZ318),FALSE)-1,"NA")</f>
        <v>-0.33493521550675409</v>
      </c>
      <c r="BA3" s="210" t="str">
        <f>IFERROR(VLOOKUP(($A$1),$F$6:BA318,COLUMNS($F$6:BA318),FALSE)/VLOOKUP(($A$1-99),$F$6:BA318,COLUMNS($F$6:BA318),FALSE)-1,"NA")</f>
        <v>NA</v>
      </c>
      <c r="BB3" s="210" t="str">
        <f>IFERROR(VLOOKUP(($A$1),$F$6:BB318,COLUMNS($F$6:BB318),FALSE)/VLOOKUP(($A$1-99),$F$6:BB318,COLUMNS($F$6:BB318),FALSE)-1,"NA")</f>
        <v>NA</v>
      </c>
      <c r="BC3" s="210" t="str">
        <f>IFERROR(VLOOKUP(($A$1),$F$6:BC318,COLUMNS($F$6:BC318),FALSE)/VLOOKUP(($A$1-99),$F$6:BC318,COLUMNS($F$6:BC318),FALSE)-1,"NA")</f>
        <v>NA</v>
      </c>
      <c r="BD3" s="210" t="str">
        <f>IFERROR(VLOOKUP(($A$1),$F$6:BD318,COLUMNS($F$6:BD318),FALSE)/VLOOKUP(($A$1-99),$F$6:BD318,COLUMNS($F$6:BD318),FALSE)-1,"NA")</f>
        <v>NA</v>
      </c>
      <c r="BE3" s="210" t="str">
        <f>IFERROR(VLOOKUP(($A$1),$F$6:BE318,COLUMNS($F$6:BE318),FALSE)/VLOOKUP(($A$1-99),$F$6:BE318,COLUMNS($F$6:BE318),FALSE)-1,"NA")</f>
        <v>NA</v>
      </c>
      <c r="BF3" s="210" t="str">
        <f>IFERROR(VLOOKUP(($A$1),$F$6:BF318,COLUMNS($F$6:BF318),FALSE)/VLOOKUP(($A$1-99),$F$6:BF318,COLUMNS($F$6:BF318),FALSE)-1,"NA")</f>
        <v>NA</v>
      </c>
      <c r="BG3" s="210" t="str">
        <f>IFERROR(VLOOKUP(($A$1),$F$6:BG318,COLUMNS($F$6:BG318),FALSE)/VLOOKUP(($A$1-99),$F$6:BG318,COLUMNS($F$6:BG318),FALSE)-1,"NA")</f>
        <v>NA</v>
      </c>
      <c r="BH3" s="210" t="str">
        <f>IFERROR(VLOOKUP(($A$1),$F$6:BH318,COLUMNS($F$6:BH318),FALSE)/VLOOKUP(($A$1-99),$F$6:BH318,COLUMNS($F$6:BH318),FALSE)-1,"NA")</f>
        <v>NA</v>
      </c>
      <c r="BI3" s="210">
        <f>IFERROR(VLOOKUP(($A$1),$F$6:BI318,COLUMNS($F$6:BI318),FALSE)/VLOOKUP(($A$1-99),$F$6:BI318,COLUMNS($F$6:BI318),FALSE)-1,"NA")</f>
        <v>-0.13139834053906296</v>
      </c>
      <c r="BJ3" s="209" t="str">
        <f>IFERROR(VLOOKUP(($A$1),$F$6:BJ318,COLUMNS($F$6:BJ318),FALSE)/VLOOKUP(($A$1-99),$F$6:BJ318,COLUMNS($F$6:BJ318),FALSE)-1,"NA")</f>
        <v>NA</v>
      </c>
      <c r="BK3" s="210" t="str">
        <f>IFERROR(VLOOKUP(($A$1),$F$6:BK318,COLUMNS($F$6:BK318),FALSE)/VLOOKUP(($A$1-99),$F$6:BK318,COLUMNS($F$6:BK318),FALSE)-1,"NA")</f>
        <v>NA</v>
      </c>
      <c r="BL3" s="210">
        <f>IFERROR(VLOOKUP(($A$1),$F$6:BL318,COLUMNS($F$6:BL318),FALSE)/VLOOKUP(($A$1-99),$F$6:BL318,COLUMNS($F$6:BL318),FALSE)-1,"NA")</f>
        <v>3.4958530346484773E-2</v>
      </c>
      <c r="BM3" s="210">
        <f>IFERROR(VLOOKUP(($A$1),$F$6:BM318,COLUMNS($F$6:BM318),FALSE)/VLOOKUP(($A$1-99),$F$6:BM318,COLUMNS($F$6:BM318),FALSE)-1,"NA")</f>
        <v>0.30707462999895041</v>
      </c>
      <c r="BN3" s="210">
        <f>IFERROR(VLOOKUP(($A$1),$F$6:BN318,COLUMNS($F$6:BN318),FALSE)/VLOOKUP(($A$1-99),$F$6:BN318,COLUMNS($F$6:BN318),FALSE)-1,"NA")</f>
        <v>4.2057720243458432</v>
      </c>
      <c r="BO3" s="209" t="str">
        <f>IFERROR(VLOOKUP(($A$1),$F$6:BO318,COLUMNS($F$6:BO318),FALSE)/VLOOKUP(($A$1-99),$F$6:BO318,COLUMNS($F$6:BO318),FALSE)-1,"NA")</f>
        <v>NA</v>
      </c>
      <c r="BP3" s="210" t="str">
        <f>IFERROR(VLOOKUP(($A$1),$F$6:BP318,COLUMNS($F$6:BP318),FALSE)/VLOOKUP(($A$1-99),$F$6:BP318,COLUMNS($F$6:BP318),FALSE)-1,"NA")</f>
        <v>NA</v>
      </c>
      <c r="BQ3" s="210">
        <f>IFERROR(VLOOKUP(($A$1),$F$6:BQ318,COLUMNS($F$6:BQ318),FALSE)/VLOOKUP(($A$1-99),$F$6:BQ318,COLUMNS($F$6:BQ318),FALSE)-1,"NA")</f>
        <v>-0.14136714412223617</v>
      </c>
      <c r="BR3" s="210">
        <f>IFERROR(VLOOKUP(($A$1),$F$6:BR318,COLUMNS($F$6:BR318),FALSE)/VLOOKUP(($A$1-99),$F$6:BR318,COLUMNS($F$6:BR318),FALSE)-1,"NA")</f>
        <v>8.2977283711938243E-2</v>
      </c>
      <c r="BS3" s="210">
        <f>IFERROR(VLOOKUP(($A$1),$F$6:BS318,COLUMNS($F$6:BS318),FALSE)/VLOOKUP(($A$1-99),$F$6:BS318,COLUMNS($F$6:BS318),FALSE)-1,"NA")</f>
        <v>3.5071297185551735</v>
      </c>
      <c r="BT3" s="209" t="str">
        <f>IFERROR(VLOOKUP(($A$1),$F$6:BT318,COLUMNS($F$6:BT318),FALSE)/VLOOKUP(($A$1-99),$F$6:BT318,COLUMNS($F$6:BT318),FALSE)-1,"NA")</f>
        <v>NA</v>
      </c>
      <c r="BU3" s="210" t="str">
        <f>IFERROR(VLOOKUP(($A$1),$F$6:BU318,COLUMNS($F$6:BU318),FALSE)/VLOOKUP(($A$1-99),$F$6:BU318,COLUMNS($F$6:BU318),FALSE)-1,"NA")</f>
        <v>NA</v>
      </c>
      <c r="BV3" s="210">
        <f>IFERROR(VLOOKUP(($A$1),$F$6:BV318,COLUMNS($F$6:BV318),FALSE)/VLOOKUP(($A$1-99),$F$6:BV318,COLUMNS($F$6:BV318),FALSE)-1,"NA")</f>
        <v>-0.17036979675861064</v>
      </c>
      <c r="BW3" s="210">
        <f>IFERROR(VLOOKUP(($A$1),$F$6:BW318,COLUMNS($F$6:BW318),FALSE)/VLOOKUP(($A$1-99),$F$6:BW318,COLUMNS($F$6:BW318),FALSE)-1,"NA")</f>
        <v>-0.17144954170458671</v>
      </c>
      <c r="BX3" s="210">
        <f>IFERROR(VLOOKUP(($A$1),$F$6:BX318,COLUMNS($F$6:BX318),FALSE)/VLOOKUP(($A$1-99),$F$6:BX318,COLUMNS($F$6:BX318),FALSE)-1,"NA")</f>
        <v>-0.13420532104043881</v>
      </c>
      <c r="BY3" s="209" t="str">
        <f>IFERROR(VLOOKUP(($A$1),$F$6:BY318,COLUMNS($F$6:BY318),FALSE)/VLOOKUP(($A$1-99),$F$6:BY318,COLUMNS($F$6:BY318),FALSE)-1,"NA")</f>
        <v>NA</v>
      </c>
      <c r="BZ3" s="210">
        <f>IFERROR(VLOOKUP(($A$1),$F$6:BZ318,COLUMNS($F$6:BZ318),FALSE)/VLOOKUP(($A$1-99),$F$6:BZ318,COLUMNS($F$6:BZ318),FALSE)-1,"NA")</f>
        <v>4.988312538508934</v>
      </c>
      <c r="CA3" s="210">
        <f>IFERROR(VLOOKUP(($A$1),$F$6:CA318,COLUMNS($F$6:CA318),FALSE)/VLOOKUP(($A$1-99),$F$6:CA318,COLUMNS($F$6:CA318),FALSE)-1,"NA")</f>
        <v>7.9591805298829321</v>
      </c>
      <c r="CB3" s="209" t="str">
        <f>IFERROR(VLOOKUP(($A$1),$F$6:CB318,COLUMNS($F$6:CB318),FALSE)/VLOOKUP(($A$1-99),$F$6:CB318,COLUMNS($F$6:CB318),FALSE)-1,"NA")</f>
        <v>NA</v>
      </c>
      <c r="CC3" s="210" t="str">
        <f>IFERROR(VLOOKUP(($A$1),$F$6:CC318,COLUMNS($F$6:CC318),FALSE)/VLOOKUP(($A$1-99),$F$6:CC318,COLUMNS($F$6:CC318),FALSE)-1,"NA")</f>
        <v>NA</v>
      </c>
      <c r="CD3" s="211">
        <f>IFERROR(VLOOKUP(($A$1),$F$6:CD318,COLUMNS($F$6:CD318),FALSE)/VLOOKUP(($A$1-99),$F$6:CD318,COLUMNS($F$6:CD318),FALSE)-1,"NA")</f>
        <v>-0.49692611913312257</v>
      </c>
    </row>
    <row r="4" spans="1:82" ht="18.600000000000001" customHeight="1" thickBot="1">
      <c r="A4" s="135"/>
      <c r="B4" s="136"/>
      <c r="C4" s="136"/>
      <c r="D4" s="137"/>
      <c r="E4" s="137"/>
      <c r="F4" s="96"/>
      <c r="G4" s="194"/>
      <c r="H4" s="194"/>
      <c r="I4" s="194"/>
      <c r="J4" s="194"/>
      <c r="K4" s="194"/>
      <c r="L4" s="194"/>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4"/>
      <c r="AN4" s="194"/>
      <c r="AO4" s="194"/>
      <c r="AP4" s="194"/>
      <c r="AQ4" s="194"/>
      <c r="AR4" s="194"/>
      <c r="AS4" s="194"/>
      <c r="AT4" s="194"/>
      <c r="AU4" s="194"/>
      <c r="AV4" s="194"/>
      <c r="AW4" s="194"/>
      <c r="AX4" s="194"/>
      <c r="AY4" s="194"/>
      <c r="AZ4" s="194"/>
      <c r="BA4" s="194"/>
      <c r="BB4" s="194"/>
      <c r="BC4" s="194"/>
      <c r="BD4" s="194"/>
      <c r="BE4" s="194"/>
      <c r="BF4" s="194"/>
      <c r="BG4" s="194"/>
      <c r="BH4" s="194"/>
      <c r="BI4" s="194"/>
      <c r="BJ4" s="194"/>
      <c r="BK4" s="194"/>
      <c r="BL4" s="194"/>
      <c r="BM4" s="194"/>
      <c r="BN4" s="194"/>
      <c r="BO4" s="194"/>
      <c r="BP4" s="194"/>
      <c r="BQ4" s="194"/>
      <c r="BR4" s="194"/>
      <c r="BS4" s="194"/>
      <c r="BT4" s="194"/>
      <c r="BU4" s="194"/>
      <c r="BV4" s="194"/>
      <c r="BW4" s="194"/>
      <c r="BX4" s="194"/>
      <c r="BZ4" s="706"/>
      <c r="CB4" s="194"/>
      <c r="CC4" s="194"/>
      <c r="CD4" s="194"/>
    </row>
    <row r="5" spans="1:82" s="80" customFormat="1" ht="30.75" customHeight="1" thickBot="1">
      <c r="A5" s="81" t="s">
        <v>41</v>
      </c>
      <c r="B5" s="82" t="s">
        <v>44</v>
      </c>
      <c r="C5" s="82" t="s">
        <v>177</v>
      </c>
      <c r="D5" s="82" t="s">
        <v>47</v>
      </c>
      <c r="E5" s="82" t="s">
        <v>48</v>
      </c>
      <c r="F5" s="83" t="s">
        <v>178</v>
      </c>
      <c r="G5" s="129" t="s">
        <v>234</v>
      </c>
      <c r="H5" s="127" t="s">
        <v>235</v>
      </c>
      <c r="I5" s="854" t="s">
        <v>236</v>
      </c>
      <c r="J5" s="854" t="s">
        <v>237</v>
      </c>
      <c r="K5" s="127" t="s">
        <v>238</v>
      </c>
      <c r="L5" s="127" t="s">
        <v>239</v>
      </c>
      <c r="M5" s="855" t="s">
        <v>240</v>
      </c>
      <c r="N5" s="854" t="s">
        <v>241</v>
      </c>
      <c r="O5" s="127" t="s">
        <v>242</v>
      </c>
      <c r="P5" s="127" t="s">
        <v>243</v>
      </c>
      <c r="Q5" s="854" t="s">
        <v>244</v>
      </c>
      <c r="R5" s="854" t="s">
        <v>245</v>
      </c>
      <c r="S5" s="854" t="s">
        <v>246</v>
      </c>
      <c r="T5" s="854" t="s">
        <v>247</v>
      </c>
      <c r="U5" s="854" t="s">
        <v>248</v>
      </c>
      <c r="V5" s="854" t="s">
        <v>249</v>
      </c>
      <c r="W5" s="854" t="s">
        <v>250</v>
      </c>
      <c r="X5" s="854" t="s">
        <v>251</v>
      </c>
      <c r="Y5" s="127" t="s">
        <v>252</v>
      </c>
      <c r="Z5" s="127" t="s">
        <v>253</v>
      </c>
      <c r="AA5" s="130" t="s">
        <v>254</v>
      </c>
      <c r="AB5" s="81" t="s">
        <v>255</v>
      </c>
      <c r="AC5" s="82" t="s">
        <v>256</v>
      </c>
      <c r="AD5" s="82" t="s">
        <v>257</v>
      </c>
      <c r="AE5" s="82" t="s">
        <v>258</v>
      </c>
      <c r="AF5" s="82" t="s">
        <v>259</v>
      </c>
      <c r="AG5" s="82" t="s">
        <v>260</v>
      </c>
      <c r="AH5" s="82" t="s">
        <v>261</v>
      </c>
      <c r="AI5" s="82" t="s">
        <v>262</v>
      </c>
      <c r="AJ5" s="82" t="s">
        <v>263</v>
      </c>
      <c r="AK5" s="82" t="s">
        <v>264</v>
      </c>
      <c r="AL5" s="82" t="s">
        <v>265</v>
      </c>
      <c r="AM5" s="82" t="s">
        <v>266</v>
      </c>
      <c r="AN5" s="82" t="s">
        <v>267</v>
      </c>
      <c r="AO5" s="82" t="s">
        <v>268</v>
      </c>
      <c r="AP5" s="82" t="s">
        <v>269</v>
      </c>
      <c r="AQ5" s="82" t="s">
        <v>270</v>
      </c>
      <c r="AR5" s="83" t="s">
        <v>194</v>
      </c>
      <c r="AS5" s="81" t="s">
        <v>271</v>
      </c>
      <c r="AT5" s="82" t="s">
        <v>272</v>
      </c>
      <c r="AU5" s="82" t="s">
        <v>273</v>
      </c>
      <c r="AV5" s="82" t="s">
        <v>274</v>
      </c>
      <c r="AW5" s="82" t="s">
        <v>275</v>
      </c>
      <c r="AX5" s="82" t="s">
        <v>276</v>
      </c>
      <c r="AY5" s="82" t="s">
        <v>277</v>
      </c>
      <c r="AZ5" s="82" t="s">
        <v>278</v>
      </c>
      <c r="BA5" s="82" t="s">
        <v>279</v>
      </c>
      <c r="BB5" s="82" t="s">
        <v>280</v>
      </c>
      <c r="BC5" s="82" t="s">
        <v>281</v>
      </c>
      <c r="BD5" s="82" t="s">
        <v>282</v>
      </c>
      <c r="BE5" s="82" t="s">
        <v>283</v>
      </c>
      <c r="BF5" s="82" t="s">
        <v>284</v>
      </c>
      <c r="BG5" s="82" t="s">
        <v>285</v>
      </c>
      <c r="BH5" s="82" t="s">
        <v>286</v>
      </c>
      <c r="BI5" s="82" t="s">
        <v>287</v>
      </c>
      <c r="BJ5" s="81" t="s">
        <v>288</v>
      </c>
      <c r="BK5" s="82" t="s">
        <v>289</v>
      </c>
      <c r="BL5" s="82" t="s">
        <v>290</v>
      </c>
      <c r="BM5" s="82" t="s">
        <v>291</v>
      </c>
      <c r="BN5" s="83" t="s">
        <v>292</v>
      </c>
      <c r="BO5" s="81" t="s">
        <v>293</v>
      </c>
      <c r="BP5" s="82" t="s">
        <v>294</v>
      </c>
      <c r="BQ5" s="82" t="s">
        <v>295</v>
      </c>
      <c r="BR5" s="82" t="s">
        <v>296</v>
      </c>
      <c r="BS5" s="83" t="s">
        <v>297</v>
      </c>
      <c r="BT5" s="81" t="s">
        <v>298</v>
      </c>
      <c r="BU5" s="82" t="s">
        <v>299</v>
      </c>
      <c r="BV5" s="82" t="s">
        <v>300</v>
      </c>
      <c r="BW5" s="82" t="s">
        <v>301</v>
      </c>
      <c r="BX5" s="83" t="s">
        <v>302</v>
      </c>
      <c r="BY5" s="81" t="s">
        <v>303</v>
      </c>
      <c r="BZ5" s="82" t="s">
        <v>304</v>
      </c>
      <c r="CA5" s="83" t="s">
        <v>305</v>
      </c>
      <c r="CB5" s="82" t="s">
        <v>306</v>
      </c>
      <c r="CC5" s="82" t="s">
        <v>307</v>
      </c>
      <c r="CD5" s="83" t="s">
        <v>308</v>
      </c>
    </row>
    <row r="6" spans="1:82" ht="15.6" customHeight="1">
      <c r="A6" s="188">
        <f t="shared" ref="A6:A69" si="0">LEFT(F6,4)+1</f>
        <v>2021</v>
      </c>
      <c r="B6" s="172" t="str">
        <f t="shared" ref="B6:B69" si="1">RIGHT(F6,2)</f>
        <v>01</v>
      </c>
      <c r="C6" s="172" t="str">
        <f t="array" ref="C6">_xlfn.IFS(_xlfn.NUMBERVALUE(B6)&lt;=13,"Q1",AND(_xlfn.NUMBERVALUE(B6)&gt;13,_xlfn.NUMBERVALUE(B6)&lt;=26),"Q2", AND(_xlfn.NUMBERVALUE(B6)&gt;26,_xlfn.NUMBERVALUE(B6)&lt;=39),"Q3",_xlfn.NUMBERVALUE(B6)&gt;39,"Q4")</f>
        <v>Q1</v>
      </c>
      <c r="D6" s="173">
        <v>43862</v>
      </c>
      <c r="E6" s="174">
        <f t="shared" ref="E6:E69" si="2">D6+6</f>
        <v>43868</v>
      </c>
      <c r="F6" s="236">
        <v>202001</v>
      </c>
      <c r="G6" s="99"/>
      <c r="H6" s="100"/>
      <c r="I6" s="100"/>
      <c r="J6" s="100"/>
      <c r="K6" s="100"/>
      <c r="L6" s="100"/>
      <c r="M6" s="100"/>
      <c r="N6" s="100"/>
      <c r="O6" s="100"/>
      <c r="P6" s="100"/>
      <c r="Q6" s="100"/>
      <c r="R6" s="100"/>
      <c r="S6" s="100"/>
      <c r="T6" s="100"/>
      <c r="U6" s="100"/>
      <c r="V6" s="100"/>
      <c r="W6" s="100"/>
      <c r="X6" s="100"/>
      <c r="Y6" s="212">
        <f t="shared" ref="Y6:Y37" si="3">IFERROR(AA6-Z6-N6,0)</f>
        <v>0</v>
      </c>
      <c r="Z6" s="212" t="e">
        <f>VLOOKUP(F6, 'Overall Metrics'!A7:AY319, 48,FALSE)</f>
        <v>#N/A</v>
      </c>
      <c r="AA6" s="213">
        <f>'Overall Metrics'!N7</f>
        <v>0</v>
      </c>
      <c r="AB6" s="107"/>
      <c r="AC6" s="108"/>
      <c r="AD6" s="108"/>
      <c r="AE6" s="108"/>
      <c r="AF6" s="108"/>
      <c r="AG6" s="108"/>
      <c r="AH6" s="108"/>
      <c r="AI6" s="108"/>
      <c r="AJ6" s="195"/>
      <c r="AK6" s="108"/>
      <c r="AL6" s="108"/>
      <c r="AM6" s="108"/>
      <c r="AN6" s="108"/>
      <c r="AO6" s="108"/>
      <c r="AP6" s="108"/>
      <c r="AQ6" s="108"/>
      <c r="AR6" s="216">
        <f t="shared" ref="AR6:AR69" si="4">SUM(AB6:AQ6)</f>
        <v>0</v>
      </c>
      <c r="AS6" s="217" t="str">
        <f t="shared" ref="AS6:AS69" si="5">IFERROR(AB6/G6,"-")</f>
        <v>-</v>
      </c>
      <c r="AT6" s="184" t="str">
        <f t="shared" ref="AT6:AT69" si="6">IFERROR(AC6/H6,"-")</f>
        <v>-</v>
      </c>
      <c r="AU6" s="184" t="str">
        <f t="shared" ref="AU6:AU69" si="7">IFERROR(AD6/I6,"-")</f>
        <v>-</v>
      </c>
      <c r="AV6" s="184" t="str">
        <f t="shared" ref="AV6:AV69" si="8">IFERROR(AE6/J6,"-")</f>
        <v>-</v>
      </c>
      <c r="AW6" s="184" t="str">
        <f t="shared" ref="AW6:AW69" si="9">IFERROR(AF6/K6,"-")</f>
        <v>-</v>
      </c>
      <c r="AX6" s="184" t="str">
        <f t="shared" ref="AX6:AX69" si="10">IFERROR(AG6/L6,"-")</f>
        <v>-</v>
      </c>
      <c r="AY6" s="184" t="str">
        <f t="shared" ref="AY6:AY37" si="11">IFERROR(AH6/O6,"-")</f>
        <v>-</v>
      </c>
      <c r="AZ6" s="184" t="str">
        <f t="shared" ref="AZ6:AZ37" si="12">IFERROR(AI6/P6,"-")</f>
        <v>-</v>
      </c>
      <c r="BA6" s="184" t="str">
        <f t="shared" ref="BA6:BA37" si="13">IFERROR(AJ6/Q6,"-")</f>
        <v>-</v>
      </c>
      <c r="BB6" s="184" t="str">
        <f t="shared" ref="BB6:BB37" si="14">IFERROR(AK6/R6,"-")</f>
        <v>-</v>
      </c>
      <c r="BC6" s="184" t="str">
        <f t="shared" ref="BC6:BC37" si="15">IFERROR(AL6/S6,"-")</f>
        <v>-</v>
      </c>
      <c r="BD6" s="184" t="str">
        <f t="shared" ref="BD6:BD37" si="16">IFERROR(AM6/T6,"-")</f>
        <v>-</v>
      </c>
      <c r="BE6" s="184" t="str">
        <f t="shared" ref="BE6:BE37" si="17">IFERROR(AN6/U6,"-")</f>
        <v>-</v>
      </c>
      <c r="BF6" s="184" t="str">
        <f t="shared" ref="BF6:BF37" si="18">IFERROR(AO6/V6,"-")</f>
        <v>-</v>
      </c>
      <c r="BG6" s="184" t="str">
        <f t="shared" ref="BG6:BG37" si="19">IFERROR(AP6/W6,"-")</f>
        <v>-</v>
      </c>
      <c r="BH6" s="184" t="str">
        <f t="shared" ref="BH6:BH37" si="20">IFERROR(AQ6/X6,"-")</f>
        <v>-</v>
      </c>
      <c r="BI6" s="218" t="str">
        <f t="shared" ref="BI6:BI69" si="21">IFERROR(AR6/Z6,"-")</f>
        <v>-</v>
      </c>
      <c r="BJ6" s="728"/>
      <c r="BK6" s="729"/>
      <c r="BL6" s="100"/>
      <c r="BM6" s="100"/>
      <c r="BN6" s="213">
        <f t="shared" ref="BN6:BN69" si="22">SUM(BJ6:BM6)</f>
        <v>0</v>
      </c>
      <c r="BO6" s="736"/>
      <c r="BP6" s="737"/>
      <c r="BQ6" s="196"/>
      <c r="BR6" s="196"/>
      <c r="BS6" s="224">
        <f t="shared" ref="BS6:BS69" si="23">SUM(BO6:BR6)</f>
        <v>0</v>
      </c>
      <c r="BT6" s="225" t="str">
        <f t="shared" ref="BT6:BT69" si="24">IFERROR(BO6/BJ6,"-")</f>
        <v>-</v>
      </c>
      <c r="BU6" s="226" t="str">
        <f t="shared" ref="BU6:BU69" si="25">IFERROR(BP6/BK6,"-")</f>
        <v>-</v>
      </c>
      <c r="BV6" s="226" t="str">
        <f t="shared" ref="BV6:BV69" si="26">IFERROR(BQ6/BL6,"-")</f>
        <v>-</v>
      </c>
      <c r="BW6" s="226" t="str">
        <f t="shared" ref="BW6:BW69" si="27">IFERROR(BR6/BM6,"-")</f>
        <v>-</v>
      </c>
      <c r="BX6" s="227" t="str">
        <f t="shared" ref="BX6:BX69" si="28">IFERROR(BS6/BN6,"-")</f>
        <v>-</v>
      </c>
      <c r="BY6" s="745"/>
      <c r="BZ6" s="735"/>
      <c r="CA6" s="746"/>
      <c r="CB6" s="225" t="str">
        <f t="shared" ref="CB6:CB69" si="29">IFERROR(BW6/BR6,"-")</f>
        <v>-</v>
      </c>
      <c r="CC6" s="628" t="str">
        <f t="shared" ref="CC6:CC69" si="30">IFERROR(BP6/BZ6,"-")</f>
        <v>-</v>
      </c>
      <c r="CD6" s="227" t="str">
        <f t="shared" ref="CD6:CD69" si="31">IFERROR(BY6/BT6,"-")</f>
        <v>-</v>
      </c>
    </row>
    <row r="7" spans="1:82" ht="15.6" customHeight="1">
      <c r="A7" s="175">
        <f t="shared" si="0"/>
        <v>2021</v>
      </c>
      <c r="B7" s="454" t="str">
        <f t="shared" si="1"/>
        <v>02</v>
      </c>
      <c r="C7" s="454" t="str">
        <f t="array" ref="C7">_xlfn.IFS(_xlfn.NUMBERVALUE(B7)&lt;=13,"Q1",AND(_xlfn.NUMBERVALUE(B7)&gt;13,_xlfn.NUMBERVALUE(B7)&lt;=26),"Q2", AND(_xlfn.NUMBERVALUE(B7)&gt;26,_xlfn.NUMBERVALUE(B7)&lt;=39),"Q3",_xlfn.NUMBERVALUE(B7)&gt;39,"Q4")</f>
        <v>Q1</v>
      </c>
      <c r="D7" s="448">
        <f t="shared" ref="D7:D70" si="32">E6+1</f>
        <v>43869</v>
      </c>
      <c r="E7" s="448">
        <f t="shared" si="2"/>
        <v>43875</v>
      </c>
      <c r="F7" s="97">
        <v>202002</v>
      </c>
      <c r="G7" s="103"/>
      <c r="H7" s="429"/>
      <c r="I7" s="429"/>
      <c r="J7" s="429"/>
      <c r="K7" s="429"/>
      <c r="L7" s="429"/>
      <c r="M7" s="429"/>
      <c r="N7" s="429"/>
      <c r="O7" s="429"/>
      <c r="P7" s="429"/>
      <c r="Q7" s="429"/>
      <c r="R7" s="429"/>
      <c r="S7" s="429"/>
      <c r="T7" s="429"/>
      <c r="U7" s="429"/>
      <c r="V7" s="429"/>
      <c r="W7" s="429"/>
      <c r="X7" s="429"/>
      <c r="Y7" s="449">
        <f t="shared" si="3"/>
        <v>0</v>
      </c>
      <c r="Z7" s="449">
        <f t="shared" ref="Z7:Z70" si="33">IFERROR(SUM(G7:M7,O7:X7),0)</f>
        <v>0</v>
      </c>
      <c r="AA7" s="214">
        <f>'Overall Metrics'!N8</f>
        <v>0</v>
      </c>
      <c r="AB7" s="110"/>
      <c r="AC7" s="430"/>
      <c r="AD7" s="430"/>
      <c r="AE7" s="430"/>
      <c r="AF7" s="430"/>
      <c r="AG7" s="430"/>
      <c r="AH7" s="430"/>
      <c r="AI7" s="430"/>
      <c r="AJ7" s="430"/>
      <c r="AK7" s="430"/>
      <c r="AL7" s="430"/>
      <c r="AM7" s="430"/>
      <c r="AN7" s="430"/>
      <c r="AO7" s="430"/>
      <c r="AP7" s="430"/>
      <c r="AQ7" s="430"/>
      <c r="AR7" s="219">
        <f t="shared" si="4"/>
        <v>0</v>
      </c>
      <c r="AS7" s="220" t="str">
        <f t="shared" si="5"/>
        <v>-</v>
      </c>
      <c r="AT7" s="472" t="str">
        <f t="shared" si="6"/>
        <v>-</v>
      </c>
      <c r="AU7" s="472" t="str">
        <f t="shared" si="7"/>
        <v>-</v>
      </c>
      <c r="AV7" s="472" t="str">
        <f t="shared" si="8"/>
        <v>-</v>
      </c>
      <c r="AW7" s="472" t="str">
        <f t="shared" si="9"/>
        <v>-</v>
      </c>
      <c r="AX7" s="472" t="str">
        <f t="shared" si="10"/>
        <v>-</v>
      </c>
      <c r="AY7" s="472" t="str">
        <f t="shared" si="11"/>
        <v>-</v>
      </c>
      <c r="AZ7" s="472" t="str">
        <f t="shared" si="12"/>
        <v>-</v>
      </c>
      <c r="BA7" s="472" t="str">
        <f t="shared" si="13"/>
        <v>-</v>
      </c>
      <c r="BB7" s="472" t="str">
        <f t="shared" si="14"/>
        <v>-</v>
      </c>
      <c r="BC7" s="472" t="str">
        <f t="shared" si="15"/>
        <v>-</v>
      </c>
      <c r="BD7" s="472" t="str">
        <f t="shared" si="16"/>
        <v>-</v>
      </c>
      <c r="BE7" s="472" t="str">
        <f t="shared" si="17"/>
        <v>-</v>
      </c>
      <c r="BF7" s="472" t="str">
        <f t="shared" si="18"/>
        <v>-</v>
      </c>
      <c r="BG7" s="472" t="str">
        <f t="shared" si="19"/>
        <v>-</v>
      </c>
      <c r="BH7" s="472" t="str">
        <f t="shared" si="20"/>
        <v>-</v>
      </c>
      <c r="BI7" s="221" t="str">
        <f t="shared" si="21"/>
        <v>-</v>
      </c>
      <c r="BJ7" s="730"/>
      <c r="BK7" s="692"/>
      <c r="BL7" s="429"/>
      <c r="BM7" s="429"/>
      <c r="BN7" s="214">
        <f t="shared" si="22"/>
        <v>0</v>
      </c>
      <c r="BO7" s="738"/>
      <c r="BP7" s="739"/>
      <c r="BQ7" s="462"/>
      <c r="BR7" s="462"/>
      <c r="BS7" s="228">
        <f t="shared" si="23"/>
        <v>0</v>
      </c>
      <c r="BT7" s="229" t="str">
        <f t="shared" si="24"/>
        <v>-</v>
      </c>
      <c r="BU7" s="526" t="str">
        <f t="shared" si="25"/>
        <v>-</v>
      </c>
      <c r="BV7" s="526" t="str">
        <f t="shared" si="26"/>
        <v>-</v>
      </c>
      <c r="BW7" s="526" t="str">
        <f t="shared" si="27"/>
        <v>-</v>
      </c>
      <c r="BX7" s="230" t="str">
        <f t="shared" si="28"/>
        <v>-</v>
      </c>
      <c r="BY7" s="745"/>
      <c r="BZ7" s="735"/>
      <c r="CA7" s="746"/>
      <c r="CB7" s="229" t="str">
        <f t="shared" si="29"/>
        <v>-</v>
      </c>
      <c r="CC7" s="529" t="str">
        <f t="shared" si="30"/>
        <v>-</v>
      </c>
      <c r="CD7" s="230" t="str">
        <f t="shared" si="31"/>
        <v>-</v>
      </c>
    </row>
    <row r="8" spans="1:82" ht="15.6" customHeight="1">
      <c r="A8" s="175">
        <f t="shared" si="0"/>
        <v>2021</v>
      </c>
      <c r="B8" s="454" t="str">
        <f t="shared" si="1"/>
        <v>03</v>
      </c>
      <c r="C8" s="454" t="str">
        <f t="array" ref="C8">_xlfn.IFS(_xlfn.NUMBERVALUE(B8)&lt;=13,"Q1",AND(_xlfn.NUMBERVALUE(B8)&gt;13,_xlfn.NUMBERVALUE(B8)&lt;=26),"Q2", AND(_xlfn.NUMBERVALUE(B8)&gt;26,_xlfn.NUMBERVALUE(B8)&lt;=39),"Q3",_xlfn.NUMBERVALUE(B8)&gt;39,"Q4")</f>
        <v>Q1</v>
      </c>
      <c r="D8" s="448">
        <f t="shared" si="32"/>
        <v>43876</v>
      </c>
      <c r="E8" s="448">
        <f t="shared" si="2"/>
        <v>43882</v>
      </c>
      <c r="F8" s="97">
        <v>202003</v>
      </c>
      <c r="G8" s="103"/>
      <c r="H8" s="429"/>
      <c r="I8" s="429"/>
      <c r="J8" s="429"/>
      <c r="K8" s="429"/>
      <c r="L8" s="429"/>
      <c r="M8" s="429"/>
      <c r="N8" s="429"/>
      <c r="O8" s="429"/>
      <c r="P8" s="429"/>
      <c r="Q8" s="429"/>
      <c r="R8" s="429"/>
      <c r="S8" s="429"/>
      <c r="T8" s="429"/>
      <c r="U8" s="429"/>
      <c r="V8" s="429"/>
      <c r="W8" s="429"/>
      <c r="X8" s="429"/>
      <c r="Y8" s="449">
        <f t="shared" si="3"/>
        <v>0</v>
      </c>
      <c r="Z8" s="449">
        <f t="shared" si="33"/>
        <v>0</v>
      </c>
      <c r="AA8" s="214">
        <f>'Overall Metrics'!N9</f>
        <v>0</v>
      </c>
      <c r="AB8" s="110"/>
      <c r="AC8" s="430"/>
      <c r="AD8" s="430"/>
      <c r="AE8" s="430"/>
      <c r="AF8" s="430"/>
      <c r="AG8" s="430"/>
      <c r="AH8" s="430"/>
      <c r="AI8" s="430"/>
      <c r="AJ8" s="430"/>
      <c r="AK8" s="430"/>
      <c r="AL8" s="430"/>
      <c r="AM8" s="430"/>
      <c r="AN8" s="430"/>
      <c r="AO8" s="430"/>
      <c r="AP8" s="430"/>
      <c r="AQ8" s="430"/>
      <c r="AR8" s="219">
        <f t="shared" si="4"/>
        <v>0</v>
      </c>
      <c r="AS8" s="220" t="str">
        <f t="shared" si="5"/>
        <v>-</v>
      </c>
      <c r="AT8" s="472" t="str">
        <f t="shared" si="6"/>
        <v>-</v>
      </c>
      <c r="AU8" s="472" t="str">
        <f t="shared" si="7"/>
        <v>-</v>
      </c>
      <c r="AV8" s="472" t="str">
        <f t="shared" si="8"/>
        <v>-</v>
      </c>
      <c r="AW8" s="472" t="str">
        <f t="shared" si="9"/>
        <v>-</v>
      </c>
      <c r="AX8" s="472" t="str">
        <f t="shared" si="10"/>
        <v>-</v>
      </c>
      <c r="AY8" s="472" t="str">
        <f t="shared" si="11"/>
        <v>-</v>
      </c>
      <c r="AZ8" s="472" t="str">
        <f t="shared" si="12"/>
        <v>-</v>
      </c>
      <c r="BA8" s="472" t="str">
        <f t="shared" si="13"/>
        <v>-</v>
      </c>
      <c r="BB8" s="472" t="str">
        <f t="shared" si="14"/>
        <v>-</v>
      </c>
      <c r="BC8" s="472" t="str">
        <f t="shared" si="15"/>
        <v>-</v>
      </c>
      <c r="BD8" s="472" t="str">
        <f t="shared" si="16"/>
        <v>-</v>
      </c>
      <c r="BE8" s="472" t="str">
        <f t="shared" si="17"/>
        <v>-</v>
      </c>
      <c r="BF8" s="472" t="str">
        <f t="shared" si="18"/>
        <v>-</v>
      </c>
      <c r="BG8" s="472" t="str">
        <f t="shared" si="19"/>
        <v>-</v>
      </c>
      <c r="BH8" s="472" t="str">
        <f t="shared" si="20"/>
        <v>-</v>
      </c>
      <c r="BI8" s="221" t="str">
        <f t="shared" si="21"/>
        <v>-</v>
      </c>
      <c r="BJ8" s="730"/>
      <c r="BK8" s="692"/>
      <c r="BL8" s="429"/>
      <c r="BM8" s="429"/>
      <c r="BN8" s="214">
        <f t="shared" si="22"/>
        <v>0</v>
      </c>
      <c r="BO8" s="738"/>
      <c r="BP8" s="739"/>
      <c r="BQ8" s="462"/>
      <c r="BR8" s="462"/>
      <c r="BS8" s="228">
        <f t="shared" si="23"/>
        <v>0</v>
      </c>
      <c r="BT8" s="229" t="str">
        <f t="shared" si="24"/>
        <v>-</v>
      </c>
      <c r="BU8" s="526" t="str">
        <f t="shared" si="25"/>
        <v>-</v>
      </c>
      <c r="BV8" s="526" t="str">
        <f t="shared" si="26"/>
        <v>-</v>
      </c>
      <c r="BW8" s="526" t="str">
        <f t="shared" si="27"/>
        <v>-</v>
      </c>
      <c r="BX8" s="230" t="str">
        <f t="shared" si="28"/>
        <v>-</v>
      </c>
      <c r="BY8" s="745"/>
      <c r="BZ8" s="735"/>
      <c r="CA8" s="746"/>
      <c r="CB8" s="229" t="str">
        <f t="shared" si="29"/>
        <v>-</v>
      </c>
      <c r="CC8" s="529" t="str">
        <f t="shared" si="30"/>
        <v>-</v>
      </c>
      <c r="CD8" s="230" t="str">
        <f t="shared" si="31"/>
        <v>-</v>
      </c>
    </row>
    <row r="9" spans="1:82" ht="15.6" customHeight="1">
      <c r="A9" s="175">
        <f t="shared" si="0"/>
        <v>2021</v>
      </c>
      <c r="B9" s="454" t="str">
        <f t="shared" si="1"/>
        <v>04</v>
      </c>
      <c r="C9" s="454" t="str">
        <f t="array" ref="C9">_xlfn.IFS(_xlfn.NUMBERVALUE(B9)&lt;=13,"Q1",AND(_xlfn.NUMBERVALUE(B9)&gt;13,_xlfn.NUMBERVALUE(B9)&lt;=26),"Q2", AND(_xlfn.NUMBERVALUE(B9)&gt;26,_xlfn.NUMBERVALUE(B9)&lt;=39),"Q3",_xlfn.NUMBERVALUE(B9)&gt;39,"Q4")</f>
        <v>Q1</v>
      </c>
      <c r="D9" s="448">
        <f t="shared" si="32"/>
        <v>43883</v>
      </c>
      <c r="E9" s="448">
        <f t="shared" si="2"/>
        <v>43889</v>
      </c>
      <c r="F9" s="97">
        <v>202004</v>
      </c>
      <c r="G9" s="103"/>
      <c r="H9" s="429"/>
      <c r="I9" s="429"/>
      <c r="J9" s="429"/>
      <c r="K9" s="429"/>
      <c r="L9" s="429"/>
      <c r="M9" s="429"/>
      <c r="N9" s="429"/>
      <c r="O9" s="429"/>
      <c r="P9" s="429"/>
      <c r="Q9" s="429"/>
      <c r="R9" s="429"/>
      <c r="S9" s="429"/>
      <c r="T9" s="429"/>
      <c r="U9" s="429"/>
      <c r="V9" s="429"/>
      <c r="W9" s="429"/>
      <c r="X9" s="429"/>
      <c r="Y9" s="449">
        <f t="shared" si="3"/>
        <v>0</v>
      </c>
      <c r="Z9" s="449">
        <f t="shared" si="33"/>
        <v>0</v>
      </c>
      <c r="AA9" s="214">
        <f>'Overall Metrics'!N10</f>
        <v>0</v>
      </c>
      <c r="AB9" s="110"/>
      <c r="AC9" s="430"/>
      <c r="AD9" s="430"/>
      <c r="AE9" s="430"/>
      <c r="AF9" s="430"/>
      <c r="AG9" s="430"/>
      <c r="AH9" s="430"/>
      <c r="AI9" s="430"/>
      <c r="AJ9" s="430"/>
      <c r="AK9" s="430"/>
      <c r="AL9" s="430"/>
      <c r="AM9" s="430"/>
      <c r="AN9" s="430"/>
      <c r="AO9" s="430"/>
      <c r="AP9" s="430"/>
      <c r="AQ9" s="430"/>
      <c r="AR9" s="219">
        <f t="shared" si="4"/>
        <v>0</v>
      </c>
      <c r="AS9" s="220" t="str">
        <f t="shared" si="5"/>
        <v>-</v>
      </c>
      <c r="AT9" s="472" t="str">
        <f t="shared" si="6"/>
        <v>-</v>
      </c>
      <c r="AU9" s="472" t="str">
        <f t="shared" si="7"/>
        <v>-</v>
      </c>
      <c r="AV9" s="472" t="str">
        <f t="shared" si="8"/>
        <v>-</v>
      </c>
      <c r="AW9" s="472" t="str">
        <f t="shared" si="9"/>
        <v>-</v>
      </c>
      <c r="AX9" s="472" t="str">
        <f t="shared" si="10"/>
        <v>-</v>
      </c>
      <c r="AY9" s="472" t="str">
        <f t="shared" si="11"/>
        <v>-</v>
      </c>
      <c r="AZ9" s="472" t="str">
        <f t="shared" si="12"/>
        <v>-</v>
      </c>
      <c r="BA9" s="472" t="str">
        <f t="shared" si="13"/>
        <v>-</v>
      </c>
      <c r="BB9" s="472" t="str">
        <f t="shared" si="14"/>
        <v>-</v>
      </c>
      <c r="BC9" s="472" t="str">
        <f t="shared" si="15"/>
        <v>-</v>
      </c>
      <c r="BD9" s="472" t="str">
        <f t="shared" si="16"/>
        <v>-</v>
      </c>
      <c r="BE9" s="472" t="str">
        <f t="shared" si="17"/>
        <v>-</v>
      </c>
      <c r="BF9" s="472" t="str">
        <f t="shared" si="18"/>
        <v>-</v>
      </c>
      <c r="BG9" s="472" t="str">
        <f t="shared" si="19"/>
        <v>-</v>
      </c>
      <c r="BH9" s="472" t="str">
        <f t="shared" si="20"/>
        <v>-</v>
      </c>
      <c r="BI9" s="221" t="str">
        <f t="shared" si="21"/>
        <v>-</v>
      </c>
      <c r="BJ9" s="730"/>
      <c r="BK9" s="692"/>
      <c r="BL9" s="429"/>
      <c r="BM9" s="429"/>
      <c r="BN9" s="214">
        <f t="shared" si="22"/>
        <v>0</v>
      </c>
      <c r="BO9" s="738"/>
      <c r="BP9" s="739"/>
      <c r="BQ9" s="462"/>
      <c r="BR9" s="462"/>
      <c r="BS9" s="228">
        <f t="shared" si="23"/>
        <v>0</v>
      </c>
      <c r="BT9" s="229" t="str">
        <f t="shared" si="24"/>
        <v>-</v>
      </c>
      <c r="BU9" s="526" t="str">
        <f t="shared" si="25"/>
        <v>-</v>
      </c>
      <c r="BV9" s="526" t="str">
        <f t="shared" si="26"/>
        <v>-</v>
      </c>
      <c r="BW9" s="526" t="str">
        <f t="shared" si="27"/>
        <v>-</v>
      </c>
      <c r="BX9" s="230" t="str">
        <f t="shared" si="28"/>
        <v>-</v>
      </c>
      <c r="BY9" s="745"/>
      <c r="BZ9" s="735"/>
      <c r="CA9" s="746"/>
      <c r="CB9" s="229" t="str">
        <f t="shared" si="29"/>
        <v>-</v>
      </c>
      <c r="CC9" s="529" t="str">
        <f t="shared" si="30"/>
        <v>-</v>
      </c>
      <c r="CD9" s="230" t="str">
        <f t="shared" si="31"/>
        <v>-</v>
      </c>
    </row>
    <row r="10" spans="1:82" ht="15.6" customHeight="1">
      <c r="A10" s="175">
        <f t="shared" si="0"/>
        <v>2021</v>
      </c>
      <c r="B10" s="454" t="str">
        <f t="shared" si="1"/>
        <v>05</v>
      </c>
      <c r="C10" s="454" t="str">
        <f t="array" ref="C10">_xlfn.IFS(_xlfn.NUMBERVALUE(B10)&lt;=13,"Q1",AND(_xlfn.NUMBERVALUE(B10)&gt;13,_xlfn.NUMBERVALUE(B10)&lt;=26),"Q2", AND(_xlfn.NUMBERVALUE(B10)&gt;26,_xlfn.NUMBERVALUE(B10)&lt;=39),"Q3",_xlfn.NUMBERVALUE(B10)&gt;39,"Q4")</f>
        <v>Q1</v>
      </c>
      <c r="D10" s="448">
        <f t="shared" si="32"/>
        <v>43890</v>
      </c>
      <c r="E10" s="448">
        <f t="shared" si="2"/>
        <v>43896</v>
      </c>
      <c r="F10" s="97">
        <v>202005</v>
      </c>
      <c r="G10" s="103"/>
      <c r="H10" s="429"/>
      <c r="I10" s="429"/>
      <c r="J10" s="429"/>
      <c r="K10" s="429"/>
      <c r="L10" s="429"/>
      <c r="M10" s="429"/>
      <c r="N10" s="429"/>
      <c r="O10" s="429"/>
      <c r="P10" s="429"/>
      <c r="Q10" s="429"/>
      <c r="R10" s="429"/>
      <c r="S10" s="429"/>
      <c r="T10" s="429"/>
      <c r="U10" s="429"/>
      <c r="V10" s="429"/>
      <c r="W10" s="429"/>
      <c r="X10" s="429"/>
      <c r="Y10" s="449">
        <f t="shared" si="3"/>
        <v>0</v>
      </c>
      <c r="Z10" s="449">
        <f t="shared" si="33"/>
        <v>0</v>
      </c>
      <c r="AA10" s="214">
        <f>'Overall Metrics'!N11</f>
        <v>0</v>
      </c>
      <c r="AB10" s="110"/>
      <c r="AC10" s="430"/>
      <c r="AD10" s="430"/>
      <c r="AE10" s="430"/>
      <c r="AF10" s="430"/>
      <c r="AG10" s="430"/>
      <c r="AH10" s="430"/>
      <c r="AI10" s="430"/>
      <c r="AJ10" s="430"/>
      <c r="AK10" s="430"/>
      <c r="AL10" s="430"/>
      <c r="AM10" s="430"/>
      <c r="AN10" s="430"/>
      <c r="AO10" s="430"/>
      <c r="AP10" s="430"/>
      <c r="AQ10" s="430"/>
      <c r="AR10" s="219">
        <f t="shared" si="4"/>
        <v>0</v>
      </c>
      <c r="AS10" s="220" t="str">
        <f t="shared" si="5"/>
        <v>-</v>
      </c>
      <c r="AT10" s="472" t="str">
        <f t="shared" si="6"/>
        <v>-</v>
      </c>
      <c r="AU10" s="472" t="str">
        <f t="shared" si="7"/>
        <v>-</v>
      </c>
      <c r="AV10" s="472" t="str">
        <f t="shared" si="8"/>
        <v>-</v>
      </c>
      <c r="AW10" s="472" t="str">
        <f t="shared" si="9"/>
        <v>-</v>
      </c>
      <c r="AX10" s="472" t="str">
        <f t="shared" si="10"/>
        <v>-</v>
      </c>
      <c r="AY10" s="472" t="str">
        <f t="shared" si="11"/>
        <v>-</v>
      </c>
      <c r="AZ10" s="472" t="str">
        <f t="shared" si="12"/>
        <v>-</v>
      </c>
      <c r="BA10" s="472" t="str">
        <f t="shared" si="13"/>
        <v>-</v>
      </c>
      <c r="BB10" s="472" t="str">
        <f t="shared" si="14"/>
        <v>-</v>
      </c>
      <c r="BC10" s="472" t="str">
        <f t="shared" si="15"/>
        <v>-</v>
      </c>
      <c r="BD10" s="472" t="str">
        <f t="shared" si="16"/>
        <v>-</v>
      </c>
      <c r="BE10" s="472" t="str">
        <f t="shared" si="17"/>
        <v>-</v>
      </c>
      <c r="BF10" s="472" t="str">
        <f t="shared" si="18"/>
        <v>-</v>
      </c>
      <c r="BG10" s="472" t="str">
        <f t="shared" si="19"/>
        <v>-</v>
      </c>
      <c r="BH10" s="472" t="str">
        <f t="shared" si="20"/>
        <v>-</v>
      </c>
      <c r="BI10" s="221" t="str">
        <f t="shared" si="21"/>
        <v>-</v>
      </c>
      <c r="BJ10" s="730"/>
      <c r="BK10" s="692"/>
      <c r="BL10" s="429"/>
      <c r="BM10" s="429"/>
      <c r="BN10" s="214">
        <f t="shared" si="22"/>
        <v>0</v>
      </c>
      <c r="BO10" s="738"/>
      <c r="BP10" s="739"/>
      <c r="BQ10" s="462"/>
      <c r="BR10" s="462"/>
      <c r="BS10" s="228">
        <f t="shared" si="23"/>
        <v>0</v>
      </c>
      <c r="BT10" s="229" t="str">
        <f t="shared" si="24"/>
        <v>-</v>
      </c>
      <c r="BU10" s="526" t="str">
        <f t="shared" si="25"/>
        <v>-</v>
      </c>
      <c r="BV10" s="526" t="str">
        <f t="shared" si="26"/>
        <v>-</v>
      </c>
      <c r="BW10" s="526" t="str">
        <f t="shared" si="27"/>
        <v>-</v>
      </c>
      <c r="BX10" s="230" t="str">
        <f t="shared" si="28"/>
        <v>-</v>
      </c>
      <c r="BY10" s="745"/>
      <c r="BZ10" s="735"/>
      <c r="CA10" s="746"/>
      <c r="CB10" s="229" t="str">
        <f t="shared" si="29"/>
        <v>-</v>
      </c>
      <c r="CC10" s="529" t="str">
        <f t="shared" si="30"/>
        <v>-</v>
      </c>
      <c r="CD10" s="230" t="str">
        <f t="shared" si="31"/>
        <v>-</v>
      </c>
    </row>
    <row r="11" spans="1:82" ht="15.6" customHeight="1">
      <c r="A11" s="175">
        <f t="shared" si="0"/>
        <v>2021</v>
      </c>
      <c r="B11" s="454" t="str">
        <f t="shared" si="1"/>
        <v>06</v>
      </c>
      <c r="C11" s="454" t="str">
        <f t="array" ref="C11">_xlfn.IFS(_xlfn.NUMBERVALUE(B11)&lt;=13,"Q1",AND(_xlfn.NUMBERVALUE(B11)&gt;13,_xlfn.NUMBERVALUE(B11)&lt;=26),"Q2", AND(_xlfn.NUMBERVALUE(B11)&gt;26,_xlfn.NUMBERVALUE(B11)&lt;=39),"Q3",_xlfn.NUMBERVALUE(B11)&gt;39,"Q4")</f>
        <v>Q1</v>
      </c>
      <c r="D11" s="448">
        <f t="shared" si="32"/>
        <v>43897</v>
      </c>
      <c r="E11" s="448">
        <f t="shared" si="2"/>
        <v>43903</v>
      </c>
      <c r="F11" s="97">
        <v>202006</v>
      </c>
      <c r="G11" s="103"/>
      <c r="H11" s="429"/>
      <c r="I11" s="429"/>
      <c r="J11" s="429"/>
      <c r="K11" s="429"/>
      <c r="L11" s="429"/>
      <c r="M11" s="429"/>
      <c r="N11" s="429"/>
      <c r="O11" s="429"/>
      <c r="P11" s="429"/>
      <c r="Q11" s="429"/>
      <c r="R11" s="429"/>
      <c r="S11" s="429"/>
      <c r="T11" s="429"/>
      <c r="U11" s="429"/>
      <c r="V11" s="429"/>
      <c r="W11" s="429"/>
      <c r="X11" s="429"/>
      <c r="Y11" s="449">
        <f t="shared" si="3"/>
        <v>0</v>
      </c>
      <c r="Z11" s="449">
        <f t="shared" si="33"/>
        <v>0</v>
      </c>
      <c r="AA11" s="214">
        <f>'Overall Metrics'!N12</f>
        <v>0</v>
      </c>
      <c r="AB11" s="110"/>
      <c r="AC11" s="430"/>
      <c r="AD11" s="430"/>
      <c r="AE11" s="430"/>
      <c r="AF11" s="430"/>
      <c r="AG11" s="430"/>
      <c r="AH11" s="430"/>
      <c r="AI11" s="430"/>
      <c r="AJ11" s="430"/>
      <c r="AK11" s="430"/>
      <c r="AL11" s="430"/>
      <c r="AM11" s="430"/>
      <c r="AN11" s="430"/>
      <c r="AO11" s="430"/>
      <c r="AP11" s="430"/>
      <c r="AQ11" s="430"/>
      <c r="AR11" s="219">
        <f t="shared" si="4"/>
        <v>0</v>
      </c>
      <c r="AS11" s="220" t="str">
        <f t="shared" si="5"/>
        <v>-</v>
      </c>
      <c r="AT11" s="472" t="str">
        <f t="shared" si="6"/>
        <v>-</v>
      </c>
      <c r="AU11" s="472" t="str">
        <f t="shared" si="7"/>
        <v>-</v>
      </c>
      <c r="AV11" s="472" t="str">
        <f t="shared" si="8"/>
        <v>-</v>
      </c>
      <c r="AW11" s="472" t="str">
        <f t="shared" si="9"/>
        <v>-</v>
      </c>
      <c r="AX11" s="472" t="str">
        <f t="shared" si="10"/>
        <v>-</v>
      </c>
      <c r="AY11" s="472" t="str">
        <f t="shared" si="11"/>
        <v>-</v>
      </c>
      <c r="AZ11" s="472" t="str">
        <f t="shared" si="12"/>
        <v>-</v>
      </c>
      <c r="BA11" s="472" t="str">
        <f t="shared" si="13"/>
        <v>-</v>
      </c>
      <c r="BB11" s="472" t="str">
        <f t="shared" si="14"/>
        <v>-</v>
      </c>
      <c r="BC11" s="472" t="str">
        <f t="shared" si="15"/>
        <v>-</v>
      </c>
      <c r="BD11" s="472" t="str">
        <f t="shared" si="16"/>
        <v>-</v>
      </c>
      <c r="BE11" s="472" t="str">
        <f t="shared" si="17"/>
        <v>-</v>
      </c>
      <c r="BF11" s="472" t="str">
        <f t="shared" si="18"/>
        <v>-</v>
      </c>
      <c r="BG11" s="472" t="str">
        <f t="shared" si="19"/>
        <v>-</v>
      </c>
      <c r="BH11" s="472" t="str">
        <f t="shared" si="20"/>
        <v>-</v>
      </c>
      <c r="BI11" s="221" t="str">
        <f t="shared" si="21"/>
        <v>-</v>
      </c>
      <c r="BJ11" s="730"/>
      <c r="BK11" s="692"/>
      <c r="BL11" s="429"/>
      <c r="BM11" s="429"/>
      <c r="BN11" s="214">
        <f t="shared" si="22"/>
        <v>0</v>
      </c>
      <c r="BO11" s="738"/>
      <c r="BP11" s="739"/>
      <c r="BQ11" s="462"/>
      <c r="BR11" s="462"/>
      <c r="BS11" s="228">
        <f t="shared" si="23"/>
        <v>0</v>
      </c>
      <c r="BT11" s="229" t="str">
        <f t="shared" si="24"/>
        <v>-</v>
      </c>
      <c r="BU11" s="526" t="str">
        <f t="shared" si="25"/>
        <v>-</v>
      </c>
      <c r="BV11" s="526" t="str">
        <f t="shared" si="26"/>
        <v>-</v>
      </c>
      <c r="BW11" s="526" t="str">
        <f t="shared" si="27"/>
        <v>-</v>
      </c>
      <c r="BX11" s="230" t="str">
        <f t="shared" si="28"/>
        <v>-</v>
      </c>
      <c r="BY11" s="745"/>
      <c r="BZ11" s="735"/>
      <c r="CA11" s="746"/>
      <c r="CB11" s="229" t="str">
        <f t="shared" si="29"/>
        <v>-</v>
      </c>
      <c r="CC11" s="529" t="str">
        <f t="shared" si="30"/>
        <v>-</v>
      </c>
      <c r="CD11" s="230" t="str">
        <f t="shared" si="31"/>
        <v>-</v>
      </c>
    </row>
    <row r="12" spans="1:82" ht="15.6" customHeight="1">
      <c r="A12" s="175">
        <f t="shared" si="0"/>
        <v>2021</v>
      </c>
      <c r="B12" s="454" t="str">
        <f t="shared" si="1"/>
        <v>07</v>
      </c>
      <c r="C12" s="454" t="str">
        <f t="array" ref="C12">_xlfn.IFS(_xlfn.NUMBERVALUE(B12)&lt;=13,"Q1",AND(_xlfn.NUMBERVALUE(B12)&gt;13,_xlfn.NUMBERVALUE(B12)&lt;=26),"Q2", AND(_xlfn.NUMBERVALUE(B12)&gt;26,_xlfn.NUMBERVALUE(B12)&lt;=39),"Q3",_xlfn.NUMBERVALUE(B12)&gt;39,"Q4")</f>
        <v>Q1</v>
      </c>
      <c r="D12" s="448">
        <f t="shared" si="32"/>
        <v>43904</v>
      </c>
      <c r="E12" s="448">
        <f t="shared" si="2"/>
        <v>43910</v>
      </c>
      <c r="F12" s="97">
        <v>202007</v>
      </c>
      <c r="G12" s="103"/>
      <c r="H12" s="429"/>
      <c r="I12" s="429"/>
      <c r="J12" s="429"/>
      <c r="K12" s="429"/>
      <c r="L12" s="429"/>
      <c r="M12" s="429"/>
      <c r="N12" s="429"/>
      <c r="O12" s="429"/>
      <c r="P12" s="429"/>
      <c r="Q12" s="429"/>
      <c r="R12" s="429"/>
      <c r="S12" s="429"/>
      <c r="T12" s="429"/>
      <c r="U12" s="429"/>
      <c r="V12" s="429"/>
      <c r="W12" s="429"/>
      <c r="X12" s="429"/>
      <c r="Y12" s="449">
        <f t="shared" si="3"/>
        <v>0</v>
      </c>
      <c r="Z12" s="449">
        <f t="shared" si="33"/>
        <v>0</v>
      </c>
      <c r="AA12" s="214">
        <f>'Overall Metrics'!N13</f>
        <v>0</v>
      </c>
      <c r="AB12" s="110"/>
      <c r="AC12" s="430"/>
      <c r="AD12" s="430"/>
      <c r="AE12" s="430"/>
      <c r="AF12" s="430"/>
      <c r="AG12" s="430"/>
      <c r="AH12" s="430"/>
      <c r="AI12" s="430"/>
      <c r="AJ12" s="430"/>
      <c r="AK12" s="430"/>
      <c r="AL12" s="430"/>
      <c r="AM12" s="430"/>
      <c r="AN12" s="430"/>
      <c r="AO12" s="430"/>
      <c r="AP12" s="430"/>
      <c r="AQ12" s="430"/>
      <c r="AR12" s="219">
        <f t="shared" si="4"/>
        <v>0</v>
      </c>
      <c r="AS12" s="220" t="str">
        <f t="shared" si="5"/>
        <v>-</v>
      </c>
      <c r="AT12" s="472" t="str">
        <f t="shared" si="6"/>
        <v>-</v>
      </c>
      <c r="AU12" s="472" t="str">
        <f t="shared" si="7"/>
        <v>-</v>
      </c>
      <c r="AV12" s="472" t="str">
        <f t="shared" si="8"/>
        <v>-</v>
      </c>
      <c r="AW12" s="472" t="str">
        <f t="shared" si="9"/>
        <v>-</v>
      </c>
      <c r="AX12" s="472" t="str">
        <f t="shared" si="10"/>
        <v>-</v>
      </c>
      <c r="AY12" s="472" t="str">
        <f t="shared" si="11"/>
        <v>-</v>
      </c>
      <c r="AZ12" s="472" t="str">
        <f t="shared" si="12"/>
        <v>-</v>
      </c>
      <c r="BA12" s="472" t="str">
        <f t="shared" si="13"/>
        <v>-</v>
      </c>
      <c r="BB12" s="472" t="str">
        <f t="shared" si="14"/>
        <v>-</v>
      </c>
      <c r="BC12" s="472" t="str">
        <f t="shared" si="15"/>
        <v>-</v>
      </c>
      <c r="BD12" s="472" t="str">
        <f t="shared" si="16"/>
        <v>-</v>
      </c>
      <c r="BE12" s="472" t="str">
        <f t="shared" si="17"/>
        <v>-</v>
      </c>
      <c r="BF12" s="472" t="str">
        <f t="shared" si="18"/>
        <v>-</v>
      </c>
      <c r="BG12" s="472" t="str">
        <f t="shared" si="19"/>
        <v>-</v>
      </c>
      <c r="BH12" s="472" t="str">
        <f t="shared" si="20"/>
        <v>-</v>
      </c>
      <c r="BI12" s="221" t="str">
        <f t="shared" si="21"/>
        <v>-</v>
      </c>
      <c r="BJ12" s="730"/>
      <c r="BK12" s="692"/>
      <c r="BL12" s="429"/>
      <c r="BM12" s="429"/>
      <c r="BN12" s="214">
        <f t="shared" si="22"/>
        <v>0</v>
      </c>
      <c r="BO12" s="738"/>
      <c r="BP12" s="739"/>
      <c r="BQ12" s="462"/>
      <c r="BR12" s="462"/>
      <c r="BS12" s="228">
        <f t="shared" si="23"/>
        <v>0</v>
      </c>
      <c r="BT12" s="229" t="str">
        <f t="shared" si="24"/>
        <v>-</v>
      </c>
      <c r="BU12" s="526" t="str">
        <f t="shared" si="25"/>
        <v>-</v>
      </c>
      <c r="BV12" s="526" t="str">
        <f t="shared" si="26"/>
        <v>-</v>
      </c>
      <c r="BW12" s="526" t="str">
        <f t="shared" si="27"/>
        <v>-</v>
      </c>
      <c r="BX12" s="230" t="str">
        <f t="shared" si="28"/>
        <v>-</v>
      </c>
      <c r="BY12" s="745"/>
      <c r="BZ12" s="735"/>
      <c r="CA12" s="746"/>
      <c r="CB12" s="229" t="str">
        <f t="shared" si="29"/>
        <v>-</v>
      </c>
      <c r="CC12" s="529" t="str">
        <f t="shared" si="30"/>
        <v>-</v>
      </c>
      <c r="CD12" s="230" t="str">
        <f t="shared" si="31"/>
        <v>-</v>
      </c>
    </row>
    <row r="13" spans="1:82" ht="15.6" customHeight="1">
      <c r="A13" s="175">
        <f t="shared" si="0"/>
        <v>2021</v>
      </c>
      <c r="B13" s="454" t="str">
        <f t="shared" si="1"/>
        <v>08</v>
      </c>
      <c r="C13" s="454" t="str">
        <f t="array" ref="C13">_xlfn.IFS(_xlfn.NUMBERVALUE(B13)&lt;=13,"Q1",AND(_xlfn.NUMBERVALUE(B13)&gt;13,_xlfn.NUMBERVALUE(B13)&lt;=26),"Q2", AND(_xlfn.NUMBERVALUE(B13)&gt;26,_xlfn.NUMBERVALUE(B13)&lt;=39),"Q3",_xlfn.NUMBERVALUE(B13)&gt;39,"Q4")</f>
        <v>Q1</v>
      </c>
      <c r="D13" s="448">
        <f t="shared" si="32"/>
        <v>43911</v>
      </c>
      <c r="E13" s="448">
        <f t="shared" si="2"/>
        <v>43917</v>
      </c>
      <c r="F13" s="97">
        <v>202008</v>
      </c>
      <c r="G13" s="103"/>
      <c r="H13" s="429"/>
      <c r="I13" s="429"/>
      <c r="J13" s="429"/>
      <c r="K13" s="429"/>
      <c r="L13" s="429"/>
      <c r="M13" s="429"/>
      <c r="N13" s="429"/>
      <c r="O13" s="429"/>
      <c r="P13" s="429"/>
      <c r="Q13" s="429"/>
      <c r="R13" s="429"/>
      <c r="S13" s="429"/>
      <c r="T13" s="429"/>
      <c r="U13" s="429"/>
      <c r="V13" s="429"/>
      <c r="W13" s="429"/>
      <c r="X13" s="429"/>
      <c r="Y13" s="449">
        <f t="shared" si="3"/>
        <v>0</v>
      </c>
      <c r="Z13" s="449">
        <f t="shared" si="33"/>
        <v>0</v>
      </c>
      <c r="AA13" s="214">
        <f>'Overall Metrics'!N14</f>
        <v>0</v>
      </c>
      <c r="AB13" s="110"/>
      <c r="AC13" s="430"/>
      <c r="AD13" s="430"/>
      <c r="AE13" s="430"/>
      <c r="AF13" s="430"/>
      <c r="AG13" s="430"/>
      <c r="AH13" s="430"/>
      <c r="AI13" s="430"/>
      <c r="AJ13" s="430"/>
      <c r="AK13" s="430"/>
      <c r="AL13" s="430"/>
      <c r="AM13" s="430"/>
      <c r="AN13" s="430"/>
      <c r="AO13" s="430"/>
      <c r="AP13" s="430"/>
      <c r="AQ13" s="430"/>
      <c r="AR13" s="219">
        <f t="shared" si="4"/>
        <v>0</v>
      </c>
      <c r="AS13" s="220" t="str">
        <f t="shared" si="5"/>
        <v>-</v>
      </c>
      <c r="AT13" s="472" t="str">
        <f t="shared" si="6"/>
        <v>-</v>
      </c>
      <c r="AU13" s="472" t="str">
        <f t="shared" si="7"/>
        <v>-</v>
      </c>
      <c r="AV13" s="472" t="str">
        <f t="shared" si="8"/>
        <v>-</v>
      </c>
      <c r="AW13" s="472" t="str">
        <f t="shared" si="9"/>
        <v>-</v>
      </c>
      <c r="AX13" s="472" t="str">
        <f t="shared" si="10"/>
        <v>-</v>
      </c>
      <c r="AY13" s="472" t="str">
        <f t="shared" si="11"/>
        <v>-</v>
      </c>
      <c r="AZ13" s="472" t="str">
        <f t="shared" si="12"/>
        <v>-</v>
      </c>
      <c r="BA13" s="472" t="str">
        <f t="shared" si="13"/>
        <v>-</v>
      </c>
      <c r="BB13" s="472" t="str">
        <f t="shared" si="14"/>
        <v>-</v>
      </c>
      <c r="BC13" s="472" t="str">
        <f t="shared" si="15"/>
        <v>-</v>
      </c>
      <c r="BD13" s="472" t="str">
        <f t="shared" si="16"/>
        <v>-</v>
      </c>
      <c r="BE13" s="472" t="str">
        <f t="shared" si="17"/>
        <v>-</v>
      </c>
      <c r="BF13" s="472" t="str">
        <f t="shared" si="18"/>
        <v>-</v>
      </c>
      <c r="BG13" s="472" t="str">
        <f t="shared" si="19"/>
        <v>-</v>
      </c>
      <c r="BH13" s="472" t="str">
        <f t="shared" si="20"/>
        <v>-</v>
      </c>
      <c r="BI13" s="221" t="str">
        <f t="shared" si="21"/>
        <v>-</v>
      </c>
      <c r="BJ13" s="730"/>
      <c r="BK13" s="692"/>
      <c r="BL13" s="429"/>
      <c r="BM13" s="429"/>
      <c r="BN13" s="214">
        <f t="shared" si="22"/>
        <v>0</v>
      </c>
      <c r="BO13" s="738"/>
      <c r="BP13" s="739"/>
      <c r="BQ13" s="462"/>
      <c r="BR13" s="462"/>
      <c r="BS13" s="228">
        <f t="shared" si="23"/>
        <v>0</v>
      </c>
      <c r="BT13" s="229" t="str">
        <f t="shared" si="24"/>
        <v>-</v>
      </c>
      <c r="BU13" s="526" t="str">
        <f t="shared" si="25"/>
        <v>-</v>
      </c>
      <c r="BV13" s="526" t="str">
        <f t="shared" si="26"/>
        <v>-</v>
      </c>
      <c r="BW13" s="526" t="str">
        <f t="shared" si="27"/>
        <v>-</v>
      </c>
      <c r="BX13" s="230" t="str">
        <f t="shared" si="28"/>
        <v>-</v>
      </c>
      <c r="BY13" s="745"/>
      <c r="BZ13" s="735"/>
      <c r="CA13" s="746"/>
      <c r="CB13" s="229" t="str">
        <f t="shared" si="29"/>
        <v>-</v>
      </c>
      <c r="CC13" s="529" t="str">
        <f t="shared" si="30"/>
        <v>-</v>
      </c>
      <c r="CD13" s="230" t="str">
        <f t="shared" si="31"/>
        <v>-</v>
      </c>
    </row>
    <row r="14" spans="1:82" ht="15.6" customHeight="1">
      <c r="A14" s="175">
        <f t="shared" si="0"/>
        <v>2021</v>
      </c>
      <c r="B14" s="454" t="str">
        <f t="shared" si="1"/>
        <v>09</v>
      </c>
      <c r="C14" s="454" t="str">
        <f t="array" ref="C14">_xlfn.IFS(_xlfn.NUMBERVALUE(B14)&lt;=13,"Q1",AND(_xlfn.NUMBERVALUE(B14)&gt;13,_xlfn.NUMBERVALUE(B14)&lt;=26),"Q2", AND(_xlfn.NUMBERVALUE(B14)&gt;26,_xlfn.NUMBERVALUE(B14)&lt;=39),"Q3",_xlfn.NUMBERVALUE(B14)&gt;39,"Q4")</f>
        <v>Q1</v>
      </c>
      <c r="D14" s="448">
        <f t="shared" si="32"/>
        <v>43918</v>
      </c>
      <c r="E14" s="448">
        <f t="shared" si="2"/>
        <v>43924</v>
      </c>
      <c r="F14" s="97">
        <v>202009</v>
      </c>
      <c r="G14" s="103"/>
      <c r="H14" s="429"/>
      <c r="I14" s="429"/>
      <c r="J14" s="429"/>
      <c r="K14" s="429"/>
      <c r="L14" s="429"/>
      <c r="M14" s="429"/>
      <c r="N14" s="429"/>
      <c r="O14" s="429"/>
      <c r="P14" s="429"/>
      <c r="Q14" s="429"/>
      <c r="R14" s="429"/>
      <c r="S14" s="429"/>
      <c r="T14" s="429"/>
      <c r="U14" s="429"/>
      <c r="V14" s="429"/>
      <c r="W14" s="429"/>
      <c r="X14" s="429"/>
      <c r="Y14" s="449">
        <f t="shared" si="3"/>
        <v>0</v>
      </c>
      <c r="Z14" s="449">
        <f t="shared" si="33"/>
        <v>0</v>
      </c>
      <c r="AA14" s="214">
        <f>'Overall Metrics'!N15</f>
        <v>0</v>
      </c>
      <c r="AB14" s="110"/>
      <c r="AC14" s="430"/>
      <c r="AD14" s="430"/>
      <c r="AE14" s="430"/>
      <c r="AF14" s="430"/>
      <c r="AG14" s="430"/>
      <c r="AH14" s="430"/>
      <c r="AI14" s="430"/>
      <c r="AJ14" s="430"/>
      <c r="AK14" s="430"/>
      <c r="AL14" s="430"/>
      <c r="AM14" s="430"/>
      <c r="AN14" s="430"/>
      <c r="AO14" s="430"/>
      <c r="AP14" s="430"/>
      <c r="AQ14" s="430"/>
      <c r="AR14" s="219">
        <f t="shared" si="4"/>
        <v>0</v>
      </c>
      <c r="AS14" s="220" t="str">
        <f t="shared" si="5"/>
        <v>-</v>
      </c>
      <c r="AT14" s="472" t="str">
        <f t="shared" si="6"/>
        <v>-</v>
      </c>
      <c r="AU14" s="472" t="str">
        <f t="shared" si="7"/>
        <v>-</v>
      </c>
      <c r="AV14" s="472" t="str">
        <f t="shared" si="8"/>
        <v>-</v>
      </c>
      <c r="AW14" s="472" t="str">
        <f t="shared" si="9"/>
        <v>-</v>
      </c>
      <c r="AX14" s="472" t="str">
        <f t="shared" si="10"/>
        <v>-</v>
      </c>
      <c r="AY14" s="472" t="str">
        <f t="shared" si="11"/>
        <v>-</v>
      </c>
      <c r="AZ14" s="472" t="str">
        <f t="shared" si="12"/>
        <v>-</v>
      </c>
      <c r="BA14" s="472" t="str">
        <f t="shared" si="13"/>
        <v>-</v>
      </c>
      <c r="BB14" s="472" t="str">
        <f t="shared" si="14"/>
        <v>-</v>
      </c>
      <c r="BC14" s="472" t="str">
        <f t="shared" si="15"/>
        <v>-</v>
      </c>
      <c r="BD14" s="472" t="str">
        <f t="shared" si="16"/>
        <v>-</v>
      </c>
      <c r="BE14" s="472" t="str">
        <f t="shared" si="17"/>
        <v>-</v>
      </c>
      <c r="BF14" s="472" t="str">
        <f t="shared" si="18"/>
        <v>-</v>
      </c>
      <c r="BG14" s="472" t="str">
        <f t="shared" si="19"/>
        <v>-</v>
      </c>
      <c r="BH14" s="472" t="str">
        <f t="shared" si="20"/>
        <v>-</v>
      </c>
      <c r="BI14" s="221" t="str">
        <f t="shared" si="21"/>
        <v>-</v>
      </c>
      <c r="BJ14" s="730"/>
      <c r="BK14" s="692"/>
      <c r="BL14" s="429"/>
      <c r="BM14" s="429"/>
      <c r="BN14" s="214">
        <f t="shared" si="22"/>
        <v>0</v>
      </c>
      <c r="BO14" s="738"/>
      <c r="BP14" s="739"/>
      <c r="BQ14" s="462"/>
      <c r="BR14" s="462"/>
      <c r="BS14" s="228">
        <f t="shared" si="23"/>
        <v>0</v>
      </c>
      <c r="BT14" s="229" t="str">
        <f t="shared" si="24"/>
        <v>-</v>
      </c>
      <c r="BU14" s="526" t="str">
        <f t="shared" si="25"/>
        <v>-</v>
      </c>
      <c r="BV14" s="526" t="str">
        <f t="shared" si="26"/>
        <v>-</v>
      </c>
      <c r="BW14" s="526" t="str">
        <f t="shared" si="27"/>
        <v>-</v>
      </c>
      <c r="BX14" s="230" t="str">
        <f t="shared" si="28"/>
        <v>-</v>
      </c>
      <c r="BY14" s="745"/>
      <c r="BZ14" s="735"/>
      <c r="CA14" s="746"/>
      <c r="CB14" s="229" t="str">
        <f t="shared" si="29"/>
        <v>-</v>
      </c>
      <c r="CC14" s="529" t="str">
        <f t="shared" si="30"/>
        <v>-</v>
      </c>
      <c r="CD14" s="230" t="str">
        <f t="shared" si="31"/>
        <v>-</v>
      </c>
    </row>
    <row r="15" spans="1:82" ht="15.6" customHeight="1">
      <c r="A15" s="175">
        <f t="shared" si="0"/>
        <v>2021</v>
      </c>
      <c r="B15" s="454" t="str">
        <f t="shared" si="1"/>
        <v>10</v>
      </c>
      <c r="C15" s="454" t="str">
        <f t="array" ref="C15">_xlfn.IFS(_xlfn.NUMBERVALUE(B15)&lt;=13,"Q1",AND(_xlfn.NUMBERVALUE(B15)&gt;13,_xlfn.NUMBERVALUE(B15)&lt;=26),"Q2", AND(_xlfn.NUMBERVALUE(B15)&gt;26,_xlfn.NUMBERVALUE(B15)&lt;=39),"Q3",_xlfn.NUMBERVALUE(B15)&gt;39,"Q4")</f>
        <v>Q1</v>
      </c>
      <c r="D15" s="448">
        <f t="shared" si="32"/>
        <v>43925</v>
      </c>
      <c r="E15" s="448">
        <f t="shared" si="2"/>
        <v>43931</v>
      </c>
      <c r="F15" s="97">
        <v>202010</v>
      </c>
      <c r="G15" s="103"/>
      <c r="H15" s="429"/>
      <c r="I15" s="429"/>
      <c r="J15" s="429"/>
      <c r="K15" s="429"/>
      <c r="L15" s="429"/>
      <c r="M15" s="429"/>
      <c r="N15" s="429"/>
      <c r="O15" s="429"/>
      <c r="P15" s="429"/>
      <c r="Q15" s="429"/>
      <c r="R15" s="429"/>
      <c r="S15" s="429"/>
      <c r="T15" s="429"/>
      <c r="U15" s="429"/>
      <c r="V15" s="429"/>
      <c r="W15" s="429"/>
      <c r="X15" s="429"/>
      <c r="Y15" s="449">
        <f t="shared" si="3"/>
        <v>0</v>
      </c>
      <c r="Z15" s="449">
        <f t="shared" si="33"/>
        <v>0</v>
      </c>
      <c r="AA15" s="214">
        <f>'Overall Metrics'!N16</f>
        <v>0</v>
      </c>
      <c r="AB15" s="110"/>
      <c r="AC15" s="430"/>
      <c r="AD15" s="430"/>
      <c r="AE15" s="430"/>
      <c r="AF15" s="430"/>
      <c r="AG15" s="430"/>
      <c r="AH15" s="430"/>
      <c r="AI15" s="430"/>
      <c r="AJ15" s="430"/>
      <c r="AK15" s="430"/>
      <c r="AL15" s="430"/>
      <c r="AM15" s="430"/>
      <c r="AN15" s="430"/>
      <c r="AO15" s="430"/>
      <c r="AP15" s="430"/>
      <c r="AQ15" s="430"/>
      <c r="AR15" s="219">
        <f t="shared" si="4"/>
        <v>0</v>
      </c>
      <c r="AS15" s="220" t="str">
        <f t="shared" si="5"/>
        <v>-</v>
      </c>
      <c r="AT15" s="472" t="str">
        <f t="shared" si="6"/>
        <v>-</v>
      </c>
      <c r="AU15" s="472" t="str">
        <f t="shared" si="7"/>
        <v>-</v>
      </c>
      <c r="AV15" s="472" t="str">
        <f t="shared" si="8"/>
        <v>-</v>
      </c>
      <c r="AW15" s="472" t="str">
        <f t="shared" si="9"/>
        <v>-</v>
      </c>
      <c r="AX15" s="472" t="str">
        <f t="shared" si="10"/>
        <v>-</v>
      </c>
      <c r="AY15" s="472" t="str">
        <f t="shared" si="11"/>
        <v>-</v>
      </c>
      <c r="AZ15" s="472" t="str">
        <f t="shared" si="12"/>
        <v>-</v>
      </c>
      <c r="BA15" s="472" t="str">
        <f t="shared" si="13"/>
        <v>-</v>
      </c>
      <c r="BB15" s="472" t="str">
        <f t="shared" si="14"/>
        <v>-</v>
      </c>
      <c r="BC15" s="472" t="str">
        <f t="shared" si="15"/>
        <v>-</v>
      </c>
      <c r="BD15" s="472" t="str">
        <f t="shared" si="16"/>
        <v>-</v>
      </c>
      <c r="BE15" s="472" t="str">
        <f t="shared" si="17"/>
        <v>-</v>
      </c>
      <c r="BF15" s="472" t="str">
        <f t="shared" si="18"/>
        <v>-</v>
      </c>
      <c r="BG15" s="472" t="str">
        <f t="shared" si="19"/>
        <v>-</v>
      </c>
      <c r="BH15" s="472" t="str">
        <f t="shared" si="20"/>
        <v>-</v>
      </c>
      <c r="BI15" s="221" t="str">
        <f t="shared" si="21"/>
        <v>-</v>
      </c>
      <c r="BJ15" s="730"/>
      <c r="BK15" s="692"/>
      <c r="BL15" s="429"/>
      <c r="BM15" s="429"/>
      <c r="BN15" s="214">
        <f t="shared" si="22"/>
        <v>0</v>
      </c>
      <c r="BO15" s="738"/>
      <c r="BP15" s="739"/>
      <c r="BQ15" s="462"/>
      <c r="BR15" s="462"/>
      <c r="BS15" s="228">
        <f t="shared" si="23"/>
        <v>0</v>
      </c>
      <c r="BT15" s="229" t="str">
        <f t="shared" si="24"/>
        <v>-</v>
      </c>
      <c r="BU15" s="526" t="str">
        <f t="shared" si="25"/>
        <v>-</v>
      </c>
      <c r="BV15" s="526" t="str">
        <f t="shared" si="26"/>
        <v>-</v>
      </c>
      <c r="BW15" s="526" t="str">
        <f t="shared" si="27"/>
        <v>-</v>
      </c>
      <c r="BX15" s="230" t="str">
        <f t="shared" si="28"/>
        <v>-</v>
      </c>
      <c r="BY15" s="745"/>
      <c r="BZ15" s="735"/>
      <c r="CA15" s="746"/>
      <c r="CB15" s="229" t="str">
        <f t="shared" si="29"/>
        <v>-</v>
      </c>
      <c r="CC15" s="529" t="str">
        <f t="shared" si="30"/>
        <v>-</v>
      </c>
      <c r="CD15" s="230" t="str">
        <f t="shared" si="31"/>
        <v>-</v>
      </c>
    </row>
    <row r="16" spans="1:82" ht="15.6" customHeight="1">
      <c r="A16" s="175">
        <f t="shared" si="0"/>
        <v>2021</v>
      </c>
      <c r="B16" s="454" t="str">
        <f t="shared" si="1"/>
        <v>11</v>
      </c>
      <c r="C16" s="454" t="str">
        <f t="array" ref="C16">_xlfn.IFS(_xlfn.NUMBERVALUE(B16)&lt;=13,"Q1",AND(_xlfn.NUMBERVALUE(B16)&gt;13,_xlfn.NUMBERVALUE(B16)&lt;=26),"Q2", AND(_xlfn.NUMBERVALUE(B16)&gt;26,_xlfn.NUMBERVALUE(B16)&lt;=39),"Q3",_xlfn.NUMBERVALUE(B16)&gt;39,"Q4")</f>
        <v>Q1</v>
      </c>
      <c r="D16" s="448">
        <f t="shared" si="32"/>
        <v>43932</v>
      </c>
      <c r="E16" s="448">
        <f t="shared" si="2"/>
        <v>43938</v>
      </c>
      <c r="F16" s="97">
        <v>202011</v>
      </c>
      <c r="G16" s="103"/>
      <c r="H16" s="429"/>
      <c r="I16" s="429"/>
      <c r="J16" s="429"/>
      <c r="K16" s="429"/>
      <c r="L16" s="429"/>
      <c r="M16" s="429"/>
      <c r="N16" s="429"/>
      <c r="O16" s="429"/>
      <c r="P16" s="429"/>
      <c r="Q16" s="429"/>
      <c r="R16" s="429"/>
      <c r="S16" s="429"/>
      <c r="T16" s="429"/>
      <c r="U16" s="429"/>
      <c r="V16" s="429"/>
      <c r="W16" s="429"/>
      <c r="X16" s="429"/>
      <c r="Y16" s="449">
        <f t="shared" si="3"/>
        <v>0</v>
      </c>
      <c r="Z16" s="449">
        <f t="shared" si="33"/>
        <v>0</v>
      </c>
      <c r="AA16" s="214">
        <f>'Overall Metrics'!N17</f>
        <v>0</v>
      </c>
      <c r="AB16" s="110"/>
      <c r="AC16" s="430"/>
      <c r="AD16" s="430"/>
      <c r="AE16" s="430"/>
      <c r="AF16" s="430"/>
      <c r="AG16" s="430"/>
      <c r="AH16" s="430"/>
      <c r="AI16" s="430"/>
      <c r="AJ16" s="430"/>
      <c r="AK16" s="430"/>
      <c r="AL16" s="430"/>
      <c r="AM16" s="430"/>
      <c r="AN16" s="430"/>
      <c r="AO16" s="430"/>
      <c r="AP16" s="430"/>
      <c r="AQ16" s="430"/>
      <c r="AR16" s="219">
        <f t="shared" si="4"/>
        <v>0</v>
      </c>
      <c r="AS16" s="220" t="str">
        <f t="shared" si="5"/>
        <v>-</v>
      </c>
      <c r="AT16" s="472" t="str">
        <f t="shared" si="6"/>
        <v>-</v>
      </c>
      <c r="AU16" s="472" t="str">
        <f t="shared" si="7"/>
        <v>-</v>
      </c>
      <c r="AV16" s="472" t="str">
        <f t="shared" si="8"/>
        <v>-</v>
      </c>
      <c r="AW16" s="472" t="str">
        <f t="shared" si="9"/>
        <v>-</v>
      </c>
      <c r="AX16" s="472" t="str">
        <f t="shared" si="10"/>
        <v>-</v>
      </c>
      <c r="AY16" s="472" t="str">
        <f t="shared" si="11"/>
        <v>-</v>
      </c>
      <c r="AZ16" s="472" t="str">
        <f t="shared" si="12"/>
        <v>-</v>
      </c>
      <c r="BA16" s="472" t="str">
        <f t="shared" si="13"/>
        <v>-</v>
      </c>
      <c r="BB16" s="472" t="str">
        <f t="shared" si="14"/>
        <v>-</v>
      </c>
      <c r="BC16" s="472" t="str">
        <f t="shared" si="15"/>
        <v>-</v>
      </c>
      <c r="BD16" s="472" t="str">
        <f t="shared" si="16"/>
        <v>-</v>
      </c>
      <c r="BE16" s="472" t="str">
        <f t="shared" si="17"/>
        <v>-</v>
      </c>
      <c r="BF16" s="472" t="str">
        <f t="shared" si="18"/>
        <v>-</v>
      </c>
      <c r="BG16" s="472" t="str">
        <f t="shared" si="19"/>
        <v>-</v>
      </c>
      <c r="BH16" s="472" t="str">
        <f t="shared" si="20"/>
        <v>-</v>
      </c>
      <c r="BI16" s="221" t="str">
        <f t="shared" si="21"/>
        <v>-</v>
      </c>
      <c r="BJ16" s="730"/>
      <c r="BK16" s="692"/>
      <c r="BL16" s="429"/>
      <c r="BM16" s="429"/>
      <c r="BN16" s="214">
        <f t="shared" si="22"/>
        <v>0</v>
      </c>
      <c r="BO16" s="738"/>
      <c r="BP16" s="739"/>
      <c r="BQ16" s="462"/>
      <c r="BR16" s="462"/>
      <c r="BS16" s="228">
        <f t="shared" si="23"/>
        <v>0</v>
      </c>
      <c r="BT16" s="229" t="str">
        <f t="shared" si="24"/>
        <v>-</v>
      </c>
      <c r="BU16" s="526" t="str">
        <f t="shared" si="25"/>
        <v>-</v>
      </c>
      <c r="BV16" s="526" t="str">
        <f t="shared" si="26"/>
        <v>-</v>
      </c>
      <c r="BW16" s="526" t="str">
        <f t="shared" si="27"/>
        <v>-</v>
      </c>
      <c r="BX16" s="230" t="str">
        <f t="shared" si="28"/>
        <v>-</v>
      </c>
      <c r="BY16" s="745"/>
      <c r="BZ16" s="735"/>
      <c r="CA16" s="746"/>
      <c r="CB16" s="229" t="str">
        <f t="shared" si="29"/>
        <v>-</v>
      </c>
      <c r="CC16" s="529" t="str">
        <f t="shared" si="30"/>
        <v>-</v>
      </c>
      <c r="CD16" s="230" t="str">
        <f t="shared" si="31"/>
        <v>-</v>
      </c>
    </row>
    <row r="17" spans="1:82" ht="15.6" customHeight="1">
      <c r="A17" s="175">
        <f t="shared" si="0"/>
        <v>2021</v>
      </c>
      <c r="B17" s="454" t="str">
        <f t="shared" si="1"/>
        <v>12</v>
      </c>
      <c r="C17" s="454" t="str">
        <f t="array" ref="C17">_xlfn.IFS(_xlfn.NUMBERVALUE(B17)&lt;=13,"Q1",AND(_xlfn.NUMBERVALUE(B17)&gt;13,_xlfn.NUMBERVALUE(B17)&lt;=26),"Q2", AND(_xlfn.NUMBERVALUE(B17)&gt;26,_xlfn.NUMBERVALUE(B17)&lt;=39),"Q3",_xlfn.NUMBERVALUE(B17)&gt;39,"Q4")</f>
        <v>Q1</v>
      </c>
      <c r="D17" s="448">
        <f t="shared" si="32"/>
        <v>43939</v>
      </c>
      <c r="E17" s="448">
        <f t="shared" si="2"/>
        <v>43945</v>
      </c>
      <c r="F17" s="97">
        <v>202012</v>
      </c>
      <c r="G17" s="103"/>
      <c r="H17" s="429"/>
      <c r="I17" s="429"/>
      <c r="J17" s="429"/>
      <c r="K17" s="429"/>
      <c r="L17" s="429"/>
      <c r="M17" s="429"/>
      <c r="N17" s="429"/>
      <c r="O17" s="429"/>
      <c r="P17" s="429"/>
      <c r="Q17" s="429"/>
      <c r="R17" s="429"/>
      <c r="S17" s="429"/>
      <c r="T17" s="429"/>
      <c r="U17" s="429"/>
      <c r="V17" s="429"/>
      <c r="W17" s="429"/>
      <c r="X17" s="429"/>
      <c r="Y17" s="449">
        <f t="shared" si="3"/>
        <v>0</v>
      </c>
      <c r="Z17" s="449">
        <f t="shared" si="33"/>
        <v>0</v>
      </c>
      <c r="AA17" s="214">
        <f>'Overall Metrics'!N18</f>
        <v>0</v>
      </c>
      <c r="AB17" s="110"/>
      <c r="AC17" s="430"/>
      <c r="AD17" s="430"/>
      <c r="AE17" s="430"/>
      <c r="AF17" s="430"/>
      <c r="AG17" s="430"/>
      <c r="AH17" s="430"/>
      <c r="AI17" s="430"/>
      <c r="AJ17" s="430"/>
      <c r="AK17" s="430"/>
      <c r="AL17" s="430"/>
      <c r="AM17" s="430"/>
      <c r="AN17" s="430"/>
      <c r="AO17" s="430"/>
      <c r="AP17" s="430"/>
      <c r="AQ17" s="430"/>
      <c r="AR17" s="219">
        <f t="shared" si="4"/>
        <v>0</v>
      </c>
      <c r="AS17" s="220" t="str">
        <f t="shared" si="5"/>
        <v>-</v>
      </c>
      <c r="AT17" s="472" t="str">
        <f t="shared" si="6"/>
        <v>-</v>
      </c>
      <c r="AU17" s="472" t="str">
        <f t="shared" si="7"/>
        <v>-</v>
      </c>
      <c r="AV17" s="472" t="str">
        <f t="shared" si="8"/>
        <v>-</v>
      </c>
      <c r="AW17" s="472" t="str">
        <f t="shared" si="9"/>
        <v>-</v>
      </c>
      <c r="AX17" s="472" t="str">
        <f t="shared" si="10"/>
        <v>-</v>
      </c>
      <c r="AY17" s="472" t="str">
        <f t="shared" si="11"/>
        <v>-</v>
      </c>
      <c r="AZ17" s="472" t="str">
        <f t="shared" si="12"/>
        <v>-</v>
      </c>
      <c r="BA17" s="472" t="str">
        <f t="shared" si="13"/>
        <v>-</v>
      </c>
      <c r="BB17" s="472" t="str">
        <f t="shared" si="14"/>
        <v>-</v>
      </c>
      <c r="BC17" s="472" t="str">
        <f t="shared" si="15"/>
        <v>-</v>
      </c>
      <c r="BD17" s="472" t="str">
        <f t="shared" si="16"/>
        <v>-</v>
      </c>
      <c r="BE17" s="472" t="str">
        <f t="shared" si="17"/>
        <v>-</v>
      </c>
      <c r="BF17" s="472" t="str">
        <f t="shared" si="18"/>
        <v>-</v>
      </c>
      <c r="BG17" s="472" t="str">
        <f t="shared" si="19"/>
        <v>-</v>
      </c>
      <c r="BH17" s="472" t="str">
        <f t="shared" si="20"/>
        <v>-</v>
      </c>
      <c r="BI17" s="221" t="str">
        <f t="shared" si="21"/>
        <v>-</v>
      </c>
      <c r="BJ17" s="730"/>
      <c r="BK17" s="692"/>
      <c r="BL17" s="429"/>
      <c r="BM17" s="429"/>
      <c r="BN17" s="214">
        <f t="shared" si="22"/>
        <v>0</v>
      </c>
      <c r="BO17" s="738"/>
      <c r="BP17" s="740"/>
      <c r="BQ17" s="462"/>
      <c r="BR17" s="462"/>
      <c r="BS17" s="228">
        <f t="shared" si="23"/>
        <v>0</v>
      </c>
      <c r="BT17" s="229" t="str">
        <f t="shared" si="24"/>
        <v>-</v>
      </c>
      <c r="BU17" s="526" t="str">
        <f t="shared" si="25"/>
        <v>-</v>
      </c>
      <c r="BV17" s="526" t="str">
        <f t="shared" si="26"/>
        <v>-</v>
      </c>
      <c r="BW17" s="526" t="str">
        <f t="shared" si="27"/>
        <v>-</v>
      </c>
      <c r="BX17" s="230" t="str">
        <f t="shared" si="28"/>
        <v>-</v>
      </c>
      <c r="BY17" s="745"/>
      <c r="BZ17" s="735"/>
      <c r="CA17" s="746"/>
      <c r="CB17" s="229" t="str">
        <f t="shared" si="29"/>
        <v>-</v>
      </c>
      <c r="CC17" s="529" t="str">
        <f t="shared" si="30"/>
        <v>-</v>
      </c>
      <c r="CD17" s="230" t="str">
        <f t="shared" si="31"/>
        <v>-</v>
      </c>
    </row>
    <row r="18" spans="1:82" ht="15.6" customHeight="1">
      <c r="A18" s="175">
        <f t="shared" si="0"/>
        <v>2021</v>
      </c>
      <c r="B18" s="454" t="str">
        <f t="shared" si="1"/>
        <v>13</v>
      </c>
      <c r="C18" s="454" t="str">
        <f t="array" ref="C18">_xlfn.IFS(_xlfn.NUMBERVALUE(B18)&lt;=13,"Q1",AND(_xlfn.NUMBERVALUE(B18)&gt;13,_xlfn.NUMBERVALUE(B18)&lt;=26),"Q2", AND(_xlfn.NUMBERVALUE(B18)&gt;26,_xlfn.NUMBERVALUE(B18)&lt;=39),"Q3",_xlfn.NUMBERVALUE(B18)&gt;39,"Q4")</f>
        <v>Q1</v>
      </c>
      <c r="D18" s="448">
        <f t="shared" si="32"/>
        <v>43946</v>
      </c>
      <c r="E18" s="448">
        <f t="shared" si="2"/>
        <v>43952</v>
      </c>
      <c r="F18" s="97">
        <v>202013</v>
      </c>
      <c r="G18" s="103"/>
      <c r="H18" s="429"/>
      <c r="I18" s="527"/>
      <c r="J18" s="429"/>
      <c r="K18" s="429"/>
      <c r="L18" s="429"/>
      <c r="M18" s="429"/>
      <c r="N18" s="429"/>
      <c r="O18" s="429"/>
      <c r="P18" s="429"/>
      <c r="Q18" s="429"/>
      <c r="R18" s="429"/>
      <c r="S18" s="429"/>
      <c r="T18" s="429"/>
      <c r="U18" s="429"/>
      <c r="V18" s="429"/>
      <c r="W18" s="429"/>
      <c r="X18" s="429"/>
      <c r="Y18" s="449">
        <f t="shared" si="3"/>
        <v>0</v>
      </c>
      <c r="Z18" s="449">
        <f t="shared" si="33"/>
        <v>0</v>
      </c>
      <c r="AA18" s="214">
        <f>'Overall Metrics'!N19</f>
        <v>0</v>
      </c>
      <c r="AB18" s="110"/>
      <c r="AC18" s="430"/>
      <c r="AD18" s="430"/>
      <c r="AE18" s="430"/>
      <c r="AF18" s="430"/>
      <c r="AG18" s="430"/>
      <c r="AH18" s="430"/>
      <c r="AI18" s="430"/>
      <c r="AJ18" s="430"/>
      <c r="AK18" s="430"/>
      <c r="AL18" s="430"/>
      <c r="AM18" s="430"/>
      <c r="AN18" s="430"/>
      <c r="AO18" s="430"/>
      <c r="AP18" s="430"/>
      <c r="AQ18" s="430"/>
      <c r="AR18" s="219">
        <f t="shared" si="4"/>
        <v>0</v>
      </c>
      <c r="AS18" s="220" t="str">
        <f t="shared" si="5"/>
        <v>-</v>
      </c>
      <c r="AT18" s="472" t="str">
        <f t="shared" si="6"/>
        <v>-</v>
      </c>
      <c r="AU18" s="472" t="str">
        <f t="shared" si="7"/>
        <v>-</v>
      </c>
      <c r="AV18" s="472" t="str">
        <f t="shared" si="8"/>
        <v>-</v>
      </c>
      <c r="AW18" s="472" t="str">
        <f t="shared" si="9"/>
        <v>-</v>
      </c>
      <c r="AX18" s="472" t="str">
        <f t="shared" si="10"/>
        <v>-</v>
      </c>
      <c r="AY18" s="472" t="str">
        <f t="shared" si="11"/>
        <v>-</v>
      </c>
      <c r="AZ18" s="472" t="str">
        <f t="shared" si="12"/>
        <v>-</v>
      </c>
      <c r="BA18" s="472" t="str">
        <f t="shared" si="13"/>
        <v>-</v>
      </c>
      <c r="BB18" s="472" t="str">
        <f t="shared" si="14"/>
        <v>-</v>
      </c>
      <c r="BC18" s="472" t="str">
        <f t="shared" si="15"/>
        <v>-</v>
      </c>
      <c r="BD18" s="472" t="str">
        <f t="shared" si="16"/>
        <v>-</v>
      </c>
      <c r="BE18" s="472" t="str">
        <f t="shared" si="17"/>
        <v>-</v>
      </c>
      <c r="BF18" s="472" t="str">
        <f t="shared" si="18"/>
        <v>-</v>
      </c>
      <c r="BG18" s="472" t="str">
        <f t="shared" si="19"/>
        <v>-</v>
      </c>
      <c r="BH18" s="472" t="str">
        <f t="shared" si="20"/>
        <v>-</v>
      </c>
      <c r="BI18" s="221" t="str">
        <f t="shared" si="21"/>
        <v>-</v>
      </c>
      <c r="BJ18" s="730"/>
      <c r="BK18" s="692"/>
      <c r="BL18" s="429"/>
      <c r="BM18" s="429"/>
      <c r="BN18" s="214">
        <f t="shared" si="22"/>
        <v>0</v>
      </c>
      <c r="BO18" s="738"/>
      <c r="BP18" s="740"/>
      <c r="BQ18" s="462"/>
      <c r="BR18" s="462"/>
      <c r="BS18" s="228">
        <f t="shared" si="23"/>
        <v>0</v>
      </c>
      <c r="BT18" s="229" t="str">
        <f t="shared" si="24"/>
        <v>-</v>
      </c>
      <c r="BU18" s="526" t="str">
        <f t="shared" si="25"/>
        <v>-</v>
      </c>
      <c r="BV18" s="526" t="str">
        <f t="shared" si="26"/>
        <v>-</v>
      </c>
      <c r="BW18" s="526" t="str">
        <f t="shared" si="27"/>
        <v>-</v>
      </c>
      <c r="BX18" s="230" t="str">
        <f t="shared" si="28"/>
        <v>-</v>
      </c>
      <c r="BY18" s="745"/>
      <c r="BZ18" s="735"/>
      <c r="CA18" s="746"/>
      <c r="CB18" s="229" t="str">
        <f t="shared" si="29"/>
        <v>-</v>
      </c>
      <c r="CC18" s="529" t="str">
        <f t="shared" si="30"/>
        <v>-</v>
      </c>
      <c r="CD18" s="230" t="str">
        <f t="shared" si="31"/>
        <v>-</v>
      </c>
    </row>
    <row r="19" spans="1:82" ht="15.6" customHeight="1">
      <c r="A19" s="175">
        <f t="shared" si="0"/>
        <v>2021</v>
      </c>
      <c r="B19" s="454" t="str">
        <f t="shared" si="1"/>
        <v>14</v>
      </c>
      <c r="C19" s="454" t="str">
        <f t="array" ref="C19">_xlfn.IFS(_xlfn.NUMBERVALUE(B19)&lt;=13,"Q1",AND(_xlfn.NUMBERVALUE(B19)&gt;13,_xlfn.NUMBERVALUE(B19)&lt;=26),"Q2", AND(_xlfn.NUMBERVALUE(B19)&gt;26,_xlfn.NUMBERVALUE(B19)&lt;=39),"Q3",_xlfn.NUMBERVALUE(B19)&gt;39,"Q4")</f>
        <v>Q2</v>
      </c>
      <c r="D19" s="448">
        <f t="shared" si="32"/>
        <v>43953</v>
      </c>
      <c r="E19" s="448">
        <f t="shared" si="2"/>
        <v>43959</v>
      </c>
      <c r="F19" s="97">
        <v>202014</v>
      </c>
      <c r="G19" s="103"/>
      <c r="H19" s="429"/>
      <c r="I19" s="429"/>
      <c r="J19" s="429"/>
      <c r="K19" s="429"/>
      <c r="L19" s="429"/>
      <c r="M19" s="429"/>
      <c r="N19" s="429"/>
      <c r="O19" s="429"/>
      <c r="P19" s="429"/>
      <c r="Q19" s="429"/>
      <c r="R19" s="429"/>
      <c r="S19" s="429"/>
      <c r="T19" s="429"/>
      <c r="U19" s="429"/>
      <c r="V19" s="429"/>
      <c r="W19" s="429"/>
      <c r="X19" s="429"/>
      <c r="Y19" s="449">
        <f t="shared" si="3"/>
        <v>0</v>
      </c>
      <c r="Z19" s="449">
        <f t="shared" si="33"/>
        <v>0</v>
      </c>
      <c r="AA19" s="214">
        <f>'Overall Metrics'!N20</f>
        <v>0</v>
      </c>
      <c r="AB19" s="110"/>
      <c r="AC19" s="430"/>
      <c r="AD19" s="430"/>
      <c r="AE19" s="430"/>
      <c r="AF19" s="430"/>
      <c r="AG19" s="430"/>
      <c r="AH19" s="430"/>
      <c r="AI19" s="430"/>
      <c r="AJ19" s="430"/>
      <c r="AK19" s="430"/>
      <c r="AL19" s="430"/>
      <c r="AM19" s="430"/>
      <c r="AN19" s="430"/>
      <c r="AO19" s="430"/>
      <c r="AP19" s="430"/>
      <c r="AQ19" s="430"/>
      <c r="AR19" s="219">
        <f t="shared" si="4"/>
        <v>0</v>
      </c>
      <c r="AS19" s="220" t="str">
        <f t="shared" si="5"/>
        <v>-</v>
      </c>
      <c r="AT19" s="472" t="str">
        <f t="shared" si="6"/>
        <v>-</v>
      </c>
      <c r="AU19" s="472" t="str">
        <f t="shared" si="7"/>
        <v>-</v>
      </c>
      <c r="AV19" s="472" t="str">
        <f t="shared" si="8"/>
        <v>-</v>
      </c>
      <c r="AW19" s="472" t="str">
        <f t="shared" si="9"/>
        <v>-</v>
      </c>
      <c r="AX19" s="472" t="str">
        <f t="shared" si="10"/>
        <v>-</v>
      </c>
      <c r="AY19" s="472" t="str">
        <f t="shared" si="11"/>
        <v>-</v>
      </c>
      <c r="AZ19" s="472" t="str">
        <f t="shared" si="12"/>
        <v>-</v>
      </c>
      <c r="BA19" s="472" t="str">
        <f t="shared" si="13"/>
        <v>-</v>
      </c>
      <c r="BB19" s="472" t="str">
        <f t="shared" si="14"/>
        <v>-</v>
      </c>
      <c r="BC19" s="472" t="str">
        <f t="shared" si="15"/>
        <v>-</v>
      </c>
      <c r="BD19" s="472" t="str">
        <f t="shared" si="16"/>
        <v>-</v>
      </c>
      <c r="BE19" s="472" t="str">
        <f t="shared" si="17"/>
        <v>-</v>
      </c>
      <c r="BF19" s="472" t="str">
        <f t="shared" si="18"/>
        <v>-</v>
      </c>
      <c r="BG19" s="472" t="str">
        <f t="shared" si="19"/>
        <v>-</v>
      </c>
      <c r="BH19" s="472" t="str">
        <f t="shared" si="20"/>
        <v>-</v>
      </c>
      <c r="BI19" s="221" t="str">
        <f t="shared" si="21"/>
        <v>-</v>
      </c>
      <c r="BJ19" s="730"/>
      <c r="BK19" s="692"/>
      <c r="BL19" s="429"/>
      <c r="BM19" s="429"/>
      <c r="BN19" s="214">
        <f t="shared" si="22"/>
        <v>0</v>
      </c>
      <c r="BO19" s="738"/>
      <c r="BP19" s="740"/>
      <c r="BQ19" s="462"/>
      <c r="BR19" s="462"/>
      <c r="BS19" s="228">
        <f t="shared" si="23"/>
        <v>0</v>
      </c>
      <c r="BT19" s="229" t="str">
        <f t="shared" si="24"/>
        <v>-</v>
      </c>
      <c r="BU19" s="526" t="str">
        <f t="shared" si="25"/>
        <v>-</v>
      </c>
      <c r="BV19" s="526" t="str">
        <f t="shared" si="26"/>
        <v>-</v>
      </c>
      <c r="BW19" s="526" t="str">
        <f t="shared" si="27"/>
        <v>-</v>
      </c>
      <c r="BX19" s="230" t="str">
        <f t="shared" si="28"/>
        <v>-</v>
      </c>
      <c r="BY19" s="745"/>
      <c r="BZ19" s="735"/>
      <c r="CA19" s="746"/>
      <c r="CB19" s="229" t="str">
        <f t="shared" si="29"/>
        <v>-</v>
      </c>
      <c r="CC19" s="529" t="str">
        <f t="shared" si="30"/>
        <v>-</v>
      </c>
      <c r="CD19" s="230" t="str">
        <f t="shared" si="31"/>
        <v>-</v>
      </c>
    </row>
    <row r="20" spans="1:82" ht="15.6" customHeight="1">
      <c r="A20" s="175">
        <f t="shared" si="0"/>
        <v>2021</v>
      </c>
      <c r="B20" s="454" t="str">
        <f t="shared" si="1"/>
        <v>15</v>
      </c>
      <c r="C20" s="454" t="str">
        <f t="array" ref="C20">_xlfn.IFS(_xlfn.NUMBERVALUE(B20)&lt;=13,"Q1",AND(_xlfn.NUMBERVALUE(B20)&gt;13,_xlfn.NUMBERVALUE(B20)&lt;=26),"Q2", AND(_xlfn.NUMBERVALUE(B20)&gt;26,_xlfn.NUMBERVALUE(B20)&lt;=39),"Q3",_xlfn.NUMBERVALUE(B20)&gt;39,"Q4")</f>
        <v>Q2</v>
      </c>
      <c r="D20" s="448">
        <f t="shared" si="32"/>
        <v>43960</v>
      </c>
      <c r="E20" s="448">
        <f t="shared" si="2"/>
        <v>43966</v>
      </c>
      <c r="F20" s="97">
        <v>202015</v>
      </c>
      <c r="G20" s="103"/>
      <c r="H20" s="429"/>
      <c r="I20" s="429"/>
      <c r="J20" s="429"/>
      <c r="K20" s="429"/>
      <c r="L20" s="429"/>
      <c r="M20" s="429"/>
      <c r="N20" s="429"/>
      <c r="O20" s="429"/>
      <c r="P20" s="429"/>
      <c r="Q20" s="429"/>
      <c r="R20" s="429"/>
      <c r="S20" s="429"/>
      <c r="T20" s="429"/>
      <c r="U20" s="429"/>
      <c r="V20" s="429"/>
      <c r="W20" s="429"/>
      <c r="X20" s="429"/>
      <c r="Y20" s="449">
        <f t="shared" si="3"/>
        <v>0</v>
      </c>
      <c r="Z20" s="449">
        <f t="shared" si="33"/>
        <v>0</v>
      </c>
      <c r="AA20" s="214">
        <f>'Overall Metrics'!N21</f>
        <v>0</v>
      </c>
      <c r="AB20" s="110"/>
      <c r="AC20" s="430"/>
      <c r="AD20" s="430"/>
      <c r="AE20" s="430"/>
      <c r="AF20" s="430"/>
      <c r="AG20" s="430"/>
      <c r="AH20" s="430"/>
      <c r="AI20" s="430"/>
      <c r="AJ20" s="430"/>
      <c r="AK20" s="430"/>
      <c r="AL20" s="430"/>
      <c r="AM20" s="430"/>
      <c r="AN20" s="430"/>
      <c r="AO20" s="430"/>
      <c r="AP20" s="430"/>
      <c r="AQ20" s="430"/>
      <c r="AR20" s="219">
        <f t="shared" si="4"/>
        <v>0</v>
      </c>
      <c r="AS20" s="220" t="str">
        <f t="shared" si="5"/>
        <v>-</v>
      </c>
      <c r="AT20" s="472" t="str">
        <f t="shared" si="6"/>
        <v>-</v>
      </c>
      <c r="AU20" s="472" t="str">
        <f t="shared" si="7"/>
        <v>-</v>
      </c>
      <c r="AV20" s="472" t="str">
        <f t="shared" si="8"/>
        <v>-</v>
      </c>
      <c r="AW20" s="472" t="str">
        <f t="shared" si="9"/>
        <v>-</v>
      </c>
      <c r="AX20" s="472" t="str">
        <f t="shared" si="10"/>
        <v>-</v>
      </c>
      <c r="AY20" s="472" t="str">
        <f t="shared" si="11"/>
        <v>-</v>
      </c>
      <c r="AZ20" s="472" t="str">
        <f t="shared" si="12"/>
        <v>-</v>
      </c>
      <c r="BA20" s="472" t="str">
        <f t="shared" si="13"/>
        <v>-</v>
      </c>
      <c r="BB20" s="472" t="str">
        <f t="shared" si="14"/>
        <v>-</v>
      </c>
      <c r="BC20" s="472" t="str">
        <f t="shared" si="15"/>
        <v>-</v>
      </c>
      <c r="BD20" s="472" t="str">
        <f t="shared" si="16"/>
        <v>-</v>
      </c>
      <c r="BE20" s="472" t="str">
        <f t="shared" si="17"/>
        <v>-</v>
      </c>
      <c r="BF20" s="472" t="str">
        <f t="shared" si="18"/>
        <v>-</v>
      </c>
      <c r="BG20" s="472" t="str">
        <f t="shared" si="19"/>
        <v>-</v>
      </c>
      <c r="BH20" s="472" t="str">
        <f t="shared" si="20"/>
        <v>-</v>
      </c>
      <c r="BI20" s="221" t="str">
        <f t="shared" si="21"/>
        <v>-</v>
      </c>
      <c r="BJ20" s="730"/>
      <c r="BK20" s="692"/>
      <c r="BL20" s="429"/>
      <c r="BM20" s="429"/>
      <c r="BN20" s="214">
        <f t="shared" si="22"/>
        <v>0</v>
      </c>
      <c r="BO20" s="738"/>
      <c r="BP20" s="740"/>
      <c r="BQ20" s="462"/>
      <c r="BR20" s="462"/>
      <c r="BS20" s="228">
        <f t="shared" si="23"/>
        <v>0</v>
      </c>
      <c r="BT20" s="229" t="str">
        <f t="shared" si="24"/>
        <v>-</v>
      </c>
      <c r="BU20" s="526" t="str">
        <f t="shared" si="25"/>
        <v>-</v>
      </c>
      <c r="BV20" s="526" t="str">
        <f t="shared" si="26"/>
        <v>-</v>
      </c>
      <c r="BW20" s="526" t="str">
        <f t="shared" si="27"/>
        <v>-</v>
      </c>
      <c r="BX20" s="230" t="str">
        <f t="shared" si="28"/>
        <v>-</v>
      </c>
      <c r="BY20" s="745"/>
      <c r="BZ20" s="735"/>
      <c r="CA20" s="746"/>
      <c r="CB20" s="229" t="str">
        <f t="shared" si="29"/>
        <v>-</v>
      </c>
      <c r="CC20" s="529" t="str">
        <f t="shared" si="30"/>
        <v>-</v>
      </c>
      <c r="CD20" s="230" t="str">
        <f t="shared" si="31"/>
        <v>-</v>
      </c>
    </row>
    <row r="21" spans="1:82" ht="15.6" customHeight="1">
      <c r="A21" s="175">
        <f t="shared" si="0"/>
        <v>2021</v>
      </c>
      <c r="B21" s="454" t="str">
        <f t="shared" si="1"/>
        <v>16</v>
      </c>
      <c r="C21" s="454" t="str">
        <f t="array" ref="C21">_xlfn.IFS(_xlfn.NUMBERVALUE(B21)&lt;=13,"Q1",AND(_xlfn.NUMBERVALUE(B21)&gt;13,_xlfn.NUMBERVALUE(B21)&lt;=26),"Q2", AND(_xlfn.NUMBERVALUE(B21)&gt;26,_xlfn.NUMBERVALUE(B21)&lt;=39),"Q3",_xlfn.NUMBERVALUE(B21)&gt;39,"Q4")</f>
        <v>Q2</v>
      </c>
      <c r="D21" s="448">
        <f t="shared" si="32"/>
        <v>43967</v>
      </c>
      <c r="E21" s="448">
        <f t="shared" si="2"/>
        <v>43973</v>
      </c>
      <c r="F21" s="97">
        <v>202016</v>
      </c>
      <c r="G21" s="103"/>
      <c r="H21" s="429"/>
      <c r="I21" s="429"/>
      <c r="J21" s="429"/>
      <c r="K21" s="429"/>
      <c r="L21" s="429"/>
      <c r="M21" s="429"/>
      <c r="N21" s="429"/>
      <c r="O21" s="429"/>
      <c r="P21" s="429"/>
      <c r="Q21" s="429"/>
      <c r="R21" s="429"/>
      <c r="S21" s="429"/>
      <c r="T21" s="429"/>
      <c r="U21" s="429"/>
      <c r="V21" s="429"/>
      <c r="W21" s="429"/>
      <c r="X21" s="429"/>
      <c r="Y21" s="449">
        <f t="shared" si="3"/>
        <v>0</v>
      </c>
      <c r="Z21" s="449">
        <f t="shared" si="33"/>
        <v>0</v>
      </c>
      <c r="AA21" s="214">
        <f>'Overall Metrics'!N22</f>
        <v>0</v>
      </c>
      <c r="AB21" s="110"/>
      <c r="AC21" s="430"/>
      <c r="AD21" s="430"/>
      <c r="AE21" s="430"/>
      <c r="AF21" s="430"/>
      <c r="AG21" s="430"/>
      <c r="AH21" s="430"/>
      <c r="AI21" s="430"/>
      <c r="AJ21" s="430"/>
      <c r="AK21" s="430"/>
      <c r="AL21" s="430"/>
      <c r="AM21" s="430"/>
      <c r="AN21" s="430"/>
      <c r="AO21" s="430"/>
      <c r="AP21" s="430"/>
      <c r="AQ21" s="430"/>
      <c r="AR21" s="219">
        <f t="shared" si="4"/>
        <v>0</v>
      </c>
      <c r="AS21" s="220" t="str">
        <f t="shared" si="5"/>
        <v>-</v>
      </c>
      <c r="AT21" s="472" t="str">
        <f t="shared" si="6"/>
        <v>-</v>
      </c>
      <c r="AU21" s="472" t="str">
        <f t="shared" si="7"/>
        <v>-</v>
      </c>
      <c r="AV21" s="472" t="str">
        <f t="shared" si="8"/>
        <v>-</v>
      </c>
      <c r="AW21" s="472" t="str">
        <f t="shared" si="9"/>
        <v>-</v>
      </c>
      <c r="AX21" s="472" t="str">
        <f t="shared" si="10"/>
        <v>-</v>
      </c>
      <c r="AY21" s="472" t="str">
        <f t="shared" si="11"/>
        <v>-</v>
      </c>
      <c r="AZ21" s="472" t="str">
        <f t="shared" si="12"/>
        <v>-</v>
      </c>
      <c r="BA21" s="472" t="str">
        <f t="shared" si="13"/>
        <v>-</v>
      </c>
      <c r="BB21" s="472" t="str">
        <f t="shared" si="14"/>
        <v>-</v>
      </c>
      <c r="BC21" s="472" t="str">
        <f t="shared" si="15"/>
        <v>-</v>
      </c>
      <c r="BD21" s="472" t="str">
        <f t="shared" si="16"/>
        <v>-</v>
      </c>
      <c r="BE21" s="472" t="str">
        <f t="shared" si="17"/>
        <v>-</v>
      </c>
      <c r="BF21" s="472" t="str">
        <f t="shared" si="18"/>
        <v>-</v>
      </c>
      <c r="BG21" s="472" t="str">
        <f t="shared" si="19"/>
        <v>-</v>
      </c>
      <c r="BH21" s="472" t="str">
        <f t="shared" si="20"/>
        <v>-</v>
      </c>
      <c r="BI21" s="221" t="str">
        <f t="shared" si="21"/>
        <v>-</v>
      </c>
      <c r="BJ21" s="730"/>
      <c r="BK21" s="692"/>
      <c r="BL21" s="429"/>
      <c r="BM21" s="429"/>
      <c r="BN21" s="214">
        <f t="shared" si="22"/>
        <v>0</v>
      </c>
      <c r="BO21" s="738"/>
      <c r="BP21" s="740"/>
      <c r="BQ21" s="462"/>
      <c r="BR21" s="462"/>
      <c r="BS21" s="228">
        <f t="shared" si="23"/>
        <v>0</v>
      </c>
      <c r="BT21" s="229" t="str">
        <f t="shared" si="24"/>
        <v>-</v>
      </c>
      <c r="BU21" s="526" t="str">
        <f t="shared" si="25"/>
        <v>-</v>
      </c>
      <c r="BV21" s="526" t="str">
        <f t="shared" si="26"/>
        <v>-</v>
      </c>
      <c r="BW21" s="526" t="str">
        <f t="shared" si="27"/>
        <v>-</v>
      </c>
      <c r="BX21" s="230" t="str">
        <f t="shared" si="28"/>
        <v>-</v>
      </c>
      <c r="BY21" s="745"/>
      <c r="BZ21" s="735"/>
      <c r="CA21" s="746"/>
      <c r="CB21" s="229" t="str">
        <f t="shared" si="29"/>
        <v>-</v>
      </c>
      <c r="CC21" s="529" t="str">
        <f t="shared" si="30"/>
        <v>-</v>
      </c>
      <c r="CD21" s="230" t="str">
        <f t="shared" si="31"/>
        <v>-</v>
      </c>
    </row>
    <row r="22" spans="1:82" ht="15.6" customHeight="1">
      <c r="A22" s="175">
        <f t="shared" si="0"/>
        <v>2021</v>
      </c>
      <c r="B22" s="454" t="str">
        <f t="shared" si="1"/>
        <v>17</v>
      </c>
      <c r="C22" s="454" t="str">
        <f t="array" ref="C22">_xlfn.IFS(_xlfn.NUMBERVALUE(B22)&lt;=13,"Q1",AND(_xlfn.NUMBERVALUE(B22)&gt;13,_xlfn.NUMBERVALUE(B22)&lt;=26),"Q2", AND(_xlfn.NUMBERVALUE(B22)&gt;26,_xlfn.NUMBERVALUE(B22)&lt;=39),"Q3",_xlfn.NUMBERVALUE(B22)&gt;39,"Q4")</f>
        <v>Q2</v>
      </c>
      <c r="D22" s="448">
        <f t="shared" si="32"/>
        <v>43974</v>
      </c>
      <c r="E22" s="448">
        <f t="shared" si="2"/>
        <v>43980</v>
      </c>
      <c r="F22" s="97">
        <v>202017</v>
      </c>
      <c r="G22" s="103"/>
      <c r="H22" s="429"/>
      <c r="I22" s="429"/>
      <c r="J22" s="429"/>
      <c r="K22" s="429"/>
      <c r="L22" s="429"/>
      <c r="M22" s="429"/>
      <c r="N22" s="429"/>
      <c r="O22" s="429"/>
      <c r="P22" s="429"/>
      <c r="Q22" s="429"/>
      <c r="R22" s="429"/>
      <c r="S22" s="429"/>
      <c r="T22" s="429"/>
      <c r="U22" s="429"/>
      <c r="V22" s="429"/>
      <c r="W22" s="429"/>
      <c r="X22" s="429"/>
      <c r="Y22" s="449">
        <f t="shared" si="3"/>
        <v>0</v>
      </c>
      <c r="Z22" s="449">
        <f t="shared" si="33"/>
        <v>0</v>
      </c>
      <c r="AA22" s="214">
        <f>'Overall Metrics'!N23</f>
        <v>0</v>
      </c>
      <c r="AB22" s="110"/>
      <c r="AC22" s="430"/>
      <c r="AD22" s="430"/>
      <c r="AE22" s="430"/>
      <c r="AF22" s="430"/>
      <c r="AG22" s="430"/>
      <c r="AH22" s="430"/>
      <c r="AI22" s="430"/>
      <c r="AJ22" s="430"/>
      <c r="AK22" s="430"/>
      <c r="AL22" s="430"/>
      <c r="AM22" s="430"/>
      <c r="AN22" s="430"/>
      <c r="AO22" s="430"/>
      <c r="AP22" s="430"/>
      <c r="AQ22" s="430"/>
      <c r="AR22" s="219">
        <f t="shared" si="4"/>
        <v>0</v>
      </c>
      <c r="AS22" s="220" t="str">
        <f t="shared" si="5"/>
        <v>-</v>
      </c>
      <c r="AT22" s="472" t="str">
        <f t="shared" si="6"/>
        <v>-</v>
      </c>
      <c r="AU22" s="472" t="str">
        <f t="shared" si="7"/>
        <v>-</v>
      </c>
      <c r="AV22" s="472" t="str">
        <f t="shared" si="8"/>
        <v>-</v>
      </c>
      <c r="AW22" s="472" t="str">
        <f t="shared" si="9"/>
        <v>-</v>
      </c>
      <c r="AX22" s="472" t="str">
        <f t="shared" si="10"/>
        <v>-</v>
      </c>
      <c r="AY22" s="472" t="str">
        <f t="shared" si="11"/>
        <v>-</v>
      </c>
      <c r="AZ22" s="472" t="str">
        <f t="shared" si="12"/>
        <v>-</v>
      </c>
      <c r="BA22" s="472" t="str">
        <f t="shared" si="13"/>
        <v>-</v>
      </c>
      <c r="BB22" s="472" t="str">
        <f t="shared" si="14"/>
        <v>-</v>
      </c>
      <c r="BC22" s="472" t="str">
        <f t="shared" si="15"/>
        <v>-</v>
      </c>
      <c r="BD22" s="472" t="str">
        <f t="shared" si="16"/>
        <v>-</v>
      </c>
      <c r="BE22" s="472" t="str">
        <f t="shared" si="17"/>
        <v>-</v>
      </c>
      <c r="BF22" s="472" t="str">
        <f t="shared" si="18"/>
        <v>-</v>
      </c>
      <c r="BG22" s="472" t="str">
        <f t="shared" si="19"/>
        <v>-</v>
      </c>
      <c r="BH22" s="472" t="str">
        <f t="shared" si="20"/>
        <v>-</v>
      </c>
      <c r="BI22" s="221" t="str">
        <f t="shared" si="21"/>
        <v>-</v>
      </c>
      <c r="BJ22" s="730"/>
      <c r="BK22" s="692"/>
      <c r="BL22" s="429"/>
      <c r="BM22" s="429"/>
      <c r="BN22" s="214">
        <f t="shared" si="22"/>
        <v>0</v>
      </c>
      <c r="BO22" s="738"/>
      <c r="BP22" s="740"/>
      <c r="BQ22" s="462"/>
      <c r="BR22" s="462"/>
      <c r="BS22" s="228">
        <f t="shared" si="23"/>
        <v>0</v>
      </c>
      <c r="BT22" s="229" t="str">
        <f t="shared" si="24"/>
        <v>-</v>
      </c>
      <c r="BU22" s="526" t="str">
        <f t="shared" si="25"/>
        <v>-</v>
      </c>
      <c r="BV22" s="526" t="str">
        <f t="shared" si="26"/>
        <v>-</v>
      </c>
      <c r="BW22" s="526" t="str">
        <f t="shared" si="27"/>
        <v>-</v>
      </c>
      <c r="BX22" s="230" t="str">
        <f t="shared" si="28"/>
        <v>-</v>
      </c>
      <c r="BY22" s="745"/>
      <c r="BZ22" s="735"/>
      <c r="CA22" s="746"/>
      <c r="CB22" s="229" t="str">
        <f t="shared" si="29"/>
        <v>-</v>
      </c>
      <c r="CC22" s="529" t="str">
        <f t="shared" si="30"/>
        <v>-</v>
      </c>
      <c r="CD22" s="230" t="str">
        <f t="shared" si="31"/>
        <v>-</v>
      </c>
    </row>
    <row r="23" spans="1:82" ht="15.6" customHeight="1">
      <c r="A23" s="175">
        <f t="shared" si="0"/>
        <v>2021</v>
      </c>
      <c r="B23" s="454" t="str">
        <f t="shared" si="1"/>
        <v>18</v>
      </c>
      <c r="C23" s="454" t="str">
        <f t="array" ref="C23">_xlfn.IFS(_xlfn.NUMBERVALUE(B23)&lt;=13,"Q1",AND(_xlfn.NUMBERVALUE(B23)&gt;13,_xlfn.NUMBERVALUE(B23)&lt;=26),"Q2", AND(_xlfn.NUMBERVALUE(B23)&gt;26,_xlfn.NUMBERVALUE(B23)&lt;=39),"Q3",_xlfn.NUMBERVALUE(B23)&gt;39,"Q4")</f>
        <v>Q2</v>
      </c>
      <c r="D23" s="448">
        <f t="shared" si="32"/>
        <v>43981</v>
      </c>
      <c r="E23" s="448">
        <f t="shared" si="2"/>
        <v>43987</v>
      </c>
      <c r="F23" s="97">
        <v>202018</v>
      </c>
      <c r="G23" s="103"/>
      <c r="H23" s="429"/>
      <c r="I23" s="429"/>
      <c r="J23" s="429"/>
      <c r="K23" s="429"/>
      <c r="L23" s="429"/>
      <c r="M23" s="429"/>
      <c r="N23" s="429"/>
      <c r="O23" s="429"/>
      <c r="P23" s="429"/>
      <c r="Q23" s="429"/>
      <c r="R23" s="429"/>
      <c r="S23" s="429"/>
      <c r="T23" s="429"/>
      <c r="U23" s="429"/>
      <c r="V23" s="429"/>
      <c r="W23" s="429"/>
      <c r="X23" s="429"/>
      <c r="Y23" s="449">
        <f t="shared" si="3"/>
        <v>0</v>
      </c>
      <c r="Z23" s="449">
        <f t="shared" si="33"/>
        <v>0</v>
      </c>
      <c r="AA23" s="214">
        <f>'Overall Metrics'!N24</f>
        <v>0</v>
      </c>
      <c r="AB23" s="110"/>
      <c r="AC23" s="430"/>
      <c r="AD23" s="430"/>
      <c r="AE23" s="430"/>
      <c r="AF23" s="430"/>
      <c r="AG23" s="430"/>
      <c r="AH23" s="430"/>
      <c r="AI23" s="430"/>
      <c r="AJ23" s="430"/>
      <c r="AK23" s="430"/>
      <c r="AL23" s="430"/>
      <c r="AM23" s="430"/>
      <c r="AN23" s="430"/>
      <c r="AO23" s="430"/>
      <c r="AP23" s="430"/>
      <c r="AQ23" s="430"/>
      <c r="AR23" s="219">
        <f t="shared" si="4"/>
        <v>0</v>
      </c>
      <c r="AS23" s="220" t="str">
        <f t="shared" si="5"/>
        <v>-</v>
      </c>
      <c r="AT23" s="472" t="str">
        <f t="shared" si="6"/>
        <v>-</v>
      </c>
      <c r="AU23" s="472" t="str">
        <f t="shared" si="7"/>
        <v>-</v>
      </c>
      <c r="AV23" s="472" t="str">
        <f t="shared" si="8"/>
        <v>-</v>
      </c>
      <c r="AW23" s="472" t="str">
        <f t="shared" si="9"/>
        <v>-</v>
      </c>
      <c r="AX23" s="472" t="str">
        <f t="shared" si="10"/>
        <v>-</v>
      </c>
      <c r="AY23" s="472" t="str">
        <f t="shared" si="11"/>
        <v>-</v>
      </c>
      <c r="AZ23" s="472" t="str">
        <f t="shared" si="12"/>
        <v>-</v>
      </c>
      <c r="BA23" s="472" t="str">
        <f t="shared" si="13"/>
        <v>-</v>
      </c>
      <c r="BB23" s="472" t="str">
        <f t="shared" si="14"/>
        <v>-</v>
      </c>
      <c r="BC23" s="472" t="str">
        <f t="shared" si="15"/>
        <v>-</v>
      </c>
      <c r="BD23" s="472" t="str">
        <f t="shared" si="16"/>
        <v>-</v>
      </c>
      <c r="BE23" s="472" t="str">
        <f t="shared" si="17"/>
        <v>-</v>
      </c>
      <c r="BF23" s="472" t="str">
        <f t="shared" si="18"/>
        <v>-</v>
      </c>
      <c r="BG23" s="472" t="str">
        <f t="shared" si="19"/>
        <v>-</v>
      </c>
      <c r="BH23" s="472" t="str">
        <f t="shared" si="20"/>
        <v>-</v>
      </c>
      <c r="BI23" s="221" t="str">
        <f t="shared" si="21"/>
        <v>-</v>
      </c>
      <c r="BJ23" s="730"/>
      <c r="BK23" s="692"/>
      <c r="BL23" s="429"/>
      <c r="BM23" s="429"/>
      <c r="BN23" s="214">
        <f t="shared" si="22"/>
        <v>0</v>
      </c>
      <c r="BO23" s="738"/>
      <c r="BP23" s="740"/>
      <c r="BQ23" s="462"/>
      <c r="BR23" s="462"/>
      <c r="BS23" s="228">
        <f t="shared" si="23"/>
        <v>0</v>
      </c>
      <c r="BT23" s="229" t="str">
        <f t="shared" si="24"/>
        <v>-</v>
      </c>
      <c r="BU23" s="526" t="str">
        <f t="shared" si="25"/>
        <v>-</v>
      </c>
      <c r="BV23" s="526" t="str">
        <f t="shared" si="26"/>
        <v>-</v>
      </c>
      <c r="BW23" s="526" t="str">
        <f t="shared" si="27"/>
        <v>-</v>
      </c>
      <c r="BX23" s="230" t="str">
        <f t="shared" si="28"/>
        <v>-</v>
      </c>
      <c r="BY23" s="745"/>
      <c r="BZ23" s="735"/>
      <c r="CA23" s="746"/>
      <c r="CB23" s="229" t="str">
        <f t="shared" si="29"/>
        <v>-</v>
      </c>
      <c r="CC23" s="529" t="str">
        <f t="shared" si="30"/>
        <v>-</v>
      </c>
      <c r="CD23" s="230" t="str">
        <f t="shared" si="31"/>
        <v>-</v>
      </c>
    </row>
    <row r="24" spans="1:82" ht="15.6" customHeight="1">
      <c r="A24" s="175">
        <f t="shared" si="0"/>
        <v>2021</v>
      </c>
      <c r="B24" s="454" t="str">
        <f t="shared" si="1"/>
        <v>19</v>
      </c>
      <c r="C24" s="454" t="str">
        <f t="array" ref="C24">_xlfn.IFS(_xlfn.NUMBERVALUE(B24)&lt;=13,"Q1",AND(_xlfn.NUMBERVALUE(B24)&gt;13,_xlfn.NUMBERVALUE(B24)&lt;=26),"Q2", AND(_xlfn.NUMBERVALUE(B24)&gt;26,_xlfn.NUMBERVALUE(B24)&lt;=39),"Q3",_xlfn.NUMBERVALUE(B24)&gt;39,"Q4")</f>
        <v>Q2</v>
      </c>
      <c r="D24" s="448">
        <f t="shared" si="32"/>
        <v>43988</v>
      </c>
      <c r="E24" s="448">
        <f t="shared" si="2"/>
        <v>43994</v>
      </c>
      <c r="F24" s="97">
        <v>202019</v>
      </c>
      <c r="G24" s="103"/>
      <c r="H24" s="429"/>
      <c r="I24" s="429"/>
      <c r="J24" s="429"/>
      <c r="K24" s="429"/>
      <c r="L24" s="429"/>
      <c r="M24" s="429"/>
      <c r="N24" s="429"/>
      <c r="O24" s="429"/>
      <c r="P24" s="429"/>
      <c r="Q24" s="429"/>
      <c r="R24" s="429"/>
      <c r="S24" s="429"/>
      <c r="T24" s="429"/>
      <c r="U24" s="429"/>
      <c r="V24" s="429"/>
      <c r="W24" s="429"/>
      <c r="X24" s="429"/>
      <c r="Y24" s="449">
        <f t="shared" si="3"/>
        <v>0</v>
      </c>
      <c r="Z24" s="449">
        <f t="shared" si="33"/>
        <v>0</v>
      </c>
      <c r="AA24" s="214">
        <f>'Overall Metrics'!N25</f>
        <v>0</v>
      </c>
      <c r="AB24" s="110"/>
      <c r="AC24" s="430"/>
      <c r="AD24" s="430"/>
      <c r="AE24" s="430"/>
      <c r="AF24" s="430"/>
      <c r="AG24" s="430"/>
      <c r="AH24" s="430"/>
      <c r="AI24" s="430"/>
      <c r="AJ24" s="430"/>
      <c r="AK24" s="430"/>
      <c r="AL24" s="430"/>
      <c r="AM24" s="430"/>
      <c r="AN24" s="430"/>
      <c r="AO24" s="430"/>
      <c r="AP24" s="430"/>
      <c r="AQ24" s="430"/>
      <c r="AR24" s="219">
        <f t="shared" si="4"/>
        <v>0</v>
      </c>
      <c r="AS24" s="220" t="str">
        <f t="shared" si="5"/>
        <v>-</v>
      </c>
      <c r="AT24" s="472" t="str">
        <f t="shared" si="6"/>
        <v>-</v>
      </c>
      <c r="AU24" s="472" t="str">
        <f t="shared" si="7"/>
        <v>-</v>
      </c>
      <c r="AV24" s="472" t="str">
        <f t="shared" si="8"/>
        <v>-</v>
      </c>
      <c r="AW24" s="472" t="str">
        <f t="shared" si="9"/>
        <v>-</v>
      </c>
      <c r="AX24" s="472" t="str">
        <f t="shared" si="10"/>
        <v>-</v>
      </c>
      <c r="AY24" s="472" t="str">
        <f t="shared" si="11"/>
        <v>-</v>
      </c>
      <c r="AZ24" s="472" t="str">
        <f t="shared" si="12"/>
        <v>-</v>
      </c>
      <c r="BA24" s="472" t="str">
        <f t="shared" si="13"/>
        <v>-</v>
      </c>
      <c r="BB24" s="472" t="str">
        <f t="shared" si="14"/>
        <v>-</v>
      </c>
      <c r="BC24" s="472" t="str">
        <f t="shared" si="15"/>
        <v>-</v>
      </c>
      <c r="BD24" s="472" t="str">
        <f t="shared" si="16"/>
        <v>-</v>
      </c>
      <c r="BE24" s="472" t="str">
        <f t="shared" si="17"/>
        <v>-</v>
      </c>
      <c r="BF24" s="472" t="str">
        <f t="shared" si="18"/>
        <v>-</v>
      </c>
      <c r="BG24" s="472" t="str">
        <f t="shared" si="19"/>
        <v>-</v>
      </c>
      <c r="BH24" s="472" t="str">
        <f t="shared" si="20"/>
        <v>-</v>
      </c>
      <c r="BI24" s="221" t="str">
        <f t="shared" si="21"/>
        <v>-</v>
      </c>
      <c r="BJ24" s="730"/>
      <c r="BK24" s="692"/>
      <c r="BL24" s="429"/>
      <c r="BM24" s="429"/>
      <c r="BN24" s="214">
        <f t="shared" si="22"/>
        <v>0</v>
      </c>
      <c r="BO24" s="738"/>
      <c r="BP24" s="740"/>
      <c r="BQ24" s="462"/>
      <c r="BR24" s="462"/>
      <c r="BS24" s="228">
        <f t="shared" si="23"/>
        <v>0</v>
      </c>
      <c r="BT24" s="229" t="str">
        <f t="shared" si="24"/>
        <v>-</v>
      </c>
      <c r="BU24" s="526" t="str">
        <f t="shared" si="25"/>
        <v>-</v>
      </c>
      <c r="BV24" s="526" t="str">
        <f t="shared" si="26"/>
        <v>-</v>
      </c>
      <c r="BW24" s="526" t="str">
        <f t="shared" si="27"/>
        <v>-</v>
      </c>
      <c r="BX24" s="230" t="str">
        <f t="shared" si="28"/>
        <v>-</v>
      </c>
      <c r="BY24" s="745"/>
      <c r="BZ24" s="735"/>
      <c r="CA24" s="746"/>
      <c r="CB24" s="229" t="str">
        <f t="shared" si="29"/>
        <v>-</v>
      </c>
      <c r="CC24" s="529" t="str">
        <f t="shared" si="30"/>
        <v>-</v>
      </c>
      <c r="CD24" s="230" t="str">
        <f t="shared" si="31"/>
        <v>-</v>
      </c>
    </row>
    <row r="25" spans="1:82" ht="15.6" customHeight="1">
      <c r="A25" s="175">
        <f t="shared" si="0"/>
        <v>2021</v>
      </c>
      <c r="B25" s="454" t="str">
        <f t="shared" si="1"/>
        <v>20</v>
      </c>
      <c r="C25" s="454" t="str">
        <f t="array" ref="C25">_xlfn.IFS(_xlfn.NUMBERVALUE(B25)&lt;=13,"Q1",AND(_xlfn.NUMBERVALUE(B25)&gt;13,_xlfn.NUMBERVALUE(B25)&lt;=26),"Q2", AND(_xlfn.NUMBERVALUE(B25)&gt;26,_xlfn.NUMBERVALUE(B25)&lt;=39),"Q3",_xlfn.NUMBERVALUE(B25)&gt;39,"Q4")</f>
        <v>Q2</v>
      </c>
      <c r="D25" s="448">
        <f t="shared" si="32"/>
        <v>43995</v>
      </c>
      <c r="E25" s="448">
        <f t="shared" si="2"/>
        <v>44001</v>
      </c>
      <c r="F25" s="97">
        <v>202020</v>
      </c>
      <c r="G25" s="103"/>
      <c r="H25" s="429"/>
      <c r="I25" s="429"/>
      <c r="J25" s="429"/>
      <c r="K25" s="429"/>
      <c r="L25" s="429"/>
      <c r="M25" s="429"/>
      <c r="N25" s="429"/>
      <c r="O25" s="429"/>
      <c r="P25" s="429"/>
      <c r="Q25" s="429"/>
      <c r="R25" s="429"/>
      <c r="S25" s="429"/>
      <c r="T25" s="429"/>
      <c r="U25" s="429"/>
      <c r="V25" s="429"/>
      <c r="W25" s="429"/>
      <c r="X25" s="429"/>
      <c r="Y25" s="449">
        <f t="shared" si="3"/>
        <v>0</v>
      </c>
      <c r="Z25" s="449">
        <f t="shared" si="33"/>
        <v>0</v>
      </c>
      <c r="AA25" s="214">
        <f>'Overall Metrics'!N26</f>
        <v>0</v>
      </c>
      <c r="AB25" s="110"/>
      <c r="AC25" s="430"/>
      <c r="AD25" s="430"/>
      <c r="AE25" s="430"/>
      <c r="AF25" s="430"/>
      <c r="AG25" s="430"/>
      <c r="AH25" s="430"/>
      <c r="AI25" s="430"/>
      <c r="AJ25" s="430"/>
      <c r="AK25" s="430"/>
      <c r="AL25" s="430"/>
      <c r="AM25" s="430"/>
      <c r="AN25" s="430"/>
      <c r="AO25" s="430"/>
      <c r="AP25" s="430"/>
      <c r="AQ25" s="430"/>
      <c r="AR25" s="219">
        <f t="shared" si="4"/>
        <v>0</v>
      </c>
      <c r="AS25" s="220" t="str">
        <f t="shared" si="5"/>
        <v>-</v>
      </c>
      <c r="AT25" s="472" t="str">
        <f t="shared" si="6"/>
        <v>-</v>
      </c>
      <c r="AU25" s="472" t="str">
        <f t="shared" si="7"/>
        <v>-</v>
      </c>
      <c r="AV25" s="472" t="str">
        <f t="shared" si="8"/>
        <v>-</v>
      </c>
      <c r="AW25" s="472" t="str">
        <f t="shared" si="9"/>
        <v>-</v>
      </c>
      <c r="AX25" s="472" t="str">
        <f t="shared" si="10"/>
        <v>-</v>
      </c>
      <c r="AY25" s="472" t="str">
        <f t="shared" si="11"/>
        <v>-</v>
      </c>
      <c r="AZ25" s="472" t="str">
        <f t="shared" si="12"/>
        <v>-</v>
      </c>
      <c r="BA25" s="472" t="str">
        <f t="shared" si="13"/>
        <v>-</v>
      </c>
      <c r="BB25" s="472" t="str">
        <f t="shared" si="14"/>
        <v>-</v>
      </c>
      <c r="BC25" s="472" t="str">
        <f t="shared" si="15"/>
        <v>-</v>
      </c>
      <c r="BD25" s="472" t="str">
        <f t="shared" si="16"/>
        <v>-</v>
      </c>
      <c r="BE25" s="472" t="str">
        <f t="shared" si="17"/>
        <v>-</v>
      </c>
      <c r="BF25" s="472" t="str">
        <f t="shared" si="18"/>
        <v>-</v>
      </c>
      <c r="BG25" s="472" t="str">
        <f t="shared" si="19"/>
        <v>-</v>
      </c>
      <c r="BH25" s="472" t="str">
        <f t="shared" si="20"/>
        <v>-</v>
      </c>
      <c r="BI25" s="221" t="str">
        <f t="shared" si="21"/>
        <v>-</v>
      </c>
      <c r="BJ25" s="730"/>
      <c r="BK25" s="692"/>
      <c r="BL25" s="429"/>
      <c r="BM25" s="429"/>
      <c r="BN25" s="214">
        <f t="shared" si="22"/>
        <v>0</v>
      </c>
      <c r="BO25" s="738"/>
      <c r="BP25" s="740"/>
      <c r="BQ25" s="462"/>
      <c r="BR25" s="462"/>
      <c r="BS25" s="228">
        <f t="shared" si="23"/>
        <v>0</v>
      </c>
      <c r="BT25" s="229" t="str">
        <f t="shared" si="24"/>
        <v>-</v>
      </c>
      <c r="BU25" s="526" t="str">
        <f t="shared" si="25"/>
        <v>-</v>
      </c>
      <c r="BV25" s="526" t="str">
        <f t="shared" si="26"/>
        <v>-</v>
      </c>
      <c r="BW25" s="526" t="str">
        <f t="shared" si="27"/>
        <v>-</v>
      </c>
      <c r="BX25" s="230" t="str">
        <f t="shared" si="28"/>
        <v>-</v>
      </c>
      <c r="BY25" s="745"/>
      <c r="BZ25" s="735"/>
      <c r="CA25" s="746"/>
      <c r="CB25" s="229" t="str">
        <f t="shared" si="29"/>
        <v>-</v>
      </c>
      <c r="CC25" s="529" t="str">
        <f t="shared" si="30"/>
        <v>-</v>
      </c>
      <c r="CD25" s="230" t="str">
        <f t="shared" si="31"/>
        <v>-</v>
      </c>
    </row>
    <row r="26" spans="1:82" ht="15.6" customHeight="1">
      <c r="A26" s="175">
        <f t="shared" si="0"/>
        <v>2021</v>
      </c>
      <c r="B26" s="454" t="str">
        <f t="shared" si="1"/>
        <v>21</v>
      </c>
      <c r="C26" s="454" t="str">
        <f t="array" ref="C26">_xlfn.IFS(_xlfn.NUMBERVALUE(B26)&lt;=13,"Q1",AND(_xlfn.NUMBERVALUE(B26)&gt;13,_xlfn.NUMBERVALUE(B26)&lt;=26),"Q2", AND(_xlfn.NUMBERVALUE(B26)&gt;26,_xlfn.NUMBERVALUE(B26)&lt;=39),"Q3",_xlfn.NUMBERVALUE(B26)&gt;39,"Q4")</f>
        <v>Q2</v>
      </c>
      <c r="D26" s="448">
        <f t="shared" si="32"/>
        <v>44002</v>
      </c>
      <c r="E26" s="448">
        <f t="shared" si="2"/>
        <v>44008</v>
      </c>
      <c r="F26" s="97">
        <v>202021</v>
      </c>
      <c r="G26" s="103"/>
      <c r="H26" s="429"/>
      <c r="I26" s="429"/>
      <c r="J26" s="429"/>
      <c r="K26" s="429"/>
      <c r="L26" s="429"/>
      <c r="M26" s="429"/>
      <c r="N26" s="429"/>
      <c r="O26" s="429"/>
      <c r="P26" s="429"/>
      <c r="Q26" s="429"/>
      <c r="R26" s="429"/>
      <c r="S26" s="429"/>
      <c r="T26" s="429"/>
      <c r="U26" s="429"/>
      <c r="V26" s="429"/>
      <c r="W26" s="429"/>
      <c r="X26" s="429"/>
      <c r="Y26" s="449">
        <f t="shared" si="3"/>
        <v>0</v>
      </c>
      <c r="Z26" s="449">
        <f t="shared" si="33"/>
        <v>0</v>
      </c>
      <c r="AA26" s="214">
        <f>'Overall Metrics'!N27</f>
        <v>0</v>
      </c>
      <c r="AB26" s="110"/>
      <c r="AC26" s="430"/>
      <c r="AD26" s="430"/>
      <c r="AE26" s="430"/>
      <c r="AF26" s="430"/>
      <c r="AG26" s="430"/>
      <c r="AH26" s="430"/>
      <c r="AI26" s="430"/>
      <c r="AJ26" s="430"/>
      <c r="AK26" s="430"/>
      <c r="AL26" s="430"/>
      <c r="AM26" s="430"/>
      <c r="AN26" s="430"/>
      <c r="AO26" s="430"/>
      <c r="AP26" s="430"/>
      <c r="AQ26" s="430"/>
      <c r="AR26" s="219">
        <f t="shared" si="4"/>
        <v>0</v>
      </c>
      <c r="AS26" s="220" t="str">
        <f t="shared" si="5"/>
        <v>-</v>
      </c>
      <c r="AT26" s="472" t="str">
        <f t="shared" si="6"/>
        <v>-</v>
      </c>
      <c r="AU26" s="472" t="str">
        <f t="shared" si="7"/>
        <v>-</v>
      </c>
      <c r="AV26" s="472" t="str">
        <f t="shared" si="8"/>
        <v>-</v>
      </c>
      <c r="AW26" s="472" t="str">
        <f t="shared" si="9"/>
        <v>-</v>
      </c>
      <c r="AX26" s="472" t="str">
        <f t="shared" si="10"/>
        <v>-</v>
      </c>
      <c r="AY26" s="472" t="str">
        <f t="shared" si="11"/>
        <v>-</v>
      </c>
      <c r="AZ26" s="472" t="str">
        <f t="shared" si="12"/>
        <v>-</v>
      </c>
      <c r="BA26" s="472" t="str">
        <f t="shared" si="13"/>
        <v>-</v>
      </c>
      <c r="BB26" s="472" t="str">
        <f t="shared" si="14"/>
        <v>-</v>
      </c>
      <c r="BC26" s="472" t="str">
        <f t="shared" si="15"/>
        <v>-</v>
      </c>
      <c r="BD26" s="472" t="str">
        <f t="shared" si="16"/>
        <v>-</v>
      </c>
      <c r="BE26" s="472" t="str">
        <f t="shared" si="17"/>
        <v>-</v>
      </c>
      <c r="BF26" s="472" t="str">
        <f t="shared" si="18"/>
        <v>-</v>
      </c>
      <c r="BG26" s="472" t="str">
        <f t="shared" si="19"/>
        <v>-</v>
      </c>
      <c r="BH26" s="472" t="str">
        <f t="shared" si="20"/>
        <v>-</v>
      </c>
      <c r="BI26" s="221" t="str">
        <f t="shared" si="21"/>
        <v>-</v>
      </c>
      <c r="BJ26" s="730"/>
      <c r="BK26" s="692"/>
      <c r="BL26" s="429"/>
      <c r="BM26" s="429"/>
      <c r="BN26" s="214">
        <f t="shared" si="22"/>
        <v>0</v>
      </c>
      <c r="BO26" s="738"/>
      <c r="BP26" s="740"/>
      <c r="BQ26" s="462"/>
      <c r="BR26" s="462"/>
      <c r="BS26" s="228">
        <f t="shared" si="23"/>
        <v>0</v>
      </c>
      <c r="BT26" s="229" t="str">
        <f t="shared" si="24"/>
        <v>-</v>
      </c>
      <c r="BU26" s="526" t="str">
        <f t="shared" si="25"/>
        <v>-</v>
      </c>
      <c r="BV26" s="526" t="str">
        <f t="shared" si="26"/>
        <v>-</v>
      </c>
      <c r="BW26" s="526" t="str">
        <f t="shared" si="27"/>
        <v>-</v>
      </c>
      <c r="BX26" s="230" t="str">
        <f t="shared" si="28"/>
        <v>-</v>
      </c>
      <c r="BY26" s="745"/>
      <c r="BZ26" s="735"/>
      <c r="CA26" s="746"/>
      <c r="CB26" s="229" t="str">
        <f t="shared" si="29"/>
        <v>-</v>
      </c>
      <c r="CC26" s="529" t="str">
        <f t="shared" si="30"/>
        <v>-</v>
      </c>
      <c r="CD26" s="230" t="str">
        <f t="shared" si="31"/>
        <v>-</v>
      </c>
    </row>
    <row r="27" spans="1:82" ht="15.6" customHeight="1">
      <c r="A27" s="175">
        <f t="shared" si="0"/>
        <v>2021</v>
      </c>
      <c r="B27" s="454" t="str">
        <f t="shared" si="1"/>
        <v>22</v>
      </c>
      <c r="C27" s="454" t="str">
        <f t="array" ref="C27">_xlfn.IFS(_xlfn.NUMBERVALUE(B27)&lt;=13,"Q1",AND(_xlfn.NUMBERVALUE(B27)&gt;13,_xlfn.NUMBERVALUE(B27)&lt;=26),"Q2", AND(_xlfn.NUMBERVALUE(B27)&gt;26,_xlfn.NUMBERVALUE(B27)&lt;=39),"Q3",_xlfn.NUMBERVALUE(B27)&gt;39,"Q4")</f>
        <v>Q2</v>
      </c>
      <c r="D27" s="448">
        <f t="shared" si="32"/>
        <v>44009</v>
      </c>
      <c r="E27" s="448">
        <f t="shared" si="2"/>
        <v>44015</v>
      </c>
      <c r="F27" s="97">
        <v>202022</v>
      </c>
      <c r="G27" s="103"/>
      <c r="H27" s="429"/>
      <c r="I27" s="429"/>
      <c r="J27" s="429"/>
      <c r="K27" s="429"/>
      <c r="L27" s="429"/>
      <c r="M27" s="429"/>
      <c r="N27" s="429"/>
      <c r="O27" s="429"/>
      <c r="P27" s="429"/>
      <c r="Q27" s="429"/>
      <c r="R27" s="429"/>
      <c r="S27" s="429"/>
      <c r="T27" s="429"/>
      <c r="U27" s="429"/>
      <c r="V27" s="429"/>
      <c r="W27" s="429"/>
      <c r="X27" s="429"/>
      <c r="Y27" s="449">
        <f t="shared" si="3"/>
        <v>0</v>
      </c>
      <c r="Z27" s="449">
        <f t="shared" si="33"/>
        <v>0</v>
      </c>
      <c r="AA27" s="214">
        <f>'Overall Metrics'!N28</f>
        <v>0</v>
      </c>
      <c r="AB27" s="110"/>
      <c r="AC27" s="430"/>
      <c r="AD27" s="430"/>
      <c r="AE27" s="430"/>
      <c r="AF27" s="430"/>
      <c r="AG27" s="430"/>
      <c r="AH27" s="462"/>
      <c r="AI27" s="462"/>
      <c r="AJ27" s="462"/>
      <c r="AK27" s="462"/>
      <c r="AL27" s="462"/>
      <c r="AM27" s="462"/>
      <c r="AN27" s="462"/>
      <c r="AO27" s="462"/>
      <c r="AP27" s="462"/>
      <c r="AQ27" s="462"/>
      <c r="AR27" s="219">
        <f t="shared" si="4"/>
        <v>0</v>
      </c>
      <c r="AS27" s="220" t="str">
        <f t="shared" si="5"/>
        <v>-</v>
      </c>
      <c r="AT27" s="472" t="str">
        <f t="shared" si="6"/>
        <v>-</v>
      </c>
      <c r="AU27" s="472" t="str">
        <f t="shared" si="7"/>
        <v>-</v>
      </c>
      <c r="AV27" s="472" t="str">
        <f t="shared" si="8"/>
        <v>-</v>
      </c>
      <c r="AW27" s="472" t="str">
        <f t="shared" si="9"/>
        <v>-</v>
      </c>
      <c r="AX27" s="472" t="str">
        <f t="shared" si="10"/>
        <v>-</v>
      </c>
      <c r="AY27" s="472" t="str">
        <f t="shared" si="11"/>
        <v>-</v>
      </c>
      <c r="AZ27" s="472" t="str">
        <f t="shared" si="12"/>
        <v>-</v>
      </c>
      <c r="BA27" s="472" t="str">
        <f t="shared" si="13"/>
        <v>-</v>
      </c>
      <c r="BB27" s="472" t="str">
        <f t="shared" si="14"/>
        <v>-</v>
      </c>
      <c r="BC27" s="472" t="str">
        <f t="shared" si="15"/>
        <v>-</v>
      </c>
      <c r="BD27" s="472" t="str">
        <f t="shared" si="16"/>
        <v>-</v>
      </c>
      <c r="BE27" s="472" t="str">
        <f t="shared" si="17"/>
        <v>-</v>
      </c>
      <c r="BF27" s="472" t="str">
        <f t="shared" si="18"/>
        <v>-</v>
      </c>
      <c r="BG27" s="472" t="str">
        <f t="shared" si="19"/>
        <v>-</v>
      </c>
      <c r="BH27" s="472" t="str">
        <f t="shared" si="20"/>
        <v>-</v>
      </c>
      <c r="BI27" s="221" t="str">
        <f t="shared" si="21"/>
        <v>-</v>
      </c>
      <c r="BJ27" s="730"/>
      <c r="BK27" s="692"/>
      <c r="BL27" s="429"/>
      <c r="BM27" s="429"/>
      <c r="BN27" s="214">
        <f t="shared" si="22"/>
        <v>0</v>
      </c>
      <c r="BO27" s="738"/>
      <c r="BP27" s="740"/>
      <c r="BQ27" s="462"/>
      <c r="BR27" s="462"/>
      <c r="BS27" s="228">
        <f t="shared" si="23"/>
        <v>0</v>
      </c>
      <c r="BT27" s="229" t="str">
        <f t="shared" si="24"/>
        <v>-</v>
      </c>
      <c r="BU27" s="526" t="str">
        <f t="shared" si="25"/>
        <v>-</v>
      </c>
      <c r="BV27" s="526" t="str">
        <f t="shared" si="26"/>
        <v>-</v>
      </c>
      <c r="BW27" s="526" t="str">
        <f t="shared" si="27"/>
        <v>-</v>
      </c>
      <c r="BX27" s="230" t="str">
        <f t="shared" si="28"/>
        <v>-</v>
      </c>
      <c r="BY27" s="745"/>
      <c r="BZ27" s="735"/>
      <c r="CA27" s="746"/>
      <c r="CB27" s="229" t="str">
        <f t="shared" si="29"/>
        <v>-</v>
      </c>
      <c r="CC27" s="529" t="str">
        <f t="shared" si="30"/>
        <v>-</v>
      </c>
      <c r="CD27" s="230" t="str">
        <f t="shared" si="31"/>
        <v>-</v>
      </c>
    </row>
    <row r="28" spans="1:82" ht="15.6" customHeight="1">
      <c r="A28" s="175">
        <f t="shared" si="0"/>
        <v>2021</v>
      </c>
      <c r="B28" s="454" t="str">
        <f t="shared" si="1"/>
        <v>23</v>
      </c>
      <c r="C28" s="454" t="str">
        <f t="array" ref="C28">_xlfn.IFS(_xlfn.NUMBERVALUE(B28)&lt;=13,"Q1",AND(_xlfn.NUMBERVALUE(B28)&gt;13,_xlfn.NUMBERVALUE(B28)&lt;=26),"Q2", AND(_xlfn.NUMBERVALUE(B28)&gt;26,_xlfn.NUMBERVALUE(B28)&lt;=39),"Q3",_xlfn.NUMBERVALUE(B28)&gt;39,"Q4")</f>
        <v>Q2</v>
      </c>
      <c r="D28" s="448">
        <f t="shared" si="32"/>
        <v>44016</v>
      </c>
      <c r="E28" s="448">
        <f t="shared" si="2"/>
        <v>44022</v>
      </c>
      <c r="F28" s="97">
        <v>202023</v>
      </c>
      <c r="G28" s="103"/>
      <c r="H28" s="429"/>
      <c r="I28" s="429"/>
      <c r="J28" s="429"/>
      <c r="K28" s="429"/>
      <c r="L28" s="429"/>
      <c r="M28" s="429"/>
      <c r="N28" s="429"/>
      <c r="O28" s="429"/>
      <c r="P28" s="429"/>
      <c r="Q28" s="429"/>
      <c r="R28" s="429"/>
      <c r="S28" s="429"/>
      <c r="T28" s="429"/>
      <c r="U28" s="429"/>
      <c r="V28" s="429"/>
      <c r="W28" s="429"/>
      <c r="X28" s="429"/>
      <c r="Y28" s="449">
        <f t="shared" si="3"/>
        <v>0</v>
      </c>
      <c r="Z28" s="449">
        <f t="shared" si="33"/>
        <v>0</v>
      </c>
      <c r="AA28" s="214">
        <f>'Overall Metrics'!N29</f>
        <v>0</v>
      </c>
      <c r="AB28" s="110"/>
      <c r="AC28" s="430"/>
      <c r="AD28" s="430"/>
      <c r="AE28" s="430"/>
      <c r="AF28" s="430"/>
      <c r="AG28" s="430"/>
      <c r="AH28" s="430"/>
      <c r="AI28" s="430"/>
      <c r="AJ28" s="430"/>
      <c r="AK28" s="430"/>
      <c r="AL28" s="430"/>
      <c r="AM28" s="430"/>
      <c r="AN28" s="430"/>
      <c r="AO28" s="430"/>
      <c r="AP28" s="430"/>
      <c r="AQ28" s="430"/>
      <c r="AR28" s="219">
        <f t="shared" si="4"/>
        <v>0</v>
      </c>
      <c r="AS28" s="220" t="str">
        <f t="shared" si="5"/>
        <v>-</v>
      </c>
      <c r="AT28" s="472" t="str">
        <f t="shared" si="6"/>
        <v>-</v>
      </c>
      <c r="AU28" s="472" t="str">
        <f t="shared" si="7"/>
        <v>-</v>
      </c>
      <c r="AV28" s="472" t="str">
        <f t="shared" si="8"/>
        <v>-</v>
      </c>
      <c r="AW28" s="472" t="str">
        <f t="shared" si="9"/>
        <v>-</v>
      </c>
      <c r="AX28" s="472" t="str">
        <f t="shared" si="10"/>
        <v>-</v>
      </c>
      <c r="AY28" s="472" t="str">
        <f t="shared" si="11"/>
        <v>-</v>
      </c>
      <c r="AZ28" s="472" t="str">
        <f t="shared" si="12"/>
        <v>-</v>
      </c>
      <c r="BA28" s="472" t="str">
        <f t="shared" si="13"/>
        <v>-</v>
      </c>
      <c r="BB28" s="472" t="str">
        <f t="shared" si="14"/>
        <v>-</v>
      </c>
      <c r="BC28" s="472" t="str">
        <f t="shared" si="15"/>
        <v>-</v>
      </c>
      <c r="BD28" s="472" t="str">
        <f t="shared" si="16"/>
        <v>-</v>
      </c>
      <c r="BE28" s="472" t="str">
        <f t="shared" si="17"/>
        <v>-</v>
      </c>
      <c r="BF28" s="472" t="str">
        <f t="shared" si="18"/>
        <v>-</v>
      </c>
      <c r="BG28" s="472" t="str">
        <f t="shared" si="19"/>
        <v>-</v>
      </c>
      <c r="BH28" s="472" t="str">
        <f t="shared" si="20"/>
        <v>-</v>
      </c>
      <c r="BI28" s="221" t="str">
        <f t="shared" si="21"/>
        <v>-</v>
      </c>
      <c r="BJ28" s="730"/>
      <c r="BK28" s="692"/>
      <c r="BL28" s="429"/>
      <c r="BM28" s="429"/>
      <c r="BN28" s="214">
        <f t="shared" si="22"/>
        <v>0</v>
      </c>
      <c r="BO28" s="738"/>
      <c r="BP28" s="740"/>
      <c r="BQ28" s="462"/>
      <c r="BR28" s="462"/>
      <c r="BS28" s="228">
        <f t="shared" si="23"/>
        <v>0</v>
      </c>
      <c r="BT28" s="229" t="str">
        <f t="shared" si="24"/>
        <v>-</v>
      </c>
      <c r="BU28" s="526" t="str">
        <f t="shared" si="25"/>
        <v>-</v>
      </c>
      <c r="BV28" s="526" t="str">
        <f t="shared" si="26"/>
        <v>-</v>
      </c>
      <c r="BW28" s="526" t="str">
        <f t="shared" si="27"/>
        <v>-</v>
      </c>
      <c r="BX28" s="230" t="str">
        <f t="shared" si="28"/>
        <v>-</v>
      </c>
      <c r="BY28" s="745"/>
      <c r="BZ28" s="735"/>
      <c r="CA28" s="746"/>
      <c r="CB28" s="229" t="str">
        <f t="shared" si="29"/>
        <v>-</v>
      </c>
      <c r="CC28" s="529" t="str">
        <f t="shared" si="30"/>
        <v>-</v>
      </c>
      <c r="CD28" s="230" t="str">
        <f t="shared" si="31"/>
        <v>-</v>
      </c>
    </row>
    <row r="29" spans="1:82" ht="15.6" customHeight="1">
      <c r="A29" s="175">
        <f t="shared" si="0"/>
        <v>2021</v>
      </c>
      <c r="B29" s="454" t="str">
        <f t="shared" si="1"/>
        <v>24</v>
      </c>
      <c r="C29" s="454" t="str">
        <f t="array" ref="C29">_xlfn.IFS(_xlfn.NUMBERVALUE(B29)&lt;=13,"Q1",AND(_xlfn.NUMBERVALUE(B29)&gt;13,_xlfn.NUMBERVALUE(B29)&lt;=26),"Q2", AND(_xlfn.NUMBERVALUE(B29)&gt;26,_xlfn.NUMBERVALUE(B29)&lt;=39),"Q3",_xlfn.NUMBERVALUE(B29)&gt;39,"Q4")</f>
        <v>Q2</v>
      </c>
      <c r="D29" s="448">
        <f t="shared" si="32"/>
        <v>44023</v>
      </c>
      <c r="E29" s="448">
        <f t="shared" si="2"/>
        <v>44029</v>
      </c>
      <c r="F29" s="97">
        <v>202024</v>
      </c>
      <c r="G29" s="103"/>
      <c r="H29" s="429"/>
      <c r="I29" s="429"/>
      <c r="J29" s="429"/>
      <c r="K29" s="429"/>
      <c r="L29" s="429"/>
      <c r="M29" s="429"/>
      <c r="N29" s="429"/>
      <c r="O29" s="429"/>
      <c r="P29" s="429"/>
      <c r="Q29" s="429"/>
      <c r="R29" s="429"/>
      <c r="S29" s="429"/>
      <c r="T29" s="429"/>
      <c r="U29" s="429"/>
      <c r="V29" s="429"/>
      <c r="W29" s="429"/>
      <c r="X29" s="429"/>
      <c r="Y29" s="449">
        <f t="shared" si="3"/>
        <v>0</v>
      </c>
      <c r="Z29" s="449">
        <f t="shared" si="33"/>
        <v>0</v>
      </c>
      <c r="AA29" s="214">
        <f>'Overall Metrics'!N30</f>
        <v>0</v>
      </c>
      <c r="AB29" s="110"/>
      <c r="AC29" s="430"/>
      <c r="AD29" s="430"/>
      <c r="AE29" s="430"/>
      <c r="AF29" s="430"/>
      <c r="AG29" s="430"/>
      <c r="AH29" s="430"/>
      <c r="AI29" s="430"/>
      <c r="AJ29" s="430"/>
      <c r="AK29" s="430"/>
      <c r="AL29" s="430"/>
      <c r="AM29" s="430"/>
      <c r="AN29" s="430"/>
      <c r="AO29" s="430"/>
      <c r="AP29" s="430"/>
      <c r="AQ29" s="430"/>
      <c r="AR29" s="219">
        <f t="shared" si="4"/>
        <v>0</v>
      </c>
      <c r="AS29" s="220" t="str">
        <f t="shared" si="5"/>
        <v>-</v>
      </c>
      <c r="AT29" s="472" t="str">
        <f t="shared" si="6"/>
        <v>-</v>
      </c>
      <c r="AU29" s="472" t="str">
        <f t="shared" si="7"/>
        <v>-</v>
      </c>
      <c r="AV29" s="472" t="str">
        <f t="shared" si="8"/>
        <v>-</v>
      </c>
      <c r="AW29" s="472" t="str">
        <f t="shared" si="9"/>
        <v>-</v>
      </c>
      <c r="AX29" s="472" t="str">
        <f t="shared" si="10"/>
        <v>-</v>
      </c>
      <c r="AY29" s="472" t="str">
        <f t="shared" si="11"/>
        <v>-</v>
      </c>
      <c r="AZ29" s="472" t="str">
        <f t="shared" si="12"/>
        <v>-</v>
      </c>
      <c r="BA29" s="472" t="str">
        <f t="shared" si="13"/>
        <v>-</v>
      </c>
      <c r="BB29" s="472" t="str">
        <f t="shared" si="14"/>
        <v>-</v>
      </c>
      <c r="BC29" s="472" t="str">
        <f t="shared" si="15"/>
        <v>-</v>
      </c>
      <c r="BD29" s="472" t="str">
        <f t="shared" si="16"/>
        <v>-</v>
      </c>
      <c r="BE29" s="472" t="str">
        <f t="shared" si="17"/>
        <v>-</v>
      </c>
      <c r="BF29" s="472" t="str">
        <f t="shared" si="18"/>
        <v>-</v>
      </c>
      <c r="BG29" s="472" t="str">
        <f t="shared" si="19"/>
        <v>-</v>
      </c>
      <c r="BH29" s="472" t="str">
        <f t="shared" si="20"/>
        <v>-</v>
      </c>
      <c r="BI29" s="221" t="str">
        <f t="shared" si="21"/>
        <v>-</v>
      </c>
      <c r="BJ29" s="730"/>
      <c r="BK29" s="692"/>
      <c r="BL29" s="429"/>
      <c r="BM29" s="429"/>
      <c r="BN29" s="214">
        <f t="shared" si="22"/>
        <v>0</v>
      </c>
      <c r="BO29" s="738"/>
      <c r="BP29" s="740"/>
      <c r="BQ29" s="462"/>
      <c r="BR29" s="462"/>
      <c r="BS29" s="228">
        <f t="shared" si="23"/>
        <v>0</v>
      </c>
      <c r="BT29" s="229" t="str">
        <f t="shared" si="24"/>
        <v>-</v>
      </c>
      <c r="BU29" s="526" t="str">
        <f t="shared" si="25"/>
        <v>-</v>
      </c>
      <c r="BV29" s="526" t="str">
        <f t="shared" si="26"/>
        <v>-</v>
      </c>
      <c r="BW29" s="526" t="str">
        <f t="shared" si="27"/>
        <v>-</v>
      </c>
      <c r="BX29" s="230" t="str">
        <f t="shared" si="28"/>
        <v>-</v>
      </c>
      <c r="BY29" s="745"/>
      <c r="BZ29" s="735"/>
      <c r="CA29" s="746"/>
      <c r="CB29" s="229" t="str">
        <f t="shared" si="29"/>
        <v>-</v>
      </c>
      <c r="CC29" s="529" t="str">
        <f t="shared" si="30"/>
        <v>-</v>
      </c>
      <c r="CD29" s="230" t="str">
        <f t="shared" si="31"/>
        <v>-</v>
      </c>
    </row>
    <row r="30" spans="1:82" ht="15.6" customHeight="1">
      <c r="A30" s="175">
        <f t="shared" si="0"/>
        <v>2021</v>
      </c>
      <c r="B30" s="454" t="str">
        <f t="shared" si="1"/>
        <v>25</v>
      </c>
      <c r="C30" s="454" t="str">
        <f t="array" ref="C30">_xlfn.IFS(_xlfn.NUMBERVALUE(B30)&lt;=13,"Q1",AND(_xlfn.NUMBERVALUE(B30)&gt;13,_xlfn.NUMBERVALUE(B30)&lt;=26),"Q2", AND(_xlfn.NUMBERVALUE(B30)&gt;26,_xlfn.NUMBERVALUE(B30)&lt;=39),"Q3",_xlfn.NUMBERVALUE(B30)&gt;39,"Q4")</f>
        <v>Q2</v>
      </c>
      <c r="D30" s="448">
        <f t="shared" si="32"/>
        <v>44030</v>
      </c>
      <c r="E30" s="448">
        <f t="shared" si="2"/>
        <v>44036</v>
      </c>
      <c r="F30" s="97">
        <v>202025</v>
      </c>
      <c r="G30" s="103"/>
      <c r="H30" s="429"/>
      <c r="I30" s="429"/>
      <c r="J30" s="429"/>
      <c r="K30" s="429"/>
      <c r="L30" s="429"/>
      <c r="M30" s="429"/>
      <c r="N30" s="429"/>
      <c r="O30" s="429"/>
      <c r="P30" s="429"/>
      <c r="Q30" s="429"/>
      <c r="R30" s="429"/>
      <c r="S30" s="429"/>
      <c r="T30" s="429"/>
      <c r="U30" s="429"/>
      <c r="V30" s="429"/>
      <c r="W30" s="429"/>
      <c r="X30" s="429"/>
      <c r="Y30" s="449">
        <f t="shared" si="3"/>
        <v>0</v>
      </c>
      <c r="Z30" s="449">
        <f t="shared" si="33"/>
        <v>0</v>
      </c>
      <c r="AA30" s="214">
        <f>'Overall Metrics'!N31</f>
        <v>0</v>
      </c>
      <c r="AB30" s="110"/>
      <c r="AC30" s="430"/>
      <c r="AD30" s="430"/>
      <c r="AE30" s="430"/>
      <c r="AF30" s="430"/>
      <c r="AG30" s="430"/>
      <c r="AH30" s="430"/>
      <c r="AI30" s="430"/>
      <c r="AJ30" s="430"/>
      <c r="AK30" s="430"/>
      <c r="AL30" s="430"/>
      <c r="AM30" s="430"/>
      <c r="AN30" s="430"/>
      <c r="AO30" s="430"/>
      <c r="AP30" s="430"/>
      <c r="AQ30" s="430"/>
      <c r="AR30" s="219">
        <f t="shared" si="4"/>
        <v>0</v>
      </c>
      <c r="AS30" s="220" t="str">
        <f t="shared" si="5"/>
        <v>-</v>
      </c>
      <c r="AT30" s="472" t="str">
        <f t="shared" si="6"/>
        <v>-</v>
      </c>
      <c r="AU30" s="472" t="str">
        <f t="shared" si="7"/>
        <v>-</v>
      </c>
      <c r="AV30" s="472" t="str">
        <f t="shared" si="8"/>
        <v>-</v>
      </c>
      <c r="AW30" s="472" t="str">
        <f t="shared" si="9"/>
        <v>-</v>
      </c>
      <c r="AX30" s="472" t="str">
        <f t="shared" si="10"/>
        <v>-</v>
      </c>
      <c r="AY30" s="472" t="str">
        <f t="shared" si="11"/>
        <v>-</v>
      </c>
      <c r="AZ30" s="472" t="str">
        <f t="shared" si="12"/>
        <v>-</v>
      </c>
      <c r="BA30" s="472" t="str">
        <f t="shared" si="13"/>
        <v>-</v>
      </c>
      <c r="BB30" s="472" t="str">
        <f t="shared" si="14"/>
        <v>-</v>
      </c>
      <c r="BC30" s="472" t="str">
        <f t="shared" si="15"/>
        <v>-</v>
      </c>
      <c r="BD30" s="472" t="str">
        <f t="shared" si="16"/>
        <v>-</v>
      </c>
      <c r="BE30" s="472" t="str">
        <f t="shared" si="17"/>
        <v>-</v>
      </c>
      <c r="BF30" s="472" t="str">
        <f t="shared" si="18"/>
        <v>-</v>
      </c>
      <c r="BG30" s="472" t="str">
        <f t="shared" si="19"/>
        <v>-</v>
      </c>
      <c r="BH30" s="472" t="str">
        <f t="shared" si="20"/>
        <v>-</v>
      </c>
      <c r="BI30" s="221" t="str">
        <f t="shared" si="21"/>
        <v>-</v>
      </c>
      <c r="BJ30" s="730"/>
      <c r="BK30" s="692"/>
      <c r="BL30" s="429"/>
      <c r="BM30" s="429"/>
      <c r="BN30" s="214">
        <f t="shared" si="22"/>
        <v>0</v>
      </c>
      <c r="BO30" s="738"/>
      <c r="BP30" s="740"/>
      <c r="BQ30" s="462"/>
      <c r="BR30" s="462"/>
      <c r="BS30" s="228">
        <f t="shared" si="23"/>
        <v>0</v>
      </c>
      <c r="BT30" s="229" t="str">
        <f t="shared" si="24"/>
        <v>-</v>
      </c>
      <c r="BU30" s="526" t="str">
        <f t="shared" si="25"/>
        <v>-</v>
      </c>
      <c r="BV30" s="526" t="str">
        <f t="shared" si="26"/>
        <v>-</v>
      </c>
      <c r="BW30" s="526" t="str">
        <f t="shared" si="27"/>
        <v>-</v>
      </c>
      <c r="BX30" s="230" t="str">
        <f t="shared" si="28"/>
        <v>-</v>
      </c>
      <c r="BY30" s="745"/>
      <c r="BZ30" s="735"/>
      <c r="CA30" s="746"/>
      <c r="CB30" s="229" t="str">
        <f t="shared" si="29"/>
        <v>-</v>
      </c>
      <c r="CC30" s="529" t="str">
        <f t="shared" si="30"/>
        <v>-</v>
      </c>
      <c r="CD30" s="230" t="str">
        <f t="shared" si="31"/>
        <v>-</v>
      </c>
    </row>
    <row r="31" spans="1:82" ht="15.6" customHeight="1">
      <c r="A31" s="175">
        <f t="shared" si="0"/>
        <v>2021</v>
      </c>
      <c r="B31" s="454" t="str">
        <f t="shared" si="1"/>
        <v>26</v>
      </c>
      <c r="C31" s="454" t="str">
        <f t="array" ref="C31">_xlfn.IFS(_xlfn.NUMBERVALUE(B31)&lt;=13,"Q1",AND(_xlfn.NUMBERVALUE(B31)&gt;13,_xlfn.NUMBERVALUE(B31)&lt;=26),"Q2", AND(_xlfn.NUMBERVALUE(B31)&gt;26,_xlfn.NUMBERVALUE(B31)&lt;=39),"Q3",_xlfn.NUMBERVALUE(B31)&gt;39,"Q4")</f>
        <v>Q2</v>
      </c>
      <c r="D31" s="448">
        <f t="shared" si="32"/>
        <v>44037</v>
      </c>
      <c r="E31" s="448">
        <f t="shared" si="2"/>
        <v>44043</v>
      </c>
      <c r="F31" s="97">
        <v>202026</v>
      </c>
      <c r="G31" s="103"/>
      <c r="H31" s="429"/>
      <c r="I31" s="429"/>
      <c r="J31" s="429"/>
      <c r="K31" s="429"/>
      <c r="L31" s="429"/>
      <c r="M31" s="429"/>
      <c r="N31" s="429"/>
      <c r="O31" s="429"/>
      <c r="P31" s="429"/>
      <c r="Q31" s="429"/>
      <c r="R31" s="429"/>
      <c r="S31" s="429"/>
      <c r="T31" s="429"/>
      <c r="U31" s="429"/>
      <c r="V31" s="429"/>
      <c r="W31" s="429"/>
      <c r="X31" s="429"/>
      <c r="Y31" s="449">
        <f t="shared" si="3"/>
        <v>0</v>
      </c>
      <c r="Z31" s="449">
        <f t="shared" si="33"/>
        <v>0</v>
      </c>
      <c r="AA31" s="214">
        <f>'Overall Metrics'!N32</f>
        <v>0</v>
      </c>
      <c r="AB31" s="110"/>
      <c r="AC31" s="430"/>
      <c r="AD31" s="430"/>
      <c r="AE31" s="430"/>
      <c r="AF31" s="430"/>
      <c r="AG31" s="430"/>
      <c r="AH31" s="430"/>
      <c r="AI31" s="430"/>
      <c r="AJ31" s="430"/>
      <c r="AK31" s="430"/>
      <c r="AL31" s="430"/>
      <c r="AM31" s="430"/>
      <c r="AN31" s="430"/>
      <c r="AO31" s="430"/>
      <c r="AP31" s="430"/>
      <c r="AQ31" s="430"/>
      <c r="AR31" s="219">
        <f t="shared" si="4"/>
        <v>0</v>
      </c>
      <c r="AS31" s="220" t="str">
        <f t="shared" si="5"/>
        <v>-</v>
      </c>
      <c r="AT31" s="472" t="str">
        <f t="shared" si="6"/>
        <v>-</v>
      </c>
      <c r="AU31" s="472" t="str">
        <f t="shared" si="7"/>
        <v>-</v>
      </c>
      <c r="AV31" s="472" t="str">
        <f t="shared" si="8"/>
        <v>-</v>
      </c>
      <c r="AW31" s="472" t="str">
        <f t="shared" si="9"/>
        <v>-</v>
      </c>
      <c r="AX31" s="472" t="str">
        <f t="shared" si="10"/>
        <v>-</v>
      </c>
      <c r="AY31" s="472" t="str">
        <f t="shared" si="11"/>
        <v>-</v>
      </c>
      <c r="AZ31" s="472" t="str">
        <f t="shared" si="12"/>
        <v>-</v>
      </c>
      <c r="BA31" s="472" t="str">
        <f t="shared" si="13"/>
        <v>-</v>
      </c>
      <c r="BB31" s="472" t="str">
        <f t="shared" si="14"/>
        <v>-</v>
      </c>
      <c r="BC31" s="472" t="str">
        <f t="shared" si="15"/>
        <v>-</v>
      </c>
      <c r="BD31" s="472" t="str">
        <f t="shared" si="16"/>
        <v>-</v>
      </c>
      <c r="BE31" s="472" t="str">
        <f t="shared" si="17"/>
        <v>-</v>
      </c>
      <c r="BF31" s="472" t="str">
        <f t="shared" si="18"/>
        <v>-</v>
      </c>
      <c r="BG31" s="472" t="str">
        <f t="shared" si="19"/>
        <v>-</v>
      </c>
      <c r="BH31" s="472" t="str">
        <f t="shared" si="20"/>
        <v>-</v>
      </c>
      <c r="BI31" s="221" t="str">
        <f t="shared" si="21"/>
        <v>-</v>
      </c>
      <c r="BJ31" s="730"/>
      <c r="BK31" s="692"/>
      <c r="BL31" s="429"/>
      <c r="BM31" s="429"/>
      <c r="BN31" s="214">
        <f t="shared" si="22"/>
        <v>0</v>
      </c>
      <c r="BO31" s="738"/>
      <c r="BP31" s="740"/>
      <c r="BQ31" s="462"/>
      <c r="BR31" s="462"/>
      <c r="BS31" s="228">
        <f t="shared" si="23"/>
        <v>0</v>
      </c>
      <c r="BT31" s="229" t="str">
        <f t="shared" si="24"/>
        <v>-</v>
      </c>
      <c r="BU31" s="526" t="str">
        <f t="shared" si="25"/>
        <v>-</v>
      </c>
      <c r="BV31" s="526" t="str">
        <f t="shared" si="26"/>
        <v>-</v>
      </c>
      <c r="BW31" s="526" t="str">
        <f t="shared" si="27"/>
        <v>-</v>
      </c>
      <c r="BX31" s="230" t="str">
        <f t="shared" si="28"/>
        <v>-</v>
      </c>
      <c r="BY31" s="745"/>
      <c r="BZ31" s="735"/>
      <c r="CA31" s="746"/>
      <c r="CB31" s="229" t="str">
        <f t="shared" si="29"/>
        <v>-</v>
      </c>
      <c r="CC31" s="529" t="str">
        <f t="shared" si="30"/>
        <v>-</v>
      </c>
      <c r="CD31" s="230" t="str">
        <f t="shared" si="31"/>
        <v>-</v>
      </c>
    </row>
    <row r="32" spans="1:82" ht="15.6" customHeight="1">
      <c r="A32" s="175">
        <f t="shared" si="0"/>
        <v>2021</v>
      </c>
      <c r="B32" s="454" t="str">
        <f t="shared" si="1"/>
        <v>27</v>
      </c>
      <c r="C32" s="454" t="str">
        <f t="array" ref="C32">_xlfn.IFS(_xlfn.NUMBERVALUE(B32)&lt;=13,"Q1",AND(_xlfn.NUMBERVALUE(B32)&gt;13,_xlfn.NUMBERVALUE(B32)&lt;=26),"Q2", AND(_xlfn.NUMBERVALUE(B32)&gt;26,_xlfn.NUMBERVALUE(B32)&lt;=39),"Q3",_xlfn.NUMBERVALUE(B32)&gt;39,"Q4")</f>
        <v>Q3</v>
      </c>
      <c r="D32" s="448">
        <f t="shared" si="32"/>
        <v>44044</v>
      </c>
      <c r="E32" s="448">
        <f t="shared" si="2"/>
        <v>44050</v>
      </c>
      <c r="F32" s="97">
        <v>202027</v>
      </c>
      <c r="G32" s="103"/>
      <c r="H32" s="429"/>
      <c r="I32" s="429"/>
      <c r="J32" s="429"/>
      <c r="K32" s="429"/>
      <c r="L32" s="429"/>
      <c r="M32" s="429"/>
      <c r="N32" s="429"/>
      <c r="O32" s="429"/>
      <c r="P32" s="429"/>
      <c r="Q32" s="429"/>
      <c r="R32" s="429"/>
      <c r="S32" s="429"/>
      <c r="T32" s="429"/>
      <c r="U32" s="429"/>
      <c r="V32" s="429"/>
      <c r="W32" s="429"/>
      <c r="X32" s="429"/>
      <c r="Y32" s="449">
        <f t="shared" si="3"/>
        <v>0</v>
      </c>
      <c r="Z32" s="449">
        <f t="shared" si="33"/>
        <v>0</v>
      </c>
      <c r="AA32" s="214">
        <f>'Overall Metrics'!N33</f>
        <v>0</v>
      </c>
      <c r="AB32" s="110"/>
      <c r="AC32" s="430"/>
      <c r="AD32" s="430"/>
      <c r="AE32" s="430"/>
      <c r="AF32" s="430"/>
      <c r="AG32" s="430"/>
      <c r="AH32" s="430"/>
      <c r="AI32" s="430"/>
      <c r="AJ32" s="430"/>
      <c r="AK32" s="430"/>
      <c r="AL32" s="430"/>
      <c r="AM32" s="430"/>
      <c r="AN32" s="430"/>
      <c r="AO32" s="430"/>
      <c r="AP32" s="430"/>
      <c r="AQ32" s="430"/>
      <c r="AR32" s="219">
        <f t="shared" si="4"/>
        <v>0</v>
      </c>
      <c r="AS32" s="220" t="str">
        <f t="shared" si="5"/>
        <v>-</v>
      </c>
      <c r="AT32" s="472" t="str">
        <f t="shared" si="6"/>
        <v>-</v>
      </c>
      <c r="AU32" s="472" t="str">
        <f t="shared" si="7"/>
        <v>-</v>
      </c>
      <c r="AV32" s="472" t="str">
        <f t="shared" si="8"/>
        <v>-</v>
      </c>
      <c r="AW32" s="472" t="str">
        <f t="shared" si="9"/>
        <v>-</v>
      </c>
      <c r="AX32" s="472" t="str">
        <f t="shared" si="10"/>
        <v>-</v>
      </c>
      <c r="AY32" s="472" t="str">
        <f t="shared" si="11"/>
        <v>-</v>
      </c>
      <c r="AZ32" s="472" t="str">
        <f t="shared" si="12"/>
        <v>-</v>
      </c>
      <c r="BA32" s="472" t="str">
        <f t="shared" si="13"/>
        <v>-</v>
      </c>
      <c r="BB32" s="472" t="str">
        <f t="shared" si="14"/>
        <v>-</v>
      </c>
      <c r="BC32" s="472" t="str">
        <f t="shared" si="15"/>
        <v>-</v>
      </c>
      <c r="BD32" s="472" t="str">
        <f t="shared" si="16"/>
        <v>-</v>
      </c>
      <c r="BE32" s="472" t="str">
        <f t="shared" si="17"/>
        <v>-</v>
      </c>
      <c r="BF32" s="472" t="str">
        <f t="shared" si="18"/>
        <v>-</v>
      </c>
      <c r="BG32" s="472" t="str">
        <f t="shared" si="19"/>
        <v>-</v>
      </c>
      <c r="BH32" s="472" t="str">
        <f t="shared" si="20"/>
        <v>-</v>
      </c>
      <c r="BI32" s="221" t="str">
        <f t="shared" si="21"/>
        <v>-</v>
      </c>
      <c r="BJ32" s="730"/>
      <c r="BK32" s="692"/>
      <c r="BL32" s="429"/>
      <c r="BM32" s="429"/>
      <c r="BN32" s="214">
        <f t="shared" si="22"/>
        <v>0</v>
      </c>
      <c r="BO32" s="738"/>
      <c r="BP32" s="740"/>
      <c r="BQ32" s="462"/>
      <c r="BR32" s="462"/>
      <c r="BS32" s="228">
        <f t="shared" si="23"/>
        <v>0</v>
      </c>
      <c r="BT32" s="229" t="str">
        <f t="shared" si="24"/>
        <v>-</v>
      </c>
      <c r="BU32" s="526" t="str">
        <f t="shared" si="25"/>
        <v>-</v>
      </c>
      <c r="BV32" s="526" t="str">
        <f t="shared" si="26"/>
        <v>-</v>
      </c>
      <c r="BW32" s="526" t="str">
        <f t="shared" si="27"/>
        <v>-</v>
      </c>
      <c r="BX32" s="230" t="str">
        <f t="shared" si="28"/>
        <v>-</v>
      </c>
      <c r="BY32" s="745"/>
      <c r="BZ32" s="735"/>
      <c r="CA32" s="746"/>
      <c r="CB32" s="229" t="str">
        <f t="shared" si="29"/>
        <v>-</v>
      </c>
      <c r="CC32" s="529" t="str">
        <f t="shared" si="30"/>
        <v>-</v>
      </c>
      <c r="CD32" s="230" t="str">
        <f t="shared" si="31"/>
        <v>-</v>
      </c>
    </row>
    <row r="33" spans="1:82" ht="15.6" customHeight="1">
      <c r="A33" s="175">
        <f t="shared" si="0"/>
        <v>2021</v>
      </c>
      <c r="B33" s="454" t="str">
        <f t="shared" si="1"/>
        <v>28</v>
      </c>
      <c r="C33" s="454" t="str">
        <f t="array" ref="C33">_xlfn.IFS(_xlfn.NUMBERVALUE(B33)&lt;=13,"Q1",AND(_xlfn.NUMBERVALUE(B33)&gt;13,_xlfn.NUMBERVALUE(B33)&lt;=26),"Q2", AND(_xlfn.NUMBERVALUE(B33)&gt;26,_xlfn.NUMBERVALUE(B33)&lt;=39),"Q3",_xlfn.NUMBERVALUE(B33)&gt;39,"Q4")</f>
        <v>Q3</v>
      </c>
      <c r="D33" s="448">
        <f t="shared" si="32"/>
        <v>44051</v>
      </c>
      <c r="E33" s="448">
        <f t="shared" si="2"/>
        <v>44057</v>
      </c>
      <c r="F33" s="97">
        <v>202028</v>
      </c>
      <c r="G33" s="103"/>
      <c r="H33" s="429"/>
      <c r="I33" s="429"/>
      <c r="J33" s="429"/>
      <c r="K33" s="429"/>
      <c r="L33" s="429"/>
      <c r="M33" s="429"/>
      <c r="N33" s="429"/>
      <c r="O33" s="429"/>
      <c r="P33" s="429"/>
      <c r="Q33" s="429"/>
      <c r="R33" s="429"/>
      <c r="S33" s="429"/>
      <c r="T33" s="429"/>
      <c r="U33" s="429"/>
      <c r="V33" s="429"/>
      <c r="W33" s="429"/>
      <c r="X33" s="429"/>
      <c r="Y33" s="449">
        <f t="shared" si="3"/>
        <v>0</v>
      </c>
      <c r="Z33" s="449">
        <f t="shared" si="33"/>
        <v>0</v>
      </c>
      <c r="AA33" s="214">
        <f>'Overall Metrics'!N34</f>
        <v>0</v>
      </c>
      <c r="AB33" s="110"/>
      <c r="AC33" s="430"/>
      <c r="AD33" s="430"/>
      <c r="AE33" s="430"/>
      <c r="AF33" s="430"/>
      <c r="AG33" s="430"/>
      <c r="AH33" s="430"/>
      <c r="AI33" s="430"/>
      <c r="AJ33" s="430"/>
      <c r="AK33" s="430"/>
      <c r="AL33" s="430"/>
      <c r="AM33" s="430"/>
      <c r="AN33" s="430"/>
      <c r="AO33" s="430"/>
      <c r="AP33" s="430"/>
      <c r="AQ33" s="430"/>
      <c r="AR33" s="219">
        <f t="shared" si="4"/>
        <v>0</v>
      </c>
      <c r="AS33" s="220" t="str">
        <f t="shared" si="5"/>
        <v>-</v>
      </c>
      <c r="AT33" s="472" t="str">
        <f t="shared" si="6"/>
        <v>-</v>
      </c>
      <c r="AU33" s="472" t="str">
        <f t="shared" si="7"/>
        <v>-</v>
      </c>
      <c r="AV33" s="472" t="str">
        <f t="shared" si="8"/>
        <v>-</v>
      </c>
      <c r="AW33" s="472" t="str">
        <f t="shared" si="9"/>
        <v>-</v>
      </c>
      <c r="AX33" s="472" t="str">
        <f t="shared" si="10"/>
        <v>-</v>
      </c>
      <c r="AY33" s="472" t="str">
        <f t="shared" si="11"/>
        <v>-</v>
      </c>
      <c r="AZ33" s="472" t="str">
        <f t="shared" si="12"/>
        <v>-</v>
      </c>
      <c r="BA33" s="472" t="str">
        <f t="shared" si="13"/>
        <v>-</v>
      </c>
      <c r="BB33" s="472" t="str">
        <f t="shared" si="14"/>
        <v>-</v>
      </c>
      <c r="BC33" s="472" t="str">
        <f t="shared" si="15"/>
        <v>-</v>
      </c>
      <c r="BD33" s="472" t="str">
        <f t="shared" si="16"/>
        <v>-</v>
      </c>
      <c r="BE33" s="472" t="str">
        <f t="shared" si="17"/>
        <v>-</v>
      </c>
      <c r="BF33" s="472" t="str">
        <f t="shared" si="18"/>
        <v>-</v>
      </c>
      <c r="BG33" s="472" t="str">
        <f t="shared" si="19"/>
        <v>-</v>
      </c>
      <c r="BH33" s="472" t="str">
        <f t="shared" si="20"/>
        <v>-</v>
      </c>
      <c r="BI33" s="221" t="str">
        <f t="shared" si="21"/>
        <v>-</v>
      </c>
      <c r="BJ33" s="730"/>
      <c r="BK33" s="692"/>
      <c r="BL33" s="429"/>
      <c r="BM33" s="429"/>
      <c r="BN33" s="214">
        <f t="shared" si="22"/>
        <v>0</v>
      </c>
      <c r="BO33" s="738"/>
      <c r="BP33" s="740"/>
      <c r="BQ33" s="462"/>
      <c r="BR33" s="462"/>
      <c r="BS33" s="228">
        <f t="shared" si="23"/>
        <v>0</v>
      </c>
      <c r="BT33" s="229" t="str">
        <f t="shared" si="24"/>
        <v>-</v>
      </c>
      <c r="BU33" s="526" t="str">
        <f t="shared" si="25"/>
        <v>-</v>
      </c>
      <c r="BV33" s="526" t="str">
        <f t="shared" si="26"/>
        <v>-</v>
      </c>
      <c r="BW33" s="526" t="str">
        <f t="shared" si="27"/>
        <v>-</v>
      </c>
      <c r="BX33" s="230" t="str">
        <f t="shared" si="28"/>
        <v>-</v>
      </c>
      <c r="BY33" s="745"/>
      <c r="BZ33" s="735"/>
      <c r="CA33" s="746"/>
      <c r="CB33" s="229" t="str">
        <f t="shared" si="29"/>
        <v>-</v>
      </c>
      <c r="CC33" s="529" t="str">
        <f t="shared" si="30"/>
        <v>-</v>
      </c>
      <c r="CD33" s="230" t="str">
        <f t="shared" si="31"/>
        <v>-</v>
      </c>
    </row>
    <row r="34" spans="1:82" ht="15.6" customHeight="1">
      <c r="A34" s="175">
        <f t="shared" si="0"/>
        <v>2021</v>
      </c>
      <c r="B34" s="454" t="str">
        <f t="shared" si="1"/>
        <v>29</v>
      </c>
      <c r="C34" s="454" t="str">
        <f t="array" ref="C34">_xlfn.IFS(_xlfn.NUMBERVALUE(B34)&lt;=13,"Q1",AND(_xlfn.NUMBERVALUE(B34)&gt;13,_xlfn.NUMBERVALUE(B34)&lt;=26),"Q2", AND(_xlfn.NUMBERVALUE(B34)&gt;26,_xlfn.NUMBERVALUE(B34)&lt;=39),"Q3",_xlfn.NUMBERVALUE(B34)&gt;39,"Q4")</f>
        <v>Q3</v>
      </c>
      <c r="D34" s="448">
        <f t="shared" si="32"/>
        <v>44058</v>
      </c>
      <c r="E34" s="448">
        <f t="shared" si="2"/>
        <v>44064</v>
      </c>
      <c r="F34" s="97">
        <v>202029</v>
      </c>
      <c r="G34" s="103"/>
      <c r="H34" s="429"/>
      <c r="I34" s="429"/>
      <c r="J34" s="429"/>
      <c r="K34" s="429"/>
      <c r="L34" s="429"/>
      <c r="M34" s="429"/>
      <c r="N34" s="429"/>
      <c r="O34" s="429"/>
      <c r="P34" s="429"/>
      <c r="Q34" s="429"/>
      <c r="R34" s="429"/>
      <c r="S34" s="429"/>
      <c r="T34" s="429"/>
      <c r="U34" s="429"/>
      <c r="V34" s="429"/>
      <c r="W34" s="429"/>
      <c r="X34" s="429"/>
      <c r="Y34" s="449">
        <f t="shared" si="3"/>
        <v>0</v>
      </c>
      <c r="Z34" s="449">
        <f t="shared" si="33"/>
        <v>0</v>
      </c>
      <c r="AA34" s="214">
        <f>'Overall Metrics'!N35</f>
        <v>0</v>
      </c>
      <c r="AB34" s="110"/>
      <c r="AC34" s="430"/>
      <c r="AD34" s="430"/>
      <c r="AE34" s="430"/>
      <c r="AF34" s="430"/>
      <c r="AG34" s="430"/>
      <c r="AH34" s="430"/>
      <c r="AI34" s="430"/>
      <c r="AJ34" s="430"/>
      <c r="AK34" s="430"/>
      <c r="AL34" s="430"/>
      <c r="AM34" s="430"/>
      <c r="AN34" s="430"/>
      <c r="AO34" s="430"/>
      <c r="AP34" s="430"/>
      <c r="AQ34" s="430"/>
      <c r="AR34" s="219">
        <f t="shared" si="4"/>
        <v>0</v>
      </c>
      <c r="AS34" s="220" t="str">
        <f t="shared" si="5"/>
        <v>-</v>
      </c>
      <c r="AT34" s="472" t="str">
        <f t="shared" si="6"/>
        <v>-</v>
      </c>
      <c r="AU34" s="472" t="str">
        <f t="shared" si="7"/>
        <v>-</v>
      </c>
      <c r="AV34" s="472" t="str">
        <f t="shared" si="8"/>
        <v>-</v>
      </c>
      <c r="AW34" s="472" t="str">
        <f t="shared" si="9"/>
        <v>-</v>
      </c>
      <c r="AX34" s="472" t="str">
        <f t="shared" si="10"/>
        <v>-</v>
      </c>
      <c r="AY34" s="472" t="str">
        <f t="shared" si="11"/>
        <v>-</v>
      </c>
      <c r="AZ34" s="472" t="str">
        <f t="shared" si="12"/>
        <v>-</v>
      </c>
      <c r="BA34" s="472" t="str">
        <f t="shared" si="13"/>
        <v>-</v>
      </c>
      <c r="BB34" s="472" t="str">
        <f t="shared" si="14"/>
        <v>-</v>
      </c>
      <c r="BC34" s="472" t="str">
        <f t="shared" si="15"/>
        <v>-</v>
      </c>
      <c r="BD34" s="472" t="str">
        <f t="shared" si="16"/>
        <v>-</v>
      </c>
      <c r="BE34" s="472" t="str">
        <f t="shared" si="17"/>
        <v>-</v>
      </c>
      <c r="BF34" s="472" t="str">
        <f t="shared" si="18"/>
        <v>-</v>
      </c>
      <c r="BG34" s="472" t="str">
        <f t="shared" si="19"/>
        <v>-</v>
      </c>
      <c r="BH34" s="472" t="str">
        <f t="shared" si="20"/>
        <v>-</v>
      </c>
      <c r="BI34" s="221" t="str">
        <f t="shared" si="21"/>
        <v>-</v>
      </c>
      <c r="BJ34" s="730"/>
      <c r="BK34" s="692"/>
      <c r="BL34" s="429"/>
      <c r="BM34" s="429"/>
      <c r="BN34" s="214">
        <f t="shared" si="22"/>
        <v>0</v>
      </c>
      <c r="BO34" s="738"/>
      <c r="BP34" s="740"/>
      <c r="BQ34" s="462"/>
      <c r="BR34" s="462"/>
      <c r="BS34" s="228">
        <f t="shared" si="23"/>
        <v>0</v>
      </c>
      <c r="BT34" s="229" t="str">
        <f t="shared" si="24"/>
        <v>-</v>
      </c>
      <c r="BU34" s="526" t="str">
        <f t="shared" si="25"/>
        <v>-</v>
      </c>
      <c r="BV34" s="526" t="str">
        <f t="shared" si="26"/>
        <v>-</v>
      </c>
      <c r="BW34" s="526" t="str">
        <f t="shared" si="27"/>
        <v>-</v>
      </c>
      <c r="BX34" s="230" t="str">
        <f t="shared" si="28"/>
        <v>-</v>
      </c>
      <c r="BY34" s="745"/>
      <c r="BZ34" s="735"/>
      <c r="CA34" s="746"/>
      <c r="CB34" s="229" t="str">
        <f t="shared" si="29"/>
        <v>-</v>
      </c>
      <c r="CC34" s="529" t="str">
        <f t="shared" si="30"/>
        <v>-</v>
      </c>
      <c r="CD34" s="230" t="str">
        <f t="shared" si="31"/>
        <v>-</v>
      </c>
    </row>
    <row r="35" spans="1:82" ht="15.6" customHeight="1">
      <c r="A35" s="175">
        <f t="shared" si="0"/>
        <v>2021</v>
      </c>
      <c r="B35" s="454" t="str">
        <f t="shared" si="1"/>
        <v>30</v>
      </c>
      <c r="C35" s="454" t="str">
        <f t="array" ref="C35">_xlfn.IFS(_xlfn.NUMBERVALUE(B35)&lt;=13,"Q1",AND(_xlfn.NUMBERVALUE(B35)&gt;13,_xlfn.NUMBERVALUE(B35)&lt;=26),"Q2", AND(_xlfn.NUMBERVALUE(B35)&gt;26,_xlfn.NUMBERVALUE(B35)&lt;=39),"Q3",_xlfn.NUMBERVALUE(B35)&gt;39,"Q4")</f>
        <v>Q3</v>
      </c>
      <c r="D35" s="448">
        <f t="shared" si="32"/>
        <v>44065</v>
      </c>
      <c r="E35" s="448">
        <f t="shared" si="2"/>
        <v>44071</v>
      </c>
      <c r="F35" s="97">
        <v>202030</v>
      </c>
      <c r="G35" s="103"/>
      <c r="H35" s="429"/>
      <c r="I35" s="429"/>
      <c r="J35" s="429"/>
      <c r="K35" s="429"/>
      <c r="L35" s="429"/>
      <c r="M35" s="429"/>
      <c r="N35" s="429"/>
      <c r="O35" s="429"/>
      <c r="P35" s="429"/>
      <c r="Q35" s="429"/>
      <c r="R35" s="429"/>
      <c r="S35" s="429"/>
      <c r="T35" s="429"/>
      <c r="U35" s="429"/>
      <c r="V35" s="429"/>
      <c r="W35" s="429"/>
      <c r="X35" s="429"/>
      <c r="Y35" s="449">
        <f t="shared" si="3"/>
        <v>0</v>
      </c>
      <c r="Z35" s="449">
        <f t="shared" si="33"/>
        <v>0</v>
      </c>
      <c r="AA35" s="214">
        <f>'Overall Metrics'!N36</f>
        <v>0</v>
      </c>
      <c r="AB35" s="110"/>
      <c r="AC35" s="430"/>
      <c r="AD35" s="430"/>
      <c r="AE35" s="430"/>
      <c r="AF35" s="430"/>
      <c r="AG35" s="430"/>
      <c r="AH35" s="430"/>
      <c r="AI35" s="430"/>
      <c r="AJ35" s="430"/>
      <c r="AK35" s="430"/>
      <c r="AL35" s="430"/>
      <c r="AM35" s="430"/>
      <c r="AN35" s="430"/>
      <c r="AO35" s="430"/>
      <c r="AP35" s="430"/>
      <c r="AQ35" s="430"/>
      <c r="AR35" s="219">
        <f t="shared" si="4"/>
        <v>0</v>
      </c>
      <c r="AS35" s="220" t="str">
        <f t="shared" si="5"/>
        <v>-</v>
      </c>
      <c r="AT35" s="472" t="str">
        <f t="shared" si="6"/>
        <v>-</v>
      </c>
      <c r="AU35" s="472" t="str">
        <f t="shared" si="7"/>
        <v>-</v>
      </c>
      <c r="AV35" s="472" t="str">
        <f t="shared" si="8"/>
        <v>-</v>
      </c>
      <c r="AW35" s="472" t="str">
        <f t="shared" si="9"/>
        <v>-</v>
      </c>
      <c r="AX35" s="472" t="str">
        <f t="shared" si="10"/>
        <v>-</v>
      </c>
      <c r="AY35" s="472" t="str">
        <f t="shared" si="11"/>
        <v>-</v>
      </c>
      <c r="AZ35" s="472" t="str">
        <f t="shared" si="12"/>
        <v>-</v>
      </c>
      <c r="BA35" s="472" t="str">
        <f t="shared" si="13"/>
        <v>-</v>
      </c>
      <c r="BB35" s="472" t="str">
        <f t="shared" si="14"/>
        <v>-</v>
      </c>
      <c r="BC35" s="472" t="str">
        <f t="shared" si="15"/>
        <v>-</v>
      </c>
      <c r="BD35" s="472" t="str">
        <f t="shared" si="16"/>
        <v>-</v>
      </c>
      <c r="BE35" s="472" t="str">
        <f t="shared" si="17"/>
        <v>-</v>
      </c>
      <c r="BF35" s="472" t="str">
        <f t="shared" si="18"/>
        <v>-</v>
      </c>
      <c r="BG35" s="472" t="str">
        <f t="shared" si="19"/>
        <v>-</v>
      </c>
      <c r="BH35" s="472" t="str">
        <f t="shared" si="20"/>
        <v>-</v>
      </c>
      <c r="BI35" s="221" t="str">
        <f t="shared" si="21"/>
        <v>-</v>
      </c>
      <c r="BJ35" s="730"/>
      <c r="BK35" s="692"/>
      <c r="BL35" s="429"/>
      <c r="BM35" s="429"/>
      <c r="BN35" s="214">
        <f t="shared" si="22"/>
        <v>0</v>
      </c>
      <c r="BO35" s="738"/>
      <c r="BP35" s="740"/>
      <c r="BQ35" s="462"/>
      <c r="BR35" s="462"/>
      <c r="BS35" s="228">
        <f t="shared" si="23"/>
        <v>0</v>
      </c>
      <c r="BT35" s="229" t="str">
        <f t="shared" si="24"/>
        <v>-</v>
      </c>
      <c r="BU35" s="526" t="str">
        <f t="shared" si="25"/>
        <v>-</v>
      </c>
      <c r="BV35" s="526" t="str">
        <f t="shared" si="26"/>
        <v>-</v>
      </c>
      <c r="BW35" s="526" t="str">
        <f t="shared" si="27"/>
        <v>-</v>
      </c>
      <c r="BX35" s="230" t="str">
        <f t="shared" si="28"/>
        <v>-</v>
      </c>
      <c r="BY35" s="745"/>
      <c r="BZ35" s="735"/>
      <c r="CA35" s="746"/>
      <c r="CB35" s="229" t="str">
        <f t="shared" si="29"/>
        <v>-</v>
      </c>
      <c r="CC35" s="529" t="str">
        <f t="shared" si="30"/>
        <v>-</v>
      </c>
      <c r="CD35" s="230" t="str">
        <f t="shared" si="31"/>
        <v>-</v>
      </c>
    </row>
    <row r="36" spans="1:82" ht="15.6" customHeight="1">
      <c r="A36" s="175">
        <f t="shared" si="0"/>
        <v>2021</v>
      </c>
      <c r="B36" s="454" t="str">
        <f t="shared" si="1"/>
        <v>31</v>
      </c>
      <c r="C36" s="454" t="str">
        <f t="array" ref="C36">_xlfn.IFS(_xlfn.NUMBERVALUE(B36)&lt;=13,"Q1",AND(_xlfn.NUMBERVALUE(B36)&gt;13,_xlfn.NUMBERVALUE(B36)&lt;=26),"Q2", AND(_xlfn.NUMBERVALUE(B36)&gt;26,_xlfn.NUMBERVALUE(B36)&lt;=39),"Q3",_xlfn.NUMBERVALUE(B36)&gt;39,"Q4")</f>
        <v>Q3</v>
      </c>
      <c r="D36" s="448">
        <f t="shared" si="32"/>
        <v>44072</v>
      </c>
      <c r="E36" s="448">
        <f t="shared" si="2"/>
        <v>44078</v>
      </c>
      <c r="F36" s="97">
        <v>202031</v>
      </c>
      <c r="G36" s="103"/>
      <c r="H36" s="429"/>
      <c r="I36" s="429"/>
      <c r="J36" s="429"/>
      <c r="K36" s="429"/>
      <c r="L36" s="429"/>
      <c r="M36" s="429"/>
      <c r="N36" s="429"/>
      <c r="O36" s="429"/>
      <c r="P36" s="429"/>
      <c r="Q36" s="429"/>
      <c r="R36" s="429"/>
      <c r="S36" s="429"/>
      <c r="T36" s="429"/>
      <c r="U36" s="429"/>
      <c r="V36" s="429"/>
      <c r="W36" s="429"/>
      <c r="X36" s="429"/>
      <c r="Y36" s="449">
        <f t="shared" si="3"/>
        <v>0</v>
      </c>
      <c r="Z36" s="449">
        <f t="shared" si="33"/>
        <v>0</v>
      </c>
      <c r="AA36" s="214">
        <f>'Overall Metrics'!N37</f>
        <v>0</v>
      </c>
      <c r="AB36" s="110"/>
      <c r="AC36" s="430"/>
      <c r="AD36" s="446"/>
      <c r="AE36" s="430"/>
      <c r="AF36" s="430"/>
      <c r="AG36" s="430"/>
      <c r="AH36" s="430"/>
      <c r="AI36" s="430"/>
      <c r="AJ36" s="430"/>
      <c r="AK36" s="430"/>
      <c r="AL36" s="430"/>
      <c r="AM36" s="430"/>
      <c r="AN36" s="430"/>
      <c r="AO36" s="430"/>
      <c r="AP36" s="430"/>
      <c r="AQ36" s="430"/>
      <c r="AR36" s="219">
        <f t="shared" si="4"/>
        <v>0</v>
      </c>
      <c r="AS36" s="220" t="str">
        <f t="shared" si="5"/>
        <v>-</v>
      </c>
      <c r="AT36" s="472" t="str">
        <f t="shared" si="6"/>
        <v>-</v>
      </c>
      <c r="AU36" s="472" t="str">
        <f t="shared" si="7"/>
        <v>-</v>
      </c>
      <c r="AV36" s="472" t="str">
        <f t="shared" si="8"/>
        <v>-</v>
      </c>
      <c r="AW36" s="472" t="str">
        <f t="shared" si="9"/>
        <v>-</v>
      </c>
      <c r="AX36" s="472" t="str">
        <f t="shared" si="10"/>
        <v>-</v>
      </c>
      <c r="AY36" s="472" t="str">
        <f t="shared" si="11"/>
        <v>-</v>
      </c>
      <c r="AZ36" s="472" t="str">
        <f t="shared" si="12"/>
        <v>-</v>
      </c>
      <c r="BA36" s="472" t="str">
        <f t="shared" si="13"/>
        <v>-</v>
      </c>
      <c r="BB36" s="472" t="str">
        <f t="shared" si="14"/>
        <v>-</v>
      </c>
      <c r="BC36" s="472" t="str">
        <f t="shared" si="15"/>
        <v>-</v>
      </c>
      <c r="BD36" s="472" t="str">
        <f t="shared" si="16"/>
        <v>-</v>
      </c>
      <c r="BE36" s="472" t="str">
        <f t="shared" si="17"/>
        <v>-</v>
      </c>
      <c r="BF36" s="472" t="str">
        <f t="shared" si="18"/>
        <v>-</v>
      </c>
      <c r="BG36" s="472" t="str">
        <f t="shared" si="19"/>
        <v>-</v>
      </c>
      <c r="BH36" s="472" t="str">
        <f t="shared" si="20"/>
        <v>-</v>
      </c>
      <c r="BI36" s="221" t="str">
        <f t="shared" si="21"/>
        <v>-</v>
      </c>
      <c r="BJ36" s="730"/>
      <c r="BK36" s="692"/>
      <c r="BL36" s="429"/>
      <c r="BM36" s="429"/>
      <c r="BN36" s="214">
        <f t="shared" si="22"/>
        <v>0</v>
      </c>
      <c r="BO36" s="738"/>
      <c r="BP36" s="740"/>
      <c r="BQ36" s="462"/>
      <c r="BR36" s="462"/>
      <c r="BS36" s="228">
        <f t="shared" si="23"/>
        <v>0</v>
      </c>
      <c r="BT36" s="229" t="str">
        <f t="shared" si="24"/>
        <v>-</v>
      </c>
      <c r="BU36" s="526" t="str">
        <f t="shared" si="25"/>
        <v>-</v>
      </c>
      <c r="BV36" s="526" t="str">
        <f t="shared" si="26"/>
        <v>-</v>
      </c>
      <c r="BW36" s="526" t="str">
        <f t="shared" si="27"/>
        <v>-</v>
      </c>
      <c r="BX36" s="230" t="str">
        <f t="shared" si="28"/>
        <v>-</v>
      </c>
      <c r="BY36" s="745"/>
      <c r="BZ36" s="735"/>
      <c r="CA36" s="746"/>
      <c r="CB36" s="229" t="str">
        <f t="shared" si="29"/>
        <v>-</v>
      </c>
      <c r="CC36" s="529" t="str">
        <f t="shared" si="30"/>
        <v>-</v>
      </c>
      <c r="CD36" s="230" t="str">
        <f t="shared" si="31"/>
        <v>-</v>
      </c>
    </row>
    <row r="37" spans="1:82" ht="15.6" customHeight="1">
      <c r="A37" s="175">
        <f t="shared" si="0"/>
        <v>2021</v>
      </c>
      <c r="B37" s="454" t="str">
        <f t="shared" si="1"/>
        <v>32</v>
      </c>
      <c r="C37" s="454" t="str">
        <f t="array" ref="C37">_xlfn.IFS(_xlfn.NUMBERVALUE(B37)&lt;=13,"Q1",AND(_xlfn.NUMBERVALUE(B37)&gt;13,_xlfn.NUMBERVALUE(B37)&lt;=26),"Q2", AND(_xlfn.NUMBERVALUE(B37)&gt;26,_xlfn.NUMBERVALUE(B37)&lt;=39),"Q3",_xlfn.NUMBERVALUE(B37)&gt;39,"Q4")</f>
        <v>Q3</v>
      </c>
      <c r="D37" s="448">
        <f t="shared" si="32"/>
        <v>44079</v>
      </c>
      <c r="E37" s="448">
        <f t="shared" si="2"/>
        <v>44085</v>
      </c>
      <c r="F37" s="97">
        <v>202032</v>
      </c>
      <c r="G37" s="103"/>
      <c r="H37" s="429"/>
      <c r="I37" s="429"/>
      <c r="J37" s="429"/>
      <c r="K37" s="429"/>
      <c r="L37" s="429"/>
      <c r="M37" s="429"/>
      <c r="N37" s="429"/>
      <c r="O37" s="429"/>
      <c r="P37" s="429"/>
      <c r="Q37" s="429"/>
      <c r="R37" s="429"/>
      <c r="S37" s="429"/>
      <c r="T37" s="429"/>
      <c r="U37" s="429"/>
      <c r="V37" s="429"/>
      <c r="W37" s="429"/>
      <c r="X37" s="429"/>
      <c r="Y37" s="449">
        <f t="shared" si="3"/>
        <v>0</v>
      </c>
      <c r="Z37" s="449">
        <f t="shared" si="33"/>
        <v>0</v>
      </c>
      <c r="AA37" s="214">
        <f>'Overall Metrics'!N38</f>
        <v>0</v>
      </c>
      <c r="AB37" s="110"/>
      <c r="AC37" s="430"/>
      <c r="AD37" s="446"/>
      <c r="AE37" s="430"/>
      <c r="AF37" s="430"/>
      <c r="AG37" s="430"/>
      <c r="AH37" s="430"/>
      <c r="AI37" s="430"/>
      <c r="AJ37" s="430"/>
      <c r="AK37" s="430"/>
      <c r="AL37" s="430"/>
      <c r="AM37" s="430"/>
      <c r="AN37" s="430"/>
      <c r="AO37" s="430"/>
      <c r="AP37" s="430"/>
      <c r="AQ37" s="430"/>
      <c r="AR37" s="219">
        <f t="shared" si="4"/>
        <v>0</v>
      </c>
      <c r="AS37" s="220" t="str">
        <f t="shared" si="5"/>
        <v>-</v>
      </c>
      <c r="AT37" s="472" t="str">
        <f t="shared" si="6"/>
        <v>-</v>
      </c>
      <c r="AU37" s="472" t="str">
        <f t="shared" si="7"/>
        <v>-</v>
      </c>
      <c r="AV37" s="472" t="str">
        <f t="shared" si="8"/>
        <v>-</v>
      </c>
      <c r="AW37" s="472" t="str">
        <f t="shared" si="9"/>
        <v>-</v>
      </c>
      <c r="AX37" s="472" t="str">
        <f t="shared" si="10"/>
        <v>-</v>
      </c>
      <c r="AY37" s="472" t="str">
        <f t="shared" si="11"/>
        <v>-</v>
      </c>
      <c r="AZ37" s="472" t="str">
        <f t="shared" si="12"/>
        <v>-</v>
      </c>
      <c r="BA37" s="472" t="str">
        <f t="shared" si="13"/>
        <v>-</v>
      </c>
      <c r="BB37" s="472" t="str">
        <f t="shared" si="14"/>
        <v>-</v>
      </c>
      <c r="BC37" s="472" t="str">
        <f t="shared" si="15"/>
        <v>-</v>
      </c>
      <c r="BD37" s="472" t="str">
        <f t="shared" si="16"/>
        <v>-</v>
      </c>
      <c r="BE37" s="472" t="str">
        <f t="shared" si="17"/>
        <v>-</v>
      </c>
      <c r="BF37" s="472" t="str">
        <f t="shared" si="18"/>
        <v>-</v>
      </c>
      <c r="BG37" s="472" t="str">
        <f t="shared" si="19"/>
        <v>-</v>
      </c>
      <c r="BH37" s="472" t="str">
        <f t="shared" si="20"/>
        <v>-</v>
      </c>
      <c r="BI37" s="221" t="str">
        <f t="shared" si="21"/>
        <v>-</v>
      </c>
      <c r="BJ37" s="730"/>
      <c r="BK37" s="692"/>
      <c r="BL37" s="429"/>
      <c r="BM37" s="429"/>
      <c r="BN37" s="214">
        <f t="shared" si="22"/>
        <v>0</v>
      </c>
      <c r="BO37" s="738"/>
      <c r="BP37" s="740"/>
      <c r="BQ37" s="462"/>
      <c r="BR37" s="462"/>
      <c r="BS37" s="228">
        <f t="shared" si="23"/>
        <v>0</v>
      </c>
      <c r="BT37" s="229" t="str">
        <f t="shared" si="24"/>
        <v>-</v>
      </c>
      <c r="BU37" s="526" t="str">
        <f t="shared" si="25"/>
        <v>-</v>
      </c>
      <c r="BV37" s="526" t="str">
        <f t="shared" si="26"/>
        <v>-</v>
      </c>
      <c r="BW37" s="526" t="str">
        <f t="shared" si="27"/>
        <v>-</v>
      </c>
      <c r="BX37" s="230" t="str">
        <f t="shared" si="28"/>
        <v>-</v>
      </c>
      <c r="BY37" s="745"/>
      <c r="BZ37" s="735"/>
      <c r="CA37" s="746"/>
      <c r="CB37" s="229" t="str">
        <f t="shared" si="29"/>
        <v>-</v>
      </c>
      <c r="CC37" s="529" t="str">
        <f t="shared" si="30"/>
        <v>-</v>
      </c>
      <c r="CD37" s="230" t="str">
        <f t="shared" si="31"/>
        <v>-</v>
      </c>
    </row>
    <row r="38" spans="1:82" ht="15.6" customHeight="1">
      <c r="A38" s="175">
        <f t="shared" si="0"/>
        <v>2021</v>
      </c>
      <c r="B38" s="454" t="str">
        <f t="shared" si="1"/>
        <v>33</v>
      </c>
      <c r="C38" s="454" t="str">
        <f t="array" ref="C38">_xlfn.IFS(_xlfn.NUMBERVALUE(B38)&lt;=13,"Q1",AND(_xlfn.NUMBERVALUE(B38)&gt;13,_xlfn.NUMBERVALUE(B38)&lt;=26),"Q2", AND(_xlfn.NUMBERVALUE(B38)&gt;26,_xlfn.NUMBERVALUE(B38)&lt;=39),"Q3",_xlfn.NUMBERVALUE(B38)&gt;39,"Q4")</f>
        <v>Q3</v>
      </c>
      <c r="D38" s="448">
        <f t="shared" si="32"/>
        <v>44086</v>
      </c>
      <c r="E38" s="448">
        <f t="shared" si="2"/>
        <v>44092</v>
      </c>
      <c r="F38" s="97">
        <v>202033</v>
      </c>
      <c r="G38" s="103"/>
      <c r="H38" s="429"/>
      <c r="I38" s="429"/>
      <c r="J38" s="429"/>
      <c r="K38" s="429"/>
      <c r="L38" s="429"/>
      <c r="M38" s="429"/>
      <c r="N38" s="429"/>
      <c r="O38" s="429"/>
      <c r="P38" s="429"/>
      <c r="Q38" s="429"/>
      <c r="R38" s="429"/>
      <c r="S38" s="429"/>
      <c r="T38" s="429"/>
      <c r="U38" s="429"/>
      <c r="V38" s="429"/>
      <c r="W38" s="429"/>
      <c r="X38" s="429"/>
      <c r="Y38" s="449">
        <f t="shared" ref="Y38:Y57" si="34">IFERROR(AA38-Z38-N38,0)</f>
        <v>0</v>
      </c>
      <c r="Z38" s="449">
        <f t="shared" si="33"/>
        <v>0</v>
      </c>
      <c r="AA38" s="214">
        <f>'Overall Metrics'!N39</f>
        <v>0</v>
      </c>
      <c r="AB38" s="110"/>
      <c r="AC38" s="430"/>
      <c r="AD38" s="446"/>
      <c r="AE38" s="430"/>
      <c r="AF38" s="430"/>
      <c r="AG38" s="430"/>
      <c r="AH38" s="430"/>
      <c r="AI38" s="430"/>
      <c r="AJ38" s="430"/>
      <c r="AK38" s="430"/>
      <c r="AL38" s="430"/>
      <c r="AM38" s="430"/>
      <c r="AN38" s="430"/>
      <c r="AO38" s="430"/>
      <c r="AP38" s="430"/>
      <c r="AQ38" s="430"/>
      <c r="AR38" s="219">
        <f t="shared" si="4"/>
        <v>0</v>
      </c>
      <c r="AS38" s="220" t="str">
        <f t="shared" si="5"/>
        <v>-</v>
      </c>
      <c r="AT38" s="472" t="str">
        <f t="shared" si="6"/>
        <v>-</v>
      </c>
      <c r="AU38" s="472" t="str">
        <f t="shared" si="7"/>
        <v>-</v>
      </c>
      <c r="AV38" s="472" t="str">
        <f t="shared" si="8"/>
        <v>-</v>
      </c>
      <c r="AW38" s="472" t="str">
        <f t="shared" si="9"/>
        <v>-</v>
      </c>
      <c r="AX38" s="472" t="str">
        <f t="shared" si="10"/>
        <v>-</v>
      </c>
      <c r="AY38" s="472" t="str">
        <f t="shared" ref="AY38:AY69" si="35">IFERROR(AH38/O38,"-")</f>
        <v>-</v>
      </c>
      <c r="AZ38" s="472" t="str">
        <f t="shared" ref="AZ38:AZ69" si="36">IFERROR(AI38/P38,"-")</f>
        <v>-</v>
      </c>
      <c r="BA38" s="472" t="str">
        <f t="shared" ref="BA38:BA69" si="37">IFERROR(AJ38/Q38,"-")</f>
        <v>-</v>
      </c>
      <c r="BB38" s="472" t="str">
        <f t="shared" ref="BB38:BB69" si="38">IFERROR(AK38/R38,"-")</f>
        <v>-</v>
      </c>
      <c r="BC38" s="472" t="str">
        <f t="shared" ref="BC38:BC69" si="39">IFERROR(AL38/S38,"-")</f>
        <v>-</v>
      </c>
      <c r="BD38" s="472" t="str">
        <f t="shared" ref="BD38:BD69" si="40">IFERROR(AM38/T38,"-")</f>
        <v>-</v>
      </c>
      <c r="BE38" s="472" t="str">
        <f t="shared" ref="BE38:BE69" si="41">IFERROR(AN38/U38,"-")</f>
        <v>-</v>
      </c>
      <c r="BF38" s="472" t="str">
        <f t="shared" ref="BF38:BF69" si="42">IFERROR(AO38/V38,"-")</f>
        <v>-</v>
      </c>
      <c r="BG38" s="472" t="str">
        <f t="shared" ref="BG38:BG69" si="43">IFERROR(AP38/W38,"-")</f>
        <v>-</v>
      </c>
      <c r="BH38" s="472" t="str">
        <f t="shared" ref="BH38:BH69" si="44">IFERROR(AQ38/X38,"-")</f>
        <v>-</v>
      </c>
      <c r="BI38" s="221" t="str">
        <f t="shared" si="21"/>
        <v>-</v>
      </c>
      <c r="BJ38" s="730"/>
      <c r="BK38" s="692"/>
      <c r="BL38" s="429"/>
      <c r="BM38" s="429"/>
      <c r="BN38" s="214">
        <f t="shared" si="22"/>
        <v>0</v>
      </c>
      <c r="BO38" s="738"/>
      <c r="BP38" s="740"/>
      <c r="BQ38" s="462"/>
      <c r="BR38" s="462"/>
      <c r="BS38" s="228">
        <f t="shared" si="23"/>
        <v>0</v>
      </c>
      <c r="BT38" s="229" t="str">
        <f t="shared" si="24"/>
        <v>-</v>
      </c>
      <c r="BU38" s="526" t="str">
        <f t="shared" si="25"/>
        <v>-</v>
      </c>
      <c r="BV38" s="526" t="str">
        <f t="shared" si="26"/>
        <v>-</v>
      </c>
      <c r="BW38" s="526" t="str">
        <f t="shared" si="27"/>
        <v>-</v>
      </c>
      <c r="BX38" s="230" t="str">
        <f t="shared" si="28"/>
        <v>-</v>
      </c>
      <c r="BY38" s="745"/>
      <c r="BZ38" s="735"/>
      <c r="CA38" s="746"/>
      <c r="CB38" s="229" t="str">
        <f t="shared" si="29"/>
        <v>-</v>
      </c>
      <c r="CC38" s="529" t="str">
        <f t="shared" si="30"/>
        <v>-</v>
      </c>
      <c r="CD38" s="230" t="str">
        <f t="shared" si="31"/>
        <v>-</v>
      </c>
    </row>
    <row r="39" spans="1:82" ht="15.6" customHeight="1">
      <c r="A39" s="175">
        <f t="shared" si="0"/>
        <v>2021</v>
      </c>
      <c r="B39" s="454" t="str">
        <f t="shared" si="1"/>
        <v>34</v>
      </c>
      <c r="C39" s="454" t="str">
        <f t="array" ref="C39">_xlfn.IFS(_xlfn.NUMBERVALUE(B39)&lt;=13,"Q1",AND(_xlfn.NUMBERVALUE(B39)&gt;13,_xlfn.NUMBERVALUE(B39)&lt;=26),"Q2", AND(_xlfn.NUMBERVALUE(B39)&gt;26,_xlfn.NUMBERVALUE(B39)&lt;=39),"Q3",_xlfn.NUMBERVALUE(B39)&gt;39,"Q4")</f>
        <v>Q3</v>
      </c>
      <c r="D39" s="448">
        <f t="shared" si="32"/>
        <v>44093</v>
      </c>
      <c r="E39" s="448">
        <f t="shared" si="2"/>
        <v>44099</v>
      </c>
      <c r="F39" s="97">
        <v>202034</v>
      </c>
      <c r="G39" s="103"/>
      <c r="H39" s="429"/>
      <c r="I39" s="429"/>
      <c r="J39" s="429"/>
      <c r="K39" s="429"/>
      <c r="L39" s="429"/>
      <c r="M39" s="429"/>
      <c r="N39" s="429"/>
      <c r="O39" s="429"/>
      <c r="P39" s="429"/>
      <c r="Q39" s="429"/>
      <c r="R39" s="429"/>
      <c r="S39" s="429"/>
      <c r="T39" s="429"/>
      <c r="U39" s="429"/>
      <c r="V39" s="429"/>
      <c r="W39" s="429"/>
      <c r="X39" s="429"/>
      <c r="Y39" s="449">
        <f t="shared" si="34"/>
        <v>0</v>
      </c>
      <c r="Z39" s="449">
        <f t="shared" si="33"/>
        <v>0</v>
      </c>
      <c r="AA39" s="214">
        <f>'Overall Metrics'!N40</f>
        <v>0</v>
      </c>
      <c r="AB39" s="110"/>
      <c r="AC39" s="430"/>
      <c r="AD39" s="446"/>
      <c r="AE39" s="430"/>
      <c r="AF39" s="430"/>
      <c r="AG39" s="430"/>
      <c r="AH39" s="430"/>
      <c r="AI39" s="430"/>
      <c r="AJ39" s="430"/>
      <c r="AK39" s="430"/>
      <c r="AL39" s="430"/>
      <c r="AM39" s="430"/>
      <c r="AN39" s="430"/>
      <c r="AO39" s="430"/>
      <c r="AP39" s="430"/>
      <c r="AQ39" s="430"/>
      <c r="AR39" s="219">
        <f t="shared" si="4"/>
        <v>0</v>
      </c>
      <c r="AS39" s="220" t="str">
        <f t="shared" si="5"/>
        <v>-</v>
      </c>
      <c r="AT39" s="472" t="str">
        <f t="shared" si="6"/>
        <v>-</v>
      </c>
      <c r="AU39" s="472" t="str">
        <f t="shared" si="7"/>
        <v>-</v>
      </c>
      <c r="AV39" s="472" t="str">
        <f t="shared" si="8"/>
        <v>-</v>
      </c>
      <c r="AW39" s="472" t="str">
        <f t="shared" si="9"/>
        <v>-</v>
      </c>
      <c r="AX39" s="472" t="str">
        <f t="shared" si="10"/>
        <v>-</v>
      </c>
      <c r="AY39" s="472" t="str">
        <f t="shared" si="35"/>
        <v>-</v>
      </c>
      <c r="AZ39" s="472" t="str">
        <f t="shared" si="36"/>
        <v>-</v>
      </c>
      <c r="BA39" s="472" t="str">
        <f t="shared" si="37"/>
        <v>-</v>
      </c>
      <c r="BB39" s="472" t="str">
        <f t="shared" si="38"/>
        <v>-</v>
      </c>
      <c r="BC39" s="472" t="str">
        <f t="shared" si="39"/>
        <v>-</v>
      </c>
      <c r="BD39" s="472" t="str">
        <f t="shared" si="40"/>
        <v>-</v>
      </c>
      <c r="BE39" s="472" t="str">
        <f t="shared" si="41"/>
        <v>-</v>
      </c>
      <c r="BF39" s="472" t="str">
        <f t="shared" si="42"/>
        <v>-</v>
      </c>
      <c r="BG39" s="472" t="str">
        <f t="shared" si="43"/>
        <v>-</v>
      </c>
      <c r="BH39" s="472" t="str">
        <f t="shared" si="44"/>
        <v>-</v>
      </c>
      <c r="BI39" s="221" t="str">
        <f t="shared" si="21"/>
        <v>-</v>
      </c>
      <c r="BJ39" s="730"/>
      <c r="BK39" s="692"/>
      <c r="BL39" s="429"/>
      <c r="BM39" s="429"/>
      <c r="BN39" s="214">
        <f t="shared" si="22"/>
        <v>0</v>
      </c>
      <c r="BO39" s="738"/>
      <c r="BP39" s="740"/>
      <c r="BQ39" s="462"/>
      <c r="BR39" s="462"/>
      <c r="BS39" s="228">
        <f t="shared" si="23"/>
        <v>0</v>
      </c>
      <c r="BT39" s="229" t="str">
        <f t="shared" si="24"/>
        <v>-</v>
      </c>
      <c r="BU39" s="526" t="str">
        <f t="shared" si="25"/>
        <v>-</v>
      </c>
      <c r="BV39" s="526" t="str">
        <f t="shared" si="26"/>
        <v>-</v>
      </c>
      <c r="BW39" s="526" t="str">
        <f t="shared" si="27"/>
        <v>-</v>
      </c>
      <c r="BX39" s="230" t="str">
        <f t="shared" si="28"/>
        <v>-</v>
      </c>
      <c r="BY39" s="745"/>
      <c r="BZ39" s="735"/>
      <c r="CA39" s="746"/>
      <c r="CB39" s="229" t="str">
        <f t="shared" si="29"/>
        <v>-</v>
      </c>
      <c r="CC39" s="529" t="str">
        <f t="shared" si="30"/>
        <v>-</v>
      </c>
      <c r="CD39" s="230" t="str">
        <f t="shared" si="31"/>
        <v>-</v>
      </c>
    </row>
    <row r="40" spans="1:82" ht="15.6" customHeight="1">
      <c r="A40" s="175">
        <f t="shared" si="0"/>
        <v>2021</v>
      </c>
      <c r="B40" s="454" t="str">
        <f t="shared" si="1"/>
        <v>35</v>
      </c>
      <c r="C40" s="454" t="str">
        <f t="array" ref="C40">_xlfn.IFS(_xlfn.NUMBERVALUE(B40)&lt;=13,"Q1",AND(_xlfn.NUMBERVALUE(B40)&gt;13,_xlfn.NUMBERVALUE(B40)&lt;=26),"Q2", AND(_xlfn.NUMBERVALUE(B40)&gt;26,_xlfn.NUMBERVALUE(B40)&lt;=39),"Q3",_xlfn.NUMBERVALUE(B40)&gt;39,"Q4")</f>
        <v>Q3</v>
      </c>
      <c r="D40" s="448">
        <f t="shared" si="32"/>
        <v>44100</v>
      </c>
      <c r="E40" s="448">
        <f t="shared" si="2"/>
        <v>44106</v>
      </c>
      <c r="F40" s="97">
        <v>202035</v>
      </c>
      <c r="G40" s="103"/>
      <c r="H40" s="429"/>
      <c r="I40" s="429"/>
      <c r="J40" s="429"/>
      <c r="K40" s="429"/>
      <c r="L40" s="429"/>
      <c r="M40" s="429"/>
      <c r="N40" s="429"/>
      <c r="O40" s="429"/>
      <c r="P40" s="429"/>
      <c r="Q40" s="429"/>
      <c r="R40" s="429"/>
      <c r="S40" s="429"/>
      <c r="T40" s="429"/>
      <c r="U40" s="429"/>
      <c r="V40" s="429"/>
      <c r="W40" s="429"/>
      <c r="X40" s="429"/>
      <c r="Y40" s="449">
        <f t="shared" si="34"/>
        <v>0</v>
      </c>
      <c r="Z40" s="449">
        <f t="shared" si="33"/>
        <v>0</v>
      </c>
      <c r="AA40" s="214">
        <f>'Overall Metrics'!N41</f>
        <v>0</v>
      </c>
      <c r="AB40" s="110"/>
      <c r="AC40" s="430"/>
      <c r="AD40" s="430"/>
      <c r="AE40" s="430"/>
      <c r="AF40" s="430"/>
      <c r="AG40" s="430"/>
      <c r="AH40" s="430"/>
      <c r="AI40" s="430"/>
      <c r="AJ40" s="430"/>
      <c r="AK40" s="430"/>
      <c r="AL40" s="430"/>
      <c r="AM40" s="430"/>
      <c r="AN40" s="430"/>
      <c r="AO40" s="430"/>
      <c r="AP40" s="430"/>
      <c r="AQ40" s="430"/>
      <c r="AR40" s="219">
        <f t="shared" si="4"/>
        <v>0</v>
      </c>
      <c r="AS40" s="220" t="str">
        <f t="shared" si="5"/>
        <v>-</v>
      </c>
      <c r="AT40" s="472" t="str">
        <f t="shared" si="6"/>
        <v>-</v>
      </c>
      <c r="AU40" s="472" t="str">
        <f t="shared" si="7"/>
        <v>-</v>
      </c>
      <c r="AV40" s="472" t="str">
        <f t="shared" si="8"/>
        <v>-</v>
      </c>
      <c r="AW40" s="472" t="str">
        <f t="shared" si="9"/>
        <v>-</v>
      </c>
      <c r="AX40" s="472" t="str">
        <f t="shared" si="10"/>
        <v>-</v>
      </c>
      <c r="AY40" s="472" t="str">
        <f t="shared" si="35"/>
        <v>-</v>
      </c>
      <c r="AZ40" s="472" t="str">
        <f t="shared" si="36"/>
        <v>-</v>
      </c>
      <c r="BA40" s="472" t="str">
        <f t="shared" si="37"/>
        <v>-</v>
      </c>
      <c r="BB40" s="472" t="str">
        <f t="shared" si="38"/>
        <v>-</v>
      </c>
      <c r="BC40" s="472" t="str">
        <f t="shared" si="39"/>
        <v>-</v>
      </c>
      <c r="BD40" s="472" t="str">
        <f t="shared" si="40"/>
        <v>-</v>
      </c>
      <c r="BE40" s="472" t="str">
        <f t="shared" si="41"/>
        <v>-</v>
      </c>
      <c r="BF40" s="472" t="str">
        <f t="shared" si="42"/>
        <v>-</v>
      </c>
      <c r="BG40" s="472" t="str">
        <f t="shared" si="43"/>
        <v>-</v>
      </c>
      <c r="BH40" s="472" t="str">
        <f t="shared" si="44"/>
        <v>-</v>
      </c>
      <c r="BI40" s="221" t="str">
        <f t="shared" si="21"/>
        <v>-</v>
      </c>
      <c r="BJ40" s="730"/>
      <c r="BK40" s="692"/>
      <c r="BL40" s="429"/>
      <c r="BM40" s="429"/>
      <c r="BN40" s="214">
        <f t="shared" si="22"/>
        <v>0</v>
      </c>
      <c r="BO40" s="738"/>
      <c r="BP40" s="740"/>
      <c r="BQ40" s="462"/>
      <c r="BR40" s="462"/>
      <c r="BS40" s="228">
        <f t="shared" si="23"/>
        <v>0</v>
      </c>
      <c r="BT40" s="229" t="str">
        <f t="shared" si="24"/>
        <v>-</v>
      </c>
      <c r="BU40" s="526" t="str">
        <f t="shared" si="25"/>
        <v>-</v>
      </c>
      <c r="BV40" s="526" t="str">
        <f t="shared" si="26"/>
        <v>-</v>
      </c>
      <c r="BW40" s="526" t="str">
        <f t="shared" si="27"/>
        <v>-</v>
      </c>
      <c r="BX40" s="230" t="str">
        <f t="shared" si="28"/>
        <v>-</v>
      </c>
      <c r="BY40" s="745"/>
      <c r="BZ40" s="735"/>
      <c r="CA40" s="746"/>
      <c r="CB40" s="229" t="str">
        <f t="shared" si="29"/>
        <v>-</v>
      </c>
      <c r="CC40" s="529" t="str">
        <f t="shared" si="30"/>
        <v>-</v>
      </c>
      <c r="CD40" s="230" t="str">
        <f t="shared" si="31"/>
        <v>-</v>
      </c>
    </row>
    <row r="41" spans="1:82" ht="15.6" customHeight="1">
      <c r="A41" s="175">
        <f t="shared" si="0"/>
        <v>2021</v>
      </c>
      <c r="B41" s="454" t="str">
        <f t="shared" si="1"/>
        <v>36</v>
      </c>
      <c r="C41" s="454" t="str">
        <f t="array" ref="C41">_xlfn.IFS(_xlfn.NUMBERVALUE(B41)&lt;=13,"Q1",AND(_xlfn.NUMBERVALUE(B41)&gt;13,_xlfn.NUMBERVALUE(B41)&lt;=26),"Q2", AND(_xlfn.NUMBERVALUE(B41)&gt;26,_xlfn.NUMBERVALUE(B41)&lt;=39),"Q3",_xlfn.NUMBERVALUE(B41)&gt;39,"Q4")</f>
        <v>Q3</v>
      </c>
      <c r="D41" s="448">
        <f t="shared" si="32"/>
        <v>44107</v>
      </c>
      <c r="E41" s="448">
        <f t="shared" si="2"/>
        <v>44113</v>
      </c>
      <c r="F41" s="97">
        <v>202036</v>
      </c>
      <c r="G41" s="103"/>
      <c r="H41" s="429"/>
      <c r="I41" s="429"/>
      <c r="J41" s="429"/>
      <c r="K41" s="429"/>
      <c r="L41" s="429"/>
      <c r="M41" s="429"/>
      <c r="N41" s="429"/>
      <c r="O41" s="429"/>
      <c r="P41" s="429"/>
      <c r="Q41" s="429"/>
      <c r="R41" s="429"/>
      <c r="S41" s="429"/>
      <c r="T41" s="429"/>
      <c r="U41" s="429"/>
      <c r="V41" s="429"/>
      <c r="W41" s="429"/>
      <c r="X41" s="429"/>
      <c r="Y41" s="449">
        <f t="shared" si="34"/>
        <v>0</v>
      </c>
      <c r="Z41" s="449">
        <f t="shared" si="33"/>
        <v>0</v>
      </c>
      <c r="AA41" s="214">
        <f>'Overall Metrics'!N42</f>
        <v>0</v>
      </c>
      <c r="AB41" s="110"/>
      <c r="AC41" s="430"/>
      <c r="AD41" s="430"/>
      <c r="AE41" s="430"/>
      <c r="AF41" s="430"/>
      <c r="AG41" s="430"/>
      <c r="AH41" s="430"/>
      <c r="AI41" s="430"/>
      <c r="AJ41" s="430"/>
      <c r="AK41" s="430"/>
      <c r="AL41" s="430"/>
      <c r="AM41" s="430"/>
      <c r="AN41" s="430"/>
      <c r="AO41" s="430"/>
      <c r="AP41" s="430"/>
      <c r="AQ41" s="430"/>
      <c r="AR41" s="219">
        <f t="shared" si="4"/>
        <v>0</v>
      </c>
      <c r="AS41" s="220" t="str">
        <f t="shared" si="5"/>
        <v>-</v>
      </c>
      <c r="AT41" s="472" t="str">
        <f t="shared" si="6"/>
        <v>-</v>
      </c>
      <c r="AU41" s="472" t="str">
        <f t="shared" si="7"/>
        <v>-</v>
      </c>
      <c r="AV41" s="472" t="str">
        <f t="shared" si="8"/>
        <v>-</v>
      </c>
      <c r="AW41" s="472" t="str">
        <f t="shared" si="9"/>
        <v>-</v>
      </c>
      <c r="AX41" s="472" t="str">
        <f t="shared" si="10"/>
        <v>-</v>
      </c>
      <c r="AY41" s="472" t="str">
        <f t="shared" si="35"/>
        <v>-</v>
      </c>
      <c r="AZ41" s="472" t="str">
        <f t="shared" si="36"/>
        <v>-</v>
      </c>
      <c r="BA41" s="472" t="str">
        <f t="shared" si="37"/>
        <v>-</v>
      </c>
      <c r="BB41" s="472" t="str">
        <f t="shared" si="38"/>
        <v>-</v>
      </c>
      <c r="BC41" s="472" t="str">
        <f t="shared" si="39"/>
        <v>-</v>
      </c>
      <c r="BD41" s="472" t="str">
        <f t="shared" si="40"/>
        <v>-</v>
      </c>
      <c r="BE41" s="472" t="str">
        <f t="shared" si="41"/>
        <v>-</v>
      </c>
      <c r="BF41" s="472" t="str">
        <f t="shared" si="42"/>
        <v>-</v>
      </c>
      <c r="BG41" s="472" t="str">
        <f t="shared" si="43"/>
        <v>-</v>
      </c>
      <c r="BH41" s="472" t="str">
        <f t="shared" si="44"/>
        <v>-</v>
      </c>
      <c r="BI41" s="221" t="str">
        <f t="shared" si="21"/>
        <v>-</v>
      </c>
      <c r="BJ41" s="730"/>
      <c r="BK41" s="692"/>
      <c r="BL41" s="429"/>
      <c r="BM41" s="429"/>
      <c r="BN41" s="214">
        <f t="shared" si="22"/>
        <v>0</v>
      </c>
      <c r="BO41" s="738"/>
      <c r="BP41" s="740"/>
      <c r="BQ41" s="462"/>
      <c r="BR41" s="462"/>
      <c r="BS41" s="228">
        <f t="shared" si="23"/>
        <v>0</v>
      </c>
      <c r="BT41" s="229" t="str">
        <f t="shared" si="24"/>
        <v>-</v>
      </c>
      <c r="BU41" s="526" t="str">
        <f t="shared" si="25"/>
        <v>-</v>
      </c>
      <c r="BV41" s="526" t="str">
        <f t="shared" si="26"/>
        <v>-</v>
      </c>
      <c r="BW41" s="526" t="str">
        <f t="shared" si="27"/>
        <v>-</v>
      </c>
      <c r="BX41" s="230" t="str">
        <f t="shared" si="28"/>
        <v>-</v>
      </c>
      <c r="BY41" s="745"/>
      <c r="BZ41" s="735"/>
      <c r="CA41" s="746"/>
      <c r="CB41" s="229" t="str">
        <f t="shared" si="29"/>
        <v>-</v>
      </c>
      <c r="CC41" s="529" t="str">
        <f t="shared" si="30"/>
        <v>-</v>
      </c>
      <c r="CD41" s="230" t="str">
        <f t="shared" si="31"/>
        <v>-</v>
      </c>
    </row>
    <row r="42" spans="1:82" ht="15.6" customHeight="1">
      <c r="A42" s="175">
        <f t="shared" si="0"/>
        <v>2021</v>
      </c>
      <c r="B42" s="454" t="str">
        <f t="shared" si="1"/>
        <v>37</v>
      </c>
      <c r="C42" s="454" t="str">
        <f t="array" ref="C42">_xlfn.IFS(_xlfn.NUMBERVALUE(B42)&lt;=13,"Q1",AND(_xlfn.NUMBERVALUE(B42)&gt;13,_xlfn.NUMBERVALUE(B42)&lt;=26),"Q2", AND(_xlfn.NUMBERVALUE(B42)&gt;26,_xlfn.NUMBERVALUE(B42)&lt;=39),"Q3",_xlfn.NUMBERVALUE(B42)&gt;39,"Q4")</f>
        <v>Q3</v>
      </c>
      <c r="D42" s="448">
        <f t="shared" si="32"/>
        <v>44114</v>
      </c>
      <c r="E42" s="448">
        <f t="shared" si="2"/>
        <v>44120</v>
      </c>
      <c r="F42" s="97">
        <v>202037</v>
      </c>
      <c r="G42" s="103"/>
      <c r="H42" s="429"/>
      <c r="I42" s="429"/>
      <c r="J42" s="429"/>
      <c r="K42" s="429"/>
      <c r="L42" s="429"/>
      <c r="M42" s="429"/>
      <c r="N42" s="429"/>
      <c r="O42" s="429"/>
      <c r="P42" s="429"/>
      <c r="Q42" s="429"/>
      <c r="R42" s="429"/>
      <c r="S42" s="429"/>
      <c r="T42" s="429"/>
      <c r="U42" s="429"/>
      <c r="V42" s="429"/>
      <c r="W42" s="429"/>
      <c r="X42" s="429"/>
      <c r="Y42" s="449">
        <f t="shared" si="34"/>
        <v>0</v>
      </c>
      <c r="Z42" s="449">
        <f t="shared" si="33"/>
        <v>0</v>
      </c>
      <c r="AA42" s="214">
        <f>'Overall Metrics'!N43</f>
        <v>0</v>
      </c>
      <c r="AB42" s="110"/>
      <c r="AC42" s="430"/>
      <c r="AD42" s="430"/>
      <c r="AE42" s="430"/>
      <c r="AF42" s="430"/>
      <c r="AG42" s="430"/>
      <c r="AH42" s="430"/>
      <c r="AI42" s="430"/>
      <c r="AJ42" s="430"/>
      <c r="AK42" s="430"/>
      <c r="AL42" s="430"/>
      <c r="AM42" s="430"/>
      <c r="AN42" s="430"/>
      <c r="AO42" s="430"/>
      <c r="AP42" s="430"/>
      <c r="AQ42" s="430"/>
      <c r="AR42" s="219">
        <f t="shared" si="4"/>
        <v>0</v>
      </c>
      <c r="AS42" s="220" t="str">
        <f t="shared" si="5"/>
        <v>-</v>
      </c>
      <c r="AT42" s="472" t="str">
        <f t="shared" si="6"/>
        <v>-</v>
      </c>
      <c r="AU42" s="472" t="str">
        <f t="shared" si="7"/>
        <v>-</v>
      </c>
      <c r="AV42" s="472" t="str">
        <f t="shared" si="8"/>
        <v>-</v>
      </c>
      <c r="AW42" s="472" t="str">
        <f t="shared" si="9"/>
        <v>-</v>
      </c>
      <c r="AX42" s="472" t="str">
        <f t="shared" si="10"/>
        <v>-</v>
      </c>
      <c r="AY42" s="472" t="str">
        <f t="shared" si="35"/>
        <v>-</v>
      </c>
      <c r="AZ42" s="472" t="str">
        <f t="shared" si="36"/>
        <v>-</v>
      </c>
      <c r="BA42" s="472" t="str">
        <f t="shared" si="37"/>
        <v>-</v>
      </c>
      <c r="BB42" s="472" t="str">
        <f t="shared" si="38"/>
        <v>-</v>
      </c>
      <c r="BC42" s="472" t="str">
        <f t="shared" si="39"/>
        <v>-</v>
      </c>
      <c r="BD42" s="472" t="str">
        <f t="shared" si="40"/>
        <v>-</v>
      </c>
      <c r="BE42" s="472" t="str">
        <f t="shared" si="41"/>
        <v>-</v>
      </c>
      <c r="BF42" s="472" t="str">
        <f t="shared" si="42"/>
        <v>-</v>
      </c>
      <c r="BG42" s="472" t="str">
        <f t="shared" si="43"/>
        <v>-</v>
      </c>
      <c r="BH42" s="472" t="str">
        <f t="shared" si="44"/>
        <v>-</v>
      </c>
      <c r="BI42" s="221" t="str">
        <f t="shared" si="21"/>
        <v>-</v>
      </c>
      <c r="BJ42" s="730"/>
      <c r="BK42" s="692"/>
      <c r="BL42" s="429"/>
      <c r="BM42" s="429"/>
      <c r="BN42" s="214">
        <f t="shared" si="22"/>
        <v>0</v>
      </c>
      <c r="BO42" s="738"/>
      <c r="BP42" s="740"/>
      <c r="BQ42" s="462"/>
      <c r="BR42" s="462"/>
      <c r="BS42" s="228">
        <f t="shared" si="23"/>
        <v>0</v>
      </c>
      <c r="BT42" s="229" t="str">
        <f t="shared" si="24"/>
        <v>-</v>
      </c>
      <c r="BU42" s="526" t="str">
        <f t="shared" si="25"/>
        <v>-</v>
      </c>
      <c r="BV42" s="526" t="str">
        <f t="shared" si="26"/>
        <v>-</v>
      </c>
      <c r="BW42" s="526" t="str">
        <f t="shared" si="27"/>
        <v>-</v>
      </c>
      <c r="BX42" s="230" t="str">
        <f t="shared" si="28"/>
        <v>-</v>
      </c>
      <c r="BY42" s="745"/>
      <c r="BZ42" s="735"/>
      <c r="CA42" s="746"/>
      <c r="CB42" s="229" t="str">
        <f t="shared" si="29"/>
        <v>-</v>
      </c>
      <c r="CC42" s="529" t="str">
        <f t="shared" si="30"/>
        <v>-</v>
      </c>
      <c r="CD42" s="230" t="str">
        <f t="shared" si="31"/>
        <v>-</v>
      </c>
    </row>
    <row r="43" spans="1:82" ht="15.6" customHeight="1">
      <c r="A43" s="175">
        <f t="shared" si="0"/>
        <v>2021</v>
      </c>
      <c r="B43" s="454" t="str">
        <f t="shared" si="1"/>
        <v>38</v>
      </c>
      <c r="C43" s="454" t="str">
        <f t="array" ref="C43">_xlfn.IFS(_xlfn.NUMBERVALUE(B43)&lt;=13,"Q1",AND(_xlfn.NUMBERVALUE(B43)&gt;13,_xlfn.NUMBERVALUE(B43)&lt;=26),"Q2", AND(_xlfn.NUMBERVALUE(B43)&gt;26,_xlfn.NUMBERVALUE(B43)&lt;=39),"Q3",_xlfn.NUMBERVALUE(B43)&gt;39,"Q4")</f>
        <v>Q3</v>
      </c>
      <c r="D43" s="448">
        <f t="shared" si="32"/>
        <v>44121</v>
      </c>
      <c r="E43" s="448">
        <f t="shared" si="2"/>
        <v>44127</v>
      </c>
      <c r="F43" s="97">
        <v>202038</v>
      </c>
      <c r="G43" s="103"/>
      <c r="H43" s="429"/>
      <c r="I43" s="429"/>
      <c r="J43" s="429"/>
      <c r="K43" s="429"/>
      <c r="L43" s="429"/>
      <c r="M43" s="429"/>
      <c r="N43" s="429"/>
      <c r="O43" s="429"/>
      <c r="P43" s="429"/>
      <c r="Q43" s="429"/>
      <c r="R43" s="429"/>
      <c r="S43" s="429"/>
      <c r="T43" s="429"/>
      <c r="U43" s="429"/>
      <c r="V43" s="429"/>
      <c r="W43" s="429"/>
      <c r="X43" s="429"/>
      <c r="Y43" s="449">
        <f t="shared" si="34"/>
        <v>0</v>
      </c>
      <c r="Z43" s="449">
        <f t="shared" si="33"/>
        <v>0</v>
      </c>
      <c r="AA43" s="214">
        <f>'Overall Metrics'!N44</f>
        <v>0</v>
      </c>
      <c r="AB43" s="110"/>
      <c r="AC43" s="430"/>
      <c r="AD43" s="430"/>
      <c r="AE43" s="430"/>
      <c r="AF43" s="430"/>
      <c r="AG43" s="430"/>
      <c r="AH43" s="430"/>
      <c r="AI43" s="430"/>
      <c r="AJ43" s="430"/>
      <c r="AK43" s="430"/>
      <c r="AL43" s="430"/>
      <c r="AM43" s="430"/>
      <c r="AN43" s="430"/>
      <c r="AO43" s="430"/>
      <c r="AP43" s="430"/>
      <c r="AQ43" s="430"/>
      <c r="AR43" s="219">
        <f t="shared" si="4"/>
        <v>0</v>
      </c>
      <c r="AS43" s="220" t="str">
        <f t="shared" si="5"/>
        <v>-</v>
      </c>
      <c r="AT43" s="472" t="str">
        <f t="shared" si="6"/>
        <v>-</v>
      </c>
      <c r="AU43" s="472" t="str">
        <f t="shared" si="7"/>
        <v>-</v>
      </c>
      <c r="AV43" s="472" t="str">
        <f t="shared" si="8"/>
        <v>-</v>
      </c>
      <c r="AW43" s="472" t="str">
        <f t="shared" si="9"/>
        <v>-</v>
      </c>
      <c r="AX43" s="472" t="str">
        <f t="shared" si="10"/>
        <v>-</v>
      </c>
      <c r="AY43" s="472" t="str">
        <f t="shared" si="35"/>
        <v>-</v>
      </c>
      <c r="AZ43" s="472" t="str">
        <f t="shared" si="36"/>
        <v>-</v>
      </c>
      <c r="BA43" s="472" t="str">
        <f t="shared" si="37"/>
        <v>-</v>
      </c>
      <c r="BB43" s="472" t="str">
        <f t="shared" si="38"/>
        <v>-</v>
      </c>
      <c r="BC43" s="472" t="str">
        <f t="shared" si="39"/>
        <v>-</v>
      </c>
      <c r="BD43" s="472" t="str">
        <f t="shared" si="40"/>
        <v>-</v>
      </c>
      <c r="BE43" s="472" t="str">
        <f t="shared" si="41"/>
        <v>-</v>
      </c>
      <c r="BF43" s="472" t="str">
        <f t="shared" si="42"/>
        <v>-</v>
      </c>
      <c r="BG43" s="472" t="str">
        <f t="shared" si="43"/>
        <v>-</v>
      </c>
      <c r="BH43" s="472" t="str">
        <f t="shared" si="44"/>
        <v>-</v>
      </c>
      <c r="BI43" s="221" t="str">
        <f t="shared" si="21"/>
        <v>-</v>
      </c>
      <c r="BJ43" s="730"/>
      <c r="BK43" s="692"/>
      <c r="BL43" s="429"/>
      <c r="BM43" s="429"/>
      <c r="BN43" s="214">
        <f t="shared" si="22"/>
        <v>0</v>
      </c>
      <c r="BO43" s="738"/>
      <c r="BP43" s="740"/>
      <c r="BQ43" s="462"/>
      <c r="BR43" s="462"/>
      <c r="BS43" s="228">
        <f t="shared" si="23"/>
        <v>0</v>
      </c>
      <c r="BT43" s="229" t="str">
        <f t="shared" si="24"/>
        <v>-</v>
      </c>
      <c r="BU43" s="526" t="str">
        <f t="shared" si="25"/>
        <v>-</v>
      </c>
      <c r="BV43" s="526" t="str">
        <f t="shared" si="26"/>
        <v>-</v>
      </c>
      <c r="BW43" s="526" t="str">
        <f t="shared" si="27"/>
        <v>-</v>
      </c>
      <c r="BX43" s="230" t="str">
        <f t="shared" si="28"/>
        <v>-</v>
      </c>
      <c r="BY43" s="745"/>
      <c r="BZ43" s="735"/>
      <c r="CA43" s="746"/>
      <c r="CB43" s="229" t="str">
        <f t="shared" si="29"/>
        <v>-</v>
      </c>
      <c r="CC43" s="529" t="str">
        <f t="shared" si="30"/>
        <v>-</v>
      </c>
      <c r="CD43" s="230" t="str">
        <f t="shared" si="31"/>
        <v>-</v>
      </c>
    </row>
    <row r="44" spans="1:82" ht="15.6" customHeight="1">
      <c r="A44" s="175">
        <f t="shared" si="0"/>
        <v>2021</v>
      </c>
      <c r="B44" s="454" t="str">
        <f t="shared" si="1"/>
        <v>39</v>
      </c>
      <c r="C44" s="454" t="str">
        <f t="array" ref="C44">_xlfn.IFS(_xlfn.NUMBERVALUE(B44)&lt;=13,"Q1",AND(_xlfn.NUMBERVALUE(B44)&gt;13,_xlfn.NUMBERVALUE(B44)&lt;=26),"Q2", AND(_xlfn.NUMBERVALUE(B44)&gt;26,_xlfn.NUMBERVALUE(B44)&lt;=39),"Q3",_xlfn.NUMBERVALUE(B44)&gt;39,"Q4")</f>
        <v>Q3</v>
      </c>
      <c r="D44" s="448">
        <f t="shared" si="32"/>
        <v>44128</v>
      </c>
      <c r="E44" s="448">
        <f t="shared" si="2"/>
        <v>44134</v>
      </c>
      <c r="F44" s="97">
        <v>202039</v>
      </c>
      <c r="G44" s="103"/>
      <c r="H44" s="429"/>
      <c r="I44" s="429"/>
      <c r="J44" s="429"/>
      <c r="K44" s="429"/>
      <c r="L44" s="429"/>
      <c r="M44" s="429"/>
      <c r="N44" s="429"/>
      <c r="O44" s="429"/>
      <c r="P44" s="429"/>
      <c r="Q44" s="429"/>
      <c r="R44" s="429"/>
      <c r="S44" s="429"/>
      <c r="T44" s="429"/>
      <c r="U44" s="429"/>
      <c r="V44" s="429"/>
      <c r="W44" s="429"/>
      <c r="X44" s="429"/>
      <c r="Y44" s="449">
        <f t="shared" si="34"/>
        <v>0</v>
      </c>
      <c r="Z44" s="449">
        <f t="shared" si="33"/>
        <v>0</v>
      </c>
      <c r="AA44" s="214">
        <f>'Overall Metrics'!N45</f>
        <v>0</v>
      </c>
      <c r="AB44" s="110"/>
      <c r="AC44" s="430"/>
      <c r="AD44" s="430"/>
      <c r="AE44" s="430"/>
      <c r="AF44" s="430"/>
      <c r="AG44" s="430"/>
      <c r="AH44" s="430"/>
      <c r="AI44" s="430"/>
      <c r="AJ44" s="430"/>
      <c r="AK44" s="430"/>
      <c r="AL44" s="430"/>
      <c r="AM44" s="430"/>
      <c r="AN44" s="430"/>
      <c r="AO44" s="430"/>
      <c r="AP44" s="430"/>
      <c r="AQ44" s="430"/>
      <c r="AR44" s="219">
        <f t="shared" si="4"/>
        <v>0</v>
      </c>
      <c r="AS44" s="220" t="str">
        <f t="shared" si="5"/>
        <v>-</v>
      </c>
      <c r="AT44" s="472" t="str">
        <f t="shared" si="6"/>
        <v>-</v>
      </c>
      <c r="AU44" s="472" t="str">
        <f t="shared" si="7"/>
        <v>-</v>
      </c>
      <c r="AV44" s="472" t="str">
        <f t="shared" si="8"/>
        <v>-</v>
      </c>
      <c r="AW44" s="472" t="str">
        <f t="shared" si="9"/>
        <v>-</v>
      </c>
      <c r="AX44" s="472" t="str">
        <f t="shared" si="10"/>
        <v>-</v>
      </c>
      <c r="AY44" s="472" t="str">
        <f t="shared" si="35"/>
        <v>-</v>
      </c>
      <c r="AZ44" s="472" t="str">
        <f t="shared" si="36"/>
        <v>-</v>
      </c>
      <c r="BA44" s="472" t="str">
        <f t="shared" si="37"/>
        <v>-</v>
      </c>
      <c r="BB44" s="472" t="str">
        <f t="shared" si="38"/>
        <v>-</v>
      </c>
      <c r="BC44" s="472" t="str">
        <f t="shared" si="39"/>
        <v>-</v>
      </c>
      <c r="BD44" s="472" t="str">
        <f t="shared" si="40"/>
        <v>-</v>
      </c>
      <c r="BE44" s="472" t="str">
        <f t="shared" si="41"/>
        <v>-</v>
      </c>
      <c r="BF44" s="472" t="str">
        <f t="shared" si="42"/>
        <v>-</v>
      </c>
      <c r="BG44" s="472" t="str">
        <f t="shared" si="43"/>
        <v>-</v>
      </c>
      <c r="BH44" s="472" t="str">
        <f t="shared" si="44"/>
        <v>-</v>
      </c>
      <c r="BI44" s="221" t="str">
        <f t="shared" si="21"/>
        <v>-</v>
      </c>
      <c r="BJ44" s="730"/>
      <c r="BK44" s="692"/>
      <c r="BL44" s="429"/>
      <c r="BM44" s="429"/>
      <c r="BN44" s="214">
        <f t="shared" si="22"/>
        <v>0</v>
      </c>
      <c r="BO44" s="738"/>
      <c r="BP44" s="740"/>
      <c r="BQ44" s="462"/>
      <c r="BR44" s="462"/>
      <c r="BS44" s="228">
        <f t="shared" si="23"/>
        <v>0</v>
      </c>
      <c r="BT44" s="229" t="str">
        <f t="shared" si="24"/>
        <v>-</v>
      </c>
      <c r="BU44" s="526" t="str">
        <f t="shared" si="25"/>
        <v>-</v>
      </c>
      <c r="BV44" s="526" t="str">
        <f t="shared" si="26"/>
        <v>-</v>
      </c>
      <c r="BW44" s="526" t="str">
        <f t="shared" si="27"/>
        <v>-</v>
      </c>
      <c r="BX44" s="230" t="str">
        <f t="shared" si="28"/>
        <v>-</v>
      </c>
      <c r="BY44" s="745"/>
      <c r="BZ44" s="735"/>
      <c r="CA44" s="746"/>
      <c r="CB44" s="229" t="str">
        <f t="shared" si="29"/>
        <v>-</v>
      </c>
      <c r="CC44" s="529" t="str">
        <f t="shared" si="30"/>
        <v>-</v>
      </c>
      <c r="CD44" s="230" t="str">
        <f t="shared" si="31"/>
        <v>-</v>
      </c>
    </row>
    <row r="45" spans="1:82" ht="15.6" customHeight="1">
      <c r="A45" s="175">
        <f t="shared" si="0"/>
        <v>2021</v>
      </c>
      <c r="B45" s="454" t="str">
        <f t="shared" si="1"/>
        <v>40</v>
      </c>
      <c r="C45" s="454" t="str">
        <f t="array" ref="C45">_xlfn.IFS(_xlfn.NUMBERVALUE(B45)&lt;=13,"Q1",AND(_xlfn.NUMBERVALUE(B45)&gt;13,_xlfn.NUMBERVALUE(B45)&lt;=26),"Q2", AND(_xlfn.NUMBERVALUE(B45)&gt;26,_xlfn.NUMBERVALUE(B45)&lt;=39),"Q3",_xlfn.NUMBERVALUE(B45)&gt;39,"Q4")</f>
        <v>Q4</v>
      </c>
      <c r="D45" s="448">
        <f t="shared" si="32"/>
        <v>44135</v>
      </c>
      <c r="E45" s="448">
        <f t="shared" si="2"/>
        <v>44141</v>
      </c>
      <c r="F45" s="97">
        <v>202040</v>
      </c>
      <c r="G45" s="103"/>
      <c r="H45" s="429"/>
      <c r="I45" s="429"/>
      <c r="J45" s="429"/>
      <c r="K45" s="429"/>
      <c r="L45" s="429"/>
      <c r="M45" s="429"/>
      <c r="N45" s="429"/>
      <c r="O45" s="429"/>
      <c r="P45" s="429"/>
      <c r="Q45" s="429"/>
      <c r="R45" s="429"/>
      <c r="S45" s="429"/>
      <c r="T45" s="429"/>
      <c r="U45" s="429"/>
      <c r="V45" s="429"/>
      <c r="W45" s="429"/>
      <c r="X45" s="429"/>
      <c r="Y45" s="449">
        <f t="shared" si="34"/>
        <v>0</v>
      </c>
      <c r="Z45" s="449">
        <f t="shared" si="33"/>
        <v>0</v>
      </c>
      <c r="AA45" s="214">
        <f>'Overall Metrics'!N46</f>
        <v>0</v>
      </c>
      <c r="AB45" s="110"/>
      <c r="AC45" s="430"/>
      <c r="AD45" s="430"/>
      <c r="AE45" s="430"/>
      <c r="AF45" s="430"/>
      <c r="AG45" s="430"/>
      <c r="AH45" s="430"/>
      <c r="AI45" s="430"/>
      <c r="AJ45" s="430"/>
      <c r="AK45" s="430"/>
      <c r="AL45" s="430"/>
      <c r="AM45" s="430"/>
      <c r="AN45" s="430"/>
      <c r="AO45" s="430"/>
      <c r="AP45" s="430"/>
      <c r="AQ45" s="430"/>
      <c r="AR45" s="219">
        <f t="shared" si="4"/>
        <v>0</v>
      </c>
      <c r="AS45" s="220" t="str">
        <f t="shared" si="5"/>
        <v>-</v>
      </c>
      <c r="AT45" s="472" t="str">
        <f t="shared" si="6"/>
        <v>-</v>
      </c>
      <c r="AU45" s="472" t="str">
        <f t="shared" si="7"/>
        <v>-</v>
      </c>
      <c r="AV45" s="472" t="str">
        <f t="shared" si="8"/>
        <v>-</v>
      </c>
      <c r="AW45" s="472" t="str">
        <f t="shared" si="9"/>
        <v>-</v>
      </c>
      <c r="AX45" s="472" t="str">
        <f t="shared" si="10"/>
        <v>-</v>
      </c>
      <c r="AY45" s="472" t="str">
        <f t="shared" si="35"/>
        <v>-</v>
      </c>
      <c r="AZ45" s="472" t="str">
        <f t="shared" si="36"/>
        <v>-</v>
      </c>
      <c r="BA45" s="472" t="str">
        <f t="shared" si="37"/>
        <v>-</v>
      </c>
      <c r="BB45" s="472" t="str">
        <f t="shared" si="38"/>
        <v>-</v>
      </c>
      <c r="BC45" s="472" t="str">
        <f t="shared" si="39"/>
        <v>-</v>
      </c>
      <c r="BD45" s="472" t="str">
        <f t="shared" si="40"/>
        <v>-</v>
      </c>
      <c r="BE45" s="472" t="str">
        <f t="shared" si="41"/>
        <v>-</v>
      </c>
      <c r="BF45" s="472" t="str">
        <f t="shared" si="42"/>
        <v>-</v>
      </c>
      <c r="BG45" s="472" t="str">
        <f t="shared" si="43"/>
        <v>-</v>
      </c>
      <c r="BH45" s="472" t="str">
        <f t="shared" si="44"/>
        <v>-</v>
      </c>
      <c r="BI45" s="221" t="str">
        <f t="shared" si="21"/>
        <v>-</v>
      </c>
      <c r="BJ45" s="730"/>
      <c r="BK45" s="692"/>
      <c r="BL45" s="429"/>
      <c r="BM45" s="429"/>
      <c r="BN45" s="214">
        <f t="shared" si="22"/>
        <v>0</v>
      </c>
      <c r="BO45" s="738"/>
      <c r="BP45" s="740"/>
      <c r="BQ45" s="462"/>
      <c r="BR45" s="462"/>
      <c r="BS45" s="228">
        <f t="shared" si="23"/>
        <v>0</v>
      </c>
      <c r="BT45" s="229" t="str">
        <f t="shared" si="24"/>
        <v>-</v>
      </c>
      <c r="BU45" s="526" t="str">
        <f t="shared" si="25"/>
        <v>-</v>
      </c>
      <c r="BV45" s="526" t="str">
        <f t="shared" si="26"/>
        <v>-</v>
      </c>
      <c r="BW45" s="526" t="str">
        <f t="shared" si="27"/>
        <v>-</v>
      </c>
      <c r="BX45" s="230" t="str">
        <f t="shared" si="28"/>
        <v>-</v>
      </c>
      <c r="BY45" s="745"/>
      <c r="BZ45" s="735"/>
      <c r="CA45" s="746"/>
      <c r="CB45" s="229" t="str">
        <f t="shared" si="29"/>
        <v>-</v>
      </c>
      <c r="CC45" s="529" t="str">
        <f t="shared" si="30"/>
        <v>-</v>
      </c>
      <c r="CD45" s="230" t="str">
        <f t="shared" si="31"/>
        <v>-</v>
      </c>
    </row>
    <row r="46" spans="1:82" ht="15.6" customHeight="1">
      <c r="A46" s="175">
        <f t="shared" si="0"/>
        <v>2021</v>
      </c>
      <c r="B46" s="454" t="str">
        <f t="shared" si="1"/>
        <v>41</v>
      </c>
      <c r="C46" s="454" t="str">
        <f t="array" ref="C46">_xlfn.IFS(_xlfn.NUMBERVALUE(B46)&lt;=13,"Q1",AND(_xlfn.NUMBERVALUE(B46)&gt;13,_xlfn.NUMBERVALUE(B46)&lt;=26),"Q2", AND(_xlfn.NUMBERVALUE(B46)&gt;26,_xlfn.NUMBERVALUE(B46)&lt;=39),"Q3",_xlfn.NUMBERVALUE(B46)&gt;39,"Q4")</f>
        <v>Q4</v>
      </c>
      <c r="D46" s="448">
        <f t="shared" si="32"/>
        <v>44142</v>
      </c>
      <c r="E46" s="448">
        <f t="shared" si="2"/>
        <v>44148</v>
      </c>
      <c r="F46" s="97">
        <v>202041</v>
      </c>
      <c r="G46" s="103"/>
      <c r="H46" s="429"/>
      <c r="I46" s="429"/>
      <c r="J46" s="429"/>
      <c r="K46" s="429"/>
      <c r="L46" s="429"/>
      <c r="M46" s="429"/>
      <c r="N46" s="429"/>
      <c r="O46" s="429"/>
      <c r="P46" s="429"/>
      <c r="Q46" s="429"/>
      <c r="R46" s="429"/>
      <c r="S46" s="429"/>
      <c r="T46" s="429"/>
      <c r="U46" s="429"/>
      <c r="V46" s="429"/>
      <c r="W46" s="429"/>
      <c r="X46" s="429"/>
      <c r="Y46" s="449">
        <f t="shared" si="34"/>
        <v>0</v>
      </c>
      <c r="Z46" s="449">
        <f t="shared" si="33"/>
        <v>0</v>
      </c>
      <c r="AA46" s="214">
        <f>'Overall Metrics'!N47</f>
        <v>0</v>
      </c>
      <c r="AB46" s="110"/>
      <c r="AC46" s="430"/>
      <c r="AD46" s="430"/>
      <c r="AE46" s="430"/>
      <c r="AF46" s="430"/>
      <c r="AG46" s="430"/>
      <c r="AH46" s="430"/>
      <c r="AI46" s="430"/>
      <c r="AJ46" s="430"/>
      <c r="AK46" s="430"/>
      <c r="AL46" s="524"/>
      <c r="AM46" s="430"/>
      <c r="AN46" s="430"/>
      <c r="AO46" s="430"/>
      <c r="AP46" s="430"/>
      <c r="AQ46" s="430"/>
      <c r="AR46" s="219">
        <f t="shared" si="4"/>
        <v>0</v>
      </c>
      <c r="AS46" s="220" t="str">
        <f t="shared" si="5"/>
        <v>-</v>
      </c>
      <c r="AT46" s="472" t="str">
        <f t="shared" si="6"/>
        <v>-</v>
      </c>
      <c r="AU46" s="472" t="str">
        <f t="shared" si="7"/>
        <v>-</v>
      </c>
      <c r="AV46" s="472" t="str">
        <f t="shared" si="8"/>
        <v>-</v>
      </c>
      <c r="AW46" s="472" t="str">
        <f t="shared" si="9"/>
        <v>-</v>
      </c>
      <c r="AX46" s="472" t="str">
        <f t="shared" si="10"/>
        <v>-</v>
      </c>
      <c r="AY46" s="472" t="str">
        <f t="shared" si="35"/>
        <v>-</v>
      </c>
      <c r="AZ46" s="472" t="str">
        <f t="shared" si="36"/>
        <v>-</v>
      </c>
      <c r="BA46" s="472" t="str">
        <f t="shared" si="37"/>
        <v>-</v>
      </c>
      <c r="BB46" s="472" t="str">
        <f t="shared" si="38"/>
        <v>-</v>
      </c>
      <c r="BC46" s="472" t="str">
        <f t="shared" si="39"/>
        <v>-</v>
      </c>
      <c r="BD46" s="472" t="str">
        <f t="shared" si="40"/>
        <v>-</v>
      </c>
      <c r="BE46" s="472" t="str">
        <f t="shared" si="41"/>
        <v>-</v>
      </c>
      <c r="BF46" s="472" t="str">
        <f t="shared" si="42"/>
        <v>-</v>
      </c>
      <c r="BG46" s="472" t="str">
        <f t="shared" si="43"/>
        <v>-</v>
      </c>
      <c r="BH46" s="472" t="str">
        <f t="shared" si="44"/>
        <v>-</v>
      </c>
      <c r="BI46" s="221" t="str">
        <f t="shared" si="21"/>
        <v>-</v>
      </c>
      <c r="BJ46" s="730"/>
      <c r="BK46" s="692"/>
      <c r="BL46" s="429"/>
      <c r="BM46" s="429"/>
      <c r="BN46" s="214">
        <f t="shared" si="22"/>
        <v>0</v>
      </c>
      <c r="BO46" s="738"/>
      <c r="BP46" s="740"/>
      <c r="BQ46" s="462"/>
      <c r="BR46" s="462"/>
      <c r="BS46" s="228">
        <f t="shared" si="23"/>
        <v>0</v>
      </c>
      <c r="BT46" s="229" t="str">
        <f t="shared" si="24"/>
        <v>-</v>
      </c>
      <c r="BU46" s="526" t="str">
        <f t="shared" si="25"/>
        <v>-</v>
      </c>
      <c r="BV46" s="526" t="str">
        <f t="shared" si="26"/>
        <v>-</v>
      </c>
      <c r="BW46" s="526" t="str">
        <f t="shared" si="27"/>
        <v>-</v>
      </c>
      <c r="BX46" s="230" t="str">
        <f t="shared" si="28"/>
        <v>-</v>
      </c>
      <c r="BY46" s="745"/>
      <c r="BZ46" s="735"/>
      <c r="CA46" s="746"/>
      <c r="CB46" s="229" t="str">
        <f t="shared" si="29"/>
        <v>-</v>
      </c>
      <c r="CC46" s="529" t="str">
        <f t="shared" si="30"/>
        <v>-</v>
      </c>
      <c r="CD46" s="230" t="str">
        <f t="shared" si="31"/>
        <v>-</v>
      </c>
    </row>
    <row r="47" spans="1:82" ht="15.6" customHeight="1">
      <c r="A47" s="175">
        <f t="shared" si="0"/>
        <v>2021</v>
      </c>
      <c r="B47" s="454" t="str">
        <f t="shared" si="1"/>
        <v>42</v>
      </c>
      <c r="C47" s="454" t="str">
        <f t="array" ref="C47">_xlfn.IFS(_xlfn.NUMBERVALUE(B47)&lt;=13,"Q1",AND(_xlfn.NUMBERVALUE(B47)&gt;13,_xlfn.NUMBERVALUE(B47)&lt;=26),"Q2", AND(_xlfn.NUMBERVALUE(B47)&gt;26,_xlfn.NUMBERVALUE(B47)&lt;=39),"Q3",_xlfn.NUMBERVALUE(B47)&gt;39,"Q4")</f>
        <v>Q4</v>
      </c>
      <c r="D47" s="448">
        <f t="shared" si="32"/>
        <v>44149</v>
      </c>
      <c r="E47" s="448">
        <f t="shared" si="2"/>
        <v>44155</v>
      </c>
      <c r="F47" s="97">
        <v>202042</v>
      </c>
      <c r="G47" s="103"/>
      <c r="H47" s="429"/>
      <c r="I47" s="429"/>
      <c r="J47" s="429"/>
      <c r="K47" s="429"/>
      <c r="L47" s="429"/>
      <c r="M47" s="429"/>
      <c r="N47" s="429"/>
      <c r="O47" s="429"/>
      <c r="P47" s="429"/>
      <c r="Q47" s="429"/>
      <c r="R47" s="429"/>
      <c r="S47" s="429"/>
      <c r="T47" s="429"/>
      <c r="U47" s="429"/>
      <c r="V47" s="429"/>
      <c r="W47" s="429"/>
      <c r="X47" s="429"/>
      <c r="Y47" s="449">
        <f t="shared" si="34"/>
        <v>0</v>
      </c>
      <c r="Z47" s="449">
        <f t="shared" si="33"/>
        <v>0</v>
      </c>
      <c r="AA47" s="214">
        <f>'Overall Metrics'!N48</f>
        <v>0</v>
      </c>
      <c r="AB47" s="110"/>
      <c r="AC47" s="430"/>
      <c r="AD47" s="430"/>
      <c r="AE47" s="430"/>
      <c r="AF47" s="430"/>
      <c r="AG47" s="430"/>
      <c r="AH47" s="430"/>
      <c r="AI47" s="430"/>
      <c r="AJ47" s="430"/>
      <c r="AK47" s="430"/>
      <c r="AL47" s="430"/>
      <c r="AM47" s="430"/>
      <c r="AN47" s="430"/>
      <c r="AO47" s="430"/>
      <c r="AP47" s="430"/>
      <c r="AQ47" s="430"/>
      <c r="AR47" s="219">
        <f t="shared" si="4"/>
        <v>0</v>
      </c>
      <c r="AS47" s="220" t="str">
        <f t="shared" si="5"/>
        <v>-</v>
      </c>
      <c r="AT47" s="472" t="str">
        <f t="shared" si="6"/>
        <v>-</v>
      </c>
      <c r="AU47" s="472" t="str">
        <f t="shared" si="7"/>
        <v>-</v>
      </c>
      <c r="AV47" s="472" t="str">
        <f t="shared" si="8"/>
        <v>-</v>
      </c>
      <c r="AW47" s="472" t="str">
        <f t="shared" si="9"/>
        <v>-</v>
      </c>
      <c r="AX47" s="472" t="str">
        <f t="shared" si="10"/>
        <v>-</v>
      </c>
      <c r="AY47" s="472" t="str">
        <f t="shared" si="35"/>
        <v>-</v>
      </c>
      <c r="AZ47" s="472" t="str">
        <f t="shared" si="36"/>
        <v>-</v>
      </c>
      <c r="BA47" s="472" t="str">
        <f t="shared" si="37"/>
        <v>-</v>
      </c>
      <c r="BB47" s="472" t="str">
        <f t="shared" si="38"/>
        <v>-</v>
      </c>
      <c r="BC47" s="472" t="str">
        <f t="shared" si="39"/>
        <v>-</v>
      </c>
      <c r="BD47" s="472" t="str">
        <f t="shared" si="40"/>
        <v>-</v>
      </c>
      <c r="BE47" s="472" t="str">
        <f t="shared" si="41"/>
        <v>-</v>
      </c>
      <c r="BF47" s="472" t="str">
        <f t="shared" si="42"/>
        <v>-</v>
      </c>
      <c r="BG47" s="472" t="str">
        <f t="shared" si="43"/>
        <v>-</v>
      </c>
      <c r="BH47" s="472" t="str">
        <f t="shared" si="44"/>
        <v>-</v>
      </c>
      <c r="BI47" s="221" t="str">
        <f t="shared" si="21"/>
        <v>-</v>
      </c>
      <c r="BJ47" s="730"/>
      <c r="BK47" s="692"/>
      <c r="BL47" s="429"/>
      <c r="BM47" s="429"/>
      <c r="BN47" s="214">
        <f t="shared" si="22"/>
        <v>0</v>
      </c>
      <c r="BO47" s="738"/>
      <c r="BP47" s="740"/>
      <c r="BQ47" s="462"/>
      <c r="BR47" s="462"/>
      <c r="BS47" s="228">
        <f t="shared" si="23"/>
        <v>0</v>
      </c>
      <c r="BT47" s="229" t="str">
        <f t="shared" si="24"/>
        <v>-</v>
      </c>
      <c r="BU47" s="526" t="str">
        <f t="shared" si="25"/>
        <v>-</v>
      </c>
      <c r="BV47" s="526" t="str">
        <f t="shared" si="26"/>
        <v>-</v>
      </c>
      <c r="BW47" s="526" t="str">
        <f t="shared" si="27"/>
        <v>-</v>
      </c>
      <c r="BX47" s="230" t="str">
        <f t="shared" si="28"/>
        <v>-</v>
      </c>
      <c r="BY47" s="745"/>
      <c r="BZ47" s="735"/>
      <c r="CA47" s="746"/>
      <c r="CB47" s="229" t="str">
        <f t="shared" si="29"/>
        <v>-</v>
      </c>
      <c r="CC47" s="529" t="str">
        <f t="shared" si="30"/>
        <v>-</v>
      </c>
      <c r="CD47" s="230" t="str">
        <f t="shared" si="31"/>
        <v>-</v>
      </c>
    </row>
    <row r="48" spans="1:82" ht="15.6" customHeight="1">
      <c r="A48" s="175">
        <f t="shared" si="0"/>
        <v>2021</v>
      </c>
      <c r="B48" s="454" t="str">
        <f t="shared" si="1"/>
        <v>43</v>
      </c>
      <c r="C48" s="454" t="str">
        <f t="array" ref="C48">_xlfn.IFS(_xlfn.NUMBERVALUE(B48)&lt;=13,"Q1",AND(_xlfn.NUMBERVALUE(B48)&gt;13,_xlfn.NUMBERVALUE(B48)&lt;=26),"Q2", AND(_xlfn.NUMBERVALUE(B48)&gt;26,_xlfn.NUMBERVALUE(B48)&lt;=39),"Q3",_xlfn.NUMBERVALUE(B48)&gt;39,"Q4")</f>
        <v>Q4</v>
      </c>
      <c r="D48" s="448">
        <f t="shared" si="32"/>
        <v>44156</v>
      </c>
      <c r="E48" s="448">
        <f t="shared" si="2"/>
        <v>44162</v>
      </c>
      <c r="F48" s="97">
        <v>202043</v>
      </c>
      <c r="G48" s="103"/>
      <c r="H48" s="429"/>
      <c r="I48" s="429"/>
      <c r="J48" s="429"/>
      <c r="K48" s="429"/>
      <c r="L48" s="429"/>
      <c r="M48" s="429"/>
      <c r="N48" s="429"/>
      <c r="O48" s="429"/>
      <c r="P48" s="429"/>
      <c r="Q48" s="429"/>
      <c r="R48" s="429"/>
      <c r="S48" s="429"/>
      <c r="T48" s="429"/>
      <c r="U48" s="429"/>
      <c r="V48" s="429"/>
      <c r="W48" s="429"/>
      <c r="X48" s="429"/>
      <c r="Y48" s="449">
        <f t="shared" si="34"/>
        <v>0</v>
      </c>
      <c r="Z48" s="449">
        <f t="shared" si="33"/>
        <v>0</v>
      </c>
      <c r="AA48" s="214">
        <f>'Overall Metrics'!N49</f>
        <v>0</v>
      </c>
      <c r="AB48" s="110"/>
      <c r="AC48" s="430"/>
      <c r="AD48" s="430"/>
      <c r="AE48" s="430"/>
      <c r="AF48" s="430"/>
      <c r="AG48" s="430"/>
      <c r="AH48" s="430"/>
      <c r="AI48" s="430"/>
      <c r="AJ48" s="430"/>
      <c r="AK48" s="430"/>
      <c r="AL48" s="430"/>
      <c r="AM48" s="430"/>
      <c r="AN48" s="430"/>
      <c r="AO48" s="430"/>
      <c r="AP48" s="430"/>
      <c r="AQ48" s="430"/>
      <c r="AR48" s="219">
        <f t="shared" si="4"/>
        <v>0</v>
      </c>
      <c r="AS48" s="220" t="str">
        <f t="shared" si="5"/>
        <v>-</v>
      </c>
      <c r="AT48" s="472" t="str">
        <f t="shared" si="6"/>
        <v>-</v>
      </c>
      <c r="AU48" s="472" t="str">
        <f t="shared" si="7"/>
        <v>-</v>
      </c>
      <c r="AV48" s="472" t="str">
        <f t="shared" si="8"/>
        <v>-</v>
      </c>
      <c r="AW48" s="472" t="str">
        <f t="shared" si="9"/>
        <v>-</v>
      </c>
      <c r="AX48" s="472" t="str">
        <f t="shared" si="10"/>
        <v>-</v>
      </c>
      <c r="AY48" s="472" t="str">
        <f t="shared" si="35"/>
        <v>-</v>
      </c>
      <c r="AZ48" s="472" t="str">
        <f t="shared" si="36"/>
        <v>-</v>
      </c>
      <c r="BA48" s="472" t="str">
        <f t="shared" si="37"/>
        <v>-</v>
      </c>
      <c r="BB48" s="472" t="str">
        <f t="shared" si="38"/>
        <v>-</v>
      </c>
      <c r="BC48" s="472" t="str">
        <f t="shared" si="39"/>
        <v>-</v>
      </c>
      <c r="BD48" s="472" t="str">
        <f t="shared" si="40"/>
        <v>-</v>
      </c>
      <c r="BE48" s="472" t="str">
        <f t="shared" si="41"/>
        <v>-</v>
      </c>
      <c r="BF48" s="472" t="str">
        <f t="shared" si="42"/>
        <v>-</v>
      </c>
      <c r="BG48" s="472" t="str">
        <f t="shared" si="43"/>
        <v>-</v>
      </c>
      <c r="BH48" s="472" t="str">
        <f t="shared" si="44"/>
        <v>-</v>
      </c>
      <c r="BI48" s="221" t="str">
        <f t="shared" si="21"/>
        <v>-</v>
      </c>
      <c r="BJ48" s="730"/>
      <c r="BK48" s="692"/>
      <c r="BL48" s="429"/>
      <c r="BM48" s="429"/>
      <c r="BN48" s="214">
        <f t="shared" si="22"/>
        <v>0</v>
      </c>
      <c r="BO48" s="738"/>
      <c r="BP48" s="740"/>
      <c r="BQ48" s="462"/>
      <c r="BR48" s="462"/>
      <c r="BS48" s="228">
        <f t="shared" si="23"/>
        <v>0</v>
      </c>
      <c r="BT48" s="229" t="str">
        <f t="shared" si="24"/>
        <v>-</v>
      </c>
      <c r="BU48" s="526" t="str">
        <f t="shared" si="25"/>
        <v>-</v>
      </c>
      <c r="BV48" s="526" t="str">
        <f t="shared" si="26"/>
        <v>-</v>
      </c>
      <c r="BW48" s="526" t="str">
        <f t="shared" si="27"/>
        <v>-</v>
      </c>
      <c r="BX48" s="230" t="str">
        <f t="shared" si="28"/>
        <v>-</v>
      </c>
      <c r="BY48" s="745"/>
      <c r="BZ48" s="735"/>
      <c r="CA48" s="746"/>
      <c r="CB48" s="229" t="str">
        <f t="shared" si="29"/>
        <v>-</v>
      </c>
      <c r="CC48" s="529" t="str">
        <f t="shared" si="30"/>
        <v>-</v>
      </c>
      <c r="CD48" s="230" t="str">
        <f t="shared" si="31"/>
        <v>-</v>
      </c>
    </row>
    <row r="49" spans="1:82" ht="15.6" customHeight="1">
      <c r="A49" s="175">
        <f t="shared" si="0"/>
        <v>2021</v>
      </c>
      <c r="B49" s="454" t="str">
        <f t="shared" si="1"/>
        <v>44</v>
      </c>
      <c r="C49" s="454" t="str">
        <f t="array" ref="C49">_xlfn.IFS(_xlfn.NUMBERVALUE(B49)&lt;=13,"Q1",AND(_xlfn.NUMBERVALUE(B49)&gt;13,_xlfn.NUMBERVALUE(B49)&lt;=26),"Q2", AND(_xlfn.NUMBERVALUE(B49)&gt;26,_xlfn.NUMBERVALUE(B49)&lt;=39),"Q3",_xlfn.NUMBERVALUE(B49)&gt;39,"Q4")</f>
        <v>Q4</v>
      </c>
      <c r="D49" s="448">
        <f t="shared" si="32"/>
        <v>44163</v>
      </c>
      <c r="E49" s="448">
        <f t="shared" si="2"/>
        <v>44169</v>
      </c>
      <c r="F49" s="97">
        <v>202044</v>
      </c>
      <c r="G49" s="103"/>
      <c r="H49" s="429"/>
      <c r="I49" s="429"/>
      <c r="J49" s="429"/>
      <c r="K49" s="429"/>
      <c r="L49" s="429"/>
      <c r="M49" s="429"/>
      <c r="N49" s="429"/>
      <c r="O49" s="429"/>
      <c r="P49" s="429"/>
      <c r="Q49" s="429"/>
      <c r="R49" s="429"/>
      <c r="S49" s="429"/>
      <c r="T49" s="429"/>
      <c r="U49" s="429"/>
      <c r="V49" s="429"/>
      <c r="W49" s="429"/>
      <c r="X49" s="429"/>
      <c r="Y49" s="449">
        <f t="shared" si="34"/>
        <v>0</v>
      </c>
      <c r="Z49" s="449">
        <f t="shared" si="33"/>
        <v>0</v>
      </c>
      <c r="AA49" s="214">
        <f>'Overall Metrics'!N50</f>
        <v>0</v>
      </c>
      <c r="AB49" s="110"/>
      <c r="AC49" s="430"/>
      <c r="AD49" s="430"/>
      <c r="AE49" s="430"/>
      <c r="AF49" s="430"/>
      <c r="AG49" s="430"/>
      <c r="AH49" s="430"/>
      <c r="AI49" s="430"/>
      <c r="AJ49" s="430"/>
      <c r="AK49" s="430"/>
      <c r="AL49" s="430"/>
      <c r="AM49" s="430"/>
      <c r="AN49" s="430"/>
      <c r="AO49" s="430"/>
      <c r="AP49" s="430"/>
      <c r="AQ49" s="430"/>
      <c r="AR49" s="219">
        <f t="shared" si="4"/>
        <v>0</v>
      </c>
      <c r="AS49" s="220" t="str">
        <f t="shared" si="5"/>
        <v>-</v>
      </c>
      <c r="AT49" s="472" t="str">
        <f t="shared" si="6"/>
        <v>-</v>
      </c>
      <c r="AU49" s="472" t="str">
        <f t="shared" si="7"/>
        <v>-</v>
      </c>
      <c r="AV49" s="472" t="str">
        <f t="shared" si="8"/>
        <v>-</v>
      </c>
      <c r="AW49" s="472" t="str">
        <f t="shared" si="9"/>
        <v>-</v>
      </c>
      <c r="AX49" s="472" t="str">
        <f t="shared" si="10"/>
        <v>-</v>
      </c>
      <c r="AY49" s="472" t="str">
        <f t="shared" si="35"/>
        <v>-</v>
      </c>
      <c r="AZ49" s="472" t="str">
        <f t="shared" si="36"/>
        <v>-</v>
      </c>
      <c r="BA49" s="472" t="str">
        <f t="shared" si="37"/>
        <v>-</v>
      </c>
      <c r="BB49" s="472" t="str">
        <f t="shared" si="38"/>
        <v>-</v>
      </c>
      <c r="BC49" s="472" t="str">
        <f t="shared" si="39"/>
        <v>-</v>
      </c>
      <c r="BD49" s="472" t="str">
        <f t="shared" si="40"/>
        <v>-</v>
      </c>
      <c r="BE49" s="472" t="str">
        <f t="shared" si="41"/>
        <v>-</v>
      </c>
      <c r="BF49" s="472" t="str">
        <f t="shared" si="42"/>
        <v>-</v>
      </c>
      <c r="BG49" s="472" t="str">
        <f t="shared" si="43"/>
        <v>-</v>
      </c>
      <c r="BH49" s="472" t="str">
        <f t="shared" si="44"/>
        <v>-</v>
      </c>
      <c r="BI49" s="221" t="str">
        <f t="shared" si="21"/>
        <v>-</v>
      </c>
      <c r="BJ49" s="730"/>
      <c r="BK49" s="692"/>
      <c r="BL49" s="429"/>
      <c r="BM49" s="429"/>
      <c r="BN49" s="214">
        <f t="shared" si="22"/>
        <v>0</v>
      </c>
      <c r="BO49" s="738"/>
      <c r="BP49" s="740"/>
      <c r="BQ49" s="462"/>
      <c r="BR49" s="462"/>
      <c r="BS49" s="228">
        <f t="shared" si="23"/>
        <v>0</v>
      </c>
      <c r="BT49" s="229" t="str">
        <f t="shared" si="24"/>
        <v>-</v>
      </c>
      <c r="BU49" s="526" t="str">
        <f t="shared" si="25"/>
        <v>-</v>
      </c>
      <c r="BV49" s="526" t="str">
        <f t="shared" si="26"/>
        <v>-</v>
      </c>
      <c r="BW49" s="526" t="str">
        <f t="shared" si="27"/>
        <v>-</v>
      </c>
      <c r="BX49" s="230" t="str">
        <f t="shared" si="28"/>
        <v>-</v>
      </c>
      <c r="BY49" s="745"/>
      <c r="BZ49" s="735"/>
      <c r="CA49" s="746"/>
      <c r="CB49" s="229" t="str">
        <f t="shared" si="29"/>
        <v>-</v>
      </c>
      <c r="CC49" s="529" t="str">
        <f t="shared" si="30"/>
        <v>-</v>
      </c>
      <c r="CD49" s="230" t="str">
        <f t="shared" si="31"/>
        <v>-</v>
      </c>
    </row>
    <row r="50" spans="1:82" ht="15.6" customHeight="1">
      <c r="A50" s="175">
        <f t="shared" si="0"/>
        <v>2021</v>
      </c>
      <c r="B50" s="454" t="str">
        <f t="shared" si="1"/>
        <v>45</v>
      </c>
      <c r="C50" s="454" t="str">
        <f t="array" ref="C50">_xlfn.IFS(_xlfn.NUMBERVALUE(B50)&lt;=13,"Q1",AND(_xlfn.NUMBERVALUE(B50)&gt;13,_xlfn.NUMBERVALUE(B50)&lt;=26),"Q2", AND(_xlfn.NUMBERVALUE(B50)&gt;26,_xlfn.NUMBERVALUE(B50)&lt;=39),"Q3",_xlfn.NUMBERVALUE(B50)&gt;39,"Q4")</f>
        <v>Q4</v>
      </c>
      <c r="D50" s="448">
        <f t="shared" si="32"/>
        <v>44170</v>
      </c>
      <c r="E50" s="448">
        <f t="shared" si="2"/>
        <v>44176</v>
      </c>
      <c r="F50" s="97">
        <v>202045</v>
      </c>
      <c r="G50" s="103"/>
      <c r="H50" s="429"/>
      <c r="I50" s="429"/>
      <c r="J50" s="429"/>
      <c r="K50" s="429"/>
      <c r="L50" s="429"/>
      <c r="M50" s="429"/>
      <c r="N50" s="429"/>
      <c r="O50" s="429"/>
      <c r="P50" s="429"/>
      <c r="Q50" s="429"/>
      <c r="R50" s="429"/>
      <c r="S50" s="429"/>
      <c r="T50" s="429"/>
      <c r="U50" s="429"/>
      <c r="V50" s="429"/>
      <c r="W50" s="429"/>
      <c r="X50" s="429"/>
      <c r="Y50" s="449">
        <f t="shared" si="34"/>
        <v>0</v>
      </c>
      <c r="Z50" s="449">
        <f t="shared" si="33"/>
        <v>0</v>
      </c>
      <c r="AA50" s="214">
        <f>'Overall Metrics'!N51</f>
        <v>0</v>
      </c>
      <c r="AB50" s="110"/>
      <c r="AC50" s="430"/>
      <c r="AD50" s="430"/>
      <c r="AE50" s="430"/>
      <c r="AF50" s="430"/>
      <c r="AG50" s="430"/>
      <c r="AH50" s="430"/>
      <c r="AI50" s="430"/>
      <c r="AJ50" s="430"/>
      <c r="AK50" s="430"/>
      <c r="AL50" s="430"/>
      <c r="AM50" s="430"/>
      <c r="AN50" s="430"/>
      <c r="AO50" s="430"/>
      <c r="AP50" s="430"/>
      <c r="AQ50" s="430"/>
      <c r="AR50" s="219">
        <f t="shared" si="4"/>
        <v>0</v>
      </c>
      <c r="AS50" s="220" t="str">
        <f t="shared" si="5"/>
        <v>-</v>
      </c>
      <c r="AT50" s="472" t="str">
        <f t="shared" si="6"/>
        <v>-</v>
      </c>
      <c r="AU50" s="472" t="str">
        <f t="shared" si="7"/>
        <v>-</v>
      </c>
      <c r="AV50" s="472" t="str">
        <f t="shared" si="8"/>
        <v>-</v>
      </c>
      <c r="AW50" s="472" t="str">
        <f t="shared" si="9"/>
        <v>-</v>
      </c>
      <c r="AX50" s="472" t="str">
        <f t="shared" si="10"/>
        <v>-</v>
      </c>
      <c r="AY50" s="472" t="str">
        <f t="shared" si="35"/>
        <v>-</v>
      </c>
      <c r="AZ50" s="472" t="str">
        <f t="shared" si="36"/>
        <v>-</v>
      </c>
      <c r="BA50" s="472" t="str">
        <f t="shared" si="37"/>
        <v>-</v>
      </c>
      <c r="BB50" s="472" t="str">
        <f t="shared" si="38"/>
        <v>-</v>
      </c>
      <c r="BC50" s="472" t="str">
        <f t="shared" si="39"/>
        <v>-</v>
      </c>
      <c r="BD50" s="472" t="str">
        <f t="shared" si="40"/>
        <v>-</v>
      </c>
      <c r="BE50" s="472" t="str">
        <f t="shared" si="41"/>
        <v>-</v>
      </c>
      <c r="BF50" s="472" t="str">
        <f t="shared" si="42"/>
        <v>-</v>
      </c>
      <c r="BG50" s="472" t="str">
        <f t="shared" si="43"/>
        <v>-</v>
      </c>
      <c r="BH50" s="472" t="str">
        <f t="shared" si="44"/>
        <v>-</v>
      </c>
      <c r="BI50" s="221" t="str">
        <f t="shared" si="21"/>
        <v>-</v>
      </c>
      <c r="BJ50" s="730"/>
      <c r="BK50" s="692"/>
      <c r="BL50" s="429"/>
      <c r="BM50" s="429"/>
      <c r="BN50" s="214">
        <f t="shared" si="22"/>
        <v>0</v>
      </c>
      <c r="BO50" s="738"/>
      <c r="BP50" s="740"/>
      <c r="BQ50" s="462"/>
      <c r="BR50" s="462"/>
      <c r="BS50" s="228">
        <f t="shared" si="23"/>
        <v>0</v>
      </c>
      <c r="BT50" s="229" t="str">
        <f t="shared" si="24"/>
        <v>-</v>
      </c>
      <c r="BU50" s="526" t="str">
        <f t="shared" si="25"/>
        <v>-</v>
      </c>
      <c r="BV50" s="526" t="str">
        <f t="shared" si="26"/>
        <v>-</v>
      </c>
      <c r="BW50" s="526" t="str">
        <f t="shared" si="27"/>
        <v>-</v>
      </c>
      <c r="BX50" s="230" t="str">
        <f t="shared" si="28"/>
        <v>-</v>
      </c>
      <c r="BY50" s="745"/>
      <c r="BZ50" s="735"/>
      <c r="CA50" s="746"/>
      <c r="CB50" s="229" t="str">
        <f t="shared" si="29"/>
        <v>-</v>
      </c>
      <c r="CC50" s="529" t="str">
        <f t="shared" si="30"/>
        <v>-</v>
      </c>
      <c r="CD50" s="230" t="str">
        <f t="shared" si="31"/>
        <v>-</v>
      </c>
    </row>
    <row r="51" spans="1:82" ht="15.6" customHeight="1">
      <c r="A51" s="175">
        <f t="shared" si="0"/>
        <v>2021</v>
      </c>
      <c r="B51" s="454" t="str">
        <f t="shared" si="1"/>
        <v>46</v>
      </c>
      <c r="C51" s="454" t="str">
        <f t="array" ref="C51">_xlfn.IFS(_xlfn.NUMBERVALUE(B51)&lt;=13,"Q1",AND(_xlfn.NUMBERVALUE(B51)&gt;13,_xlfn.NUMBERVALUE(B51)&lt;=26),"Q2", AND(_xlfn.NUMBERVALUE(B51)&gt;26,_xlfn.NUMBERVALUE(B51)&lt;=39),"Q3",_xlfn.NUMBERVALUE(B51)&gt;39,"Q4")</f>
        <v>Q4</v>
      </c>
      <c r="D51" s="448">
        <f t="shared" si="32"/>
        <v>44177</v>
      </c>
      <c r="E51" s="448">
        <f t="shared" si="2"/>
        <v>44183</v>
      </c>
      <c r="F51" s="97">
        <v>202046</v>
      </c>
      <c r="G51" s="103"/>
      <c r="H51" s="429"/>
      <c r="I51" s="429"/>
      <c r="J51" s="429"/>
      <c r="K51" s="429"/>
      <c r="L51" s="429"/>
      <c r="M51" s="429"/>
      <c r="N51" s="429"/>
      <c r="O51" s="429"/>
      <c r="P51" s="429"/>
      <c r="Q51" s="429"/>
      <c r="R51" s="429"/>
      <c r="S51" s="429"/>
      <c r="T51" s="429"/>
      <c r="U51" s="429"/>
      <c r="V51" s="429"/>
      <c r="W51" s="429"/>
      <c r="X51" s="429"/>
      <c r="Y51" s="449">
        <f t="shared" si="34"/>
        <v>0</v>
      </c>
      <c r="Z51" s="449">
        <f t="shared" si="33"/>
        <v>0</v>
      </c>
      <c r="AA51" s="214">
        <f>'Overall Metrics'!N52</f>
        <v>0</v>
      </c>
      <c r="AB51" s="110"/>
      <c r="AC51" s="430"/>
      <c r="AD51" s="430"/>
      <c r="AE51" s="430"/>
      <c r="AF51" s="430"/>
      <c r="AG51" s="430"/>
      <c r="AH51" s="430"/>
      <c r="AI51" s="430"/>
      <c r="AJ51" s="430"/>
      <c r="AK51" s="430"/>
      <c r="AL51" s="430"/>
      <c r="AM51" s="430"/>
      <c r="AN51" s="430"/>
      <c r="AO51" s="430"/>
      <c r="AP51" s="430"/>
      <c r="AQ51" s="430"/>
      <c r="AR51" s="219">
        <f t="shared" si="4"/>
        <v>0</v>
      </c>
      <c r="AS51" s="220" t="str">
        <f t="shared" si="5"/>
        <v>-</v>
      </c>
      <c r="AT51" s="472" t="str">
        <f t="shared" si="6"/>
        <v>-</v>
      </c>
      <c r="AU51" s="472" t="str">
        <f t="shared" si="7"/>
        <v>-</v>
      </c>
      <c r="AV51" s="472" t="str">
        <f t="shared" si="8"/>
        <v>-</v>
      </c>
      <c r="AW51" s="472" t="str">
        <f t="shared" si="9"/>
        <v>-</v>
      </c>
      <c r="AX51" s="472" t="str">
        <f t="shared" si="10"/>
        <v>-</v>
      </c>
      <c r="AY51" s="472" t="str">
        <f t="shared" si="35"/>
        <v>-</v>
      </c>
      <c r="AZ51" s="472" t="str">
        <f t="shared" si="36"/>
        <v>-</v>
      </c>
      <c r="BA51" s="472" t="str">
        <f t="shared" si="37"/>
        <v>-</v>
      </c>
      <c r="BB51" s="472" t="str">
        <f t="shared" si="38"/>
        <v>-</v>
      </c>
      <c r="BC51" s="472" t="str">
        <f t="shared" si="39"/>
        <v>-</v>
      </c>
      <c r="BD51" s="472" t="str">
        <f t="shared" si="40"/>
        <v>-</v>
      </c>
      <c r="BE51" s="472" t="str">
        <f t="shared" si="41"/>
        <v>-</v>
      </c>
      <c r="BF51" s="472" t="str">
        <f t="shared" si="42"/>
        <v>-</v>
      </c>
      <c r="BG51" s="472" t="str">
        <f t="shared" si="43"/>
        <v>-</v>
      </c>
      <c r="BH51" s="472" t="str">
        <f t="shared" si="44"/>
        <v>-</v>
      </c>
      <c r="BI51" s="221" t="str">
        <f t="shared" si="21"/>
        <v>-</v>
      </c>
      <c r="BJ51" s="730"/>
      <c r="BK51" s="692"/>
      <c r="BL51" s="429"/>
      <c r="BM51" s="429"/>
      <c r="BN51" s="214">
        <f t="shared" si="22"/>
        <v>0</v>
      </c>
      <c r="BO51" s="738"/>
      <c r="BP51" s="740"/>
      <c r="BQ51" s="462"/>
      <c r="BR51" s="462"/>
      <c r="BS51" s="228">
        <f t="shared" si="23"/>
        <v>0</v>
      </c>
      <c r="BT51" s="229" t="str">
        <f t="shared" si="24"/>
        <v>-</v>
      </c>
      <c r="BU51" s="526" t="str">
        <f t="shared" si="25"/>
        <v>-</v>
      </c>
      <c r="BV51" s="526" t="str">
        <f t="shared" si="26"/>
        <v>-</v>
      </c>
      <c r="BW51" s="526" t="str">
        <f t="shared" si="27"/>
        <v>-</v>
      </c>
      <c r="BX51" s="230" t="str">
        <f t="shared" si="28"/>
        <v>-</v>
      </c>
      <c r="BY51" s="745"/>
      <c r="BZ51" s="735"/>
      <c r="CA51" s="746"/>
      <c r="CB51" s="229" t="str">
        <f t="shared" si="29"/>
        <v>-</v>
      </c>
      <c r="CC51" s="529" t="str">
        <f t="shared" si="30"/>
        <v>-</v>
      </c>
      <c r="CD51" s="230" t="str">
        <f t="shared" si="31"/>
        <v>-</v>
      </c>
    </row>
    <row r="52" spans="1:82" ht="15.6" customHeight="1">
      <c r="A52" s="175">
        <f t="shared" si="0"/>
        <v>2021</v>
      </c>
      <c r="B52" s="454" t="str">
        <f t="shared" si="1"/>
        <v>47</v>
      </c>
      <c r="C52" s="454" t="str">
        <f t="array" ref="C52">_xlfn.IFS(_xlfn.NUMBERVALUE(B52)&lt;=13,"Q1",AND(_xlfn.NUMBERVALUE(B52)&gt;13,_xlfn.NUMBERVALUE(B52)&lt;=26),"Q2", AND(_xlfn.NUMBERVALUE(B52)&gt;26,_xlfn.NUMBERVALUE(B52)&lt;=39),"Q3",_xlfn.NUMBERVALUE(B52)&gt;39,"Q4")</f>
        <v>Q4</v>
      </c>
      <c r="D52" s="448">
        <f t="shared" si="32"/>
        <v>44184</v>
      </c>
      <c r="E52" s="448">
        <f t="shared" si="2"/>
        <v>44190</v>
      </c>
      <c r="F52" s="97">
        <v>202047</v>
      </c>
      <c r="G52" s="103"/>
      <c r="H52" s="429"/>
      <c r="I52" s="429"/>
      <c r="J52" s="429"/>
      <c r="K52" s="429"/>
      <c r="L52" s="429"/>
      <c r="M52" s="429"/>
      <c r="N52" s="429"/>
      <c r="O52" s="429"/>
      <c r="P52" s="429"/>
      <c r="Q52" s="429"/>
      <c r="R52" s="429"/>
      <c r="S52" s="429"/>
      <c r="T52" s="429"/>
      <c r="U52" s="429"/>
      <c r="V52" s="429"/>
      <c r="W52" s="429"/>
      <c r="X52" s="429"/>
      <c r="Y52" s="449">
        <f t="shared" si="34"/>
        <v>0</v>
      </c>
      <c r="Z52" s="449">
        <f t="shared" si="33"/>
        <v>0</v>
      </c>
      <c r="AA52" s="214">
        <f>'Overall Metrics'!N53</f>
        <v>0</v>
      </c>
      <c r="AB52" s="110"/>
      <c r="AC52" s="430"/>
      <c r="AD52" s="430"/>
      <c r="AE52" s="430"/>
      <c r="AF52" s="430"/>
      <c r="AG52" s="430"/>
      <c r="AH52" s="430"/>
      <c r="AI52" s="430"/>
      <c r="AJ52" s="430"/>
      <c r="AK52" s="430"/>
      <c r="AL52" s="430"/>
      <c r="AM52" s="430"/>
      <c r="AN52" s="430"/>
      <c r="AO52" s="430"/>
      <c r="AP52" s="430"/>
      <c r="AQ52" s="430"/>
      <c r="AR52" s="219">
        <f t="shared" si="4"/>
        <v>0</v>
      </c>
      <c r="AS52" s="220" t="str">
        <f t="shared" si="5"/>
        <v>-</v>
      </c>
      <c r="AT52" s="472" t="str">
        <f t="shared" si="6"/>
        <v>-</v>
      </c>
      <c r="AU52" s="472" t="str">
        <f t="shared" si="7"/>
        <v>-</v>
      </c>
      <c r="AV52" s="472" t="str">
        <f t="shared" si="8"/>
        <v>-</v>
      </c>
      <c r="AW52" s="472" t="str">
        <f t="shared" si="9"/>
        <v>-</v>
      </c>
      <c r="AX52" s="472" t="str">
        <f t="shared" si="10"/>
        <v>-</v>
      </c>
      <c r="AY52" s="472" t="str">
        <f t="shared" si="35"/>
        <v>-</v>
      </c>
      <c r="AZ52" s="472" t="str">
        <f t="shared" si="36"/>
        <v>-</v>
      </c>
      <c r="BA52" s="472" t="str">
        <f t="shared" si="37"/>
        <v>-</v>
      </c>
      <c r="BB52" s="472" t="str">
        <f t="shared" si="38"/>
        <v>-</v>
      </c>
      <c r="BC52" s="472" t="str">
        <f t="shared" si="39"/>
        <v>-</v>
      </c>
      <c r="BD52" s="472" t="str">
        <f t="shared" si="40"/>
        <v>-</v>
      </c>
      <c r="BE52" s="472" t="str">
        <f t="shared" si="41"/>
        <v>-</v>
      </c>
      <c r="BF52" s="472" t="str">
        <f t="shared" si="42"/>
        <v>-</v>
      </c>
      <c r="BG52" s="472" t="str">
        <f t="shared" si="43"/>
        <v>-</v>
      </c>
      <c r="BH52" s="472" t="str">
        <f t="shared" si="44"/>
        <v>-</v>
      </c>
      <c r="BI52" s="221" t="str">
        <f t="shared" si="21"/>
        <v>-</v>
      </c>
      <c r="BJ52" s="730"/>
      <c r="BK52" s="692"/>
      <c r="BL52" s="429"/>
      <c r="BM52" s="429"/>
      <c r="BN52" s="214">
        <f t="shared" si="22"/>
        <v>0</v>
      </c>
      <c r="BO52" s="738"/>
      <c r="BP52" s="740"/>
      <c r="BQ52" s="462"/>
      <c r="BR52" s="462"/>
      <c r="BS52" s="228">
        <f t="shared" si="23"/>
        <v>0</v>
      </c>
      <c r="BT52" s="229" t="str">
        <f t="shared" si="24"/>
        <v>-</v>
      </c>
      <c r="BU52" s="526" t="str">
        <f t="shared" si="25"/>
        <v>-</v>
      </c>
      <c r="BV52" s="526" t="str">
        <f t="shared" si="26"/>
        <v>-</v>
      </c>
      <c r="BW52" s="526" t="str">
        <f t="shared" si="27"/>
        <v>-</v>
      </c>
      <c r="BX52" s="230" t="str">
        <f t="shared" si="28"/>
        <v>-</v>
      </c>
      <c r="BY52" s="745"/>
      <c r="BZ52" s="735"/>
      <c r="CA52" s="746"/>
      <c r="CB52" s="229" t="str">
        <f t="shared" si="29"/>
        <v>-</v>
      </c>
      <c r="CC52" s="529" t="str">
        <f t="shared" si="30"/>
        <v>-</v>
      </c>
      <c r="CD52" s="230" t="str">
        <f t="shared" si="31"/>
        <v>-</v>
      </c>
    </row>
    <row r="53" spans="1:82" ht="15.6" customHeight="1">
      <c r="A53" s="175">
        <f t="shared" si="0"/>
        <v>2021</v>
      </c>
      <c r="B53" s="454" t="str">
        <f t="shared" si="1"/>
        <v>48</v>
      </c>
      <c r="C53" s="454" t="str">
        <f t="array" ref="C53">_xlfn.IFS(_xlfn.NUMBERVALUE(B53)&lt;=13,"Q1",AND(_xlfn.NUMBERVALUE(B53)&gt;13,_xlfn.NUMBERVALUE(B53)&lt;=26),"Q2", AND(_xlfn.NUMBERVALUE(B53)&gt;26,_xlfn.NUMBERVALUE(B53)&lt;=39),"Q3",_xlfn.NUMBERVALUE(B53)&gt;39,"Q4")</f>
        <v>Q4</v>
      </c>
      <c r="D53" s="448">
        <f t="shared" si="32"/>
        <v>44191</v>
      </c>
      <c r="E53" s="448">
        <f t="shared" si="2"/>
        <v>44197</v>
      </c>
      <c r="F53" s="97">
        <v>202048</v>
      </c>
      <c r="G53" s="103"/>
      <c r="H53" s="429"/>
      <c r="I53" s="429"/>
      <c r="J53" s="429"/>
      <c r="K53" s="429"/>
      <c r="L53" s="429"/>
      <c r="M53" s="429"/>
      <c r="N53" s="429"/>
      <c r="O53" s="429"/>
      <c r="P53" s="429"/>
      <c r="Q53" s="429"/>
      <c r="R53" s="429"/>
      <c r="S53" s="429"/>
      <c r="T53" s="429"/>
      <c r="U53" s="429"/>
      <c r="V53" s="429"/>
      <c r="W53" s="429"/>
      <c r="X53" s="429"/>
      <c r="Y53" s="449">
        <f t="shared" si="34"/>
        <v>0</v>
      </c>
      <c r="Z53" s="449">
        <f t="shared" si="33"/>
        <v>0</v>
      </c>
      <c r="AA53" s="214">
        <f>'Overall Metrics'!N54</f>
        <v>0</v>
      </c>
      <c r="AB53" s="110"/>
      <c r="AC53" s="430"/>
      <c r="AD53" s="430"/>
      <c r="AE53" s="430"/>
      <c r="AF53" s="430"/>
      <c r="AG53" s="430"/>
      <c r="AH53" s="430"/>
      <c r="AI53" s="430"/>
      <c r="AJ53" s="430"/>
      <c r="AK53" s="430"/>
      <c r="AL53" s="430"/>
      <c r="AM53" s="430"/>
      <c r="AN53" s="430"/>
      <c r="AO53" s="430"/>
      <c r="AP53" s="430"/>
      <c r="AQ53" s="430"/>
      <c r="AR53" s="219">
        <f t="shared" si="4"/>
        <v>0</v>
      </c>
      <c r="AS53" s="220" t="str">
        <f t="shared" si="5"/>
        <v>-</v>
      </c>
      <c r="AT53" s="472" t="str">
        <f t="shared" si="6"/>
        <v>-</v>
      </c>
      <c r="AU53" s="472" t="str">
        <f t="shared" si="7"/>
        <v>-</v>
      </c>
      <c r="AV53" s="472" t="str">
        <f t="shared" si="8"/>
        <v>-</v>
      </c>
      <c r="AW53" s="472" t="str">
        <f t="shared" si="9"/>
        <v>-</v>
      </c>
      <c r="AX53" s="472" t="str">
        <f t="shared" si="10"/>
        <v>-</v>
      </c>
      <c r="AY53" s="472" t="str">
        <f t="shared" si="35"/>
        <v>-</v>
      </c>
      <c r="AZ53" s="472" t="str">
        <f t="shared" si="36"/>
        <v>-</v>
      </c>
      <c r="BA53" s="472" t="str">
        <f t="shared" si="37"/>
        <v>-</v>
      </c>
      <c r="BB53" s="472" t="str">
        <f t="shared" si="38"/>
        <v>-</v>
      </c>
      <c r="BC53" s="472" t="str">
        <f t="shared" si="39"/>
        <v>-</v>
      </c>
      <c r="BD53" s="472" t="str">
        <f t="shared" si="40"/>
        <v>-</v>
      </c>
      <c r="BE53" s="472" t="str">
        <f t="shared" si="41"/>
        <v>-</v>
      </c>
      <c r="BF53" s="472" t="str">
        <f t="shared" si="42"/>
        <v>-</v>
      </c>
      <c r="BG53" s="472" t="str">
        <f t="shared" si="43"/>
        <v>-</v>
      </c>
      <c r="BH53" s="472" t="str">
        <f t="shared" si="44"/>
        <v>-</v>
      </c>
      <c r="BI53" s="221" t="str">
        <f t="shared" si="21"/>
        <v>-</v>
      </c>
      <c r="BJ53" s="730"/>
      <c r="BK53" s="692"/>
      <c r="BL53" s="429"/>
      <c r="BM53" s="429"/>
      <c r="BN53" s="214">
        <f t="shared" si="22"/>
        <v>0</v>
      </c>
      <c r="BO53" s="738"/>
      <c r="BP53" s="740"/>
      <c r="BQ53" s="462"/>
      <c r="BR53" s="462"/>
      <c r="BS53" s="228">
        <f t="shared" si="23"/>
        <v>0</v>
      </c>
      <c r="BT53" s="229" t="str">
        <f t="shared" si="24"/>
        <v>-</v>
      </c>
      <c r="BU53" s="526" t="str">
        <f t="shared" si="25"/>
        <v>-</v>
      </c>
      <c r="BV53" s="526" t="str">
        <f t="shared" si="26"/>
        <v>-</v>
      </c>
      <c r="BW53" s="526" t="str">
        <f t="shared" si="27"/>
        <v>-</v>
      </c>
      <c r="BX53" s="230" t="str">
        <f t="shared" si="28"/>
        <v>-</v>
      </c>
      <c r="BY53" s="745"/>
      <c r="BZ53" s="735"/>
      <c r="CA53" s="746"/>
      <c r="CB53" s="229" t="str">
        <f t="shared" si="29"/>
        <v>-</v>
      </c>
      <c r="CC53" s="529" t="str">
        <f t="shared" si="30"/>
        <v>-</v>
      </c>
      <c r="CD53" s="230" t="str">
        <f t="shared" si="31"/>
        <v>-</v>
      </c>
    </row>
    <row r="54" spans="1:82" ht="15.6" customHeight="1">
      <c r="A54" s="175">
        <f t="shared" si="0"/>
        <v>2021</v>
      </c>
      <c r="B54" s="454" t="str">
        <f t="shared" si="1"/>
        <v>49</v>
      </c>
      <c r="C54" s="454" t="str">
        <f t="array" ref="C54">_xlfn.IFS(_xlfn.NUMBERVALUE(B54)&lt;=13,"Q1",AND(_xlfn.NUMBERVALUE(B54)&gt;13,_xlfn.NUMBERVALUE(B54)&lt;=26),"Q2", AND(_xlfn.NUMBERVALUE(B54)&gt;26,_xlfn.NUMBERVALUE(B54)&lt;=39),"Q3",_xlfn.NUMBERVALUE(B54)&gt;39,"Q4")</f>
        <v>Q4</v>
      </c>
      <c r="D54" s="448">
        <f t="shared" si="32"/>
        <v>44198</v>
      </c>
      <c r="E54" s="448">
        <f t="shared" si="2"/>
        <v>44204</v>
      </c>
      <c r="F54" s="97">
        <v>202049</v>
      </c>
      <c r="G54" s="103"/>
      <c r="H54" s="429"/>
      <c r="I54" s="429"/>
      <c r="J54" s="429"/>
      <c r="K54" s="429"/>
      <c r="L54" s="429"/>
      <c r="M54" s="429"/>
      <c r="N54" s="429"/>
      <c r="O54" s="429"/>
      <c r="P54" s="429"/>
      <c r="Q54" s="429"/>
      <c r="R54" s="429"/>
      <c r="S54" s="429"/>
      <c r="T54" s="429"/>
      <c r="U54" s="429"/>
      <c r="V54" s="429"/>
      <c r="W54" s="429"/>
      <c r="X54" s="429"/>
      <c r="Y54" s="449">
        <f t="shared" si="34"/>
        <v>0</v>
      </c>
      <c r="Z54" s="449">
        <f t="shared" si="33"/>
        <v>0</v>
      </c>
      <c r="AA54" s="214">
        <f>'Overall Metrics'!N55</f>
        <v>0</v>
      </c>
      <c r="AB54" s="110"/>
      <c r="AC54" s="430"/>
      <c r="AD54" s="430"/>
      <c r="AE54" s="430"/>
      <c r="AF54" s="430"/>
      <c r="AG54" s="430"/>
      <c r="AH54" s="430"/>
      <c r="AI54" s="462"/>
      <c r="AJ54" s="462"/>
      <c r="AK54" s="462"/>
      <c r="AL54" s="462"/>
      <c r="AM54" s="462"/>
      <c r="AN54" s="462"/>
      <c r="AO54" s="462"/>
      <c r="AP54" s="462"/>
      <c r="AQ54" s="462"/>
      <c r="AR54" s="219">
        <f t="shared" si="4"/>
        <v>0</v>
      </c>
      <c r="AS54" s="220" t="str">
        <f t="shared" si="5"/>
        <v>-</v>
      </c>
      <c r="AT54" s="472" t="str">
        <f t="shared" si="6"/>
        <v>-</v>
      </c>
      <c r="AU54" s="472" t="str">
        <f t="shared" si="7"/>
        <v>-</v>
      </c>
      <c r="AV54" s="472" t="str">
        <f t="shared" si="8"/>
        <v>-</v>
      </c>
      <c r="AW54" s="472" t="str">
        <f t="shared" si="9"/>
        <v>-</v>
      </c>
      <c r="AX54" s="472" t="str">
        <f t="shared" si="10"/>
        <v>-</v>
      </c>
      <c r="AY54" s="472" t="str">
        <f t="shared" si="35"/>
        <v>-</v>
      </c>
      <c r="AZ54" s="472" t="str">
        <f t="shared" si="36"/>
        <v>-</v>
      </c>
      <c r="BA54" s="472" t="str">
        <f t="shared" si="37"/>
        <v>-</v>
      </c>
      <c r="BB54" s="472" t="str">
        <f t="shared" si="38"/>
        <v>-</v>
      </c>
      <c r="BC54" s="472" t="str">
        <f t="shared" si="39"/>
        <v>-</v>
      </c>
      <c r="BD54" s="472" t="str">
        <f t="shared" si="40"/>
        <v>-</v>
      </c>
      <c r="BE54" s="472" t="str">
        <f t="shared" si="41"/>
        <v>-</v>
      </c>
      <c r="BF54" s="472" t="str">
        <f t="shared" si="42"/>
        <v>-</v>
      </c>
      <c r="BG54" s="472" t="str">
        <f t="shared" si="43"/>
        <v>-</v>
      </c>
      <c r="BH54" s="472" t="str">
        <f t="shared" si="44"/>
        <v>-</v>
      </c>
      <c r="BI54" s="221" t="str">
        <f t="shared" si="21"/>
        <v>-</v>
      </c>
      <c r="BJ54" s="730"/>
      <c r="BK54" s="692"/>
      <c r="BL54" s="429"/>
      <c r="BM54" s="429"/>
      <c r="BN54" s="214">
        <f t="shared" si="22"/>
        <v>0</v>
      </c>
      <c r="BO54" s="738"/>
      <c r="BP54" s="740"/>
      <c r="BQ54" s="462"/>
      <c r="BR54" s="462"/>
      <c r="BS54" s="228">
        <f t="shared" si="23"/>
        <v>0</v>
      </c>
      <c r="BT54" s="229" t="str">
        <f t="shared" si="24"/>
        <v>-</v>
      </c>
      <c r="BU54" s="526" t="str">
        <f t="shared" si="25"/>
        <v>-</v>
      </c>
      <c r="BV54" s="526" t="str">
        <f t="shared" si="26"/>
        <v>-</v>
      </c>
      <c r="BW54" s="526" t="str">
        <f t="shared" si="27"/>
        <v>-</v>
      </c>
      <c r="BX54" s="230" t="str">
        <f t="shared" si="28"/>
        <v>-</v>
      </c>
      <c r="BY54" s="745"/>
      <c r="BZ54" s="735"/>
      <c r="CA54" s="746"/>
      <c r="CB54" s="229" t="str">
        <f t="shared" si="29"/>
        <v>-</v>
      </c>
      <c r="CC54" s="529" t="str">
        <f t="shared" si="30"/>
        <v>-</v>
      </c>
      <c r="CD54" s="230" t="str">
        <f t="shared" si="31"/>
        <v>-</v>
      </c>
    </row>
    <row r="55" spans="1:82" ht="15.6" customHeight="1">
      <c r="A55" s="175">
        <f t="shared" si="0"/>
        <v>2021</v>
      </c>
      <c r="B55" s="454" t="str">
        <f t="shared" si="1"/>
        <v>50</v>
      </c>
      <c r="C55" s="454" t="str">
        <f t="array" ref="C55">_xlfn.IFS(_xlfn.NUMBERVALUE(B55)&lt;=13,"Q1",AND(_xlfn.NUMBERVALUE(B55)&gt;13,_xlfn.NUMBERVALUE(B55)&lt;=26),"Q2", AND(_xlfn.NUMBERVALUE(B55)&gt;26,_xlfn.NUMBERVALUE(B55)&lt;=39),"Q3",_xlfn.NUMBERVALUE(B55)&gt;39,"Q4")</f>
        <v>Q4</v>
      </c>
      <c r="D55" s="448">
        <f t="shared" si="32"/>
        <v>44205</v>
      </c>
      <c r="E55" s="448">
        <f t="shared" si="2"/>
        <v>44211</v>
      </c>
      <c r="F55" s="97">
        <v>202050</v>
      </c>
      <c r="G55" s="103"/>
      <c r="H55" s="429"/>
      <c r="I55" s="429"/>
      <c r="J55" s="429"/>
      <c r="K55" s="429"/>
      <c r="L55" s="429"/>
      <c r="M55" s="429"/>
      <c r="N55" s="429"/>
      <c r="O55" s="429"/>
      <c r="P55" s="429"/>
      <c r="Q55" s="429"/>
      <c r="R55" s="429"/>
      <c r="S55" s="429"/>
      <c r="T55" s="429"/>
      <c r="U55" s="429"/>
      <c r="V55" s="429"/>
      <c r="W55" s="429"/>
      <c r="X55" s="429"/>
      <c r="Y55" s="449">
        <f t="shared" si="34"/>
        <v>0</v>
      </c>
      <c r="Z55" s="449">
        <f t="shared" si="33"/>
        <v>0</v>
      </c>
      <c r="AA55" s="214">
        <f>'Overall Metrics'!N56</f>
        <v>0</v>
      </c>
      <c r="AB55" s="110"/>
      <c r="AC55" s="430"/>
      <c r="AD55" s="430"/>
      <c r="AE55" s="430"/>
      <c r="AF55" s="430"/>
      <c r="AG55" s="430"/>
      <c r="AH55" s="430"/>
      <c r="AI55" s="462"/>
      <c r="AJ55" s="462"/>
      <c r="AK55" s="462"/>
      <c r="AL55" s="462"/>
      <c r="AM55" s="462"/>
      <c r="AN55" s="462"/>
      <c r="AO55" s="462"/>
      <c r="AP55" s="462"/>
      <c r="AQ55" s="462"/>
      <c r="AR55" s="219">
        <f t="shared" si="4"/>
        <v>0</v>
      </c>
      <c r="AS55" s="220" t="str">
        <f t="shared" si="5"/>
        <v>-</v>
      </c>
      <c r="AT55" s="472" t="str">
        <f t="shared" si="6"/>
        <v>-</v>
      </c>
      <c r="AU55" s="472" t="str">
        <f t="shared" si="7"/>
        <v>-</v>
      </c>
      <c r="AV55" s="472" t="str">
        <f t="shared" si="8"/>
        <v>-</v>
      </c>
      <c r="AW55" s="472" t="str">
        <f t="shared" si="9"/>
        <v>-</v>
      </c>
      <c r="AX55" s="472" t="str">
        <f t="shared" si="10"/>
        <v>-</v>
      </c>
      <c r="AY55" s="472" t="str">
        <f t="shared" si="35"/>
        <v>-</v>
      </c>
      <c r="AZ55" s="472" t="str">
        <f t="shared" si="36"/>
        <v>-</v>
      </c>
      <c r="BA55" s="472" t="str">
        <f t="shared" si="37"/>
        <v>-</v>
      </c>
      <c r="BB55" s="472" t="str">
        <f t="shared" si="38"/>
        <v>-</v>
      </c>
      <c r="BC55" s="472" t="str">
        <f t="shared" si="39"/>
        <v>-</v>
      </c>
      <c r="BD55" s="472" t="str">
        <f t="shared" si="40"/>
        <v>-</v>
      </c>
      <c r="BE55" s="472" t="str">
        <f t="shared" si="41"/>
        <v>-</v>
      </c>
      <c r="BF55" s="472" t="str">
        <f t="shared" si="42"/>
        <v>-</v>
      </c>
      <c r="BG55" s="472" t="str">
        <f t="shared" si="43"/>
        <v>-</v>
      </c>
      <c r="BH55" s="472" t="str">
        <f t="shared" si="44"/>
        <v>-</v>
      </c>
      <c r="BI55" s="221" t="str">
        <f t="shared" si="21"/>
        <v>-</v>
      </c>
      <c r="BJ55" s="730"/>
      <c r="BK55" s="692"/>
      <c r="BL55" s="429"/>
      <c r="BM55" s="429"/>
      <c r="BN55" s="214">
        <f t="shared" si="22"/>
        <v>0</v>
      </c>
      <c r="BO55" s="738"/>
      <c r="BP55" s="740"/>
      <c r="BQ55" s="462"/>
      <c r="BR55" s="462"/>
      <c r="BS55" s="228">
        <f t="shared" si="23"/>
        <v>0</v>
      </c>
      <c r="BT55" s="229" t="str">
        <f t="shared" si="24"/>
        <v>-</v>
      </c>
      <c r="BU55" s="526" t="str">
        <f t="shared" si="25"/>
        <v>-</v>
      </c>
      <c r="BV55" s="526" t="str">
        <f t="shared" si="26"/>
        <v>-</v>
      </c>
      <c r="BW55" s="526" t="str">
        <f t="shared" si="27"/>
        <v>-</v>
      </c>
      <c r="BX55" s="230" t="str">
        <f t="shared" si="28"/>
        <v>-</v>
      </c>
      <c r="BY55" s="745"/>
      <c r="BZ55" s="735"/>
      <c r="CA55" s="746"/>
      <c r="CB55" s="229" t="str">
        <f t="shared" si="29"/>
        <v>-</v>
      </c>
      <c r="CC55" s="529" t="str">
        <f t="shared" si="30"/>
        <v>-</v>
      </c>
      <c r="CD55" s="230" t="str">
        <f t="shared" si="31"/>
        <v>-</v>
      </c>
    </row>
    <row r="56" spans="1:82" ht="15.6" customHeight="1">
      <c r="A56" s="175">
        <f t="shared" si="0"/>
        <v>2021</v>
      </c>
      <c r="B56" s="454" t="str">
        <f t="shared" si="1"/>
        <v>51</v>
      </c>
      <c r="C56" s="454" t="str">
        <f t="array" ref="C56">_xlfn.IFS(_xlfn.NUMBERVALUE(B56)&lt;=13,"Q1",AND(_xlfn.NUMBERVALUE(B56)&gt;13,_xlfn.NUMBERVALUE(B56)&lt;=26),"Q2", AND(_xlfn.NUMBERVALUE(B56)&gt;26,_xlfn.NUMBERVALUE(B56)&lt;=39),"Q3",_xlfn.NUMBERVALUE(B56)&gt;39,"Q4")</f>
        <v>Q4</v>
      </c>
      <c r="D56" s="448">
        <f t="shared" si="32"/>
        <v>44212</v>
      </c>
      <c r="E56" s="448">
        <f t="shared" si="2"/>
        <v>44218</v>
      </c>
      <c r="F56" s="97">
        <v>202051</v>
      </c>
      <c r="G56" s="103"/>
      <c r="H56" s="429"/>
      <c r="I56" s="429"/>
      <c r="J56" s="429"/>
      <c r="K56" s="429"/>
      <c r="L56" s="429"/>
      <c r="M56" s="429"/>
      <c r="N56" s="429"/>
      <c r="O56" s="429"/>
      <c r="P56" s="429"/>
      <c r="Q56" s="429"/>
      <c r="R56" s="429"/>
      <c r="S56" s="429"/>
      <c r="T56" s="429"/>
      <c r="U56" s="429"/>
      <c r="V56" s="429"/>
      <c r="W56" s="429"/>
      <c r="X56" s="429"/>
      <c r="Y56" s="449">
        <f t="shared" si="34"/>
        <v>0</v>
      </c>
      <c r="Z56" s="449">
        <f t="shared" si="33"/>
        <v>0</v>
      </c>
      <c r="AA56" s="214">
        <f>'Overall Metrics'!N57</f>
        <v>0</v>
      </c>
      <c r="AB56" s="110"/>
      <c r="AC56" s="430"/>
      <c r="AD56" s="430"/>
      <c r="AE56" s="430"/>
      <c r="AF56" s="430"/>
      <c r="AG56" s="430"/>
      <c r="AH56" s="430"/>
      <c r="AI56" s="430"/>
      <c r="AJ56" s="430"/>
      <c r="AK56" s="430"/>
      <c r="AL56" s="430"/>
      <c r="AM56" s="430"/>
      <c r="AN56" s="430"/>
      <c r="AO56" s="430"/>
      <c r="AP56" s="430"/>
      <c r="AQ56" s="430"/>
      <c r="AR56" s="219">
        <f t="shared" si="4"/>
        <v>0</v>
      </c>
      <c r="AS56" s="220" t="str">
        <f t="shared" si="5"/>
        <v>-</v>
      </c>
      <c r="AT56" s="472" t="str">
        <f t="shared" si="6"/>
        <v>-</v>
      </c>
      <c r="AU56" s="472" t="str">
        <f t="shared" si="7"/>
        <v>-</v>
      </c>
      <c r="AV56" s="472" t="str">
        <f t="shared" si="8"/>
        <v>-</v>
      </c>
      <c r="AW56" s="472" t="str">
        <f t="shared" si="9"/>
        <v>-</v>
      </c>
      <c r="AX56" s="472" t="str">
        <f t="shared" si="10"/>
        <v>-</v>
      </c>
      <c r="AY56" s="472" t="str">
        <f t="shared" si="35"/>
        <v>-</v>
      </c>
      <c r="AZ56" s="472" t="str">
        <f t="shared" si="36"/>
        <v>-</v>
      </c>
      <c r="BA56" s="472" t="str">
        <f t="shared" si="37"/>
        <v>-</v>
      </c>
      <c r="BB56" s="472" t="str">
        <f t="shared" si="38"/>
        <v>-</v>
      </c>
      <c r="BC56" s="472" t="str">
        <f t="shared" si="39"/>
        <v>-</v>
      </c>
      <c r="BD56" s="472" t="str">
        <f t="shared" si="40"/>
        <v>-</v>
      </c>
      <c r="BE56" s="472" t="str">
        <f t="shared" si="41"/>
        <v>-</v>
      </c>
      <c r="BF56" s="472" t="str">
        <f t="shared" si="42"/>
        <v>-</v>
      </c>
      <c r="BG56" s="472" t="str">
        <f t="shared" si="43"/>
        <v>-</v>
      </c>
      <c r="BH56" s="472" t="str">
        <f t="shared" si="44"/>
        <v>-</v>
      </c>
      <c r="BI56" s="221" t="str">
        <f t="shared" si="21"/>
        <v>-</v>
      </c>
      <c r="BJ56" s="730"/>
      <c r="BK56" s="692"/>
      <c r="BL56" s="429"/>
      <c r="BM56" s="429"/>
      <c r="BN56" s="214">
        <f t="shared" si="22"/>
        <v>0</v>
      </c>
      <c r="BO56" s="738"/>
      <c r="BP56" s="740"/>
      <c r="BQ56" s="462"/>
      <c r="BR56" s="462"/>
      <c r="BS56" s="228">
        <f t="shared" si="23"/>
        <v>0</v>
      </c>
      <c r="BT56" s="229" t="str">
        <f t="shared" si="24"/>
        <v>-</v>
      </c>
      <c r="BU56" s="526" t="str">
        <f t="shared" si="25"/>
        <v>-</v>
      </c>
      <c r="BV56" s="526" t="str">
        <f t="shared" si="26"/>
        <v>-</v>
      </c>
      <c r="BW56" s="526" t="str">
        <f t="shared" si="27"/>
        <v>-</v>
      </c>
      <c r="BX56" s="230" t="str">
        <f t="shared" si="28"/>
        <v>-</v>
      </c>
      <c r="BY56" s="745"/>
      <c r="BZ56" s="735"/>
      <c r="CA56" s="746"/>
      <c r="CB56" s="229" t="str">
        <f t="shared" si="29"/>
        <v>-</v>
      </c>
      <c r="CC56" s="529" t="str">
        <f t="shared" si="30"/>
        <v>-</v>
      </c>
      <c r="CD56" s="230" t="str">
        <f t="shared" si="31"/>
        <v>-</v>
      </c>
    </row>
    <row r="57" spans="1:82" ht="15.6" customHeight="1">
      <c r="A57" s="175">
        <f t="shared" si="0"/>
        <v>2021</v>
      </c>
      <c r="B57" s="454" t="str">
        <f t="shared" si="1"/>
        <v>52</v>
      </c>
      <c r="C57" s="454" t="str">
        <f t="array" ref="C57">_xlfn.IFS(_xlfn.NUMBERVALUE(B57)&lt;=13,"Q1",AND(_xlfn.NUMBERVALUE(B57)&gt;13,_xlfn.NUMBERVALUE(B57)&lt;=26),"Q2", AND(_xlfn.NUMBERVALUE(B57)&gt;26,_xlfn.NUMBERVALUE(B57)&lt;=39),"Q3",_xlfn.NUMBERVALUE(B57)&gt;39,"Q4")</f>
        <v>Q4</v>
      </c>
      <c r="D57" s="448">
        <f t="shared" si="32"/>
        <v>44219</v>
      </c>
      <c r="E57" s="448">
        <f t="shared" si="2"/>
        <v>44225</v>
      </c>
      <c r="F57" s="97">
        <v>202052</v>
      </c>
      <c r="G57" s="103"/>
      <c r="H57" s="429"/>
      <c r="I57" s="429"/>
      <c r="J57" s="429"/>
      <c r="K57" s="429"/>
      <c r="L57" s="429"/>
      <c r="M57" s="429"/>
      <c r="N57" s="429"/>
      <c r="O57" s="429"/>
      <c r="P57" s="429"/>
      <c r="Q57" s="429"/>
      <c r="R57" s="429"/>
      <c r="S57" s="429"/>
      <c r="T57" s="429"/>
      <c r="U57" s="429"/>
      <c r="V57" s="429"/>
      <c r="W57" s="429"/>
      <c r="X57" s="429"/>
      <c r="Y57" s="449">
        <f t="shared" si="34"/>
        <v>0</v>
      </c>
      <c r="Z57" s="449">
        <f t="shared" si="33"/>
        <v>0</v>
      </c>
      <c r="AA57" s="214">
        <f>'Overall Metrics'!N58</f>
        <v>0</v>
      </c>
      <c r="AB57" s="110"/>
      <c r="AC57" s="430"/>
      <c r="AD57" s="430"/>
      <c r="AE57" s="430"/>
      <c r="AF57" s="430"/>
      <c r="AG57" s="430"/>
      <c r="AH57" s="430"/>
      <c r="AI57" s="430"/>
      <c r="AJ57" s="430"/>
      <c r="AK57" s="430"/>
      <c r="AL57" s="430"/>
      <c r="AM57" s="430"/>
      <c r="AN57" s="430"/>
      <c r="AO57" s="430"/>
      <c r="AP57" s="430"/>
      <c r="AQ57" s="430"/>
      <c r="AR57" s="219">
        <f t="shared" si="4"/>
        <v>0</v>
      </c>
      <c r="AS57" s="220" t="str">
        <f t="shared" si="5"/>
        <v>-</v>
      </c>
      <c r="AT57" s="472" t="str">
        <f t="shared" si="6"/>
        <v>-</v>
      </c>
      <c r="AU57" s="472" t="str">
        <f t="shared" si="7"/>
        <v>-</v>
      </c>
      <c r="AV57" s="472" t="str">
        <f t="shared" si="8"/>
        <v>-</v>
      </c>
      <c r="AW57" s="472" t="str">
        <f t="shared" si="9"/>
        <v>-</v>
      </c>
      <c r="AX57" s="472" t="str">
        <f t="shared" si="10"/>
        <v>-</v>
      </c>
      <c r="AY57" s="472" t="str">
        <f t="shared" si="35"/>
        <v>-</v>
      </c>
      <c r="AZ57" s="472" t="str">
        <f t="shared" si="36"/>
        <v>-</v>
      </c>
      <c r="BA57" s="472" t="str">
        <f t="shared" si="37"/>
        <v>-</v>
      </c>
      <c r="BB57" s="472" t="str">
        <f t="shared" si="38"/>
        <v>-</v>
      </c>
      <c r="BC57" s="472" t="str">
        <f t="shared" si="39"/>
        <v>-</v>
      </c>
      <c r="BD57" s="472" t="str">
        <f t="shared" si="40"/>
        <v>-</v>
      </c>
      <c r="BE57" s="472" t="str">
        <f t="shared" si="41"/>
        <v>-</v>
      </c>
      <c r="BF57" s="472" t="str">
        <f t="shared" si="42"/>
        <v>-</v>
      </c>
      <c r="BG57" s="472" t="str">
        <f t="shared" si="43"/>
        <v>-</v>
      </c>
      <c r="BH57" s="472" t="str">
        <f t="shared" si="44"/>
        <v>-</v>
      </c>
      <c r="BI57" s="221" t="str">
        <f t="shared" si="21"/>
        <v>-</v>
      </c>
      <c r="BJ57" s="730"/>
      <c r="BK57" s="692"/>
      <c r="BL57" s="429"/>
      <c r="BM57" s="429"/>
      <c r="BN57" s="214">
        <f t="shared" si="22"/>
        <v>0</v>
      </c>
      <c r="BO57" s="738"/>
      <c r="BP57" s="740"/>
      <c r="BQ57" s="462"/>
      <c r="BR57" s="462"/>
      <c r="BS57" s="228">
        <f t="shared" si="23"/>
        <v>0</v>
      </c>
      <c r="BT57" s="229" t="str">
        <f t="shared" si="24"/>
        <v>-</v>
      </c>
      <c r="BU57" s="526" t="str">
        <f t="shared" si="25"/>
        <v>-</v>
      </c>
      <c r="BV57" s="526" t="str">
        <f t="shared" si="26"/>
        <v>-</v>
      </c>
      <c r="BW57" s="526" t="str">
        <f t="shared" si="27"/>
        <v>-</v>
      </c>
      <c r="BX57" s="230" t="str">
        <f t="shared" si="28"/>
        <v>-</v>
      </c>
      <c r="BY57" s="745"/>
      <c r="BZ57" s="735"/>
      <c r="CA57" s="746"/>
      <c r="CB57" s="229" t="str">
        <f t="shared" si="29"/>
        <v>-</v>
      </c>
      <c r="CC57" s="529" t="str">
        <f t="shared" si="30"/>
        <v>-</v>
      </c>
      <c r="CD57" s="230" t="str">
        <f t="shared" si="31"/>
        <v>-</v>
      </c>
    </row>
    <row r="58" spans="1:82" ht="15.6" customHeight="1">
      <c r="A58" s="175">
        <f t="shared" si="0"/>
        <v>2022</v>
      </c>
      <c r="B58" s="454" t="str">
        <f t="shared" si="1"/>
        <v>01</v>
      </c>
      <c r="C58" s="454" t="str">
        <f t="array" ref="C58">_xlfn.IFS(_xlfn.NUMBERVALUE(B58)&lt;=13,"Q1",AND(_xlfn.NUMBERVALUE(B58)&gt;13,_xlfn.NUMBERVALUE(B58)&lt;=26),"Q2", AND(_xlfn.NUMBERVALUE(B58)&gt;26,_xlfn.NUMBERVALUE(B58)&lt;=39),"Q3",_xlfn.NUMBERVALUE(B58)&gt;39,"Q4")</f>
        <v>Q1</v>
      </c>
      <c r="D58" s="448">
        <f t="shared" si="32"/>
        <v>44226</v>
      </c>
      <c r="E58" s="448">
        <f t="shared" si="2"/>
        <v>44232</v>
      </c>
      <c r="F58" s="97">
        <v>202101</v>
      </c>
      <c r="G58" s="103"/>
      <c r="H58" s="429"/>
      <c r="I58" s="429"/>
      <c r="J58" s="429"/>
      <c r="K58" s="429"/>
      <c r="L58" s="429"/>
      <c r="M58" s="429"/>
      <c r="N58" s="429"/>
      <c r="O58" s="429"/>
      <c r="P58" s="429"/>
      <c r="Q58" s="429"/>
      <c r="R58" s="429"/>
      <c r="S58" s="429"/>
      <c r="T58" s="429"/>
      <c r="U58" s="429"/>
      <c r="V58" s="429"/>
      <c r="W58" s="429"/>
      <c r="X58" s="429"/>
      <c r="Y58" s="449">
        <f t="shared" ref="Y58:Y121" si="45">AA58-Z58</f>
        <v>0</v>
      </c>
      <c r="Z58" s="449">
        <f t="shared" si="33"/>
        <v>0</v>
      </c>
      <c r="AA58" s="214">
        <f>'Overall Metrics'!N59</f>
        <v>0</v>
      </c>
      <c r="AB58" s="110"/>
      <c r="AC58" s="462"/>
      <c r="AD58" s="462"/>
      <c r="AE58" s="462"/>
      <c r="AF58" s="430"/>
      <c r="AG58" s="430"/>
      <c r="AH58" s="430"/>
      <c r="AI58" s="430"/>
      <c r="AJ58" s="430"/>
      <c r="AK58" s="430"/>
      <c r="AL58" s="430"/>
      <c r="AM58" s="430"/>
      <c r="AN58" s="430"/>
      <c r="AO58" s="430"/>
      <c r="AP58" s="430"/>
      <c r="AQ58" s="430"/>
      <c r="AR58" s="219">
        <f t="shared" si="4"/>
        <v>0</v>
      </c>
      <c r="AS58" s="220" t="str">
        <f t="shared" si="5"/>
        <v>-</v>
      </c>
      <c r="AT58" s="472" t="str">
        <f t="shared" si="6"/>
        <v>-</v>
      </c>
      <c r="AU58" s="472" t="str">
        <f t="shared" si="7"/>
        <v>-</v>
      </c>
      <c r="AV58" s="472" t="str">
        <f t="shared" si="8"/>
        <v>-</v>
      </c>
      <c r="AW58" s="472" t="str">
        <f t="shared" si="9"/>
        <v>-</v>
      </c>
      <c r="AX58" s="472" t="str">
        <f t="shared" si="10"/>
        <v>-</v>
      </c>
      <c r="AY58" s="472" t="str">
        <f t="shared" si="35"/>
        <v>-</v>
      </c>
      <c r="AZ58" s="472" t="str">
        <f t="shared" si="36"/>
        <v>-</v>
      </c>
      <c r="BA58" s="472" t="str">
        <f t="shared" si="37"/>
        <v>-</v>
      </c>
      <c r="BB58" s="472" t="str">
        <f t="shared" si="38"/>
        <v>-</v>
      </c>
      <c r="BC58" s="472" t="str">
        <f t="shared" si="39"/>
        <v>-</v>
      </c>
      <c r="BD58" s="472" t="str">
        <f t="shared" si="40"/>
        <v>-</v>
      </c>
      <c r="BE58" s="472" t="str">
        <f t="shared" si="41"/>
        <v>-</v>
      </c>
      <c r="BF58" s="472" t="str">
        <f t="shared" si="42"/>
        <v>-</v>
      </c>
      <c r="BG58" s="472" t="str">
        <f t="shared" si="43"/>
        <v>-</v>
      </c>
      <c r="BH58" s="472" t="str">
        <f t="shared" si="44"/>
        <v>-</v>
      </c>
      <c r="BI58" s="221" t="str">
        <f t="shared" si="21"/>
        <v>-</v>
      </c>
      <c r="BJ58" s="730"/>
      <c r="BK58" s="692"/>
      <c r="BL58" s="429"/>
      <c r="BM58" s="429"/>
      <c r="BN58" s="214">
        <f t="shared" si="22"/>
        <v>0</v>
      </c>
      <c r="BO58" s="738"/>
      <c r="BP58" s="740"/>
      <c r="BQ58" s="462"/>
      <c r="BR58" s="462"/>
      <c r="BS58" s="228">
        <f t="shared" si="23"/>
        <v>0</v>
      </c>
      <c r="BT58" s="229" t="str">
        <f t="shared" si="24"/>
        <v>-</v>
      </c>
      <c r="BU58" s="526" t="str">
        <f t="shared" si="25"/>
        <v>-</v>
      </c>
      <c r="BV58" s="526" t="str">
        <f t="shared" si="26"/>
        <v>-</v>
      </c>
      <c r="BW58" s="526" t="str">
        <f t="shared" si="27"/>
        <v>-</v>
      </c>
      <c r="BX58" s="230" t="str">
        <f t="shared" si="28"/>
        <v>-</v>
      </c>
      <c r="BY58" s="745"/>
      <c r="BZ58" s="735"/>
      <c r="CA58" s="746"/>
      <c r="CB58" s="229" t="str">
        <f t="shared" si="29"/>
        <v>-</v>
      </c>
      <c r="CC58" s="529" t="str">
        <f t="shared" si="30"/>
        <v>-</v>
      </c>
      <c r="CD58" s="230" t="str">
        <f t="shared" si="31"/>
        <v>-</v>
      </c>
    </row>
    <row r="59" spans="1:82" ht="15.6" customHeight="1">
      <c r="A59" s="175">
        <f t="shared" si="0"/>
        <v>2022</v>
      </c>
      <c r="B59" s="454" t="str">
        <f t="shared" si="1"/>
        <v>02</v>
      </c>
      <c r="C59" s="454" t="str">
        <f t="array" ref="C59">_xlfn.IFS(_xlfn.NUMBERVALUE(B59)&lt;=13,"Q1",AND(_xlfn.NUMBERVALUE(B59)&gt;13,_xlfn.NUMBERVALUE(B59)&lt;=26),"Q2", AND(_xlfn.NUMBERVALUE(B59)&gt;26,_xlfn.NUMBERVALUE(B59)&lt;=39),"Q3",_xlfn.NUMBERVALUE(B59)&gt;39,"Q4")</f>
        <v>Q1</v>
      </c>
      <c r="D59" s="448">
        <f t="shared" si="32"/>
        <v>44233</v>
      </c>
      <c r="E59" s="448">
        <f t="shared" si="2"/>
        <v>44239</v>
      </c>
      <c r="F59" s="97">
        <v>202102</v>
      </c>
      <c r="G59" s="103"/>
      <c r="H59" s="429"/>
      <c r="I59" s="429"/>
      <c r="J59" s="429"/>
      <c r="K59" s="429"/>
      <c r="L59" s="429"/>
      <c r="M59" s="429"/>
      <c r="N59" s="429"/>
      <c r="O59" s="429"/>
      <c r="P59" s="429"/>
      <c r="Q59" s="429"/>
      <c r="R59" s="429"/>
      <c r="S59" s="429"/>
      <c r="T59" s="429"/>
      <c r="U59" s="429"/>
      <c r="V59" s="429"/>
      <c r="W59" s="429"/>
      <c r="X59" s="429"/>
      <c r="Y59" s="449">
        <f t="shared" si="45"/>
        <v>0</v>
      </c>
      <c r="Z59" s="449">
        <f t="shared" si="33"/>
        <v>0</v>
      </c>
      <c r="AA59" s="214">
        <f>'Overall Metrics'!N60</f>
        <v>0</v>
      </c>
      <c r="AB59" s="110"/>
      <c r="AC59" s="430"/>
      <c r="AD59" s="430"/>
      <c r="AE59" s="430"/>
      <c r="AF59" s="430"/>
      <c r="AG59" s="430"/>
      <c r="AH59" s="430"/>
      <c r="AI59" s="430"/>
      <c r="AJ59" s="430"/>
      <c r="AK59" s="430"/>
      <c r="AL59" s="430"/>
      <c r="AM59" s="430"/>
      <c r="AN59" s="430"/>
      <c r="AO59" s="430"/>
      <c r="AP59" s="430"/>
      <c r="AQ59" s="430"/>
      <c r="AR59" s="219">
        <f t="shared" si="4"/>
        <v>0</v>
      </c>
      <c r="AS59" s="220" t="str">
        <f t="shared" si="5"/>
        <v>-</v>
      </c>
      <c r="AT59" s="472" t="str">
        <f t="shared" si="6"/>
        <v>-</v>
      </c>
      <c r="AU59" s="472" t="str">
        <f t="shared" si="7"/>
        <v>-</v>
      </c>
      <c r="AV59" s="472" t="str">
        <f t="shared" si="8"/>
        <v>-</v>
      </c>
      <c r="AW59" s="472" t="str">
        <f t="shared" si="9"/>
        <v>-</v>
      </c>
      <c r="AX59" s="472" t="str">
        <f t="shared" si="10"/>
        <v>-</v>
      </c>
      <c r="AY59" s="472" t="str">
        <f t="shared" si="35"/>
        <v>-</v>
      </c>
      <c r="AZ59" s="472" t="str">
        <f t="shared" si="36"/>
        <v>-</v>
      </c>
      <c r="BA59" s="472" t="str">
        <f t="shared" si="37"/>
        <v>-</v>
      </c>
      <c r="BB59" s="472" t="str">
        <f t="shared" si="38"/>
        <v>-</v>
      </c>
      <c r="BC59" s="472" t="str">
        <f t="shared" si="39"/>
        <v>-</v>
      </c>
      <c r="BD59" s="472" t="str">
        <f t="shared" si="40"/>
        <v>-</v>
      </c>
      <c r="BE59" s="472" t="str">
        <f t="shared" si="41"/>
        <v>-</v>
      </c>
      <c r="BF59" s="472" t="str">
        <f t="shared" si="42"/>
        <v>-</v>
      </c>
      <c r="BG59" s="472" t="str">
        <f t="shared" si="43"/>
        <v>-</v>
      </c>
      <c r="BH59" s="472" t="str">
        <f t="shared" si="44"/>
        <v>-</v>
      </c>
      <c r="BI59" s="221" t="str">
        <f t="shared" si="21"/>
        <v>-</v>
      </c>
      <c r="BJ59" s="730"/>
      <c r="BK59" s="692"/>
      <c r="BL59" s="429"/>
      <c r="BM59" s="429"/>
      <c r="BN59" s="214">
        <f t="shared" si="22"/>
        <v>0</v>
      </c>
      <c r="BO59" s="738"/>
      <c r="BP59" s="739"/>
      <c r="BQ59" s="462"/>
      <c r="BR59" s="462"/>
      <c r="BS59" s="228">
        <f t="shared" si="23"/>
        <v>0</v>
      </c>
      <c r="BT59" s="229" t="str">
        <f t="shared" si="24"/>
        <v>-</v>
      </c>
      <c r="BU59" s="526" t="str">
        <f t="shared" si="25"/>
        <v>-</v>
      </c>
      <c r="BV59" s="526" t="str">
        <f t="shared" si="26"/>
        <v>-</v>
      </c>
      <c r="BW59" s="526" t="str">
        <f t="shared" si="27"/>
        <v>-</v>
      </c>
      <c r="BX59" s="230" t="str">
        <f t="shared" si="28"/>
        <v>-</v>
      </c>
      <c r="BY59" s="745"/>
      <c r="BZ59" s="735"/>
      <c r="CA59" s="746"/>
      <c r="CB59" s="229" t="str">
        <f t="shared" si="29"/>
        <v>-</v>
      </c>
      <c r="CC59" s="529" t="str">
        <f t="shared" si="30"/>
        <v>-</v>
      </c>
      <c r="CD59" s="230" t="str">
        <f t="shared" si="31"/>
        <v>-</v>
      </c>
    </row>
    <row r="60" spans="1:82" ht="15.6" customHeight="1">
      <c r="A60" s="175">
        <f t="shared" si="0"/>
        <v>2022</v>
      </c>
      <c r="B60" s="454" t="str">
        <f t="shared" si="1"/>
        <v>03</v>
      </c>
      <c r="C60" s="454" t="str">
        <f t="array" ref="C60">_xlfn.IFS(_xlfn.NUMBERVALUE(B60)&lt;=13,"Q1",AND(_xlfn.NUMBERVALUE(B60)&gt;13,_xlfn.NUMBERVALUE(B60)&lt;=26),"Q2", AND(_xlfn.NUMBERVALUE(B60)&gt;26,_xlfn.NUMBERVALUE(B60)&lt;=39),"Q3",_xlfn.NUMBERVALUE(B60)&gt;39,"Q4")</f>
        <v>Q1</v>
      </c>
      <c r="D60" s="448">
        <f t="shared" si="32"/>
        <v>44240</v>
      </c>
      <c r="E60" s="448">
        <f t="shared" si="2"/>
        <v>44246</v>
      </c>
      <c r="F60" s="97">
        <v>202103</v>
      </c>
      <c r="G60" s="103"/>
      <c r="H60" s="429"/>
      <c r="I60" s="429"/>
      <c r="J60" s="429"/>
      <c r="K60" s="429"/>
      <c r="L60" s="429"/>
      <c r="M60" s="429"/>
      <c r="N60" s="429"/>
      <c r="O60" s="429"/>
      <c r="P60" s="429"/>
      <c r="Q60" s="429"/>
      <c r="R60" s="429"/>
      <c r="S60" s="429"/>
      <c r="T60" s="429"/>
      <c r="U60" s="429"/>
      <c r="V60" s="429"/>
      <c r="W60" s="429"/>
      <c r="X60" s="429"/>
      <c r="Y60" s="449">
        <f t="shared" si="45"/>
        <v>0</v>
      </c>
      <c r="Z60" s="449">
        <f t="shared" si="33"/>
        <v>0</v>
      </c>
      <c r="AA60" s="214">
        <f>'Overall Metrics'!N61</f>
        <v>0</v>
      </c>
      <c r="AB60" s="110"/>
      <c r="AC60" s="462"/>
      <c r="AD60" s="462"/>
      <c r="AE60" s="462"/>
      <c r="AF60" s="430"/>
      <c r="AG60" s="430"/>
      <c r="AH60" s="430"/>
      <c r="AI60" s="462"/>
      <c r="AJ60" s="462"/>
      <c r="AK60" s="462"/>
      <c r="AL60" s="462"/>
      <c r="AM60" s="462"/>
      <c r="AN60" s="462"/>
      <c r="AO60" s="462"/>
      <c r="AP60" s="462"/>
      <c r="AQ60" s="462"/>
      <c r="AR60" s="219">
        <f t="shared" si="4"/>
        <v>0</v>
      </c>
      <c r="AS60" s="220" t="str">
        <f t="shared" si="5"/>
        <v>-</v>
      </c>
      <c r="AT60" s="472" t="str">
        <f t="shared" si="6"/>
        <v>-</v>
      </c>
      <c r="AU60" s="472" t="str">
        <f t="shared" si="7"/>
        <v>-</v>
      </c>
      <c r="AV60" s="472" t="str">
        <f t="shared" si="8"/>
        <v>-</v>
      </c>
      <c r="AW60" s="472" t="str">
        <f t="shared" si="9"/>
        <v>-</v>
      </c>
      <c r="AX60" s="472" t="str">
        <f t="shared" si="10"/>
        <v>-</v>
      </c>
      <c r="AY60" s="472" t="str">
        <f t="shared" si="35"/>
        <v>-</v>
      </c>
      <c r="AZ60" s="472" t="str">
        <f t="shared" si="36"/>
        <v>-</v>
      </c>
      <c r="BA60" s="472" t="str">
        <f t="shared" si="37"/>
        <v>-</v>
      </c>
      <c r="BB60" s="472" t="str">
        <f t="shared" si="38"/>
        <v>-</v>
      </c>
      <c r="BC60" s="472" t="str">
        <f t="shared" si="39"/>
        <v>-</v>
      </c>
      <c r="BD60" s="472" t="str">
        <f t="shared" si="40"/>
        <v>-</v>
      </c>
      <c r="BE60" s="472" t="str">
        <f t="shared" si="41"/>
        <v>-</v>
      </c>
      <c r="BF60" s="472" t="str">
        <f t="shared" si="42"/>
        <v>-</v>
      </c>
      <c r="BG60" s="472" t="str">
        <f t="shared" si="43"/>
        <v>-</v>
      </c>
      <c r="BH60" s="472" t="str">
        <f t="shared" si="44"/>
        <v>-</v>
      </c>
      <c r="BI60" s="221" t="str">
        <f t="shared" si="21"/>
        <v>-</v>
      </c>
      <c r="BJ60" s="730"/>
      <c r="BK60" s="692"/>
      <c r="BL60" s="429"/>
      <c r="BM60" s="429"/>
      <c r="BN60" s="214">
        <f t="shared" si="22"/>
        <v>0</v>
      </c>
      <c r="BO60" s="738"/>
      <c r="BP60" s="740"/>
      <c r="BQ60" s="462"/>
      <c r="BR60" s="462"/>
      <c r="BS60" s="228">
        <f t="shared" si="23"/>
        <v>0</v>
      </c>
      <c r="BT60" s="229" t="str">
        <f t="shared" si="24"/>
        <v>-</v>
      </c>
      <c r="BU60" s="526" t="str">
        <f t="shared" si="25"/>
        <v>-</v>
      </c>
      <c r="BV60" s="526" t="str">
        <f t="shared" si="26"/>
        <v>-</v>
      </c>
      <c r="BW60" s="526" t="str">
        <f t="shared" si="27"/>
        <v>-</v>
      </c>
      <c r="BX60" s="230" t="str">
        <f t="shared" si="28"/>
        <v>-</v>
      </c>
      <c r="BY60" s="745"/>
      <c r="BZ60" s="735"/>
      <c r="CA60" s="746"/>
      <c r="CB60" s="229" t="str">
        <f t="shared" si="29"/>
        <v>-</v>
      </c>
      <c r="CC60" s="529" t="str">
        <f t="shared" si="30"/>
        <v>-</v>
      </c>
      <c r="CD60" s="230" t="str">
        <f t="shared" si="31"/>
        <v>-</v>
      </c>
    </row>
    <row r="61" spans="1:82" ht="15.6" customHeight="1">
      <c r="A61" s="175">
        <f t="shared" si="0"/>
        <v>2022</v>
      </c>
      <c r="B61" s="454" t="str">
        <f t="shared" si="1"/>
        <v>04</v>
      </c>
      <c r="C61" s="454" t="str">
        <f t="array" ref="C61">_xlfn.IFS(_xlfn.NUMBERVALUE(B61)&lt;=13,"Q1",AND(_xlfn.NUMBERVALUE(B61)&gt;13,_xlfn.NUMBERVALUE(B61)&lt;=26),"Q2", AND(_xlfn.NUMBERVALUE(B61)&gt;26,_xlfn.NUMBERVALUE(B61)&lt;=39),"Q3",_xlfn.NUMBERVALUE(B61)&gt;39,"Q4")</f>
        <v>Q1</v>
      </c>
      <c r="D61" s="448">
        <f t="shared" si="32"/>
        <v>44247</v>
      </c>
      <c r="E61" s="448">
        <f t="shared" si="2"/>
        <v>44253</v>
      </c>
      <c r="F61" s="97">
        <v>202104</v>
      </c>
      <c r="G61" s="103"/>
      <c r="H61" s="429"/>
      <c r="I61" s="429"/>
      <c r="J61" s="429"/>
      <c r="K61" s="429"/>
      <c r="L61" s="429"/>
      <c r="M61" s="429"/>
      <c r="N61" s="429"/>
      <c r="O61" s="429"/>
      <c r="P61" s="429"/>
      <c r="Q61" s="429"/>
      <c r="R61" s="429"/>
      <c r="S61" s="429"/>
      <c r="T61" s="429"/>
      <c r="U61" s="429"/>
      <c r="V61" s="429"/>
      <c r="W61" s="429"/>
      <c r="X61" s="429"/>
      <c r="Y61" s="449">
        <f t="shared" si="45"/>
        <v>0</v>
      </c>
      <c r="Z61" s="449">
        <f t="shared" si="33"/>
        <v>0</v>
      </c>
      <c r="AA61" s="214">
        <f>'Overall Metrics'!N62</f>
        <v>0</v>
      </c>
      <c r="AB61" s="110"/>
      <c r="AC61" s="524"/>
      <c r="AD61" s="524"/>
      <c r="AE61" s="524"/>
      <c r="AF61" s="430"/>
      <c r="AG61" s="430"/>
      <c r="AH61" s="430"/>
      <c r="AI61" s="524"/>
      <c r="AJ61" s="524"/>
      <c r="AK61" s="524"/>
      <c r="AL61" s="524"/>
      <c r="AM61" s="524"/>
      <c r="AN61" s="524"/>
      <c r="AO61" s="524"/>
      <c r="AP61" s="524"/>
      <c r="AQ61" s="524"/>
      <c r="AR61" s="219">
        <f t="shared" si="4"/>
        <v>0</v>
      </c>
      <c r="AS61" s="220" t="str">
        <f t="shared" si="5"/>
        <v>-</v>
      </c>
      <c r="AT61" s="472" t="str">
        <f t="shared" si="6"/>
        <v>-</v>
      </c>
      <c r="AU61" s="472" t="str">
        <f t="shared" si="7"/>
        <v>-</v>
      </c>
      <c r="AV61" s="472" t="str">
        <f t="shared" si="8"/>
        <v>-</v>
      </c>
      <c r="AW61" s="472" t="str">
        <f t="shared" si="9"/>
        <v>-</v>
      </c>
      <c r="AX61" s="472" t="str">
        <f t="shared" si="10"/>
        <v>-</v>
      </c>
      <c r="AY61" s="472" t="str">
        <f t="shared" si="35"/>
        <v>-</v>
      </c>
      <c r="AZ61" s="472" t="str">
        <f t="shared" si="36"/>
        <v>-</v>
      </c>
      <c r="BA61" s="472" t="str">
        <f t="shared" si="37"/>
        <v>-</v>
      </c>
      <c r="BB61" s="472" t="str">
        <f t="shared" si="38"/>
        <v>-</v>
      </c>
      <c r="BC61" s="472" t="str">
        <f t="shared" si="39"/>
        <v>-</v>
      </c>
      <c r="BD61" s="472" t="str">
        <f t="shared" si="40"/>
        <v>-</v>
      </c>
      <c r="BE61" s="472" t="str">
        <f t="shared" si="41"/>
        <v>-</v>
      </c>
      <c r="BF61" s="472" t="str">
        <f t="shared" si="42"/>
        <v>-</v>
      </c>
      <c r="BG61" s="472" t="str">
        <f t="shared" si="43"/>
        <v>-</v>
      </c>
      <c r="BH61" s="472" t="str">
        <f t="shared" si="44"/>
        <v>-</v>
      </c>
      <c r="BI61" s="221" t="str">
        <f t="shared" si="21"/>
        <v>-</v>
      </c>
      <c r="BJ61" s="730"/>
      <c r="BK61" s="692"/>
      <c r="BL61" s="429"/>
      <c r="BM61" s="429"/>
      <c r="BN61" s="214">
        <f t="shared" si="22"/>
        <v>0</v>
      </c>
      <c r="BO61" s="738"/>
      <c r="BP61" s="739"/>
      <c r="BQ61" s="462"/>
      <c r="BR61" s="462"/>
      <c r="BS61" s="228">
        <f t="shared" si="23"/>
        <v>0</v>
      </c>
      <c r="BT61" s="229" t="str">
        <f t="shared" si="24"/>
        <v>-</v>
      </c>
      <c r="BU61" s="526" t="str">
        <f t="shared" si="25"/>
        <v>-</v>
      </c>
      <c r="BV61" s="526" t="str">
        <f t="shared" si="26"/>
        <v>-</v>
      </c>
      <c r="BW61" s="526" t="str">
        <f t="shared" si="27"/>
        <v>-</v>
      </c>
      <c r="BX61" s="230" t="str">
        <f t="shared" si="28"/>
        <v>-</v>
      </c>
      <c r="BY61" s="745"/>
      <c r="BZ61" s="735"/>
      <c r="CA61" s="746"/>
      <c r="CB61" s="229" t="str">
        <f t="shared" si="29"/>
        <v>-</v>
      </c>
      <c r="CC61" s="529" t="str">
        <f t="shared" si="30"/>
        <v>-</v>
      </c>
      <c r="CD61" s="230" t="str">
        <f t="shared" si="31"/>
        <v>-</v>
      </c>
    </row>
    <row r="62" spans="1:82" ht="15.6" customHeight="1">
      <c r="A62" s="175">
        <f t="shared" si="0"/>
        <v>2022</v>
      </c>
      <c r="B62" s="454" t="str">
        <f t="shared" si="1"/>
        <v>05</v>
      </c>
      <c r="C62" s="454" t="str">
        <f t="array" ref="C62">_xlfn.IFS(_xlfn.NUMBERVALUE(B62)&lt;=13,"Q1",AND(_xlfn.NUMBERVALUE(B62)&gt;13,_xlfn.NUMBERVALUE(B62)&lt;=26),"Q2", AND(_xlfn.NUMBERVALUE(B62)&gt;26,_xlfn.NUMBERVALUE(B62)&lt;=39),"Q3",_xlfn.NUMBERVALUE(B62)&gt;39,"Q4")</f>
        <v>Q1</v>
      </c>
      <c r="D62" s="448">
        <f t="shared" si="32"/>
        <v>44254</v>
      </c>
      <c r="E62" s="448">
        <f t="shared" si="2"/>
        <v>44260</v>
      </c>
      <c r="F62" s="97">
        <v>202105</v>
      </c>
      <c r="G62" s="103"/>
      <c r="H62" s="429"/>
      <c r="I62" s="429"/>
      <c r="J62" s="429"/>
      <c r="K62" s="429"/>
      <c r="L62" s="429"/>
      <c r="M62" s="429"/>
      <c r="N62" s="429"/>
      <c r="O62" s="429"/>
      <c r="P62" s="429"/>
      <c r="Q62" s="429"/>
      <c r="R62" s="429"/>
      <c r="S62" s="429"/>
      <c r="T62" s="429"/>
      <c r="U62" s="429"/>
      <c r="V62" s="429"/>
      <c r="W62" s="429"/>
      <c r="X62" s="429"/>
      <c r="Y62" s="449">
        <f t="shared" si="45"/>
        <v>0</v>
      </c>
      <c r="Z62" s="449">
        <f t="shared" si="33"/>
        <v>0</v>
      </c>
      <c r="AA62" s="214">
        <f>'Overall Metrics'!N63</f>
        <v>0</v>
      </c>
      <c r="AB62" s="110"/>
      <c r="AC62" s="430"/>
      <c r="AD62" s="430"/>
      <c r="AE62" s="430"/>
      <c r="AF62" s="430"/>
      <c r="AG62" s="430"/>
      <c r="AH62" s="430"/>
      <c r="AI62" s="430"/>
      <c r="AJ62" s="430"/>
      <c r="AK62" s="430"/>
      <c r="AL62" s="430"/>
      <c r="AM62" s="430"/>
      <c r="AN62" s="430"/>
      <c r="AO62" s="430"/>
      <c r="AP62" s="430"/>
      <c r="AQ62" s="430"/>
      <c r="AR62" s="219">
        <f t="shared" si="4"/>
        <v>0</v>
      </c>
      <c r="AS62" s="220" t="str">
        <f t="shared" si="5"/>
        <v>-</v>
      </c>
      <c r="AT62" s="472" t="str">
        <f t="shared" si="6"/>
        <v>-</v>
      </c>
      <c r="AU62" s="472" t="str">
        <f t="shared" si="7"/>
        <v>-</v>
      </c>
      <c r="AV62" s="472" t="str">
        <f t="shared" si="8"/>
        <v>-</v>
      </c>
      <c r="AW62" s="472" t="str">
        <f t="shared" si="9"/>
        <v>-</v>
      </c>
      <c r="AX62" s="472" t="str">
        <f t="shared" si="10"/>
        <v>-</v>
      </c>
      <c r="AY62" s="472" t="str">
        <f t="shared" si="35"/>
        <v>-</v>
      </c>
      <c r="AZ62" s="472" t="str">
        <f t="shared" si="36"/>
        <v>-</v>
      </c>
      <c r="BA62" s="472" t="str">
        <f t="shared" si="37"/>
        <v>-</v>
      </c>
      <c r="BB62" s="472" t="str">
        <f t="shared" si="38"/>
        <v>-</v>
      </c>
      <c r="BC62" s="472" t="str">
        <f t="shared" si="39"/>
        <v>-</v>
      </c>
      <c r="BD62" s="472" t="str">
        <f t="shared" si="40"/>
        <v>-</v>
      </c>
      <c r="BE62" s="472" t="str">
        <f t="shared" si="41"/>
        <v>-</v>
      </c>
      <c r="BF62" s="472" t="str">
        <f t="shared" si="42"/>
        <v>-</v>
      </c>
      <c r="BG62" s="472" t="str">
        <f t="shared" si="43"/>
        <v>-</v>
      </c>
      <c r="BH62" s="472" t="str">
        <f t="shared" si="44"/>
        <v>-</v>
      </c>
      <c r="BI62" s="221" t="str">
        <f t="shared" si="21"/>
        <v>-</v>
      </c>
      <c r="BJ62" s="730"/>
      <c r="BK62" s="692"/>
      <c r="BL62" s="429"/>
      <c r="BM62" s="429"/>
      <c r="BN62" s="214">
        <f t="shared" si="22"/>
        <v>0</v>
      </c>
      <c r="BO62" s="738"/>
      <c r="BP62" s="739"/>
      <c r="BQ62" s="462"/>
      <c r="BR62" s="462"/>
      <c r="BS62" s="228">
        <f t="shared" si="23"/>
        <v>0</v>
      </c>
      <c r="BT62" s="229" t="str">
        <f t="shared" si="24"/>
        <v>-</v>
      </c>
      <c r="BU62" s="526" t="str">
        <f t="shared" si="25"/>
        <v>-</v>
      </c>
      <c r="BV62" s="526" t="str">
        <f t="shared" si="26"/>
        <v>-</v>
      </c>
      <c r="BW62" s="526" t="str">
        <f t="shared" si="27"/>
        <v>-</v>
      </c>
      <c r="BX62" s="230" t="str">
        <f t="shared" si="28"/>
        <v>-</v>
      </c>
      <c r="BY62" s="745"/>
      <c r="BZ62" s="735"/>
      <c r="CA62" s="746"/>
      <c r="CB62" s="229" t="str">
        <f t="shared" si="29"/>
        <v>-</v>
      </c>
      <c r="CC62" s="529" t="str">
        <f t="shared" si="30"/>
        <v>-</v>
      </c>
      <c r="CD62" s="230" t="str">
        <f t="shared" si="31"/>
        <v>-</v>
      </c>
    </row>
    <row r="63" spans="1:82" ht="15.6" customHeight="1">
      <c r="A63" s="175">
        <f t="shared" si="0"/>
        <v>2022</v>
      </c>
      <c r="B63" s="454" t="str">
        <f t="shared" si="1"/>
        <v>06</v>
      </c>
      <c r="C63" s="454" t="str">
        <f t="array" ref="C63">_xlfn.IFS(_xlfn.NUMBERVALUE(B63)&lt;=13,"Q1",AND(_xlfn.NUMBERVALUE(B63)&gt;13,_xlfn.NUMBERVALUE(B63)&lt;=26),"Q2", AND(_xlfn.NUMBERVALUE(B63)&gt;26,_xlfn.NUMBERVALUE(B63)&lt;=39),"Q3",_xlfn.NUMBERVALUE(B63)&gt;39,"Q4")</f>
        <v>Q1</v>
      </c>
      <c r="D63" s="448">
        <f t="shared" si="32"/>
        <v>44261</v>
      </c>
      <c r="E63" s="448">
        <f t="shared" si="2"/>
        <v>44267</v>
      </c>
      <c r="F63" s="97">
        <v>202106</v>
      </c>
      <c r="G63" s="103"/>
      <c r="H63" s="429"/>
      <c r="I63" s="429"/>
      <c r="J63" s="429"/>
      <c r="K63" s="429"/>
      <c r="L63" s="429"/>
      <c r="M63" s="429"/>
      <c r="N63" s="429"/>
      <c r="O63" s="429"/>
      <c r="P63" s="429"/>
      <c r="Q63" s="429"/>
      <c r="R63" s="429"/>
      <c r="S63" s="429"/>
      <c r="T63" s="429"/>
      <c r="U63" s="429"/>
      <c r="V63" s="429"/>
      <c r="W63" s="429"/>
      <c r="X63" s="429"/>
      <c r="Y63" s="449">
        <f t="shared" si="45"/>
        <v>0</v>
      </c>
      <c r="Z63" s="449">
        <f t="shared" si="33"/>
        <v>0</v>
      </c>
      <c r="AA63" s="214">
        <f>'Overall Metrics'!N64</f>
        <v>0</v>
      </c>
      <c r="AB63" s="110"/>
      <c r="AC63" s="462"/>
      <c r="AD63" s="462"/>
      <c r="AE63" s="462"/>
      <c r="AF63" s="430"/>
      <c r="AG63" s="430"/>
      <c r="AH63" s="430"/>
      <c r="AI63" s="462"/>
      <c r="AJ63" s="462"/>
      <c r="AK63" s="462"/>
      <c r="AL63" s="462"/>
      <c r="AM63" s="462"/>
      <c r="AN63" s="462"/>
      <c r="AO63" s="462"/>
      <c r="AP63" s="462"/>
      <c r="AQ63" s="462"/>
      <c r="AR63" s="219">
        <f t="shared" si="4"/>
        <v>0</v>
      </c>
      <c r="AS63" s="220" t="str">
        <f t="shared" si="5"/>
        <v>-</v>
      </c>
      <c r="AT63" s="472" t="str">
        <f t="shared" si="6"/>
        <v>-</v>
      </c>
      <c r="AU63" s="472" t="str">
        <f t="shared" si="7"/>
        <v>-</v>
      </c>
      <c r="AV63" s="472" t="str">
        <f t="shared" si="8"/>
        <v>-</v>
      </c>
      <c r="AW63" s="472" t="str">
        <f t="shared" si="9"/>
        <v>-</v>
      </c>
      <c r="AX63" s="472" t="str">
        <f t="shared" si="10"/>
        <v>-</v>
      </c>
      <c r="AY63" s="472" t="str">
        <f t="shared" si="35"/>
        <v>-</v>
      </c>
      <c r="AZ63" s="472" t="str">
        <f t="shared" si="36"/>
        <v>-</v>
      </c>
      <c r="BA63" s="472" t="str">
        <f t="shared" si="37"/>
        <v>-</v>
      </c>
      <c r="BB63" s="472" t="str">
        <f t="shared" si="38"/>
        <v>-</v>
      </c>
      <c r="BC63" s="472" t="str">
        <f t="shared" si="39"/>
        <v>-</v>
      </c>
      <c r="BD63" s="472" t="str">
        <f t="shared" si="40"/>
        <v>-</v>
      </c>
      <c r="BE63" s="472" t="str">
        <f t="shared" si="41"/>
        <v>-</v>
      </c>
      <c r="BF63" s="472" t="str">
        <f t="shared" si="42"/>
        <v>-</v>
      </c>
      <c r="BG63" s="472" t="str">
        <f t="shared" si="43"/>
        <v>-</v>
      </c>
      <c r="BH63" s="472" t="str">
        <f t="shared" si="44"/>
        <v>-</v>
      </c>
      <c r="BI63" s="221" t="str">
        <f t="shared" si="21"/>
        <v>-</v>
      </c>
      <c r="BJ63" s="730"/>
      <c r="BK63" s="692"/>
      <c r="BL63" s="429"/>
      <c r="BM63" s="429"/>
      <c r="BN63" s="214">
        <f t="shared" si="22"/>
        <v>0</v>
      </c>
      <c r="BO63" s="738"/>
      <c r="BP63" s="739"/>
      <c r="BQ63" s="462"/>
      <c r="BR63" s="462"/>
      <c r="BS63" s="228">
        <f t="shared" si="23"/>
        <v>0</v>
      </c>
      <c r="BT63" s="229" t="str">
        <f t="shared" si="24"/>
        <v>-</v>
      </c>
      <c r="BU63" s="526" t="str">
        <f t="shared" si="25"/>
        <v>-</v>
      </c>
      <c r="BV63" s="526" t="str">
        <f t="shared" si="26"/>
        <v>-</v>
      </c>
      <c r="BW63" s="526" t="str">
        <f t="shared" si="27"/>
        <v>-</v>
      </c>
      <c r="BX63" s="230" t="str">
        <f t="shared" si="28"/>
        <v>-</v>
      </c>
      <c r="BY63" s="745"/>
      <c r="BZ63" s="735"/>
      <c r="CA63" s="746"/>
      <c r="CB63" s="229" t="str">
        <f t="shared" si="29"/>
        <v>-</v>
      </c>
      <c r="CC63" s="529" t="str">
        <f t="shared" si="30"/>
        <v>-</v>
      </c>
      <c r="CD63" s="230" t="str">
        <f t="shared" si="31"/>
        <v>-</v>
      </c>
    </row>
    <row r="64" spans="1:82" ht="15.6" customHeight="1">
      <c r="A64" s="175">
        <f t="shared" si="0"/>
        <v>2022</v>
      </c>
      <c r="B64" s="454" t="str">
        <f t="shared" si="1"/>
        <v>07</v>
      </c>
      <c r="C64" s="454" t="str">
        <f t="array" ref="C64">_xlfn.IFS(_xlfn.NUMBERVALUE(B64)&lt;=13,"Q1",AND(_xlfn.NUMBERVALUE(B64)&gt;13,_xlfn.NUMBERVALUE(B64)&lt;=26),"Q2", AND(_xlfn.NUMBERVALUE(B64)&gt;26,_xlfn.NUMBERVALUE(B64)&lt;=39),"Q3",_xlfn.NUMBERVALUE(B64)&gt;39,"Q4")</f>
        <v>Q1</v>
      </c>
      <c r="D64" s="448">
        <f t="shared" si="32"/>
        <v>44268</v>
      </c>
      <c r="E64" s="448">
        <f t="shared" si="2"/>
        <v>44274</v>
      </c>
      <c r="F64" s="97">
        <v>202107</v>
      </c>
      <c r="G64" s="103"/>
      <c r="H64" s="429"/>
      <c r="I64" s="429"/>
      <c r="J64" s="429"/>
      <c r="K64" s="429"/>
      <c r="L64" s="429"/>
      <c r="M64" s="429"/>
      <c r="N64" s="429"/>
      <c r="O64" s="429"/>
      <c r="P64" s="429"/>
      <c r="Q64" s="429"/>
      <c r="R64" s="429"/>
      <c r="S64" s="429"/>
      <c r="T64" s="429"/>
      <c r="U64" s="429"/>
      <c r="V64" s="429"/>
      <c r="W64" s="429"/>
      <c r="X64" s="429"/>
      <c r="Y64" s="449">
        <f t="shared" si="45"/>
        <v>0</v>
      </c>
      <c r="Z64" s="449">
        <f t="shared" si="33"/>
        <v>0</v>
      </c>
      <c r="AA64" s="214">
        <f>'Overall Metrics'!N65</f>
        <v>0</v>
      </c>
      <c r="AB64" s="110"/>
      <c r="AC64" s="430"/>
      <c r="AD64" s="430"/>
      <c r="AE64" s="430"/>
      <c r="AF64" s="430"/>
      <c r="AG64" s="430"/>
      <c r="AH64" s="430"/>
      <c r="AI64" s="430"/>
      <c r="AJ64" s="430"/>
      <c r="AK64" s="430"/>
      <c r="AL64" s="430"/>
      <c r="AM64" s="430"/>
      <c r="AN64" s="430"/>
      <c r="AO64" s="430"/>
      <c r="AP64" s="430"/>
      <c r="AQ64" s="430"/>
      <c r="AR64" s="219">
        <f t="shared" si="4"/>
        <v>0</v>
      </c>
      <c r="AS64" s="220" t="str">
        <f t="shared" si="5"/>
        <v>-</v>
      </c>
      <c r="AT64" s="472" t="str">
        <f t="shared" si="6"/>
        <v>-</v>
      </c>
      <c r="AU64" s="472" t="str">
        <f t="shared" si="7"/>
        <v>-</v>
      </c>
      <c r="AV64" s="472" t="str">
        <f t="shared" si="8"/>
        <v>-</v>
      </c>
      <c r="AW64" s="472" t="str">
        <f t="shared" si="9"/>
        <v>-</v>
      </c>
      <c r="AX64" s="472" t="str">
        <f t="shared" si="10"/>
        <v>-</v>
      </c>
      <c r="AY64" s="472" t="str">
        <f t="shared" si="35"/>
        <v>-</v>
      </c>
      <c r="AZ64" s="472" t="str">
        <f t="shared" si="36"/>
        <v>-</v>
      </c>
      <c r="BA64" s="472" t="str">
        <f t="shared" si="37"/>
        <v>-</v>
      </c>
      <c r="BB64" s="472" t="str">
        <f t="shared" si="38"/>
        <v>-</v>
      </c>
      <c r="BC64" s="472" t="str">
        <f t="shared" si="39"/>
        <v>-</v>
      </c>
      <c r="BD64" s="472" t="str">
        <f t="shared" si="40"/>
        <v>-</v>
      </c>
      <c r="BE64" s="472" t="str">
        <f t="shared" si="41"/>
        <v>-</v>
      </c>
      <c r="BF64" s="472" t="str">
        <f t="shared" si="42"/>
        <v>-</v>
      </c>
      <c r="BG64" s="472" t="str">
        <f t="shared" si="43"/>
        <v>-</v>
      </c>
      <c r="BH64" s="472" t="str">
        <f t="shared" si="44"/>
        <v>-</v>
      </c>
      <c r="BI64" s="221" t="str">
        <f t="shared" si="21"/>
        <v>-</v>
      </c>
      <c r="BJ64" s="730"/>
      <c r="BK64" s="692"/>
      <c r="BL64" s="429"/>
      <c r="BM64" s="429"/>
      <c r="BN64" s="214">
        <f t="shared" si="22"/>
        <v>0</v>
      </c>
      <c r="BO64" s="738"/>
      <c r="BP64" s="739"/>
      <c r="BQ64" s="462"/>
      <c r="BR64" s="462"/>
      <c r="BS64" s="228">
        <f t="shared" si="23"/>
        <v>0</v>
      </c>
      <c r="BT64" s="229" t="str">
        <f t="shared" si="24"/>
        <v>-</v>
      </c>
      <c r="BU64" s="526" t="str">
        <f t="shared" si="25"/>
        <v>-</v>
      </c>
      <c r="BV64" s="526" t="str">
        <f t="shared" si="26"/>
        <v>-</v>
      </c>
      <c r="BW64" s="526" t="str">
        <f t="shared" si="27"/>
        <v>-</v>
      </c>
      <c r="BX64" s="230" t="str">
        <f t="shared" si="28"/>
        <v>-</v>
      </c>
      <c r="BY64" s="745"/>
      <c r="BZ64" s="735"/>
      <c r="CA64" s="746"/>
      <c r="CB64" s="229" t="str">
        <f t="shared" si="29"/>
        <v>-</v>
      </c>
      <c r="CC64" s="529" t="str">
        <f t="shared" si="30"/>
        <v>-</v>
      </c>
      <c r="CD64" s="230" t="str">
        <f t="shared" si="31"/>
        <v>-</v>
      </c>
    </row>
    <row r="65" spans="1:82" ht="15.6" customHeight="1">
      <c r="A65" s="175">
        <f t="shared" si="0"/>
        <v>2022</v>
      </c>
      <c r="B65" s="454" t="str">
        <f t="shared" si="1"/>
        <v>08</v>
      </c>
      <c r="C65" s="454" t="str">
        <f t="array" ref="C65">_xlfn.IFS(_xlfn.NUMBERVALUE(B65)&lt;=13,"Q1",AND(_xlfn.NUMBERVALUE(B65)&gt;13,_xlfn.NUMBERVALUE(B65)&lt;=26),"Q2", AND(_xlfn.NUMBERVALUE(B65)&gt;26,_xlfn.NUMBERVALUE(B65)&lt;=39),"Q3",_xlfn.NUMBERVALUE(B65)&gt;39,"Q4")</f>
        <v>Q1</v>
      </c>
      <c r="D65" s="448">
        <f t="shared" si="32"/>
        <v>44275</v>
      </c>
      <c r="E65" s="448">
        <f t="shared" si="2"/>
        <v>44281</v>
      </c>
      <c r="F65" s="97">
        <v>202108</v>
      </c>
      <c r="G65" s="103"/>
      <c r="H65" s="429"/>
      <c r="I65" s="429"/>
      <c r="J65" s="429"/>
      <c r="K65" s="429"/>
      <c r="L65" s="429"/>
      <c r="M65" s="429"/>
      <c r="N65" s="429"/>
      <c r="O65" s="429"/>
      <c r="P65" s="429"/>
      <c r="Q65" s="429"/>
      <c r="R65" s="429"/>
      <c r="S65" s="429"/>
      <c r="T65" s="429"/>
      <c r="U65" s="429"/>
      <c r="V65" s="429"/>
      <c r="W65" s="429"/>
      <c r="X65" s="429"/>
      <c r="Y65" s="449">
        <f t="shared" si="45"/>
        <v>0</v>
      </c>
      <c r="Z65" s="449">
        <f t="shared" si="33"/>
        <v>0</v>
      </c>
      <c r="AA65" s="214">
        <f>'Overall Metrics'!N66</f>
        <v>0</v>
      </c>
      <c r="AB65" s="110"/>
      <c r="AC65" s="430"/>
      <c r="AD65" s="430"/>
      <c r="AE65" s="430"/>
      <c r="AF65" s="430"/>
      <c r="AG65" s="430"/>
      <c r="AH65" s="430"/>
      <c r="AI65" s="430"/>
      <c r="AJ65" s="430"/>
      <c r="AK65" s="430"/>
      <c r="AL65" s="430"/>
      <c r="AM65" s="430"/>
      <c r="AN65" s="430"/>
      <c r="AO65" s="430"/>
      <c r="AP65" s="430"/>
      <c r="AQ65" s="430"/>
      <c r="AR65" s="219">
        <f t="shared" si="4"/>
        <v>0</v>
      </c>
      <c r="AS65" s="220" t="str">
        <f t="shared" si="5"/>
        <v>-</v>
      </c>
      <c r="AT65" s="472" t="str">
        <f t="shared" si="6"/>
        <v>-</v>
      </c>
      <c r="AU65" s="472" t="str">
        <f t="shared" si="7"/>
        <v>-</v>
      </c>
      <c r="AV65" s="472" t="str">
        <f t="shared" si="8"/>
        <v>-</v>
      </c>
      <c r="AW65" s="472" t="str">
        <f t="shared" si="9"/>
        <v>-</v>
      </c>
      <c r="AX65" s="472" t="str">
        <f t="shared" si="10"/>
        <v>-</v>
      </c>
      <c r="AY65" s="472" t="str">
        <f t="shared" si="35"/>
        <v>-</v>
      </c>
      <c r="AZ65" s="472" t="str">
        <f t="shared" si="36"/>
        <v>-</v>
      </c>
      <c r="BA65" s="472" t="str">
        <f t="shared" si="37"/>
        <v>-</v>
      </c>
      <c r="BB65" s="472" t="str">
        <f t="shared" si="38"/>
        <v>-</v>
      </c>
      <c r="BC65" s="472" t="str">
        <f t="shared" si="39"/>
        <v>-</v>
      </c>
      <c r="BD65" s="472" t="str">
        <f t="shared" si="40"/>
        <v>-</v>
      </c>
      <c r="BE65" s="472" t="str">
        <f t="shared" si="41"/>
        <v>-</v>
      </c>
      <c r="BF65" s="472" t="str">
        <f t="shared" si="42"/>
        <v>-</v>
      </c>
      <c r="BG65" s="472" t="str">
        <f t="shared" si="43"/>
        <v>-</v>
      </c>
      <c r="BH65" s="472" t="str">
        <f t="shared" si="44"/>
        <v>-</v>
      </c>
      <c r="BI65" s="221" t="str">
        <f t="shared" si="21"/>
        <v>-</v>
      </c>
      <c r="BJ65" s="730"/>
      <c r="BK65" s="692"/>
      <c r="BL65" s="429"/>
      <c r="BM65" s="429"/>
      <c r="BN65" s="214">
        <f t="shared" si="22"/>
        <v>0</v>
      </c>
      <c r="BO65" s="738"/>
      <c r="BP65" s="739"/>
      <c r="BQ65" s="462"/>
      <c r="BR65" s="462"/>
      <c r="BS65" s="228">
        <f t="shared" si="23"/>
        <v>0</v>
      </c>
      <c r="BT65" s="229" t="str">
        <f t="shared" si="24"/>
        <v>-</v>
      </c>
      <c r="BU65" s="526" t="str">
        <f t="shared" si="25"/>
        <v>-</v>
      </c>
      <c r="BV65" s="526" t="str">
        <f t="shared" si="26"/>
        <v>-</v>
      </c>
      <c r="BW65" s="526" t="str">
        <f t="shared" si="27"/>
        <v>-</v>
      </c>
      <c r="BX65" s="230" t="str">
        <f t="shared" si="28"/>
        <v>-</v>
      </c>
      <c r="BY65" s="745"/>
      <c r="BZ65" s="735"/>
      <c r="CA65" s="746"/>
      <c r="CB65" s="229" t="str">
        <f t="shared" si="29"/>
        <v>-</v>
      </c>
      <c r="CC65" s="529" t="str">
        <f t="shared" si="30"/>
        <v>-</v>
      </c>
      <c r="CD65" s="230" t="str">
        <f t="shared" si="31"/>
        <v>-</v>
      </c>
    </row>
    <row r="66" spans="1:82" ht="15.6" customHeight="1">
      <c r="A66" s="175">
        <f t="shared" si="0"/>
        <v>2022</v>
      </c>
      <c r="B66" s="454" t="str">
        <f t="shared" si="1"/>
        <v>09</v>
      </c>
      <c r="C66" s="454" t="str">
        <f t="array" ref="C66">_xlfn.IFS(_xlfn.NUMBERVALUE(B66)&lt;=13,"Q1",AND(_xlfn.NUMBERVALUE(B66)&gt;13,_xlfn.NUMBERVALUE(B66)&lt;=26),"Q2", AND(_xlfn.NUMBERVALUE(B66)&gt;26,_xlfn.NUMBERVALUE(B66)&lt;=39),"Q3",_xlfn.NUMBERVALUE(B66)&gt;39,"Q4")</f>
        <v>Q1</v>
      </c>
      <c r="D66" s="448">
        <f t="shared" si="32"/>
        <v>44282</v>
      </c>
      <c r="E66" s="448">
        <f t="shared" si="2"/>
        <v>44288</v>
      </c>
      <c r="F66" s="97">
        <v>202109</v>
      </c>
      <c r="G66" s="103"/>
      <c r="H66" s="429"/>
      <c r="I66" s="429"/>
      <c r="J66" s="429"/>
      <c r="K66" s="429"/>
      <c r="L66" s="429"/>
      <c r="M66" s="429"/>
      <c r="N66" s="429"/>
      <c r="O66" s="429"/>
      <c r="P66" s="429"/>
      <c r="Q66" s="429"/>
      <c r="R66" s="429"/>
      <c r="S66" s="429"/>
      <c r="T66" s="429"/>
      <c r="U66" s="429"/>
      <c r="V66" s="429"/>
      <c r="W66" s="429"/>
      <c r="X66" s="429"/>
      <c r="Y66" s="449">
        <f t="shared" si="45"/>
        <v>0</v>
      </c>
      <c r="Z66" s="449">
        <f t="shared" si="33"/>
        <v>0</v>
      </c>
      <c r="AA66" s="214">
        <f>'Overall Metrics'!N67</f>
        <v>0</v>
      </c>
      <c r="AB66" s="110"/>
      <c r="AC66" s="430"/>
      <c r="AD66" s="430"/>
      <c r="AE66" s="430"/>
      <c r="AF66" s="430"/>
      <c r="AG66" s="430"/>
      <c r="AH66" s="430"/>
      <c r="AI66" s="430"/>
      <c r="AJ66" s="430"/>
      <c r="AK66" s="430"/>
      <c r="AL66" s="430"/>
      <c r="AM66" s="430"/>
      <c r="AN66" s="430"/>
      <c r="AO66" s="430"/>
      <c r="AP66" s="430"/>
      <c r="AQ66" s="430"/>
      <c r="AR66" s="219">
        <f t="shared" si="4"/>
        <v>0</v>
      </c>
      <c r="AS66" s="220" t="str">
        <f t="shared" si="5"/>
        <v>-</v>
      </c>
      <c r="AT66" s="472" t="str">
        <f t="shared" si="6"/>
        <v>-</v>
      </c>
      <c r="AU66" s="472" t="str">
        <f t="shared" si="7"/>
        <v>-</v>
      </c>
      <c r="AV66" s="472" t="str">
        <f t="shared" si="8"/>
        <v>-</v>
      </c>
      <c r="AW66" s="472" t="str">
        <f t="shared" si="9"/>
        <v>-</v>
      </c>
      <c r="AX66" s="472" t="str">
        <f t="shared" si="10"/>
        <v>-</v>
      </c>
      <c r="AY66" s="472" t="str">
        <f t="shared" si="35"/>
        <v>-</v>
      </c>
      <c r="AZ66" s="472" t="str">
        <f t="shared" si="36"/>
        <v>-</v>
      </c>
      <c r="BA66" s="472" t="str">
        <f t="shared" si="37"/>
        <v>-</v>
      </c>
      <c r="BB66" s="472" t="str">
        <f t="shared" si="38"/>
        <v>-</v>
      </c>
      <c r="BC66" s="472" t="str">
        <f t="shared" si="39"/>
        <v>-</v>
      </c>
      <c r="BD66" s="472" t="str">
        <f t="shared" si="40"/>
        <v>-</v>
      </c>
      <c r="BE66" s="472" t="str">
        <f t="shared" si="41"/>
        <v>-</v>
      </c>
      <c r="BF66" s="472" t="str">
        <f t="shared" si="42"/>
        <v>-</v>
      </c>
      <c r="BG66" s="472" t="str">
        <f t="shared" si="43"/>
        <v>-</v>
      </c>
      <c r="BH66" s="472" t="str">
        <f t="shared" si="44"/>
        <v>-</v>
      </c>
      <c r="BI66" s="221" t="str">
        <f t="shared" si="21"/>
        <v>-</v>
      </c>
      <c r="BJ66" s="730"/>
      <c r="BK66" s="692"/>
      <c r="BL66" s="429"/>
      <c r="BM66" s="429"/>
      <c r="BN66" s="214">
        <f t="shared" si="22"/>
        <v>0</v>
      </c>
      <c r="BO66" s="738"/>
      <c r="BP66" s="739"/>
      <c r="BQ66" s="462"/>
      <c r="BR66" s="462"/>
      <c r="BS66" s="228">
        <f t="shared" si="23"/>
        <v>0</v>
      </c>
      <c r="BT66" s="229" t="str">
        <f t="shared" si="24"/>
        <v>-</v>
      </c>
      <c r="BU66" s="526" t="str">
        <f t="shared" si="25"/>
        <v>-</v>
      </c>
      <c r="BV66" s="526" t="str">
        <f t="shared" si="26"/>
        <v>-</v>
      </c>
      <c r="BW66" s="526" t="str">
        <f t="shared" si="27"/>
        <v>-</v>
      </c>
      <c r="BX66" s="230" t="str">
        <f t="shared" si="28"/>
        <v>-</v>
      </c>
      <c r="BY66" s="745"/>
      <c r="BZ66" s="735"/>
      <c r="CA66" s="746"/>
      <c r="CB66" s="229" t="str">
        <f t="shared" si="29"/>
        <v>-</v>
      </c>
      <c r="CC66" s="529" t="str">
        <f t="shared" si="30"/>
        <v>-</v>
      </c>
      <c r="CD66" s="230" t="str">
        <f t="shared" si="31"/>
        <v>-</v>
      </c>
    </row>
    <row r="67" spans="1:82" ht="15.6" customHeight="1">
      <c r="A67" s="175">
        <f t="shared" si="0"/>
        <v>2022</v>
      </c>
      <c r="B67" s="454" t="str">
        <f t="shared" si="1"/>
        <v>10</v>
      </c>
      <c r="C67" s="454" t="str">
        <f t="array" ref="C67">_xlfn.IFS(_xlfn.NUMBERVALUE(B67)&lt;=13,"Q1",AND(_xlfn.NUMBERVALUE(B67)&gt;13,_xlfn.NUMBERVALUE(B67)&lt;=26),"Q2", AND(_xlfn.NUMBERVALUE(B67)&gt;26,_xlfn.NUMBERVALUE(B67)&lt;=39),"Q3",_xlfn.NUMBERVALUE(B67)&gt;39,"Q4")</f>
        <v>Q1</v>
      </c>
      <c r="D67" s="448">
        <f t="shared" si="32"/>
        <v>44289</v>
      </c>
      <c r="E67" s="448">
        <f t="shared" si="2"/>
        <v>44295</v>
      </c>
      <c r="F67" s="97">
        <v>202110</v>
      </c>
      <c r="G67" s="103"/>
      <c r="H67" s="429"/>
      <c r="I67" s="429"/>
      <c r="J67" s="429"/>
      <c r="K67" s="429"/>
      <c r="L67" s="429"/>
      <c r="M67" s="429"/>
      <c r="N67" s="429"/>
      <c r="O67" s="429"/>
      <c r="P67" s="429"/>
      <c r="Q67" s="429"/>
      <c r="R67" s="429"/>
      <c r="S67" s="429"/>
      <c r="T67" s="429"/>
      <c r="U67" s="429"/>
      <c r="V67" s="429"/>
      <c r="W67" s="429"/>
      <c r="X67" s="429"/>
      <c r="Y67" s="449">
        <f t="shared" si="45"/>
        <v>0</v>
      </c>
      <c r="Z67" s="449">
        <f t="shared" si="33"/>
        <v>0</v>
      </c>
      <c r="AA67" s="214">
        <f>'Overall Metrics'!N68</f>
        <v>0</v>
      </c>
      <c r="AB67" s="110"/>
      <c r="AC67" s="430"/>
      <c r="AD67" s="430"/>
      <c r="AE67" s="430"/>
      <c r="AF67" s="430"/>
      <c r="AG67" s="430"/>
      <c r="AH67" s="430"/>
      <c r="AI67" s="430"/>
      <c r="AJ67" s="430"/>
      <c r="AK67" s="430"/>
      <c r="AL67" s="430"/>
      <c r="AM67" s="430"/>
      <c r="AN67" s="430"/>
      <c r="AO67" s="430"/>
      <c r="AP67" s="430"/>
      <c r="AQ67" s="430"/>
      <c r="AR67" s="219">
        <f t="shared" si="4"/>
        <v>0</v>
      </c>
      <c r="AS67" s="220" t="str">
        <f t="shared" si="5"/>
        <v>-</v>
      </c>
      <c r="AT67" s="472" t="str">
        <f t="shared" si="6"/>
        <v>-</v>
      </c>
      <c r="AU67" s="472" t="str">
        <f t="shared" si="7"/>
        <v>-</v>
      </c>
      <c r="AV67" s="472" t="str">
        <f t="shared" si="8"/>
        <v>-</v>
      </c>
      <c r="AW67" s="472" t="str">
        <f t="shared" si="9"/>
        <v>-</v>
      </c>
      <c r="AX67" s="472" t="str">
        <f t="shared" si="10"/>
        <v>-</v>
      </c>
      <c r="AY67" s="472" t="str">
        <f t="shared" si="35"/>
        <v>-</v>
      </c>
      <c r="AZ67" s="472" t="str">
        <f t="shared" si="36"/>
        <v>-</v>
      </c>
      <c r="BA67" s="472" t="str">
        <f t="shared" si="37"/>
        <v>-</v>
      </c>
      <c r="BB67" s="472" t="str">
        <f t="shared" si="38"/>
        <v>-</v>
      </c>
      <c r="BC67" s="472" t="str">
        <f t="shared" si="39"/>
        <v>-</v>
      </c>
      <c r="BD67" s="472" t="str">
        <f t="shared" si="40"/>
        <v>-</v>
      </c>
      <c r="BE67" s="472" t="str">
        <f t="shared" si="41"/>
        <v>-</v>
      </c>
      <c r="BF67" s="472" t="str">
        <f t="shared" si="42"/>
        <v>-</v>
      </c>
      <c r="BG67" s="472" t="str">
        <f t="shared" si="43"/>
        <v>-</v>
      </c>
      <c r="BH67" s="472" t="str">
        <f t="shared" si="44"/>
        <v>-</v>
      </c>
      <c r="BI67" s="221" t="str">
        <f t="shared" si="21"/>
        <v>-</v>
      </c>
      <c r="BJ67" s="730"/>
      <c r="BK67" s="692"/>
      <c r="BL67" s="429"/>
      <c r="BM67" s="429"/>
      <c r="BN67" s="214">
        <f t="shared" si="22"/>
        <v>0</v>
      </c>
      <c r="BO67" s="738"/>
      <c r="BP67" s="739"/>
      <c r="BQ67" s="462"/>
      <c r="BR67" s="462"/>
      <c r="BS67" s="228">
        <f t="shared" si="23"/>
        <v>0</v>
      </c>
      <c r="BT67" s="229" t="str">
        <f t="shared" si="24"/>
        <v>-</v>
      </c>
      <c r="BU67" s="526" t="str">
        <f t="shared" si="25"/>
        <v>-</v>
      </c>
      <c r="BV67" s="526" t="str">
        <f t="shared" si="26"/>
        <v>-</v>
      </c>
      <c r="BW67" s="526" t="str">
        <f t="shared" si="27"/>
        <v>-</v>
      </c>
      <c r="BX67" s="230" t="str">
        <f t="shared" si="28"/>
        <v>-</v>
      </c>
      <c r="BY67" s="745"/>
      <c r="BZ67" s="735"/>
      <c r="CA67" s="746"/>
      <c r="CB67" s="229" t="str">
        <f t="shared" si="29"/>
        <v>-</v>
      </c>
      <c r="CC67" s="529" t="str">
        <f t="shared" si="30"/>
        <v>-</v>
      </c>
      <c r="CD67" s="230" t="str">
        <f t="shared" si="31"/>
        <v>-</v>
      </c>
    </row>
    <row r="68" spans="1:82" ht="15.6" customHeight="1">
      <c r="A68" s="175">
        <f t="shared" si="0"/>
        <v>2022</v>
      </c>
      <c r="B68" s="454" t="str">
        <f t="shared" si="1"/>
        <v>11</v>
      </c>
      <c r="C68" s="454" t="str">
        <f t="array" ref="C68">_xlfn.IFS(_xlfn.NUMBERVALUE(B68)&lt;=13,"Q1",AND(_xlfn.NUMBERVALUE(B68)&gt;13,_xlfn.NUMBERVALUE(B68)&lt;=26),"Q2", AND(_xlfn.NUMBERVALUE(B68)&gt;26,_xlfn.NUMBERVALUE(B68)&lt;=39),"Q3",_xlfn.NUMBERVALUE(B68)&gt;39,"Q4")</f>
        <v>Q1</v>
      </c>
      <c r="D68" s="448">
        <f t="shared" si="32"/>
        <v>44296</v>
      </c>
      <c r="E68" s="448">
        <f t="shared" si="2"/>
        <v>44302</v>
      </c>
      <c r="F68" s="97">
        <v>202111</v>
      </c>
      <c r="G68" s="103"/>
      <c r="H68" s="429"/>
      <c r="I68" s="429"/>
      <c r="J68" s="429"/>
      <c r="K68" s="429"/>
      <c r="L68" s="429"/>
      <c r="M68" s="429"/>
      <c r="N68" s="429"/>
      <c r="O68" s="429"/>
      <c r="P68" s="429"/>
      <c r="Q68" s="429"/>
      <c r="R68" s="429"/>
      <c r="S68" s="429"/>
      <c r="T68" s="429"/>
      <c r="U68" s="429"/>
      <c r="V68" s="429"/>
      <c r="W68" s="429"/>
      <c r="X68" s="429"/>
      <c r="Y68" s="449">
        <f t="shared" si="45"/>
        <v>0</v>
      </c>
      <c r="Z68" s="449">
        <f t="shared" si="33"/>
        <v>0</v>
      </c>
      <c r="AA68" s="214">
        <f>'Overall Metrics'!N69</f>
        <v>0</v>
      </c>
      <c r="AB68" s="110"/>
      <c r="AC68" s="430"/>
      <c r="AD68" s="430"/>
      <c r="AE68" s="430"/>
      <c r="AF68" s="430"/>
      <c r="AG68" s="430"/>
      <c r="AH68" s="430"/>
      <c r="AI68" s="430"/>
      <c r="AJ68" s="430"/>
      <c r="AK68" s="430"/>
      <c r="AL68" s="430"/>
      <c r="AM68" s="430"/>
      <c r="AN68" s="430"/>
      <c r="AO68" s="430"/>
      <c r="AP68" s="430"/>
      <c r="AQ68" s="430"/>
      <c r="AR68" s="219">
        <f t="shared" si="4"/>
        <v>0</v>
      </c>
      <c r="AS68" s="220" t="str">
        <f t="shared" si="5"/>
        <v>-</v>
      </c>
      <c r="AT68" s="472" t="str">
        <f t="shared" si="6"/>
        <v>-</v>
      </c>
      <c r="AU68" s="472" t="str">
        <f t="shared" si="7"/>
        <v>-</v>
      </c>
      <c r="AV68" s="472" t="str">
        <f t="shared" si="8"/>
        <v>-</v>
      </c>
      <c r="AW68" s="472" t="str">
        <f t="shared" si="9"/>
        <v>-</v>
      </c>
      <c r="AX68" s="472" t="str">
        <f t="shared" si="10"/>
        <v>-</v>
      </c>
      <c r="AY68" s="472" t="str">
        <f t="shared" si="35"/>
        <v>-</v>
      </c>
      <c r="AZ68" s="472" t="str">
        <f t="shared" si="36"/>
        <v>-</v>
      </c>
      <c r="BA68" s="472" t="str">
        <f t="shared" si="37"/>
        <v>-</v>
      </c>
      <c r="BB68" s="472" t="str">
        <f t="shared" si="38"/>
        <v>-</v>
      </c>
      <c r="BC68" s="472" t="str">
        <f t="shared" si="39"/>
        <v>-</v>
      </c>
      <c r="BD68" s="472" t="str">
        <f t="shared" si="40"/>
        <v>-</v>
      </c>
      <c r="BE68" s="472" t="str">
        <f t="shared" si="41"/>
        <v>-</v>
      </c>
      <c r="BF68" s="472" t="str">
        <f t="shared" si="42"/>
        <v>-</v>
      </c>
      <c r="BG68" s="472" t="str">
        <f t="shared" si="43"/>
        <v>-</v>
      </c>
      <c r="BH68" s="472" t="str">
        <f t="shared" si="44"/>
        <v>-</v>
      </c>
      <c r="BI68" s="221" t="str">
        <f t="shared" si="21"/>
        <v>-</v>
      </c>
      <c r="BJ68" s="730"/>
      <c r="BK68" s="692"/>
      <c r="BL68" s="429"/>
      <c r="BM68" s="429"/>
      <c r="BN68" s="214">
        <f t="shared" si="22"/>
        <v>0</v>
      </c>
      <c r="BO68" s="738"/>
      <c r="BP68" s="739"/>
      <c r="BQ68" s="462"/>
      <c r="BR68" s="462"/>
      <c r="BS68" s="228">
        <f t="shared" si="23"/>
        <v>0</v>
      </c>
      <c r="BT68" s="229" t="str">
        <f t="shared" si="24"/>
        <v>-</v>
      </c>
      <c r="BU68" s="526" t="str">
        <f t="shared" si="25"/>
        <v>-</v>
      </c>
      <c r="BV68" s="526" t="str">
        <f t="shared" si="26"/>
        <v>-</v>
      </c>
      <c r="BW68" s="526" t="str">
        <f t="shared" si="27"/>
        <v>-</v>
      </c>
      <c r="BX68" s="230" t="str">
        <f t="shared" si="28"/>
        <v>-</v>
      </c>
      <c r="BY68" s="745"/>
      <c r="BZ68" s="735"/>
      <c r="CA68" s="746"/>
      <c r="CB68" s="229" t="str">
        <f t="shared" si="29"/>
        <v>-</v>
      </c>
      <c r="CC68" s="529" t="str">
        <f t="shared" si="30"/>
        <v>-</v>
      </c>
      <c r="CD68" s="230" t="str">
        <f t="shared" si="31"/>
        <v>-</v>
      </c>
    </row>
    <row r="69" spans="1:82" ht="15.6" customHeight="1">
      <c r="A69" s="175">
        <f t="shared" si="0"/>
        <v>2022</v>
      </c>
      <c r="B69" s="454" t="str">
        <f t="shared" si="1"/>
        <v>12</v>
      </c>
      <c r="C69" s="454" t="str">
        <f t="array" ref="C69">_xlfn.IFS(_xlfn.NUMBERVALUE(B69)&lt;=13,"Q1",AND(_xlfn.NUMBERVALUE(B69)&gt;13,_xlfn.NUMBERVALUE(B69)&lt;=26),"Q2", AND(_xlfn.NUMBERVALUE(B69)&gt;26,_xlfn.NUMBERVALUE(B69)&lt;=39),"Q3",_xlfn.NUMBERVALUE(B69)&gt;39,"Q4")</f>
        <v>Q1</v>
      </c>
      <c r="D69" s="448">
        <f t="shared" si="32"/>
        <v>44303</v>
      </c>
      <c r="E69" s="448">
        <f t="shared" si="2"/>
        <v>44309</v>
      </c>
      <c r="F69" s="97">
        <v>202112</v>
      </c>
      <c r="G69" s="103"/>
      <c r="H69" s="429"/>
      <c r="I69" s="429"/>
      <c r="J69" s="429"/>
      <c r="K69" s="429"/>
      <c r="L69" s="429"/>
      <c r="M69" s="429"/>
      <c r="N69" s="429"/>
      <c r="O69" s="429"/>
      <c r="P69" s="429"/>
      <c r="Q69" s="429"/>
      <c r="R69" s="429"/>
      <c r="S69" s="429"/>
      <c r="T69" s="429"/>
      <c r="U69" s="429"/>
      <c r="V69" s="429"/>
      <c r="W69" s="429"/>
      <c r="X69" s="429"/>
      <c r="Y69" s="449">
        <f t="shared" si="45"/>
        <v>0</v>
      </c>
      <c r="Z69" s="449">
        <f t="shared" si="33"/>
        <v>0</v>
      </c>
      <c r="AA69" s="214">
        <f>'Overall Metrics'!N70</f>
        <v>0</v>
      </c>
      <c r="AB69" s="110"/>
      <c r="AC69" s="430"/>
      <c r="AD69" s="430"/>
      <c r="AE69" s="430"/>
      <c r="AF69" s="430"/>
      <c r="AG69" s="430"/>
      <c r="AH69" s="430"/>
      <c r="AI69" s="430"/>
      <c r="AJ69" s="430"/>
      <c r="AK69" s="430"/>
      <c r="AL69" s="430"/>
      <c r="AM69" s="430"/>
      <c r="AN69" s="430"/>
      <c r="AO69" s="430"/>
      <c r="AP69" s="430"/>
      <c r="AQ69" s="430"/>
      <c r="AR69" s="219">
        <f t="shared" si="4"/>
        <v>0</v>
      </c>
      <c r="AS69" s="220" t="str">
        <f t="shared" si="5"/>
        <v>-</v>
      </c>
      <c r="AT69" s="472" t="str">
        <f t="shared" si="6"/>
        <v>-</v>
      </c>
      <c r="AU69" s="472" t="str">
        <f t="shared" si="7"/>
        <v>-</v>
      </c>
      <c r="AV69" s="472" t="str">
        <f t="shared" si="8"/>
        <v>-</v>
      </c>
      <c r="AW69" s="472" t="str">
        <f t="shared" si="9"/>
        <v>-</v>
      </c>
      <c r="AX69" s="472" t="str">
        <f t="shared" si="10"/>
        <v>-</v>
      </c>
      <c r="AY69" s="472" t="str">
        <f t="shared" si="35"/>
        <v>-</v>
      </c>
      <c r="AZ69" s="472" t="str">
        <f t="shared" si="36"/>
        <v>-</v>
      </c>
      <c r="BA69" s="472" t="str">
        <f t="shared" si="37"/>
        <v>-</v>
      </c>
      <c r="BB69" s="472" t="str">
        <f t="shared" si="38"/>
        <v>-</v>
      </c>
      <c r="BC69" s="472" t="str">
        <f t="shared" si="39"/>
        <v>-</v>
      </c>
      <c r="BD69" s="472" t="str">
        <f t="shared" si="40"/>
        <v>-</v>
      </c>
      <c r="BE69" s="472" t="str">
        <f t="shared" si="41"/>
        <v>-</v>
      </c>
      <c r="BF69" s="472" t="str">
        <f t="shared" si="42"/>
        <v>-</v>
      </c>
      <c r="BG69" s="472" t="str">
        <f t="shared" si="43"/>
        <v>-</v>
      </c>
      <c r="BH69" s="472" t="str">
        <f t="shared" si="44"/>
        <v>-</v>
      </c>
      <c r="BI69" s="221" t="str">
        <f t="shared" si="21"/>
        <v>-</v>
      </c>
      <c r="BJ69" s="730"/>
      <c r="BK69" s="692"/>
      <c r="BL69" s="429"/>
      <c r="BM69" s="429"/>
      <c r="BN69" s="214">
        <f t="shared" si="22"/>
        <v>0</v>
      </c>
      <c r="BO69" s="738"/>
      <c r="BP69" s="740"/>
      <c r="BQ69" s="462"/>
      <c r="BR69" s="462"/>
      <c r="BS69" s="228">
        <f t="shared" si="23"/>
        <v>0</v>
      </c>
      <c r="BT69" s="229" t="str">
        <f t="shared" si="24"/>
        <v>-</v>
      </c>
      <c r="BU69" s="526" t="str">
        <f t="shared" si="25"/>
        <v>-</v>
      </c>
      <c r="BV69" s="526" t="str">
        <f t="shared" si="26"/>
        <v>-</v>
      </c>
      <c r="BW69" s="526" t="str">
        <f t="shared" si="27"/>
        <v>-</v>
      </c>
      <c r="BX69" s="230" t="str">
        <f t="shared" si="28"/>
        <v>-</v>
      </c>
      <c r="BY69" s="745"/>
      <c r="BZ69" s="735"/>
      <c r="CA69" s="746"/>
      <c r="CB69" s="229" t="str">
        <f t="shared" si="29"/>
        <v>-</v>
      </c>
      <c r="CC69" s="529" t="str">
        <f t="shared" si="30"/>
        <v>-</v>
      </c>
      <c r="CD69" s="230" t="str">
        <f t="shared" si="31"/>
        <v>-</v>
      </c>
    </row>
    <row r="70" spans="1:82" ht="15.6" customHeight="1">
      <c r="A70" s="175">
        <f t="shared" ref="A70:A133" si="46">LEFT(F70,4)+1</f>
        <v>2022</v>
      </c>
      <c r="B70" s="454" t="str">
        <f t="shared" ref="B70:B133" si="47">RIGHT(F70,2)</f>
        <v>13</v>
      </c>
      <c r="C70" s="454" t="str">
        <f t="array" ref="C70">_xlfn.IFS(_xlfn.NUMBERVALUE(B70)&lt;=13,"Q1",AND(_xlfn.NUMBERVALUE(B70)&gt;13,_xlfn.NUMBERVALUE(B70)&lt;=26),"Q2", AND(_xlfn.NUMBERVALUE(B70)&gt;26,_xlfn.NUMBERVALUE(B70)&lt;=39),"Q3",_xlfn.NUMBERVALUE(B70)&gt;39,"Q4")</f>
        <v>Q1</v>
      </c>
      <c r="D70" s="448">
        <f t="shared" si="32"/>
        <v>44310</v>
      </c>
      <c r="E70" s="448">
        <f t="shared" ref="E70:E133" si="48">D70+6</f>
        <v>44316</v>
      </c>
      <c r="F70" s="97">
        <v>202113</v>
      </c>
      <c r="G70" s="103"/>
      <c r="H70" s="429"/>
      <c r="I70" s="429"/>
      <c r="J70" s="429"/>
      <c r="K70" s="429"/>
      <c r="L70" s="429"/>
      <c r="M70" s="429"/>
      <c r="N70" s="429"/>
      <c r="O70" s="429"/>
      <c r="P70" s="429"/>
      <c r="Q70" s="429"/>
      <c r="R70" s="429"/>
      <c r="S70" s="429"/>
      <c r="T70" s="429"/>
      <c r="U70" s="429"/>
      <c r="V70" s="429"/>
      <c r="W70" s="429"/>
      <c r="X70" s="429"/>
      <c r="Y70" s="449">
        <f t="shared" si="45"/>
        <v>0</v>
      </c>
      <c r="Z70" s="449">
        <f t="shared" si="33"/>
        <v>0</v>
      </c>
      <c r="AA70" s="214">
        <f>'Overall Metrics'!N71</f>
        <v>0</v>
      </c>
      <c r="AB70" s="110"/>
      <c r="AC70" s="430"/>
      <c r="AD70" s="430"/>
      <c r="AE70" s="430"/>
      <c r="AF70" s="430"/>
      <c r="AG70" s="430"/>
      <c r="AH70" s="430"/>
      <c r="AI70" s="430"/>
      <c r="AJ70" s="430"/>
      <c r="AK70" s="430"/>
      <c r="AL70" s="430"/>
      <c r="AM70" s="430"/>
      <c r="AN70" s="430"/>
      <c r="AO70" s="430"/>
      <c r="AP70" s="430"/>
      <c r="AQ70" s="430"/>
      <c r="AR70" s="219">
        <f t="shared" ref="AR70:AR133" si="49">SUM(AB70:AQ70)</f>
        <v>0</v>
      </c>
      <c r="AS70" s="220" t="str">
        <f t="shared" ref="AS70:AS133" si="50">IFERROR(AB70/G70,"-")</f>
        <v>-</v>
      </c>
      <c r="AT70" s="472" t="str">
        <f t="shared" ref="AT70:AT133" si="51">IFERROR(AC70/H70,"-")</f>
        <v>-</v>
      </c>
      <c r="AU70" s="472" t="str">
        <f t="shared" ref="AU70:AU133" si="52">IFERROR(AD70/I70,"-")</f>
        <v>-</v>
      </c>
      <c r="AV70" s="472" t="str">
        <f t="shared" ref="AV70:AV133" si="53">IFERROR(AE70/J70,"-")</f>
        <v>-</v>
      </c>
      <c r="AW70" s="472" t="str">
        <f t="shared" ref="AW70:AW133" si="54">IFERROR(AF70/K70,"-")</f>
        <v>-</v>
      </c>
      <c r="AX70" s="472" t="str">
        <f t="shared" ref="AX70:AX133" si="55">IFERROR(AG70/L70,"-")</f>
        <v>-</v>
      </c>
      <c r="AY70" s="472" t="str">
        <f t="shared" ref="AY70:AY101" si="56">IFERROR(AH70/O70,"-")</f>
        <v>-</v>
      </c>
      <c r="AZ70" s="472" t="str">
        <f t="shared" ref="AZ70:AZ101" si="57">IFERROR(AI70/P70,"-")</f>
        <v>-</v>
      </c>
      <c r="BA70" s="472" t="str">
        <f t="shared" ref="BA70:BA101" si="58">IFERROR(AJ70/Q70,"-")</f>
        <v>-</v>
      </c>
      <c r="BB70" s="472" t="str">
        <f t="shared" ref="BB70:BB101" si="59">IFERROR(AK70/R70,"-")</f>
        <v>-</v>
      </c>
      <c r="BC70" s="472" t="str">
        <f t="shared" ref="BC70:BC101" si="60">IFERROR(AL70/S70,"-")</f>
        <v>-</v>
      </c>
      <c r="BD70" s="472" t="str">
        <f t="shared" ref="BD70:BD101" si="61">IFERROR(AM70/T70,"-")</f>
        <v>-</v>
      </c>
      <c r="BE70" s="472" t="str">
        <f t="shared" ref="BE70:BE101" si="62">IFERROR(AN70/U70,"-")</f>
        <v>-</v>
      </c>
      <c r="BF70" s="472" t="str">
        <f t="shared" ref="BF70:BF101" si="63">IFERROR(AO70/V70,"-")</f>
        <v>-</v>
      </c>
      <c r="BG70" s="472" t="str">
        <f t="shared" ref="BG70:BG101" si="64">IFERROR(AP70/W70,"-")</f>
        <v>-</v>
      </c>
      <c r="BH70" s="472" t="str">
        <f t="shared" ref="BH70:BH101" si="65">IFERROR(AQ70/X70,"-")</f>
        <v>-</v>
      </c>
      <c r="BI70" s="221" t="str">
        <f t="shared" ref="BI70:BI133" si="66">IFERROR(AR70/Z70,"-")</f>
        <v>-</v>
      </c>
      <c r="BJ70" s="730"/>
      <c r="BK70" s="692"/>
      <c r="BL70" s="429"/>
      <c r="BM70" s="429"/>
      <c r="BN70" s="214">
        <f t="shared" ref="BN70:BN133" si="67">SUM(BJ70:BM70)</f>
        <v>0</v>
      </c>
      <c r="BO70" s="738"/>
      <c r="BP70" s="740"/>
      <c r="BQ70" s="462"/>
      <c r="BR70" s="462"/>
      <c r="BS70" s="228">
        <f t="shared" ref="BS70:BS133" si="68">SUM(BO70:BR70)</f>
        <v>0</v>
      </c>
      <c r="BT70" s="229" t="str">
        <f t="shared" ref="BT70:BT133" si="69">IFERROR(BO70/BJ70,"-")</f>
        <v>-</v>
      </c>
      <c r="BU70" s="526" t="str">
        <f t="shared" ref="BU70:BU133" si="70">IFERROR(BP70/BK70,"-")</f>
        <v>-</v>
      </c>
      <c r="BV70" s="526" t="str">
        <f t="shared" ref="BV70:BV133" si="71">IFERROR(BQ70/BL70,"-")</f>
        <v>-</v>
      </c>
      <c r="BW70" s="526" t="str">
        <f t="shared" ref="BW70:BW133" si="72">IFERROR(BR70/BM70,"-")</f>
        <v>-</v>
      </c>
      <c r="BX70" s="230" t="str">
        <f t="shared" ref="BX70:BX133" si="73">IFERROR(BS70/BN70,"-")</f>
        <v>-</v>
      </c>
      <c r="BY70" s="745"/>
      <c r="BZ70" s="735"/>
      <c r="CA70" s="746"/>
      <c r="CB70" s="229" t="str">
        <f t="shared" ref="CB70:CB133" si="74">IFERROR(BW70/BR70,"-")</f>
        <v>-</v>
      </c>
      <c r="CC70" s="529" t="str">
        <f t="shared" ref="CC70:CC133" si="75">IFERROR(BP70/BZ70,"-")</f>
        <v>-</v>
      </c>
      <c r="CD70" s="230" t="str">
        <f t="shared" ref="CD70:CD133" si="76">IFERROR(BY70/BT70,"-")</f>
        <v>-</v>
      </c>
    </row>
    <row r="71" spans="1:82" ht="15.6" customHeight="1">
      <c r="A71" s="175">
        <f t="shared" si="46"/>
        <v>2022</v>
      </c>
      <c r="B71" s="454" t="str">
        <f t="shared" si="47"/>
        <v>14</v>
      </c>
      <c r="C71" s="454" t="str">
        <f t="array" ref="C71">_xlfn.IFS(_xlfn.NUMBERVALUE(B71)&lt;=13,"Q1",AND(_xlfn.NUMBERVALUE(B71)&gt;13,_xlfn.NUMBERVALUE(B71)&lt;=26),"Q2", AND(_xlfn.NUMBERVALUE(B71)&gt;26,_xlfn.NUMBERVALUE(B71)&lt;=39),"Q3",_xlfn.NUMBERVALUE(B71)&gt;39,"Q4")</f>
        <v>Q2</v>
      </c>
      <c r="D71" s="448">
        <f t="shared" ref="D71:D134" si="77">E70+1</f>
        <v>44317</v>
      </c>
      <c r="E71" s="448">
        <f t="shared" si="48"/>
        <v>44323</v>
      </c>
      <c r="F71" s="97">
        <v>202114</v>
      </c>
      <c r="G71" s="103"/>
      <c r="H71" s="429"/>
      <c r="I71" s="429"/>
      <c r="J71" s="429"/>
      <c r="K71" s="429"/>
      <c r="L71" s="429"/>
      <c r="M71" s="429"/>
      <c r="N71" s="429"/>
      <c r="O71" s="429"/>
      <c r="P71" s="429"/>
      <c r="Q71" s="429"/>
      <c r="R71" s="429"/>
      <c r="S71" s="429"/>
      <c r="T71" s="429"/>
      <c r="U71" s="429"/>
      <c r="V71" s="429"/>
      <c r="W71" s="429"/>
      <c r="X71" s="429"/>
      <c r="Y71" s="449">
        <f t="shared" si="45"/>
        <v>0</v>
      </c>
      <c r="Z71" s="449">
        <f t="shared" ref="Z71:Z134" si="78">IFERROR(SUM(G71:M71,O71:X71),0)</f>
        <v>0</v>
      </c>
      <c r="AA71" s="214">
        <f>'Overall Metrics'!N72</f>
        <v>0</v>
      </c>
      <c r="AB71" s="110"/>
      <c r="AC71" s="430"/>
      <c r="AD71" s="430"/>
      <c r="AE71" s="430"/>
      <c r="AF71" s="430"/>
      <c r="AG71" s="430"/>
      <c r="AH71" s="430"/>
      <c r="AI71" s="430"/>
      <c r="AJ71" s="430"/>
      <c r="AK71" s="430"/>
      <c r="AL71" s="430"/>
      <c r="AM71" s="430"/>
      <c r="AN71" s="430"/>
      <c r="AO71" s="430"/>
      <c r="AP71" s="430"/>
      <c r="AQ71" s="430"/>
      <c r="AR71" s="219">
        <f t="shared" si="49"/>
        <v>0</v>
      </c>
      <c r="AS71" s="220" t="str">
        <f t="shared" si="50"/>
        <v>-</v>
      </c>
      <c r="AT71" s="472" t="str">
        <f t="shared" si="51"/>
        <v>-</v>
      </c>
      <c r="AU71" s="472" t="str">
        <f t="shared" si="52"/>
        <v>-</v>
      </c>
      <c r="AV71" s="472" t="str">
        <f t="shared" si="53"/>
        <v>-</v>
      </c>
      <c r="AW71" s="472" t="str">
        <f t="shared" si="54"/>
        <v>-</v>
      </c>
      <c r="AX71" s="472" t="str">
        <f t="shared" si="55"/>
        <v>-</v>
      </c>
      <c r="AY71" s="472" t="str">
        <f t="shared" si="56"/>
        <v>-</v>
      </c>
      <c r="AZ71" s="472" t="str">
        <f t="shared" si="57"/>
        <v>-</v>
      </c>
      <c r="BA71" s="472" t="str">
        <f t="shared" si="58"/>
        <v>-</v>
      </c>
      <c r="BB71" s="472" t="str">
        <f t="shared" si="59"/>
        <v>-</v>
      </c>
      <c r="BC71" s="472" t="str">
        <f t="shared" si="60"/>
        <v>-</v>
      </c>
      <c r="BD71" s="472" t="str">
        <f t="shared" si="61"/>
        <v>-</v>
      </c>
      <c r="BE71" s="472" t="str">
        <f t="shared" si="62"/>
        <v>-</v>
      </c>
      <c r="BF71" s="472" t="str">
        <f t="shared" si="63"/>
        <v>-</v>
      </c>
      <c r="BG71" s="472" t="str">
        <f t="shared" si="64"/>
        <v>-</v>
      </c>
      <c r="BH71" s="472" t="str">
        <f t="shared" si="65"/>
        <v>-</v>
      </c>
      <c r="BI71" s="221" t="str">
        <f t="shared" si="66"/>
        <v>-</v>
      </c>
      <c r="BJ71" s="730"/>
      <c r="BK71" s="692"/>
      <c r="BL71" s="429"/>
      <c r="BM71" s="429"/>
      <c r="BN71" s="214">
        <f t="shared" si="67"/>
        <v>0</v>
      </c>
      <c r="BO71" s="738"/>
      <c r="BP71" s="740"/>
      <c r="BQ71" s="462"/>
      <c r="BR71" s="462"/>
      <c r="BS71" s="228">
        <f t="shared" si="68"/>
        <v>0</v>
      </c>
      <c r="BT71" s="229" t="str">
        <f t="shared" si="69"/>
        <v>-</v>
      </c>
      <c r="BU71" s="526" t="str">
        <f t="shared" si="70"/>
        <v>-</v>
      </c>
      <c r="BV71" s="526" t="str">
        <f t="shared" si="71"/>
        <v>-</v>
      </c>
      <c r="BW71" s="526" t="str">
        <f t="shared" si="72"/>
        <v>-</v>
      </c>
      <c r="BX71" s="230" t="str">
        <f t="shared" si="73"/>
        <v>-</v>
      </c>
      <c r="BY71" s="745"/>
      <c r="BZ71" s="735"/>
      <c r="CA71" s="746"/>
      <c r="CB71" s="229" t="str">
        <f t="shared" si="74"/>
        <v>-</v>
      </c>
      <c r="CC71" s="529" t="str">
        <f t="shared" si="75"/>
        <v>-</v>
      </c>
      <c r="CD71" s="230" t="str">
        <f t="shared" si="76"/>
        <v>-</v>
      </c>
    </row>
    <row r="72" spans="1:82" ht="15.6" customHeight="1">
      <c r="A72" s="175">
        <f t="shared" si="46"/>
        <v>2022</v>
      </c>
      <c r="B72" s="454" t="str">
        <f t="shared" si="47"/>
        <v>15</v>
      </c>
      <c r="C72" s="454" t="str">
        <f t="array" ref="C72">_xlfn.IFS(_xlfn.NUMBERVALUE(B72)&lt;=13,"Q1",AND(_xlfn.NUMBERVALUE(B72)&gt;13,_xlfn.NUMBERVALUE(B72)&lt;=26),"Q2", AND(_xlfn.NUMBERVALUE(B72)&gt;26,_xlfn.NUMBERVALUE(B72)&lt;=39),"Q3",_xlfn.NUMBERVALUE(B72)&gt;39,"Q4")</f>
        <v>Q2</v>
      </c>
      <c r="D72" s="448">
        <f t="shared" si="77"/>
        <v>44324</v>
      </c>
      <c r="E72" s="448">
        <f t="shared" si="48"/>
        <v>44330</v>
      </c>
      <c r="F72" s="97">
        <v>202115</v>
      </c>
      <c r="G72" s="103"/>
      <c r="H72" s="429"/>
      <c r="I72" s="429"/>
      <c r="J72" s="429"/>
      <c r="K72" s="429"/>
      <c r="L72" s="429"/>
      <c r="M72" s="429"/>
      <c r="N72" s="429"/>
      <c r="O72" s="429"/>
      <c r="P72" s="429"/>
      <c r="Q72" s="429"/>
      <c r="R72" s="429"/>
      <c r="S72" s="429"/>
      <c r="T72" s="429"/>
      <c r="U72" s="429"/>
      <c r="V72" s="429"/>
      <c r="W72" s="429"/>
      <c r="X72" s="429"/>
      <c r="Y72" s="449">
        <f t="shared" si="45"/>
        <v>0</v>
      </c>
      <c r="Z72" s="449">
        <f t="shared" si="78"/>
        <v>0</v>
      </c>
      <c r="AA72" s="214">
        <f>'Overall Metrics'!N73</f>
        <v>0</v>
      </c>
      <c r="AB72" s="110"/>
      <c r="AC72" s="430"/>
      <c r="AD72" s="430"/>
      <c r="AE72" s="430"/>
      <c r="AF72" s="430"/>
      <c r="AG72" s="430"/>
      <c r="AH72" s="430"/>
      <c r="AI72" s="430"/>
      <c r="AJ72" s="430"/>
      <c r="AK72" s="430"/>
      <c r="AL72" s="430"/>
      <c r="AM72" s="430"/>
      <c r="AN72" s="430"/>
      <c r="AO72" s="430"/>
      <c r="AP72" s="430"/>
      <c r="AQ72" s="430"/>
      <c r="AR72" s="219">
        <f t="shared" si="49"/>
        <v>0</v>
      </c>
      <c r="AS72" s="220" t="str">
        <f t="shared" si="50"/>
        <v>-</v>
      </c>
      <c r="AT72" s="472" t="str">
        <f t="shared" si="51"/>
        <v>-</v>
      </c>
      <c r="AU72" s="472" t="str">
        <f t="shared" si="52"/>
        <v>-</v>
      </c>
      <c r="AV72" s="472" t="str">
        <f t="shared" si="53"/>
        <v>-</v>
      </c>
      <c r="AW72" s="472" t="str">
        <f t="shared" si="54"/>
        <v>-</v>
      </c>
      <c r="AX72" s="472" t="str">
        <f t="shared" si="55"/>
        <v>-</v>
      </c>
      <c r="AY72" s="472" t="str">
        <f t="shared" si="56"/>
        <v>-</v>
      </c>
      <c r="AZ72" s="472" t="str">
        <f t="shared" si="57"/>
        <v>-</v>
      </c>
      <c r="BA72" s="472" t="str">
        <f t="shared" si="58"/>
        <v>-</v>
      </c>
      <c r="BB72" s="472" t="str">
        <f t="shared" si="59"/>
        <v>-</v>
      </c>
      <c r="BC72" s="472" t="str">
        <f t="shared" si="60"/>
        <v>-</v>
      </c>
      <c r="BD72" s="472" t="str">
        <f t="shared" si="61"/>
        <v>-</v>
      </c>
      <c r="BE72" s="472" t="str">
        <f t="shared" si="62"/>
        <v>-</v>
      </c>
      <c r="BF72" s="472" t="str">
        <f t="shared" si="63"/>
        <v>-</v>
      </c>
      <c r="BG72" s="472" t="str">
        <f t="shared" si="64"/>
        <v>-</v>
      </c>
      <c r="BH72" s="472" t="str">
        <f t="shared" si="65"/>
        <v>-</v>
      </c>
      <c r="BI72" s="221" t="str">
        <f t="shared" si="66"/>
        <v>-</v>
      </c>
      <c r="BJ72" s="730"/>
      <c r="BK72" s="692"/>
      <c r="BL72" s="429"/>
      <c r="BM72" s="429"/>
      <c r="BN72" s="214">
        <f t="shared" si="67"/>
        <v>0</v>
      </c>
      <c r="BO72" s="738"/>
      <c r="BP72" s="740"/>
      <c r="BQ72" s="462"/>
      <c r="BR72" s="462"/>
      <c r="BS72" s="228">
        <f t="shared" si="68"/>
        <v>0</v>
      </c>
      <c r="BT72" s="229" t="str">
        <f t="shared" si="69"/>
        <v>-</v>
      </c>
      <c r="BU72" s="526" t="str">
        <f t="shared" si="70"/>
        <v>-</v>
      </c>
      <c r="BV72" s="526" t="str">
        <f t="shared" si="71"/>
        <v>-</v>
      </c>
      <c r="BW72" s="526" t="str">
        <f t="shared" si="72"/>
        <v>-</v>
      </c>
      <c r="BX72" s="230" t="str">
        <f t="shared" si="73"/>
        <v>-</v>
      </c>
      <c r="BY72" s="745"/>
      <c r="BZ72" s="735"/>
      <c r="CA72" s="746"/>
      <c r="CB72" s="229" t="str">
        <f t="shared" si="74"/>
        <v>-</v>
      </c>
      <c r="CC72" s="529" t="str">
        <f t="shared" si="75"/>
        <v>-</v>
      </c>
      <c r="CD72" s="230" t="str">
        <f t="shared" si="76"/>
        <v>-</v>
      </c>
    </row>
    <row r="73" spans="1:82" ht="15.6" customHeight="1">
      <c r="A73" s="175">
        <f t="shared" si="46"/>
        <v>2022</v>
      </c>
      <c r="B73" s="454" t="str">
        <f t="shared" si="47"/>
        <v>16</v>
      </c>
      <c r="C73" s="454" t="str">
        <f t="array" ref="C73">_xlfn.IFS(_xlfn.NUMBERVALUE(B73)&lt;=13,"Q1",AND(_xlfn.NUMBERVALUE(B73)&gt;13,_xlfn.NUMBERVALUE(B73)&lt;=26),"Q2", AND(_xlfn.NUMBERVALUE(B73)&gt;26,_xlfn.NUMBERVALUE(B73)&lt;=39),"Q3",_xlfn.NUMBERVALUE(B73)&gt;39,"Q4")</f>
        <v>Q2</v>
      </c>
      <c r="D73" s="448">
        <f t="shared" si="77"/>
        <v>44331</v>
      </c>
      <c r="E73" s="448">
        <f t="shared" si="48"/>
        <v>44337</v>
      </c>
      <c r="F73" s="97">
        <v>202116</v>
      </c>
      <c r="G73" s="103"/>
      <c r="H73" s="429"/>
      <c r="I73" s="429"/>
      <c r="J73" s="429"/>
      <c r="K73" s="429"/>
      <c r="L73" s="429"/>
      <c r="M73" s="429"/>
      <c r="N73" s="429"/>
      <c r="O73" s="429"/>
      <c r="P73" s="429"/>
      <c r="Q73" s="429"/>
      <c r="R73" s="429"/>
      <c r="S73" s="429"/>
      <c r="T73" s="429"/>
      <c r="U73" s="429"/>
      <c r="V73" s="429"/>
      <c r="W73" s="429"/>
      <c r="X73" s="429"/>
      <c r="Y73" s="449">
        <f t="shared" si="45"/>
        <v>0</v>
      </c>
      <c r="Z73" s="449">
        <f t="shared" si="78"/>
        <v>0</v>
      </c>
      <c r="AA73" s="214">
        <f>'Overall Metrics'!N74</f>
        <v>0</v>
      </c>
      <c r="AB73" s="110"/>
      <c r="AC73" s="430"/>
      <c r="AD73" s="430"/>
      <c r="AE73" s="430"/>
      <c r="AF73" s="430"/>
      <c r="AG73" s="430"/>
      <c r="AH73" s="430"/>
      <c r="AI73" s="430"/>
      <c r="AJ73" s="430"/>
      <c r="AK73" s="430"/>
      <c r="AL73" s="430"/>
      <c r="AM73" s="430"/>
      <c r="AN73" s="430"/>
      <c r="AO73" s="430"/>
      <c r="AP73" s="430"/>
      <c r="AQ73" s="430"/>
      <c r="AR73" s="219">
        <f t="shared" si="49"/>
        <v>0</v>
      </c>
      <c r="AS73" s="220" t="str">
        <f t="shared" si="50"/>
        <v>-</v>
      </c>
      <c r="AT73" s="472" t="str">
        <f t="shared" si="51"/>
        <v>-</v>
      </c>
      <c r="AU73" s="472" t="str">
        <f t="shared" si="52"/>
        <v>-</v>
      </c>
      <c r="AV73" s="472" t="str">
        <f t="shared" si="53"/>
        <v>-</v>
      </c>
      <c r="AW73" s="472" t="str">
        <f t="shared" si="54"/>
        <v>-</v>
      </c>
      <c r="AX73" s="472" t="str">
        <f t="shared" si="55"/>
        <v>-</v>
      </c>
      <c r="AY73" s="472" t="str">
        <f t="shared" si="56"/>
        <v>-</v>
      </c>
      <c r="AZ73" s="472" t="str">
        <f t="shared" si="57"/>
        <v>-</v>
      </c>
      <c r="BA73" s="472" t="str">
        <f t="shared" si="58"/>
        <v>-</v>
      </c>
      <c r="BB73" s="472" t="str">
        <f t="shared" si="59"/>
        <v>-</v>
      </c>
      <c r="BC73" s="472" t="str">
        <f t="shared" si="60"/>
        <v>-</v>
      </c>
      <c r="BD73" s="472" t="str">
        <f t="shared" si="61"/>
        <v>-</v>
      </c>
      <c r="BE73" s="472" t="str">
        <f t="shared" si="62"/>
        <v>-</v>
      </c>
      <c r="BF73" s="472" t="str">
        <f t="shared" si="63"/>
        <v>-</v>
      </c>
      <c r="BG73" s="472" t="str">
        <f t="shared" si="64"/>
        <v>-</v>
      </c>
      <c r="BH73" s="472" t="str">
        <f t="shared" si="65"/>
        <v>-</v>
      </c>
      <c r="BI73" s="221" t="str">
        <f t="shared" si="66"/>
        <v>-</v>
      </c>
      <c r="BJ73" s="730"/>
      <c r="BK73" s="692"/>
      <c r="BL73" s="429"/>
      <c r="BM73" s="429"/>
      <c r="BN73" s="214">
        <f t="shared" si="67"/>
        <v>0</v>
      </c>
      <c r="BO73" s="738"/>
      <c r="BP73" s="740"/>
      <c r="BQ73" s="462"/>
      <c r="BR73" s="462"/>
      <c r="BS73" s="228">
        <f t="shared" si="68"/>
        <v>0</v>
      </c>
      <c r="BT73" s="229" t="str">
        <f t="shared" si="69"/>
        <v>-</v>
      </c>
      <c r="BU73" s="526" t="str">
        <f t="shared" si="70"/>
        <v>-</v>
      </c>
      <c r="BV73" s="526" t="str">
        <f t="shared" si="71"/>
        <v>-</v>
      </c>
      <c r="BW73" s="526" t="str">
        <f t="shared" si="72"/>
        <v>-</v>
      </c>
      <c r="BX73" s="230" t="str">
        <f t="shared" si="73"/>
        <v>-</v>
      </c>
      <c r="BY73" s="745"/>
      <c r="BZ73" s="735"/>
      <c r="CA73" s="746"/>
      <c r="CB73" s="229" t="str">
        <f t="shared" si="74"/>
        <v>-</v>
      </c>
      <c r="CC73" s="529" t="str">
        <f t="shared" si="75"/>
        <v>-</v>
      </c>
      <c r="CD73" s="230" t="str">
        <f t="shared" si="76"/>
        <v>-</v>
      </c>
    </row>
    <row r="74" spans="1:82" ht="15.6" customHeight="1">
      <c r="A74" s="175">
        <f t="shared" si="46"/>
        <v>2022</v>
      </c>
      <c r="B74" s="454" t="str">
        <f t="shared" si="47"/>
        <v>17</v>
      </c>
      <c r="C74" s="454" t="str">
        <f t="array" ref="C74">_xlfn.IFS(_xlfn.NUMBERVALUE(B74)&lt;=13,"Q1",AND(_xlfn.NUMBERVALUE(B74)&gt;13,_xlfn.NUMBERVALUE(B74)&lt;=26),"Q2", AND(_xlfn.NUMBERVALUE(B74)&gt;26,_xlfn.NUMBERVALUE(B74)&lt;=39),"Q3",_xlfn.NUMBERVALUE(B74)&gt;39,"Q4")</f>
        <v>Q2</v>
      </c>
      <c r="D74" s="448">
        <f t="shared" si="77"/>
        <v>44338</v>
      </c>
      <c r="E74" s="448">
        <f t="shared" si="48"/>
        <v>44344</v>
      </c>
      <c r="F74" s="97">
        <v>202117</v>
      </c>
      <c r="G74" s="103"/>
      <c r="H74" s="429"/>
      <c r="I74" s="429"/>
      <c r="J74" s="429"/>
      <c r="K74" s="429"/>
      <c r="L74" s="429"/>
      <c r="M74" s="429"/>
      <c r="N74" s="429"/>
      <c r="O74" s="429"/>
      <c r="P74" s="429"/>
      <c r="Q74" s="429"/>
      <c r="R74" s="429"/>
      <c r="S74" s="429"/>
      <c r="T74" s="429"/>
      <c r="U74" s="429"/>
      <c r="V74" s="429"/>
      <c r="W74" s="429"/>
      <c r="X74" s="429"/>
      <c r="Y74" s="449">
        <f t="shared" si="45"/>
        <v>0</v>
      </c>
      <c r="Z74" s="449">
        <f t="shared" si="78"/>
        <v>0</v>
      </c>
      <c r="AA74" s="214">
        <f>'Overall Metrics'!N75</f>
        <v>0</v>
      </c>
      <c r="AB74" s="110"/>
      <c r="AC74" s="430"/>
      <c r="AD74" s="430"/>
      <c r="AE74" s="430"/>
      <c r="AF74" s="430"/>
      <c r="AG74" s="430"/>
      <c r="AH74" s="430"/>
      <c r="AI74" s="430"/>
      <c r="AJ74" s="430"/>
      <c r="AK74" s="430"/>
      <c r="AL74" s="430"/>
      <c r="AM74" s="430"/>
      <c r="AN74" s="430"/>
      <c r="AO74" s="430"/>
      <c r="AP74" s="430"/>
      <c r="AQ74" s="430"/>
      <c r="AR74" s="219">
        <f t="shared" si="49"/>
        <v>0</v>
      </c>
      <c r="AS74" s="220" t="str">
        <f t="shared" si="50"/>
        <v>-</v>
      </c>
      <c r="AT74" s="472" t="str">
        <f t="shared" si="51"/>
        <v>-</v>
      </c>
      <c r="AU74" s="472" t="str">
        <f t="shared" si="52"/>
        <v>-</v>
      </c>
      <c r="AV74" s="472" t="str">
        <f t="shared" si="53"/>
        <v>-</v>
      </c>
      <c r="AW74" s="472" t="str">
        <f t="shared" si="54"/>
        <v>-</v>
      </c>
      <c r="AX74" s="472" t="str">
        <f t="shared" si="55"/>
        <v>-</v>
      </c>
      <c r="AY74" s="472" t="str">
        <f t="shared" si="56"/>
        <v>-</v>
      </c>
      <c r="AZ74" s="472" t="str">
        <f t="shared" si="57"/>
        <v>-</v>
      </c>
      <c r="BA74" s="472" t="str">
        <f t="shared" si="58"/>
        <v>-</v>
      </c>
      <c r="BB74" s="472" t="str">
        <f t="shared" si="59"/>
        <v>-</v>
      </c>
      <c r="BC74" s="472" t="str">
        <f t="shared" si="60"/>
        <v>-</v>
      </c>
      <c r="BD74" s="472" t="str">
        <f t="shared" si="61"/>
        <v>-</v>
      </c>
      <c r="BE74" s="472" t="str">
        <f t="shared" si="62"/>
        <v>-</v>
      </c>
      <c r="BF74" s="472" t="str">
        <f t="shared" si="63"/>
        <v>-</v>
      </c>
      <c r="BG74" s="472" t="str">
        <f t="shared" si="64"/>
        <v>-</v>
      </c>
      <c r="BH74" s="472" t="str">
        <f t="shared" si="65"/>
        <v>-</v>
      </c>
      <c r="BI74" s="221" t="str">
        <f t="shared" si="66"/>
        <v>-</v>
      </c>
      <c r="BJ74" s="730"/>
      <c r="BK74" s="692"/>
      <c r="BL74" s="429"/>
      <c r="BM74" s="429"/>
      <c r="BN74" s="214">
        <f t="shared" si="67"/>
        <v>0</v>
      </c>
      <c r="BO74" s="738"/>
      <c r="BP74" s="740"/>
      <c r="BQ74" s="462"/>
      <c r="BR74" s="462"/>
      <c r="BS74" s="228">
        <f t="shared" si="68"/>
        <v>0</v>
      </c>
      <c r="BT74" s="229" t="str">
        <f t="shared" si="69"/>
        <v>-</v>
      </c>
      <c r="BU74" s="526" t="str">
        <f t="shared" si="70"/>
        <v>-</v>
      </c>
      <c r="BV74" s="526" t="str">
        <f t="shared" si="71"/>
        <v>-</v>
      </c>
      <c r="BW74" s="526" t="str">
        <f t="shared" si="72"/>
        <v>-</v>
      </c>
      <c r="BX74" s="230" t="str">
        <f t="shared" si="73"/>
        <v>-</v>
      </c>
      <c r="BY74" s="745"/>
      <c r="BZ74" s="735"/>
      <c r="CA74" s="746"/>
      <c r="CB74" s="229" t="str">
        <f t="shared" si="74"/>
        <v>-</v>
      </c>
      <c r="CC74" s="529" t="str">
        <f t="shared" si="75"/>
        <v>-</v>
      </c>
      <c r="CD74" s="230" t="str">
        <f t="shared" si="76"/>
        <v>-</v>
      </c>
    </row>
    <row r="75" spans="1:82" ht="15.6" customHeight="1">
      <c r="A75" s="175">
        <f t="shared" si="46"/>
        <v>2022</v>
      </c>
      <c r="B75" s="454" t="str">
        <f t="shared" si="47"/>
        <v>18</v>
      </c>
      <c r="C75" s="454" t="str">
        <f t="array" ref="C75">_xlfn.IFS(_xlfn.NUMBERVALUE(B75)&lt;=13,"Q1",AND(_xlfn.NUMBERVALUE(B75)&gt;13,_xlfn.NUMBERVALUE(B75)&lt;=26),"Q2", AND(_xlfn.NUMBERVALUE(B75)&gt;26,_xlfn.NUMBERVALUE(B75)&lt;=39),"Q3",_xlfn.NUMBERVALUE(B75)&gt;39,"Q4")</f>
        <v>Q2</v>
      </c>
      <c r="D75" s="448">
        <f t="shared" si="77"/>
        <v>44345</v>
      </c>
      <c r="E75" s="448">
        <f t="shared" si="48"/>
        <v>44351</v>
      </c>
      <c r="F75" s="97">
        <v>202118</v>
      </c>
      <c r="G75" s="103"/>
      <c r="H75" s="429"/>
      <c r="I75" s="429"/>
      <c r="J75" s="429"/>
      <c r="K75" s="429"/>
      <c r="L75" s="429"/>
      <c r="M75" s="429"/>
      <c r="N75" s="429"/>
      <c r="O75" s="429"/>
      <c r="P75" s="429"/>
      <c r="Q75" s="429"/>
      <c r="R75" s="429"/>
      <c r="S75" s="429"/>
      <c r="T75" s="429"/>
      <c r="U75" s="429"/>
      <c r="V75" s="429"/>
      <c r="W75" s="429"/>
      <c r="X75" s="429"/>
      <c r="Y75" s="449">
        <f t="shared" si="45"/>
        <v>0</v>
      </c>
      <c r="Z75" s="449">
        <f t="shared" si="78"/>
        <v>0</v>
      </c>
      <c r="AA75" s="214">
        <f>'Overall Metrics'!N76</f>
        <v>0</v>
      </c>
      <c r="AB75" s="110"/>
      <c r="AC75" s="430"/>
      <c r="AD75" s="430"/>
      <c r="AE75" s="430"/>
      <c r="AF75" s="430"/>
      <c r="AG75" s="430"/>
      <c r="AH75" s="430"/>
      <c r="AI75" s="430"/>
      <c r="AJ75" s="430"/>
      <c r="AK75" s="430"/>
      <c r="AL75" s="430"/>
      <c r="AM75" s="430"/>
      <c r="AN75" s="430"/>
      <c r="AO75" s="430"/>
      <c r="AP75" s="430"/>
      <c r="AQ75" s="430"/>
      <c r="AR75" s="219">
        <f t="shared" si="49"/>
        <v>0</v>
      </c>
      <c r="AS75" s="220" t="str">
        <f t="shared" si="50"/>
        <v>-</v>
      </c>
      <c r="AT75" s="472" t="str">
        <f t="shared" si="51"/>
        <v>-</v>
      </c>
      <c r="AU75" s="472" t="str">
        <f t="shared" si="52"/>
        <v>-</v>
      </c>
      <c r="AV75" s="472" t="str">
        <f t="shared" si="53"/>
        <v>-</v>
      </c>
      <c r="AW75" s="472" t="str">
        <f t="shared" si="54"/>
        <v>-</v>
      </c>
      <c r="AX75" s="472" t="str">
        <f t="shared" si="55"/>
        <v>-</v>
      </c>
      <c r="AY75" s="472" t="str">
        <f t="shared" si="56"/>
        <v>-</v>
      </c>
      <c r="AZ75" s="472" t="str">
        <f t="shared" si="57"/>
        <v>-</v>
      </c>
      <c r="BA75" s="472" t="str">
        <f t="shared" si="58"/>
        <v>-</v>
      </c>
      <c r="BB75" s="472" t="str">
        <f t="shared" si="59"/>
        <v>-</v>
      </c>
      <c r="BC75" s="472" t="str">
        <f t="shared" si="60"/>
        <v>-</v>
      </c>
      <c r="BD75" s="472" t="str">
        <f t="shared" si="61"/>
        <v>-</v>
      </c>
      <c r="BE75" s="472" t="str">
        <f t="shared" si="62"/>
        <v>-</v>
      </c>
      <c r="BF75" s="472" t="str">
        <f t="shared" si="63"/>
        <v>-</v>
      </c>
      <c r="BG75" s="472" t="str">
        <f t="shared" si="64"/>
        <v>-</v>
      </c>
      <c r="BH75" s="472" t="str">
        <f t="shared" si="65"/>
        <v>-</v>
      </c>
      <c r="BI75" s="221" t="str">
        <f t="shared" si="66"/>
        <v>-</v>
      </c>
      <c r="BJ75" s="730"/>
      <c r="BK75" s="692"/>
      <c r="BL75" s="429"/>
      <c r="BM75" s="429"/>
      <c r="BN75" s="214">
        <f t="shared" si="67"/>
        <v>0</v>
      </c>
      <c r="BO75" s="738"/>
      <c r="BP75" s="740"/>
      <c r="BQ75" s="462"/>
      <c r="BR75" s="462"/>
      <c r="BS75" s="228">
        <f t="shared" si="68"/>
        <v>0</v>
      </c>
      <c r="BT75" s="229" t="str">
        <f t="shared" si="69"/>
        <v>-</v>
      </c>
      <c r="BU75" s="526" t="str">
        <f t="shared" si="70"/>
        <v>-</v>
      </c>
      <c r="BV75" s="526" t="str">
        <f t="shared" si="71"/>
        <v>-</v>
      </c>
      <c r="BW75" s="526" t="str">
        <f t="shared" si="72"/>
        <v>-</v>
      </c>
      <c r="BX75" s="230" t="str">
        <f t="shared" si="73"/>
        <v>-</v>
      </c>
      <c r="BY75" s="745"/>
      <c r="BZ75" s="735"/>
      <c r="CA75" s="746"/>
      <c r="CB75" s="229" t="str">
        <f t="shared" si="74"/>
        <v>-</v>
      </c>
      <c r="CC75" s="529" t="str">
        <f t="shared" si="75"/>
        <v>-</v>
      </c>
      <c r="CD75" s="230" t="str">
        <f t="shared" si="76"/>
        <v>-</v>
      </c>
    </row>
    <row r="76" spans="1:82" ht="15.6" customHeight="1">
      <c r="A76" s="175">
        <f t="shared" si="46"/>
        <v>2022</v>
      </c>
      <c r="B76" s="454" t="str">
        <f t="shared" si="47"/>
        <v>19</v>
      </c>
      <c r="C76" s="454" t="str">
        <f t="array" ref="C76">_xlfn.IFS(_xlfn.NUMBERVALUE(B76)&lt;=13,"Q1",AND(_xlfn.NUMBERVALUE(B76)&gt;13,_xlfn.NUMBERVALUE(B76)&lt;=26),"Q2", AND(_xlfn.NUMBERVALUE(B76)&gt;26,_xlfn.NUMBERVALUE(B76)&lt;=39),"Q3",_xlfn.NUMBERVALUE(B76)&gt;39,"Q4")</f>
        <v>Q2</v>
      </c>
      <c r="D76" s="448">
        <f t="shared" si="77"/>
        <v>44352</v>
      </c>
      <c r="E76" s="448">
        <f t="shared" si="48"/>
        <v>44358</v>
      </c>
      <c r="F76" s="97">
        <v>202119</v>
      </c>
      <c r="G76" s="103"/>
      <c r="H76" s="429"/>
      <c r="I76" s="429"/>
      <c r="J76" s="429"/>
      <c r="K76" s="429"/>
      <c r="L76" s="429"/>
      <c r="M76" s="429"/>
      <c r="N76" s="429"/>
      <c r="O76" s="429"/>
      <c r="P76" s="429"/>
      <c r="Q76" s="429"/>
      <c r="R76" s="429"/>
      <c r="S76" s="429"/>
      <c r="T76" s="429"/>
      <c r="U76" s="429"/>
      <c r="V76" s="429"/>
      <c r="W76" s="429"/>
      <c r="X76" s="429"/>
      <c r="Y76" s="449">
        <f t="shared" si="45"/>
        <v>0</v>
      </c>
      <c r="Z76" s="449">
        <f t="shared" si="78"/>
        <v>0</v>
      </c>
      <c r="AA76" s="214">
        <f>'Overall Metrics'!N77</f>
        <v>0</v>
      </c>
      <c r="AB76" s="198"/>
      <c r="AC76" s="528"/>
      <c r="AD76" s="528"/>
      <c r="AE76" s="528"/>
      <c r="AF76" s="528"/>
      <c r="AG76" s="528"/>
      <c r="AH76" s="528"/>
      <c r="AI76" s="430"/>
      <c r="AJ76" s="430"/>
      <c r="AK76" s="430"/>
      <c r="AL76" s="430"/>
      <c r="AM76" s="430"/>
      <c r="AN76" s="430"/>
      <c r="AO76" s="430"/>
      <c r="AP76" s="430"/>
      <c r="AQ76" s="430"/>
      <c r="AR76" s="219">
        <f t="shared" si="49"/>
        <v>0</v>
      </c>
      <c r="AS76" s="220" t="str">
        <f t="shared" si="50"/>
        <v>-</v>
      </c>
      <c r="AT76" s="472" t="str">
        <f t="shared" si="51"/>
        <v>-</v>
      </c>
      <c r="AU76" s="472" t="str">
        <f t="shared" si="52"/>
        <v>-</v>
      </c>
      <c r="AV76" s="472" t="str">
        <f t="shared" si="53"/>
        <v>-</v>
      </c>
      <c r="AW76" s="472" t="str">
        <f t="shared" si="54"/>
        <v>-</v>
      </c>
      <c r="AX76" s="472" t="str">
        <f t="shared" si="55"/>
        <v>-</v>
      </c>
      <c r="AY76" s="472" t="str">
        <f t="shared" si="56"/>
        <v>-</v>
      </c>
      <c r="AZ76" s="472" t="str">
        <f t="shared" si="57"/>
        <v>-</v>
      </c>
      <c r="BA76" s="472" t="str">
        <f t="shared" si="58"/>
        <v>-</v>
      </c>
      <c r="BB76" s="472" t="str">
        <f t="shared" si="59"/>
        <v>-</v>
      </c>
      <c r="BC76" s="472" t="str">
        <f t="shared" si="60"/>
        <v>-</v>
      </c>
      <c r="BD76" s="472" t="str">
        <f t="shared" si="61"/>
        <v>-</v>
      </c>
      <c r="BE76" s="472" t="str">
        <f t="shared" si="62"/>
        <v>-</v>
      </c>
      <c r="BF76" s="472" t="str">
        <f t="shared" si="63"/>
        <v>-</v>
      </c>
      <c r="BG76" s="472" t="str">
        <f t="shared" si="64"/>
        <v>-</v>
      </c>
      <c r="BH76" s="472" t="str">
        <f t="shared" si="65"/>
        <v>-</v>
      </c>
      <c r="BI76" s="221" t="str">
        <f t="shared" si="66"/>
        <v>-</v>
      </c>
      <c r="BJ76" s="730"/>
      <c r="BK76" s="692"/>
      <c r="BL76" s="429"/>
      <c r="BM76" s="429"/>
      <c r="BN76" s="214">
        <f t="shared" si="67"/>
        <v>0</v>
      </c>
      <c r="BO76" s="738"/>
      <c r="BP76" s="740"/>
      <c r="BQ76" s="462"/>
      <c r="BR76" s="462"/>
      <c r="BS76" s="228">
        <f t="shared" si="68"/>
        <v>0</v>
      </c>
      <c r="BT76" s="229" t="str">
        <f t="shared" si="69"/>
        <v>-</v>
      </c>
      <c r="BU76" s="526" t="str">
        <f t="shared" si="70"/>
        <v>-</v>
      </c>
      <c r="BV76" s="526" t="str">
        <f t="shared" si="71"/>
        <v>-</v>
      </c>
      <c r="BW76" s="526" t="str">
        <f t="shared" si="72"/>
        <v>-</v>
      </c>
      <c r="BX76" s="230" t="str">
        <f t="shared" si="73"/>
        <v>-</v>
      </c>
      <c r="BY76" s="745"/>
      <c r="BZ76" s="735"/>
      <c r="CA76" s="746"/>
      <c r="CB76" s="229" t="str">
        <f t="shared" si="74"/>
        <v>-</v>
      </c>
      <c r="CC76" s="529" t="str">
        <f t="shared" si="75"/>
        <v>-</v>
      </c>
      <c r="CD76" s="230" t="str">
        <f t="shared" si="76"/>
        <v>-</v>
      </c>
    </row>
    <row r="77" spans="1:82" ht="15.6" customHeight="1">
      <c r="A77" s="175">
        <f t="shared" si="46"/>
        <v>2022</v>
      </c>
      <c r="B77" s="454" t="str">
        <f t="shared" si="47"/>
        <v>20</v>
      </c>
      <c r="C77" s="454" t="str">
        <f t="array" ref="C77">_xlfn.IFS(_xlfn.NUMBERVALUE(B77)&lt;=13,"Q1",AND(_xlfn.NUMBERVALUE(B77)&gt;13,_xlfn.NUMBERVALUE(B77)&lt;=26),"Q2", AND(_xlfn.NUMBERVALUE(B77)&gt;26,_xlfn.NUMBERVALUE(B77)&lt;=39),"Q3",_xlfn.NUMBERVALUE(B77)&gt;39,"Q4")</f>
        <v>Q2</v>
      </c>
      <c r="D77" s="448">
        <f t="shared" si="77"/>
        <v>44359</v>
      </c>
      <c r="E77" s="448">
        <f t="shared" si="48"/>
        <v>44365</v>
      </c>
      <c r="F77" s="97">
        <v>202120</v>
      </c>
      <c r="G77" s="103"/>
      <c r="H77" s="429"/>
      <c r="I77" s="429"/>
      <c r="J77" s="429"/>
      <c r="K77" s="429"/>
      <c r="L77" s="429"/>
      <c r="M77" s="429"/>
      <c r="N77" s="429"/>
      <c r="O77" s="429"/>
      <c r="P77" s="429"/>
      <c r="Q77" s="429"/>
      <c r="R77" s="429"/>
      <c r="S77" s="429"/>
      <c r="T77" s="429"/>
      <c r="U77" s="429"/>
      <c r="V77" s="429"/>
      <c r="W77" s="429"/>
      <c r="X77" s="429"/>
      <c r="Y77" s="449">
        <f t="shared" si="45"/>
        <v>0</v>
      </c>
      <c r="Z77" s="449">
        <f t="shared" si="78"/>
        <v>0</v>
      </c>
      <c r="AA77" s="214">
        <f>'Overall Metrics'!N78</f>
        <v>0</v>
      </c>
      <c r="AB77" s="110"/>
      <c r="AC77" s="430"/>
      <c r="AD77" s="430"/>
      <c r="AE77" s="430"/>
      <c r="AF77" s="430"/>
      <c r="AG77" s="430"/>
      <c r="AH77" s="430"/>
      <c r="AI77" s="430"/>
      <c r="AJ77" s="430"/>
      <c r="AK77" s="430"/>
      <c r="AL77" s="430"/>
      <c r="AM77" s="430"/>
      <c r="AN77" s="430"/>
      <c r="AO77" s="430"/>
      <c r="AP77" s="430"/>
      <c r="AQ77" s="430"/>
      <c r="AR77" s="219">
        <f t="shared" si="49"/>
        <v>0</v>
      </c>
      <c r="AS77" s="220" t="str">
        <f t="shared" si="50"/>
        <v>-</v>
      </c>
      <c r="AT77" s="472" t="str">
        <f t="shared" si="51"/>
        <v>-</v>
      </c>
      <c r="AU77" s="472" t="str">
        <f t="shared" si="52"/>
        <v>-</v>
      </c>
      <c r="AV77" s="472" t="str">
        <f t="shared" si="53"/>
        <v>-</v>
      </c>
      <c r="AW77" s="472" t="str">
        <f t="shared" si="54"/>
        <v>-</v>
      </c>
      <c r="AX77" s="472" t="str">
        <f t="shared" si="55"/>
        <v>-</v>
      </c>
      <c r="AY77" s="472" t="str">
        <f t="shared" si="56"/>
        <v>-</v>
      </c>
      <c r="AZ77" s="472" t="str">
        <f t="shared" si="57"/>
        <v>-</v>
      </c>
      <c r="BA77" s="472" t="str">
        <f t="shared" si="58"/>
        <v>-</v>
      </c>
      <c r="BB77" s="472" t="str">
        <f t="shared" si="59"/>
        <v>-</v>
      </c>
      <c r="BC77" s="472" t="str">
        <f t="shared" si="60"/>
        <v>-</v>
      </c>
      <c r="BD77" s="472" t="str">
        <f t="shared" si="61"/>
        <v>-</v>
      </c>
      <c r="BE77" s="472" t="str">
        <f t="shared" si="62"/>
        <v>-</v>
      </c>
      <c r="BF77" s="472" t="str">
        <f t="shared" si="63"/>
        <v>-</v>
      </c>
      <c r="BG77" s="472" t="str">
        <f t="shared" si="64"/>
        <v>-</v>
      </c>
      <c r="BH77" s="472" t="str">
        <f t="shared" si="65"/>
        <v>-</v>
      </c>
      <c r="BI77" s="221" t="str">
        <f t="shared" si="66"/>
        <v>-</v>
      </c>
      <c r="BJ77" s="730"/>
      <c r="BK77" s="692"/>
      <c r="BL77" s="429"/>
      <c r="BM77" s="429"/>
      <c r="BN77" s="214">
        <f t="shared" si="67"/>
        <v>0</v>
      </c>
      <c r="BO77" s="738"/>
      <c r="BP77" s="740"/>
      <c r="BQ77" s="462"/>
      <c r="BR77" s="462"/>
      <c r="BS77" s="228">
        <f t="shared" si="68"/>
        <v>0</v>
      </c>
      <c r="BT77" s="229" t="str">
        <f t="shared" si="69"/>
        <v>-</v>
      </c>
      <c r="BU77" s="526" t="str">
        <f t="shared" si="70"/>
        <v>-</v>
      </c>
      <c r="BV77" s="526" t="str">
        <f t="shared" si="71"/>
        <v>-</v>
      </c>
      <c r="BW77" s="526" t="str">
        <f t="shared" si="72"/>
        <v>-</v>
      </c>
      <c r="BX77" s="230" t="str">
        <f t="shared" si="73"/>
        <v>-</v>
      </c>
      <c r="BY77" s="745"/>
      <c r="BZ77" s="735"/>
      <c r="CA77" s="746"/>
      <c r="CB77" s="229" t="str">
        <f t="shared" si="74"/>
        <v>-</v>
      </c>
      <c r="CC77" s="529" t="str">
        <f t="shared" si="75"/>
        <v>-</v>
      </c>
      <c r="CD77" s="230" t="str">
        <f t="shared" si="76"/>
        <v>-</v>
      </c>
    </row>
    <row r="78" spans="1:82" ht="15.6" customHeight="1">
      <c r="A78" s="175">
        <f t="shared" si="46"/>
        <v>2022</v>
      </c>
      <c r="B78" s="454" t="str">
        <f t="shared" si="47"/>
        <v>21</v>
      </c>
      <c r="C78" s="454" t="str">
        <f t="array" ref="C78">_xlfn.IFS(_xlfn.NUMBERVALUE(B78)&lt;=13,"Q1",AND(_xlfn.NUMBERVALUE(B78)&gt;13,_xlfn.NUMBERVALUE(B78)&lt;=26),"Q2", AND(_xlfn.NUMBERVALUE(B78)&gt;26,_xlfn.NUMBERVALUE(B78)&lt;=39),"Q3",_xlfn.NUMBERVALUE(B78)&gt;39,"Q4")</f>
        <v>Q2</v>
      </c>
      <c r="D78" s="448">
        <f t="shared" si="77"/>
        <v>44366</v>
      </c>
      <c r="E78" s="448">
        <f t="shared" si="48"/>
        <v>44372</v>
      </c>
      <c r="F78" s="97">
        <v>202121</v>
      </c>
      <c r="G78" s="103"/>
      <c r="H78" s="429"/>
      <c r="I78" s="429"/>
      <c r="J78" s="429"/>
      <c r="K78" s="429"/>
      <c r="L78" s="429"/>
      <c r="M78" s="429"/>
      <c r="N78" s="429"/>
      <c r="O78" s="429"/>
      <c r="P78" s="429"/>
      <c r="Q78" s="429"/>
      <c r="R78" s="429"/>
      <c r="S78" s="429"/>
      <c r="T78" s="429"/>
      <c r="U78" s="429"/>
      <c r="V78" s="429"/>
      <c r="W78" s="429"/>
      <c r="X78" s="429"/>
      <c r="Y78" s="449">
        <f t="shared" si="45"/>
        <v>0</v>
      </c>
      <c r="Z78" s="449">
        <f t="shared" si="78"/>
        <v>0</v>
      </c>
      <c r="AA78" s="214">
        <f>'Overall Metrics'!N79</f>
        <v>0</v>
      </c>
      <c r="AB78" s="110"/>
      <c r="AC78" s="430"/>
      <c r="AD78" s="430"/>
      <c r="AE78" s="430"/>
      <c r="AF78" s="430"/>
      <c r="AG78" s="430"/>
      <c r="AH78" s="430"/>
      <c r="AI78" s="430"/>
      <c r="AJ78" s="430"/>
      <c r="AK78" s="430"/>
      <c r="AL78" s="430"/>
      <c r="AM78" s="430"/>
      <c r="AN78" s="430"/>
      <c r="AO78" s="430"/>
      <c r="AP78" s="430"/>
      <c r="AQ78" s="430"/>
      <c r="AR78" s="219">
        <f t="shared" si="49"/>
        <v>0</v>
      </c>
      <c r="AS78" s="220" t="str">
        <f t="shared" si="50"/>
        <v>-</v>
      </c>
      <c r="AT78" s="472" t="str">
        <f t="shared" si="51"/>
        <v>-</v>
      </c>
      <c r="AU78" s="472" t="str">
        <f t="shared" si="52"/>
        <v>-</v>
      </c>
      <c r="AV78" s="472" t="str">
        <f t="shared" si="53"/>
        <v>-</v>
      </c>
      <c r="AW78" s="472" t="str">
        <f t="shared" si="54"/>
        <v>-</v>
      </c>
      <c r="AX78" s="472" t="str">
        <f t="shared" si="55"/>
        <v>-</v>
      </c>
      <c r="AY78" s="472" t="str">
        <f t="shared" si="56"/>
        <v>-</v>
      </c>
      <c r="AZ78" s="472" t="str">
        <f t="shared" si="57"/>
        <v>-</v>
      </c>
      <c r="BA78" s="472" t="str">
        <f t="shared" si="58"/>
        <v>-</v>
      </c>
      <c r="BB78" s="472" t="str">
        <f t="shared" si="59"/>
        <v>-</v>
      </c>
      <c r="BC78" s="472" t="str">
        <f t="shared" si="60"/>
        <v>-</v>
      </c>
      <c r="BD78" s="472" t="str">
        <f t="shared" si="61"/>
        <v>-</v>
      </c>
      <c r="BE78" s="472" t="str">
        <f t="shared" si="62"/>
        <v>-</v>
      </c>
      <c r="BF78" s="472" t="str">
        <f t="shared" si="63"/>
        <v>-</v>
      </c>
      <c r="BG78" s="472" t="str">
        <f t="shared" si="64"/>
        <v>-</v>
      </c>
      <c r="BH78" s="472" t="str">
        <f t="shared" si="65"/>
        <v>-</v>
      </c>
      <c r="BI78" s="221" t="str">
        <f t="shared" si="66"/>
        <v>-</v>
      </c>
      <c r="BJ78" s="730"/>
      <c r="BK78" s="692"/>
      <c r="BL78" s="429"/>
      <c r="BM78" s="429"/>
      <c r="BN78" s="214">
        <f t="shared" si="67"/>
        <v>0</v>
      </c>
      <c r="BO78" s="738"/>
      <c r="BP78" s="740"/>
      <c r="BQ78" s="462"/>
      <c r="BR78" s="462"/>
      <c r="BS78" s="228">
        <f t="shared" si="68"/>
        <v>0</v>
      </c>
      <c r="BT78" s="229" t="str">
        <f t="shared" si="69"/>
        <v>-</v>
      </c>
      <c r="BU78" s="526" t="str">
        <f t="shared" si="70"/>
        <v>-</v>
      </c>
      <c r="BV78" s="526" t="str">
        <f t="shared" si="71"/>
        <v>-</v>
      </c>
      <c r="BW78" s="526" t="str">
        <f t="shared" si="72"/>
        <v>-</v>
      </c>
      <c r="BX78" s="230" t="str">
        <f t="shared" si="73"/>
        <v>-</v>
      </c>
      <c r="BY78" s="745"/>
      <c r="BZ78" s="735"/>
      <c r="CA78" s="746"/>
      <c r="CB78" s="229" t="str">
        <f t="shared" si="74"/>
        <v>-</v>
      </c>
      <c r="CC78" s="529" t="str">
        <f t="shared" si="75"/>
        <v>-</v>
      </c>
      <c r="CD78" s="230" t="str">
        <f t="shared" si="76"/>
        <v>-</v>
      </c>
    </row>
    <row r="79" spans="1:82" ht="15.6" customHeight="1">
      <c r="A79" s="175">
        <f t="shared" si="46"/>
        <v>2022</v>
      </c>
      <c r="B79" s="454" t="str">
        <f t="shared" si="47"/>
        <v>22</v>
      </c>
      <c r="C79" s="454" t="str">
        <f t="array" ref="C79">_xlfn.IFS(_xlfn.NUMBERVALUE(B79)&lt;=13,"Q1",AND(_xlfn.NUMBERVALUE(B79)&gt;13,_xlfn.NUMBERVALUE(B79)&lt;=26),"Q2", AND(_xlfn.NUMBERVALUE(B79)&gt;26,_xlfn.NUMBERVALUE(B79)&lt;=39),"Q3",_xlfn.NUMBERVALUE(B79)&gt;39,"Q4")</f>
        <v>Q2</v>
      </c>
      <c r="D79" s="448">
        <f t="shared" si="77"/>
        <v>44373</v>
      </c>
      <c r="E79" s="448">
        <f t="shared" si="48"/>
        <v>44379</v>
      </c>
      <c r="F79" s="97">
        <v>202122</v>
      </c>
      <c r="G79" s="103"/>
      <c r="H79" s="429"/>
      <c r="I79" s="429"/>
      <c r="J79" s="429"/>
      <c r="K79" s="429"/>
      <c r="L79" s="429"/>
      <c r="M79" s="429"/>
      <c r="N79" s="429"/>
      <c r="O79" s="429"/>
      <c r="P79" s="429"/>
      <c r="Q79" s="429"/>
      <c r="R79" s="429"/>
      <c r="S79" s="429"/>
      <c r="T79" s="429"/>
      <c r="U79" s="429"/>
      <c r="V79" s="429"/>
      <c r="W79" s="429"/>
      <c r="X79" s="429"/>
      <c r="Y79" s="449">
        <f t="shared" si="45"/>
        <v>0</v>
      </c>
      <c r="Z79" s="449">
        <f t="shared" si="78"/>
        <v>0</v>
      </c>
      <c r="AA79" s="214">
        <f>'Overall Metrics'!N80</f>
        <v>0</v>
      </c>
      <c r="AB79" s="110"/>
      <c r="AC79" s="430"/>
      <c r="AD79" s="430"/>
      <c r="AE79" s="430"/>
      <c r="AF79" s="430"/>
      <c r="AG79" s="430"/>
      <c r="AH79" s="430"/>
      <c r="AI79" s="430"/>
      <c r="AJ79" s="430"/>
      <c r="AK79" s="430"/>
      <c r="AL79" s="430"/>
      <c r="AM79" s="430"/>
      <c r="AN79" s="430"/>
      <c r="AO79" s="430"/>
      <c r="AP79" s="430"/>
      <c r="AQ79" s="430"/>
      <c r="AR79" s="219">
        <f t="shared" si="49"/>
        <v>0</v>
      </c>
      <c r="AS79" s="220" t="str">
        <f t="shared" si="50"/>
        <v>-</v>
      </c>
      <c r="AT79" s="472" t="str">
        <f t="shared" si="51"/>
        <v>-</v>
      </c>
      <c r="AU79" s="472" t="str">
        <f t="shared" si="52"/>
        <v>-</v>
      </c>
      <c r="AV79" s="472" t="str">
        <f t="shared" si="53"/>
        <v>-</v>
      </c>
      <c r="AW79" s="472" t="str">
        <f t="shared" si="54"/>
        <v>-</v>
      </c>
      <c r="AX79" s="472" t="str">
        <f t="shared" si="55"/>
        <v>-</v>
      </c>
      <c r="AY79" s="472" t="str">
        <f t="shared" si="56"/>
        <v>-</v>
      </c>
      <c r="AZ79" s="472" t="str">
        <f t="shared" si="57"/>
        <v>-</v>
      </c>
      <c r="BA79" s="472" t="str">
        <f t="shared" si="58"/>
        <v>-</v>
      </c>
      <c r="BB79" s="472" t="str">
        <f t="shared" si="59"/>
        <v>-</v>
      </c>
      <c r="BC79" s="472" t="str">
        <f t="shared" si="60"/>
        <v>-</v>
      </c>
      <c r="BD79" s="472" t="str">
        <f t="shared" si="61"/>
        <v>-</v>
      </c>
      <c r="BE79" s="472" t="str">
        <f t="shared" si="62"/>
        <v>-</v>
      </c>
      <c r="BF79" s="472" t="str">
        <f t="shared" si="63"/>
        <v>-</v>
      </c>
      <c r="BG79" s="472" t="str">
        <f t="shared" si="64"/>
        <v>-</v>
      </c>
      <c r="BH79" s="472" t="str">
        <f t="shared" si="65"/>
        <v>-</v>
      </c>
      <c r="BI79" s="221" t="str">
        <f t="shared" si="66"/>
        <v>-</v>
      </c>
      <c r="BJ79" s="730"/>
      <c r="BK79" s="692"/>
      <c r="BL79" s="429"/>
      <c r="BM79" s="429"/>
      <c r="BN79" s="214">
        <f t="shared" si="67"/>
        <v>0</v>
      </c>
      <c r="BO79" s="738"/>
      <c r="BP79" s="740"/>
      <c r="BQ79" s="462"/>
      <c r="BR79" s="462"/>
      <c r="BS79" s="228">
        <f t="shared" si="68"/>
        <v>0</v>
      </c>
      <c r="BT79" s="229" t="str">
        <f t="shared" si="69"/>
        <v>-</v>
      </c>
      <c r="BU79" s="526" t="str">
        <f t="shared" si="70"/>
        <v>-</v>
      </c>
      <c r="BV79" s="526" t="str">
        <f t="shared" si="71"/>
        <v>-</v>
      </c>
      <c r="BW79" s="526" t="str">
        <f t="shared" si="72"/>
        <v>-</v>
      </c>
      <c r="BX79" s="230" t="str">
        <f t="shared" si="73"/>
        <v>-</v>
      </c>
      <c r="BY79" s="745"/>
      <c r="BZ79" s="735"/>
      <c r="CA79" s="746"/>
      <c r="CB79" s="229" t="str">
        <f t="shared" si="74"/>
        <v>-</v>
      </c>
      <c r="CC79" s="529" t="str">
        <f t="shared" si="75"/>
        <v>-</v>
      </c>
      <c r="CD79" s="230" t="str">
        <f t="shared" si="76"/>
        <v>-</v>
      </c>
    </row>
    <row r="80" spans="1:82" ht="15.6" customHeight="1">
      <c r="A80" s="175">
        <f t="shared" si="46"/>
        <v>2022</v>
      </c>
      <c r="B80" s="454" t="str">
        <f t="shared" si="47"/>
        <v>23</v>
      </c>
      <c r="C80" s="454" t="str">
        <f t="array" ref="C80">_xlfn.IFS(_xlfn.NUMBERVALUE(B80)&lt;=13,"Q1",AND(_xlfn.NUMBERVALUE(B80)&gt;13,_xlfn.NUMBERVALUE(B80)&lt;=26),"Q2", AND(_xlfn.NUMBERVALUE(B80)&gt;26,_xlfn.NUMBERVALUE(B80)&lt;=39),"Q3",_xlfn.NUMBERVALUE(B80)&gt;39,"Q4")</f>
        <v>Q2</v>
      </c>
      <c r="D80" s="448">
        <f t="shared" si="77"/>
        <v>44380</v>
      </c>
      <c r="E80" s="448">
        <f t="shared" si="48"/>
        <v>44386</v>
      </c>
      <c r="F80" s="97">
        <v>202123</v>
      </c>
      <c r="G80" s="103"/>
      <c r="H80" s="429"/>
      <c r="I80" s="429"/>
      <c r="J80" s="429"/>
      <c r="K80" s="429"/>
      <c r="L80" s="429"/>
      <c r="M80" s="429"/>
      <c r="N80" s="429"/>
      <c r="O80" s="429"/>
      <c r="P80" s="429"/>
      <c r="Q80" s="429"/>
      <c r="R80" s="429"/>
      <c r="S80" s="429"/>
      <c r="T80" s="429"/>
      <c r="U80" s="429"/>
      <c r="V80" s="429"/>
      <c r="W80" s="429"/>
      <c r="X80" s="429"/>
      <c r="Y80" s="449">
        <f t="shared" si="45"/>
        <v>0</v>
      </c>
      <c r="Z80" s="449">
        <f t="shared" si="78"/>
        <v>0</v>
      </c>
      <c r="AA80" s="214">
        <f>'Overall Metrics'!N81</f>
        <v>0</v>
      </c>
      <c r="AB80" s="110"/>
      <c r="AC80" s="430"/>
      <c r="AD80" s="430"/>
      <c r="AE80" s="430"/>
      <c r="AF80" s="430"/>
      <c r="AG80" s="430"/>
      <c r="AH80" s="430"/>
      <c r="AI80" s="430"/>
      <c r="AJ80" s="430"/>
      <c r="AK80" s="430"/>
      <c r="AL80" s="430"/>
      <c r="AM80" s="430"/>
      <c r="AN80" s="430"/>
      <c r="AO80" s="430"/>
      <c r="AP80" s="430"/>
      <c r="AQ80" s="430"/>
      <c r="AR80" s="219">
        <f t="shared" si="49"/>
        <v>0</v>
      </c>
      <c r="AS80" s="220" t="str">
        <f t="shared" si="50"/>
        <v>-</v>
      </c>
      <c r="AT80" s="472" t="str">
        <f t="shared" si="51"/>
        <v>-</v>
      </c>
      <c r="AU80" s="472" t="str">
        <f t="shared" si="52"/>
        <v>-</v>
      </c>
      <c r="AV80" s="472" t="str">
        <f t="shared" si="53"/>
        <v>-</v>
      </c>
      <c r="AW80" s="472" t="str">
        <f t="shared" si="54"/>
        <v>-</v>
      </c>
      <c r="AX80" s="472" t="str">
        <f t="shared" si="55"/>
        <v>-</v>
      </c>
      <c r="AY80" s="472" t="str">
        <f t="shared" si="56"/>
        <v>-</v>
      </c>
      <c r="AZ80" s="472" t="str">
        <f t="shared" si="57"/>
        <v>-</v>
      </c>
      <c r="BA80" s="472" t="str">
        <f t="shared" si="58"/>
        <v>-</v>
      </c>
      <c r="BB80" s="472" t="str">
        <f t="shared" si="59"/>
        <v>-</v>
      </c>
      <c r="BC80" s="472" t="str">
        <f t="shared" si="60"/>
        <v>-</v>
      </c>
      <c r="BD80" s="472" t="str">
        <f t="shared" si="61"/>
        <v>-</v>
      </c>
      <c r="BE80" s="472" t="str">
        <f t="shared" si="62"/>
        <v>-</v>
      </c>
      <c r="BF80" s="472" t="str">
        <f t="shared" si="63"/>
        <v>-</v>
      </c>
      <c r="BG80" s="472" t="str">
        <f t="shared" si="64"/>
        <v>-</v>
      </c>
      <c r="BH80" s="472" t="str">
        <f t="shared" si="65"/>
        <v>-</v>
      </c>
      <c r="BI80" s="221" t="str">
        <f t="shared" si="66"/>
        <v>-</v>
      </c>
      <c r="BJ80" s="730"/>
      <c r="BK80" s="692"/>
      <c r="BL80" s="429"/>
      <c r="BM80" s="429"/>
      <c r="BN80" s="214">
        <f t="shared" si="67"/>
        <v>0</v>
      </c>
      <c r="BO80" s="738"/>
      <c r="BP80" s="740"/>
      <c r="BQ80" s="462"/>
      <c r="BR80" s="462"/>
      <c r="BS80" s="228">
        <f t="shared" si="68"/>
        <v>0</v>
      </c>
      <c r="BT80" s="229" t="str">
        <f t="shared" si="69"/>
        <v>-</v>
      </c>
      <c r="BU80" s="526" t="str">
        <f t="shared" si="70"/>
        <v>-</v>
      </c>
      <c r="BV80" s="526" t="str">
        <f t="shared" si="71"/>
        <v>-</v>
      </c>
      <c r="BW80" s="526" t="str">
        <f t="shared" si="72"/>
        <v>-</v>
      </c>
      <c r="BX80" s="230" t="str">
        <f t="shared" si="73"/>
        <v>-</v>
      </c>
      <c r="BY80" s="745"/>
      <c r="BZ80" s="735"/>
      <c r="CA80" s="746"/>
      <c r="CB80" s="229" t="str">
        <f t="shared" si="74"/>
        <v>-</v>
      </c>
      <c r="CC80" s="529" t="str">
        <f t="shared" si="75"/>
        <v>-</v>
      </c>
      <c r="CD80" s="230" t="str">
        <f t="shared" si="76"/>
        <v>-</v>
      </c>
    </row>
    <row r="81" spans="1:82" ht="15.6" customHeight="1">
      <c r="A81" s="175">
        <f t="shared" si="46"/>
        <v>2022</v>
      </c>
      <c r="B81" s="454" t="str">
        <f t="shared" si="47"/>
        <v>24</v>
      </c>
      <c r="C81" s="454" t="str">
        <f t="array" ref="C81">_xlfn.IFS(_xlfn.NUMBERVALUE(B81)&lt;=13,"Q1",AND(_xlfn.NUMBERVALUE(B81)&gt;13,_xlfn.NUMBERVALUE(B81)&lt;=26),"Q2", AND(_xlfn.NUMBERVALUE(B81)&gt;26,_xlfn.NUMBERVALUE(B81)&lt;=39),"Q3",_xlfn.NUMBERVALUE(B81)&gt;39,"Q4")</f>
        <v>Q2</v>
      </c>
      <c r="D81" s="448">
        <f t="shared" si="77"/>
        <v>44387</v>
      </c>
      <c r="E81" s="448">
        <f t="shared" si="48"/>
        <v>44393</v>
      </c>
      <c r="F81" s="97">
        <v>202124</v>
      </c>
      <c r="G81" s="103"/>
      <c r="H81" s="429"/>
      <c r="I81" s="429"/>
      <c r="J81" s="429"/>
      <c r="K81" s="429"/>
      <c r="L81" s="429"/>
      <c r="M81" s="429"/>
      <c r="N81" s="429"/>
      <c r="O81" s="429"/>
      <c r="P81" s="429"/>
      <c r="Q81" s="429"/>
      <c r="R81" s="429"/>
      <c r="S81" s="429"/>
      <c r="T81" s="429"/>
      <c r="U81" s="429"/>
      <c r="V81" s="429"/>
      <c r="W81" s="429"/>
      <c r="X81" s="429"/>
      <c r="Y81" s="449">
        <f t="shared" si="45"/>
        <v>0</v>
      </c>
      <c r="Z81" s="449">
        <f t="shared" si="78"/>
        <v>0</v>
      </c>
      <c r="AA81" s="214">
        <f>'Overall Metrics'!N82</f>
        <v>0</v>
      </c>
      <c r="AB81" s="110"/>
      <c r="AC81" s="430"/>
      <c r="AD81" s="430"/>
      <c r="AE81" s="430"/>
      <c r="AF81" s="430"/>
      <c r="AG81" s="430"/>
      <c r="AH81" s="430"/>
      <c r="AI81" s="430"/>
      <c r="AJ81" s="430"/>
      <c r="AK81" s="430"/>
      <c r="AL81" s="430"/>
      <c r="AM81" s="430"/>
      <c r="AN81" s="430"/>
      <c r="AO81" s="430"/>
      <c r="AP81" s="430"/>
      <c r="AQ81" s="430"/>
      <c r="AR81" s="219">
        <f t="shared" si="49"/>
        <v>0</v>
      </c>
      <c r="AS81" s="220" t="str">
        <f t="shared" si="50"/>
        <v>-</v>
      </c>
      <c r="AT81" s="472" t="str">
        <f t="shared" si="51"/>
        <v>-</v>
      </c>
      <c r="AU81" s="472" t="str">
        <f t="shared" si="52"/>
        <v>-</v>
      </c>
      <c r="AV81" s="472" t="str">
        <f t="shared" si="53"/>
        <v>-</v>
      </c>
      <c r="AW81" s="472" t="str">
        <f t="shared" si="54"/>
        <v>-</v>
      </c>
      <c r="AX81" s="472" t="str">
        <f t="shared" si="55"/>
        <v>-</v>
      </c>
      <c r="AY81" s="472" t="str">
        <f t="shared" si="56"/>
        <v>-</v>
      </c>
      <c r="AZ81" s="472" t="str">
        <f t="shared" si="57"/>
        <v>-</v>
      </c>
      <c r="BA81" s="472" t="str">
        <f t="shared" si="58"/>
        <v>-</v>
      </c>
      <c r="BB81" s="472" t="str">
        <f t="shared" si="59"/>
        <v>-</v>
      </c>
      <c r="BC81" s="472" t="str">
        <f t="shared" si="60"/>
        <v>-</v>
      </c>
      <c r="BD81" s="472" t="str">
        <f t="shared" si="61"/>
        <v>-</v>
      </c>
      <c r="BE81" s="472" t="str">
        <f t="shared" si="62"/>
        <v>-</v>
      </c>
      <c r="BF81" s="472" t="str">
        <f t="shared" si="63"/>
        <v>-</v>
      </c>
      <c r="BG81" s="472" t="str">
        <f t="shared" si="64"/>
        <v>-</v>
      </c>
      <c r="BH81" s="472" t="str">
        <f t="shared" si="65"/>
        <v>-</v>
      </c>
      <c r="BI81" s="221" t="str">
        <f t="shared" si="66"/>
        <v>-</v>
      </c>
      <c r="BJ81" s="730"/>
      <c r="BK81" s="692"/>
      <c r="BL81" s="429"/>
      <c r="BM81" s="429"/>
      <c r="BN81" s="214">
        <f t="shared" si="67"/>
        <v>0</v>
      </c>
      <c r="BO81" s="738"/>
      <c r="BP81" s="740"/>
      <c r="BQ81" s="462"/>
      <c r="BR81" s="462"/>
      <c r="BS81" s="228">
        <f t="shared" si="68"/>
        <v>0</v>
      </c>
      <c r="BT81" s="229" t="str">
        <f t="shared" si="69"/>
        <v>-</v>
      </c>
      <c r="BU81" s="526" t="str">
        <f t="shared" si="70"/>
        <v>-</v>
      </c>
      <c r="BV81" s="526" t="str">
        <f t="shared" si="71"/>
        <v>-</v>
      </c>
      <c r="BW81" s="526" t="str">
        <f t="shared" si="72"/>
        <v>-</v>
      </c>
      <c r="BX81" s="230" t="str">
        <f t="shared" si="73"/>
        <v>-</v>
      </c>
      <c r="BY81" s="745"/>
      <c r="BZ81" s="735"/>
      <c r="CA81" s="746"/>
      <c r="CB81" s="229" t="str">
        <f t="shared" si="74"/>
        <v>-</v>
      </c>
      <c r="CC81" s="529" t="str">
        <f t="shared" si="75"/>
        <v>-</v>
      </c>
      <c r="CD81" s="230" t="str">
        <f t="shared" si="76"/>
        <v>-</v>
      </c>
    </row>
    <row r="82" spans="1:82" ht="15.6" customHeight="1">
      <c r="A82" s="175">
        <f t="shared" si="46"/>
        <v>2022</v>
      </c>
      <c r="B82" s="454" t="str">
        <f t="shared" si="47"/>
        <v>25</v>
      </c>
      <c r="C82" s="454" t="str">
        <f t="array" ref="C82">_xlfn.IFS(_xlfn.NUMBERVALUE(B82)&lt;=13,"Q1",AND(_xlfn.NUMBERVALUE(B82)&gt;13,_xlfn.NUMBERVALUE(B82)&lt;=26),"Q2", AND(_xlfn.NUMBERVALUE(B82)&gt;26,_xlfn.NUMBERVALUE(B82)&lt;=39),"Q3",_xlfn.NUMBERVALUE(B82)&gt;39,"Q4")</f>
        <v>Q2</v>
      </c>
      <c r="D82" s="448">
        <f t="shared" si="77"/>
        <v>44394</v>
      </c>
      <c r="E82" s="448">
        <f t="shared" si="48"/>
        <v>44400</v>
      </c>
      <c r="F82" s="97">
        <v>202125</v>
      </c>
      <c r="G82" s="103"/>
      <c r="H82" s="429"/>
      <c r="I82" s="429"/>
      <c r="J82" s="429"/>
      <c r="K82" s="429"/>
      <c r="L82" s="429"/>
      <c r="M82" s="429"/>
      <c r="N82" s="429"/>
      <c r="O82" s="429"/>
      <c r="P82" s="429"/>
      <c r="Q82" s="429"/>
      <c r="R82" s="429"/>
      <c r="S82" s="429"/>
      <c r="T82" s="429"/>
      <c r="U82" s="429"/>
      <c r="V82" s="429"/>
      <c r="W82" s="429"/>
      <c r="X82" s="429"/>
      <c r="Y82" s="449">
        <f t="shared" si="45"/>
        <v>0</v>
      </c>
      <c r="Z82" s="449">
        <f t="shared" si="78"/>
        <v>0</v>
      </c>
      <c r="AA82" s="214">
        <f>'Overall Metrics'!N83</f>
        <v>0</v>
      </c>
      <c r="AB82" s="110"/>
      <c r="AC82" s="430"/>
      <c r="AD82" s="430"/>
      <c r="AE82" s="430"/>
      <c r="AF82" s="430"/>
      <c r="AG82" s="430"/>
      <c r="AH82" s="430"/>
      <c r="AI82" s="430"/>
      <c r="AJ82" s="430"/>
      <c r="AK82" s="430"/>
      <c r="AL82" s="430"/>
      <c r="AM82" s="430"/>
      <c r="AN82" s="430"/>
      <c r="AO82" s="430"/>
      <c r="AP82" s="430"/>
      <c r="AQ82" s="430"/>
      <c r="AR82" s="219">
        <f t="shared" si="49"/>
        <v>0</v>
      </c>
      <c r="AS82" s="220" t="str">
        <f t="shared" si="50"/>
        <v>-</v>
      </c>
      <c r="AT82" s="472" t="str">
        <f t="shared" si="51"/>
        <v>-</v>
      </c>
      <c r="AU82" s="472" t="str">
        <f t="shared" si="52"/>
        <v>-</v>
      </c>
      <c r="AV82" s="472" t="str">
        <f t="shared" si="53"/>
        <v>-</v>
      </c>
      <c r="AW82" s="472" t="str">
        <f t="shared" si="54"/>
        <v>-</v>
      </c>
      <c r="AX82" s="472" t="str">
        <f t="shared" si="55"/>
        <v>-</v>
      </c>
      <c r="AY82" s="472" t="str">
        <f t="shared" si="56"/>
        <v>-</v>
      </c>
      <c r="AZ82" s="472" t="str">
        <f t="shared" si="57"/>
        <v>-</v>
      </c>
      <c r="BA82" s="472" t="str">
        <f t="shared" si="58"/>
        <v>-</v>
      </c>
      <c r="BB82" s="472" t="str">
        <f t="shared" si="59"/>
        <v>-</v>
      </c>
      <c r="BC82" s="472" t="str">
        <f t="shared" si="60"/>
        <v>-</v>
      </c>
      <c r="BD82" s="472" t="str">
        <f t="shared" si="61"/>
        <v>-</v>
      </c>
      <c r="BE82" s="472" t="str">
        <f t="shared" si="62"/>
        <v>-</v>
      </c>
      <c r="BF82" s="472" t="str">
        <f t="shared" si="63"/>
        <v>-</v>
      </c>
      <c r="BG82" s="472" t="str">
        <f t="shared" si="64"/>
        <v>-</v>
      </c>
      <c r="BH82" s="472" t="str">
        <f t="shared" si="65"/>
        <v>-</v>
      </c>
      <c r="BI82" s="221" t="str">
        <f t="shared" si="66"/>
        <v>-</v>
      </c>
      <c r="BJ82" s="730"/>
      <c r="BK82" s="692"/>
      <c r="BL82" s="429"/>
      <c r="BM82" s="429"/>
      <c r="BN82" s="214">
        <f t="shared" si="67"/>
        <v>0</v>
      </c>
      <c r="BO82" s="738"/>
      <c r="BP82" s="740"/>
      <c r="BQ82" s="462"/>
      <c r="BR82" s="462"/>
      <c r="BS82" s="228">
        <f t="shared" si="68"/>
        <v>0</v>
      </c>
      <c r="BT82" s="229" t="str">
        <f t="shared" si="69"/>
        <v>-</v>
      </c>
      <c r="BU82" s="526" t="str">
        <f t="shared" si="70"/>
        <v>-</v>
      </c>
      <c r="BV82" s="526" t="str">
        <f t="shared" si="71"/>
        <v>-</v>
      </c>
      <c r="BW82" s="526" t="str">
        <f t="shared" si="72"/>
        <v>-</v>
      </c>
      <c r="BX82" s="230" t="str">
        <f t="shared" si="73"/>
        <v>-</v>
      </c>
      <c r="BY82" s="745"/>
      <c r="BZ82" s="735"/>
      <c r="CA82" s="746"/>
      <c r="CB82" s="229" t="str">
        <f t="shared" si="74"/>
        <v>-</v>
      </c>
      <c r="CC82" s="529" t="str">
        <f t="shared" si="75"/>
        <v>-</v>
      </c>
      <c r="CD82" s="230" t="str">
        <f t="shared" si="76"/>
        <v>-</v>
      </c>
    </row>
    <row r="83" spans="1:82" ht="15.6" customHeight="1">
      <c r="A83" s="175">
        <f t="shared" si="46"/>
        <v>2022</v>
      </c>
      <c r="B83" s="454" t="str">
        <f t="shared" si="47"/>
        <v>26</v>
      </c>
      <c r="C83" s="454" t="str">
        <f t="array" ref="C83">_xlfn.IFS(_xlfn.NUMBERVALUE(B83)&lt;=13,"Q1",AND(_xlfn.NUMBERVALUE(B83)&gt;13,_xlfn.NUMBERVALUE(B83)&lt;=26),"Q2", AND(_xlfn.NUMBERVALUE(B83)&gt;26,_xlfn.NUMBERVALUE(B83)&lt;=39),"Q3",_xlfn.NUMBERVALUE(B83)&gt;39,"Q4")</f>
        <v>Q2</v>
      </c>
      <c r="D83" s="448">
        <f t="shared" si="77"/>
        <v>44401</v>
      </c>
      <c r="E83" s="448">
        <f t="shared" si="48"/>
        <v>44407</v>
      </c>
      <c r="F83" s="97">
        <v>202126</v>
      </c>
      <c r="G83" s="103"/>
      <c r="H83" s="429"/>
      <c r="I83" s="429"/>
      <c r="J83" s="429"/>
      <c r="K83" s="429"/>
      <c r="L83" s="429"/>
      <c r="M83" s="429"/>
      <c r="N83" s="429"/>
      <c r="O83" s="429"/>
      <c r="P83" s="429"/>
      <c r="Q83" s="429"/>
      <c r="R83" s="429"/>
      <c r="S83" s="429"/>
      <c r="T83" s="429"/>
      <c r="U83" s="429"/>
      <c r="V83" s="429"/>
      <c r="W83" s="429"/>
      <c r="X83" s="429"/>
      <c r="Y83" s="449">
        <f t="shared" si="45"/>
        <v>0</v>
      </c>
      <c r="Z83" s="449">
        <f t="shared" si="78"/>
        <v>0</v>
      </c>
      <c r="AA83" s="214">
        <f>'Overall Metrics'!N84</f>
        <v>0</v>
      </c>
      <c r="AB83" s="110"/>
      <c r="AC83" s="430"/>
      <c r="AD83" s="430"/>
      <c r="AE83" s="430"/>
      <c r="AF83" s="430"/>
      <c r="AG83" s="430"/>
      <c r="AH83" s="430"/>
      <c r="AI83" s="430"/>
      <c r="AJ83" s="430"/>
      <c r="AK83" s="430"/>
      <c r="AL83" s="430"/>
      <c r="AM83" s="430"/>
      <c r="AN83" s="430"/>
      <c r="AO83" s="430"/>
      <c r="AP83" s="430"/>
      <c r="AQ83" s="430"/>
      <c r="AR83" s="219">
        <f t="shared" si="49"/>
        <v>0</v>
      </c>
      <c r="AS83" s="220" t="str">
        <f t="shared" si="50"/>
        <v>-</v>
      </c>
      <c r="AT83" s="472" t="str">
        <f t="shared" si="51"/>
        <v>-</v>
      </c>
      <c r="AU83" s="472" t="str">
        <f t="shared" si="52"/>
        <v>-</v>
      </c>
      <c r="AV83" s="472" t="str">
        <f t="shared" si="53"/>
        <v>-</v>
      </c>
      <c r="AW83" s="472" t="str">
        <f t="shared" si="54"/>
        <v>-</v>
      </c>
      <c r="AX83" s="472" t="str">
        <f t="shared" si="55"/>
        <v>-</v>
      </c>
      <c r="AY83" s="472" t="str">
        <f t="shared" si="56"/>
        <v>-</v>
      </c>
      <c r="AZ83" s="472" t="str">
        <f t="shared" si="57"/>
        <v>-</v>
      </c>
      <c r="BA83" s="472" t="str">
        <f t="shared" si="58"/>
        <v>-</v>
      </c>
      <c r="BB83" s="472" t="str">
        <f t="shared" si="59"/>
        <v>-</v>
      </c>
      <c r="BC83" s="472" t="str">
        <f t="shared" si="60"/>
        <v>-</v>
      </c>
      <c r="BD83" s="472" t="str">
        <f t="shared" si="61"/>
        <v>-</v>
      </c>
      <c r="BE83" s="472" t="str">
        <f t="shared" si="62"/>
        <v>-</v>
      </c>
      <c r="BF83" s="472" t="str">
        <f t="shared" si="63"/>
        <v>-</v>
      </c>
      <c r="BG83" s="472" t="str">
        <f t="shared" si="64"/>
        <v>-</v>
      </c>
      <c r="BH83" s="472" t="str">
        <f t="shared" si="65"/>
        <v>-</v>
      </c>
      <c r="BI83" s="221" t="str">
        <f t="shared" si="66"/>
        <v>-</v>
      </c>
      <c r="BJ83" s="730"/>
      <c r="BK83" s="692"/>
      <c r="BL83" s="429"/>
      <c r="BM83" s="429"/>
      <c r="BN83" s="214">
        <f t="shared" si="67"/>
        <v>0</v>
      </c>
      <c r="BO83" s="738"/>
      <c r="BP83" s="740"/>
      <c r="BQ83" s="462"/>
      <c r="BR83" s="462"/>
      <c r="BS83" s="228">
        <f t="shared" si="68"/>
        <v>0</v>
      </c>
      <c r="BT83" s="229" t="str">
        <f t="shared" si="69"/>
        <v>-</v>
      </c>
      <c r="BU83" s="526" t="str">
        <f t="shared" si="70"/>
        <v>-</v>
      </c>
      <c r="BV83" s="526" t="str">
        <f t="shared" si="71"/>
        <v>-</v>
      </c>
      <c r="BW83" s="526" t="str">
        <f t="shared" si="72"/>
        <v>-</v>
      </c>
      <c r="BX83" s="230" t="str">
        <f t="shared" si="73"/>
        <v>-</v>
      </c>
      <c r="BY83" s="745"/>
      <c r="BZ83" s="735"/>
      <c r="CA83" s="746"/>
      <c r="CB83" s="229" t="str">
        <f t="shared" si="74"/>
        <v>-</v>
      </c>
      <c r="CC83" s="529" t="str">
        <f t="shared" si="75"/>
        <v>-</v>
      </c>
      <c r="CD83" s="230" t="str">
        <f t="shared" si="76"/>
        <v>-</v>
      </c>
    </row>
    <row r="84" spans="1:82" ht="15.6" customHeight="1">
      <c r="A84" s="175">
        <f t="shared" si="46"/>
        <v>2022</v>
      </c>
      <c r="B84" s="454" t="str">
        <f t="shared" si="47"/>
        <v>27</v>
      </c>
      <c r="C84" s="454" t="str">
        <f t="array" ref="C84">_xlfn.IFS(_xlfn.NUMBERVALUE(B84)&lt;=13,"Q1",AND(_xlfn.NUMBERVALUE(B84)&gt;13,_xlfn.NUMBERVALUE(B84)&lt;=26),"Q2", AND(_xlfn.NUMBERVALUE(B84)&gt;26,_xlfn.NUMBERVALUE(B84)&lt;=39),"Q3",_xlfn.NUMBERVALUE(B84)&gt;39,"Q4")</f>
        <v>Q3</v>
      </c>
      <c r="D84" s="448">
        <f t="shared" si="77"/>
        <v>44408</v>
      </c>
      <c r="E84" s="448">
        <f t="shared" si="48"/>
        <v>44414</v>
      </c>
      <c r="F84" s="97">
        <v>202127</v>
      </c>
      <c r="G84" s="103"/>
      <c r="H84" s="429"/>
      <c r="I84" s="429"/>
      <c r="J84" s="429"/>
      <c r="K84" s="429"/>
      <c r="L84" s="429"/>
      <c r="M84" s="429"/>
      <c r="N84" s="429"/>
      <c r="O84" s="429"/>
      <c r="P84" s="429"/>
      <c r="Q84" s="429"/>
      <c r="R84" s="429"/>
      <c r="S84" s="429"/>
      <c r="T84" s="429"/>
      <c r="U84" s="429"/>
      <c r="V84" s="429"/>
      <c r="W84" s="429"/>
      <c r="X84" s="429"/>
      <c r="Y84" s="449">
        <f t="shared" si="45"/>
        <v>0</v>
      </c>
      <c r="Z84" s="449">
        <f t="shared" si="78"/>
        <v>0</v>
      </c>
      <c r="AA84" s="214">
        <f>'Overall Metrics'!N85</f>
        <v>0</v>
      </c>
      <c r="AB84" s="110"/>
      <c r="AC84" s="430"/>
      <c r="AD84" s="430"/>
      <c r="AE84" s="430"/>
      <c r="AF84" s="430"/>
      <c r="AG84" s="430"/>
      <c r="AH84" s="430"/>
      <c r="AI84" s="430"/>
      <c r="AJ84" s="430"/>
      <c r="AK84" s="430"/>
      <c r="AL84" s="430"/>
      <c r="AM84" s="430"/>
      <c r="AN84" s="430"/>
      <c r="AO84" s="430"/>
      <c r="AP84" s="430"/>
      <c r="AQ84" s="430"/>
      <c r="AR84" s="219">
        <f t="shared" si="49"/>
        <v>0</v>
      </c>
      <c r="AS84" s="220" t="str">
        <f t="shared" si="50"/>
        <v>-</v>
      </c>
      <c r="AT84" s="472" t="str">
        <f t="shared" si="51"/>
        <v>-</v>
      </c>
      <c r="AU84" s="472" t="str">
        <f t="shared" si="52"/>
        <v>-</v>
      </c>
      <c r="AV84" s="472" t="str">
        <f t="shared" si="53"/>
        <v>-</v>
      </c>
      <c r="AW84" s="472" t="str">
        <f t="shared" si="54"/>
        <v>-</v>
      </c>
      <c r="AX84" s="472" t="str">
        <f t="shared" si="55"/>
        <v>-</v>
      </c>
      <c r="AY84" s="472" t="str">
        <f t="shared" si="56"/>
        <v>-</v>
      </c>
      <c r="AZ84" s="472" t="str">
        <f t="shared" si="57"/>
        <v>-</v>
      </c>
      <c r="BA84" s="472" t="str">
        <f t="shared" si="58"/>
        <v>-</v>
      </c>
      <c r="BB84" s="472" t="str">
        <f t="shared" si="59"/>
        <v>-</v>
      </c>
      <c r="BC84" s="472" t="str">
        <f t="shared" si="60"/>
        <v>-</v>
      </c>
      <c r="BD84" s="472" t="str">
        <f t="shared" si="61"/>
        <v>-</v>
      </c>
      <c r="BE84" s="472" t="str">
        <f t="shared" si="62"/>
        <v>-</v>
      </c>
      <c r="BF84" s="472" t="str">
        <f t="shared" si="63"/>
        <v>-</v>
      </c>
      <c r="BG84" s="472" t="str">
        <f t="shared" si="64"/>
        <v>-</v>
      </c>
      <c r="BH84" s="472" t="str">
        <f t="shared" si="65"/>
        <v>-</v>
      </c>
      <c r="BI84" s="221" t="str">
        <f t="shared" si="66"/>
        <v>-</v>
      </c>
      <c r="BJ84" s="730"/>
      <c r="BK84" s="692"/>
      <c r="BL84" s="429"/>
      <c r="BM84" s="429"/>
      <c r="BN84" s="214">
        <f t="shared" si="67"/>
        <v>0</v>
      </c>
      <c r="BO84" s="738"/>
      <c r="BP84" s="740"/>
      <c r="BQ84" s="462"/>
      <c r="BR84" s="462"/>
      <c r="BS84" s="228">
        <f t="shared" si="68"/>
        <v>0</v>
      </c>
      <c r="BT84" s="229" t="str">
        <f t="shared" si="69"/>
        <v>-</v>
      </c>
      <c r="BU84" s="526" t="str">
        <f t="shared" si="70"/>
        <v>-</v>
      </c>
      <c r="BV84" s="526" t="str">
        <f t="shared" si="71"/>
        <v>-</v>
      </c>
      <c r="BW84" s="526" t="str">
        <f t="shared" si="72"/>
        <v>-</v>
      </c>
      <c r="BX84" s="230" t="str">
        <f t="shared" si="73"/>
        <v>-</v>
      </c>
      <c r="BY84" s="745"/>
      <c r="BZ84" s="735"/>
      <c r="CA84" s="746"/>
      <c r="CB84" s="229" t="str">
        <f t="shared" si="74"/>
        <v>-</v>
      </c>
      <c r="CC84" s="529" t="str">
        <f t="shared" si="75"/>
        <v>-</v>
      </c>
      <c r="CD84" s="230" t="str">
        <f t="shared" si="76"/>
        <v>-</v>
      </c>
    </row>
    <row r="85" spans="1:82" ht="15.6" customHeight="1">
      <c r="A85" s="175">
        <f t="shared" si="46"/>
        <v>2022</v>
      </c>
      <c r="B85" s="454" t="str">
        <f t="shared" si="47"/>
        <v>28</v>
      </c>
      <c r="C85" s="454" t="str">
        <f t="array" ref="C85">_xlfn.IFS(_xlfn.NUMBERVALUE(B85)&lt;=13,"Q1",AND(_xlfn.NUMBERVALUE(B85)&gt;13,_xlfn.NUMBERVALUE(B85)&lt;=26),"Q2", AND(_xlfn.NUMBERVALUE(B85)&gt;26,_xlfn.NUMBERVALUE(B85)&lt;=39),"Q3",_xlfn.NUMBERVALUE(B85)&gt;39,"Q4")</f>
        <v>Q3</v>
      </c>
      <c r="D85" s="448">
        <f t="shared" si="77"/>
        <v>44415</v>
      </c>
      <c r="E85" s="448">
        <f t="shared" si="48"/>
        <v>44421</v>
      </c>
      <c r="F85" s="97">
        <v>202128</v>
      </c>
      <c r="G85" s="103"/>
      <c r="H85" s="429"/>
      <c r="I85" s="429"/>
      <c r="J85" s="429"/>
      <c r="K85" s="429"/>
      <c r="L85" s="429"/>
      <c r="M85" s="429"/>
      <c r="N85" s="429"/>
      <c r="O85" s="429"/>
      <c r="P85" s="429"/>
      <c r="Q85" s="429"/>
      <c r="R85" s="429"/>
      <c r="S85" s="429"/>
      <c r="T85" s="429"/>
      <c r="U85" s="429"/>
      <c r="V85" s="429"/>
      <c r="W85" s="429"/>
      <c r="X85" s="429"/>
      <c r="Y85" s="449">
        <f t="shared" si="45"/>
        <v>0</v>
      </c>
      <c r="Z85" s="449">
        <f t="shared" si="78"/>
        <v>0</v>
      </c>
      <c r="AA85" s="214">
        <f>'Overall Metrics'!N86</f>
        <v>0</v>
      </c>
      <c r="AB85" s="110"/>
      <c r="AC85" s="430"/>
      <c r="AD85" s="430"/>
      <c r="AE85" s="430"/>
      <c r="AF85" s="430"/>
      <c r="AG85" s="430"/>
      <c r="AH85" s="430"/>
      <c r="AI85" s="430"/>
      <c r="AJ85" s="430"/>
      <c r="AK85" s="430"/>
      <c r="AL85" s="430"/>
      <c r="AM85" s="430"/>
      <c r="AN85" s="430"/>
      <c r="AO85" s="430"/>
      <c r="AP85" s="430"/>
      <c r="AQ85" s="430"/>
      <c r="AR85" s="219">
        <f t="shared" si="49"/>
        <v>0</v>
      </c>
      <c r="AS85" s="220" t="str">
        <f t="shared" si="50"/>
        <v>-</v>
      </c>
      <c r="AT85" s="472" t="str">
        <f t="shared" si="51"/>
        <v>-</v>
      </c>
      <c r="AU85" s="472" t="str">
        <f t="shared" si="52"/>
        <v>-</v>
      </c>
      <c r="AV85" s="472" t="str">
        <f t="shared" si="53"/>
        <v>-</v>
      </c>
      <c r="AW85" s="472" t="str">
        <f t="shared" si="54"/>
        <v>-</v>
      </c>
      <c r="AX85" s="472" t="str">
        <f t="shared" si="55"/>
        <v>-</v>
      </c>
      <c r="AY85" s="472" t="str">
        <f t="shared" si="56"/>
        <v>-</v>
      </c>
      <c r="AZ85" s="472" t="str">
        <f t="shared" si="57"/>
        <v>-</v>
      </c>
      <c r="BA85" s="472" t="str">
        <f t="shared" si="58"/>
        <v>-</v>
      </c>
      <c r="BB85" s="472" t="str">
        <f t="shared" si="59"/>
        <v>-</v>
      </c>
      <c r="BC85" s="472" t="str">
        <f t="shared" si="60"/>
        <v>-</v>
      </c>
      <c r="BD85" s="472" t="str">
        <f t="shared" si="61"/>
        <v>-</v>
      </c>
      <c r="BE85" s="472" t="str">
        <f t="shared" si="62"/>
        <v>-</v>
      </c>
      <c r="BF85" s="472" t="str">
        <f t="shared" si="63"/>
        <v>-</v>
      </c>
      <c r="BG85" s="472" t="str">
        <f t="shared" si="64"/>
        <v>-</v>
      </c>
      <c r="BH85" s="472" t="str">
        <f t="shared" si="65"/>
        <v>-</v>
      </c>
      <c r="BI85" s="221" t="str">
        <f t="shared" si="66"/>
        <v>-</v>
      </c>
      <c r="BJ85" s="730"/>
      <c r="BK85" s="692"/>
      <c r="BL85" s="429"/>
      <c r="BM85" s="429"/>
      <c r="BN85" s="214">
        <f t="shared" si="67"/>
        <v>0</v>
      </c>
      <c r="BO85" s="738"/>
      <c r="BP85" s="740"/>
      <c r="BQ85" s="462"/>
      <c r="BR85" s="462"/>
      <c r="BS85" s="228">
        <f t="shared" si="68"/>
        <v>0</v>
      </c>
      <c r="BT85" s="229" t="str">
        <f t="shared" si="69"/>
        <v>-</v>
      </c>
      <c r="BU85" s="526" t="str">
        <f t="shared" si="70"/>
        <v>-</v>
      </c>
      <c r="BV85" s="526" t="str">
        <f t="shared" si="71"/>
        <v>-</v>
      </c>
      <c r="BW85" s="526" t="str">
        <f t="shared" si="72"/>
        <v>-</v>
      </c>
      <c r="BX85" s="230" t="str">
        <f t="shared" si="73"/>
        <v>-</v>
      </c>
      <c r="BY85" s="745"/>
      <c r="BZ85" s="735"/>
      <c r="CA85" s="746"/>
      <c r="CB85" s="229" t="str">
        <f t="shared" si="74"/>
        <v>-</v>
      </c>
      <c r="CC85" s="529" t="str">
        <f t="shared" si="75"/>
        <v>-</v>
      </c>
      <c r="CD85" s="230" t="str">
        <f t="shared" si="76"/>
        <v>-</v>
      </c>
    </row>
    <row r="86" spans="1:82" ht="15.6" customHeight="1">
      <c r="A86" s="175">
        <f t="shared" si="46"/>
        <v>2022</v>
      </c>
      <c r="B86" s="454" t="str">
        <f t="shared" si="47"/>
        <v>29</v>
      </c>
      <c r="C86" s="454" t="str">
        <f t="array" ref="C86">_xlfn.IFS(_xlfn.NUMBERVALUE(B86)&lt;=13,"Q1",AND(_xlfn.NUMBERVALUE(B86)&gt;13,_xlfn.NUMBERVALUE(B86)&lt;=26),"Q2", AND(_xlfn.NUMBERVALUE(B86)&gt;26,_xlfn.NUMBERVALUE(B86)&lt;=39),"Q3",_xlfn.NUMBERVALUE(B86)&gt;39,"Q4")</f>
        <v>Q3</v>
      </c>
      <c r="D86" s="448">
        <f t="shared" si="77"/>
        <v>44422</v>
      </c>
      <c r="E86" s="448">
        <f t="shared" si="48"/>
        <v>44428</v>
      </c>
      <c r="F86" s="97">
        <v>202129</v>
      </c>
      <c r="G86" s="103"/>
      <c r="H86" s="429"/>
      <c r="I86" s="429"/>
      <c r="J86" s="429"/>
      <c r="K86" s="429"/>
      <c r="L86" s="429"/>
      <c r="M86" s="429"/>
      <c r="N86" s="429"/>
      <c r="O86" s="429"/>
      <c r="P86" s="429"/>
      <c r="Q86" s="429"/>
      <c r="R86" s="429"/>
      <c r="S86" s="429"/>
      <c r="T86" s="429"/>
      <c r="U86" s="429"/>
      <c r="V86" s="429"/>
      <c r="W86" s="429"/>
      <c r="X86" s="429"/>
      <c r="Y86" s="449">
        <f t="shared" si="45"/>
        <v>0</v>
      </c>
      <c r="Z86" s="449">
        <f t="shared" si="78"/>
        <v>0</v>
      </c>
      <c r="AA86" s="214">
        <f>'Overall Metrics'!N87</f>
        <v>0</v>
      </c>
      <c r="AB86" s="110"/>
      <c r="AC86" s="430"/>
      <c r="AD86" s="430"/>
      <c r="AE86" s="430"/>
      <c r="AF86" s="430"/>
      <c r="AG86" s="430"/>
      <c r="AH86" s="430"/>
      <c r="AI86" s="430"/>
      <c r="AJ86" s="430"/>
      <c r="AK86" s="430"/>
      <c r="AL86" s="430"/>
      <c r="AM86" s="430"/>
      <c r="AN86" s="430"/>
      <c r="AO86" s="430"/>
      <c r="AP86" s="430"/>
      <c r="AQ86" s="430"/>
      <c r="AR86" s="219">
        <f t="shared" si="49"/>
        <v>0</v>
      </c>
      <c r="AS86" s="220" t="str">
        <f t="shared" si="50"/>
        <v>-</v>
      </c>
      <c r="AT86" s="472" t="str">
        <f t="shared" si="51"/>
        <v>-</v>
      </c>
      <c r="AU86" s="472" t="str">
        <f t="shared" si="52"/>
        <v>-</v>
      </c>
      <c r="AV86" s="472" t="str">
        <f t="shared" si="53"/>
        <v>-</v>
      </c>
      <c r="AW86" s="472" t="str">
        <f t="shared" si="54"/>
        <v>-</v>
      </c>
      <c r="AX86" s="472" t="str">
        <f t="shared" si="55"/>
        <v>-</v>
      </c>
      <c r="AY86" s="472" t="str">
        <f t="shared" si="56"/>
        <v>-</v>
      </c>
      <c r="AZ86" s="472" t="str">
        <f t="shared" si="57"/>
        <v>-</v>
      </c>
      <c r="BA86" s="472" t="str">
        <f t="shared" si="58"/>
        <v>-</v>
      </c>
      <c r="BB86" s="472" t="str">
        <f t="shared" si="59"/>
        <v>-</v>
      </c>
      <c r="BC86" s="472" t="str">
        <f t="shared" si="60"/>
        <v>-</v>
      </c>
      <c r="BD86" s="472" t="str">
        <f t="shared" si="61"/>
        <v>-</v>
      </c>
      <c r="BE86" s="472" t="str">
        <f t="shared" si="62"/>
        <v>-</v>
      </c>
      <c r="BF86" s="472" t="str">
        <f t="shared" si="63"/>
        <v>-</v>
      </c>
      <c r="BG86" s="472" t="str">
        <f t="shared" si="64"/>
        <v>-</v>
      </c>
      <c r="BH86" s="472" t="str">
        <f t="shared" si="65"/>
        <v>-</v>
      </c>
      <c r="BI86" s="221" t="str">
        <f t="shared" si="66"/>
        <v>-</v>
      </c>
      <c r="BJ86" s="730"/>
      <c r="BK86" s="692"/>
      <c r="BL86" s="429"/>
      <c r="BM86" s="429"/>
      <c r="BN86" s="214">
        <f t="shared" si="67"/>
        <v>0</v>
      </c>
      <c r="BO86" s="738"/>
      <c r="BP86" s="740"/>
      <c r="BQ86" s="462"/>
      <c r="BR86" s="462"/>
      <c r="BS86" s="228">
        <f t="shared" si="68"/>
        <v>0</v>
      </c>
      <c r="BT86" s="229" t="str">
        <f t="shared" si="69"/>
        <v>-</v>
      </c>
      <c r="BU86" s="526" t="str">
        <f t="shared" si="70"/>
        <v>-</v>
      </c>
      <c r="BV86" s="526" t="str">
        <f t="shared" si="71"/>
        <v>-</v>
      </c>
      <c r="BW86" s="526" t="str">
        <f t="shared" si="72"/>
        <v>-</v>
      </c>
      <c r="BX86" s="230" t="str">
        <f t="shared" si="73"/>
        <v>-</v>
      </c>
      <c r="BY86" s="745"/>
      <c r="BZ86" s="735"/>
      <c r="CA86" s="746"/>
      <c r="CB86" s="229" t="str">
        <f t="shared" si="74"/>
        <v>-</v>
      </c>
      <c r="CC86" s="529" t="str">
        <f t="shared" si="75"/>
        <v>-</v>
      </c>
      <c r="CD86" s="230" t="str">
        <f t="shared" si="76"/>
        <v>-</v>
      </c>
    </row>
    <row r="87" spans="1:82" ht="15.6" customHeight="1">
      <c r="A87" s="175">
        <f t="shared" si="46"/>
        <v>2022</v>
      </c>
      <c r="B87" s="454" t="str">
        <f t="shared" si="47"/>
        <v>30</v>
      </c>
      <c r="C87" s="454" t="str">
        <f t="array" ref="C87">_xlfn.IFS(_xlfn.NUMBERVALUE(B87)&lt;=13,"Q1",AND(_xlfn.NUMBERVALUE(B87)&gt;13,_xlfn.NUMBERVALUE(B87)&lt;=26),"Q2", AND(_xlfn.NUMBERVALUE(B87)&gt;26,_xlfn.NUMBERVALUE(B87)&lt;=39),"Q3",_xlfn.NUMBERVALUE(B87)&gt;39,"Q4")</f>
        <v>Q3</v>
      </c>
      <c r="D87" s="448">
        <f t="shared" si="77"/>
        <v>44429</v>
      </c>
      <c r="E87" s="448">
        <f t="shared" si="48"/>
        <v>44435</v>
      </c>
      <c r="F87" s="97">
        <v>202130</v>
      </c>
      <c r="G87" s="103"/>
      <c r="H87" s="429"/>
      <c r="I87" s="429"/>
      <c r="J87" s="429"/>
      <c r="K87" s="429"/>
      <c r="L87" s="429"/>
      <c r="M87" s="429"/>
      <c r="N87" s="429"/>
      <c r="O87" s="429"/>
      <c r="P87" s="429"/>
      <c r="Q87" s="429"/>
      <c r="R87" s="429"/>
      <c r="S87" s="429"/>
      <c r="T87" s="429"/>
      <c r="U87" s="429"/>
      <c r="V87" s="429"/>
      <c r="W87" s="429"/>
      <c r="X87" s="429"/>
      <c r="Y87" s="449">
        <f t="shared" si="45"/>
        <v>0</v>
      </c>
      <c r="Z87" s="449">
        <f t="shared" si="78"/>
        <v>0</v>
      </c>
      <c r="AA87" s="214">
        <f>'Overall Metrics'!N88</f>
        <v>0</v>
      </c>
      <c r="AB87" s="110"/>
      <c r="AC87" s="430"/>
      <c r="AD87" s="430"/>
      <c r="AE87" s="430"/>
      <c r="AF87" s="430"/>
      <c r="AG87" s="430"/>
      <c r="AH87" s="430"/>
      <c r="AI87" s="430"/>
      <c r="AJ87" s="430"/>
      <c r="AK87" s="430"/>
      <c r="AL87" s="430"/>
      <c r="AM87" s="430"/>
      <c r="AN87" s="430"/>
      <c r="AO87" s="430"/>
      <c r="AP87" s="430"/>
      <c r="AQ87" s="430"/>
      <c r="AR87" s="219">
        <f t="shared" si="49"/>
        <v>0</v>
      </c>
      <c r="AS87" s="220" t="str">
        <f t="shared" si="50"/>
        <v>-</v>
      </c>
      <c r="AT87" s="472" t="str">
        <f t="shared" si="51"/>
        <v>-</v>
      </c>
      <c r="AU87" s="472" t="str">
        <f t="shared" si="52"/>
        <v>-</v>
      </c>
      <c r="AV87" s="472" t="str">
        <f t="shared" si="53"/>
        <v>-</v>
      </c>
      <c r="AW87" s="472" t="str">
        <f t="shared" si="54"/>
        <v>-</v>
      </c>
      <c r="AX87" s="472" t="str">
        <f t="shared" si="55"/>
        <v>-</v>
      </c>
      <c r="AY87" s="472" t="str">
        <f t="shared" si="56"/>
        <v>-</v>
      </c>
      <c r="AZ87" s="472" t="str">
        <f t="shared" si="57"/>
        <v>-</v>
      </c>
      <c r="BA87" s="472" t="str">
        <f t="shared" si="58"/>
        <v>-</v>
      </c>
      <c r="BB87" s="472" t="str">
        <f t="shared" si="59"/>
        <v>-</v>
      </c>
      <c r="BC87" s="472" t="str">
        <f t="shared" si="60"/>
        <v>-</v>
      </c>
      <c r="BD87" s="472" t="str">
        <f t="shared" si="61"/>
        <v>-</v>
      </c>
      <c r="BE87" s="472" t="str">
        <f t="shared" si="62"/>
        <v>-</v>
      </c>
      <c r="BF87" s="472" t="str">
        <f t="shared" si="63"/>
        <v>-</v>
      </c>
      <c r="BG87" s="472" t="str">
        <f t="shared" si="64"/>
        <v>-</v>
      </c>
      <c r="BH87" s="472" t="str">
        <f t="shared" si="65"/>
        <v>-</v>
      </c>
      <c r="BI87" s="221" t="str">
        <f t="shared" si="66"/>
        <v>-</v>
      </c>
      <c r="BJ87" s="730"/>
      <c r="BK87" s="692"/>
      <c r="BL87" s="429"/>
      <c r="BM87" s="429"/>
      <c r="BN87" s="214">
        <f t="shared" si="67"/>
        <v>0</v>
      </c>
      <c r="BO87" s="738"/>
      <c r="BP87" s="740"/>
      <c r="BQ87" s="462"/>
      <c r="BR87" s="462"/>
      <c r="BS87" s="228">
        <f t="shared" si="68"/>
        <v>0</v>
      </c>
      <c r="BT87" s="229" t="str">
        <f t="shared" si="69"/>
        <v>-</v>
      </c>
      <c r="BU87" s="526" t="str">
        <f t="shared" si="70"/>
        <v>-</v>
      </c>
      <c r="BV87" s="526" t="str">
        <f t="shared" si="71"/>
        <v>-</v>
      </c>
      <c r="BW87" s="526" t="str">
        <f t="shared" si="72"/>
        <v>-</v>
      </c>
      <c r="BX87" s="230" t="str">
        <f t="shared" si="73"/>
        <v>-</v>
      </c>
      <c r="BY87" s="745"/>
      <c r="BZ87" s="735"/>
      <c r="CA87" s="746"/>
      <c r="CB87" s="229" t="str">
        <f t="shared" si="74"/>
        <v>-</v>
      </c>
      <c r="CC87" s="529" t="str">
        <f t="shared" si="75"/>
        <v>-</v>
      </c>
      <c r="CD87" s="230" t="str">
        <f t="shared" si="76"/>
        <v>-</v>
      </c>
    </row>
    <row r="88" spans="1:82" ht="15.6" customHeight="1">
      <c r="A88" s="175">
        <f t="shared" si="46"/>
        <v>2022</v>
      </c>
      <c r="B88" s="454" t="str">
        <f t="shared" si="47"/>
        <v>31</v>
      </c>
      <c r="C88" s="454" t="str">
        <f t="array" ref="C88">_xlfn.IFS(_xlfn.NUMBERVALUE(B88)&lt;=13,"Q1",AND(_xlfn.NUMBERVALUE(B88)&gt;13,_xlfn.NUMBERVALUE(B88)&lt;=26),"Q2", AND(_xlfn.NUMBERVALUE(B88)&gt;26,_xlfn.NUMBERVALUE(B88)&lt;=39),"Q3",_xlfn.NUMBERVALUE(B88)&gt;39,"Q4")</f>
        <v>Q3</v>
      </c>
      <c r="D88" s="448">
        <f t="shared" si="77"/>
        <v>44436</v>
      </c>
      <c r="E88" s="448">
        <f t="shared" si="48"/>
        <v>44442</v>
      </c>
      <c r="F88" s="97">
        <v>202131</v>
      </c>
      <c r="G88" s="103"/>
      <c r="H88" s="429"/>
      <c r="I88" s="429"/>
      <c r="J88" s="429"/>
      <c r="K88" s="429"/>
      <c r="L88" s="429"/>
      <c r="M88" s="429"/>
      <c r="N88" s="429"/>
      <c r="O88" s="429"/>
      <c r="P88" s="429"/>
      <c r="Q88" s="429"/>
      <c r="R88" s="429"/>
      <c r="S88" s="429"/>
      <c r="T88" s="429"/>
      <c r="U88" s="429"/>
      <c r="V88" s="429"/>
      <c r="W88" s="429"/>
      <c r="X88" s="429"/>
      <c r="Y88" s="449">
        <f t="shared" si="45"/>
        <v>0</v>
      </c>
      <c r="Z88" s="449">
        <f t="shared" si="78"/>
        <v>0</v>
      </c>
      <c r="AA88" s="214">
        <f>'Overall Metrics'!N89</f>
        <v>0</v>
      </c>
      <c r="AB88" s="110"/>
      <c r="AC88" s="430"/>
      <c r="AD88" s="430"/>
      <c r="AE88" s="430"/>
      <c r="AF88" s="430"/>
      <c r="AG88" s="430"/>
      <c r="AH88" s="430"/>
      <c r="AI88" s="430"/>
      <c r="AJ88" s="430"/>
      <c r="AK88" s="430"/>
      <c r="AL88" s="430"/>
      <c r="AM88" s="430"/>
      <c r="AN88" s="430"/>
      <c r="AO88" s="430"/>
      <c r="AP88" s="430"/>
      <c r="AQ88" s="430"/>
      <c r="AR88" s="219">
        <f t="shared" si="49"/>
        <v>0</v>
      </c>
      <c r="AS88" s="220" t="str">
        <f t="shared" si="50"/>
        <v>-</v>
      </c>
      <c r="AT88" s="472" t="str">
        <f t="shared" si="51"/>
        <v>-</v>
      </c>
      <c r="AU88" s="472" t="str">
        <f t="shared" si="52"/>
        <v>-</v>
      </c>
      <c r="AV88" s="472" t="str">
        <f t="shared" si="53"/>
        <v>-</v>
      </c>
      <c r="AW88" s="472" t="str">
        <f t="shared" si="54"/>
        <v>-</v>
      </c>
      <c r="AX88" s="472" t="str">
        <f t="shared" si="55"/>
        <v>-</v>
      </c>
      <c r="AY88" s="472" t="str">
        <f t="shared" si="56"/>
        <v>-</v>
      </c>
      <c r="AZ88" s="472" t="str">
        <f t="shared" si="57"/>
        <v>-</v>
      </c>
      <c r="BA88" s="472" t="str">
        <f t="shared" si="58"/>
        <v>-</v>
      </c>
      <c r="BB88" s="472" t="str">
        <f t="shared" si="59"/>
        <v>-</v>
      </c>
      <c r="BC88" s="472" t="str">
        <f t="shared" si="60"/>
        <v>-</v>
      </c>
      <c r="BD88" s="472" t="str">
        <f t="shared" si="61"/>
        <v>-</v>
      </c>
      <c r="BE88" s="472" t="str">
        <f t="shared" si="62"/>
        <v>-</v>
      </c>
      <c r="BF88" s="472" t="str">
        <f t="shared" si="63"/>
        <v>-</v>
      </c>
      <c r="BG88" s="472" t="str">
        <f t="shared" si="64"/>
        <v>-</v>
      </c>
      <c r="BH88" s="472" t="str">
        <f t="shared" si="65"/>
        <v>-</v>
      </c>
      <c r="BI88" s="221" t="str">
        <f t="shared" si="66"/>
        <v>-</v>
      </c>
      <c r="BJ88" s="730"/>
      <c r="BK88" s="692"/>
      <c r="BL88" s="429"/>
      <c r="BM88" s="429"/>
      <c r="BN88" s="214">
        <f t="shared" si="67"/>
        <v>0</v>
      </c>
      <c r="BO88" s="738"/>
      <c r="BP88" s="740"/>
      <c r="BQ88" s="462"/>
      <c r="BR88" s="462"/>
      <c r="BS88" s="228">
        <f t="shared" si="68"/>
        <v>0</v>
      </c>
      <c r="BT88" s="229" t="str">
        <f t="shared" si="69"/>
        <v>-</v>
      </c>
      <c r="BU88" s="526" t="str">
        <f t="shared" si="70"/>
        <v>-</v>
      </c>
      <c r="BV88" s="526" t="str">
        <f t="shared" si="71"/>
        <v>-</v>
      </c>
      <c r="BW88" s="526" t="str">
        <f t="shared" si="72"/>
        <v>-</v>
      </c>
      <c r="BX88" s="230" t="str">
        <f t="shared" si="73"/>
        <v>-</v>
      </c>
      <c r="BY88" s="745"/>
      <c r="BZ88" s="735"/>
      <c r="CA88" s="746"/>
      <c r="CB88" s="229" t="str">
        <f t="shared" si="74"/>
        <v>-</v>
      </c>
      <c r="CC88" s="529" t="str">
        <f t="shared" si="75"/>
        <v>-</v>
      </c>
      <c r="CD88" s="230" t="str">
        <f t="shared" si="76"/>
        <v>-</v>
      </c>
    </row>
    <row r="89" spans="1:82" ht="15.6" customHeight="1">
      <c r="A89" s="175">
        <f t="shared" si="46"/>
        <v>2022</v>
      </c>
      <c r="B89" s="454" t="str">
        <f t="shared" si="47"/>
        <v>32</v>
      </c>
      <c r="C89" s="454" t="str">
        <f t="array" ref="C89">_xlfn.IFS(_xlfn.NUMBERVALUE(B89)&lt;=13,"Q1",AND(_xlfn.NUMBERVALUE(B89)&gt;13,_xlfn.NUMBERVALUE(B89)&lt;=26),"Q2", AND(_xlfn.NUMBERVALUE(B89)&gt;26,_xlfn.NUMBERVALUE(B89)&lt;=39),"Q3",_xlfn.NUMBERVALUE(B89)&gt;39,"Q4")</f>
        <v>Q3</v>
      </c>
      <c r="D89" s="448">
        <f t="shared" si="77"/>
        <v>44443</v>
      </c>
      <c r="E89" s="448">
        <f t="shared" si="48"/>
        <v>44449</v>
      </c>
      <c r="F89" s="97">
        <v>202132</v>
      </c>
      <c r="G89" s="103"/>
      <c r="H89" s="429"/>
      <c r="I89" s="429"/>
      <c r="J89" s="429"/>
      <c r="K89" s="429"/>
      <c r="L89" s="429"/>
      <c r="M89" s="429"/>
      <c r="N89" s="429"/>
      <c r="O89" s="429"/>
      <c r="P89" s="429"/>
      <c r="Q89" s="429"/>
      <c r="R89" s="429"/>
      <c r="S89" s="429"/>
      <c r="T89" s="429"/>
      <c r="U89" s="429"/>
      <c r="V89" s="429"/>
      <c r="W89" s="429"/>
      <c r="X89" s="429"/>
      <c r="Y89" s="449">
        <f t="shared" si="45"/>
        <v>0</v>
      </c>
      <c r="Z89" s="449">
        <f t="shared" si="78"/>
        <v>0</v>
      </c>
      <c r="AA89" s="214">
        <f>'Overall Metrics'!N90</f>
        <v>0</v>
      </c>
      <c r="AB89" s="110"/>
      <c r="AC89" s="430"/>
      <c r="AD89" s="430"/>
      <c r="AE89" s="430"/>
      <c r="AF89" s="430"/>
      <c r="AG89" s="430"/>
      <c r="AH89" s="430"/>
      <c r="AI89" s="430"/>
      <c r="AJ89" s="430"/>
      <c r="AK89" s="430"/>
      <c r="AL89" s="430"/>
      <c r="AM89" s="430"/>
      <c r="AN89" s="430"/>
      <c r="AO89" s="430"/>
      <c r="AP89" s="430"/>
      <c r="AQ89" s="430"/>
      <c r="AR89" s="219">
        <f t="shared" si="49"/>
        <v>0</v>
      </c>
      <c r="AS89" s="220" t="str">
        <f t="shared" si="50"/>
        <v>-</v>
      </c>
      <c r="AT89" s="472" t="str">
        <f t="shared" si="51"/>
        <v>-</v>
      </c>
      <c r="AU89" s="472" t="str">
        <f t="shared" si="52"/>
        <v>-</v>
      </c>
      <c r="AV89" s="472" t="str">
        <f t="shared" si="53"/>
        <v>-</v>
      </c>
      <c r="AW89" s="472" t="str">
        <f t="shared" si="54"/>
        <v>-</v>
      </c>
      <c r="AX89" s="472" t="str">
        <f t="shared" si="55"/>
        <v>-</v>
      </c>
      <c r="AY89" s="472" t="str">
        <f t="shared" si="56"/>
        <v>-</v>
      </c>
      <c r="AZ89" s="472" t="str">
        <f t="shared" si="57"/>
        <v>-</v>
      </c>
      <c r="BA89" s="472" t="str">
        <f t="shared" si="58"/>
        <v>-</v>
      </c>
      <c r="BB89" s="472" t="str">
        <f t="shared" si="59"/>
        <v>-</v>
      </c>
      <c r="BC89" s="472" t="str">
        <f t="shared" si="60"/>
        <v>-</v>
      </c>
      <c r="BD89" s="472" t="str">
        <f t="shared" si="61"/>
        <v>-</v>
      </c>
      <c r="BE89" s="472" t="str">
        <f t="shared" si="62"/>
        <v>-</v>
      </c>
      <c r="BF89" s="472" t="str">
        <f t="shared" si="63"/>
        <v>-</v>
      </c>
      <c r="BG89" s="472" t="str">
        <f t="shared" si="64"/>
        <v>-</v>
      </c>
      <c r="BH89" s="472" t="str">
        <f t="shared" si="65"/>
        <v>-</v>
      </c>
      <c r="BI89" s="221" t="str">
        <f t="shared" si="66"/>
        <v>-</v>
      </c>
      <c r="BJ89" s="730"/>
      <c r="BK89" s="692"/>
      <c r="BL89" s="429"/>
      <c r="BM89" s="429"/>
      <c r="BN89" s="214">
        <f t="shared" si="67"/>
        <v>0</v>
      </c>
      <c r="BO89" s="738"/>
      <c r="BP89" s="740"/>
      <c r="BQ89" s="462"/>
      <c r="BR89" s="462"/>
      <c r="BS89" s="228">
        <f t="shared" si="68"/>
        <v>0</v>
      </c>
      <c r="BT89" s="229" t="str">
        <f t="shared" si="69"/>
        <v>-</v>
      </c>
      <c r="BU89" s="526" t="str">
        <f t="shared" si="70"/>
        <v>-</v>
      </c>
      <c r="BV89" s="526" t="str">
        <f t="shared" si="71"/>
        <v>-</v>
      </c>
      <c r="BW89" s="526" t="str">
        <f t="shared" si="72"/>
        <v>-</v>
      </c>
      <c r="BX89" s="230" t="str">
        <f t="shared" si="73"/>
        <v>-</v>
      </c>
      <c r="BY89" s="745"/>
      <c r="BZ89" s="735"/>
      <c r="CA89" s="746"/>
      <c r="CB89" s="229" t="str">
        <f t="shared" si="74"/>
        <v>-</v>
      </c>
      <c r="CC89" s="529" t="str">
        <f t="shared" si="75"/>
        <v>-</v>
      </c>
      <c r="CD89" s="230" t="str">
        <f t="shared" si="76"/>
        <v>-</v>
      </c>
    </row>
    <row r="90" spans="1:82" ht="15.6" customHeight="1">
      <c r="A90" s="175">
        <f t="shared" si="46"/>
        <v>2022</v>
      </c>
      <c r="B90" s="454" t="str">
        <f t="shared" si="47"/>
        <v>33</v>
      </c>
      <c r="C90" s="454" t="str">
        <f t="array" ref="C90">_xlfn.IFS(_xlfn.NUMBERVALUE(B90)&lt;=13,"Q1",AND(_xlfn.NUMBERVALUE(B90)&gt;13,_xlfn.NUMBERVALUE(B90)&lt;=26),"Q2", AND(_xlfn.NUMBERVALUE(B90)&gt;26,_xlfn.NUMBERVALUE(B90)&lt;=39),"Q3",_xlfn.NUMBERVALUE(B90)&gt;39,"Q4")</f>
        <v>Q3</v>
      </c>
      <c r="D90" s="448">
        <f t="shared" si="77"/>
        <v>44450</v>
      </c>
      <c r="E90" s="448">
        <f t="shared" si="48"/>
        <v>44456</v>
      </c>
      <c r="F90" s="97">
        <v>202133</v>
      </c>
      <c r="G90" s="103"/>
      <c r="H90" s="429"/>
      <c r="I90" s="429"/>
      <c r="J90" s="429"/>
      <c r="K90" s="429"/>
      <c r="L90" s="429"/>
      <c r="M90" s="429"/>
      <c r="N90" s="429"/>
      <c r="O90" s="429"/>
      <c r="P90" s="429"/>
      <c r="Q90" s="429"/>
      <c r="R90" s="429"/>
      <c r="S90" s="429"/>
      <c r="T90" s="429"/>
      <c r="U90" s="429"/>
      <c r="V90" s="429"/>
      <c r="W90" s="429"/>
      <c r="X90" s="429"/>
      <c r="Y90" s="449">
        <f t="shared" si="45"/>
        <v>0</v>
      </c>
      <c r="Z90" s="449">
        <f t="shared" si="78"/>
        <v>0</v>
      </c>
      <c r="AA90" s="214">
        <f>'Overall Metrics'!N91</f>
        <v>0</v>
      </c>
      <c r="AB90" s="110"/>
      <c r="AC90" s="430"/>
      <c r="AD90" s="430"/>
      <c r="AE90" s="430"/>
      <c r="AF90" s="430"/>
      <c r="AG90" s="430"/>
      <c r="AH90" s="430"/>
      <c r="AI90" s="430"/>
      <c r="AJ90" s="430"/>
      <c r="AK90" s="430"/>
      <c r="AL90" s="430"/>
      <c r="AM90" s="430"/>
      <c r="AN90" s="430"/>
      <c r="AO90" s="430"/>
      <c r="AP90" s="430"/>
      <c r="AQ90" s="430"/>
      <c r="AR90" s="219">
        <f t="shared" si="49"/>
        <v>0</v>
      </c>
      <c r="AS90" s="220" t="str">
        <f t="shared" si="50"/>
        <v>-</v>
      </c>
      <c r="AT90" s="472" t="str">
        <f t="shared" si="51"/>
        <v>-</v>
      </c>
      <c r="AU90" s="472" t="str">
        <f t="shared" si="52"/>
        <v>-</v>
      </c>
      <c r="AV90" s="472" t="str">
        <f t="shared" si="53"/>
        <v>-</v>
      </c>
      <c r="AW90" s="472" t="str">
        <f t="shared" si="54"/>
        <v>-</v>
      </c>
      <c r="AX90" s="472" t="str">
        <f t="shared" si="55"/>
        <v>-</v>
      </c>
      <c r="AY90" s="472" t="str">
        <f t="shared" si="56"/>
        <v>-</v>
      </c>
      <c r="AZ90" s="472" t="str">
        <f t="shared" si="57"/>
        <v>-</v>
      </c>
      <c r="BA90" s="472" t="str">
        <f t="shared" si="58"/>
        <v>-</v>
      </c>
      <c r="BB90" s="472" t="str">
        <f t="shared" si="59"/>
        <v>-</v>
      </c>
      <c r="BC90" s="472" t="str">
        <f t="shared" si="60"/>
        <v>-</v>
      </c>
      <c r="BD90" s="472" t="str">
        <f t="shared" si="61"/>
        <v>-</v>
      </c>
      <c r="BE90" s="472" t="str">
        <f t="shared" si="62"/>
        <v>-</v>
      </c>
      <c r="BF90" s="472" t="str">
        <f t="shared" si="63"/>
        <v>-</v>
      </c>
      <c r="BG90" s="472" t="str">
        <f t="shared" si="64"/>
        <v>-</v>
      </c>
      <c r="BH90" s="472" t="str">
        <f t="shared" si="65"/>
        <v>-</v>
      </c>
      <c r="BI90" s="221" t="str">
        <f t="shared" si="66"/>
        <v>-</v>
      </c>
      <c r="BJ90" s="730"/>
      <c r="BK90" s="692"/>
      <c r="BL90" s="429"/>
      <c r="BM90" s="429"/>
      <c r="BN90" s="214">
        <f t="shared" si="67"/>
        <v>0</v>
      </c>
      <c r="BO90" s="738"/>
      <c r="BP90" s="740"/>
      <c r="BQ90" s="462"/>
      <c r="BR90" s="462"/>
      <c r="BS90" s="228">
        <f t="shared" si="68"/>
        <v>0</v>
      </c>
      <c r="BT90" s="229" t="str">
        <f t="shared" si="69"/>
        <v>-</v>
      </c>
      <c r="BU90" s="526" t="str">
        <f t="shared" si="70"/>
        <v>-</v>
      </c>
      <c r="BV90" s="526" t="str">
        <f t="shared" si="71"/>
        <v>-</v>
      </c>
      <c r="BW90" s="526" t="str">
        <f t="shared" si="72"/>
        <v>-</v>
      </c>
      <c r="BX90" s="230" t="str">
        <f t="shared" si="73"/>
        <v>-</v>
      </c>
      <c r="BY90" s="745"/>
      <c r="BZ90" s="735"/>
      <c r="CA90" s="746"/>
      <c r="CB90" s="229" t="str">
        <f t="shared" si="74"/>
        <v>-</v>
      </c>
      <c r="CC90" s="529" t="str">
        <f t="shared" si="75"/>
        <v>-</v>
      </c>
      <c r="CD90" s="230" t="str">
        <f t="shared" si="76"/>
        <v>-</v>
      </c>
    </row>
    <row r="91" spans="1:82" ht="15.6" customHeight="1">
      <c r="A91" s="175">
        <f t="shared" si="46"/>
        <v>2022</v>
      </c>
      <c r="B91" s="454" t="str">
        <f t="shared" si="47"/>
        <v>34</v>
      </c>
      <c r="C91" s="454" t="str">
        <f t="array" ref="C91">_xlfn.IFS(_xlfn.NUMBERVALUE(B91)&lt;=13,"Q1",AND(_xlfn.NUMBERVALUE(B91)&gt;13,_xlfn.NUMBERVALUE(B91)&lt;=26),"Q2", AND(_xlfn.NUMBERVALUE(B91)&gt;26,_xlfn.NUMBERVALUE(B91)&lt;=39),"Q3",_xlfn.NUMBERVALUE(B91)&gt;39,"Q4")</f>
        <v>Q3</v>
      </c>
      <c r="D91" s="448">
        <f t="shared" si="77"/>
        <v>44457</v>
      </c>
      <c r="E91" s="448">
        <f t="shared" si="48"/>
        <v>44463</v>
      </c>
      <c r="F91" s="97">
        <v>202134</v>
      </c>
      <c r="G91" s="103"/>
      <c r="H91" s="429"/>
      <c r="I91" s="429"/>
      <c r="J91" s="429"/>
      <c r="K91" s="429"/>
      <c r="L91" s="429"/>
      <c r="M91" s="429"/>
      <c r="N91" s="429"/>
      <c r="O91" s="429"/>
      <c r="P91" s="429"/>
      <c r="Q91" s="429"/>
      <c r="R91" s="429"/>
      <c r="S91" s="429"/>
      <c r="T91" s="429"/>
      <c r="U91" s="429"/>
      <c r="V91" s="429"/>
      <c r="W91" s="429"/>
      <c r="X91" s="429"/>
      <c r="Y91" s="449">
        <f t="shared" si="45"/>
        <v>0</v>
      </c>
      <c r="Z91" s="449">
        <f t="shared" si="78"/>
        <v>0</v>
      </c>
      <c r="AA91" s="214">
        <f>'Overall Metrics'!N92</f>
        <v>0</v>
      </c>
      <c r="AB91" s="110"/>
      <c r="AC91" s="430"/>
      <c r="AD91" s="430"/>
      <c r="AE91" s="430"/>
      <c r="AF91" s="430"/>
      <c r="AG91" s="430"/>
      <c r="AH91" s="430"/>
      <c r="AI91" s="430"/>
      <c r="AJ91" s="430"/>
      <c r="AK91" s="430"/>
      <c r="AL91" s="430"/>
      <c r="AM91" s="430"/>
      <c r="AN91" s="430"/>
      <c r="AO91" s="430"/>
      <c r="AP91" s="430"/>
      <c r="AQ91" s="430"/>
      <c r="AR91" s="219">
        <f t="shared" si="49"/>
        <v>0</v>
      </c>
      <c r="AS91" s="220" t="str">
        <f t="shared" si="50"/>
        <v>-</v>
      </c>
      <c r="AT91" s="472" t="str">
        <f t="shared" si="51"/>
        <v>-</v>
      </c>
      <c r="AU91" s="472" t="str">
        <f t="shared" si="52"/>
        <v>-</v>
      </c>
      <c r="AV91" s="472" t="str">
        <f t="shared" si="53"/>
        <v>-</v>
      </c>
      <c r="AW91" s="472" t="str">
        <f t="shared" si="54"/>
        <v>-</v>
      </c>
      <c r="AX91" s="472" t="str">
        <f t="shared" si="55"/>
        <v>-</v>
      </c>
      <c r="AY91" s="472" t="str">
        <f t="shared" si="56"/>
        <v>-</v>
      </c>
      <c r="AZ91" s="472" t="str">
        <f t="shared" si="57"/>
        <v>-</v>
      </c>
      <c r="BA91" s="472" t="str">
        <f t="shared" si="58"/>
        <v>-</v>
      </c>
      <c r="BB91" s="472" t="str">
        <f t="shared" si="59"/>
        <v>-</v>
      </c>
      <c r="BC91" s="472" t="str">
        <f t="shared" si="60"/>
        <v>-</v>
      </c>
      <c r="BD91" s="472" t="str">
        <f t="shared" si="61"/>
        <v>-</v>
      </c>
      <c r="BE91" s="472" t="str">
        <f t="shared" si="62"/>
        <v>-</v>
      </c>
      <c r="BF91" s="472" t="str">
        <f t="shared" si="63"/>
        <v>-</v>
      </c>
      <c r="BG91" s="472" t="str">
        <f t="shared" si="64"/>
        <v>-</v>
      </c>
      <c r="BH91" s="472" t="str">
        <f t="shared" si="65"/>
        <v>-</v>
      </c>
      <c r="BI91" s="221" t="str">
        <f t="shared" si="66"/>
        <v>-</v>
      </c>
      <c r="BJ91" s="730"/>
      <c r="BK91" s="692"/>
      <c r="BL91" s="429"/>
      <c r="BM91" s="429"/>
      <c r="BN91" s="214">
        <f t="shared" si="67"/>
        <v>0</v>
      </c>
      <c r="BO91" s="738"/>
      <c r="BP91" s="740"/>
      <c r="BQ91" s="462"/>
      <c r="BR91" s="462"/>
      <c r="BS91" s="228">
        <f t="shared" si="68"/>
        <v>0</v>
      </c>
      <c r="BT91" s="229" t="str">
        <f t="shared" si="69"/>
        <v>-</v>
      </c>
      <c r="BU91" s="526" t="str">
        <f t="shared" si="70"/>
        <v>-</v>
      </c>
      <c r="BV91" s="526" t="str">
        <f t="shared" si="71"/>
        <v>-</v>
      </c>
      <c r="BW91" s="526" t="str">
        <f t="shared" si="72"/>
        <v>-</v>
      </c>
      <c r="BX91" s="230" t="str">
        <f t="shared" si="73"/>
        <v>-</v>
      </c>
      <c r="BY91" s="745"/>
      <c r="BZ91" s="735"/>
      <c r="CA91" s="746"/>
      <c r="CB91" s="229" t="str">
        <f t="shared" si="74"/>
        <v>-</v>
      </c>
      <c r="CC91" s="529" t="str">
        <f t="shared" si="75"/>
        <v>-</v>
      </c>
      <c r="CD91" s="230" t="str">
        <f t="shared" si="76"/>
        <v>-</v>
      </c>
    </row>
    <row r="92" spans="1:82" ht="15.6" customHeight="1">
      <c r="A92" s="175">
        <f t="shared" si="46"/>
        <v>2022</v>
      </c>
      <c r="B92" s="454" t="str">
        <f t="shared" si="47"/>
        <v>35</v>
      </c>
      <c r="C92" s="454" t="str">
        <f t="array" ref="C92">_xlfn.IFS(_xlfn.NUMBERVALUE(B92)&lt;=13,"Q1",AND(_xlfn.NUMBERVALUE(B92)&gt;13,_xlfn.NUMBERVALUE(B92)&lt;=26),"Q2", AND(_xlfn.NUMBERVALUE(B92)&gt;26,_xlfn.NUMBERVALUE(B92)&lt;=39),"Q3",_xlfn.NUMBERVALUE(B92)&gt;39,"Q4")</f>
        <v>Q3</v>
      </c>
      <c r="D92" s="448">
        <f t="shared" si="77"/>
        <v>44464</v>
      </c>
      <c r="E92" s="448">
        <f t="shared" si="48"/>
        <v>44470</v>
      </c>
      <c r="F92" s="97">
        <v>202135</v>
      </c>
      <c r="G92" s="103"/>
      <c r="H92" s="429"/>
      <c r="I92" s="429"/>
      <c r="J92" s="429"/>
      <c r="K92" s="429"/>
      <c r="L92" s="429"/>
      <c r="M92" s="429"/>
      <c r="N92" s="429"/>
      <c r="O92" s="429"/>
      <c r="P92" s="429"/>
      <c r="Q92" s="429"/>
      <c r="R92" s="429"/>
      <c r="S92" s="429"/>
      <c r="T92" s="429"/>
      <c r="U92" s="429"/>
      <c r="V92" s="429"/>
      <c r="W92" s="429"/>
      <c r="X92" s="429"/>
      <c r="Y92" s="449">
        <f t="shared" si="45"/>
        <v>0</v>
      </c>
      <c r="Z92" s="449">
        <f t="shared" si="78"/>
        <v>0</v>
      </c>
      <c r="AA92" s="214">
        <f>'Overall Metrics'!N93</f>
        <v>0</v>
      </c>
      <c r="AB92" s="110"/>
      <c r="AC92" s="430"/>
      <c r="AD92" s="430"/>
      <c r="AE92" s="430"/>
      <c r="AF92" s="430"/>
      <c r="AG92" s="430"/>
      <c r="AH92" s="430"/>
      <c r="AI92" s="430"/>
      <c r="AJ92" s="430"/>
      <c r="AK92" s="430"/>
      <c r="AL92" s="430"/>
      <c r="AM92" s="430"/>
      <c r="AN92" s="430"/>
      <c r="AO92" s="430"/>
      <c r="AP92" s="430"/>
      <c r="AQ92" s="430"/>
      <c r="AR92" s="219">
        <f t="shared" si="49"/>
        <v>0</v>
      </c>
      <c r="AS92" s="220" t="str">
        <f t="shared" si="50"/>
        <v>-</v>
      </c>
      <c r="AT92" s="472" t="str">
        <f t="shared" si="51"/>
        <v>-</v>
      </c>
      <c r="AU92" s="472" t="str">
        <f t="shared" si="52"/>
        <v>-</v>
      </c>
      <c r="AV92" s="472" t="str">
        <f t="shared" si="53"/>
        <v>-</v>
      </c>
      <c r="AW92" s="472" t="str">
        <f t="shared" si="54"/>
        <v>-</v>
      </c>
      <c r="AX92" s="472" t="str">
        <f t="shared" si="55"/>
        <v>-</v>
      </c>
      <c r="AY92" s="472" t="str">
        <f t="shared" si="56"/>
        <v>-</v>
      </c>
      <c r="AZ92" s="472" t="str">
        <f t="shared" si="57"/>
        <v>-</v>
      </c>
      <c r="BA92" s="472" t="str">
        <f t="shared" si="58"/>
        <v>-</v>
      </c>
      <c r="BB92" s="472" t="str">
        <f t="shared" si="59"/>
        <v>-</v>
      </c>
      <c r="BC92" s="472" t="str">
        <f t="shared" si="60"/>
        <v>-</v>
      </c>
      <c r="BD92" s="472" t="str">
        <f t="shared" si="61"/>
        <v>-</v>
      </c>
      <c r="BE92" s="472" t="str">
        <f t="shared" si="62"/>
        <v>-</v>
      </c>
      <c r="BF92" s="472" t="str">
        <f t="shared" si="63"/>
        <v>-</v>
      </c>
      <c r="BG92" s="472" t="str">
        <f t="shared" si="64"/>
        <v>-</v>
      </c>
      <c r="BH92" s="472" t="str">
        <f t="shared" si="65"/>
        <v>-</v>
      </c>
      <c r="BI92" s="221" t="str">
        <f t="shared" si="66"/>
        <v>-</v>
      </c>
      <c r="BJ92" s="730"/>
      <c r="BK92" s="692"/>
      <c r="BL92" s="429"/>
      <c r="BM92" s="429"/>
      <c r="BN92" s="214">
        <f t="shared" si="67"/>
        <v>0</v>
      </c>
      <c r="BO92" s="738"/>
      <c r="BP92" s="740"/>
      <c r="BQ92" s="462"/>
      <c r="BR92" s="462"/>
      <c r="BS92" s="228">
        <f t="shared" si="68"/>
        <v>0</v>
      </c>
      <c r="BT92" s="229" t="str">
        <f t="shared" si="69"/>
        <v>-</v>
      </c>
      <c r="BU92" s="526" t="str">
        <f t="shared" si="70"/>
        <v>-</v>
      </c>
      <c r="BV92" s="526" t="str">
        <f t="shared" si="71"/>
        <v>-</v>
      </c>
      <c r="BW92" s="526" t="str">
        <f t="shared" si="72"/>
        <v>-</v>
      </c>
      <c r="BX92" s="230" t="str">
        <f t="shared" si="73"/>
        <v>-</v>
      </c>
      <c r="BY92" s="745"/>
      <c r="BZ92" s="735"/>
      <c r="CA92" s="746"/>
      <c r="CB92" s="229" t="str">
        <f t="shared" si="74"/>
        <v>-</v>
      </c>
      <c r="CC92" s="529" t="str">
        <f t="shared" si="75"/>
        <v>-</v>
      </c>
      <c r="CD92" s="230" t="str">
        <f t="shared" si="76"/>
        <v>-</v>
      </c>
    </row>
    <row r="93" spans="1:82" ht="15.6" customHeight="1">
      <c r="A93" s="175">
        <f t="shared" si="46"/>
        <v>2022</v>
      </c>
      <c r="B93" s="454" t="str">
        <f t="shared" si="47"/>
        <v>36</v>
      </c>
      <c r="C93" s="454" t="str">
        <f t="array" ref="C93">_xlfn.IFS(_xlfn.NUMBERVALUE(B93)&lt;=13,"Q1",AND(_xlfn.NUMBERVALUE(B93)&gt;13,_xlfn.NUMBERVALUE(B93)&lt;=26),"Q2", AND(_xlfn.NUMBERVALUE(B93)&gt;26,_xlfn.NUMBERVALUE(B93)&lt;=39),"Q3",_xlfn.NUMBERVALUE(B93)&gt;39,"Q4")</f>
        <v>Q3</v>
      </c>
      <c r="D93" s="448">
        <f t="shared" si="77"/>
        <v>44471</v>
      </c>
      <c r="E93" s="448">
        <f t="shared" si="48"/>
        <v>44477</v>
      </c>
      <c r="F93" s="97">
        <v>202136</v>
      </c>
      <c r="G93" s="199"/>
      <c r="H93" s="464"/>
      <c r="I93" s="464"/>
      <c r="J93" s="464"/>
      <c r="K93" s="464"/>
      <c r="L93" s="464"/>
      <c r="M93" s="464"/>
      <c r="N93" s="464"/>
      <c r="O93" s="464"/>
      <c r="P93" s="464"/>
      <c r="Q93" s="464"/>
      <c r="R93" s="464"/>
      <c r="S93" s="464"/>
      <c r="T93" s="464"/>
      <c r="U93" s="464"/>
      <c r="V93" s="464"/>
      <c r="W93" s="464"/>
      <c r="X93" s="464"/>
      <c r="Y93" s="449">
        <f t="shared" si="45"/>
        <v>0</v>
      </c>
      <c r="Z93" s="449">
        <f t="shared" si="78"/>
        <v>0</v>
      </c>
      <c r="AA93" s="214">
        <f>'Overall Metrics'!N94</f>
        <v>0</v>
      </c>
      <c r="AB93" s="110"/>
      <c r="AC93" s="430"/>
      <c r="AD93" s="430"/>
      <c r="AE93" s="430"/>
      <c r="AF93" s="430"/>
      <c r="AG93" s="430"/>
      <c r="AH93" s="430"/>
      <c r="AI93" s="430"/>
      <c r="AJ93" s="430"/>
      <c r="AK93" s="430"/>
      <c r="AL93" s="430"/>
      <c r="AM93" s="430"/>
      <c r="AN93" s="430"/>
      <c r="AO93" s="430"/>
      <c r="AP93" s="430"/>
      <c r="AQ93" s="430"/>
      <c r="AR93" s="219">
        <f t="shared" si="49"/>
        <v>0</v>
      </c>
      <c r="AS93" s="220" t="str">
        <f t="shared" si="50"/>
        <v>-</v>
      </c>
      <c r="AT93" s="472" t="str">
        <f t="shared" si="51"/>
        <v>-</v>
      </c>
      <c r="AU93" s="472" t="str">
        <f t="shared" si="52"/>
        <v>-</v>
      </c>
      <c r="AV93" s="472" t="str">
        <f t="shared" si="53"/>
        <v>-</v>
      </c>
      <c r="AW93" s="472" t="str">
        <f t="shared" si="54"/>
        <v>-</v>
      </c>
      <c r="AX93" s="472" t="str">
        <f t="shared" si="55"/>
        <v>-</v>
      </c>
      <c r="AY93" s="472" t="str">
        <f t="shared" si="56"/>
        <v>-</v>
      </c>
      <c r="AZ93" s="472" t="str">
        <f t="shared" si="57"/>
        <v>-</v>
      </c>
      <c r="BA93" s="472" t="str">
        <f t="shared" si="58"/>
        <v>-</v>
      </c>
      <c r="BB93" s="472" t="str">
        <f t="shared" si="59"/>
        <v>-</v>
      </c>
      <c r="BC93" s="472" t="str">
        <f t="shared" si="60"/>
        <v>-</v>
      </c>
      <c r="BD93" s="472" t="str">
        <f t="shared" si="61"/>
        <v>-</v>
      </c>
      <c r="BE93" s="472" t="str">
        <f t="shared" si="62"/>
        <v>-</v>
      </c>
      <c r="BF93" s="472" t="str">
        <f t="shared" si="63"/>
        <v>-</v>
      </c>
      <c r="BG93" s="472" t="str">
        <f t="shared" si="64"/>
        <v>-</v>
      </c>
      <c r="BH93" s="472" t="str">
        <f t="shared" si="65"/>
        <v>-</v>
      </c>
      <c r="BI93" s="221" t="str">
        <f t="shared" si="66"/>
        <v>-</v>
      </c>
      <c r="BJ93" s="730"/>
      <c r="BK93" s="692"/>
      <c r="BL93" s="429"/>
      <c r="BM93" s="429"/>
      <c r="BN93" s="214">
        <f t="shared" si="67"/>
        <v>0</v>
      </c>
      <c r="BO93" s="738"/>
      <c r="BP93" s="740"/>
      <c r="BQ93" s="462"/>
      <c r="BR93" s="462"/>
      <c r="BS93" s="228">
        <f t="shared" si="68"/>
        <v>0</v>
      </c>
      <c r="BT93" s="229" t="str">
        <f t="shared" si="69"/>
        <v>-</v>
      </c>
      <c r="BU93" s="526" t="str">
        <f t="shared" si="70"/>
        <v>-</v>
      </c>
      <c r="BV93" s="526" t="str">
        <f t="shared" si="71"/>
        <v>-</v>
      </c>
      <c r="BW93" s="526" t="str">
        <f t="shared" si="72"/>
        <v>-</v>
      </c>
      <c r="BX93" s="230" t="str">
        <f t="shared" si="73"/>
        <v>-</v>
      </c>
      <c r="BY93" s="745"/>
      <c r="BZ93" s="735"/>
      <c r="CA93" s="746"/>
      <c r="CB93" s="229" t="str">
        <f t="shared" si="74"/>
        <v>-</v>
      </c>
      <c r="CC93" s="529" t="str">
        <f t="shared" si="75"/>
        <v>-</v>
      </c>
      <c r="CD93" s="230" t="str">
        <f t="shared" si="76"/>
        <v>-</v>
      </c>
    </row>
    <row r="94" spans="1:82" ht="15.6" customHeight="1">
      <c r="A94" s="175">
        <f t="shared" si="46"/>
        <v>2022</v>
      </c>
      <c r="B94" s="454" t="str">
        <f t="shared" si="47"/>
        <v>37</v>
      </c>
      <c r="C94" s="454" t="str">
        <f t="array" ref="C94">_xlfn.IFS(_xlfn.NUMBERVALUE(B94)&lt;=13,"Q1",AND(_xlfn.NUMBERVALUE(B94)&gt;13,_xlfn.NUMBERVALUE(B94)&lt;=26),"Q2", AND(_xlfn.NUMBERVALUE(B94)&gt;26,_xlfn.NUMBERVALUE(B94)&lt;=39),"Q3",_xlfn.NUMBERVALUE(B94)&gt;39,"Q4")</f>
        <v>Q3</v>
      </c>
      <c r="D94" s="448">
        <f t="shared" si="77"/>
        <v>44478</v>
      </c>
      <c r="E94" s="448">
        <f t="shared" si="48"/>
        <v>44484</v>
      </c>
      <c r="F94" s="97">
        <v>202137</v>
      </c>
      <c r="G94" s="103"/>
      <c r="H94" s="429"/>
      <c r="I94" s="429"/>
      <c r="J94" s="429"/>
      <c r="K94" s="429"/>
      <c r="L94" s="429"/>
      <c r="M94" s="429"/>
      <c r="N94" s="429"/>
      <c r="O94" s="429"/>
      <c r="P94" s="429"/>
      <c r="Q94" s="429"/>
      <c r="R94" s="429"/>
      <c r="S94" s="429"/>
      <c r="T94" s="429"/>
      <c r="U94" s="429"/>
      <c r="V94" s="429"/>
      <c r="W94" s="429"/>
      <c r="X94" s="429"/>
      <c r="Y94" s="449">
        <f t="shared" si="45"/>
        <v>0</v>
      </c>
      <c r="Z94" s="449">
        <f t="shared" si="78"/>
        <v>0</v>
      </c>
      <c r="AA94" s="214">
        <f>'Overall Metrics'!N95</f>
        <v>0</v>
      </c>
      <c r="AB94" s="110"/>
      <c r="AC94" s="430"/>
      <c r="AD94" s="430"/>
      <c r="AE94" s="430"/>
      <c r="AF94" s="430"/>
      <c r="AG94" s="430"/>
      <c r="AH94" s="430"/>
      <c r="AI94" s="430"/>
      <c r="AJ94" s="430"/>
      <c r="AK94" s="430"/>
      <c r="AL94" s="430"/>
      <c r="AM94" s="430"/>
      <c r="AN94" s="430"/>
      <c r="AO94" s="430"/>
      <c r="AP94" s="430"/>
      <c r="AQ94" s="430"/>
      <c r="AR94" s="219">
        <f t="shared" si="49"/>
        <v>0</v>
      </c>
      <c r="AS94" s="220" t="str">
        <f t="shared" si="50"/>
        <v>-</v>
      </c>
      <c r="AT94" s="472" t="str">
        <f t="shared" si="51"/>
        <v>-</v>
      </c>
      <c r="AU94" s="472" t="str">
        <f t="shared" si="52"/>
        <v>-</v>
      </c>
      <c r="AV94" s="472" t="str">
        <f t="shared" si="53"/>
        <v>-</v>
      </c>
      <c r="AW94" s="472" t="str">
        <f t="shared" si="54"/>
        <v>-</v>
      </c>
      <c r="AX94" s="472" t="str">
        <f t="shared" si="55"/>
        <v>-</v>
      </c>
      <c r="AY94" s="472" t="str">
        <f t="shared" si="56"/>
        <v>-</v>
      </c>
      <c r="AZ94" s="472" t="str">
        <f t="shared" si="57"/>
        <v>-</v>
      </c>
      <c r="BA94" s="472" t="str">
        <f t="shared" si="58"/>
        <v>-</v>
      </c>
      <c r="BB94" s="472" t="str">
        <f t="shared" si="59"/>
        <v>-</v>
      </c>
      <c r="BC94" s="472" t="str">
        <f t="shared" si="60"/>
        <v>-</v>
      </c>
      <c r="BD94" s="472" t="str">
        <f t="shared" si="61"/>
        <v>-</v>
      </c>
      <c r="BE94" s="472" t="str">
        <f t="shared" si="62"/>
        <v>-</v>
      </c>
      <c r="BF94" s="472" t="str">
        <f t="shared" si="63"/>
        <v>-</v>
      </c>
      <c r="BG94" s="472" t="str">
        <f t="shared" si="64"/>
        <v>-</v>
      </c>
      <c r="BH94" s="472" t="str">
        <f t="shared" si="65"/>
        <v>-</v>
      </c>
      <c r="BI94" s="221" t="str">
        <f t="shared" si="66"/>
        <v>-</v>
      </c>
      <c r="BJ94" s="730"/>
      <c r="BK94" s="692"/>
      <c r="BL94" s="429"/>
      <c r="BM94" s="429"/>
      <c r="BN94" s="214">
        <f t="shared" si="67"/>
        <v>0</v>
      </c>
      <c r="BO94" s="738"/>
      <c r="BP94" s="740"/>
      <c r="BQ94" s="462"/>
      <c r="BR94" s="462"/>
      <c r="BS94" s="228">
        <f t="shared" si="68"/>
        <v>0</v>
      </c>
      <c r="BT94" s="229" t="str">
        <f t="shared" si="69"/>
        <v>-</v>
      </c>
      <c r="BU94" s="526" t="str">
        <f t="shared" si="70"/>
        <v>-</v>
      </c>
      <c r="BV94" s="526" t="str">
        <f t="shared" si="71"/>
        <v>-</v>
      </c>
      <c r="BW94" s="526" t="str">
        <f t="shared" si="72"/>
        <v>-</v>
      </c>
      <c r="BX94" s="230" t="str">
        <f t="shared" si="73"/>
        <v>-</v>
      </c>
      <c r="BY94" s="745"/>
      <c r="BZ94" s="735"/>
      <c r="CA94" s="746"/>
      <c r="CB94" s="229" t="str">
        <f t="shared" si="74"/>
        <v>-</v>
      </c>
      <c r="CC94" s="529" t="str">
        <f t="shared" si="75"/>
        <v>-</v>
      </c>
      <c r="CD94" s="230" t="str">
        <f t="shared" si="76"/>
        <v>-</v>
      </c>
    </row>
    <row r="95" spans="1:82" ht="15.6" customHeight="1">
      <c r="A95" s="175">
        <f t="shared" si="46"/>
        <v>2022</v>
      </c>
      <c r="B95" s="454" t="str">
        <f t="shared" si="47"/>
        <v>38</v>
      </c>
      <c r="C95" s="454" t="str">
        <f t="array" ref="C95">_xlfn.IFS(_xlfn.NUMBERVALUE(B95)&lt;=13,"Q1",AND(_xlfn.NUMBERVALUE(B95)&gt;13,_xlfn.NUMBERVALUE(B95)&lt;=26),"Q2", AND(_xlfn.NUMBERVALUE(B95)&gt;26,_xlfn.NUMBERVALUE(B95)&lt;=39),"Q3",_xlfn.NUMBERVALUE(B95)&gt;39,"Q4")</f>
        <v>Q3</v>
      </c>
      <c r="D95" s="448">
        <f t="shared" si="77"/>
        <v>44485</v>
      </c>
      <c r="E95" s="448">
        <f t="shared" si="48"/>
        <v>44491</v>
      </c>
      <c r="F95" s="97">
        <v>202138</v>
      </c>
      <c r="G95" s="103"/>
      <c r="H95" s="429"/>
      <c r="I95" s="429"/>
      <c r="J95" s="429"/>
      <c r="K95" s="429"/>
      <c r="L95" s="429"/>
      <c r="M95" s="429"/>
      <c r="N95" s="429"/>
      <c r="O95" s="429"/>
      <c r="P95" s="429"/>
      <c r="Q95" s="429"/>
      <c r="R95" s="429"/>
      <c r="S95" s="429"/>
      <c r="T95" s="429"/>
      <c r="U95" s="429"/>
      <c r="V95" s="429"/>
      <c r="W95" s="429"/>
      <c r="X95" s="429"/>
      <c r="Y95" s="449">
        <f t="shared" si="45"/>
        <v>0</v>
      </c>
      <c r="Z95" s="449">
        <f t="shared" si="78"/>
        <v>0</v>
      </c>
      <c r="AA95" s="214">
        <f>'Overall Metrics'!N96</f>
        <v>0</v>
      </c>
      <c r="AB95" s="110"/>
      <c r="AC95" s="430"/>
      <c r="AD95" s="430"/>
      <c r="AE95" s="430"/>
      <c r="AF95" s="430"/>
      <c r="AG95" s="430"/>
      <c r="AH95" s="430"/>
      <c r="AI95" s="430"/>
      <c r="AJ95" s="430"/>
      <c r="AK95" s="430"/>
      <c r="AL95" s="430"/>
      <c r="AM95" s="430"/>
      <c r="AN95" s="430"/>
      <c r="AO95" s="430"/>
      <c r="AP95" s="430"/>
      <c r="AQ95" s="430"/>
      <c r="AR95" s="219">
        <f t="shared" si="49"/>
        <v>0</v>
      </c>
      <c r="AS95" s="220" t="str">
        <f t="shared" si="50"/>
        <v>-</v>
      </c>
      <c r="AT95" s="472" t="str">
        <f t="shared" si="51"/>
        <v>-</v>
      </c>
      <c r="AU95" s="472" t="str">
        <f t="shared" si="52"/>
        <v>-</v>
      </c>
      <c r="AV95" s="472" t="str">
        <f t="shared" si="53"/>
        <v>-</v>
      </c>
      <c r="AW95" s="472" t="str">
        <f t="shared" si="54"/>
        <v>-</v>
      </c>
      <c r="AX95" s="472" t="str">
        <f t="shared" si="55"/>
        <v>-</v>
      </c>
      <c r="AY95" s="472" t="str">
        <f t="shared" si="56"/>
        <v>-</v>
      </c>
      <c r="AZ95" s="472" t="str">
        <f t="shared" si="57"/>
        <v>-</v>
      </c>
      <c r="BA95" s="472" t="str">
        <f t="shared" si="58"/>
        <v>-</v>
      </c>
      <c r="BB95" s="472" t="str">
        <f t="shared" si="59"/>
        <v>-</v>
      </c>
      <c r="BC95" s="472" t="str">
        <f t="shared" si="60"/>
        <v>-</v>
      </c>
      <c r="BD95" s="472" t="str">
        <f t="shared" si="61"/>
        <v>-</v>
      </c>
      <c r="BE95" s="472" t="str">
        <f t="shared" si="62"/>
        <v>-</v>
      </c>
      <c r="BF95" s="472" t="str">
        <f t="shared" si="63"/>
        <v>-</v>
      </c>
      <c r="BG95" s="472" t="str">
        <f t="shared" si="64"/>
        <v>-</v>
      </c>
      <c r="BH95" s="472" t="str">
        <f t="shared" si="65"/>
        <v>-</v>
      </c>
      <c r="BI95" s="221" t="str">
        <f t="shared" si="66"/>
        <v>-</v>
      </c>
      <c r="BJ95" s="730"/>
      <c r="BK95" s="692"/>
      <c r="BL95" s="429"/>
      <c r="BM95" s="429"/>
      <c r="BN95" s="214">
        <f t="shared" si="67"/>
        <v>0</v>
      </c>
      <c r="BO95" s="738"/>
      <c r="BP95" s="740"/>
      <c r="BQ95" s="462"/>
      <c r="BR95" s="462"/>
      <c r="BS95" s="228">
        <f t="shared" si="68"/>
        <v>0</v>
      </c>
      <c r="BT95" s="229" t="str">
        <f t="shared" si="69"/>
        <v>-</v>
      </c>
      <c r="BU95" s="526" t="str">
        <f t="shared" si="70"/>
        <v>-</v>
      </c>
      <c r="BV95" s="526" t="str">
        <f t="shared" si="71"/>
        <v>-</v>
      </c>
      <c r="BW95" s="526" t="str">
        <f t="shared" si="72"/>
        <v>-</v>
      </c>
      <c r="BX95" s="230" t="str">
        <f t="shared" si="73"/>
        <v>-</v>
      </c>
      <c r="BY95" s="745"/>
      <c r="BZ95" s="735"/>
      <c r="CA95" s="746"/>
      <c r="CB95" s="229" t="str">
        <f t="shared" si="74"/>
        <v>-</v>
      </c>
      <c r="CC95" s="529" t="str">
        <f t="shared" si="75"/>
        <v>-</v>
      </c>
      <c r="CD95" s="230" t="str">
        <f t="shared" si="76"/>
        <v>-</v>
      </c>
    </row>
    <row r="96" spans="1:82" ht="15.6" customHeight="1">
      <c r="A96" s="175">
        <f t="shared" si="46"/>
        <v>2022</v>
      </c>
      <c r="B96" s="454" t="str">
        <f t="shared" si="47"/>
        <v>39</v>
      </c>
      <c r="C96" s="454" t="str">
        <f t="array" ref="C96">_xlfn.IFS(_xlfn.NUMBERVALUE(B96)&lt;=13,"Q1",AND(_xlfn.NUMBERVALUE(B96)&gt;13,_xlfn.NUMBERVALUE(B96)&lt;=26),"Q2", AND(_xlfn.NUMBERVALUE(B96)&gt;26,_xlfn.NUMBERVALUE(B96)&lt;=39),"Q3",_xlfn.NUMBERVALUE(B96)&gt;39,"Q4")</f>
        <v>Q3</v>
      </c>
      <c r="D96" s="448">
        <f t="shared" si="77"/>
        <v>44492</v>
      </c>
      <c r="E96" s="448">
        <f t="shared" si="48"/>
        <v>44498</v>
      </c>
      <c r="F96" s="97">
        <v>202139</v>
      </c>
      <c r="G96" s="103"/>
      <c r="H96" s="429"/>
      <c r="I96" s="429"/>
      <c r="J96" s="429"/>
      <c r="K96" s="429"/>
      <c r="L96" s="429"/>
      <c r="M96" s="429"/>
      <c r="N96" s="429"/>
      <c r="O96" s="429"/>
      <c r="P96" s="429"/>
      <c r="Q96" s="429"/>
      <c r="R96" s="429"/>
      <c r="S96" s="429"/>
      <c r="T96" s="429"/>
      <c r="U96" s="429"/>
      <c r="V96" s="429"/>
      <c r="W96" s="429"/>
      <c r="X96" s="429"/>
      <c r="Y96" s="449">
        <f t="shared" si="45"/>
        <v>0</v>
      </c>
      <c r="Z96" s="449">
        <f t="shared" si="78"/>
        <v>0</v>
      </c>
      <c r="AA96" s="214">
        <f>'Overall Metrics'!N97</f>
        <v>0</v>
      </c>
      <c r="AB96" s="110"/>
      <c r="AC96" s="430"/>
      <c r="AD96" s="430"/>
      <c r="AE96" s="430"/>
      <c r="AF96" s="430"/>
      <c r="AG96" s="430"/>
      <c r="AH96" s="430"/>
      <c r="AI96" s="430"/>
      <c r="AJ96" s="430"/>
      <c r="AK96" s="430"/>
      <c r="AL96" s="430"/>
      <c r="AM96" s="430"/>
      <c r="AN96" s="430"/>
      <c r="AO96" s="430"/>
      <c r="AP96" s="430"/>
      <c r="AQ96" s="430"/>
      <c r="AR96" s="219">
        <f t="shared" si="49"/>
        <v>0</v>
      </c>
      <c r="AS96" s="220" t="str">
        <f t="shared" si="50"/>
        <v>-</v>
      </c>
      <c r="AT96" s="472" t="str">
        <f t="shared" si="51"/>
        <v>-</v>
      </c>
      <c r="AU96" s="472" t="str">
        <f t="shared" si="52"/>
        <v>-</v>
      </c>
      <c r="AV96" s="472" t="str">
        <f t="shared" si="53"/>
        <v>-</v>
      </c>
      <c r="AW96" s="472" t="str">
        <f t="shared" si="54"/>
        <v>-</v>
      </c>
      <c r="AX96" s="472" t="str">
        <f t="shared" si="55"/>
        <v>-</v>
      </c>
      <c r="AY96" s="472" t="str">
        <f t="shared" si="56"/>
        <v>-</v>
      </c>
      <c r="AZ96" s="472" t="str">
        <f t="shared" si="57"/>
        <v>-</v>
      </c>
      <c r="BA96" s="472" t="str">
        <f t="shared" si="58"/>
        <v>-</v>
      </c>
      <c r="BB96" s="472" t="str">
        <f t="shared" si="59"/>
        <v>-</v>
      </c>
      <c r="BC96" s="472" t="str">
        <f t="shared" si="60"/>
        <v>-</v>
      </c>
      <c r="BD96" s="472" t="str">
        <f t="shared" si="61"/>
        <v>-</v>
      </c>
      <c r="BE96" s="472" t="str">
        <f t="shared" si="62"/>
        <v>-</v>
      </c>
      <c r="BF96" s="472" t="str">
        <f t="shared" si="63"/>
        <v>-</v>
      </c>
      <c r="BG96" s="472" t="str">
        <f t="shared" si="64"/>
        <v>-</v>
      </c>
      <c r="BH96" s="472" t="str">
        <f t="shared" si="65"/>
        <v>-</v>
      </c>
      <c r="BI96" s="221" t="str">
        <f t="shared" si="66"/>
        <v>-</v>
      </c>
      <c r="BJ96" s="730"/>
      <c r="BK96" s="692"/>
      <c r="BL96" s="429"/>
      <c r="BM96" s="429"/>
      <c r="BN96" s="214">
        <f t="shared" si="67"/>
        <v>0</v>
      </c>
      <c r="BO96" s="738"/>
      <c r="BP96" s="740"/>
      <c r="BQ96" s="462"/>
      <c r="BR96" s="462"/>
      <c r="BS96" s="228">
        <f t="shared" si="68"/>
        <v>0</v>
      </c>
      <c r="BT96" s="229" t="str">
        <f t="shared" si="69"/>
        <v>-</v>
      </c>
      <c r="BU96" s="526" t="str">
        <f t="shared" si="70"/>
        <v>-</v>
      </c>
      <c r="BV96" s="526" t="str">
        <f t="shared" si="71"/>
        <v>-</v>
      </c>
      <c r="BW96" s="526" t="str">
        <f t="shared" si="72"/>
        <v>-</v>
      </c>
      <c r="BX96" s="230" t="str">
        <f t="shared" si="73"/>
        <v>-</v>
      </c>
      <c r="BY96" s="745"/>
      <c r="BZ96" s="735"/>
      <c r="CA96" s="746"/>
      <c r="CB96" s="229" t="str">
        <f t="shared" si="74"/>
        <v>-</v>
      </c>
      <c r="CC96" s="529" t="str">
        <f t="shared" si="75"/>
        <v>-</v>
      </c>
      <c r="CD96" s="230" t="str">
        <f t="shared" si="76"/>
        <v>-</v>
      </c>
    </row>
    <row r="97" spans="1:82" ht="15.6" customHeight="1">
      <c r="A97" s="175">
        <f t="shared" si="46"/>
        <v>2022</v>
      </c>
      <c r="B97" s="454" t="str">
        <f t="shared" si="47"/>
        <v>40</v>
      </c>
      <c r="C97" s="454" t="str">
        <f t="array" ref="C97">_xlfn.IFS(_xlfn.NUMBERVALUE(B97)&lt;=13,"Q1",AND(_xlfn.NUMBERVALUE(B97)&gt;13,_xlfn.NUMBERVALUE(B97)&lt;=26),"Q2", AND(_xlfn.NUMBERVALUE(B97)&gt;26,_xlfn.NUMBERVALUE(B97)&lt;=39),"Q3",_xlfn.NUMBERVALUE(B97)&gt;39,"Q4")</f>
        <v>Q4</v>
      </c>
      <c r="D97" s="448">
        <f t="shared" si="77"/>
        <v>44499</v>
      </c>
      <c r="E97" s="448">
        <f t="shared" si="48"/>
        <v>44505</v>
      </c>
      <c r="F97" s="97">
        <v>202140</v>
      </c>
      <c r="G97" s="103"/>
      <c r="H97" s="429"/>
      <c r="I97" s="429"/>
      <c r="J97" s="429"/>
      <c r="K97" s="429"/>
      <c r="L97" s="429"/>
      <c r="M97" s="429"/>
      <c r="N97" s="429"/>
      <c r="O97" s="429"/>
      <c r="P97" s="429"/>
      <c r="Q97" s="429"/>
      <c r="R97" s="429"/>
      <c r="S97" s="429"/>
      <c r="T97" s="429"/>
      <c r="U97" s="429"/>
      <c r="V97" s="429"/>
      <c r="W97" s="429"/>
      <c r="X97" s="429"/>
      <c r="Y97" s="449">
        <f t="shared" si="45"/>
        <v>0</v>
      </c>
      <c r="Z97" s="449">
        <f t="shared" si="78"/>
        <v>0</v>
      </c>
      <c r="AA97" s="214">
        <f>'Overall Metrics'!N98</f>
        <v>0</v>
      </c>
      <c r="AB97" s="110"/>
      <c r="AC97" s="430"/>
      <c r="AD97" s="430"/>
      <c r="AE97" s="430"/>
      <c r="AF97" s="430"/>
      <c r="AG97" s="430"/>
      <c r="AH97" s="430"/>
      <c r="AI97" s="430"/>
      <c r="AJ97" s="430"/>
      <c r="AK97" s="430"/>
      <c r="AL97" s="430"/>
      <c r="AM97" s="430"/>
      <c r="AN97" s="430"/>
      <c r="AO97" s="430"/>
      <c r="AP97" s="430"/>
      <c r="AQ97" s="430"/>
      <c r="AR97" s="219">
        <f t="shared" si="49"/>
        <v>0</v>
      </c>
      <c r="AS97" s="220" t="str">
        <f t="shared" si="50"/>
        <v>-</v>
      </c>
      <c r="AT97" s="472" t="str">
        <f t="shared" si="51"/>
        <v>-</v>
      </c>
      <c r="AU97" s="472" t="str">
        <f t="shared" si="52"/>
        <v>-</v>
      </c>
      <c r="AV97" s="472" t="str">
        <f t="shared" si="53"/>
        <v>-</v>
      </c>
      <c r="AW97" s="472" t="str">
        <f t="shared" si="54"/>
        <v>-</v>
      </c>
      <c r="AX97" s="472" t="str">
        <f t="shared" si="55"/>
        <v>-</v>
      </c>
      <c r="AY97" s="472" t="str">
        <f t="shared" si="56"/>
        <v>-</v>
      </c>
      <c r="AZ97" s="472" t="str">
        <f t="shared" si="57"/>
        <v>-</v>
      </c>
      <c r="BA97" s="472" t="str">
        <f t="shared" si="58"/>
        <v>-</v>
      </c>
      <c r="BB97" s="472" t="str">
        <f t="shared" si="59"/>
        <v>-</v>
      </c>
      <c r="BC97" s="472" t="str">
        <f t="shared" si="60"/>
        <v>-</v>
      </c>
      <c r="BD97" s="472" t="str">
        <f t="shared" si="61"/>
        <v>-</v>
      </c>
      <c r="BE97" s="472" t="str">
        <f t="shared" si="62"/>
        <v>-</v>
      </c>
      <c r="BF97" s="472" t="str">
        <f t="shared" si="63"/>
        <v>-</v>
      </c>
      <c r="BG97" s="472" t="str">
        <f t="shared" si="64"/>
        <v>-</v>
      </c>
      <c r="BH97" s="472" t="str">
        <f t="shared" si="65"/>
        <v>-</v>
      </c>
      <c r="BI97" s="221" t="str">
        <f t="shared" si="66"/>
        <v>-</v>
      </c>
      <c r="BJ97" s="730"/>
      <c r="BK97" s="692"/>
      <c r="BL97" s="429"/>
      <c r="BM97" s="429"/>
      <c r="BN97" s="214">
        <f t="shared" si="67"/>
        <v>0</v>
      </c>
      <c r="BO97" s="738"/>
      <c r="BP97" s="740"/>
      <c r="BQ97" s="462"/>
      <c r="BR97" s="462"/>
      <c r="BS97" s="228">
        <f t="shared" si="68"/>
        <v>0</v>
      </c>
      <c r="BT97" s="229" t="str">
        <f t="shared" si="69"/>
        <v>-</v>
      </c>
      <c r="BU97" s="526" t="str">
        <f t="shared" si="70"/>
        <v>-</v>
      </c>
      <c r="BV97" s="526" t="str">
        <f t="shared" si="71"/>
        <v>-</v>
      </c>
      <c r="BW97" s="526" t="str">
        <f t="shared" si="72"/>
        <v>-</v>
      </c>
      <c r="BX97" s="230" t="str">
        <f t="shared" si="73"/>
        <v>-</v>
      </c>
      <c r="BY97" s="745"/>
      <c r="BZ97" s="735"/>
      <c r="CA97" s="746"/>
      <c r="CB97" s="229" t="str">
        <f t="shared" si="74"/>
        <v>-</v>
      </c>
      <c r="CC97" s="529" t="str">
        <f t="shared" si="75"/>
        <v>-</v>
      </c>
      <c r="CD97" s="230" t="str">
        <f t="shared" si="76"/>
        <v>-</v>
      </c>
    </row>
    <row r="98" spans="1:82" ht="15.6" customHeight="1">
      <c r="A98" s="175">
        <f t="shared" si="46"/>
        <v>2022</v>
      </c>
      <c r="B98" s="454" t="str">
        <f t="shared" si="47"/>
        <v>41</v>
      </c>
      <c r="C98" s="454" t="str">
        <f t="array" ref="C98">_xlfn.IFS(_xlfn.NUMBERVALUE(B98)&lt;=13,"Q1",AND(_xlfn.NUMBERVALUE(B98)&gt;13,_xlfn.NUMBERVALUE(B98)&lt;=26),"Q2", AND(_xlfn.NUMBERVALUE(B98)&gt;26,_xlfn.NUMBERVALUE(B98)&lt;=39),"Q3",_xlfn.NUMBERVALUE(B98)&gt;39,"Q4")</f>
        <v>Q4</v>
      </c>
      <c r="D98" s="448">
        <f t="shared" si="77"/>
        <v>44506</v>
      </c>
      <c r="E98" s="448">
        <f t="shared" si="48"/>
        <v>44512</v>
      </c>
      <c r="F98" s="97">
        <v>202141</v>
      </c>
      <c r="G98" s="103"/>
      <c r="H98" s="429"/>
      <c r="I98" s="429"/>
      <c r="J98" s="429"/>
      <c r="K98" s="429"/>
      <c r="L98" s="429"/>
      <c r="M98" s="429"/>
      <c r="N98" s="429"/>
      <c r="O98" s="429"/>
      <c r="P98" s="429"/>
      <c r="Q98" s="429"/>
      <c r="R98" s="429"/>
      <c r="S98" s="429"/>
      <c r="T98" s="429"/>
      <c r="U98" s="429"/>
      <c r="V98" s="429"/>
      <c r="W98" s="429"/>
      <c r="X98" s="429"/>
      <c r="Y98" s="449">
        <f t="shared" si="45"/>
        <v>0</v>
      </c>
      <c r="Z98" s="449">
        <f t="shared" si="78"/>
        <v>0</v>
      </c>
      <c r="AA98" s="214">
        <f>'Overall Metrics'!N99</f>
        <v>0</v>
      </c>
      <c r="AB98" s="110"/>
      <c r="AC98" s="430"/>
      <c r="AD98" s="524"/>
      <c r="AE98" s="524"/>
      <c r="AF98" s="430"/>
      <c r="AG98" s="430"/>
      <c r="AH98" s="430"/>
      <c r="AI98" s="524"/>
      <c r="AJ98" s="524"/>
      <c r="AK98" s="430"/>
      <c r="AL98" s="430"/>
      <c r="AM98" s="430"/>
      <c r="AN98" s="430"/>
      <c r="AO98" s="430"/>
      <c r="AP98" s="430"/>
      <c r="AQ98" s="430"/>
      <c r="AR98" s="219">
        <f t="shared" si="49"/>
        <v>0</v>
      </c>
      <c r="AS98" s="220" t="str">
        <f t="shared" si="50"/>
        <v>-</v>
      </c>
      <c r="AT98" s="472" t="str">
        <f t="shared" si="51"/>
        <v>-</v>
      </c>
      <c r="AU98" s="472" t="str">
        <f t="shared" si="52"/>
        <v>-</v>
      </c>
      <c r="AV98" s="472" t="str">
        <f t="shared" si="53"/>
        <v>-</v>
      </c>
      <c r="AW98" s="472" t="str">
        <f t="shared" si="54"/>
        <v>-</v>
      </c>
      <c r="AX98" s="472" t="str">
        <f t="shared" si="55"/>
        <v>-</v>
      </c>
      <c r="AY98" s="472" t="str">
        <f t="shared" si="56"/>
        <v>-</v>
      </c>
      <c r="AZ98" s="472" t="str">
        <f t="shared" si="57"/>
        <v>-</v>
      </c>
      <c r="BA98" s="472" t="str">
        <f t="shared" si="58"/>
        <v>-</v>
      </c>
      <c r="BB98" s="472" t="str">
        <f t="shared" si="59"/>
        <v>-</v>
      </c>
      <c r="BC98" s="472" t="str">
        <f t="shared" si="60"/>
        <v>-</v>
      </c>
      <c r="BD98" s="472" t="str">
        <f t="shared" si="61"/>
        <v>-</v>
      </c>
      <c r="BE98" s="472" t="str">
        <f t="shared" si="62"/>
        <v>-</v>
      </c>
      <c r="BF98" s="472" t="str">
        <f t="shared" si="63"/>
        <v>-</v>
      </c>
      <c r="BG98" s="472" t="str">
        <f t="shared" si="64"/>
        <v>-</v>
      </c>
      <c r="BH98" s="472" t="str">
        <f t="shared" si="65"/>
        <v>-</v>
      </c>
      <c r="BI98" s="221" t="str">
        <f t="shared" si="66"/>
        <v>-</v>
      </c>
      <c r="BJ98" s="730"/>
      <c r="BK98" s="692"/>
      <c r="BL98" s="429"/>
      <c r="BM98" s="429"/>
      <c r="BN98" s="214">
        <f t="shared" si="67"/>
        <v>0</v>
      </c>
      <c r="BO98" s="738"/>
      <c r="BP98" s="740"/>
      <c r="BQ98" s="462"/>
      <c r="BR98" s="462"/>
      <c r="BS98" s="228">
        <f t="shared" si="68"/>
        <v>0</v>
      </c>
      <c r="BT98" s="229" t="str">
        <f t="shared" si="69"/>
        <v>-</v>
      </c>
      <c r="BU98" s="526" t="str">
        <f t="shared" si="70"/>
        <v>-</v>
      </c>
      <c r="BV98" s="526" t="str">
        <f t="shared" si="71"/>
        <v>-</v>
      </c>
      <c r="BW98" s="526" t="str">
        <f t="shared" si="72"/>
        <v>-</v>
      </c>
      <c r="BX98" s="230" t="str">
        <f t="shared" si="73"/>
        <v>-</v>
      </c>
      <c r="BY98" s="745"/>
      <c r="BZ98" s="735"/>
      <c r="CA98" s="746"/>
      <c r="CB98" s="229" t="str">
        <f t="shared" si="74"/>
        <v>-</v>
      </c>
      <c r="CC98" s="529" t="str">
        <f t="shared" si="75"/>
        <v>-</v>
      </c>
      <c r="CD98" s="230" t="str">
        <f t="shared" si="76"/>
        <v>-</v>
      </c>
    </row>
    <row r="99" spans="1:82" ht="15.6" customHeight="1">
      <c r="A99" s="175">
        <f t="shared" si="46"/>
        <v>2022</v>
      </c>
      <c r="B99" s="454" t="str">
        <f t="shared" si="47"/>
        <v>42</v>
      </c>
      <c r="C99" s="454" t="str">
        <f t="array" ref="C99">_xlfn.IFS(_xlfn.NUMBERVALUE(B99)&lt;=13,"Q1",AND(_xlfn.NUMBERVALUE(B99)&gt;13,_xlfn.NUMBERVALUE(B99)&lt;=26),"Q2", AND(_xlfn.NUMBERVALUE(B99)&gt;26,_xlfn.NUMBERVALUE(B99)&lt;=39),"Q3",_xlfn.NUMBERVALUE(B99)&gt;39,"Q4")</f>
        <v>Q4</v>
      </c>
      <c r="D99" s="448">
        <f t="shared" si="77"/>
        <v>44513</v>
      </c>
      <c r="E99" s="448">
        <f t="shared" si="48"/>
        <v>44519</v>
      </c>
      <c r="F99" s="97">
        <v>202142</v>
      </c>
      <c r="G99" s="103"/>
      <c r="H99" s="429"/>
      <c r="I99" s="429"/>
      <c r="J99" s="429"/>
      <c r="K99" s="429"/>
      <c r="L99" s="429"/>
      <c r="M99" s="429"/>
      <c r="N99" s="429"/>
      <c r="O99" s="429"/>
      <c r="P99" s="429"/>
      <c r="Q99" s="429"/>
      <c r="R99" s="429"/>
      <c r="S99" s="429"/>
      <c r="T99" s="429"/>
      <c r="U99" s="429"/>
      <c r="V99" s="429"/>
      <c r="W99" s="429"/>
      <c r="X99" s="429"/>
      <c r="Y99" s="449">
        <f t="shared" si="45"/>
        <v>0</v>
      </c>
      <c r="Z99" s="449">
        <f t="shared" si="78"/>
        <v>0</v>
      </c>
      <c r="AA99" s="214">
        <f>'Overall Metrics'!N100</f>
        <v>0</v>
      </c>
      <c r="AB99" s="110"/>
      <c r="AC99" s="430"/>
      <c r="AD99" s="430"/>
      <c r="AE99" s="430"/>
      <c r="AF99" s="430"/>
      <c r="AG99" s="430"/>
      <c r="AH99" s="430"/>
      <c r="AI99" s="430"/>
      <c r="AJ99" s="430"/>
      <c r="AK99" s="430"/>
      <c r="AL99" s="430"/>
      <c r="AM99" s="430"/>
      <c r="AN99" s="430"/>
      <c r="AO99" s="430"/>
      <c r="AP99" s="430"/>
      <c r="AQ99" s="430"/>
      <c r="AR99" s="219">
        <f t="shared" si="49"/>
        <v>0</v>
      </c>
      <c r="AS99" s="220" t="str">
        <f t="shared" si="50"/>
        <v>-</v>
      </c>
      <c r="AT99" s="472" t="str">
        <f t="shared" si="51"/>
        <v>-</v>
      </c>
      <c r="AU99" s="472" t="str">
        <f t="shared" si="52"/>
        <v>-</v>
      </c>
      <c r="AV99" s="472" t="str">
        <f t="shared" si="53"/>
        <v>-</v>
      </c>
      <c r="AW99" s="472" t="str">
        <f t="shared" si="54"/>
        <v>-</v>
      </c>
      <c r="AX99" s="472" t="str">
        <f t="shared" si="55"/>
        <v>-</v>
      </c>
      <c r="AY99" s="472" t="str">
        <f t="shared" si="56"/>
        <v>-</v>
      </c>
      <c r="AZ99" s="472" t="str">
        <f t="shared" si="57"/>
        <v>-</v>
      </c>
      <c r="BA99" s="472" t="str">
        <f t="shared" si="58"/>
        <v>-</v>
      </c>
      <c r="BB99" s="472" t="str">
        <f t="shared" si="59"/>
        <v>-</v>
      </c>
      <c r="BC99" s="472" t="str">
        <f t="shared" si="60"/>
        <v>-</v>
      </c>
      <c r="BD99" s="472" t="str">
        <f t="shared" si="61"/>
        <v>-</v>
      </c>
      <c r="BE99" s="472" t="str">
        <f t="shared" si="62"/>
        <v>-</v>
      </c>
      <c r="BF99" s="472" t="str">
        <f t="shared" si="63"/>
        <v>-</v>
      </c>
      <c r="BG99" s="472" t="str">
        <f t="shared" si="64"/>
        <v>-</v>
      </c>
      <c r="BH99" s="472" t="str">
        <f t="shared" si="65"/>
        <v>-</v>
      </c>
      <c r="BI99" s="221" t="str">
        <f t="shared" si="66"/>
        <v>-</v>
      </c>
      <c r="BJ99" s="730"/>
      <c r="BK99" s="692"/>
      <c r="BL99" s="429"/>
      <c r="BM99" s="429"/>
      <c r="BN99" s="214">
        <f t="shared" si="67"/>
        <v>0</v>
      </c>
      <c r="BO99" s="738"/>
      <c r="BP99" s="740"/>
      <c r="BQ99" s="462"/>
      <c r="BR99" s="462"/>
      <c r="BS99" s="228">
        <f t="shared" si="68"/>
        <v>0</v>
      </c>
      <c r="BT99" s="229" t="str">
        <f t="shared" si="69"/>
        <v>-</v>
      </c>
      <c r="BU99" s="526" t="str">
        <f t="shared" si="70"/>
        <v>-</v>
      </c>
      <c r="BV99" s="526" t="str">
        <f t="shared" si="71"/>
        <v>-</v>
      </c>
      <c r="BW99" s="526" t="str">
        <f t="shared" si="72"/>
        <v>-</v>
      </c>
      <c r="BX99" s="230" t="str">
        <f t="shared" si="73"/>
        <v>-</v>
      </c>
      <c r="BY99" s="745"/>
      <c r="BZ99" s="735"/>
      <c r="CA99" s="746"/>
      <c r="CB99" s="229" t="str">
        <f t="shared" si="74"/>
        <v>-</v>
      </c>
      <c r="CC99" s="529" t="str">
        <f t="shared" si="75"/>
        <v>-</v>
      </c>
      <c r="CD99" s="230" t="str">
        <f t="shared" si="76"/>
        <v>-</v>
      </c>
    </row>
    <row r="100" spans="1:82" s="200" customFormat="1" ht="15.6" customHeight="1">
      <c r="A100" s="175">
        <f t="shared" si="46"/>
        <v>2022</v>
      </c>
      <c r="B100" s="454" t="str">
        <f t="shared" si="47"/>
        <v>43</v>
      </c>
      <c r="C100" s="454" t="str">
        <f t="array" ref="C100">_xlfn.IFS(_xlfn.NUMBERVALUE(B100)&lt;=13,"Q1",AND(_xlfn.NUMBERVALUE(B100)&gt;13,_xlfn.NUMBERVALUE(B100)&lt;=26),"Q2", AND(_xlfn.NUMBERVALUE(B100)&gt;26,_xlfn.NUMBERVALUE(B100)&lt;=39),"Q3",_xlfn.NUMBERVALUE(B100)&gt;39,"Q4")</f>
        <v>Q4</v>
      </c>
      <c r="D100" s="448">
        <f t="shared" si="77"/>
        <v>44520</v>
      </c>
      <c r="E100" s="448">
        <f t="shared" si="48"/>
        <v>44526</v>
      </c>
      <c r="F100" s="97">
        <v>202143</v>
      </c>
      <c r="G100" s="103"/>
      <c r="H100" s="429"/>
      <c r="I100" s="429"/>
      <c r="J100" s="429"/>
      <c r="K100" s="429"/>
      <c r="L100" s="429"/>
      <c r="M100" s="429"/>
      <c r="N100" s="429"/>
      <c r="O100" s="429"/>
      <c r="P100" s="429"/>
      <c r="Q100" s="429"/>
      <c r="R100" s="429"/>
      <c r="S100" s="429"/>
      <c r="T100" s="429"/>
      <c r="U100" s="429"/>
      <c r="V100" s="429"/>
      <c r="W100" s="429"/>
      <c r="X100" s="429"/>
      <c r="Y100" s="449">
        <f t="shared" si="45"/>
        <v>0</v>
      </c>
      <c r="Z100" s="449">
        <f t="shared" si="78"/>
        <v>0</v>
      </c>
      <c r="AA100" s="214">
        <f>'Overall Metrics'!N101</f>
        <v>0</v>
      </c>
      <c r="AB100" s="110"/>
      <c r="AC100" s="430"/>
      <c r="AD100" s="430"/>
      <c r="AE100" s="430"/>
      <c r="AF100" s="430"/>
      <c r="AG100" s="430"/>
      <c r="AH100" s="430"/>
      <c r="AI100" s="430"/>
      <c r="AJ100" s="430"/>
      <c r="AK100" s="430"/>
      <c r="AL100" s="430"/>
      <c r="AM100" s="462"/>
      <c r="AN100" s="462"/>
      <c r="AO100" s="462"/>
      <c r="AP100" s="462"/>
      <c r="AQ100" s="462"/>
      <c r="AR100" s="219">
        <f t="shared" si="49"/>
        <v>0</v>
      </c>
      <c r="AS100" s="220" t="str">
        <f t="shared" si="50"/>
        <v>-</v>
      </c>
      <c r="AT100" s="472" t="str">
        <f t="shared" si="51"/>
        <v>-</v>
      </c>
      <c r="AU100" s="472" t="str">
        <f t="shared" si="52"/>
        <v>-</v>
      </c>
      <c r="AV100" s="472" t="str">
        <f t="shared" si="53"/>
        <v>-</v>
      </c>
      <c r="AW100" s="472" t="str">
        <f t="shared" si="54"/>
        <v>-</v>
      </c>
      <c r="AX100" s="472" t="str">
        <f t="shared" si="55"/>
        <v>-</v>
      </c>
      <c r="AY100" s="472" t="str">
        <f t="shared" si="56"/>
        <v>-</v>
      </c>
      <c r="AZ100" s="472" t="str">
        <f t="shared" si="57"/>
        <v>-</v>
      </c>
      <c r="BA100" s="472" t="str">
        <f t="shared" si="58"/>
        <v>-</v>
      </c>
      <c r="BB100" s="472" t="str">
        <f t="shared" si="59"/>
        <v>-</v>
      </c>
      <c r="BC100" s="472" t="str">
        <f t="shared" si="60"/>
        <v>-</v>
      </c>
      <c r="BD100" s="472" t="str">
        <f t="shared" si="61"/>
        <v>-</v>
      </c>
      <c r="BE100" s="472" t="str">
        <f t="shared" si="62"/>
        <v>-</v>
      </c>
      <c r="BF100" s="472" t="str">
        <f t="shared" si="63"/>
        <v>-</v>
      </c>
      <c r="BG100" s="472" t="str">
        <f t="shared" si="64"/>
        <v>-</v>
      </c>
      <c r="BH100" s="472" t="str">
        <f t="shared" si="65"/>
        <v>-</v>
      </c>
      <c r="BI100" s="221" t="str">
        <f t="shared" si="66"/>
        <v>-</v>
      </c>
      <c r="BJ100" s="730"/>
      <c r="BK100" s="692"/>
      <c r="BL100" s="429"/>
      <c r="BM100" s="429"/>
      <c r="BN100" s="214">
        <f t="shared" si="67"/>
        <v>0</v>
      </c>
      <c r="BO100" s="738"/>
      <c r="BP100" s="740"/>
      <c r="BQ100" s="462"/>
      <c r="BR100" s="462"/>
      <c r="BS100" s="228">
        <f t="shared" si="68"/>
        <v>0</v>
      </c>
      <c r="BT100" s="229" t="str">
        <f t="shared" si="69"/>
        <v>-</v>
      </c>
      <c r="BU100" s="526" t="str">
        <f t="shared" si="70"/>
        <v>-</v>
      </c>
      <c r="BV100" s="526" t="str">
        <f t="shared" si="71"/>
        <v>-</v>
      </c>
      <c r="BW100" s="526" t="str">
        <f t="shared" si="72"/>
        <v>-</v>
      </c>
      <c r="BX100" s="230" t="str">
        <f t="shared" si="73"/>
        <v>-</v>
      </c>
      <c r="BY100" s="747"/>
      <c r="BZ100" s="748"/>
      <c r="CA100" s="749"/>
      <c r="CB100" s="229" t="str">
        <f t="shared" si="74"/>
        <v>-</v>
      </c>
      <c r="CC100" s="529" t="str">
        <f t="shared" si="75"/>
        <v>-</v>
      </c>
      <c r="CD100" s="230" t="str">
        <f t="shared" si="76"/>
        <v>-</v>
      </c>
    </row>
    <row r="101" spans="1:82" ht="15.6" customHeight="1">
      <c r="A101" s="175">
        <f t="shared" si="46"/>
        <v>2022</v>
      </c>
      <c r="B101" s="454" t="str">
        <f t="shared" si="47"/>
        <v>44</v>
      </c>
      <c r="C101" s="454" t="str">
        <f t="array" ref="C101">_xlfn.IFS(_xlfn.NUMBERVALUE(B101)&lt;=13,"Q1",AND(_xlfn.NUMBERVALUE(B101)&gt;13,_xlfn.NUMBERVALUE(B101)&lt;=26),"Q2", AND(_xlfn.NUMBERVALUE(B101)&gt;26,_xlfn.NUMBERVALUE(B101)&lt;=39),"Q3",_xlfn.NUMBERVALUE(B101)&gt;39,"Q4")</f>
        <v>Q4</v>
      </c>
      <c r="D101" s="448">
        <f t="shared" si="77"/>
        <v>44527</v>
      </c>
      <c r="E101" s="448">
        <f t="shared" si="48"/>
        <v>44533</v>
      </c>
      <c r="F101" s="97">
        <v>202144</v>
      </c>
      <c r="G101" s="103"/>
      <c r="H101" s="429"/>
      <c r="I101" s="429"/>
      <c r="J101" s="429"/>
      <c r="K101" s="429"/>
      <c r="L101" s="429"/>
      <c r="M101" s="429"/>
      <c r="N101" s="429"/>
      <c r="O101" s="429"/>
      <c r="P101" s="429"/>
      <c r="Q101" s="429"/>
      <c r="R101" s="429"/>
      <c r="S101" s="429"/>
      <c r="T101" s="429"/>
      <c r="U101" s="429"/>
      <c r="V101" s="429"/>
      <c r="W101" s="429"/>
      <c r="X101" s="429"/>
      <c r="Y101" s="449">
        <f t="shared" si="45"/>
        <v>0</v>
      </c>
      <c r="Z101" s="449">
        <f t="shared" si="78"/>
        <v>0</v>
      </c>
      <c r="AA101" s="214">
        <f>'Overall Metrics'!N102</f>
        <v>0</v>
      </c>
      <c r="AB101" s="110"/>
      <c r="AC101" s="430"/>
      <c r="AD101" s="430"/>
      <c r="AE101" s="430"/>
      <c r="AF101" s="430"/>
      <c r="AG101" s="430"/>
      <c r="AH101" s="430"/>
      <c r="AI101" s="430"/>
      <c r="AJ101" s="430"/>
      <c r="AK101" s="430"/>
      <c r="AL101" s="430"/>
      <c r="AM101" s="524"/>
      <c r="AN101" s="524"/>
      <c r="AO101" s="524"/>
      <c r="AP101" s="524"/>
      <c r="AQ101" s="524"/>
      <c r="AR101" s="219">
        <f t="shared" si="49"/>
        <v>0</v>
      </c>
      <c r="AS101" s="220" t="str">
        <f t="shared" si="50"/>
        <v>-</v>
      </c>
      <c r="AT101" s="472" t="str">
        <f t="shared" si="51"/>
        <v>-</v>
      </c>
      <c r="AU101" s="472" t="str">
        <f t="shared" si="52"/>
        <v>-</v>
      </c>
      <c r="AV101" s="472" t="str">
        <f t="shared" si="53"/>
        <v>-</v>
      </c>
      <c r="AW101" s="472" t="str">
        <f t="shared" si="54"/>
        <v>-</v>
      </c>
      <c r="AX101" s="472" t="str">
        <f t="shared" si="55"/>
        <v>-</v>
      </c>
      <c r="AY101" s="472" t="str">
        <f t="shared" si="56"/>
        <v>-</v>
      </c>
      <c r="AZ101" s="472" t="str">
        <f t="shared" si="57"/>
        <v>-</v>
      </c>
      <c r="BA101" s="472" t="str">
        <f t="shared" si="58"/>
        <v>-</v>
      </c>
      <c r="BB101" s="472" t="str">
        <f t="shared" si="59"/>
        <v>-</v>
      </c>
      <c r="BC101" s="472" t="str">
        <f t="shared" si="60"/>
        <v>-</v>
      </c>
      <c r="BD101" s="472" t="str">
        <f t="shared" si="61"/>
        <v>-</v>
      </c>
      <c r="BE101" s="472" t="str">
        <f t="shared" si="62"/>
        <v>-</v>
      </c>
      <c r="BF101" s="472" t="str">
        <f t="shared" si="63"/>
        <v>-</v>
      </c>
      <c r="BG101" s="472" t="str">
        <f t="shared" si="64"/>
        <v>-</v>
      </c>
      <c r="BH101" s="472" t="str">
        <f t="shared" si="65"/>
        <v>-</v>
      </c>
      <c r="BI101" s="221" t="str">
        <f t="shared" si="66"/>
        <v>-</v>
      </c>
      <c r="BJ101" s="730"/>
      <c r="BK101" s="692"/>
      <c r="BL101" s="429"/>
      <c r="BM101" s="429"/>
      <c r="BN101" s="214">
        <f t="shared" si="67"/>
        <v>0</v>
      </c>
      <c r="BO101" s="738"/>
      <c r="BP101" s="740"/>
      <c r="BQ101" s="462"/>
      <c r="BR101" s="462"/>
      <c r="BS101" s="228">
        <f t="shared" si="68"/>
        <v>0</v>
      </c>
      <c r="BT101" s="229" t="str">
        <f t="shared" si="69"/>
        <v>-</v>
      </c>
      <c r="BU101" s="526" t="str">
        <f t="shared" si="70"/>
        <v>-</v>
      </c>
      <c r="BV101" s="526" t="str">
        <f t="shared" si="71"/>
        <v>-</v>
      </c>
      <c r="BW101" s="526" t="str">
        <f t="shared" si="72"/>
        <v>-</v>
      </c>
      <c r="BX101" s="230" t="str">
        <f t="shared" si="73"/>
        <v>-</v>
      </c>
      <c r="BY101" s="745"/>
      <c r="BZ101" s="735"/>
      <c r="CA101" s="746"/>
      <c r="CB101" s="229" t="str">
        <f t="shared" si="74"/>
        <v>-</v>
      </c>
      <c r="CC101" s="529" t="str">
        <f t="shared" si="75"/>
        <v>-</v>
      </c>
      <c r="CD101" s="230" t="str">
        <f t="shared" si="76"/>
        <v>-</v>
      </c>
    </row>
    <row r="102" spans="1:82" ht="15.6" customHeight="1">
      <c r="A102" s="175">
        <f t="shared" si="46"/>
        <v>2022</v>
      </c>
      <c r="B102" s="454" t="str">
        <f t="shared" si="47"/>
        <v>45</v>
      </c>
      <c r="C102" s="454" t="str">
        <f t="array" ref="C102">_xlfn.IFS(_xlfn.NUMBERVALUE(B102)&lt;=13,"Q1",AND(_xlfn.NUMBERVALUE(B102)&gt;13,_xlfn.NUMBERVALUE(B102)&lt;=26),"Q2", AND(_xlfn.NUMBERVALUE(B102)&gt;26,_xlfn.NUMBERVALUE(B102)&lt;=39),"Q3",_xlfn.NUMBERVALUE(B102)&gt;39,"Q4")</f>
        <v>Q4</v>
      </c>
      <c r="D102" s="448">
        <f t="shared" si="77"/>
        <v>44534</v>
      </c>
      <c r="E102" s="448">
        <f t="shared" si="48"/>
        <v>44540</v>
      </c>
      <c r="F102" s="97">
        <v>202145</v>
      </c>
      <c r="G102" s="103"/>
      <c r="H102" s="429"/>
      <c r="I102" s="429"/>
      <c r="J102" s="429"/>
      <c r="K102" s="429"/>
      <c r="L102" s="429"/>
      <c r="M102" s="429"/>
      <c r="N102" s="429"/>
      <c r="O102" s="429"/>
      <c r="P102" s="429"/>
      <c r="Q102" s="429"/>
      <c r="R102" s="429"/>
      <c r="S102" s="429"/>
      <c r="T102" s="429"/>
      <c r="U102" s="429"/>
      <c r="V102" s="429"/>
      <c r="W102" s="429"/>
      <c r="X102" s="429"/>
      <c r="Y102" s="449">
        <f t="shared" si="45"/>
        <v>0</v>
      </c>
      <c r="Z102" s="449">
        <f t="shared" si="78"/>
        <v>0</v>
      </c>
      <c r="AA102" s="214">
        <f>'Overall Metrics'!N103</f>
        <v>0</v>
      </c>
      <c r="AB102" s="110"/>
      <c r="AC102" s="430"/>
      <c r="AD102" s="430"/>
      <c r="AE102" s="430"/>
      <c r="AF102" s="430"/>
      <c r="AG102" s="430"/>
      <c r="AH102" s="430"/>
      <c r="AI102" s="430"/>
      <c r="AJ102" s="430"/>
      <c r="AK102" s="430"/>
      <c r="AL102" s="430"/>
      <c r="AM102" s="430"/>
      <c r="AN102" s="430"/>
      <c r="AO102" s="430"/>
      <c r="AP102" s="430"/>
      <c r="AQ102" s="430"/>
      <c r="AR102" s="219">
        <f t="shared" si="49"/>
        <v>0</v>
      </c>
      <c r="AS102" s="220" t="str">
        <f t="shared" si="50"/>
        <v>-</v>
      </c>
      <c r="AT102" s="472" t="str">
        <f t="shared" si="51"/>
        <v>-</v>
      </c>
      <c r="AU102" s="472" t="str">
        <f t="shared" si="52"/>
        <v>-</v>
      </c>
      <c r="AV102" s="472" t="str">
        <f t="shared" si="53"/>
        <v>-</v>
      </c>
      <c r="AW102" s="472" t="str">
        <f t="shared" si="54"/>
        <v>-</v>
      </c>
      <c r="AX102" s="472" t="str">
        <f t="shared" si="55"/>
        <v>-</v>
      </c>
      <c r="AY102" s="472" t="str">
        <f t="shared" ref="AY102:AY133" si="79">IFERROR(AH102/O102,"-")</f>
        <v>-</v>
      </c>
      <c r="AZ102" s="472" t="str">
        <f t="shared" ref="AZ102:AZ133" si="80">IFERROR(AI102/P102,"-")</f>
        <v>-</v>
      </c>
      <c r="BA102" s="472" t="str">
        <f t="shared" ref="BA102:BA133" si="81">IFERROR(AJ102/Q102,"-")</f>
        <v>-</v>
      </c>
      <c r="BB102" s="472" t="str">
        <f t="shared" ref="BB102:BB133" si="82">IFERROR(AK102/R102,"-")</f>
        <v>-</v>
      </c>
      <c r="BC102" s="472" t="str">
        <f t="shared" ref="BC102:BC133" si="83">IFERROR(AL102/S102,"-")</f>
        <v>-</v>
      </c>
      <c r="BD102" s="472" t="str">
        <f t="shared" ref="BD102:BD133" si="84">IFERROR(AM102/T102,"-")</f>
        <v>-</v>
      </c>
      <c r="BE102" s="472" t="str">
        <f t="shared" ref="BE102:BE133" si="85">IFERROR(AN102/U102,"-")</f>
        <v>-</v>
      </c>
      <c r="BF102" s="472" t="str">
        <f t="shared" ref="BF102:BF133" si="86">IFERROR(AO102/V102,"-")</f>
        <v>-</v>
      </c>
      <c r="BG102" s="472" t="str">
        <f t="shared" ref="BG102:BG133" si="87">IFERROR(AP102/W102,"-")</f>
        <v>-</v>
      </c>
      <c r="BH102" s="472" t="str">
        <f t="shared" ref="BH102:BH133" si="88">IFERROR(AQ102/X102,"-")</f>
        <v>-</v>
      </c>
      <c r="BI102" s="221" t="str">
        <f t="shared" si="66"/>
        <v>-</v>
      </c>
      <c r="BJ102" s="730"/>
      <c r="BK102" s="692"/>
      <c r="BL102" s="429"/>
      <c r="BM102" s="429"/>
      <c r="BN102" s="214">
        <f t="shared" si="67"/>
        <v>0</v>
      </c>
      <c r="BO102" s="738"/>
      <c r="BP102" s="740"/>
      <c r="BQ102" s="462"/>
      <c r="BR102" s="462"/>
      <c r="BS102" s="228">
        <f t="shared" si="68"/>
        <v>0</v>
      </c>
      <c r="BT102" s="229" t="str">
        <f t="shared" si="69"/>
        <v>-</v>
      </c>
      <c r="BU102" s="526" t="str">
        <f t="shared" si="70"/>
        <v>-</v>
      </c>
      <c r="BV102" s="526" t="str">
        <f t="shared" si="71"/>
        <v>-</v>
      </c>
      <c r="BW102" s="526" t="str">
        <f t="shared" si="72"/>
        <v>-</v>
      </c>
      <c r="BX102" s="230" t="str">
        <f t="shared" si="73"/>
        <v>-</v>
      </c>
      <c r="BY102" s="745"/>
      <c r="BZ102" s="735"/>
      <c r="CA102" s="746"/>
      <c r="CB102" s="229" t="str">
        <f t="shared" si="74"/>
        <v>-</v>
      </c>
      <c r="CC102" s="529" t="str">
        <f t="shared" si="75"/>
        <v>-</v>
      </c>
      <c r="CD102" s="230" t="str">
        <f t="shared" si="76"/>
        <v>-</v>
      </c>
    </row>
    <row r="103" spans="1:82" ht="15.6" customHeight="1">
      <c r="A103" s="175">
        <f t="shared" si="46"/>
        <v>2022</v>
      </c>
      <c r="B103" s="454" t="str">
        <f t="shared" si="47"/>
        <v>46</v>
      </c>
      <c r="C103" s="454" t="str">
        <f t="array" ref="C103">_xlfn.IFS(_xlfn.NUMBERVALUE(B103)&lt;=13,"Q1",AND(_xlfn.NUMBERVALUE(B103)&gt;13,_xlfn.NUMBERVALUE(B103)&lt;=26),"Q2", AND(_xlfn.NUMBERVALUE(B103)&gt;26,_xlfn.NUMBERVALUE(B103)&lt;=39),"Q3",_xlfn.NUMBERVALUE(B103)&gt;39,"Q4")</f>
        <v>Q4</v>
      </c>
      <c r="D103" s="448">
        <f t="shared" si="77"/>
        <v>44541</v>
      </c>
      <c r="E103" s="448">
        <f t="shared" si="48"/>
        <v>44547</v>
      </c>
      <c r="F103" s="97">
        <v>202146</v>
      </c>
      <c r="G103" s="103"/>
      <c r="H103" s="429"/>
      <c r="I103" s="429"/>
      <c r="J103" s="429"/>
      <c r="K103" s="429"/>
      <c r="L103" s="429"/>
      <c r="M103" s="429"/>
      <c r="N103" s="429"/>
      <c r="O103" s="429"/>
      <c r="P103" s="429"/>
      <c r="Q103" s="429"/>
      <c r="R103" s="429"/>
      <c r="S103" s="429"/>
      <c r="T103" s="429"/>
      <c r="U103" s="429"/>
      <c r="V103" s="429"/>
      <c r="W103" s="429"/>
      <c r="X103" s="429"/>
      <c r="Y103" s="449">
        <f t="shared" si="45"/>
        <v>0</v>
      </c>
      <c r="Z103" s="449">
        <f t="shared" si="78"/>
        <v>0</v>
      </c>
      <c r="AA103" s="214">
        <f>'Overall Metrics'!N104</f>
        <v>0</v>
      </c>
      <c r="AB103" s="110"/>
      <c r="AC103" s="430"/>
      <c r="AD103" s="430"/>
      <c r="AE103" s="430"/>
      <c r="AF103" s="430"/>
      <c r="AG103" s="430"/>
      <c r="AH103" s="430"/>
      <c r="AI103" s="430"/>
      <c r="AJ103" s="430"/>
      <c r="AK103" s="430"/>
      <c r="AL103" s="430"/>
      <c r="AM103" s="430"/>
      <c r="AN103" s="430"/>
      <c r="AO103" s="430"/>
      <c r="AP103" s="430"/>
      <c r="AQ103" s="430"/>
      <c r="AR103" s="219">
        <f t="shared" si="49"/>
        <v>0</v>
      </c>
      <c r="AS103" s="220" t="str">
        <f t="shared" si="50"/>
        <v>-</v>
      </c>
      <c r="AT103" s="472" t="str">
        <f t="shared" si="51"/>
        <v>-</v>
      </c>
      <c r="AU103" s="472" t="str">
        <f t="shared" si="52"/>
        <v>-</v>
      </c>
      <c r="AV103" s="472" t="str">
        <f t="shared" si="53"/>
        <v>-</v>
      </c>
      <c r="AW103" s="472" t="str">
        <f t="shared" si="54"/>
        <v>-</v>
      </c>
      <c r="AX103" s="472" t="str">
        <f t="shared" si="55"/>
        <v>-</v>
      </c>
      <c r="AY103" s="472" t="str">
        <f t="shared" si="79"/>
        <v>-</v>
      </c>
      <c r="AZ103" s="472" t="str">
        <f t="shared" si="80"/>
        <v>-</v>
      </c>
      <c r="BA103" s="472" t="str">
        <f t="shared" si="81"/>
        <v>-</v>
      </c>
      <c r="BB103" s="472" t="str">
        <f t="shared" si="82"/>
        <v>-</v>
      </c>
      <c r="BC103" s="472" t="str">
        <f t="shared" si="83"/>
        <v>-</v>
      </c>
      <c r="BD103" s="472" t="str">
        <f t="shared" si="84"/>
        <v>-</v>
      </c>
      <c r="BE103" s="472" t="str">
        <f t="shared" si="85"/>
        <v>-</v>
      </c>
      <c r="BF103" s="472" t="str">
        <f t="shared" si="86"/>
        <v>-</v>
      </c>
      <c r="BG103" s="472" t="str">
        <f t="shared" si="87"/>
        <v>-</v>
      </c>
      <c r="BH103" s="472" t="str">
        <f t="shared" si="88"/>
        <v>-</v>
      </c>
      <c r="BI103" s="221" t="str">
        <f t="shared" si="66"/>
        <v>-</v>
      </c>
      <c r="BJ103" s="730"/>
      <c r="BK103" s="692"/>
      <c r="BL103" s="429"/>
      <c r="BM103" s="429"/>
      <c r="BN103" s="214">
        <f t="shared" si="67"/>
        <v>0</v>
      </c>
      <c r="BO103" s="738"/>
      <c r="BP103" s="740"/>
      <c r="BQ103" s="462"/>
      <c r="BR103" s="462"/>
      <c r="BS103" s="228">
        <f t="shared" si="68"/>
        <v>0</v>
      </c>
      <c r="BT103" s="229" t="str">
        <f t="shared" si="69"/>
        <v>-</v>
      </c>
      <c r="BU103" s="526" t="str">
        <f t="shared" si="70"/>
        <v>-</v>
      </c>
      <c r="BV103" s="526" t="str">
        <f t="shared" si="71"/>
        <v>-</v>
      </c>
      <c r="BW103" s="526" t="str">
        <f t="shared" si="72"/>
        <v>-</v>
      </c>
      <c r="BX103" s="230" t="str">
        <f t="shared" si="73"/>
        <v>-</v>
      </c>
      <c r="BY103" s="745"/>
      <c r="BZ103" s="735"/>
      <c r="CA103" s="746"/>
      <c r="CB103" s="229" t="str">
        <f t="shared" si="74"/>
        <v>-</v>
      </c>
      <c r="CC103" s="529" t="str">
        <f t="shared" si="75"/>
        <v>-</v>
      </c>
      <c r="CD103" s="230" t="str">
        <f t="shared" si="76"/>
        <v>-</v>
      </c>
    </row>
    <row r="104" spans="1:82" ht="15.6" customHeight="1">
      <c r="A104" s="175">
        <f t="shared" si="46"/>
        <v>2022</v>
      </c>
      <c r="B104" s="454" t="str">
        <f t="shared" si="47"/>
        <v>47</v>
      </c>
      <c r="C104" s="454" t="str">
        <f t="array" ref="C104">_xlfn.IFS(_xlfn.NUMBERVALUE(B104)&lt;=13,"Q1",AND(_xlfn.NUMBERVALUE(B104)&gt;13,_xlfn.NUMBERVALUE(B104)&lt;=26),"Q2", AND(_xlfn.NUMBERVALUE(B104)&gt;26,_xlfn.NUMBERVALUE(B104)&lt;=39),"Q3",_xlfn.NUMBERVALUE(B104)&gt;39,"Q4")</f>
        <v>Q4</v>
      </c>
      <c r="D104" s="448">
        <f t="shared" si="77"/>
        <v>44548</v>
      </c>
      <c r="E104" s="448">
        <f t="shared" si="48"/>
        <v>44554</v>
      </c>
      <c r="F104" s="97">
        <v>202147</v>
      </c>
      <c r="G104" s="103"/>
      <c r="H104" s="429"/>
      <c r="I104" s="429"/>
      <c r="J104" s="429"/>
      <c r="K104" s="429"/>
      <c r="L104" s="429"/>
      <c r="M104" s="429"/>
      <c r="N104" s="429"/>
      <c r="O104" s="429"/>
      <c r="P104" s="429"/>
      <c r="Q104" s="429"/>
      <c r="R104" s="429"/>
      <c r="S104" s="429"/>
      <c r="T104" s="429"/>
      <c r="U104" s="429"/>
      <c r="V104" s="429"/>
      <c r="W104" s="429"/>
      <c r="X104" s="429"/>
      <c r="Y104" s="449">
        <f t="shared" si="45"/>
        <v>0</v>
      </c>
      <c r="Z104" s="449">
        <f t="shared" si="78"/>
        <v>0</v>
      </c>
      <c r="AA104" s="214">
        <f>'Overall Metrics'!N105</f>
        <v>0</v>
      </c>
      <c r="AB104" s="110"/>
      <c r="AC104" s="430"/>
      <c r="AD104" s="462"/>
      <c r="AE104" s="462"/>
      <c r="AF104" s="430"/>
      <c r="AG104" s="430"/>
      <c r="AH104" s="430"/>
      <c r="AI104" s="462"/>
      <c r="AJ104" s="462"/>
      <c r="AK104" s="430"/>
      <c r="AL104" s="430"/>
      <c r="AM104" s="462"/>
      <c r="AN104" s="462"/>
      <c r="AO104" s="462"/>
      <c r="AP104" s="462"/>
      <c r="AQ104" s="462"/>
      <c r="AR104" s="219">
        <f t="shared" si="49"/>
        <v>0</v>
      </c>
      <c r="AS104" s="220" t="str">
        <f t="shared" si="50"/>
        <v>-</v>
      </c>
      <c r="AT104" s="472" t="str">
        <f t="shared" si="51"/>
        <v>-</v>
      </c>
      <c r="AU104" s="472" t="str">
        <f t="shared" si="52"/>
        <v>-</v>
      </c>
      <c r="AV104" s="472" t="str">
        <f t="shared" si="53"/>
        <v>-</v>
      </c>
      <c r="AW104" s="472" t="str">
        <f t="shared" si="54"/>
        <v>-</v>
      </c>
      <c r="AX104" s="472" t="str">
        <f t="shared" si="55"/>
        <v>-</v>
      </c>
      <c r="AY104" s="472" t="str">
        <f t="shared" si="79"/>
        <v>-</v>
      </c>
      <c r="AZ104" s="472" t="str">
        <f t="shared" si="80"/>
        <v>-</v>
      </c>
      <c r="BA104" s="472" t="str">
        <f t="shared" si="81"/>
        <v>-</v>
      </c>
      <c r="BB104" s="472" t="str">
        <f t="shared" si="82"/>
        <v>-</v>
      </c>
      <c r="BC104" s="472" t="str">
        <f t="shared" si="83"/>
        <v>-</v>
      </c>
      <c r="BD104" s="472" t="str">
        <f t="shared" si="84"/>
        <v>-</v>
      </c>
      <c r="BE104" s="472" t="str">
        <f t="shared" si="85"/>
        <v>-</v>
      </c>
      <c r="BF104" s="472" t="str">
        <f t="shared" si="86"/>
        <v>-</v>
      </c>
      <c r="BG104" s="472" t="str">
        <f t="shared" si="87"/>
        <v>-</v>
      </c>
      <c r="BH104" s="472" t="str">
        <f t="shared" si="88"/>
        <v>-</v>
      </c>
      <c r="BI104" s="221" t="str">
        <f t="shared" si="66"/>
        <v>-</v>
      </c>
      <c r="BJ104" s="730"/>
      <c r="BK104" s="692"/>
      <c r="BL104" s="429"/>
      <c r="BM104" s="429"/>
      <c r="BN104" s="214">
        <f t="shared" si="67"/>
        <v>0</v>
      </c>
      <c r="BO104" s="738"/>
      <c r="BP104" s="740"/>
      <c r="BQ104" s="462"/>
      <c r="BR104" s="462"/>
      <c r="BS104" s="228">
        <f t="shared" si="68"/>
        <v>0</v>
      </c>
      <c r="BT104" s="229" t="str">
        <f t="shared" si="69"/>
        <v>-</v>
      </c>
      <c r="BU104" s="526" t="str">
        <f t="shared" si="70"/>
        <v>-</v>
      </c>
      <c r="BV104" s="526" t="str">
        <f t="shared" si="71"/>
        <v>-</v>
      </c>
      <c r="BW104" s="526" t="str">
        <f t="shared" si="72"/>
        <v>-</v>
      </c>
      <c r="BX104" s="230" t="str">
        <f t="shared" si="73"/>
        <v>-</v>
      </c>
      <c r="BY104" s="745"/>
      <c r="BZ104" s="735"/>
      <c r="CA104" s="746"/>
      <c r="CB104" s="229" t="str">
        <f t="shared" si="74"/>
        <v>-</v>
      </c>
      <c r="CC104" s="529" t="str">
        <f t="shared" si="75"/>
        <v>-</v>
      </c>
      <c r="CD104" s="230" t="str">
        <f t="shared" si="76"/>
        <v>-</v>
      </c>
    </row>
    <row r="105" spans="1:82" ht="15.6" customHeight="1">
      <c r="A105" s="175">
        <f t="shared" si="46"/>
        <v>2022</v>
      </c>
      <c r="B105" s="454" t="str">
        <f t="shared" si="47"/>
        <v>48</v>
      </c>
      <c r="C105" s="454" t="str">
        <f t="array" ref="C105">_xlfn.IFS(_xlfn.NUMBERVALUE(B105)&lt;=13,"Q1",AND(_xlfn.NUMBERVALUE(B105)&gt;13,_xlfn.NUMBERVALUE(B105)&lt;=26),"Q2", AND(_xlfn.NUMBERVALUE(B105)&gt;26,_xlfn.NUMBERVALUE(B105)&lt;=39),"Q3",_xlfn.NUMBERVALUE(B105)&gt;39,"Q4")</f>
        <v>Q4</v>
      </c>
      <c r="D105" s="448">
        <f t="shared" si="77"/>
        <v>44555</v>
      </c>
      <c r="E105" s="448">
        <f t="shared" si="48"/>
        <v>44561</v>
      </c>
      <c r="F105" s="97">
        <v>202148</v>
      </c>
      <c r="G105" s="103"/>
      <c r="H105" s="429"/>
      <c r="I105" s="429"/>
      <c r="J105" s="429"/>
      <c r="K105" s="429"/>
      <c r="L105" s="429"/>
      <c r="M105" s="429"/>
      <c r="N105" s="429"/>
      <c r="O105" s="429"/>
      <c r="P105" s="429"/>
      <c r="Q105" s="429"/>
      <c r="R105" s="429"/>
      <c r="S105" s="429"/>
      <c r="T105" s="429"/>
      <c r="U105" s="429"/>
      <c r="V105" s="429"/>
      <c r="W105" s="429"/>
      <c r="X105" s="429"/>
      <c r="Y105" s="449">
        <f t="shared" si="45"/>
        <v>0</v>
      </c>
      <c r="Z105" s="449">
        <f t="shared" si="78"/>
        <v>0</v>
      </c>
      <c r="AA105" s="214">
        <f>'Overall Metrics'!N106</f>
        <v>0</v>
      </c>
      <c r="AB105" s="110"/>
      <c r="AC105" s="430"/>
      <c r="AD105" s="430"/>
      <c r="AE105" s="430"/>
      <c r="AF105" s="430"/>
      <c r="AG105" s="430"/>
      <c r="AH105" s="430"/>
      <c r="AI105" s="430"/>
      <c r="AJ105" s="430"/>
      <c r="AK105" s="430"/>
      <c r="AL105" s="430"/>
      <c r="AM105" s="430"/>
      <c r="AN105" s="430"/>
      <c r="AO105" s="430"/>
      <c r="AP105" s="430"/>
      <c r="AQ105" s="430"/>
      <c r="AR105" s="219">
        <f t="shared" si="49"/>
        <v>0</v>
      </c>
      <c r="AS105" s="220" t="str">
        <f t="shared" si="50"/>
        <v>-</v>
      </c>
      <c r="AT105" s="472" t="str">
        <f t="shared" si="51"/>
        <v>-</v>
      </c>
      <c r="AU105" s="472" t="str">
        <f t="shared" si="52"/>
        <v>-</v>
      </c>
      <c r="AV105" s="472" t="str">
        <f t="shared" si="53"/>
        <v>-</v>
      </c>
      <c r="AW105" s="472" t="str">
        <f t="shared" si="54"/>
        <v>-</v>
      </c>
      <c r="AX105" s="472" t="str">
        <f t="shared" si="55"/>
        <v>-</v>
      </c>
      <c r="AY105" s="472" t="str">
        <f t="shared" si="79"/>
        <v>-</v>
      </c>
      <c r="AZ105" s="472" t="str">
        <f t="shared" si="80"/>
        <v>-</v>
      </c>
      <c r="BA105" s="472" t="str">
        <f t="shared" si="81"/>
        <v>-</v>
      </c>
      <c r="BB105" s="472" t="str">
        <f t="shared" si="82"/>
        <v>-</v>
      </c>
      <c r="BC105" s="472" t="str">
        <f t="shared" si="83"/>
        <v>-</v>
      </c>
      <c r="BD105" s="472" t="str">
        <f t="shared" si="84"/>
        <v>-</v>
      </c>
      <c r="BE105" s="472" t="str">
        <f t="shared" si="85"/>
        <v>-</v>
      </c>
      <c r="BF105" s="472" t="str">
        <f t="shared" si="86"/>
        <v>-</v>
      </c>
      <c r="BG105" s="472" t="str">
        <f t="shared" si="87"/>
        <v>-</v>
      </c>
      <c r="BH105" s="472" t="str">
        <f t="shared" si="88"/>
        <v>-</v>
      </c>
      <c r="BI105" s="221" t="str">
        <f t="shared" si="66"/>
        <v>-</v>
      </c>
      <c r="BJ105" s="730"/>
      <c r="BK105" s="692"/>
      <c r="BL105" s="429"/>
      <c r="BM105" s="429"/>
      <c r="BN105" s="214">
        <f t="shared" si="67"/>
        <v>0</v>
      </c>
      <c r="BO105" s="738"/>
      <c r="BP105" s="740"/>
      <c r="BQ105" s="462"/>
      <c r="BR105" s="462"/>
      <c r="BS105" s="228">
        <f t="shared" si="68"/>
        <v>0</v>
      </c>
      <c r="BT105" s="229" t="str">
        <f t="shared" si="69"/>
        <v>-</v>
      </c>
      <c r="BU105" s="526" t="str">
        <f t="shared" si="70"/>
        <v>-</v>
      </c>
      <c r="BV105" s="526" t="str">
        <f t="shared" si="71"/>
        <v>-</v>
      </c>
      <c r="BW105" s="526" t="str">
        <f t="shared" si="72"/>
        <v>-</v>
      </c>
      <c r="BX105" s="230" t="str">
        <f t="shared" si="73"/>
        <v>-</v>
      </c>
      <c r="BY105" s="745"/>
      <c r="BZ105" s="735"/>
      <c r="CA105" s="746"/>
      <c r="CB105" s="229" t="str">
        <f t="shared" si="74"/>
        <v>-</v>
      </c>
      <c r="CC105" s="529" t="str">
        <f t="shared" si="75"/>
        <v>-</v>
      </c>
      <c r="CD105" s="230" t="str">
        <f t="shared" si="76"/>
        <v>-</v>
      </c>
    </row>
    <row r="106" spans="1:82" ht="15.6" customHeight="1">
      <c r="A106" s="175">
        <f t="shared" si="46"/>
        <v>2022</v>
      </c>
      <c r="B106" s="454" t="str">
        <f t="shared" si="47"/>
        <v>49</v>
      </c>
      <c r="C106" s="454" t="str">
        <f t="array" ref="C106">_xlfn.IFS(_xlfn.NUMBERVALUE(B106)&lt;=13,"Q1",AND(_xlfn.NUMBERVALUE(B106)&gt;13,_xlfn.NUMBERVALUE(B106)&lt;=26),"Q2", AND(_xlfn.NUMBERVALUE(B106)&gt;26,_xlfn.NUMBERVALUE(B106)&lt;=39),"Q3",_xlfn.NUMBERVALUE(B106)&gt;39,"Q4")</f>
        <v>Q4</v>
      </c>
      <c r="D106" s="448">
        <f t="shared" si="77"/>
        <v>44562</v>
      </c>
      <c r="E106" s="448">
        <f t="shared" si="48"/>
        <v>44568</v>
      </c>
      <c r="F106" s="97">
        <v>202149</v>
      </c>
      <c r="G106" s="103"/>
      <c r="H106" s="429"/>
      <c r="I106" s="429"/>
      <c r="J106" s="429"/>
      <c r="K106" s="429"/>
      <c r="L106" s="429"/>
      <c r="M106" s="429"/>
      <c r="N106" s="429"/>
      <c r="O106" s="429"/>
      <c r="P106" s="429"/>
      <c r="Q106" s="429"/>
      <c r="R106" s="429"/>
      <c r="S106" s="429"/>
      <c r="T106" s="429"/>
      <c r="U106" s="429"/>
      <c r="V106" s="429"/>
      <c r="W106" s="429"/>
      <c r="X106" s="429"/>
      <c r="Y106" s="449">
        <f t="shared" si="45"/>
        <v>0</v>
      </c>
      <c r="Z106" s="449">
        <f t="shared" si="78"/>
        <v>0</v>
      </c>
      <c r="AA106" s="214">
        <f>'Overall Metrics'!N107</f>
        <v>0</v>
      </c>
      <c r="AB106" s="110"/>
      <c r="AC106" s="430"/>
      <c r="AD106" s="430"/>
      <c r="AE106" s="430"/>
      <c r="AF106" s="430"/>
      <c r="AG106" s="430"/>
      <c r="AH106" s="430"/>
      <c r="AI106" s="430"/>
      <c r="AJ106" s="430"/>
      <c r="AK106" s="430"/>
      <c r="AL106" s="430"/>
      <c r="AM106" s="430"/>
      <c r="AN106" s="430"/>
      <c r="AO106" s="430"/>
      <c r="AP106" s="430"/>
      <c r="AQ106" s="430"/>
      <c r="AR106" s="219">
        <f t="shared" si="49"/>
        <v>0</v>
      </c>
      <c r="AS106" s="220" t="str">
        <f t="shared" si="50"/>
        <v>-</v>
      </c>
      <c r="AT106" s="472" t="str">
        <f t="shared" si="51"/>
        <v>-</v>
      </c>
      <c r="AU106" s="472" t="str">
        <f t="shared" si="52"/>
        <v>-</v>
      </c>
      <c r="AV106" s="472" t="str">
        <f t="shared" si="53"/>
        <v>-</v>
      </c>
      <c r="AW106" s="472" t="str">
        <f t="shared" si="54"/>
        <v>-</v>
      </c>
      <c r="AX106" s="472" t="str">
        <f t="shared" si="55"/>
        <v>-</v>
      </c>
      <c r="AY106" s="472" t="str">
        <f t="shared" si="79"/>
        <v>-</v>
      </c>
      <c r="AZ106" s="472" t="str">
        <f t="shared" si="80"/>
        <v>-</v>
      </c>
      <c r="BA106" s="472" t="str">
        <f t="shared" si="81"/>
        <v>-</v>
      </c>
      <c r="BB106" s="472" t="str">
        <f t="shared" si="82"/>
        <v>-</v>
      </c>
      <c r="BC106" s="472" t="str">
        <f t="shared" si="83"/>
        <v>-</v>
      </c>
      <c r="BD106" s="472" t="str">
        <f t="shared" si="84"/>
        <v>-</v>
      </c>
      <c r="BE106" s="472" t="str">
        <f t="shared" si="85"/>
        <v>-</v>
      </c>
      <c r="BF106" s="472" t="str">
        <f t="shared" si="86"/>
        <v>-</v>
      </c>
      <c r="BG106" s="472" t="str">
        <f t="shared" si="87"/>
        <v>-</v>
      </c>
      <c r="BH106" s="472" t="str">
        <f t="shared" si="88"/>
        <v>-</v>
      </c>
      <c r="BI106" s="221" t="str">
        <f t="shared" si="66"/>
        <v>-</v>
      </c>
      <c r="BJ106" s="730"/>
      <c r="BK106" s="692"/>
      <c r="BL106" s="429"/>
      <c r="BM106" s="429"/>
      <c r="BN106" s="214">
        <f t="shared" si="67"/>
        <v>0</v>
      </c>
      <c r="BO106" s="738"/>
      <c r="BP106" s="740"/>
      <c r="BQ106" s="462"/>
      <c r="BR106" s="462"/>
      <c r="BS106" s="228">
        <f t="shared" si="68"/>
        <v>0</v>
      </c>
      <c r="BT106" s="229" t="str">
        <f t="shared" si="69"/>
        <v>-</v>
      </c>
      <c r="BU106" s="526" t="str">
        <f t="shared" si="70"/>
        <v>-</v>
      </c>
      <c r="BV106" s="526" t="str">
        <f t="shared" si="71"/>
        <v>-</v>
      </c>
      <c r="BW106" s="526" t="str">
        <f t="shared" si="72"/>
        <v>-</v>
      </c>
      <c r="BX106" s="230" t="str">
        <f t="shared" si="73"/>
        <v>-</v>
      </c>
      <c r="BY106" s="745"/>
      <c r="BZ106" s="735"/>
      <c r="CA106" s="746"/>
      <c r="CB106" s="229" t="str">
        <f t="shared" si="74"/>
        <v>-</v>
      </c>
      <c r="CC106" s="529" t="str">
        <f t="shared" si="75"/>
        <v>-</v>
      </c>
      <c r="CD106" s="230" t="str">
        <f t="shared" si="76"/>
        <v>-</v>
      </c>
    </row>
    <row r="107" spans="1:82" ht="15.6" customHeight="1">
      <c r="A107" s="175">
        <f t="shared" si="46"/>
        <v>2022</v>
      </c>
      <c r="B107" s="454" t="str">
        <f t="shared" si="47"/>
        <v>50</v>
      </c>
      <c r="C107" s="454" t="str">
        <f t="array" ref="C107">_xlfn.IFS(_xlfn.NUMBERVALUE(B107)&lt;=13,"Q1",AND(_xlfn.NUMBERVALUE(B107)&gt;13,_xlfn.NUMBERVALUE(B107)&lt;=26),"Q2", AND(_xlfn.NUMBERVALUE(B107)&gt;26,_xlfn.NUMBERVALUE(B107)&lt;=39),"Q3",_xlfn.NUMBERVALUE(B107)&gt;39,"Q4")</f>
        <v>Q4</v>
      </c>
      <c r="D107" s="448">
        <f t="shared" si="77"/>
        <v>44569</v>
      </c>
      <c r="E107" s="448">
        <f t="shared" si="48"/>
        <v>44575</v>
      </c>
      <c r="F107" s="97">
        <v>202150</v>
      </c>
      <c r="G107" s="103"/>
      <c r="H107" s="429"/>
      <c r="I107" s="429"/>
      <c r="J107" s="429"/>
      <c r="K107" s="429"/>
      <c r="L107" s="429"/>
      <c r="M107" s="429"/>
      <c r="N107" s="429"/>
      <c r="O107" s="429"/>
      <c r="P107" s="429"/>
      <c r="Q107" s="429"/>
      <c r="R107" s="429"/>
      <c r="S107" s="429"/>
      <c r="T107" s="429"/>
      <c r="U107" s="429"/>
      <c r="V107" s="429"/>
      <c r="W107" s="429"/>
      <c r="X107" s="429"/>
      <c r="Y107" s="449">
        <f t="shared" si="45"/>
        <v>0</v>
      </c>
      <c r="Z107" s="449">
        <f t="shared" si="78"/>
        <v>0</v>
      </c>
      <c r="AA107" s="214">
        <f>'Overall Metrics'!N108</f>
        <v>0</v>
      </c>
      <c r="AB107" s="110"/>
      <c r="AC107" s="430"/>
      <c r="AD107" s="430"/>
      <c r="AE107" s="430"/>
      <c r="AF107" s="430"/>
      <c r="AG107" s="430"/>
      <c r="AH107" s="430"/>
      <c r="AI107" s="430"/>
      <c r="AJ107" s="430"/>
      <c r="AK107" s="430"/>
      <c r="AL107" s="430"/>
      <c r="AM107" s="430"/>
      <c r="AN107" s="430"/>
      <c r="AO107" s="430"/>
      <c r="AP107" s="430"/>
      <c r="AQ107" s="430"/>
      <c r="AR107" s="219">
        <f t="shared" si="49"/>
        <v>0</v>
      </c>
      <c r="AS107" s="220" t="str">
        <f t="shared" si="50"/>
        <v>-</v>
      </c>
      <c r="AT107" s="472" t="str">
        <f t="shared" si="51"/>
        <v>-</v>
      </c>
      <c r="AU107" s="472" t="str">
        <f t="shared" si="52"/>
        <v>-</v>
      </c>
      <c r="AV107" s="472" t="str">
        <f t="shared" si="53"/>
        <v>-</v>
      </c>
      <c r="AW107" s="472" t="str">
        <f t="shared" si="54"/>
        <v>-</v>
      </c>
      <c r="AX107" s="472" t="str">
        <f t="shared" si="55"/>
        <v>-</v>
      </c>
      <c r="AY107" s="472" t="str">
        <f t="shared" si="79"/>
        <v>-</v>
      </c>
      <c r="AZ107" s="472" t="str">
        <f t="shared" si="80"/>
        <v>-</v>
      </c>
      <c r="BA107" s="472" t="str">
        <f t="shared" si="81"/>
        <v>-</v>
      </c>
      <c r="BB107" s="472" t="str">
        <f t="shared" si="82"/>
        <v>-</v>
      </c>
      <c r="BC107" s="472" t="str">
        <f t="shared" si="83"/>
        <v>-</v>
      </c>
      <c r="BD107" s="472" t="str">
        <f t="shared" si="84"/>
        <v>-</v>
      </c>
      <c r="BE107" s="472" t="str">
        <f t="shared" si="85"/>
        <v>-</v>
      </c>
      <c r="BF107" s="472" t="str">
        <f t="shared" si="86"/>
        <v>-</v>
      </c>
      <c r="BG107" s="472" t="str">
        <f t="shared" si="87"/>
        <v>-</v>
      </c>
      <c r="BH107" s="472" t="str">
        <f t="shared" si="88"/>
        <v>-</v>
      </c>
      <c r="BI107" s="221" t="str">
        <f t="shared" si="66"/>
        <v>-</v>
      </c>
      <c r="BJ107" s="730"/>
      <c r="BK107" s="692"/>
      <c r="BL107" s="429"/>
      <c r="BM107" s="429"/>
      <c r="BN107" s="214">
        <f t="shared" si="67"/>
        <v>0</v>
      </c>
      <c r="BO107" s="738"/>
      <c r="BP107" s="740"/>
      <c r="BQ107" s="462"/>
      <c r="BR107" s="462"/>
      <c r="BS107" s="228">
        <f t="shared" si="68"/>
        <v>0</v>
      </c>
      <c r="BT107" s="229" t="str">
        <f t="shared" si="69"/>
        <v>-</v>
      </c>
      <c r="BU107" s="526" t="str">
        <f t="shared" si="70"/>
        <v>-</v>
      </c>
      <c r="BV107" s="526" t="str">
        <f t="shared" si="71"/>
        <v>-</v>
      </c>
      <c r="BW107" s="526" t="str">
        <f t="shared" si="72"/>
        <v>-</v>
      </c>
      <c r="BX107" s="230" t="str">
        <f t="shared" si="73"/>
        <v>-</v>
      </c>
      <c r="BY107" s="745"/>
      <c r="BZ107" s="735"/>
      <c r="CA107" s="746"/>
      <c r="CB107" s="229" t="str">
        <f t="shared" si="74"/>
        <v>-</v>
      </c>
      <c r="CC107" s="529" t="str">
        <f t="shared" si="75"/>
        <v>-</v>
      </c>
      <c r="CD107" s="230" t="str">
        <f t="shared" si="76"/>
        <v>-</v>
      </c>
    </row>
    <row r="108" spans="1:82" ht="15.6" customHeight="1">
      <c r="A108" s="175">
        <f t="shared" si="46"/>
        <v>2022</v>
      </c>
      <c r="B108" s="454" t="str">
        <f t="shared" si="47"/>
        <v>51</v>
      </c>
      <c r="C108" s="454" t="str">
        <f t="array" ref="C108">_xlfn.IFS(_xlfn.NUMBERVALUE(B108)&lt;=13,"Q1",AND(_xlfn.NUMBERVALUE(B108)&gt;13,_xlfn.NUMBERVALUE(B108)&lt;=26),"Q2", AND(_xlfn.NUMBERVALUE(B108)&gt;26,_xlfn.NUMBERVALUE(B108)&lt;=39),"Q3",_xlfn.NUMBERVALUE(B108)&gt;39,"Q4")</f>
        <v>Q4</v>
      </c>
      <c r="D108" s="448">
        <f t="shared" si="77"/>
        <v>44576</v>
      </c>
      <c r="E108" s="448">
        <f t="shared" si="48"/>
        <v>44582</v>
      </c>
      <c r="F108" s="97">
        <v>202151</v>
      </c>
      <c r="G108" s="103"/>
      <c r="H108" s="429"/>
      <c r="I108" s="429"/>
      <c r="J108" s="429"/>
      <c r="K108" s="429"/>
      <c r="L108" s="429"/>
      <c r="M108" s="429"/>
      <c r="N108" s="429"/>
      <c r="O108" s="429"/>
      <c r="P108" s="429"/>
      <c r="Q108" s="429"/>
      <c r="R108" s="429"/>
      <c r="S108" s="429"/>
      <c r="T108" s="429"/>
      <c r="U108" s="429"/>
      <c r="V108" s="429"/>
      <c r="W108" s="429"/>
      <c r="X108" s="429"/>
      <c r="Y108" s="449">
        <f t="shared" si="45"/>
        <v>0</v>
      </c>
      <c r="Z108" s="449">
        <f t="shared" si="78"/>
        <v>0</v>
      </c>
      <c r="AA108" s="214">
        <f>'Overall Metrics'!N109</f>
        <v>0</v>
      </c>
      <c r="AB108" s="110"/>
      <c r="AC108" s="430"/>
      <c r="AD108" s="430"/>
      <c r="AE108" s="430"/>
      <c r="AF108" s="430"/>
      <c r="AG108" s="430"/>
      <c r="AH108" s="430"/>
      <c r="AI108" s="430"/>
      <c r="AJ108" s="430"/>
      <c r="AK108" s="430"/>
      <c r="AL108" s="430"/>
      <c r="AM108" s="430"/>
      <c r="AN108" s="430"/>
      <c r="AO108" s="430"/>
      <c r="AP108" s="430"/>
      <c r="AQ108" s="430"/>
      <c r="AR108" s="219">
        <f t="shared" si="49"/>
        <v>0</v>
      </c>
      <c r="AS108" s="220" t="str">
        <f t="shared" si="50"/>
        <v>-</v>
      </c>
      <c r="AT108" s="472" t="str">
        <f t="shared" si="51"/>
        <v>-</v>
      </c>
      <c r="AU108" s="472" t="str">
        <f t="shared" si="52"/>
        <v>-</v>
      </c>
      <c r="AV108" s="472" t="str">
        <f t="shared" si="53"/>
        <v>-</v>
      </c>
      <c r="AW108" s="472" t="str">
        <f t="shared" si="54"/>
        <v>-</v>
      </c>
      <c r="AX108" s="472" t="str">
        <f t="shared" si="55"/>
        <v>-</v>
      </c>
      <c r="AY108" s="472" t="str">
        <f t="shared" si="79"/>
        <v>-</v>
      </c>
      <c r="AZ108" s="472" t="str">
        <f t="shared" si="80"/>
        <v>-</v>
      </c>
      <c r="BA108" s="472" t="str">
        <f t="shared" si="81"/>
        <v>-</v>
      </c>
      <c r="BB108" s="472" t="str">
        <f t="shared" si="82"/>
        <v>-</v>
      </c>
      <c r="BC108" s="472" t="str">
        <f t="shared" si="83"/>
        <v>-</v>
      </c>
      <c r="BD108" s="472" t="str">
        <f t="shared" si="84"/>
        <v>-</v>
      </c>
      <c r="BE108" s="472" t="str">
        <f t="shared" si="85"/>
        <v>-</v>
      </c>
      <c r="BF108" s="472" t="str">
        <f t="shared" si="86"/>
        <v>-</v>
      </c>
      <c r="BG108" s="472" t="str">
        <f t="shared" si="87"/>
        <v>-</v>
      </c>
      <c r="BH108" s="472" t="str">
        <f t="shared" si="88"/>
        <v>-</v>
      </c>
      <c r="BI108" s="221" t="str">
        <f t="shared" si="66"/>
        <v>-</v>
      </c>
      <c r="BJ108" s="730"/>
      <c r="BK108" s="692"/>
      <c r="BL108" s="429"/>
      <c r="BM108" s="429"/>
      <c r="BN108" s="214">
        <f t="shared" si="67"/>
        <v>0</v>
      </c>
      <c r="BO108" s="738"/>
      <c r="BP108" s="740"/>
      <c r="BQ108" s="462"/>
      <c r="BR108" s="462"/>
      <c r="BS108" s="228">
        <f t="shared" si="68"/>
        <v>0</v>
      </c>
      <c r="BT108" s="229" t="str">
        <f t="shared" si="69"/>
        <v>-</v>
      </c>
      <c r="BU108" s="526" t="str">
        <f t="shared" si="70"/>
        <v>-</v>
      </c>
      <c r="BV108" s="526" t="str">
        <f t="shared" si="71"/>
        <v>-</v>
      </c>
      <c r="BW108" s="526" t="str">
        <f t="shared" si="72"/>
        <v>-</v>
      </c>
      <c r="BX108" s="230" t="str">
        <f t="shared" si="73"/>
        <v>-</v>
      </c>
      <c r="BY108" s="745"/>
      <c r="BZ108" s="735"/>
      <c r="CA108" s="746"/>
      <c r="CB108" s="229" t="str">
        <f t="shared" si="74"/>
        <v>-</v>
      </c>
      <c r="CC108" s="529" t="str">
        <f t="shared" si="75"/>
        <v>-</v>
      </c>
      <c r="CD108" s="230" t="str">
        <f t="shared" si="76"/>
        <v>-</v>
      </c>
    </row>
    <row r="109" spans="1:82" ht="15.6" customHeight="1">
      <c r="A109" s="175">
        <f t="shared" si="46"/>
        <v>2022</v>
      </c>
      <c r="B109" s="454" t="str">
        <f t="shared" si="47"/>
        <v>52</v>
      </c>
      <c r="C109" s="454" t="str">
        <f t="array" ref="C109">_xlfn.IFS(_xlfn.NUMBERVALUE(B109)&lt;=13,"Q1",AND(_xlfn.NUMBERVALUE(B109)&gt;13,_xlfn.NUMBERVALUE(B109)&lt;=26),"Q2", AND(_xlfn.NUMBERVALUE(B109)&gt;26,_xlfn.NUMBERVALUE(B109)&lt;=39),"Q3",_xlfn.NUMBERVALUE(B109)&gt;39,"Q4")</f>
        <v>Q4</v>
      </c>
      <c r="D109" s="448">
        <f t="shared" si="77"/>
        <v>44583</v>
      </c>
      <c r="E109" s="448">
        <f t="shared" si="48"/>
        <v>44589</v>
      </c>
      <c r="F109" s="97">
        <v>202152</v>
      </c>
      <c r="G109" s="103"/>
      <c r="H109" s="429"/>
      <c r="I109" s="429"/>
      <c r="J109" s="429"/>
      <c r="K109" s="429"/>
      <c r="L109" s="429"/>
      <c r="M109" s="429"/>
      <c r="N109" s="429"/>
      <c r="O109" s="429"/>
      <c r="P109" s="429"/>
      <c r="Q109" s="429"/>
      <c r="R109" s="429"/>
      <c r="S109" s="429"/>
      <c r="T109" s="429"/>
      <c r="U109" s="429"/>
      <c r="V109" s="429"/>
      <c r="W109" s="429"/>
      <c r="X109" s="429"/>
      <c r="Y109" s="449">
        <f t="shared" si="45"/>
        <v>0</v>
      </c>
      <c r="Z109" s="449">
        <f t="shared" si="78"/>
        <v>0</v>
      </c>
      <c r="AA109" s="214">
        <f>'Overall Metrics'!N110</f>
        <v>0</v>
      </c>
      <c r="AB109" s="110"/>
      <c r="AC109" s="430"/>
      <c r="AD109" s="430"/>
      <c r="AE109" s="430"/>
      <c r="AF109" s="430"/>
      <c r="AG109" s="430"/>
      <c r="AH109" s="430"/>
      <c r="AI109" s="430"/>
      <c r="AJ109" s="430"/>
      <c r="AK109" s="430"/>
      <c r="AL109" s="430"/>
      <c r="AM109" s="430"/>
      <c r="AN109" s="430"/>
      <c r="AO109" s="430"/>
      <c r="AP109" s="430"/>
      <c r="AQ109" s="430"/>
      <c r="AR109" s="219">
        <f t="shared" si="49"/>
        <v>0</v>
      </c>
      <c r="AS109" s="220" t="str">
        <f t="shared" si="50"/>
        <v>-</v>
      </c>
      <c r="AT109" s="472" t="str">
        <f t="shared" si="51"/>
        <v>-</v>
      </c>
      <c r="AU109" s="472" t="str">
        <f t="shared" si="52"/>
        <v>-</v>
      </c>
      <c r="AV109" s="472" t="str">
        <f t="shared" si="53"/>
        <v>-</v>
      </c>
      <c r="AW109" s="472" t="str">
        <f t="shared" si="54"/>
        <v>-</v>
      </c>
      <c r="AX109" s="472" t="str">
        <f t="shared" si="55"/>
        <v>-</v>
      </c>
      <c r="AY109" s="472" t="str">
        <f t="shared" si="79"/>
        <v>-</v>
      </c>
      <c r="AZ109" s="472" t="str">
        <f t="shared" si="80"/>
        <v>-</v>
      </c>
      <c r="BA109" s="472" t="str">
        <f t="shared" si="81"/>
        <v>-</v>
      </c>
      <c r="BB109" s="472" t="str">
        <f t="shared" si="82"/>
        <v>-</v>
      </c>
      <c r="BC109" s="472" t="str">
        <f t="shared" si="83"/>
        <v>-</v>
      </c>
      <c r="BD109" s="472" t="str">
        <f t="shared" si="84"/>
        <v>-</v>
      </c>
      <c r="BE109" s="472" t="str">
        <f t="shared" si="85"/>
        <v>-</v>
      </c>
      <c r="BF109" s="472" t="str">
        <f t="shared" si="86"/>
        <v>-</v>
      </c>
      <c r="BG109" s="472" t="str">
        <f t="shared" si="87"/>
        <v>-</v>
      </c>
      <c r="BH109" s="472" t="str">
        <f t="shared" si="88"/>
        <v>-</v>
      </c>
      <c r="BI109" s="221" t="str">
        <f t="shared" si="66"/>
        <v>-</v>
      </c>
      <c r="BJ109" s="730"/>
      <c r="BK109" s="692"/>
      <c r="BL109" s="429"/>
      <c r="BM109" s="429"/>
      <c r="BN109" s="214">
        <f t="shared" si="67"/>
        <v>0</v>
      </c>
      <c r="BO109" s="738"/>
      <c r="BP109" s="740"/>
      <c r="BQ109" s="462"/>
      <c r="BR109" s="462"/>
      <c r="BS109" s="228">
        <f t="shared" si="68"/>
        <v>0</v>
      </c>
      <c r="BT109" s="229" t="str">
        <f t="shared" si="69"/>
        <v>-</v>
      </c>
      <c r="BU109" s="526" t="str">
        <f t="shared" si="70"/>
        <v>-</v>
      </c>
      <c r="BV109" s="526" t="str">
        <f t="shared" si="71"/>
        <v>-</v>
      </c>
      <c r="BW109" s="526" t="str">
        <f t="shared" si="72"/>
        <v>-</v>
      </c>
      <c r="BX109" s="230" t="str">
        <f t="shared" si="73"/>
        <v>-</v>
      </c>
      <c r="BY109" s="745"/>
      <c r="BZ109" s="735"/>
      <c r="CA109" s="746"/>
      <c r="CB109" s="229" t="str">
        <f t="shared" si="74"/>
        <v>-</v>
      </c>
      <c r="CC109" s="529" t="str">
        <f t="shared" si="75"/>
        <v>-</v>
      </c>
      <c r="CD109" s="230" t="str">
        <f t="shared" si="76"/>
        <v>-</v>
      </c>
    </row>
    <row r="110" spans="1:82" ht="16.350000000000001" customHeight="1">
      <c r="A110" s="175">
        <f t="shared" si="46"/>
        <v>2023</v>
      </c>
      <c r="B110" s="454" t="str">
        <f t="shared" si="47"/>
        <v>01</v>
      </c>
      <c r="C110" s="454" t="str">
        <f t="array" ref="C110">_xlfn.IFS(_xlfn.NUMBERVALUE(B110)&lt;=13,"Q1",AND(_xlfn.NUMBERVALUE(B110)&gt;13,_xlfn.NUMBERVALUE(B110)&lt;=26),"Q2", AND(_xlfn.NUMBERVALUE(B110)&gt;26,_xlfn.NUMBERVALUE(B110)&lt;=39),"Q3",_xlfn.NUMBERVALUE(B110)&gt;39,"Q4")</f>
        <v>Q1</v>
      </c>
      <c r="D110" s="448">
        <f t="shared" si="77"/>
        <v>44590</v>
      </c>
      <c r="E110" s="448">
        <f t="shared" si="48"/>
        <v>44596</v>
      </c>
      <c r="F110" s="97">
        <v>202201</v>
      </c>
      <c r="G110" s="103"/>
      <c r="H110" s="429"/>
      <c r="I110" s="429"/>
      <c r="J110" s="429"/>
      <c r="K110" s="429"/>
      <c r="L110" s="429"/>
      <c r="M110" s="429"/>
      <c r="N110" s="429"/>
      <c r="O110" s="429"/>
      <c r="P110" s="429"/>
      <c r="Q110" s="429"/>
      <c r="R110" s="429"/>
      <c r="S110" s="429"/>
      <c r="T110" s="429"/>
      <c r="U110" s="429"/>
      <c r="V110" s="429"/>
      <c r="W110" s="429"/>
      <c r="X110" s="429"/>
      <c r="Y110" s="449">
        <f t="shared" si="45"/>
        <v>0</v>
      </c>
      <c r="Z110" s="449">
        <f t="shared" si="78"/>
        <v>0</v>
      </c>
      <c r="AA110" s="214">
        <f>'Overall Metrics'!N111</f>
        <v>0</v>
      </c>
      <c r="AB110" s="110"/>
      <c r="AC110" s="430"/>
      <c r="AD110" s="430"/>
      <c r="AE110" s="430"/>
      <c r="AF110" s="430"/>
      <c r="AG110" s="430"/>
      <c r="AH110" s="430"/>
      <c r="AI110" s="446"/>
      <c r="AJ110" s="430"/>
      <c r="AK110" s="430"/>
      <c r="AL110" s="430"/>
      <c r="AM110" s="430"/>
      <c r="AN110" s="430"/>
      <c r="AO110" s="430"/>
      <c r="AP110" s="430"/>
      <c r="AQ110" s="430"/>
      <c r="AR110" s="219">
        <f t="shared" si="49"/>
        <v>0</v>
      </c>
      <c r="AS110" s="220" t="str">
        <f t="shared" si="50"/>
        <v>-</v>
      </c>
      <c r="AT110" s="472" t="str">
        <f t="shared" si="51"/>
        <v>-</v>
      </c>
      <c r="AU110" s="472" t="str">
        <f t="shared" si="52"/>
        <v>-</v>
      </c>
      <c r="AV110" s="472" t="str">
        <f t="shared" si="53"/>
        <v>-</v>
      </c>
      <c r="AW110" s="472" t="str">
        <f t="shared" si="54"/>
        <v>-</v>
      </c>
      <c r="AX110" s="472" t="str">
        <f t="shared" si="55"/>
        <v>-</v>
      </c>
      <c r="AY110" s="472" t="str">
        <f t="shared" si="79"/>
        <v>-</v>
      </c>
      <c r="AZ110" s="472" t="str">
        <f t="shared" si="80"/>
        <v>-</v>
      </c>
      <c r="BA110" s="472" t="str">
        <f t="shared" si="81"/>
        <v>-</v>
      </c>
      <c r="BB110" s="472" t="str">
        <f t="shared" si="82"/>
        <v>-</v>
      </c>
      <c r="BC110" s="472" t="str">
        <f t="shared" si="83"/>
        <v>-</v>
      </c>
      <c r="BD110" s="472" t="str">
        <f t="shared" si="84"/>
        <v>-</v>
      </c>
      <c r="BE110" s="472" t="str">
        <f t="shared" si="85"/>
        <v>-</v>
      </c>
      <c r="BF110" s="472" t="str">
        <f t="shared" si="86"/>
        <v>-</v>
      </c>
      <c r="BG110" s="472" t="str">
        <f t="shared" si="87"/>
        <v>-</v>
      </c>
      <c r="BH110" s="472" t="str">
        <f t="shared" si="88"/>
        <v>-</v>
      </c>
      <c r="BI110" s="221" t="str">
        <f t="shared" si="66"/>
        <v>-</v>
      </c>
      <c r="BJ110" s="730"/>
      <c r="BK110" s="692"/>
      <c r="BL110" s="429"/>
      <c r="BM110" s="429"/>
      <c r="BN110" s="214">
        <f t="shared" si="67"/>
        <v>0</v>
      </c>
      <c r="BO110" s="741"/>
      <c r="BP110" s="742"/>
      <c r="BQ110" s="446"/>
      <c r="BR110" s="446"/>
      <c r="BS110" s="228">
        <f t="shared" si="68"/>
        <v>0</v>
      </c>
      <c r="BT110" s="229" t="str">
        <f t="shared" si="69"/>
        <v>-</v>
      </c>
      <c r="BU110" s="526" t="str">
        <f t="shared" si="70"/>
        <v>-</v>
      </c>
      <c r="BV110" s="526" t="str">
        <f t="shared" si="71"/>
        <v>-</v>
      </c>
      <c r="BW110" s="526" t="str">
        <f t="shared" si="72"/>
        <v>-</v>
      </c>
      <c r="BX110" s="230" t="str">
        <f t="shared" si="73"/>
        <v>-</v>
      </c>
      <c r="BY110" s="745"/>
      <c r="BZ110" s="735"/>
      <c r="CA110" s="746"/>
      <c r="CB110" s="229" t="str">
        <f t="shared" si="74"/>
        <v>-</v>
      </c>
      <c r="CC110" s="529" t="str">
        <f t="shared" si="75"/>
        <v>-</v>
      </c>
      <c r="CD110" s="230" t="str">
        <f t="shared" si="76"/>
        <v>-</v>
      </c>
    </row>
    <row r="111" spans="1:82" ht="16.350000000000001" customHeight="1">
      <c r="A111" s="175">
        <f t="shared" si="46"/>
        <v>2023</v>
      </c>
      <c r="B111" s="454" t="str">
        <f t="shared" si="47"/>
        <v>02</v>
      </c>
      <c r="C111" s="454" t="str">
        <f t="array" ref="C111">_xlfn.IFS(_xlfn.NUMBERVALUE(B111)&lt;=13,"Q1",AND(_xlfn.NUMBERVALUE(B111)&gt;13,_xlfn.NUMBERVALUE(B111)&lt;=26),"Q2", AND(_xlfn.NUMBERVALUE(B111)&gt;26,_xlfn.NUMBERVALUE(B111)&lt;=39),"Q3",_xlfn.NUMBERVALUE(B111)&gt;39,"Q4")</f>
        <v>Q1</v>
      </c>
      <c r="D111" s="448">
        <f t="shared" si="77"/>
        <v>44597</v>
      </c>
      <c r="E111" s="448">
        <f t="shared" si="48"/>
        <v>44603</v>
      </c>
      <c r="F111" s="97">
        <v>202202</v>
      </c>
      <c r="G111" s="103"/>
      <c r="H111" s="429"/>
      <c r="I111" s="429"/>
      <c r="J111" s="429"/>
      <c r="K111" s="429"/>
      <c r="L111" s="429"/>
      <c r="M111" s="429"/>
      <c r="N111" s="429"/>
      <c r="O111" s="429"/>
      <c r="P111" s="429"/>
      <c r="Q111" s="429"/>
      <c r="R111" s="429"/>
      <c r="S111" s="429"/>
      <c r="T111" s="429"/>
      <c r="U111" s="429"/>
      <c r="V111" s="429"/>
      <c r="W111" s="429"/>
      <c r="X111" s="429"/>
      <c r="Y111" s="449">
        <f t="shared" si="45"/>
        <v>0</v>
      </c>
      <c r="Z111" s="449">
        <f t="shared" si="78"/>
        <v>0</v>
      </c>
      <c r="AA111" s="214">
        <f>'Overall Metrics'!N112</f>
        <v>0</v>
      </c>
      <c r="AB111" s="110"/>
      <c r="AC111" s="430"/>
      <c r="AD111" s="430"/>
      <c r="AE111" s="430"/>
      <c r="AF111" s="430"/>
      <c r="AG111" s="430"/>
      <c r="AH111" s="430"/>
      <c r="AI111" s="446"/>
      <c r="AJ111" s="430"/>
      <c r="AK111" s="430"/>
      <c r="AL111" s="430"/>
      <c r="AM111" s="430"/>
      <c r="AN111" s="430"/>
      <c r="AO111" s="430"/>
      <c r="AP111" s="430"/>
      <c r="AQ111" s="430"/>
      <c r="AR111" s="219">
        <f t="shared" si="49"/>
        <v>0</v>
      </c>
      <c r="AS111" s="220" t="str">
        <f t="shared" si="50"/>
        <v>-</v>
      </c>
      <c r="AT111" s="472" t="str">
        <f t="shared" si="51"/>
        <v>-</v>
      </c>
      <c r="AU111" s="472" t="str">
        <f t="shared" si="52"/>
        <v>-</v>
      </c>
      <c r="AV111" s="472" t="str">
        <f t="shared" si="53"/>
        <v>-</v>
      </c>
      <c r="AW111" s="472" t="str">
        <f t="shared" si="54"/>
        <v>-</v>
      </c>
      <c r="AX111" s="472" t="str">
        <f t="shared" si="55"/>
        <v>-</v>
      </c>
      <c r="AY111" s="472" t="str">
        <f t="shared" si="79"/>
        <v>-</v>
      </c>
      <c r="AZ111" s="472" t="str">
        <f t="shared" si="80"/>
        <v>-</v>
      </c>
      <c r="BA111" s="472" t="str">
        <f t="shared" si="81"/>
        <v>-</v>
      </c>
      <c r="BB111" s="472" t="str">
        <f t="shared" si="82"/>
        <v>-</v>
      </c>
      <c r="BC111" s="472" t="str">
        <f t="shared" si="83"/>
        <v>-</v>
      </c>
      <c r="BD111" s="472" t="str">
        <f t="shared" si="84"/>
        <v>-</v>
      </c>
      <c r="BE111" s="472" t="str">
        <f t="shared" si="85"/>
        <v>-</v>
      </c>
      <c r="BF111" s="472" t="str">
        <f t="shared" si="86"/>
        <v>-</v>
      </c>
      <c r="BG111" s="472" t="str">
        <f t="shared" si="87"/>
        <v>-</v>
      </c>
      <c r="BH111" s="472" t="str">
        <f t="shared" si="88"/>
        <v>-</v>
      </c>
      <c r="BI111" s="221" t="str">
        <f t="shared" si="66"/>
        <v>-</v>
      </c>
      <c r="BJ111" s="730"/>
      <c r="BK111" s="692"/>
      <c r="BL111" s="429"/>
      <c r="BM111" s="429"/>
      <c r="BN111" s="214">
        <f t="shared" si="67"/>
        <v>0</v>
      </c>
      <c r="BO111" s="741"/>
      <c r="BP111" s="742"/>
      <c r="BQ111" s="446"/>
      <c r="BR111" s="446"/>
      <c r="BS111" s="228">
        <f t="shared" si="68"/>
        <v>0</v>
      </c>
      <c r="BT111" s="229" t="str">
        <f t="shared" si="69"/>
        <v>-</v>
      </c>
      <c r="BU111" s="526" t="str">
        <f t="shared" si="70"/>
        <v>-</v>
      </c>
      <c r="BV111" s="526" t="str">
        <f t="shared" si="71"/>
        <v>-</v>
      </c>
      <c r="BW111" s="526" t="str">
        <f t="shared" si="72"/>
        <v>-</v>
      </c>
      <c r="BX111" s="230" t="str">
        <f t="shared" si="73"/>
        <v>-</v>
      </c>
      <c r="BY111" s="745"/>
      <c r="BZ111" s="735"/>
      <c r="CA111" s="746"/>
      <c r="CB111" s="229" t="str">
        <f t="shared" si="74"/>
        <v>-</v>
      </c>
      <c r="CC111" s="529" t="str">
        <f t="shared" si="75"/>
        <v>-</v>
      </c>
      <c r="CD111" s="230" t="str">
        <f t="shared" si="76"/>
        <v>-</v>
      </c>
    </row>
    <row r="112" spans="1:82" ht="16.350000000000001" customHeight="1">
      <c r="A112" s="175">
        <f t="shared" si="46"/>
        <v>2023</v>
      </c>
      <c r="B112" s="454" t="str">
        <f t="shared" si="47"/>
        <v>03</v>
      </c>
      <c r="C112" s="454" t="str">
        <f t="array" ref="C112">_xlfn.IFS(_xlfn.NUMBERVALUE(B112)&lt;=13,"Q1",AND(_xlfn.NUMBERVALUE(B112)&gt;13,_xlfn.NUMBERVALUE(B112)&lt;=26),"Q2", AND(_xlfn.NUMBERVALUE(B112)&gt;26,_xlfn.NUMBERVALUE(B112)&lt;=39),"Q3",_xlfn.NUMBERVALUE(B112)&gt;39,"Q4")</f>
        <v>Q1</v>
      </c>
      <c r="D112" s="448">
        <f t="shared" si="77"/>
        <v>44604</v>
      </c>
      <c r="E112" s="448">
        <f t="shared" si="48"/>
        <v>44610</v>
      </c>
      <c r="F112" s="97">
        <v>202203</v>
      </c>
      <c r="G112" s="103"/>
      <c r="H112" s="429"/>
      <c r="I112" s="429"/>
      <c r="J112" s="429"/>
      <c r="K112" s="429"/>
      <c r="L112" s="429"/>
      <c r="M112" s="429"/>
      <c r="N112" s="429"/>
      <c r="O112" s="429"/>
      <c r="P112" s="429"/>
      <c r="Q112" s="429"/>
      <c r="R112" s="429"/>
      <c r="S112" s="429"/>
      <c r="T112" s="429"/>
      <c r="U112" s="429"/>
      <c r="V112" s="429"/>
      <c r="W112" s="429"/>
      <c r="X112" s="429"/>
      <c r="Y112" s="449">
        <f t="shared" si="45"/>
        <v>0</v>
      </c>
      <c r="Z112" s="449">
        <f t="shared" si="78"/>
        <v>0</v>
      </c>
      <c r="AA112" s="214">
        <f>'Overall Metrics'!N113</f>
        <v>0</v>
      </c>
      <c r="AB112" s="110"/>
      <c r="AC112" s="430"/>
      <c r="AD112" s="430"/>
      <c r="AE112" s="430"/>
      <c r="AF112" s="430"/>
      <c r="AG112" s="430"/>
      <c r="AH112" s="430"/>
      <c r="AI112" s="446"/>
      <c r="AJ112" s="430"/>
      <c r="AK112" s="430"/>
      <c r="AL112" s="430"/>
      <c r="AM112" s="430"/>
      <c r="AN112" s="430"/>
      <c r="AO112" s="430"/>
      <c r="AP112" s="430"/>
      <c r="AQ112" s="430"/>
      <c r="AR112" s="219">
        <f t="shared" si="49"/>
        <v>0</v>
      </c>
      <c r="AS112" s="220" t="str">
        <f t="shared" si="50"/>
        <v>-</v>
      </c>
      <c r="AT112" s="472" t="str">
        <f t="shared" si="51"/>
        <v>-</v>
      </c>
      <c r="AU112" s="472" t="str">
        <f t="shared" si="52"/>
        <v>-</v>
      </c>
      <c r="AV112" s="472" t="str">
        <f t="shared" si="53"/>
        <v>-</v>
      </c>
      <c r="AW112" s="472" t="str">
        <f t="shared" si="54"/>
        <v>-</v>
      </c>
      <c r="AX112" s="472" t="str">
        <f t="shared" si="55"/>
        <v>-</v>
      </c>
      <c r="AY112" s="472" t="str">
        <f t="shared" si="79"/>
        <v>-</v>
      </c>
      <c r="AZ112" s="472" t="str">
        <f t="shared" si="80"/>
        <v>-</v>
      </c>
      <c r="BA112" s="472" t="str">
        <f t="shared" si="81"/>
        <v>-</v>
      </c>
      <c r="BB112" s="472" t="str">
        <f t="shared" si="82"/>
        <v>-</v>
      </c>
      <c r="BC112" s="472" t="str">
        <f t="shared" si="83"/>
        <v>-</v>
      </c>
      <c r="BD112" s="472" t="str">
        <f t="shared" si="84"/>
        <v>-</v>
      </c>
      <c r="BE112" s="472" t="str">
        <f t="shared" si="85"/>
        <v>-</v>
      </c>
      <c r="BF112" s="472" t="str">
        <f t="shared" si="86"/>
        <v>-</v>
      </c>
      <c r="BG112" s="472" t="str">
        <f t="shared" si="87"/>
        <v>-</v>
      </c>
      <c r="BH112" s="472" t="str">
        <f t="shared" si="88"/>
        <v>-</v>
      </c>
      <c r="BI112" s="221" t="str">
        <f t="shared" si="66"/>
        <v>-</v>
      </c>
      <c r="BJ112" s="730"/>
      <c r="BK112" s="692"/>
      <c r="BL112" s="429"/>
      <c r="BM112" s="429"/>
      <c r="BN112" s="214">
        <f t="shared" si="67"/>
        <v>0</v>
      </c>
      <c r="BO112" s="741"/>
      <c r="BP112" s="742"/>
      <c r="BQ112" s="446"/>
      <c r="BR112" s="446"/>
      <c r="BS112" s="228">
        <f t="shared" si="68"/>
        <v>0</v>
      </c>
      <c r="BT112" s="229" t="str">
        <f t="shared" si="69"/>
        <v>-</v>
      </c>
      <c r="BU112" s="526" t="str">
        <f t="shared" si="70"/>
        <v>-</v>
      </c>
      <c r="BV112" s="526" t="str">
        <f t="shared" si="71"/>
        <v>-</v>
      </c>
      <c r="BW112" s="526" t="str">
        <f t="shared" si="72"/>
        <v>-</v>
      </c>
      <c r="BX112" s="230" t="str">
        <f t="shared" si="73"/>
        <v>-</v>
      </c>
      <c r="BY112" s="745"/>
      <c r="BZ112" s="735"/>
      <c r="CA112" s="746"/>
      <c r="CB112" s="229" t="str">
        <f t="shared" si="74"/>
        <v>-</v>
      </c>
      <c r="CC112" s="529" t="str">
        <f t="shared" si="75"/>
        <v>-</v>
      </c>
      <c r="CD112" s="230" t="str">
        <f t="shared" si="76"/>
        <v>-</v>
      </c>
    </row>
    <row r="113" spans="1:82" ht="16.350000000000001" customHeight="1">
      <c r="A113" s="175">
        <f t="shared" si="46"/>
        <v>2023</v>
      </c>
      <c r="B113" s="454" t="str">
        <f t="shared" si="47"/>
        <v>04</v>
      </c>
      <c r="C113" s="454" t="str">
        <f t="array" ref="C113">_xlfn.IFS(_xlfn.NUMBERVALUE(B113)&lt;=13,"Q1",AND(_xlfn.NUMBERVALUE(B113)&gt;13,_xlfn.NUMBERVALUE(B113)&lt;=26),"Q2", AND(_xlfn.NUMBERVALUE(B113)&gt;26,_xlfn.NUMBERVALUE(B113)&lt;=39),"Q3",_xlfn.NUMBERVALUE(B113)&gt;39,"Q4")</f>
        <v>Q1</v>
      </c>
      <c r="D113" s="448">
        <f t="shared" si="77"/>
        <v>44611</v>
      </c>
      <c r="E113" s="448">
        <f t="shared" si="48"/>
        <v>44617</v>
      </c>
      <c r="F113" s="97">
        <v>202204</v>
      </c>
      <c r="G113" s="103"/>
      <c r="H113" s="429"/>
      <c r="I113" s="429"/>
      <c r="J113" s="429"/>
      <c r="K113" s="429"/>
      <c r="L113" s="429"/>
      <c r="M113" s="429"/>
      <c r="N113" s="429"/>
      <c r="O113" s="429"/>
      <c r="P113" s="429"/>
      <c r="Q113" s="429"/>
      <c r="R113" s="429"/>
      <c r="S113" s="429"/>
      <c r="T113" s="429"/>
      <c r="U113" s="429"/>
      <c r="V113" s="429"/>
      <c r="W113" s="429"/>
      <c r="X113" s="429"/>
      <c r="Y113" s="449">
        <f t="shared" si="45"/>
        <v>0</v>
      </c>
      <c r="Z113" s="449">
        <f t="shared" si="78"/>
        <v>0</v>
      </c>
      <c r="AA113" s="214">
        <f>'Overall Metrics'!N114</f>
        <v>0</v>
      </c>
      <c r="AB113" s="110"/>
      <c r="AC113" s="430"/>
      <c r="AD113" s="430"/>
      <c r="AE113" s="430"/>
      <c r="AF113" s="430"/>
      <c r="AG113" s="430"/>
      <c r="AH113" s="430"/>
      <c r="AI113" s="446"/>
      <c r="AJ113" s="430"/>
      <c r="AK113" s="430"/>
      <c r="AL113" s="430"/>
      <c r="AM113" s="430"/>
      <c r="AN113" s="430"/>
      <c r="AO113" s="430"/>
      <c r="AP113" s="430"/>
      <c r="AQ113" s="430"/>
      <c r="AR113" s="219">
        <f t="shared" si="49"/>
        <v>0</v>
      </c>
      <c r="AS113" s="220" t="str">
        <f t="shared" si="50"/>
        <v>-</v>
      </c>
      <c r="AT113" s="472" t="str">
        <f t="shared" si="51"/>
        <v>-</v>
      </c>
      <c r="AU113" s="472" t="str">
        <f t="shared" si="52"/>
        <v>-</v>
      </c>
      <c r="AV113" s="472" t="str">
        <f t="shared" si="53"/>
        <v>-</v>
      </c>
      <c r="AW113" s="472" t="str">
        <f t="shared" si="54"/>
        <v>-</v>
      </c>
      <c r="AX113" s="472" t="str">
        <f t="shared" si="55"/>
        <v>-</v>
      </c>
      <c r="AY113" s="472" t="str">
        <f t="shared" si="79"/>
        <v>-</v>
      </c>
      <c r="AZ113" s="472" t="str">
        <f t="shared" si="80"/>
        <v>-</v>
      </c>
      <c r="BA113" s="472" t="str">
        <f t="shared" si="81"/>
        <v>-</v>
      </c>
      <c r="BB113" s="472" t="str">
        <f t="shared" si="82"/>
        <v>-</v>
      </c>
      <c r="BC113" s="472" t="str">
        <f t="shared" si="83"/>
        <v>-</v>
      </c>
      <c r="BD113" s="472" t="str">
        <f t="shared" si="84"/>
        <v>-</v>
      </c>
      <c r="BE113" s="472" t="str">
        <f t="shared" si="85"/>
        <v>-</v>
      </c>
      <c r="BF113" s="472" t="str">
        <f t="shared" si="86"/>
        <v>-</v>
      </c>
      <c r="BG113" s="472" t="str">
        <f t="shared" si="87"/>
        <v>-</v>
      </c>
      <c r="BH113" s="472" t="str">
        <f t="shared" si="88"/>
        <v>-</v>
      </c>
      <c r="BI113" s="221" t="str">
        <f t="shared" si="66"/>
        <v>-</v>
      </c>
      <c r="BJ113" s="730"/>
      <c r="BK113" s="692"/>
      <c r="BL113" s="429"/>
      <c r="BM113" s="429"/>
      <c r="BN113" s="214">
        <f t="shared" si="67"/>
        <v>0</v>
      </c>
      <c r="BO113" s="741"/>
      <c r="BP113" s="742"/>
      <c r="BQ113" s="446"/>
      <c r="BR113" s="446"/>
      <c r="BS113" s="228">
        <f t="shared" si="68"/>
        <v>0</v>
      </c>
      <c r="BT113" s="229" t="str">
        <f t="shared" si="69"/>
        <v>-</v>
      </c>
      <c r="BU113" s="526" t="str">
        <f t="shared" si="70"/>
        <v>-</v>
      </c>
      <c r="BV113" s="526" t="str">
        <f t="shared" si="71"/>
        <v>-</v>
      </c>
      <c r="BW113" s="526" t="str">
        <f t="shared" si="72"/>
        <v>-</v>
      </c>
      <c r="BX113" s="230" t="str">
        <f t="shared" si="73"/>
        <v>-</v>
      </c>
      <c r="BY113" s="745"/>
      <c r="BZ113" s="735"/>
      <c r="CA113" s="746"/>
      <c r="CB113" s="229" t="str">
        <f t="shared" si="74"/>
        <v>-</v>
      </c>
      <c r="CC113" s="529" t="str">
        <f t="shared" si="75"/>
        <v>-</v>
      </c>
      <c r="CD113" s="230" t="str">
        <f t="shared" si="76"/>
        <v>-</v>
      </c>
    </row>
    <row r="114" spans="1:82" ht="16.350000000000001" customHeight="1">
      <c r="A114" s="175">
        <f t="shared" si="46"/>
        <v>2023</v>
      </c>
      <c r="B114" s="454" t="str">
        <f t="shared" si="47"/>
        <v>05</v>
      </c>
      <c r="C114" s="454" t="str">
        <f t="array" ref="C114">_xlfn.IFS(_xlfn.NUMBERVALUE(B114)&lt;=13,"Q1",AND(_xlfn.NUMBERVALUE(B114)&gt;13,_xlfn.NUMBERVALUE(B114)&lt;=26),"Q2", AND(_xlfn.NUMBERVALUE(B114)&gt;26,_xlfn.NUMBERVALUE(B114)&lt;=39),"Q3",_xlfn.NUMBERVALUE(B114)&gt;39,"Q4")</f>
        <v>Q1</v>
      </c>
      <c r="D114" s="448">
        <f t="shared" si="77"/>
        <v>44618</v>
      </c>
      <c r="E114" s="448">
        <f t="shared" si="48"/>
        <v>44624</v>
      </c>
      <c r="F114" s="97">
        <v>202205</v>
      </c>
      <c r="G114" s="103"/>
      <c r="H114" s="429"/>
      <c r="I114" s="429"/>
      <c r="J114" s="429"/>
      <c r="K114" s="429"/>
      <c r="L114" s="429"/>
      <c r="M114" s="429"/>
      <c r="N114" s="429"/>
      <c r="O114" s="429"/>
      <c r="P114" s="429"/>
      <c r="Q114" s="429"/>
      <c r="R114" s="429"/>
      <c r="S114" s="429"/>
      <c r="T114" s="429"/>
      <c r="U114" s="429"/>
      <c r="V114" s="429"/>
      <c r="W114" s="429"/>
      <c r="X114" s="429"/>
      <c r="Y114" s="449">
        <f t="shared" si="45"/>
        <v>0</v>
      </c>
      <c r="Z114" s="449">
        <f t="shared" si="78"/>
        <v>0</v>
      </c>
      <c r="AA114" s="214">
        <f>'Overall Metrics'!N115</f>
        <v>0</v>
      </c>
      <c r="AB114" s="110"/>
      <c r="AC114" s="430"/>
      <c r="AD114" s="430"/>
      <c r="AE114" s="430"/>
      <c r="AF114" s="430"/>
      <c r="AG114" s="430"/>
      <c r="AH114" s="430"/>
      <c r="AI114" s="446"/>
      <c r="AJ114" s="430"/>
      <c r="AK114" s="430"/>
      <c r="AL114" s="430"/>
      <c r="AM114" s="430"/>
      <c r="AN114" s="430"/>
      <c r="AO114" s="430"/>
      <c r="AP114" s="430"/>
      <c r="AQ114" s="430"/>
      <c r="AR114" s="219">
        <f t="shared" si="49"/>
        <v>0</v>
      </c>
      <c r="AS114" s="220" t="str">
        <f t="shared" si="50"/>
        <v>-</v>
      </c>
      <c r="AT114" s="472" t="str">
        <f t="shared" si="51"/>
        <v>-</v>
      </c>
      <c r="AU114" s="472" t="str">
        <f t="shared" si="52"/>
        <v>-</v>
      </c>
      <c r="AV114" s="472" t="str">
        <f t="shared" si="53"/>
        <v>-</v>
      </c>
      <c r="AW114" s="472" t="str">
        <f t="shared" si="54"/>
        <v>-</v>
      </c>
      <c r="AX114" s="472" t="str">
        <f t="shared" si="55"/>
        <v>-</v>
      </c>
      <c r="AY114" s="472" t="str">
        <f t="shared" si="79"/>
        <v>-</v>
      </c>
      <c r="AZ114" s="472" t="str">
        <f t="shared" si="80"/>
        <v>-</v>
      </c>
      <c r="BA114" s="472" t="str">
        <f t="shared" si="81"/>
        <v>-</v>
      </c>
      <c r="BB114" s="472" t="str">
        <f t="shared" si="82"/>
        <v>-</v>
      </c>
      <c r="BC114" s="472" t="str">
        <f t="shared" si="83"/>
        <v>-</v>
      </c>
      <c r="BD114" s="472" t="str">
        <f t="shared" si="84"/>
        <v>-</v>
      </c>
      <c r="BE114" s="472" t="str">
        <f t="shared" si="85"/>
        <v>-</v>
      </c>
      <c r="BF114" s="472" t="str">
        <f t="shared" si="86"/>
        <v>-</v>
      </c>
      <c r="BG114" s="472" t="str">
        <f t="shared" si="87"/>
        <v>-</v>
      </c>
      <c r="BH114" s="472" t="str">
        <f t="shared" si="88"/>
        <v>-</v>
      </c>
      <c r="BI114" s="221" t="str">
        <f t="shared" si="66"/>
        <v>-</v>
      </c>
      <c r="BJ114" s="730"/>
      <c r="BK114" s="692"/>
      <c r="BL114" s="429"/>
      <c r="BM114" s="429"/>
      <c r="BN114" s="214">
        <f t="shared" si="67"/>
        <v>0</v>
      </c>
      <c r="BO114" s="741"/>
      <c r="BP114" s="742"/>
      <c r="BQ114" s="446"/>
      <c r="BR114" s="446"/>
      <c r="BS114" s="228">
        <f t="shared" si="68"/>
        <v>0</v>
      </c>
      <c r="BT114" s="229" t="str">
        <f t="shared" si="69"/>
        <v>-</v>
      </c>
      <c r="BU114" s="526" t="str">
        <f t="shared" si="70"/>
        <v>-</v>
      </c>
      <c r="BV114" s="526" t="str">
        <f t="shared" si="71"/>
        <v>-</v>
      </c>
      <c r="BW114" s="526" t="str">
        <f t="shared" si="72"/>
        <v>-</v>
      </c>
      <c r="BX114" s="230" t="str">
        <f t="shared" si="73"/>
        <v>-</v>
      </c>
      <c r="BY114" s="745"/>
      <c r="BZ114" s="735"/>
      <c r="CA114" s="746"/>
      <c r="CB114" s="229" t="str">
        <f t="shared" si="74"/>
        <v>-</v>
      </c>
      <c r="CC114" s="529" t="str">
        <f t="shared" si="75"/>
        <v>-</v>
      </c>
      <c r="CD114" s="230" t="str">
        <f t="shared" si="76"/>
        <v>-</v>
      </c>
    </row>
    <row r="115" spans="1:82" ht="16.350000000000001" customHeight="1">
      <c r="A115" s="175">
        <f t="shared" si="46"/>
        <v>2023</v>
      </c>
      <c r="B115" s="454" t="str">
        <f t="shared" si="47"/>
        <v>06</v>
      </c>
      <c r="C115" s="454" t="str">
        <f t="array" ref="C115">_xlfn.IFS(_xlfn.NUMBERVALUE(B115)&lt;=13,"Q1",AND(_xlfn.NUMBERVALUE(B115)&gt;13,_xlfn.NUMBERVALUE(B115)&lt;=26),"Q2", AND(_xlfn.NUMBERVALUE(B115)&gt;26,_xlfn.NUMBERVALUE(B115)&lt;=39),"Q3",_xlfn.NUMBERVALUE(B115)&gt;39,"Q4")</f>
        <v>Q1</v>
      </c>
      <c r="D115" s="448">
        <f t="shared" si="77"/>
        <v>44625</v>
      </c>
      <c r="E115" s="448">
        <f t="shared" si="48"/>
        <v>44631</v>
      </c>
      <c r="F115" s="97">
        <v>202206</v>
      </c>
      <c r="G115" s="103"/>
      <c r="H115" s="429"/>
      <c r="I115" s="429"/>
      <c r="J115" s="429"/>
      <c r="K115" s="429"/>
      <c r="L115" s="429"/>
      <c r="M115" s="429"/>
      <c r="N115" s="429"/>
      <c r="O115" s="429"/>
      <c r="P115" s="429"/>
      <c r="Q115" s="429"/>
      <c r="R115" s="429"/>
      <c r="S115" s="429"/>
      <c r="T115" s="429"/>
      <c r="U115" s="429"/>
      <c r="V115" s="429"/>
      <c r="W115" s="429"/>
      <c r="X115" s="429"/>
      <c r="Y115" s="449">
        <f t="shared" si="45"/>
        <v>0</v>
      </c>
      <c r="Z115" s="449">
        <f t="shared" si="78"/>
        <v>0</v>
      </c>
      <c r="AA115" s="214">
        <f>'Overall Metrics'!N116</f>
        <v>0</v>
      </c>
      <c r="AB115" s="110"/>
      <c r="AC115" s="430"/>
      <c r="AD115" s="430"/>
      <c r="AE115" s="430"/>
      <c r="AF115" s="430"/>
      <c r="AG115" s="430"/>
      <c r="AH115" s="430"/>
      <c r="AI115" s="446"/>
      <c r="AJ115" s="430"/>
      <c r="AK115" s="430"/>
      <c r="AL115" s="430"/>
      <c r="AM115" s="430"/>
      <c r="AN115" s="430"/>
      <c r="AO115" s="430"/>
      <c r="AP115" s="430"/>
      <c r="AQ115" s="430"/>
      <c r="AR115" s="219">
        <f t="shared" si="49"/>
        <v>0</v>
      </c>
      <c r="AS115" s="220" t="str">
        <f t="shared" si="50"/>
        <v>-</v>
      </c>
      <c r="AT115" s="472" t="str">
        <f t="shared" si="51"/>
        <v>-</v>
      </c>
      <c r="AU115" s="472" t="str">
        <f t="shared" si="52"/>
        <v>-</v>
      </c>
      <c r="AV115" s="472" t="str">
        <f t="shared" si="53"/>
        <v>-</v>
      </c>
      <c r="AW115" s="472" t="str">
        <f t="shared" si="54"/>
        <v>-</v>
      </c>
      <c r="AX115" s="472" t="str">
        <f t="shared" si="55"/>
        <v>-</v>
      </c>
      <c r="AY115" s="472" t="str">
        <f t="shared" si="79"/>
        <v>-</v>
      </c>
      <c r="AZ115" s="472" t="str">
        <f t="shared" si="80"/>
        <v>-</v>
      </c>
      <c r="BA115" s="472" t="str">
        <f t="shared" si="81"/>
        <v>-</v>
      </c>
      <c r="BB115" s="472" t="str">
        <f t="shared" si="82"/>
        <v>-</v>
      </c>
      <c r="BC115" s="472" t="str">
        <f t="shared" si="83"/>
        <v>-</v>
      </c>
      <c r="BD115" s="472" t="str">
        <f t="shared" si="84"/>
        <v>-</v>
      </c>
      <c r="BE115" s="472" t="str">
        <f t="shared" si="85"/>
        <v>-</v>
      </c>
      <c r="BF115" s="472" t="str">
        <f t="shared" si="86"/>
        <v>-</v>
      </c>
      <c r="BG115" s="472" t="str">
        <f t="shared" si="87"/>
        <v>-</v>
      </c>
      <c r="BH115" s="472" t="str">
        <f t="shared" si="88"/>
        <v>-</v>
      </c>
      <c r="BI115" s="221" t="str">
        <f t="shared" si="66"/>
        <v>-</v>
      </c>
      <c r="BJ115" s="730"/>
      <c r="BK115" s="692"/>
      <c r="BL115" s="429"/>
      <c r="BM115" s="429"/>
      <c r="BN115" s="214">
        <f t="shared" si="67"/>
        <v>0</v>
      </c>
      <c r="BO115" s="741"/>
      <c r="BP115" s="742"/>
      <c r="BQ115" s="446"/>
      <c r="BR115" s="446"/>
      <c r="BS115" s="228">
        <f t="shared" si="68"/>
        <v>0</v>
      </c>
      <c r="BT115" s="229" t="str">
        <f t="shared" si="69"/>
        <v>-</v>
      </c>
      <c r="BU115" s="526" t="str">
        <f t="shared" si="70"/>
        <v>-</v>
      </c>
      <c r="BV115" s="526" t="str">
        <f t="shared" si="71"/>
        <v>-</v>
      </c>
      <c r="BW115" s="526" t="str">
        <f t="shared" si="72"/>
        <v>-</v>
      </c>
      <c r="BX115" s="230" t="str">
        <f t="shared" si="73"/>
        <v>-</v>
      </c>
      <c r="BY115" s="745"/>
      <c r="BZ115" s="735"/>
      <c r="CA115" s="746"/>
      <c r="CB115" s="229" t="str">
        <f t="shared" si="74"/>
        <v>-</v>
      </c>
      <c r="CC115" s="529" t="str">
        <f t="shared" si="75"/>
        <v>-</v>
      </c>
      <c r="CD115" s="230" t="str">
        <f t="shared" si="76"/>
        <v>-</v>
      </c>
    </row>
    <row r="116" spans="1:82" ht="16.350000000000001" customHeight="1">
      <c r="A116" s="175">
        <f t="shared" si="46"/>
        <v>2023</v>
      </c>
      <c r="B116" s="454" t="str">
        <f t="shared" si="47"/>
        <v>07</v>
      </c>
      <c r="C116" s="454" t="str">
        <f t="array" ref="C116">_xlfn.IFS(_xlfn.NUMBERVALUE(B116)&lt;=13,"Q1",AND(_xlfn.NUMBERVALUE(B116)&gt;13,_xlfn.NUMBERVALUE(B116)&lt;=26),"Q2", AND(_xlfn.NUMBERVALUE(B116)&gt;26,_xlfn.NUMBERVALUE(B116)&lt;=39),"Q3",_xlfn.NUMBERVALUE(B116)&gt;39,"Q4")</f>
        <v>Q1</v>
      </c>
      <c r="D116" s="448">
        <f t="shared" si="77"/>
        <v>44632</v>
      </c>
      <c r="E116" s="448">
        <f t="shared" si="48"/>
        <v>44638</v>
      </c>
      <c r="F116" s="97">
        <v>202207</v>
      </c>
      <c r="G116" s="103"/>
      <c r="H116" s="429"/>
      <c r="I116" s="429"/>
      <c r="J116" s="429"/>
      <c r="K116" s="429"/>
      <c r="L116" s="429"/>
      <c r="M116" s="429"/>
      <c r="N116" s="429"/>
      <c r="O116" s="429"/>
      <c r="P116" s="429"/>
      <c r="Q116" s="429"/>
      <c r="R116" s="429"/>
      <c r="S116" s="429"/>
      <c r="T116" s="429"/>
      <c r="U116" s="429"/>
      <c r="V116" s="429"/>
      <c r="W116" s="429"/>
      <c r="X116" s="429"/>
      <c r="Y116" s="449">
        <f t="shared" si="45"/>
        <v>0</v>
      </c>
      <c r="Z116" s="449">
        <f t="shared" si="78"/>
        <v>0</v>
      </c>
      <c r="AA116" s="214">
        <f>'Overall Metrics'!N117</f>
        <v>0</v>
      </c>
      <c r="AB116" s="110"/>
      <c r="AC116" s="430"/>
      <c r="AD116" s="430"/>
      <c r="AE116" s="430"/>
      <c r="AF116" s="430"/>
      <c r="AG116" s="430"/>
      <c r="AH116" s="430"/>
      <c r="AI116" s="446"/>
      <c r="AJ116" s="430"/>
      <c r="AK116" s="430"/>
      <c r="AL116" s="430"/>
      <c r="AM116" s="430"/>
      <c r="AN116" s="430"/>
      <c r="AO116" s="430"/>
      <c r="AP116" s="430"/>
      <c r="AQ116" s="430"/>
      <c r="AR116" s="219">
        <f t="shared" si="49"/>
        <v>0</v>
      </c>
      <c r="AS116" s="220" t="str">
        <f t="shared" si="50"/>
        <v>-</v>
      </c>
      <c r="AT116" s="472" t="str">
        <f t="shared" si="51"/>
        <v>-</v>
      </c>
      <c r="AU116" s="472" t="str">
        <f t="shared" si="52"/>
        <v>-</v>
      </c>
      <c r="AV116" s="472" t="str">
        <f t="shared" si="53"/>
        <v>-</v>
      </c>
      <c r="AW116" s="472" t="str">
        <f t="shared" si="54"/>
        <v>-</v>
      </c>
      <c r="AX116" s="472" t="str">
        <f t="shared" si="55"/>
        <v>-</v>
      </c>
      <c r="AY116" s="472" t="str">
        <f t="shared" si="79"/>
        <v>-</v>
      </c>
      <c r="AZ116" s="472" t="str">
        <f t="shared" si="80"/>
        <v>-</v>
      </c>
      <c r="BA116" s="472" t="str">
        <f t="shared" si="81"/>
        <v>-</v>
      </c>
      <c r="BB116" s="472" t="str">
        <f t="shared" si="82"/>
        <v>-</v>
      </c>
      <c r="BC116" s="472" t="str">
        <f t="shared" si="83"/>
        <v>-</v>
      </c>
      <c r="BD116" s="472" t="str">
        <f t="shared" si="84"/>
        <v>-</v>
      </c>
      <c r="BE116" s="472" t="str">
        <f t="shared" si="85"/>
        <v>-</v>
      </c>
      <c r="BF116" s="472" t="str">
        <f t="shared" si="86"/>
        <v>-</v>
      </c>
      <c r="BG116" s="472" t="str">
        <f t="shared" si="87"/>
        <v>-</v>
      </c>
      <c r="BH116" s="472" t="str">
        <f t="shared" si="88"/>
        <v>-</v>
      </c>
      <c r="BI116" s="221" t="str">
        <f t="shared" si="66"/>
        <v>-</v>
      </c>
      <c r="BJ116" s="730"/>
      <c r="BK116" s="692"/>
      <c r="BL116" s="429"/>
      <c r="BM116" s="429"/>
      <c r="BN116" s="214">
        <f t="shared" si="67"/>
        <v>0</v>
      </c>
      <c r="BO116" s="741"/>
      <c r="BP116" s="742"/>
      <c r="BQ116" s="446"/>
      <c r="BR116" s="446"/>
      <c r="BS116" s="228">
        <f t="shared" si="68"/>
        <v>0</v>
      </c>
      <c r="BT116" s="229" t="str">
        <f t="shared" si="69"/>
        <v>-</v>
      </c>
      <c r="BU116" s="526" t="str">
        <f t="shared" si="70"/>
        <v>-</v>
      </c>
      <c r="BV116" s="526" t="str">
        <f t="shared" si="71"/>
        <v>-</v>
      </c>
      <c r="BW116" s="526" t="str">
        <f t="shared" si="72"/>
        <v>-</v>
      </c>
      <c r="BX116" s="230" t="str">
        <f t="shared" si="73"/>
        <v>-</v>
      </c>
      <c r="BY116" s="745"/>
      <c r="BZ116" s="735"/>
      <c r="CA116" s="746"/>
      <c r="CB116" s="229" t="str">
        <f t="shared" si="74"/>
        <v>-</v>
      </c>
      <c r="CC116" s="529" t="str">
        <f t="shared" si="75"/>
        <v>-</v>
      </c>
      <c r="CD116" s="230" t="str">
        <f t="shared" si="76"/>
        <v>-</v>
      </c>
    </row>
    <row r="117" spans="1:82" ht="16.350000000000001" customHeight="1">
      <c r="A117" s="175">
        <f t="shared" si="46"/>
        <v>2023</v>
      </c>
      <c r="B117" s="454" t="str">
        <f t="shared" si="47"/>
        <v>08</v>
      </c>
      <c r="C117" s="454" t="str">
        <f t="array" ref="C117">_xlfn.IFS(_xlfn.NUMBERVALUE(B117)&lt;=13,"Q1",AND(_xlfn.NUMBERVALUE(B117)&gt;13,_xlfn.NUMBERVALUE(B117)&lt;=26),"Q2", AND(_xlfn.NUMBERVALUE(B117)&gt;26,_xlfn.NUMBERVALUE(B117)&lt;=39),"Q3",_xlfn.NUMBERVALUE(B117)&gt;39,"Q4")</f>
        <v>Q1</v>
      </c>
      <c r="D117" s="448">
        <f t="shared" si="77"/>
        <v>44639</v>
      </c>
      <c r="E117" s="448">
        <f t="shared" si="48"/>
        <v>44645</v>
      </c>
      <c r="F117" s="97">
        <v>202208</v>
      </c>
      <c r="G117" s="103"/>
      <c r="H117" s="429"/>
      <c r="I117" s="429"/>
      <c r="J117" s="429"/>
      <c r="K117" s="429"/>
      <c r="L117" s="429"/>
      <c r="M117" s="429"/>
      <c r="N117" s="429"/>
      <c r="O117" s="429"/>
      <c r="P117" s="429"/>
      <c r="Q117" s="429"/>
      <c r="R117" s="429"/>
      <c r="S117" s="429"/>
      <c r="T117" s="429"/>
      <c r="U117" s="429"/>
      <c r="V117" s="429"/>
      <c r="W117" s="429"/>
      <c r="X117" s="429"/>
      <c r="Y117" s="449">
        <f t="shared" si="45"/>
        <v>0</v>
      </c>
      <c r="Z117" s="449">
        <f t="shared" si="78"/>
        <v>0</v>
      </c>
      <c r="AA117" s="214">
        <f>'Overall Metrics'!N118</f>
        <v>0</v>
      </c>
      <c r="AB117" s="110"/>
      <c r="AC117" s="430"/>
      <c r="AD117" s="430"/>
      <c r="AE117" s="430"/>
      <c r="AF117" s="430"/>
      <c r="AG117" s="430"/>
      <c r="AH117" s="430"/>
      <c r="AI117" s="446"/>
      <c r="AJ117" s="430"/>
      <c r="AK117" s="430"/>
      <c r="AL117" s="430"/>
      <c r="AM117" s="430"/>
      <c r="AN117" s="430"/>
      <c r="AO117" s="430"/>
      <c r="AP117" s="430"/>
      <c r="AQ117" s="430"/>
      <c r="AR117" s="219">
        <f t="shared" si="49"/>
        <v>0</v>
      </c>
      <c r="AS117" s="220" t="str">
        <f t="shared" si="50"/>
        <v>-</v>
      </c>
      <c r="AT117" s="472" t="str">
        <f t="shared" si="51"/>
        <v>-</v>
      </c>
      <c r="AU117" s="472" t="str">
        <f t="shared" si="52"/>
        <v>-</v>
      </c>
      <c r="AV117" s="472" t="str">
        <f t="shared" si="53"/>
        <v>-</v>
      </c>
      <c r="AW117" s="472" t="str">
        <f t="shared" si="54"/>
        <v>-</v>
      </c>
      <c r="AX117" s="472" t="str">
        <f t="shared" si="55"/>
        <v>-</v>
      </c>
      <c r="AY117" s="472" t="str">
        <f t="shared" si="79"/>
        <v>-</v>
      </c>
      <c r="AZ117" s="472" t="str">
        <f t="shared" si="80"/>
        <v>-</v>
      </c>
      <c r="BA117" s="472" t="str">
        <f t="shared" si="81"/>
        <v>-</v>
      </c>
      <c r="BB117" s="472" t="str">
        <f t="shared" si="82"/>
        <v>-</v>
      </c>
      <c r="BC117" s="472" t="str">
        <f t="shared" si="83"/>
        <v>-</v>
      </c>
      <c r="BD117" s="472" t="str">
        <f t="shared" si="84"/>
        <v>-</v>
      </c>
      <c r="BE117" s="472" t="str">
        <f t="shared" si="85"/>
        <v>-</v>
      </c>
      <c r="BF117" s="472" t="str">
        <f t="shared" si="86"/>
        <v>-</v>
      </c>
      <c r="BG117" s="472" t="str">
        <f t="shared" si="87"/>
        <v>-</v>
      </c>
      <c r="BH117" s="472" t="str">
        <f t="shared" si="88"/>
        <v>-</v>
      </c>
      <c r="BI117" s="221" t="str">
        <f t="shared" si="66"/>
        <v>-</v>
      </c>
      <c r="BJ117" s="730"/>
      <c r="BK117" s="692"/>
      <c r="BL117" s="429"/>
      <c r="BM117" s="429"/>
      <c r="BN117" s="214">
        <f t="shared" si="67"/>
        <v>0</v>
      </c>
      <c r="BO117" s="741"/>
      <c r="BP117" s="742"/>
      <c r="BQ117" s="446"/>
      <c r="BR117" s="446"/>
      <c r="BS117" s="228">
        <f t="shared" si="68"/>
        <v>0</v>
      </c>
      <c r="BT117" s="229" t="str">
        <f t="shared" si="69"/>
        <v>-</v>
      </c>
      <c r="BU117" s="526" t="str">
        <f t="shared" si="70"/>
        <v>-</v>
      </c>
      <c r="BV117" s="526" t="str">
        <f t="shared" si="71"/>
        <v>-</v>
      </c>
      <c r="BW117" s="526" t="str">
        <f t="shared" si="72"/>
        <v>-</v>
      </c>
      <c r="BX117" s="230" t="str">
        <f t="shared" si="73"/>
        <v>-</v>
      </c>
      <c r="BY117" s="745"/>
      <c r="BZ117" s="735"/>
      <c r="CA117" s="746"/>
      <c r="CB117" s="229" t="str">
        <f t="shared" si="74"/>
        <v>-</v>
      </c>
      <c r="CC117" s="529" t="str">
        <f t="shared" si="75"/>
        <v>-</v>
      </c>
      <c r="CD117" s="230" t="str">
        <f t="shared" si="76"/>
        <v>-</v>
      </c>
    </row>
    <row r="118" spans="1:82" ht="16.350000000000001" customHeight="1">
      <c r="A118" s="175">
        <f t="shared" si="46"/>
        <v>2023</v>
      </c>
      <c r="B118" s="454" t="str">
        <f t="shared" si="47"/>
        <v>09</v>
      </c>
      <c r="C118" s="454" t="str">
        <f t="array" ref="C118">_xlfn.IFS(_xlfn.NUMBERVALUE(B118)&lt;=13,"Q1",AND(_xlfn.NUMBERVALUE(B118)&gt;13,_xlfn.NUMBERVALUE(B118)&lt;=26),"Q2", AND(_xlfn.NUMBERVALUE(B118)&gt;26,_xlfn.NUMBERVALUE(B118)&lt;=39),"Q3",_xlfn.NUMBERVALUE(B118)&gt;39,"Q4")</f>
        <v>Q1</v>
      </c>
      <c r="D118" s="448">
        <f t="shared" si="77"/>
        <v>44646</v>
      </c>
      <c r="E118" s="448">
        <f t="shared" si="48"/>
        <v>44652</v>
      </c>
      <c r="F118" s="97">
        <v>202209</v>
      </c>
      <c r="G118" s="103"/>
      <c r="H118" s="429"/>
      <c r="I118" s="429"/>
      <c r="J118" s="429"/>
      <c r="K118" s="429"/>
      <c r="L118" s="429"/>
      <c r="M118" s="429"/>
      <c r="N118" s="429"/>
      <c r="O118" s="429"/>
      <c r="P118" s="429"/>
      <c r="Q118" s="429"/>
      <c r="R118" s="429"/>
      <c r="S118" s="429"/>
      <c r="T118" s="429"/>
      <c r="U118" s="429"/>
      <c r="V118" s="429"/>
      <c r="W118" s="429"/>
      <c r="X118" s="429"/>
      <c r="Y118" s="449">
        <f t="shared" si="45"/>
        <v>0</v>
      </c>
      <c r="Z118" s="449">
        <f t="shared" si="78"/>
        <v>0</v>
      </c>
      <c r="AA118" s="214">
        <f>'Overall Metrics'!N119</f>
        <v>0</v>
      </c>
      <c r="AB118" s="110"/>
      <c r="AC118" s="430"/>
      <c r="AD118" s="430"/>
      <c r="AE118" s="430"/>
      <c r="AF118" s="430"/>
      <c r="AG118" s="430"/>
      <c r="AH118" s="430"/>
      <c r="AI118" s="446"/>
      <c r="AJ118" s="430"/>
      <c r="AK118" s="430"/>
      <c r="AL118" s="430"/>
      <c r="AM118" s="430"/>
      <c r="AN118" s="430"/>
      <c r="AO118" s="430"/>
      <c r="AP118" s="430"/>
      <c r="AQ118" s="430"/>
      <c r="AR118" s="219">
        <f t="shared" si="49"/>
        <v>0</v>
      </c>
      <c r="AS118" s="220" t="str">
        <f t="shared" si="50"/>
        <v>-</v>
      </c>
      <c r="AT118" s="472" t="str">
        <f t="shared" si="51"/>
        <v>-</v>
      </c>
      <c r="AU118" s="472" t="str">
        <f t="shared" si="52"/>
        <v>-</v>
      </c>
      <c r="AV118" s="472" t="str">
        <f t="shared" si="53"/>
        <v>-</v>
      </c>
      <c r="AW118" s="472" t="str">
        <f t="shared" si="54"/>
        <v>-</v>
      </c>
      <c r="AX118" s="472" t="str">
        <f t="shared" si="55"/>
        <v>-</v>
      </c>
      <c r="AY118" s="472" t="str">
        <f t="shared" si="79"/>
        <v>-</v>
      </c>
      <c r="AZ118" s="472" t="str">
        <f t="shared" si="80"/>
        <v>-</v>
      </c>
      <c r="BA118" s="472" t="str">
        <f t="shared" si="81"/>
        <v>-</v>
      </c>
      <c r="BB118" s="472" t="str">
        <f t="shared" si="82"/>
        <v>-</v>
      </c>
      <c r="BC118" s="472" t="str">
        <f t="shared" si="83"/>
        <v>-</v>
      </c>
      <c r="BD118" s="472" t="str">
        <f t="shared" si="84"/>
        <v>-</v>
      </c>
      <c r="BE118" s="472" t="str">
        <f t="shared" si="85"/>
        <v>-</v>
      </c>
      <c r="BF118" s="472" t="str">
        <f t="shared" si="86"/>
        <v>-</v>
      </c>
      <c r="BG118" s="472" t="str">
        <f t="shared" si="87"/>
        <v>-</v>
      </c>
      <c r="BH118" s="472" t="str">
        <f t="shared" si="88"/>
        <v>-</v>
      </c>
      <c r="BI118" s="221" t="str">
        <f t="shared" si="66"/>
        <v>-</v>
      </c>
      <c r="BJ118" s="730"/>
      <c r="BK118" s="692"/>
      <c r="BL118" s="429"/>
      <c r="BM118" s="429"/>
      <c r="BN118" s="214">
        <f t="shared" si="67"/>
        <v>0</v>
      </c>
      <c r="BO118" s="741"/>
      <c r="BP118" s="742"/>
      <c r="BQ118" s="446"/>
      <c r="BR118" s="446"/>
      <c r="BS118" s="228">
        <f t="shared" si="68"/>
        <v>0</v>
      </c>
      <c r="BT118" s="229" t="str">
        <f t="shared" si="69"/>
        <v>-</v>
      </c>
      <c r="BU118" s="526" t="str">
        <f t="shared" si="70"/>
        <v>-</v>
      </c>
      <c r="BV118" s="526" t="str">
        <f t="shared" si="71"/>
        <v>-</v>
      </c>
      <c r="BW118" s="526" t="str">
        <f t="shared" si="72"/>
        <v>-</v>
      </c>
      <c r="BX118" s="230" t="str">
        <f t="shared" si="73"/>
        <v>-</v>
      </c>
      <c r="BY118" s="745"/>
      <c r="BZ118" s="735"/>
      <c r="CA118" s="746"/>
      <c r="CB118" s="229" t="str">
        <f t="shared" si="74"/>
        <v>-</v>
      </c>
      <c r="CC118" s="529" t="str">
        <f t="shared" si="75"/>
        <v>-</v>
      </c>
      <c r="CD118" s="230" t="str">
        <f t="shared" si="76"/>
        <v>-</v>
      </c>
    </row>
    <row r="119" spans="1:82" ht="16.350000000000001" customHeight="1">
      <c r="A119" s="175">
        <f t="shared" si="46"/>
        <v>2023</v>
      </c>
      <c r="B119" s="454" t="str">
        <f t="shared" si="47"/>
        <v>10</v>
      </c>
      <c r="C119" s="454" t="str">
        <f t="array" ref="C119">_xlfn.IFS(_xlfn.NUMBERVALUE(B119)&lt;=13,"Q1",AND(_xlfn.NUMBERVALUE(B119)&gt;13,_xlfn.NUMBERVALUE(B119)&lt;=26),"Q2", AND(_xlfn.NUMBERVALUE(B119)&gt;26,_xlfn.NUMBERVALUE(B119)&lt;=39),"Q3",_xlfn.NUMBERVALUE(B119)&gt;39,"Q4")</f>
        <v>Q1</v>
      </c>
      <c r="D119" s="448">
        <f t="shared" si="77"/>
        <v>44653</v>
      </c>
      <c r="E119" s="448">
        <f t="shared" si="48"/>
        <v>44659</v>
      </c>
      <c r="F119" s="97">
        <v>202210</v>
      </c>
      <c r="G119" s="103"/>
      <c r="H119" s="429"/>
      <c r="I119" s="429"/>
      <c r="J119" s="429"/>
      <c r="K119" s="429"/>
      <c r="L119" s="429"/>
      <c r="M119" s="429"/>
      <c r="N119" s="429"/>
      <c r="O119" s="429"/>
      <c r="P119" s="429"/>
      <c r="Q119" s="429"/>
      <c r="R119" s="429"/>
      <c r="S119" s="429"/>
      <c r="T119" s="429"/>
      <c r="U119" s="429"/>
      <c r="V119" s="429"/>
      <c r="W119" s="429"/>
      <c r="X119" s="429"/>
      <c r="Y119" s="449">
        <f t="shared" si="45"/>
        <v>0</v>
      </c>
      <c r="Z119" s="449">
        <f t="shared" si="78"/>
        <v>0</v>
      </c>
      <c r="AA119" s="214">
        <f>'Overall Metrics'!N120</f>
        <v>0</v>
      </c>
      <c r="AB119" s="110"/>
      <c r="AC119" s="430"/>
      <c r="AD119" s="430"/>
      <c r="AE119" s="430"/>
      <c r="AF119" s="430"/>
      <c r="AG119" s="430"/>
      <c r="AH119" s="430"/>
      <c r="AI119" s="446"/>
      <c r="AJ119" s="430"/>
      <c r="AK119" s="430"/>
      <c r="AL119" s="430"/>
      <c r="AM119" s="430"/>
      <c r="AN119" s="430"/>
      <c r="AO119" s="430"/>
      <c r="AP119" s="430"/>
      <c r="AQ119" s="430"/>
      <c r="AR119" s="219">
        <f t="shared" si="49"/>
        <v>0</v>
      </c>
      <c r="AS119" s="220" t="str">
        <f t="shared" si="50"/>
        <v>-</v>
      </c>
      <c r="AT119" s="472" t="str">
        <f t="shared" si="51"/>
        <v>-</v>
      </c>
      <c r="AU119" s="472" t="str">
        <f t="shared" si="52"/>
        <v>-</v>
      </c>
      <c r="AV119" s="472" t="str">
        <f t="shared" si="53"/>
        <v>-</v>
      </c>
      <c r="AW119" s="472" t="str">
        <f t="shared" si="54"/>
        <v>-</v>
      </c>
      <c r="AX119" s="472" t="str">
        <f t="shared" si="55"/>
        <v>-</v>
      </c>
      <c r="AY119" s="472" t="str">
        <f t="shared" si="79"/>
        <v>-</v>
      </c>
      <c r="AZ119" s="472" t="str">
        <f t="shared" si="80"/>
        <v>-</v>
      </c>
      <c r="BA119" s="472" t="str">
        <f t="shared" si="81"/>
        <v>-</v>
      </c>
      <c r="BB119" s="472" t="str">
        <f t="shared" si="82"/>
        <v>-</v>
      </c>
      <c r="BC119" s="472" t="str">
        <f t="shared" si="83"/>
        <v>-</v>
      </c>
      <c r="BD119" s="472" t="str">
        <f t="shared" si="84"/>
        <v>-</v>
      </c>
      <c r="BE119" s="472" t="str">
        <f t="shared" si="85"/>
        <v>-</v>
      </c>
      <c r="BF119" s="472" t="str">
        <f t="shared" si="86"/>
        <v>-</v>
      </c>
      <c r="BG119" s="472" t="str">
        <f t="shared" si="87"/>
        <v>-</v>
      </c>
      <c r="BH119" s="472" t="str">
        <f t="shared" si="88"/>
        <v>-</v>
      </c>
      <c r="BI119" s="221" t="str">
        <f t="shared" si="66"/>
        <v>-</v>
      </c>
      <c r="BJ119" s="730"/>
      <c r="BK119" s="692"/>
      <c r="BL119" s="429"/>
      <c r="BM119" s="429"/>
      <c r="BN119" s="214">
        <f t="shared" si="67"/>
        <v>0</v>
      </c>
      <c r="BO119" s="741"/>
      <c r="BP119" s="742"/>
      <c r="BQ119" s="446"/>
      <c r="BR119" s="446"/>
      <c r="BS119" s="228">
        <f t="shared" si="68"/>
        <v>0</v>
      </c>
      <c r="BT119" s="229" t="str">
        <f t="shared" si="69"/>
        <v>-</v>
      </c>
      <c r="BU119" s="526" t="str">
        <f t="shared" si="70"/>
        <v>-</v>
      </c>
      <c r="BV119" s="526" t="str">
        <f t="shared" si="71"/>
        <v>-</v>
      </c>
      <c r="BW119" s="526" t="str">
        <f t="shared" si="72"/>
        <v>-</v>
      </c>
      <c r="BX119" s="230" t="str">
        <f t="shared" si="73"/>
        <v>-</v>
      </c>
      <c r="BY119" s="745"/>
      <c r="BZ119" s="735"/>
      <c r="CA119" s="746"/>
      <c r="CB119" s="229" t="str">
        <f t="shared" si="74"/>
        <v>-</v>
      </c>
      <c r="CC119" s="529" t="str">
        <f t="shared" si="75"/>
        <v>-</v>
      </c>
      <c r="CD119" s="230" t="str">
        <f t="shared" si="76"/>
        <v>-</v>
      </c>
    </row>
    <row r="120" spans="1:82" ht="16.350000000000001" customHeight="1">
      <c r="A120" s="175">
        <f t="shared" si="46"/>
        <v>2023</v>
      </c>
      <c r="B120" s="454" t="str">
        <f t="shared" si="47"/>
        <v>11</v>
      </c>
      <c r="C120" s="454" t="str">
        <f t="array" ref="C120">_xlfn.IFS(_xlfn.NUMBERVALUE(B120)&lt;=13,"Q1",AND(_xlfn.NUMBERVALUE(B120)&gt;13,_xlfn.NUMBERVALUE(B120)&lt;=26),"Q2", AND(_xlfn.NUMBERVALUE(B120)&gt;26,_xlfn.NUMBERVALUE(B120)&lt;=39),"Q3",_xlfn.NUMBERVALUE(B120)&gt;39,"Q4")</f>
        <v>Q1</v>
      </c>
      <c r="D120" s="448">
        <f t="shared" si="77"/>
        <v>44660</v>
      </c>
      <c r="E120" s="448">
        <f t="shared" si="48"/>
        <v>44666</v>
      </c>
      <c r="F120" s="97">
        <v>202211</v>
      </c>
      <c r="G120" s="103"/>
      <c r="H120" s="429"/>
      <c r="I120" s="429"/>
      <c r="J120" s="429"/>
      <c r="K120" s="429"/>
      <c r="L120" s="429"/>
      <c r="M120" s="429"/>
      <c r="N120" s="429"/>
      <c r="O120" s="429"/>
      <c r="P120" s="429"/>
      <c r="Q120" s="429"/>
      <c r="R120" s="429"/>
      <c r="S120" s="429"/>
      <c r="T120" s="429"/>
      <c r="U120" s="429"/>
      <c r="V120" s="429"/>
      <c r="W120" s="429"/>
      <c r="X120" s="429"/>
      <c r="Y120" s="449">
        <f t="shared" si="45"/>
        <v>0</v>
      </c>
      <c r="Z120" s="449">
        <f t="shared" si="78"/>
        <v>0</v>
      </c>
      <c r="AA120" s="214">
        <f>'Overall Metrics'!N121</f>
        <v>0</v>
      </c>
      <c r="AB120" s="110"/>
      <c r="AC120" s="430"/>
      <c r="AD120" s="430"/>
      <c r="AE120" s="430"/>
      <c r="AF120" s="430"/>
      <c r="AG120" s="430"/>
      <c r="AH120" s="430"/>
      <c r="AI120" s="446"/>
      <c r="AJ120" s="430"/>
      <c r="AK120" s="430"/>
      <c r="AL120" s="430"/>
      <c r="AM120" s="430"/>
      <c r="AN120" s="430"/>
      <c r="AO120" s="430"/>
      <c r="AP120" s="430"/>
      <c r="AQ120" s="430"/>
      <c r="AR120" s="219">
        <f t="shared" si="49"/>
        <v>0</v>
      </c>
      <c r="AS120" s="220" t="str">
        <f t="shared" si="50"/>
        <v>-</v>
      </c>
      <c r="AT120" s="472" t="str">
        <f t="shared" si="51"/>
        <v>-</v>
      </c>
      <c r="AU120" s="472" t="str">
        <f t="shared" si="52"/>
        <v>-</v>
      </c>
      <c r="AV120" s="472" t="str">
        <f t="shared" si="53"/>
        <v>-</v>
      </c>
      <c r="AW120" s="472" t="str">
        <f t="shared" si="54"/>
        <v>-</v>
      </c>
      <c r="AX120" s="472" t="str">
        <f t="shared" si="55"/>
        <v>-</v>
      </c>
      <c r="AY120" s="472" t="str">
        <f t="shared" si="79"/>
        <v>-</v>
      </c>
      <c r="AZ120" s="472" t="str">
        <f t="shared" si="80"/>
        <v>-</v>
      </c>
      <c r="BA120" s="472" t="str">
        <f t="shared" si="81"/>
        <v>-</v>
      </c>
      <c r="BB120" s="472" t="str">
        <f t="shared" si="82"/>
        <v>-</v>
      </c>
      <c r="BC120" s="472" t="str">
        <f t="shared" si="83"/>
        <v>-</v>
      </c>
      <c r="BD120" s="472" t="str">
        <f t="shared" si="84"/>
        <v>-</v>
      </c>
      <c r="BE120" s="472" t="str">
        <f t="shared" si="85"/>
        <v>-</v>
      </c>
      <c r="BF120" s="472" t="str">
        <f t="shared" si="86"/>
        <v>-</v>
      </c>
      <c r="BG120" s="472" t="str">
        <f t="shared" si="87"/>
        <v>-</v>
      </c>
      <c r="BH120" s="472" t="str">
        <f t="shared" si="88"/>
        <v>-</v>
      </c>
      <c r="BI120" s="221" t="str">
        <f t="shared" si="66"/>
        <v>-</v>
      </c>
      <c r="BJ120" s="730"/>
      <c r="BK120" s="692"/>
      <c r="BL120" s="429"/>
      <c r="BM120" s="429"/>
      <c r="BN120" s="214">
        <f t="shared" si="67"/>
        <v>0</v>
      </c>
      <c r="BO120" s="741"/>
      <c r="BP120" s="742"/>
      <c r="BQ120" s="446"/>
      <c r="BR120" s="446"/>
      <c r="BS120" s="228">
        <f t="shared" si="68"/>
        <v>0</v>
      </c>
      <c r="BT120" s="229" t="str">
        <f t="shared" si="69"/>
        <v>-</v>
      </c>
      <c r="BU120" s="526" t="str">
        <f t="shared" si="70"/>
        <v>-</v>
      </c>
      <c r="BV120" s="526" t="str">
        <f t="shared" si="71"/>
        <v>-</v>
      </c>
      <c r="BW120" s="526" t="str">
        <f t="shared" si="72"/>
        <v>-</v>
      </c>
      <c r="BX120" s="230" t="str">
        <f t="shared" si="73"/>
        <v>-</v>
      </c>
      <c r="BY120" s="745"/>
      <c r="BZ120" s="735"/>
      <c r="CA120" s="746"/>
      <c r="CB120" s="229" t="str">
        <f t="shared" si="74"/>
        <v>-</v>
      </c>
      <c r="CC120" s="529" t="str">
        <f t="shared" si="75"/>
        <v>-</v>
      </c>
      <c r="CD120" s="230" t="str">
        <f t="shared" si="76"/>
        <v>-</v>
      </c>
    </row>
    <row r="121" spans="1:82" ht="16.350000000000001" customHeight="1">
      <c r="A121" s="175">
        <f t="shared" si="46"/>
        <v>2023</v>
      </c>
      <c r="B121" s="454" t="str">
        <f t="shared" si="47"/>
        <v>12</v>
      </c>
      <c r="C121" s="454" t="str">
        <f t="array" ref="C121">_xlfn.IFS(_xlfn.NUMBERVALUE(B121)&lt;=13,"Q1",AND(_xlfn.NUMBERVALUE(B121)&gt;13,_xlfn.NUMBERVALUE(B121)&lt;=26),"Q2", AND(_xlfn.NUMBERVALUE(B121)&gt;26,_xlfn.NUMBERVALUE(B121)&lt;=39),"Q3",_xlfn.NUMBERVALUE(B121)&gt;39,"Q4")</f>
        <v>Q1</v>
      </c>
      <c r="D121" s="448">
        <f t="shared" si="77"/>
        <v>44667</v>
      </c>
      <c r="E121" s="448">
        <f t="shared" si="48"/>
        <v>44673</v>
      </c>
      <c r="F121" s="97">
        <v>202212</v>
      </c>
      <c r="G121" s="103"/>
      <c r="H121" s="429"/>
      <c r="I121" s="429"/>
      <c r="J121" s="429"/>
      <c r="K121" s="429"/>
      <c r="L121" s="429"/>
      <c r="M121" s="429"/>
      <c r="N121" s="429"/>
      <c r="O121" s="429"/>
      <c r="P121" s="429"/>
      <c r="Q121" s="429"/>
      <c r="R121" s="429"/>
      <c r="S121" s="429"/>
      <c r="T121" s="429"/>
      <c r="U121" s="429"/>
      <c r="V121" s="429"/>
      <c r="W121" s="429"/>
      <c r="X121" s="429"/>
      <c r="Y121" s="449">
        <f t="shared" si="45"/>
        <v>0</v>
      </c>
      <c r="Z121" s="449">
        <f t="shared" si="78"/>
        <v>0</v>
      </c>
      <c r="AA121" s="214">
        <f>'Overall Metrics'!N122</f>
        <v>0</v>
      </c>
      <c r="AB121" s="110"/>
      <c r="AC121" s="430"/>
      <c r="AD121" s="430"/>
      <c r="AE121" s="430"/>
      <c r="AF121" s="430"/>
      <c r="AG121" s="430"/>
      <c r="AH121" s="430"/>
      <c r="AI121" s="446"/>
      <c r="AJ121" s="430"/>
      <c r="AK121" s="430"/>
      <c r="AL121" s="430"/>
      <c r="AM121" s="430"/>
      <c r="AN121" s="430"/>
      <c r="AO121" s="430"/>
      <c r="AP121" s="430"/>
      <c r="AQ121" s="430"/>
      <c r="AR121" s="219">
        <f t="shared" si="49"/>
        <v>0</v>
      </c>
      <c r="AS121" s="220" t="str">
        <f t="shared" si="50"/>
        <v>-</v>
      </c>
      <c r="AT121" s="472" t="str">
        <f t="shared" si="51"/>
        <v>-</v>
      </c>
      <c r="AU121" s="472" t="str">
        <f t="shared" si="52"/>
        <v>-</v>
      </c>
      <c r="AV121" s="472" t="str">
        <f t="shared" si="53"/>
        <v>-</v>
      </c>
      <c r="AW121" s="472" t="str">
        <f t="shared" si="54"/>
        <v>-</v>
      </c>
      <c r="AX121" s="472" t="str">
        <f t="shared" si="55"/>
        <v>-</v>
      </c>
      <c r="AY121" s="472" t="str">
        <f t="shared" si="79"/>
        <v>-</v>
      </c>
      <c r="AZ121" s="472" t="str">
        <f t="shared" si="80"/>
        <v>-</v>
      </c>
      <c r="BA121" s="472" t="str">
        <f t="shared" si="81"/>
        <v>-</v>
      </c>
      <c r="BB121" s="472" t="str">
        <f t="shared" si="82"/>
        <v>-</v>
      </c>
      <c r="BC121" s="472" t="str">
        <f t="shared" si="83"/>
        <v>-</v>
      </c>
      <c r="BD121" s="472" t="str">
        <f t="shared" si="84"/>
        <v>-</v>
      </c>
      <c r="BE121" s="472" t="str">
        <f t="shared" si="85"/>
        <v>-</v>
      </c>
      <c r="BF121" s="472" t="str">
        <f t="shared" si="86"/>
        <v>-</v>
      </c>
      <c r="BG121" s="472" t="str">
        <f t="shared" si="87"/>
        <v>-</v>
      </c>
      <c r="BH121" s="472" t="str">
        <f t="shared" si="88"/>
        <v>-</v>
      </c>
      <c r="BI121" s="221" t="str">
        <f t="shared" si="66"/>
        <v>-</v>
      </c>
      <c r="BJ121" s="730"/>
      <c r="BK121" s="692"/>
      <c r="BL121" s="429"/>
      <c r="BM121" s="429"/>
      <c r="BN121" s="214">
        <f t="shared" si="67"/>
        <v>0</v>
      </c>
      <c r="BO121" s="741"/>
      <c r="BP121" s="742"/>
      <c r="BQ121" s="446"/>
      <c r="BR121" s="446"/>
      <c r="BS121" s="228">
        <f t="shared" si="68"/>
        <v>0</v>
      </c>
      <c r="BT121" s="229" t="str">
        <f t="shared" si="69"/>
        <v>-</v>
      </c>
      <c r="BU121" s="526" t="str">
        <f t="shared" si="70"/>
        <v>-</v>
      </c>
      <c r="BV121" s="526" t="str">
        <f t="shared" si="71"/>
        <v>-</v>
      </c>
      <c r="BW121" s="526" t="str">
        <f t="shared" si="72"/>
        <v>-</v>
      </c>
      <c r="BX121" s="230" t="str">
        <f t="shared" si="73"/>
        <v>-</v>
      </c>
      <c r="BY121" s="745"/>
      <c r="BZ121" s="735"/>
      <c r="CA121" s="746"/>
      <c r="CB121" s="229" t="str">
        <f t="shared" si="74"/>
        <v>-</v>
      </c>
      <c r="CC121" s="529" t="str">
        <f t="shared" si="75"/>
        <v>-</v>
      </c>
      <c r="CD121" s="230" t="str">
        <f t="shared" si="76"/>
        <v>-</v>
      </c>
    </row>
    <row r="122" spans="1:82" ht="16.350000000000001" customHeight="1">
      <c r="A122" s="175">
        <f t="shared" si="46"/>
        <v>2023</v>
      </c>
      <c r="B122" s="454" t="str">
        <f t="shared" si="47"/>
        <v>13</v>
      </c>
      <c r="C122" s="454" t="str">
        <f t="array" ref="C122">_xlfn.IFS(_xlfn.NUMBERVALUE(B122)&lt;=13,"Q1",AND(_xlfn.NUMBERVALUE(B122)&gt;13,_xlfn.NUMBERVALUE(B122)&lt;=26),"Q2", AND(_xlfn.NUMBERVALUE(B122)&gt;26,_xlfn.NUMBERVALUE(B122)&lt;=39),"Q3",_xlfn.NUMBERVALUE(B122)&gt;39,"Q4")</f>
        <v>Q1</v>
      </c>
      <c r="D122" s="448">
        <f t="shared" si="77"/>
        <v>44674</v>
      </c>
      <c r="E122" s="448">
        <f t="shared" si="48"/>
        <v>44680</v>
      </c>
      <c r="F122" s="97">
        <v>202213</v>
      </c>
      <c r="G122" s="103"/>
      <c r="H122" s="429"/>
      <c r="I122" s="429"/>
      <c r="J122" s="429"/>
      <c r="K122" s="429"/>
      <c r="L122" s="429"/>
      <c r="M122" s="429"/>
      <c r="N122" s="429"/>
      <c r="O122" s="429"/>
      <c r="P122" s="429"/>
      <c r="Q122" s="429"/>
      <c r="R122" s="429"/>
      <c r="S122" s="429"/>
      <c r="T122" s="429"/>
      <c r="U122" s="429"/>
      <c r="V122" s="429"/>
      <c r="W122" s="429"/>
      <c r="X122" s="429"/>
      <c r="Y122" s="449">
        <f t="shared" ref="Y122:Y185" si="89">AA122-Z122</f>
        <v>0</v>
      </c>
      <c r="Z122" s="449">
        <f t="shared" si="78"/>
        <v>0</v>
      </c>
      <c r="AA122" s="214">
        <f>'Overall Metrics'!N123</f>
        <v>0</v>
      </c>
      <c r="AB122" s="110"/>
      <c r="AC122" s="430"/>
      <c r="AD122" s="430"/>
      <c r="AE122" s="430"/>
      <c r="AF122" s="430"/>
      <c r="AG122" s="430"/>
      <c r="AH122" s="430"/>
      <c r="AI122" s="446"/>
      <c r="AJ122" s="430"/>
      <c r="AK122" s="430"/>
      <c r="AL122" s="430"/>
      <c r="AM122" s="430"/>
      <c r="AN122" s="430"/>
      <c r="AO122" s="430"/>
      <c r="AP122" s="430"/>
      <c r="AQ122" s="430"/>
      <c r="AR122" s="219">
        <f t="shared" si="49"/>
        <v>0</v>
      </c>
      <c r="AS122" s="220" t="str">
        <f t="shared" si="50"/>
        <v>-</v>
      </c>
      <c r="AT122" s="472" t="str">
        <f t="shared" si="51"/>
        <v>-</v>
      </c>
      <c r="AU122" s="472" t="str">
        <f t="shared" si="52"/>
        <v>-</v>
      </c>
      <c r="AV122" s="472" t="str">
        <f t="shared" si="53"/>
        <v>-</v>
      </c>
      <c r="AW122" s="472" t="str">
        <f t="shared" si="54"/>
        <v>-</v>
      </c>
      <c r="AX122" s="472" t="str">
        <f t="shared" si="55"/>
        <v>-</v>
      </c>
      <c r="AY122" s="472" t="str">
        <f t="shared" si="79"/>
        <v>-</v>
      </c>
      <c r="AZ122" s="472" t="str">
        <f t="shared" si="80"/>
        <v>-</v>
      </c>
      <c r="BA122" s="472" t="str">
        <f t="shared" si="81"/>
        <v>-</v>
      </c>
      <c r="BB122" s="472" t="str">
        <f t="shared" si="82"/>
        <v>-</v>
      </c>
      <c r="BC122" s="472" t="str">
        <f t="shared" si="83"/>
        <v>-</v>
      </c>
      <c r="BD122" s="472" t="str">
        <f t="shared" si="84"/>
        <v>-</v>
      </c>
      <c r="BE122" s="472" t="str">
        <f t="shared" si="85"/>
        <v>-</v>
      </c>
      <c r="BF122" s="472" t="str">
        <f t="shared" si="86"/>
        <v>-</v>
      </c>
      <c r="BG122" s="472" t="str">
        <f t="shared" si="87"/>
        <v>-</v>
      </c>
      <c r="BH122" s="472" t="str">
        <f t="shared" si="88"/>
        <v>-</v>
      </c>
      <c r="BI122" s="221" t="str">
        <f t="shared" si="66"/>
        <v>-</v>
      </c>
      <c r="BJ122" s="730"/>
      <c r="BK122" s="692"/>
      <c r="BL122" s="429"/>
      <c r="BM122" s="429"/>
      <c r="BN122" s="214">
        <f t="shared" si="67"/>
        <v>0</v>
      </c>
      <c r="BO122" s="741"/>
      <c r="BP122" s="742"/>
      <c r="BQ122" s="446"/>
      <c r="BR122" s="446"/>
      <c r="BS122" s="228">
        <f t="shared" si="68"/>
        <v>0</v>
      </c>
      <c r="BT122" s="229" t="str">
        <f t="shared" si="69"/>
        <v>-</v>
      </c>
      <c r="BU122" s="526" t="str">
        <f t="shared" si="70"/>
        <v>-</v>
      </c>
      <c r="BV122" s="526" t="str">
        <f t="shared" si="71"/>
        <v>-</v>
      </c>
      <c r="BW122" s="526" t="str">
        <f t="shared" si="72"/>
        <v>-</v>
      </c>
      <c r="BX122" s="230" t="str">
        <f t="shared" si="73"/>
        <v>-</v>
      </c>
      <c r="BY122" s="745"/>
      <c r="BZ122" s="735"/>
      <c r="CA122" s="746"/>
      <c r="CB122" s="229" t="str">
        <f t="shared" si="74"/>
        <v>-</v>
      </c>
      <c r="CC122" s="529" t="str">
        <f t="shared" si="75"/>
        <v>-</v>
      </c>
      <c r="CD122" s="230" t="str">
        <f t="shared" si="76"/>
        <v>-</v>
      </c>
    </row>
    <row r="123" spans="1:82" ht="16.350000000000001" customHeight="1">
      <c r="A123" s="175">
        <f t="shared" si="46"/>
        <v>2023</v>
      </c>
      <c r="B123" s="454" t="str">
        <f t="shared" si="47"/>
        <v>14</v>
      </c>
      <c r="C123" s="454" t="str">
        <f t="array" ref="C123">_xlfn.IFS(_xlfn.NUMBERVALUE(B123)&lt;=13,"Q1",AND(_xlfn.NUMBERVALUE(B123)&gt;13,_xlfn.NUMBERVALUE(B123)&lt;=26),"Q2", AND(_xlfn.NUMBERVALUE(B123)&gt;26,_xlfn.NUMBERVALUE(B123)&lt;=39),"Q3",_xlfn.NUMBERVALUE(B123)&gt;39,"Q4")</f>
        <v>Q2</v>
      </c>
      <c r="D123" s="448">
        <f t="shared" si="77"/>
        <v>44681</v>
      </c>
      <c r="E123" s="448">
        <f t="shared" si="48"/>
        <v>44687</v>
      </c>
      <c r="F123" s="97">
        <v>202214</v>
      </c>
      <c r="G123" s="103"/>
      <c r="H123" s="429"/>
      <c r="I123" s="429"/>
      <c r="J123" s="429"/>
      <c r="K123" s="429"/>
      <c r="L123" s="429"/>
      <c r="M123" s="429"/>
      <c r="N123" s="429"/>
      <c r="O123" s="429"/>
      <c r="P123" s="429"/>
      <c r="Q123" s="429"/>
      <c r="R123" s="429"/>
      <c r="S123" s="429"/>
      <c r="T123" s="429"/>
      <c r="U123" s="429"/>
      <c r="V123" s="429"/>
      <c r="W123" s="429"/>
      <c r="X123" s="429"/>
      <c r="Y123" s="449">
        <f t="shared" si="89"/>
        <v>0</v>
      </c>
      <c r="Z123" s="449">
        <f t="shared" si="78"/>
        <v>0</v>
      </c>
      <c r="AA123" s="214">
        <f>'Overall Metrics'!N124</f>
        <v>0</v>
      </c>
      <c r="AB123" s="110"/>
      <c r="AC123" s="430"/>
      <c r="AD123" s="430"/>
      <c r="AE123" s="430"/>
      <c r="AF123" s="430"/>
      <c r="AG123" s="430"/>
      <c r="AH123" s="430"/>
      <c r="AI123" s="446"/>
      <c r="AJ123" s="430"/>
      <c r="AK123" s="430"/>
      <c r="AL123" s="430"/>
      <c r="AM123" s="430"/>
      <c r="AN123" s="430"/>
      <c r="AO123" s="430"/>
      <c r="AP123" s="430"/>
      <c r="AQ123" s="430"/>
      <c r="AR123" s="219">
        <f t="shared" si="49"/>
        <v>0</v>
      </c>
      <c r="AS123" s="220" t="str">
        <f t="shared" si="50"/>
        <v>-</v>
      </c>
      <c r="AT123" s="472" t="str">
        <f t="shared" si="51"/>
        <v>-</v>
      </c>
      <c r="AU123" s="472" t="str">
        <f t="shared" si="52"/>
        <v>-</v>
      </c>
      <c r="AV123" s="472" t="str">
        <f t="shared" si="53"/>
        <v>-</v>
      </c>
      <c r="AW123" s="472" t="str">
        <f t="shared" si="54"/>
        <v>-</v>
      </c>
      <c r="AX123" s="472" t="str">
        <f t="shared" si="55"/>
        <v>-</v>
      </c>
      <c r="AY123" s="472" t="str">
        <f t="shared" si="79"/>
        <v>-</v>
      </c>
      <c r="AZ123" s="472" t="str">
        <f t="shared" si="80"/>
        <v>-</v>
      </c>
      <c r="BA123" s="472" t="str">
        <f t="shared" si="81"/>
        <v>-</v>
      </c>
      <c r="BB123" s="472" t="str">
        <f t="shared" si="82"/>
        <v>-</v>
      </c>
      <c r="BC123" s="472" t="str">
        <f t="shared" si="83"/>
        <v>-</v>
      </c>
      <c r="BD123" s="472" t="str">
        <f t="shared" si="84"/>
        <v>-</v>
      </c>
      <c r="BE123" s="472" t="str">
        <f t="shared" si="85"/>
        <v>-</v>
      </c>
      <c r="BF123" s="472" t="str">
        <f t="shared" si="86"/>
        <v>-</v>
      </c>
      <c r="BG123" s="472" t="str">
        <f t="shared" si="87"/>
        <v>-</v>
      </c>
      <c r="BH123" s="472" t="str">
        <f t="shared" si="88"/>
        <v>-</v>
      </c>
      <c r="BI123" s="221" t="str">
        <f t="shared" si="66"/>
        <v>-</v>
      </c>
      <c r="BJ123" s="730"/>
      <c r="BK123" s="692"/>
      <c r="BL123" s="429"/>
      <c r="BM123" s="429"/>
      <c r="BN123" s="214">
        <f t="shared" si="67"/>
        <v>0</v>
      </c>
      <c r="BO123" s="741"/>
      <c r="BP123" s="742"/>
      <c r="BQ123" s="446"/>
      <c r="BR123" s="446"/>
      <c r="BS123" s="228">
        <f t="shared" si="68"/>
        <v>0</v>
      </c>
      <c r="BT123" s="229" t="str">
        <f t="shared" si="69"/>
        <v>-</v>
      </c>
      <c r="BU123" s="526" t="str">
        <f t="shared" si="70"/>
        <v>-</v>
      </c>
      <c r="BV123" s="526" t="str">
        <f t="shared" si="71"/>
        <v>-</v>
      </c>
      <c r="BW123" s="526" t="str">
        <f t="shared" si="72"/>
        <v>-</v>
      </c>
      <c r="BX123" s="230" t="str">
        <f t="shared" si="73"/>
        <v>-</v>
      </c>
      <c r="BY123" s="745"/>
      <c r="BZ123" s="735"/>
      <c r="CA123" s="746"/>
      <c r="CB123" s="229" t="str">
        <f t="shared" si="74"/>
        <v>-</v>
      </c>
      <c r="CC123" s="529" t="str">
        <f t="shared" si="75"/>
        <v>-</v>
      </c>
      <c r="CD123" s="230" t="str">
        <f t="shared" si="76"/>
        <v>-</v>
      </c>
    </row>
    <row r="124" spans="1:82" ht="16.350000000000001" customHeight="1">
      <c r="A124" s="175">
        <f t="shared" si="46"/>
        <v>2023</v>
      </c>
      <c r="B124" s="454" t="str">
        <f t="shared" si="47"/>
        <v>15</v>
      </c>
      <c r="C124" s="454" t="str">
        <f t="array" ref="C124">_xlfn.IFS(_xlfn.NUMBERVALUE(B124)&lt;=13,"Q1",AND(_xlfn.NUMBERVALUE(B124)&gt;13,_xlfn.NUMBERVALUE(B124)&lt;=26),"Q2", AND(_xlfn.NUMBERVALUE(B124)&gt;26,_xlfn.NUMBERVALUE(B124)&lt;=39),"Q3",_xlfn.NUMBERVALUE(B124)&gt;39,"Q4")</f>
        <v>Q2</v>
      </c>
      <c r="D124" s="448">
        <f t="shared" si="77"/>
        <v>44688</v>
      </c>
      <c r="E124" s="448">
        <f t="shared" si="48"/>
        <v>44694</v>
      </c>
      <c r="F124" s="97">
        <v>202215</v>
      </c>
      <c r="G124" s="103"/>
      <c r="H124" s="429"/>
      <c r="I124" s="429"/>
      <c r="J124" s="429"/>
      <c r="K124" s="429"/>
      <c r="L124" s="429"/>
      <c r="M124" s="429"/>
      <c r="N124" s="429"/>
      <c r="O124" s="429"/>
      <c r="P124" s="429"/>
      <c r="Q124" s="429"/>
      <c r="R124" s="429"/>
      <c r="S124" s="429"/>
      <c r="T124" s="429"/>
      <c r="U124" s="429"/>
      <c r="V124" s="429"/>
      <c r="W124" s="429"/>
      <c r="X124" s="429"/>
      <c r="Y124" s="449">
        <f t="shared" si="89"/>
        <v>0</v>
      </c>
      <c r="Z124" s="449">
        <f t="shared" si="78"/>
        <v>0</v>
      </c>
      <c r="AA124" s="214">
        <f>'Overall Metrics'!N125</f>
        <v>0</v>
      </c>
      <c r="AB124" s="110"/>
      <c r="AC124" s="430"/>
      <c r="AD124" s="430"/>
      <c r="AE124" s="430"/>
      <c r="AF124" s="430"/>
      <c r="AG124" s="430"/>
      <c r="AH124" s="430"/>
      <c r="AI124" s="446"/>
      <c r="AJ124" s="430"/>
      <c r="AK124" s="430"/>
      <c r="AL124" s="430"/>
      <c r="AM124" s="430"/>
      <c r="AN124" s="430"/>
      <c r="AO124" s="430"/>
      <c r="AP124" s="430"/>
      <c r="AQ124" s="430"/>
      <c r="AR124" s="219">
        <f t="shared" si="49"/>
        <v>0</v>
      </c>
      <c r="AS124" s="220" t="str">
        <f t="shared" si="50"/>
        <v>-</v>
      </c>
      <c r="AT124" s="472" t="str">
        <f t="shared" si="51"/>
        <v>-</v>
      </c>
      <c r="AU124" s="472" t="str">
        <f t="shared" si="52"/>
        <v>-</v>
      </c>
      <c r="AV124" s="472" t="str">
        <f t="shared" si="53"/>
        <v>-</v>
      </c>
      <c r="AW124" s="472" t="str">
        <f t="shared" si="54"/>
        <v>-</v>
      </c>
      <c r="AX124" s="472" t="str">
        <f t="shared" si="55"/>
        <v>-</v>
      </c>
      <c r="AY124" s="472" t="str">
        <f t="shared" si="79"/>
        <v>-</v>
      </c>
      <c r="AZ124" s="472" t="str">
        <f t="shared" si="80"/>
        <v>-</v>
      </c>
      <c r="BA124" s="472" t="str">
        <f t="shared" si="81"/>
        <v>-</v>
      </c>
      <c r="BB124" s="472" t="str">
        <f t="shared" si="82"/>
        <v>-</v>
      </c>
      <c r="BC124" s="472" t="str">
        <f t="shared" si="83"/>
        <v>-</v>
      </c>
      <c r="BD124" s="472" t="str">
        <f t="shared" si="84"/>
        <v>-</v>
      </c>
      <c r="BE124" s="472" t="str">
        <f t="shared" si="85"/>
        <v>-</v>
      </c>
      <c r="BF124" s="472" t="str">
        <f t="shared" si="86"/>
        <v>-</v>
      </c>
      <c r="BG124" s="472" t="str">
        <f t="shared" si="87"/>
        <v>-</v>
      </c>
      <c r="BH124" s="472" t="str">
        <f t="shared" si="88"/>
        <v>-</v>
      </c>
      <c r="BI124" s="221" t="str">
        <f t="shared" si="66"/>
        <v>-</v>
      </c>
      <c r="BJ124" s="730"/>
      <c r="BK124" s="692"/>
      <c r="BL124" s="429"/>
      <c r="BM124" s="429"/>
      <c r="BN124" s="214">
        <f t="shared" si="67"/>
        <v>0</v>
      </c>
      <c r="BO124" s="741"/>
      <c r="BP124" s="742"/>
      <c r="BQ124" s="446"/>
      <c r="BR124" s="446"/>
      <c r="BS124" s="228">
        <f t="shared" si="68"/>
        <v>0</v>
      </c>
      <c r="BT124" s="229" t="str">
        <f t="shared" si="69"/>
        <v>-</v>
      </c>
      <c r="BU124" s="526" t="str">
        <f t="shared" si="70"/>
        <v>-</v>
      </c>
      <c r="BV124" s="526" t="str">
        <f t="shared" si="71"/>
        <v>-</v>
      </c>
      <c r="BW124" s="526" t="str">
        <f t="shared" si="72"/>
        <v>-</v>
      </c>
      <c r="BX124" s="230" t="str">
        <f t="shared" si="73"/>
        <v>-</v>
      </c>
      <c r="BY124" s="745"/>
      <c r="BZ124" s="735"/>
      <c r="CA124" s="746"/>
      <c r="CB124" s="229" t="str">
        <f t="shared" si="74"/>
        <v>-</v>
      </c>
      <c r="CC124" s="529" t="str">
        <f t="shared" si="75"/>
        <v>-</v>
      </c>
      <c r="CD124" s="230" t="str">
        <f t="shared" si="76"/>
        <v>-</v>
      </c>
    </row>
    <row r="125" spans="1:82" ht="16.350000000000001" customHeight="1">
      <c r="A125" s="175">
        <f t="shared" si="46"/>
        <v>2023</v>
      </c>
      <c r="B125" s="454" t="str">
        <f t="shared" si="47"/>
        <v>16</v>
      </c>
      <c r="C125" s="454" t="str">
        <f t="array" ref="C125">_xlfn.IFS(_xlfn.NUMBERVALUE(B125)&lt;=13,"Q1",AND(_xlfn.NUMBERVALUE(B125)&gt;13,_xlfn.NUMBERVALUE(B125)&lt;=26),"Q2", AND(_xlfn.NUMBERVALUE(B125)&gt;26,_xlfn.NUMBERVALUE(B125)&lt;=39),"Q3",_xlfn.NUMBERVALUE(B125)&gt;39,"Q4")</f>
        <v>Q2</v>
      </c>
      <c r="D125" s="448">
        <f t="shared" si="77"/>
        <v>44695</v>
      </c>
      <c r="E125" s="448">
        <f t="shared" si="48"/>
        <v>44701</v>
      </c>
      <c r="F125" s="97">
        <v>202216</v>
      </c>
      <c r="G125" s="103"/>
      <c r="H125" s="429"/>
      <c r="I125" s="429"/>
      <c r="J125" s="429"/>
      <c r="K125" s="429"/>
      <c r="L125" s="429"/>
      <c r="M125" s="429"/>
      <c r="N125" s="429"/>
      <c r="O125" s="429"/>
      <c r="P125" s="429"/>
      <c r="Q125" s="429"/>
      <c r="R125" s="429"/>
      <c r="S125" s="429"/>
      <c r="T125" s="429"/>
      <c r="U125" s="429"/>
      <c r="V125" s="429"/>
      <c r="W125" s="429"/>
      <c r="X125" s="429"/>
      <c r="Y125" s="449">
        <f t="shared" si="89"/>
        <v>0</v>
      </c>
      <c r="Z125" s="449">
        <f t="shared" si="78"/>
        <v>0</v>
      </c>
      <c r="AA125" s="214">
        <f>'Overall Metrics'!N126</f>
        <v>0</v>
      </c>
      <c r="AB125" s="110"/>
      <c r="AC125" s="430"/>
      <c r="AD125" s="430"/>
      <c r="AE125" s="430"/>
      <c r="AF125" s="430"/>
      <c r="AG125" s="430"/>
      <c r="AH125" s="430"/>
      <c r="AI125" s="446"/>
      <c r="AJ125" s="430"/>
      <c r="AK125" s="430"/>
      <c r="AL125" s="430"/>
      <c r="AM125" s="430"/>
      <c r="AN125" s="430"/>
      <c r="AO125" s="430"/>
      <c r="AP125" s="430"/>
      <c r="AQ125" s="430"/>
      <c r="AR125" s="219">
        <f t="shared" si="49"/>
        <v>0</v>
      </c>
      <c r="AS125" s="220" t="str">
        <f t="shared" si="50"/>
        <v>-</v>
      </c>
      <c r="AT125" s="472" t="str">
        <f t="shared" si="51"/>
        <v>-</v>
      </c>
      <c r="AU125" s="472" t="str">
        <f t="shared" si="52"/>
        <v>-</v>
      </c>
      <c r="AV125" s="472" t="str">
        <f t="shared" si="53"/>
        <v>-</v>
      </c>
      <c r="AW125" s="472" t="str">
        <f t="shared" si="54"/>
        <v>-</v>
      </c>
      <c r="AX125" s="472" t="str">
        <f t="shared" si="55"/>
        <v>-</v>
      </c>
      <c r="AY125" s="472" t="str">
        <f t="shared" si="79"/>
        <v>-</v>
      </c>
      <c r="AZ125" s="472" t="str">
        <f t="shared" si="80"/>
        <v>-</v>
      </c>
      <c r="BA125" s="472" t="str">
        <f t="shared" si="81"/>
        <v>-</v>
      </c>
      <c r="BB125" s="472" t="str">
        <f t="shared" si="82"/>
        <v>-</v>
      </c>
      <c r="BC125" s="472" t="str">
        <f t="shared" si="83"/>
        <v>-</v>
      </c>
      <c r="BD125" s="472" t="str">
        <f t="shared" si="84"/>
        <v>-</v>
      </c>
      <c r="BE125" s="472" t="str">
        <f t="shared" si="85"/>
        <v>-</v>
      </c>
      <c r="BF125" s="472" t="str">
        <f t="shared" si="86"/>
        <v>-</v>
      </c>
      <c r="BG125" s="472" t="str">
        <f t="shared" si="87"/>
        <v>-</v>
      </c>
      <c r="BH125" s="472" t="str">
        <f t="shared" si="88"/>
        <v>-</v>
      </c>
      <c r="BI125" s="221" t="str">
        <f t="shared" si="66"/>
        <v>-</v>
      </c>
      <c r="BJ125" s="730"/>
      <c r="BK125" s="692"/>
      <c r="BL125" s="429"/>
      <c r="BM125" s="429"/>
      <c r="BN125" s="214">
        <f t="shared" si="67"/>
        <v>0</v>
      </c>
      <c r="BO125" s="741"/>
      <c r="BP125" s="742"/>
      <c r="BQ125" s="446"/>
      <c r="BR125" s="446"/>
      <c r="BS125" s="228">
        <f t="shared" si="68"/>
        <v>0</v>
      </c>
      <c r="BT125" s="229" t="str">
        <f t="shared" si="69"/>
        <v>-</v>
      </c>
      <c r="BU125" s="526" t="str">
        <f t="shared" si="70"/>
        <v>-</v>
      </c>
      <c r="BV125" s="526" t="str">
        <f t="shared" si="71"/>
        <v>-</v>
      </c>
      <c r="BW125" s="526" t="str">
        <f t="shared" si="72"/>
        <v>-</v>
      </c>
      <c r="BX125" s="230" t="str">
        <f t="shared" si="73"/>
        <v>-</v>
      </c>
      <c r="BY125" s="745"/>
      <c r="BZ125" s="735"/>
      <c r="CA125" s="746"/>
      <c r="CB125" s="229" t="str">
        <f t="shared" si="74"/>
        <v>-</v>
      </c>
      <c r="CC125" s="529" t="str">
        <f t="shared" si="75"/>
        <v>-</v>
      </c>
      <c r="CD125" s="230" t="str">
        <f t="shared" si="76"/>
        <v>-</v>
      </c>
    </row>
    <row r="126" spans="1:82" ht="16.350000000000001" customHeight="1">
      <c r="A126" s="175">
        <f t="shared" si="46"/>
        <v>2023</v>
      </c>
      <c r="B126" s="454" t="str">
        <f t="shared" si="47"/>
        <v>17</v>
      </c>
      <c r="C126" s="454" t="str">
        <f t="array" ref="C126">_xlfn.IFS(_xlfn.NUMBERVALUE(B126)&lt;=13,"Q1",AND(_xlfn.NUMBERVALUE(B126)&gt;13,_xlfn.NUMBERVALUE(B126)&lt;=26),"Q2", AND(_xlfn.NUMBERVALUE(B126)&gt;26,_xlfn.NUMBERVALUE(B126)&lt;=39),"Q3",_xlfn.NUMBERVALUE(B126)&gt;39,"Q4")</f>
        <v>Q2</v>
      </c>
      <c r="D126" s="448">
        <f t="shared" si="77"/>
        <v>44702</v>
      </c>
      <c r="E126" s="448">
        <f t="shared" si="48"/>
        <v>44708</v>
      </c>
      <c r="F126" s="97">
        <v>202217</v>
      </c>
      <c r="G126" s="103"/>
      <c r="H126" s="429"/>
      <c r="I126" s="429"/>
      <c r="J126" s="429"/>
      <c r="K126" s="429"/>
      <c r="L126" s="429"/>
      <c r="M126" s="429"/>
      <c r="N126" s="429"/>
      <c r="O126" s="429"/>
      <c r="P126" s="429"/>
      <c r="Q126" s="429"/>
      <c r="R126" s="429"/>
      <c r="S126" s="429"/>
      <c r="T126" s="429"/>
      <c r="U126" s="429"/>
      <c r="V126" s="429"/>
      <c r="W126" s="429"/>
      <c r="X126" s="429"/>
      <c r="Y126" s="449">
        <f t="shared" si="89"/>
        <v>0</v>
      </c>
      <c r="Z126" s="449">
        <f t="shared" si="78"/>
        <v>0</v>
      </c>
      <c r="AA126" s="214">
        <f>'Overall Metrics'!N127</f>
        <v>0</v>
      </c>
      <c r="AB126" s="110"/>
      <c r="AC126" s="430"/>
      <c r="AD126" s="430"/>
      <c r="AE126" s="430"/>
      <c r="AF126" s="430"/>
      <c r="AG126" s="430"/>
      <c r="AH126" s="430"/>
      <c r="AI126" s="446"/>
      <c r="AJ126" s="430"/>
      <c r="AK126" s="430"/>
      <c r="AL126" s="430"/>
      <c r="AM126" s="430"/>
      <c r="AN126" s="430"/>
      <c r="AO126" s="430"/>
      <c r="AP126" s="430"/>
      <c r="AQ126" s="430"/>
      <c r="AR126" s="219">
        <f t="shared" si="49"/>
        <v>0</v>
      </c>
      <c r="AS126" s="220" t="str">
        <f t="shared" si="50"/>
        <v>-</v>
      </c>
      <c r="AT126" s="472" t="str">
        <f t="shared" si="51"/>
        <v>-</v>
      </c>
      <c r="AU126" s="472" t="str">
        <f t="shared" si="52"/>
        <v>-</v>
      </c>
      <c r="AV126" s="472" t="str">
        <f t="shared" si="53"/>
        <v>-</v>
      </c>
      <c r="AW126" s="472" t="str">
        <f t="shared" si="54"/>
        <v>-</v>
      </c>
      <c r="AX126" s="472" t="str">
        <f t="shared" si="55"/>
        <v>-</v>
      </c>
      <c r="AY126" s="472" t="str">
        <f t="shared" si="79"/>
        <v>-</v>
      </c>
      <c r="AZ126" s="472" t="str">
        <f t="shared" si="80"/>
        <v>-</v>
      </c>
      <c r="BA126" s="472" t="str">
        <f t="shared" si="81"/>
        <v>-</v>
      </c>
      <c r="BB126" s="472" t="str">
        <f t="shared" si="82"/>
        <v>-</v>
      </c>
      <c r="BC126" s="472" t="str">
        <f t="shared" si="83"/>
        <v>-</v>
      </c>
      <c r="BD126" s="472" t="str">
        <f t="shared" si="84"/>
        <v>-</v>
      </c>
      <c r="BE126" s="472" t="str">
        <f t="shared" si="85"/>
        <v>-</v>
      </c>
      <c r="BF126" s="472" t="str">
        <f t="shared" si="86"/>
        <v>-</v>
      </c>
      <c r="BG126" s="472" t="str">
        <f t="shared" si="87"/>
        <v>-</v>
      </c>
      <c r="BH126" s="472" t="str">
        <f t="shared" si="88"/>
        <v>-</v>
      </c>
      <c r="BI126" s="221" t="str">
        <f t="shared" si="66"/>
        <v>-</v>
      </c>
      <c r="BJ126" s="730"/>
      <c r="BK126" s="692"/>
      <c r="BL126" s="429"/>
      <c r="BM126" s="429"/>
      <c r="BN126" s="214">
        <f t="shared" si="67"/>
        <v>0</v>
      </c>
      <c r="BO126" s="741"/>
      <c r="BP126" s="742"/>
      <c r="BQ126" s="446"/>
      <c r="BR126" s="446"/>
      <c r="BS126" s="228">
        <f t="shared" si="68"/>
        <v>0</v>
      </c>
      <c r="BT126" s="229" t="str">
        <f t="shared" si="69"/>
        <v>-</v>
      </c>
      <c r="BU126" s="526" t="str">
        <f t="shared" si="70"/>
        <v>-</v>
      </c>
      <c r="BV126" s="526" t="str">
        <f t="shared" si="71"/>
        <v>-</v>
      </c>
      <c r="BW126" s="526" t="str">
        <f t="shared" si="72"/>
        <v>-</v>
      </c>
      <c r="BX126" s="230" t="str">
        <f t="shared" si="73"/>
        <v>-</v>
      </c>
      <c r="BY126" s="745"/>
      <c r="BZ126" s="735"/>
      <c r="CA126" s="746"/>
      <c r="CB126" s="229" t="str">
        <f t="shared" si="74"/>
        <v>-</v>
      </c>
      <c r="CC126" s="529" t="str">
        <f t="shared" si="75"/>
        <v>-</v>
      </c>
      <c r="CD126" s="230" t="str">
        <f t="shared" si="76"/>
        <v>-</v>
      </c>
    </row>
    <row r="127" spans="1:82" ht="16.350000000000001" customHeight="1">
      <c r="A127" s="175">
        <f t="shared" si="46"/>
        <v>2023</v>
      </c>
      <c r="B127" s="454" t="str">
        <f t="shared" si="47"/>
        <v>18</v>
      </c>
      <c r="C127" s="454" t="str">
        <f t="array" ref="C127">_xlfn.IFS(_xlfn.NUMBERVALUE(B127)&lt;=13,"Q1",AND(_xlfn.NUMBERVALUE(B127)&gt;13,_xlfn.NUMBERVALUE(B127)&lt;=26),"Q2", AND(_xlfn.NUMBERVALUE(B127)&gt;26,_xlfn.NUMBERVALUE(B127)&lt;=39),"Q3",_xlfn.NUMBERVALUE(B127)&gt;39,"Q4")</f>
        <v>Q2</v>
      </c>
      <c r="D127" s="448">
        <f t="shared" si="77"/>
        <v>44709</v>
      </c>
      <c r="E127" s="448">
        <f t="shared" si="48"/>
        <v>44715</v>
      </c>
      <c r="F127" s="97">
        <v>202218</v>
      </c>
      <c r="G127" s="103"/>
      <c r="H127" s="429"/>
      <c r="I127" s="429"/>
      <c r="J127" s="429"/>
      <c r="K127" s="429"/>
      <c r="L127" s="429"/>
      <c r="M127" s="429"/>
      <c r="N127" s="429"/>
      <c r="O127" s="429"/>
      <c r="P127" s="429"/>
      <c r="Q127" s="429"/>
      <c r="R127" s="429"/>
      <c r="S127" s="429"/>
      <c r="T127" s="429"/>
      <c r="U127" s="429"/>
      <c r="V127" s="429"/>
      <c r="W127" s="429"/>
      <c r="X127" s="429"/>
      <c r="Y127" s="449">
        <f t="shared" si="89"/>
        <v>0</v>
      </c>
      <c r="Z127" s="449">
        <f t="shared" si="78"/>
        <v>0</v>
      </c>
      <c r="AA127" s="214">
        <f>'Overall Metrics'!N128</f>
        <v>0</v>
      </c>
      <c r="AB127" s="110"/>
      <c r="AC127" s="430"/>
      <c r="AD127" s="430"/>
      <c r="AE127" s="430"/>
      <c r="AF127" s="430"/>
      <c r="AG127" s="430"/>
      <c r="AH127" s="430"/>
      <c r="AI127" s="446"/>
      <c r="AJ127" s="430"/>
      <c r="AK127" s="430"/>
      <c r="AL127" s="430"/>
      <c r="AM127" s="430"/>
      <c r="AN127" s="430"/>
      <c r="AO127" s="430"/>
      <c r="AP127" s="430"/>
      <c r="AQ127" s="430"/>
      <c r="AR127" s="219">
        <f t="shared" si="49"/>
        <v>0</v>
      </c>
      <c r="AS127" s="220" t="str">
        <f t="shared" si="50"/>
        <v>-</v>
      </c>
      <c r="AT127" s="472" t="str">
        <f t="shared" si="51"/>
        <v>-</v>
      </c>
      <c r="AU127" s="472" t="str">
        <f t="shared" si="52"/>
        <v>-</v>
      </c>
      <c r="AV127" s="472" t="str">
        <f t="shared" si="53"/>
        <v>-</v>
      </c>
      <c r="AW127" s="472" t="str">
        <f t="shared" si="54"/>
        <v>-</v>
      </c>
      <c r="AX127" s="472" t="str">
        <f t="shared" si="55"/>
        <v>-</v>
      </c>
      <c r="AY127" s="472" t="str">
        <f t="shared" si="79"/>
        <v>-</v>
      </c>
      <c r="AZ127" s="472" t="str">
        <f t="shared" si="80"/>
        <v>-</v>
      </c>
      <c r="BA127" s="472" t="str">
        <f t="shared" si="81"/>
        <v>-</v>
      </c>
      <c r="BB127" s="472" t="str">
        <f t="shared" si="82"/>
        <v>-</v>
      </c>
      <c r="BC127" s="472" t="str">
        <f t="shared" si="83"/>
        <v>-</v>
      </c>
      <c r="BD127" s="472" t="str">
        <f t="shared" si="84"/>
        <v>-</v>
      </c>
      <c r="BE127" s="472" t="str">
        <f t="shared" si="85"/>
        <v>-</v>
      </c>
      <c r="BF127" s="472" t="str">
        <f t="shared" si="86"/>
        <v>-</v>
      </c>
      <c r="BG127" s="472" t="str">
        <f t="shared" si="87"/>
        <v>-</v>
      </c>
      <c r="BH127" s="472" t="str">
        <f t="shared" si="88"/>
        <v>-</v>
      </c>
      <c r="BI127" s="221" t="str">
        <f t="shared" si="66"/>
        <v>-</v>
      </c>
      <c r="BJ127" s="730"/>
      <c r="BK127" s="692"/>
      <c r="BL127" s="429"/>
      <c r="BM127" s="429"/>
      <c r="BN127" s="214">
        <f t="shared" si="67"/>
        <v>0</v>
      </c>
      <c r="BO127" s="741"/>
      <c r="BP127" s="742"/>
      <c r="BQ127" s="446"/>
      <c r="BR127" s="446"/>
      <c r="BS127" s="228">
        <f t="shared" si="68"/>
        <v>0</v>
      </c>
      <c r="BT127" s="229" t="str">
        <f t="shared" si="69"/>
        <v>-</v>
      </c>
      <c r="BU127" s="526" t="str">
        <f t="shared" si="70"/>
        <v>-</v>
      </c>
      <c r="BV127" s="526" t="str">
        <f t="shared" si="71"/>
        <v>-</v>
      </c>
      <c r="BW127" s="526" t="str">
        <f t="shared" si="72"/>
        <v>-</v>
      </c>
      <c r="BX127" s="230" t="str">
        <f t="shared" si="73"/>
        <v>-</v>
      </c>
      <c r="BY127" s="745"/>
      <c r="BZ127" s="735"/>
      <c r="CA127" s="746"/>
      <c r="CB127" s="229" t="str">
        <f t="shared" si="74"/>
        <v>-</v>
      </c>
      <c r="CC127" s="529" t="str">
        <f t="shared" si="75"/>
        <v>-</v>
      </c>
      <c r="CD127" s="230" t="str">
        <f t="shared" si="76"/>
        <v>-</v>
      </c>
    </row>
    <row r="128" spans="1:82" ht="16.350000000000001" customHeight="1">
      <c r="A128" s="175">
        <f t="shared" si="46"/>
        <v>2023</v>
      </c>
      <c r="B128" s="454" t="str">
        <f t="shared" si="47"/>
        <v>19</v>
      </c>
      <c r="C128" s="454" t="str">
        <f t="array" ref="C128">_xlfn.IFS(_xlfn.NUMBERVALUE(B128)&lt;=13,"Q1",AND(_xlfn.NUMBERVALUE(B128)&gt;13,_xlfn.NUMBERVALUE(B128)&lt;=26),"Q2", AND(_xlfn.NUMBERVALUE(B128)&gt;26,_xlfn.NUMBERVALUE(B128)&lt;=39),"Q3",_xlfn.NUMBERVALUE(B128)&gt;39,"Q4")</f>
        <v>Q2</v>
      </c>
      <c r="D128" s="448">
        <f t="shared" si="77"/>
        <v>44716</v>
      </c>
      <c r="E128" s="448">
        <f t="shared" si="48"/>
        <v>44722</v>
      </c>
      <c r="F128" s="97">
        <v>202219</v>
      </c>
      <c r="G128" s="103"/>
      <c r="H128" s="429"/>
      <c r="I128" s="429"/>
      <c r="J128" s="429"/>
      <c r="K128" s="429"/>
      <c r="L128" s="429"/>
      <c r="M128" s="429"/>
      <c r="N128" s="429"/>
      <c r="O128" s="429"/>
      <c r="P128" s="429"/>
      <c r="Q128" s="429"/>
      <c r="R128" s="429"/>
      <c r="S128" s="429"/>
      <c r="T128" s="429"/>
      <c r="U128" s="429"/>
      <c r="V128" s="429"/>
      <c r="W128" s="429"/>
      <c r="X128" s="429"/>
      <c r="Y128" s="449">
        <f t="shared" si="89"/>
        <v>0</v>
      </c>
      <c r="Z128" s="449">
        <f t="shared" si="78"/>
        <v>0</v>
      </c>
      <c r="AA128" s="214">
        <f>'Overall Metrics'!N129</f>
        <v>0</v>
      </c>
      <c r="AB128" s="110"/>
      <c r="AC128" s="430"/>
      <c r="AD128" s="430"/>
      <c r="AE128" s="430"/>
      <c r="AF128" s="430"/>
      <c r="AG128" s="430"/>
      <c r="AH128" s="430"/>
      <c r="AI128" s="446"/>
      <c r="AJ128" s="430"/>
      <c r="AK128" s="430"/>
      <c r="AL128" s="430"/>
      <c r="AM128" s="430"/>
      <c r="AN128" s="430"/>
      <c r="AO128" s="430"/>
      <c r="AP128" s="430"/>
      <c r="AQ128" s="430"/>
      <c r="AR128" s="219">
        <f t="shared" si="49"/>
        <v>0</v>
      </c>
      <c r="AS128" s="220" t="str">
        <f t="shared" si="50"/>
        <v>-</v>
      </c>
      <c r="AT128" s="472" t="str">
        <f t="shared" si="51"/>
        <v>-</v>
      </c>
      <c r="AU128" s="472" t="str">
        <f t="shared" si="52"/>
        <v>-</v>
      </c>
      <c r="AV128" s="472" t="str">
        <f t="shared" si="53"/>
        <v>-</v>
      </c>
      <c r="AW128" s="472" t="str">
        <f t="shared" si="54"/>
        <v>-</v>
      </c>
      <c r="AX128" s="472" t="str">
        <f t="shared" si="55"/>
        <v>-</v>
      </c>
      <c r="AY128" s="472" t="str">
        <f t="shared" si="79"/>
        <v>-</v>
      </c>
      <c r="AZ128" s="472" t="str">
        <f t="shared" si="80"/>
        <v>-</v>
      </c>
      <c r="BA128" s="472" t="str">
        <f t="shared" si="81"/>
        <v>-</v>
      </c>
      <c r="BB128" s="472" t="str">
        <f t="shared" si="82"/>
        <v>-</v>
      </c>
      <c r="BC128" s="472" t="str">
        <f t="shared" si="83"/>
        <v>-</v>
      </c>
      <c r="BD128" s="472" t="str">
        <f t="shared" si="84"/>
        <v>-</v>
      </c>
      <c r="BE128" s="472" t="str">
        <f t="shared" si="85"/>
        <v>-</v>
      </c>
      <c r="BF128" s="472" t="str">
        <f t="shared" si="86"/>
        <v>-</v>
      </c>
      <c r="BG128" s="472" t="str">
        <f t="shared" si="87"/>
        <v>-</v>
      </c>
      <c r="BH128" s="472" t="str">
        <f t="shared" si="88"/>
        <v>-</v>
      </c>
      <c r="BI128" s="221" t="str">
        <f t="shared" si="66"/>
        <v>-</v>
      </c>
      <c r="BJ128" s="730"/>
      <c r="BK128" s="692"/>
      <c r="BL128" s="429"/>
      <c r="BM128" s="429"/>
      <c r="BN128" s="214">
        <f t="shared" si="67"/>
        <v>0</v>
      </c>
      <c r="BO128" s="741"/>
      <c r="BP128" s="742"/>
      <c r="BQ128" s="446"/>
      <c r="BR128" s="446"/>
      <c r="BS128" s="228">
        <f t="shared" si="68"/>
        <v>0</v>
      </c>
      <c r="BT128" s="229" t="str">
        <f t="shared" si="69"/>
        <v>-</v>
      </c>
      <c r="BU128" s="526" t="str">
        <f t="shared" si="70"/>
        <v>-</v>
      </c>
      <c r="BV128" s="526" t="str">
        <f t="shared" si="71"/>
        <v>-</v>
      </c>
      <c r="BW128" s="526" t="str">
        <f t="shared" si="72"/>
        <v>-</v>
      </c>
      <c r="BX128" s="230" t="str">
        <f t="shared" si="73"/>
        <v>-</v>
      </c>
      <c r="BY128" s="745"/>
      <c r="BZ128" s="735"/>
      <c r="CA128" s="746"/>
      <c r="CB128" s="229" t="str">
        <f t="shared" si="74"/>
        <v>-</v>
      </c>
      <c r="CC128" s="529" t="str">
        <f t="shared" si="75"/>
        <v>-</v>
      </c>
      <c r="CD128" s="230" t="str">
        <f t="shared" si="76"/>
        <v>-</v>
      </c>
    </row>
    <row r="129" spans="1:82" ht="16.350000000000001" customHeight="1">
      <c r="A129" s="175">
        <f t="shared" si="46"/>
        <v>2023</v>
      </c>
      <c r="B129" s="454" t="str">
        <f t="shared" si="47"/>
        <v>20</v>
      </c>
      <c r="C129" s="454" t="str">
        <f t="array" ref="C129">_xlfn.IFS(_xlfn.NUMBERVALUE(B129)&lt;=13,"Q1",AND(_xlfn.NUMBERVALUE(B129)&gt;13,_xlfn.NUMBERVALUE(B129)&lt;=26),"Q2", AND(_xlfn.NUMBERVALUE(B129)&gt;26,_xlfn.NUMBERVALUE(B129)&lt;=39),"Q3",_xlfn.NUMBERVALUE(B129)&gt;39,"Q4")</f>
        <v>Q2</v>
      </c>
      <c r="D129" s="448">
        <f t="shared" si="77"/>
        <v>44723</v>
      </c>
      <c r="E129" s="448">
        <f t="shared" si="48"/>
        <v>44729</v>
      </c>
      <c r="F129" s="97">
        <v>202220</v>
      </c>
      <c r="G129" s="103"/>
      <c r="H129" s="429"/>
      <c r="I129" s="429"/>
      <c r="J129" s="429"/>
      <c r="K129" s="429"/>
      <c r="L129" s="429"/>
      <c r="M129" s="429"/>
      <c r="N129" s="429"/>
      <c r="O129" s="429"/>
      <c r="P129" s="429"/>
      <c r="Q129" s="429"/>
      <c r="R129" s="429"/>
      <c r="S129" s="429"/>
      <c r="T129" s="429"/>
      <c r="U129" s="429"/>
      <c r="V129" s="429"/>
      <c r="W129" s="429"/>
      <c r="X129" s="429"/>
      <c r="Y129" s="449">
        <f t="shared" si="89"/>
        <v>0</v>
      </c>
      <c r="Z129" s="449">
        <f t="shared" si="78"/>
        <v>0</v>
      </c>
      <c r="AA129" s="214">
        <f>'Overall Metrics'!N130</f>
        <v>0</v>
      </c>
      <c r="AB129" s="110"/>
      <c r="AC129" s="430"/>
      <c r="AD129" s="430"/>
      <c r="AE129" s="430"/>
      <c r="AF129" s="430"/>
      <c r="AG129" s="430"/>
      <c r="AH129" s="430"/>
      <c r="AI129" s="446"/>
      <c r="AJ129" s="430"/>
      <c r="AK129" s="430"/>
      <c r="AL129" s="430"/>
      <c r="AM129" s="430"/>
      <c r="AN129" s="430"/>
      <c r="AO129" s="430"/>
      <c r="AP129" s="430"/>
      <c r="AQ129" s="430"/>
      <c r="AR129" s="219">
        <f t="shared" si="49"/>
        <v>0</v>
      </c>
      <c r="AS129" s="220" t="str">
        <f t="shared" si="50"/>
        <v>-</v>
      </c>
      <c r="AT129" s="472" t="str">
        <f t="shared" si="51"/>
        <v>-</v>
      </c>
      <c r="AU129" s="472" t="str">
        <f t="shared" si="52"/>
        <v>-</v>
      </c>
      <c r="AV129" s="472" t="str">
        <f t="shared" si="53"/>
        <v>-</v>
      </c>
      <c r="AW129" s="472" t="str">
        <f t="shared" si="54"/>
        <v>-</v>
      </c>
      <c r="AX129" s="472" t="str">
        <f t="shared" si="55"/>
        <v>-</v>
      </c>
      <c r="AY129" s="472" t="str">
        <f t="shared" si="79"/>
        <v>-</v>
      </c>
      <c r="AZ129" s="472" t="str">
        <f t="shared" si="80"/>
        <v>-</v>
      </c>
      <c r="BA129" s="472" t="str">
        <f t="shared" si="81"/>
        <v>-</v>
      </c>
      <c r="BB129" s="472" t="str">
        <f t="shared" si="82"/>
        <v>-</v>
      </c>
      <c r="BC129" s="472" t="str">
        <f t="shared" si="83"/>
        <v>-</v>
      </c>
      <c r="BD129" s="472" t="str">
        <f t="shared" si="84"/>
        <v>-</v>
      </c>
      <c r="BE129" s="472" t="str">
        <f t="shared" si="85"/>
        <v>-</v>
      </c>
      <c r="BF129" s="472" t="str">
        <f t="shared" si="86"/>
        <v>-</v>
      </c>
      <c r="BG129" s="472" t="str">
        <f t="shared" si="87"/>
        <v>-</v>
      </c>
      <c r="BH129" s="472" t="str">
        <f t="shared" si="88"/>
        <v>-</v>
      </c>
      <c r="BI129" s="221" t="str">
        <f t="shared" si="66"/>
        <v>-</v>
      </c>
      <c r="BJ129" s="730"/>
      <c r="BK129" s="692"/>
      <c r="BL129" s="429"/>
      <c r="BM129" s="429"/>
      <c r="BN129" s="214">
        <f t="shared" si="67"/>
        <v>0</v>
      </c>
      <c r="BO129" s="741"/>
      <c r="BP129" s="742"/>
      <c r="BQ129" s="446"/>
      <c r="BR129" s="446"/>
      <c r="BS129" s="228">
        <f t="shared" si="68"/>
        <v>0</v>
      </c>
      <c r="BT129" s="229" t="str">
        <f t="shared" si="69"/>
        <v>-</v>
      </c>
      <c r="BU129" s="526" t="str">
        <f t="shared" si="70"/>
        <v>-</v>
      </c>
      <c r="BV129" s="526" t="str">
        <f t="shared" si="71"/>
        <v>-</v>
      </c>
      <c r="BW129" s="526" t="str">
        <f t="shared" si="72"/>
        <v>-</v>
      </c>
      <c r="BX129" s="230" t="str">
        <f t="shared" si="73"/>
        <v>-</v>
      </c>
      <c r="BY129" s="745"/>
      <c r="BZ129" s="735"/>
      <c r="CA129" s="746"/>
      <c r="CB129" s="229" t="str">
        <f t="shared" si="74"/>
        <v>-</v>
      </c>
      <c r="CC129" s="529" t="str">
        <f t="shared" si="75"/>
        <v>-</v>
      </c>
      <c r="CD129" s="230" t="str">
        <f t="shared" si="76"/>
        <v>-</v>
      </c>
    </row>
    <row r="130" spans="1:82" ht="16.350000000000001" customHeight="1">
      <c r="A130" s="175">
        <f t="shared" si="46"/>
        <v>2023</v>
      </c>
      <c r="B130" s="454" t="str">
        <f t="shared" si="47"/>
        <v>21</v>
      </c>
      <c r="C130" s="454" t="str">
        <f t="array" ref="C130">_xlfn.IFS(_xlfn.NUMBERVALUE(B130)&lt;=13,"Q1",AND(_xlfn.NUMBERVALUE(B130)&gt;13,_xlfn.NUMBERVALUE(B130)&lt;=26),"Q2", AND(_xlfn.NUMBERVALUE(B130)&gt;26,_xlfn.NUMBERVALUE(B130)&lt;=39),"Q3",_xlfn.NUMBERVALUE(B130)&gt;39,"Q4")</f>
        <v>Q2</v>
      </c>
      <c r="D130" s="448">
        <f t="shared" si="77"/>
        <v>44730</v>
      </c>
      <c r="E130" s="448">
        <f t="shared" si="48"/>
        <v>44736</v>
      </c>
      <c r="F130" s="97">
        <v>202221</v>
      </c>
      <c r="G130" s="103"/>
      <c r="H130" s="429"/>
      <c r="I130" s="429"/>
      <c r="J130" s="429"/>
      <c r="K130" s="429"/>
      <c r="L130" s="429"/>
      <c r="M130" s="429"/>
      <c r="N130" s="429"/>
      <c r="O130" s="429"/>
      <c r="P130" s="429"/>
      <c r="Q130" s="429"/>
      <c r="R130" s="429"/>
      <c r="S130" s="429"/>
      <c r="T130" s="429"/>
      <c r="U130" s="429"/>
      <c r="V130" s="429"/>
      <c r="W130" s="429"/>
      <c r="X130" s="429"/>
      <c r="Y130" s="449">
        <f t="shared" si="89"/>
        <v>0</v>
      </c>
      <c r="Z130" s="449">
        <f t="shared" si="78"/>
        <v>0</v>
      </c>
      <c r="AA130" s="214">
        <f>'Overall Metrics'!N131</f>
        <v>0</v>
      </c>
      <c r="AB130" s="110"/>
      <c r="AC130" s="430"/>
      <c r="AD130" s="430"/>
      <c r="AE130" s="430"/>
      <c r="AF130" s="430"/>
      <c r="AG130" s="430"/>
      <c r="AH130" s="430"/>
      <c r="AI130" s="446"/>
      <c r="AJ130" s="430"/>
      <c r="AK130" s="430"/>
      <c r="AL130" s="430"/>
      <c r="AM130" s="430"/>
      <c r="AN130" s="430"/>
      <c r="AO130" s="430"/>
      <c r="AP130" s="430"/>
      <c r="AQ130" s="430"/>
      <c r="AR130" s="219">
        <f t="shared" si="49"/>
        <v>0</v>
      </c>
      <c r="AS130" s="220" t="str">
        <f t="shared" si="50"/>
        <v>-</v>
      </c>
      <c r="AT130" s="472" t="str">
        <f t="shared" si="51"/>
        <v>-</v>
      </c>
      <c r="AU130" s="472" t="str">
        <f t="shared" si="52"/>
        <v>-</v>
      </c>
      <c r="AV130" s="472" t="str">
        <f t="shared" si="53"/>
        <v>-</v>
      </c>
      <c r="AW130" s="472" t="str">
        <f t="shared" si="54"/>
        <v>-</v>
      </c>
      <c r="AX130" s="472" t="str">
        <f t="shared" si="55"/>
        <v>-</v>
      </c>
      <c r="AY130" s="472" t="str">
        <f t="shared" si="79"/>
        <v>-</v>
      </c>
      <c r="AZ130" s="472" t="str">
        <f t="shared" si="80"/>
        <v>-</v>
      </c>
      <c r="BA130" s="472" t="str">
        <f t="shared" si="81"/>
        <v>-</v>
      </c>
      <c r="BB130" s="472" t="str">
        <f t="shared" si="82"/>
        <v>-</v>
      </c>
      <c r="BC130" s="472" t="str">
        <f t="shared" si="83"/>
        <v>-</v>
      </c>
      <c r="BD130" s="472" t="str">
        <f t="shared" si="84"/>
        <v>-</v>
      </c>
      <c r="BE130" s="472" t="str">
        <f t="shared" si="85"/>
        <v>-</v>
      </c>
      <c r="BF130" s="472" t="str">
        <f t="shared" si="86"/>
        <v>-</v>
      </c>
      <c r="BG130" s="472" t="str">
        <f t="shared" si="87"/>
        <v>-</v>
      </c>
      <c r="BH130" s="472" t="str">
        <f t="shared" si="88"/>
        <v>-</v>
      </c>
      <c r="BI130" s="221" t="str">
        <f t="shared" si="66"/>
        <v>-</v>
      </c>
      <c r="BJ130" s="730"/>
      <c r="BK130" s="692"/>
      <c r="BL130" s="429"/>
      <c r="BM130" s="429"/>
      <c r="BN130" s="214">
        <f t="shared" si="67"/>
        <v>0</v>
      </c>
      <c r="BO130" s="741"/>
      <c r="BP130" s="742"/>
      <c r="BQ130" s="446"/>
      <c r="BR130" s="446"/>
      <c r="BS130" s="228">
        <f t="shared" si="68"/>
        <v>0</v>
      </c>
      <c r="BT130" s="229" t="str">
        <f t="shared" si="69"/>
        <v>-</v>
      </c>
      <c r="BU130" s="526" t="str">
        <f t="shared" si="70"/>
        <v>-</v>
      </c>
      <c r="BV130" s="526" t="str">
        <f t="shared" si="71"/>
        <v>-</v>
      </c>
      <c r="BW130" s="526" t="str">
        <f t="shared" si="72"/>
        <v>-</v>
      </c>
      <c r="BX130" s="230" t="str">
        <f t="shared" si="73"/>
        <v>-</v>
      </c>
      <c r="BY130" s="745"/>
      <c r="BZ130" s="735"/>
      <c r="CA130" s="746"/>
      <c r="CB130" s="229" t="str">
        <f t="shared" si="74"/>
        <v>-</v>
      </c>
      <c r="CC130" s="529" t="str">
        <f t="shared" si="75"/>
        <v>-</v>
      </c>
      <c r="CD130" s="230" t="str">
        <f t="shared" si="76"/>
        <v>-</v>
      </c>
    </row>
    <row r="131" spans="1:82" ht="16.350000000000001" customHeight="1">
      <c r="A131" s="175">
        <f t="shared" si="46"/>
        <v>2023</v>
      </c>
      <c r="B131" s="454" t="str">
        <f t="shared" si="47"/>
        <v>22</v>
      </c>
      <c r="C131" s="454" t="str">
        <f t="array" ref="C131">_xlfn.IFS(_xlfn.NUMBERVALUE(B131)&lt;=13,"Q1",AND(_xlfn.NUMBERVALUE(B131)&gt;13,_xlfn.NUMBERVALUE(B131)&lt;=26),"Q2", AND(_xlfn.NUMBERVALUE(B131)&gt;26,_xlfn.NUMBERVALUE(B131)&lt;=39),"Q3",_xlfn.NUMBERVALUE(B131)&gt;39,"Q4")</f>
        <v>Q2</v>
      </c>
      <c r="D131" s="448">
        <f t="shared" si="77"/>
        <v>44737</v>
      </c>
      <c r="E131" s="448">
        <f t="shared" si="48"/>
        <v>44743</v>
      </c>
      <c r="F131" s="97">
        <v>202222</v>
      </c>
      <c r="G131" s="103"/>
      <c r="H131" s="429"/>
      <c r="I131" s="429"/>
      <c r="J131" s="429"/>
      <c r="K131" s="429"/>
      <c r="L131" s="429"/>
      <c r="M131" s="429"/>
      <c r="N131" s="429"/>
      <c r="O131" s="429"/>
      <c r="P131" s="429"/>
      <c r="Q131" s="429"/>
      <c r="R131" s="429"/>
      <c r="S131" s="429"/>
      <c r="T131" s="429"/>
      <c r="U131" s="429"/>
      <c r="V131" s="429"/>
      <c r="W131" s="429"/>
      <c r="X131" s="429"/>
      <c r="Y131" s="449">
        <f t="shared" si="89"/>
        <v>0</v>
      </c>
      <c r="Z131" s="449">
        <f t="shared" si="78"/>
        <v>0</v>
      </c>
      <c r="AA131" s="214">
        <f>'Overall Metrics'!N132</f>
        <v>0</v>
      </c>
      <c r="AB131" s="110"/>
      <c r="AC131" s="430"/>
      <c r="AD131" s="430"/>
      <c r="AE131" s="430"/>
      <c r="AF131" s="430"/>
      <c r="AG131" s="430"/>
      <c r="AH131" s="430"/>
      <c r="AI131" s="446"/>
      <c r="AJ131" s="430"/>
      <c r="AK131" s="430"/>
      <c r="AL131" s="430"/>
      <c r="AM131" s="430"/>
      <c r="AN131" s="430"/>
      <c r="AO131" s="430"/>
      <c r="AP131" s="430"/>
      <c r="AQ131" s="430"/>
      <c r="AR131" s="219">
        <f t="shared" si="49"/>
        <v>0</v>
      </c>
      <c r="AS131" s="220" t="str">
        <f t="shared" si="50"/>
        <v>-</v>
      </c>
      <c r="AT131" s="472" t="str">
        <f t="shared" si="51"/>
        <v>-</v>
      </c>
      <c r="AU131" s="472" t="str">
        <f t="shared" si="52"/>
        <v>-</v>
      </c>
      <c r="AV131" s="472" t="str">
        <f t="shared" si="53"/>
        <v>-</v>
      </c>
      <c r="AW131" s="472" t="str">
        <f t="shared" si="54"/>
        <v>-</v>
      </c>
      <c r="AX131" s="472" t="str">
        <f t="shared" si="55"/>
        <v>-</v>
      </c>
      <c r="AY131" s="472" t="str">
        <f t="shared" si="79"/>
        <v>-</v>
      </c>
      <c r="AZ131" s="472" t="str">
        <f t="shared" si="80"/>
        <v>-</v>
      </c>
      <c r="BA131" s="472" t="str">
        <f t="shared" si="81"/>
        <v>-</v>
      </c>
      <c r="BB131" s="472" t="str">
        <f t="shared" si="82"/>
        <v>-</v>
      </c>
      <c r="BC131" s="472" t="str">
        <f t="shared" si="83"/>
        <v>-</v>
      </c>
      <c r="BD131" s="472" t="str">
        <f t="shared" si="84"/>
        <v>-</v>
      </c>
      <c r="BE131" s="472" t="str">
        <f t="shared" si="85"/>
        <v>-</v>
      </c>
      <c r="BF131" s="472" t="str">
        <f t="shared" si="86"/>
        <v>-</v>
      </c>
      <c r="BG131" s="472" t="str">
        <f t="shared" si="87"/>
        <v>-</v>
      </c>
      <c r="BH131" s="472" t="str">
        <f t="shared" si="88"/>
        <v>-</v>
      </c>
      <c r="BI131" s="221" t="str">
        <f t="shared" si="66"/>
        <v>-</v>
      </c>
      <c r="BJ131" s="730"/>
      <c r="BK131" s="692"/>
      <c r="BL131" s="429"/>
      <c r="BM131" s="429"/>
      <c r="BN131" s="214">
        <f t="shared" si="67"/>
        <v>0</v>
      </c>
      <c r="BO131" s="741"/>
      <c r="BP131" s="742"/>
      <c r="BQ131" s="446"/>
      <c r="BR131" s="446"/>
      <c r="BS131" s="228">
        <f t="shared" si="68"/>
        <v>0</v>
      </c>
      <c r="BT131" s="229" t="str">
        <f t="shared" si="69"/>
        <v>-</v>
      </c>
      <c r="BU131" s="526" t="str">
        <f t="shared" si="70"/>
        <v>-</v>
      </c>
      <c r="BV131" s="526" t="str">
        <f t="shared" si="71"/>
        <v>-</v>
      </c>
      <c r="BW131" s="526" t="str">
        <f t="shared" si="72"/>
        <v>-</v>
      </c>
      <c r="BX131" s="230" t="str">
        <f t="shared" si="73"/>
        <v>-</v>
      </c>
      <c r="BY131" s="745"/>
      <c r="BZ131" s="735"/>
      <c r="CA131" s="746"/>
      <c r="CB131" s="229" t="str">
        <f t="shared" si="74"/>
        <v>-</v>
      </c>
      <c r="CC131" s="529" t="str">
        <f t="shared" si="75"/>
        <v>-</v>
      </c>
      <c r="CD131" s="230" t="str">
        <f t="shared" si="76"/>
        <v>-</v>
      </c>
    </row>
    <row r="132" spans="1:82" ht="16.350000000000001" customHeight="1">
      <c r="A132" s="175">
        <f t="shared" si="46"/>
        <v>2023</v>
      </c>
      <c r="B132" s="454" t="str">
        <f t="shared" si="47"/>
        <v>23</v>
      </c>
      <c r="C132" s="454" t="str">
        <f t="array" ref="C132">_xlfn.IFS(_xlfn.NUMBERVALUE(B132)&lt;=13,"Q1",AND(_xlfn.NUMBERVALUE(B132)&gt;13,_xlfn.NUMBERVALUE(B132)&lt;=26),"Q2", AND(_xlfn.NUMBERVALUE(B132)&gt;26,_xlfn.NUMBERVALUE(B132)&lt;=39),"Q3",_xlfn.NUMBERVALUE(B132)&gt;39,"Q4")</f>
        <v>Q2</v>
      </c>
      <c r="D132" s="448">
        <f t="shared" si="77"/>
        <v>44744</v>
      </c>
      <c r="E132" s="448">
        <f t="shared" si="48"/>
        <v>44750</v>
      </c>
      <c r="F132" s="97">
        <v>202223</v>
      </c>
      <c r="G132" s="103"/>
      <c r="H132" s="429"/>
      <c r="I132" s="429"/>
      <c r="J132" s="429"/>
      <c r="K132" s="429"/>
      <c r="L132" s="429"/>
      <c r="M132" s="429"/>
      <c r="N132" s="429"/>
      <c r="O132" s="429"/>
      <c r="P132" s="429"/>
      <c r="Q132" s="429"/>
      <c r="R132" s="429"/>
      <c r="S132" s="429"/>
      <c r="T132" s="429"/>
      <c r="U132" s="429"/>
      <c r="V132" s="429"/>
      <c r="W132" s="429"/>
      <c r="X132" s="429"/>
      <c r="Y132" s="449">
        <f t="shared" si="89"/>
        <v>0</v>
      </c>
      <c r="Z132" s="449">
        <f t="shared" si="78"/>
        <v>0</v>
      </c>
      <c r="AA132" s="214">
        <f>'Overall Metrics'!N133</f>
        <v>0</v>
      </c>
      <c r="AB132" s="110"/>
      <c r="AC132" s="430"/>
      <c r="AD132" s="430"/>
      <c r="AE132" s="430"/>
      <c r="AF132" s="430"/>
      <c r="AG132" s="430"/>
      <c r="AH132" s="430"/>
      <c r="AI132" s="446"/>
      <c r="AJ132" s="430"/>
      <c r="AK132" s="430"/>
      <c r="AL132" s="430"/>
      <c r="AM132" s="430"/>
      <c r="AN132" s="430"/>
      <c r="AO132" s="430"/>
      <c r="AP132" s="430"/>
      <c r="AQ132" s="430"/>
      <c r="AR132" s="219">
        <f t="shared" si="49"/>
        <v>0</v>
      </c>
      <c r="AS132" s="220" t="str">
        <f t="shared" si="50"/>
        <v>-</v>
      </c>
      <c r="AT132" s="472" t="str">
        <f t="shared" si="51"/>
        <v>-</v>
      </c>
      <c r="AU132" s="472" t="str">
        <f t="shared" si="52"/>
        <v>-</v>
      </c>
      <c r="AV132" s="472" t="str">
        <f t="shared" si="53"/>
        <v>-</v>
      </c>
      <c r="AW132" s="472" t="str">
        <f t="shared" si="54"/>
        <v>-</v>
      </c>
      <c r="AX132" s="472" t="str">
        <f t="shared" si="55"/>
        <v>-</v>
      </c>
      <c r="AY132" s="472" t="str">
        <f t="shared" si="79"/>
        <v>-</v>
      </c>
      <c r="AZ132" s="472" t="str">
        <f t="shared" si="80"/>
        <v>-</v>
      </c>
      <c r="BA132" s="472" t="str">
        <f t="shared" si="81"/>
        <v>-</v>
      </c>
      <c r="BB132" s="472" t="str">
        <f t="shared" si="82"/>
        <v>-</v>
      </c>
      <c r="BC132" s="472" t="str">
        <f t="shared" si="83"/>
        <v>-</v>
      </c>
      <c r="BD132" s="472" t="str">
        <f t="shared" si="84"/>
        <v>-</v>
      </c>
      <c r="BE132" s="472" t="str">
        <f t="shared" si="85"/>
        <v>-</v>
      </c>
      <c r="BF132" s="472" t="str">
        <f t="shared" si="86"/>
        <v>-</v>
      </c>
      <c r="BG132" s="472" t="str">
        <f t="shared" si="87"/>
        <v>-</v>
      </c>
      <c r="BH132" s="472" t="str">
        <f t="shared" si="88"/>
        <v>-</v>
      </c>
      <c r="BI132" s="221" t="str">
        <f t="shared" si="66"/>
        <v>-</v>
      </c>
      <c r="BJ132" s="730"/>
      <c r="BK132" s="692"/>
      <c r="BL132" s="429"/>
      <c r="BM132" s="429"/>
      <c r="BN132" s="214">
        <f t="shared" si="67"/>
        <v>0</v>
      </c>
      <c r="BO132" s="741"/>
      <c r="BP132" s="742"/>
      <c r="BQ132" s="446"/>
      <c r="BR132" s="446"/>
      <c r="BS132" s="228">
        <f t="shared" si="68"/>
        <v>0</v>
      </c>
      <c r="BT132" s="229" t="str">
        <f t="shared" si="69"/>
        <v>-</v>
      </c>
      <c r="BU132" s="526" t="str">
        <f t="shared" si="70"/>
        <v>-</v>
      </c>
      <c r="BV132" s="526" t="str">
        <f t="shared" si="71"/>
        <v>-</v>
      </c>
      <c r="BW132" s="526" t="str">
        <f t="shared" si="72"/>
        <v>-</v>
      </c>
      <c r="BX132" s="230" t="str">
        <f t="shared" si="73"/>
        <v>-</v>
      </c>
      <c r="BY132" s="745"/>
      <c r="BZ132" s="735"/>
      <c r="CA132" s="746"/>
      <c r="CB132" s="229" t="str">
        <f t="shared" si="74"/>
        <v>-</v>
      </c>
      <c r="CC132" s="529" t="str">
        <f t="shared" si="75"/>
        <v>-</v>
      </c>
      <c r="CD132" s="230" t="str">
        <f t="shared" si="76"/>
        <v>-</v>
      </c>
    </row>
    <row r="133" spans="1:82" ht="16.350000000000001" customHeight="1">
      <c r="A133" s="175">
        <f t="shared" si="46"/>
        <v>2023</v>
      </c>
      <c r="B133" s="454" t="str">
        <f t="shared" si="47"/>
        <v>24</v>
      </c>
      <c r="C133" s="454" t="str">
        <f t="array" ref="C133">_xlfn.IFS(_xlfn.NUMBERVALUE(B133)&lt;=13,"Q1",AND(_xlfn.NUMBERVALUE(B133)&gt;13,_xlfn.NUMBERVALUE(B133)&lt;=26),"Q2", AND(_xlfn.NUMBERVALUE(B133)&gt;26,_xlfn.NUMBERVALUE(B133)&lt;=39),"Q3",_xlfn.NUMBERVALUE(B133)&gt;39,"Q4")</f>
        <v>Q2</v>
      </c>
      <c r="D133" s="448">
        <f t="shared" si="77"/>
        <v>44751</v>
      </c>
      <c r="E133" s="448">
        <f t="shared" si="48"/>
        <v>44757</v>
      </c>
      <c r="F133" s="97">
        <v>202224</v>
      </c>
      <c r="G133" s="103"/>
      <c r="H133" s="429"/>
      <c r="I133" s="429"/>
      <c r="J133" s="429"/>
      <c r="K133" s="429"/>
      <c r="L133" s="429"/>
      <c r="M133" s="429"/>
      <c r="N133" s="429"/>
      <c r="O133" s="429"/>
      <c r="P133" s="429"/>
      <c r="Q133" s="429"/>
      <c r="R133" s="429"/>
      <c r="S133" s="429"/>
      <c r="T133" s="429"/>
      <c r="U133" s="429"/>
      <c r="V133" s="429"/>
      <c r="W133" s="429"/>
      <c r="X133" s="429"/>
      <c r="Y133" s="449">
        <f t="shared" si="89"/>
        <v>0</v>
      </c>
      <c r="Z133" s="449">
        <f t="shared" si="78"/>
        <v>0</v>
      </c>
      <c r="AA133" s="214">
        <f>'Overall Metrics'!N134</f>
        <v>0</v>
      </c>
      <c r="AB133" s="110"/>
      <c r="AC133" s="430"/>
      <c r="AD133" s="430"/>
      <c r="AE133" s="430"/>
      <c r="AF133" s="430"/>
      <c r="AG133" s="430"/>
      <c r="AH133" s="430"/>
      <c r="AI133" s="446"/>
      <c r="AJ133" s="430"/>
      <c r="AK133" s="430"/>
      <c r="AL133" s="430"/>
      <c r="AM133" s="430"/>
      <c r="AN133" s="430"/>
      <c r="AO133" s="430"/>
      <c r="AP133" s="430"/>
      <c r="AQ133" s="430"/>
      <c r="AR133" s="219">
        <f t="shared" si="49"/>
        <v>0</v>
      </c>
      <c r="AS133" s="220" t="str">
        <f t="shared" si="50"/>
        <v>-</v>
      </c>
      <c r="AT133" s="472" t="str">
        <f t="shared" si="51"/>
        <v>-</v>
      </c>
      <c r="AU133" s="472" t="str">
        <f t="shared" si="52"/>
        <v>-</v>
      </c>
      <c r="AV133" s="472" t="str">
        <f t="shared" si="53"/>
        <v>-</v>
      </c>
      <c r="AW133" s="472" t="str">
        <f t="shared" si="54"/>
        <v>-</v>
      </c>
      <c r="AX133" s="472" t="str">
        <f t="shared" si="55"/>
        <v>-</v>
      </c>
      <c r="AY133" s="472" t="str">
        <f t="shared" si="79"/>
        <v>-</v>
      </c>
      <c r="AZ133" s="472" t="str">
        <f t="shared" si="80"/>
        <v>-</v>
      </c>
      <c r="BA133" s="472" t="str">
        <f t="shared" si="81"/>
        <v>-</v>
      </c>
      <c r="BB133" s="472" t="str">
        <f t="shared" si="82"/>
        <v>-</v>
      </c>
      <c r="BC133" s="472" t="str">
        <f t="shared" si="83"/>
        <v>-</v>
      </c>
      <c r="BD133" s="472" t="str">
        <f t="shared" si="84"/>
        <v>-</v>
      </c>
      <c r="BE133" s="472" t="str">
        <f t="shared" si="85"/>
        <v>-</v>
      </c>
      <c r="BF133" s="472" t="str">
        <f t="shared" si="86"/>
        <v>-</v>
      </c>
      <c r="BG133" s="472" t="str">
        <f t="shared" si="87"/>
        <v>-</v>
      </c>
      <c r="BH133" s="472" t="str">
        <f t="shared" si="88"/>
        <v>-</v>
      </c>
      <c r="BI133" s="221" t="str">
        <f t="shared" si="66"/>
        <v>-</v>
      </c>
      <c r="BJ133" s="730"/>
      <c r="BK133" s="692"/>
      <c r="BL133" s="429"/>
      <c r="BM133" s="429"/>
      <c r="BN133" s="214">
        <f t="shared" si="67"/>
        <v>0</v>
      </c>
      <c r="BO133" s="741"/>
      <c r="BP133" s="742"/>
      <c r="BQ133" s="446"/>
      <c r="BR133" s="446"/>
      <c r="BS133" s="228">
        <f t="shared" si="68"/>
        <v>0</v>
      </c>
      <c r="BT133" s="229" t="str">
        <f t="shared" si="69"/>
        <v>-</v>
      </c>
      <c r="BU133" s="526" t="str">
        <f t="shared" si="70"/>
        <v>-</v>
      </c>
      <c r="BV133" s="526" t="str">
        <f t="shared" si="71"/>
        <v>-</v>
      </c>
      <c r="BW133" s="526" t="str">
        <f t="shared" si="72"/>
        <v>-</v>
      </c>
      <c r="BX133" s="230" t="str">
        <f t="shared" si="73"/>
        <v>-</v>
      </c>
      <c r="BY133" s="745"/>
      <c r="BZ133" s="735"/>
      <c r="CA133" s="746"/>
      <c r="CB133" s="229" t="str">
        <f t="shared" si="74"/>
        <v>-</v>
      </c>
      <c r="CC133" s="529" t="str">
        <f t="shared" si="75"/>
        <v>-</v>
      </c>
      <c r="CD133" s="230" t="str">
        <f t="shared" si="76"/>
        <v>-</v>
      </c>
    </row>
    <row r="134" spans="1:82" ht="16.350000000000001" customHeight="1">
      <c r="A134" s="175">
        <f t="shared" ref="A134:A197" si="90">LEFT(F134,4)+1</f>
        <v>2023</v>
      </c>
      <c r="B134" s="454" t="str">
        <f t="shared" ref="B134:B197" si="91">RIGHT(F134,2)</f>
        <v>25</v>
      </c>
      <c r="C134" s="454" t="str">
        <f t="array" ref="C134">_xlfn.IFS(_xlfn.NUMBERVALUE(B134)&lt;=13,"Q1",AND(_xlfn.NUMBERVALUE(B134)&gt;13,_xlfn.NUMBERVALUE(B134)&lt;=26),"Q2", AND(_xlfn.NUMBERVALUE(B134)&gt;26,_xlfn.NUMBERVALUE(B134)&lt;=39),"Q3",_xlfn.NUMBERVALUE(B134)&gt;39,"Q4")</f>
        <v>Q2</v>
      </c>
      <c r="D134" s="448">
        <f t="shared" si="77"/>
        <v>44758</v>
      </c>
      <c r="E134" s="448">
        <f t="shared" ref="E134:E197" si="92">D134+6</f>
        <v>44764</v>
      </c>
      <c r="F134" s="97">
        <v>202225</v>
      </c>
      <c r="G134" s="103"/>
      <c r="H134" s="429"/>
      <c r="I134" s="429"/>
      <c r="J134" s="429"/>
      <c r="K134" s="429"/>
      <c r="L134" s="429"/>
      <c r="M134" s="429"/>
      <c r="N134" s="429"/>
      <c r="O134" s="429"/>
      <c r="P134" s="429"/>
      <c r="Q134" s="429"/>
      <c r="R134" s="429"/>
      <c r="S134" s="429"/>
      <c r="T134" s="429"/>
      <c r="U134" s="429"/>
      <c r="V134" s="429"/>
      <c r="W134" s="429"/>
      <c r="X134" s="429"/>
      <c r="Y134" s="449">
        <f t="shared" si="89"/>
        <v>0</v>
      </c>
      <c r="Z134" s="449">
        <f t="shared" si="78"/>
        <v>0</v>
      </c>
      <c r="AA134" s="214">
        <f>'Overall Metrics'!N135</f>
        <v>0</v>
      </c>
      <c r="AB134" s="110"/>
      <c r="AC134" s="430"/>
      <c r="AD134" s="430"/>
      <c r="AE134" s="430"/>
      <c r="AF134" s="430"/>
      <c r="AG134" s="430"/>
      <c r="AH134" s="430"/>
      <c r="AI134" s="446"/>
      <c r="AJ134" s="430"/>
      <c r="AK134" s="430"/>
      <c r="AL134" s="430"/>
      <c r="AM134" s="430"/>
      <c r="AN134" s="430"/>
      <c r="AO134" s="430"/>
      <c r="AP134" s="430"/>
      <c r="AQ134" s="430"/>
      <c r="AR134" s="219">
        <f t="shared" ref="AR134:AR197" si="93">SUM(AB134:AQ134)</f>
        <v>0</v>
      </c>
      <c r="AS134" s="220" t="str">
        <f t="shared" ref="AS134:AS197" si="94">IFERROR(AB134/G134,"-")</f>
        <v>-</v>
      </c>
      <c r="AT134" s="472" t="str">
        <f t="shared" ref="AT134:AT197" si="95">IFERROR(AC134/H134,"-")</f>
        <v>-</v>
      </c>
      <c r="AU134" s="472" t="str">
        <f t="shared" ref="AU134:AU197" si="96">IFERROR(AD134/I134,"-")</f>
        <v>-</v>
      </c>
      <c r="AV134" s="472" t="str">
        <f t="shared" ref="AV134:AV197" si="97">IFERROR(AE134/J134,"-")</f>
        <v>-</v>
      </c>
      <c r="AW134" s="472" t="str">
        <f t="shared" ref="AW134:AW197" si="98">IFERROR(AF134/K134,"-")</f>
        <v>-</v>
      </c>
      <c r="AX134" s="472" t="str">
        <f t="shared" ref="AX134:AX197" si="99">IFERROR(AG134/L134,"-")</f>
        <v>-</v>
      </c>
      <c r="AY134" s="472" t="str">
        <f t="shared" ref="AY134:AY165" si="100">IFERROR(AH134/O134,"-")</f>
        <v>-</v>
      </c>
      <c r="AZ134" s="472" t="str">
        <f t="shared" ref="AZ134:AZ165" si="101">IFERROR(AI134/P134,"-")</f>
        <v>-</v>
      </c>
      <c r="BA134" s="472" t="str">
        <f t="shared" ref="BA134:BA165" si="102">IFERROR(AJ134/Q134,"-")</f>
        <v>-</v>
      </c>
      <c r="BB134" s="472" t="str">
        <f t="shared" ref="BB134:BB165" si="103">IFERROR(AK134/R134,"-")</f>
        <v>-</v>
      </c>
      <c r="BC134" s="472" t="str">
        <f t="shared" ref="BC134:BC165" si="104">IFERROR(AL134/S134,"-")</f>
        <v>-</v>
      </c>
      <c r="BD134" s="472" t="str">
        <f t="shared" ref="BD134:BD165" si="105">IFERROR(AM134/T134,"-")</f>
        <v>-</v>
      </c>
      <c r="BE134" s="472" t="str">
        <f t="shared" ref="BE134:BE165" si="106">IFERROR(AN134/U134,"-")</f>
        <v>-</v>
      </c>
      <c r="BF134" s="472" t="str">
        <f t="shared" ref="BF134:BF165" si="107">IFERROR(AO134/V134,"-")</f>
        <v>-</v>
      </c>
      <c r="BG134" s="472" t="str">
        <f t="shared" ref="BG134:BG165" si="108">IFERROR(AP134/W134,"-")</f>
        <v>-</v>
      </c>
      <c r="BH134" s="472" t="str">
        <f t="shared" ref="BH134:BH165" si="109">IFERROR(AQ134/X134,"-")</f>
        <v>-</v>
      </c>
      <c r="BI134" s="221" t="str">
        <f t="shared" ref="BI134:BI197" si="110">IFERROR(AR134/Z134,"-")</f>
        <v>-</v>
      </c>
      <c r="BJ134" s="730"/>
      <c r="BK134" s="692"/>
      <c r="BL134" s="429"/>
      <c r="BM134" s="429"/>
      <c r="BN134" s="214">
        <f t="shared" ref="BN134:BN197" si="111">SUM(BJ134:BM134)</f>
        <v>0</v>
      </c>
      <c r="BO134" s="741"/>
      <c r="BP134" s="742"/>
      <c r="BQ134" s="446"/>
      <c r="BR134" s="446"/>
      <c r="BS134" s="228">
        <f t="shared" ref="BS134:BS197" si="112">SUM(BO134:BR134)</f>
        <v>0</v>
      </c>
      <c r="BT134" s="229" t="str">
        <f t="shared" ref="BT134:BT197" si="113">IFERROR(BO134/BJ134,"-")</f>
        <v>-</v>
      </c>
      <c r="BU134" s="526" t="str">
        <f t="shared" ref="BU134:BU197" si="114">IFERROR(BP134/BK134,"-")</f>
        <v>-</v>
      </c>
      <c r="BV134" s="526" t="str">
        <f t="shared" ref="BV134:BV197" si="115">IFERROR(BQ134/BL134,"-")</f>
        <v>-</v>
      </c>
      <c r="BW134" s="526" t="str">
        <f t="shared" ref="BW134:BW197" si="116">IFERROR(BR134/BM134,"-")</f>
        <v>-</v>
      </c>
      <c r="BX134" s="230" t="str">
        <f t="shared" ref="BX134:BX197" si="117">IFERROR(BS134/BN134,"-")</f>
        <v>-</v>
      </c>
      <c r="BY134" s="745"/>
      <c r="BZ134" s="735"/>
      <c r="CA134" s="746"/>
      <c r="CB134" s="229" t="str">
        <f t="shared" ref="CB134:CB197" si="118">IFERROR(BW134/BR134,"-")</f>
        <v>-</v>
      </c>
      <c r="CC134" s="529" t="str">
        <f t="shared" ref="CC134:CC197" si="119">IFERROR(BP134/BZ134,"-")</f>
        <v>-</v>
      </c>
      <c r="CD134" s="230" t="str">
        <f t="shared" ref="CD134:CD197" si="120">IFERROR(BY134/BT134,"-")</f>
        <v>-</v>
      </c>
    </row>
    <row r="135" spans="1:82" ht="16.350000000000001" customHeight="1">
      <c r="A135" s="175">
        <f t="shared" si="90"/>
        <v>2023</v>
      </c>
      <c r="B135" s="454" t="str">
        <f t="shared" si="91"/>
        <v>26</v>
      </c>
      <c r="C135" s="454" t="str">
        <f t="array" ref="C135">_xlfn.IFS(_xlfn.NUMBERVALUE(B135)&lt;=13,"Q1",AND(_xlfn.NUMBERVALUE(B135)&gt;13,_xlfn.NUMBERVALUE(B135)&lt;=26),"Q2", AND(_xlfn.NUMBERVALUE(B135)&gt;26,_xlfn.NUMBERVALUE(B135)&lt;=39),"Q3",_xlfn.NUMBERVALUE(B135)&gt;39,"Q4")</f>
        <v>Q2</v>
      </c>
      <c r="D135" s="448">
        <f t="shared" ref="D135:D198" si="121">E134+1</f>
        <v>44765</v>
      </c>
      <c r="E135" s="448">
        <f t="shared" si="92"/>
        <v>44771</v>
      </c>
      <c r="F135" s="97">
        <v>202226</v>
      </c>
      <c r="G135" s="103"/>
      <c r="H135" s="429"/>
      <c r="I135" s="429"/>
      <c r="J135" s="429"/>
      <c r="K135" s="429"/>
      <c r="L135" s="429"/>
      <c r="M135" s="429"/>
      <c r="N135" s="429"/>
      <c r="O135" s="429"/>
      <c r="P135" s="429"/>
      <c r="Q135" s="429"/>
      <c r="R135" s="429"/>
      <c r="S135" s="429"/>
      <c r="T135" s="429"/>
      <c r="U135" s="429"/>
      <c r="V135" s="429"/>
      <c r="W135" s="429"/>
      <c r="X135" s="429"/>
      <c r="Y135" s="449">
        <f t="shared" si="89"/>
        <v>0</v>
      </c>
      <c r="Z135" s="449">
        <f t="shared" ref="Z135:Z198" si="122">IFERROR(SUM(G135:M135,O135:X135),0)</f>
        <v>0</v>
      </c>
      <c r="AA135" s="214">
        <f>'Overall Metrics'!N136</f>
        <v>0</v>
      </c>
      <c r="AB135" s="110"/>
      <c r="AC135" s="430"/>
      <c r="AD135" s="430"/>
      <c r="AE135" s="430"/>
      <c r="AF135" s="430"/>
      <c r="AG135" s="430"/>
      <c r="AH135" s="430"/>
      <c r="AI135" s="446"/>
      <c r="AJ135" s="430"/>
      <c r="AK135" s="430"/>
      <c r="AL135" s="430"/>
      <c r="AM135" s="430"/>
      <c r="AN135" s="430"/>
      <c r="AO135" s="430"/>
      <c r="AP135" s="430"/>
      <c r="AQ135" s="430"/>
      <c r="AR135" s="219">
        <f t="shared" si="93"/>
        <v>0</v>
      </c>
      <c r="AS135" s="220" t="str">
        <f t="shared" si="94"/>
        <v>-</v>
      </c>
      <c r="AT135" s="472" t="str">
        <f t="shared" si="95"/>
        <v>-</v>
      </c>
      <c r="AU135" s="472" t="str">
        <f t="shared" si="96"/>
        <v>-</v>
      </c>
      <c r="AV135" s="472" t="str">
        <f t="shared" si="97"/>
        <v>-</v>
      </c>
      <c r="AW135" s="472" t="str">
        <f t="shared" si="98"/>
        <v>-</v>
      </c>
      <c r="AX135" s="472" t="str">
        <f t="shared" si="99"/>
        <v>-</v>
      </c>
      <c r="AY135" s="472" t="str">
        <f t="shared" si="100"/>
        <v>-</v>
      </c>
      <c r="AZ135" s="472" t="str">
        <f t="shared" si="101"/>
        <v>-</v>
      </c>
      <c r="BA135" s="472" t="str">
        <f t="shared" si="102"/>
        <v>-</v>
      </c>
      <c r="BB135" s="472" t="str">
        <f t="shared" si="103"/>
        <v>-</v>
      </c>
      <c r="BC135" s="472" t="str">
        <f t="shared" si="104"/>
        <v>-</v>
      </c>
      <c r="BD135" s="472" t="str">
        <f t="shared" si="105"/>
        <v>-</v>
      </c>
      <c r="BE135" s="472" t="str">
        <f t="shared" si="106"/>
        <v>-</v>
      </c>
      <c r="BF135" s="472" t="str">
        <f t="shared" si="107"/>
        <v>-</v>
      </c>
      <c r="BG135" s="472" t="str">
        <f t="shared" si="108"/>
        <v>-</v>
      </c>
      <c r="BH135" s="472" t="str">
        <f t="shared" si="109"/>
        <v>-</v>
      </c>
      <c r="BI135" s="221" t="str">
        <f t="shared" si="110"/>
        <v>-</v>
      </c>
      <c r="BJ135" s="730"/>
      <c r="BK135" s="692"/>
      <c r="BL135" s="429"/>
      <c r="BM135" s="429"/>
      <c r="BN135" s="214">
        <f t="shared" si="111"/>
        <v>0</v>
      </c>
      <c r="BO135" s="741"/>
      <c r="BP135" s="742"/>
      <c r="BQ135" s="446"/>
      <c r="BR135" s="446"/>
      <c r="BS135" s="228">
        <f t="shared" si="112"/>
        <v>0</v>
      </c>
      <c r="BT135" s="229" t="str">
        <f t="shared" si="113"/>
        <v>-</v>
      </c>
      <c r="BU135" s="526" t="str">
        <f t="shared" si="114"/>
        <v>-</v>
      </c>
      <c r="BV135" s="526" t="str">
        <f t="shared" si="115"/>
        <v>-</v>
      </c>
      <c r="BW135" s="526" t="str">
        <f t="shared" si="116"/>
        <v>-</v>
      </c>
      <c r="BX135" s="230" t="str">
        <f t="shared" si="117"/>
        <v>-</v>
      </c>
      <c r="BY135" s="745"/>
      <c r="BZ135" s="735"/>
      <c r="CA135" s="746"/>
      <c r="CB135" s="229" t="str">
        <f t="shared" si="118"/>
        <v>-</v>
      </c>
      <c r="CC135" s="529" t="str">
        <f t="shared" si="119"/>
        <v>-</v>
      </c>
      <c r="CD135" s="230" t="str">
        <f t="shared" si="120"/>
        <v>-</v>
      </c>
    </row>
    <row r="136" spans="1:82" ht="16.350000000000001" customHeight="1">
      <c r="A136" s="175">
        <f t="shared" si="90"/>
        <v>2023</v>
      </c>
      <c r="B136" s="454" t="str">
        <f t="shared" si="91"/>
        <v>27</v>
      </c>
      <c r="C136" s="454" t="str">
        <f t="array" ref="C136">_xlfn.IFS(_xlfn.NUMBERVALUE(B136)&lt;=13,"Q1",AND(_xlfn.NUMBERVALUE(B136)&gt;13,_xlfn.NUMBERVALUE(B136)&lt;=26),"Q2", AND(_xlfn.NUMBERVALUE(B136)&gt;26,_xlfn.NUMBERVALUE(B136)&lt;=39),"Q3",_xlfn.NUMBERVALUE(B136)&gt;39,"Q4")</f>
        <v>Q3</v>
      </c>
      <c r="D136" s="448">
        <f t="shared" si="121"/>
        <v>44772</v>
      </c>
      <c r="E136" s="448">
        <f t="shared" si="92"/>
        <v>44778</v>
      </c>
      <c r="F136" s="97">
        <v>202227</v>
      </c>
      <c r="G136" s="103"/>
      <c r="H136" s="429"/>
      <c r="I136" s="429"/>
      <c r="J136" s="429"/>
      <c r="K136" s="429"/>
      <c r="L136" s="429"/>
      <c r="M136" s="429"/>
      <c r="N136" s="429"/>
      <c r="O136" s="429"/>
      <c r="P136" s="429"/>
      <c r="Q136" s="429"/>
      <c r="R136" s="429"/>
      <c r="S136" s="429"/>
      <c r="T136" s="429"/>
      <c r="U136" s="429"/>
      <c r="V136" s="429"/>
      <c r="W136" s="429"/>
      <c r="X136" s="429"/>
      <c r="Y136" s="449">
        <f t="shared" si="89"/>
        <v>0</v>
      </c>
      <c r="Z136" s="449">
        <f t="shared" si="122"/>
        <v>0</v>
      </c>
      <c r="AA136" s="214">
        <f>'Overall Metrics'!N137</f>
        <v>0</v>
      </c>
      <c r="AB136" s="110"/>
      <c r="AC136" s="430"/>
      <c r="AD136" s="430"/>
      <c r="AE136" s="430"/>
      <c r="AF136" s="430"/>
      <c r="AG136" s="430"/>
      <c r="AH136" s="430"/>
      <c r="AI136" s="446"/>
      <c r="AJ136" s="430"/>
      <c r="AK136" s="430"/>
      <c r="AL136" s="430"/>
      <c r="AM136" s="430"/>
      <c r="AN136" s="430"/>
      <c r="AO136" s="430"/>
      <c r="AP136" s="430"/>
      <c r="AQ136" s="430"/>
      <c r="AR136" s="219">
        <f t="shared" si="93"/>
        <v>0</v>
      </c>
      <c r="AS136" s="220" t="str">
        <f t="shared" si="94"/>
        <v>-</v>
      </c>
      <c r="AT136" s="472" t="str">
        <f t="shared" si="95"/>
        <v>-</v>
      </c>
      <c r="AU136" s="472" t="str">
        <f t="shared" si="96"/>
        <v>-</v>
      </c>
      <c r="AV136" s="472" t="str">
        <f t="shared" si="97"/>
        <v>-</v>
      </c>
      <c r="AW136" s="472" t="str">
        <f t="shared" si="98"/>
        <v>-</v>
      </c>
      <c r="AX136" s="472" t="str">
        <f t="shared" si="99"/>
        <v>-</v>
      </c>
      <c r="AY136" s="472" t="str">
        <f t="shared" si="100"/>
        <v>-</v>
      </c>
      <c r="AZ136" s="472" t="str">
        <f t="shared" si="101"/>
        <v>-</v>
      </c>
      <c r="BA136" s="472" t="str">
        <f t="shared" si="102"/>
        <v>-</v>
      </c>
      <c r="BB136" s="472" t="str">
        <f t="shared" si="103"/>
        <v>-</v>
      </c>
      <c r="BC136" s="472" t="str">
        <f t="shared" si="104"/>
        <v>-</v>
      </c>
      <c r="BD136" s="472" t="str">
        <f t="shared" si="105"/>
        <v>-</v>
      </c>
      <c r="BE136" s="472" t="str">
        <f t="shared" si="106"/>
        <v>-</v>
      </c>
      <c r="BF136" s="472" t="str">
        <f t="shared" si="107"/>
        <v>-</v>
      </c>
      <c r="BG136" s="472" t="str">
        <f t="shared" si="108"/>
        <v>-</v>
      </c>
      <c r="BH136" s="472" t="str">
        <f t="shared" si="109"/>
        <v>-</v>
      </c>
      <c r="BI136" s="221" t="str">
        <f t="shared" si="110"/>
        <v>-</v>
      </c>
      <c r="BJ136" s="730"/>
      <c r="BK136" s="692"/>
      <c r="BL136" s="429"/>
      <c r="BM136" s="429"/>
      <c r="BN136" s="214">
        <f t="shared" si="111"/>
        <v>0</v>
      </c>
      <c r="BO136" s="741"/>
      <c r="BP136" s="742"/>
      <c r="BQ136" s="446"/>
      <c r="BR136" s="446"/>
      <c r="BS136" s="228">
        <f t="shared" si="112"/>
        <v>0</v>
      </c>
      <c r="BT136" s="229" t="str">
        <f t="shared" si="113"/>
        <v>-</v>
      </c>
      <c r="BU136" s="526" t="str">
        <f t="shared" si="114"/>
        <v>-</v>
      </c>
      <c r="BV136" s="526" t="str">
        <f t="shared" si="115"/>
        <v>-</v>
      </c>
      <c r="BW136" s="526" t="str">
        <f t="shared" si="116"/>
        <v>-</v>
      </c>
      <c r="BX136" s="230" t="str">
        <f t="shared" si="117"/>
        <v>-</v>
      </c>
      <c r="BY136" s="745"/>
      <c r="BZ136" s="735"/>
      <c r="CA136" s="746"/>
      <c r="CB136" s="229" t="str">
        <f t="shared" si="118"/>
        <v>-</v>
      </c>
      <c r="CC136" s="529" t="str">
        <f t="shared" si="119"/>
        <v>-</v>
      </c>
      <c r="CD136" s="230" t="str">
        <f t="shared" si="120"/>
        <v>-</v>
      </c>
    </row>
    <row r="137" spans="1:82" ht="16.350000000000001" customHeight="1">
      <c r="A137" s="175">
        <f t="shared" si="90"/>
        <v>2023</v>
      </c>
      <c r="B137" s="454" t="str">
        <f t="shared" si="91"/>
        <v>28</v>
      </c>
      <c r="C137" s="454" t="str">
        <f t="array" ref="C137">_xlfn.IFS(_xlfn.NUMBERVALUE(B137)&lt;=13,"Q1",AND(_xlfn.NUMBERVALUE(B137)&gt;13,_xlfn.NUMBERVALUE(B137)&lt;=26),"Q2", AND(_xlfn.NUMBERVALUE(B137)&gt;26,_xlfn.NUMBERVALUE(B137)&lt;=39),"Q3",_xlfn.NUMBERVALUE(B137)&gt;39,"Q4")</f>
        <v>Q3</v>
      </c>
      <c r="D137" s="448">
        <f t="shared" si="121"/>
        <v>44779</v>
      </c>
      <c r="E137" s="448">
        <f t="shared" si="92"/>
        <v>44785</v>
      </c>
      <c r="F137" s="97">
        <v>202228</v>
      </c>
      <c r="G137" s="103"/>
      <c r="H137" s="429"/>
      <c r="I137" s="429"/>
      <c r="J137" s="429"/>
      <c r="K137" s="429"/>
      <c r="L137" s="429"/>
      <c r="M137" s="429"/>
      <c r="N137" s="429"/>
      <c r="O137" s="429"/>
      <c r="P137" s="429"/>
      <c r="Q137" s="429"/>
      <c r="R137" s="429"/>
      <c r="S137" s="429"/>
      <c r="T137" s="429"/>
      <c r="U137" s="429"/>
      <c r="V137" s="429"/>
      <c r="W137" s="429"/>
      <c r="X137" s="429"/>
      <c r="Y137" s="449">
        <f t="shared" si="89"/>
        <v>0</v>
      </c>
      <c r="Z137" s="449">
        <f t="shared" si="122"/>
        <v>0</v>
      </c>
      <c r="AA137" s="214">
        <f>'Overall Metrics'!N138</f>
        <v>0</v>
      </c>
      <c r="AB137" s="110"/>
      <c r="AC137" s="430"/>
      <c r="AD137" s="430"/>
      <c r="AE137" s="430"/>
      <c r="AF137" s="430"/>
      <c r="AG137" s="430"/>
      <c r="AH137" s="430"/>
      <c r="AI137" s="446"/>
      <c r="AJ137" s="430"/>
      <c r="AK137" s="430"/>
      <c r="AL137" s="430"/>
      <c r="AM137" s="430"/>
      <c r="AN137" s="430"/>
      <c r="AO137" s="430"/>
      <c r="AP137" s="430"/>
      <c r="AQ137" s="430"/>
      <c r="AR137" s="219">
        <f t="shared" si="93"/>
        <v>0</v>
      </c>
      <c r="AS137" s="220" t="str">
        <f t="shared" si="94"/>
        <v>-</v>
      </c>
      <c r="AT137" s="472" t="str">
        <f t="shared" si="95"/>
        <v>-</v>
      </c>
      <c r="AU137" s="472" t="str">
        <f t="shared" si="96"/>
        <v>-</v>
      </c>
      <c r="AV137" s="472" t="str">
        <f t="shared" si="97"/>
        <v>-</v>
      </c>
      <c r="AW137" s="472" t="str">
        <f t="shared" si="98"/>
        <v>-</v>
      </c>
      <c r="AX137" s="472" t="str">
        <f t="shared" si="99"/>
        <v>-</v>
      </c>
      <c r="AY137" s="472" t="str">
        <f t="shared" si="100"/>
        <v>-</v>
      </c>
      <c r="AZ137" s="472" t="str">
        <f t="shared" si="101"/>
        <v>-</v>
      </c>
      <c r="BA137" s="472" t="str">
        <f t="shared" si="102"/>
        <v>-</v>
      </c>
      <c r="BB137" s="472" t="str">
        <f t="shared" si="103"/>
        <v>-</v>
      </c>
      <c r="BC137" s="472" t="str">
        <f t="shared" si="104"/>
        <v>-</v>
      </c>
      <c r="BD137" s="472" t="str">
        <f t="shared" si="105"/>
        <v>-</v>
      </c>
      <c r="BE137" s="472" t="str">
        <f t="shared" si="106"/>
        <v>-</v>
      </c>
      <c r="BF137" s="472" t="str">
        <f t="shared" si="107"/>
        <v>-</v>
      </c>
      <c r="BG137" s="472" t="str">
        <f t="shared" si="108"/>
        <v>-</v>
      </c>
      <c r="BH137" s="472" t="str">
        <f t="shared" si="109"/>
        <v>-</v>
      </c>
      <c r="BI137" s="221" t="str">
        <f t="shared" si="110"/>
        <v>-</v>
      </c>
      <c r="BJ137" s="730"/>
      <c r="BK137" s="692"/>
      <c r="BL137" s="429"/>
      <c r="BM137" s="429"/>
      <c r="BN137" s="214">
        <f t="shared" si="111"/>
        <v>0</v>
      </c>
      <c r="BO137" s="741"/>
      <c r="BP137" s="742"/>
      <c r="BQ137" s="446"/>
      <c r="BR137" s="446"/>
      <c r="BS137" s="228">
        <f t="shared" si="112"/>
        <v>0</v>
      </c>
      <c r="BT137" s="229" t="str">
        <f t="shared" si="113"/>
        <v>-</v>
      </c>
      <c r="BU137" s="526" t="str">
        <f t="shared" si="114"/>
        <v>-</v>
      </c>
      <c r="BV137" s="526" t="str">
        <f t="shared" si="115"/>
        <v>-</v>
      </c>
      <c r="BW137" s="526" t="str">
        <f t="shared" si="116"/>
        <v>-</v>
      </c>
      <c r="BX137" s="230" t="str">
        <f t="shared" si="117"/>
        <v>-</v>
      </c>
      <c r="BY137" s="745"/>
      <c r="BZ137" s="735"/>
      <c r="CA137" s="746"/>
      <c r="CB137" s="229" t="str">
        <f t="shared" si="118"/>
        <v>-</v>
      </c>
      <c r="CC137" s="529" t="str">
        <f t="shared" si="119"/>
        <v>-</v>
      </c>
      <c r="CD137" s="230" t="str">
        <f t="shared" si="120"/>
        <v>-</v>
      </c>
    </row>
    <row r="138" spans="1:82" ht="16.350000000000001" customHeight="1">
      <c r="A138" s="175">
        <f t="shared" si="90"/>
        <v>2023</v>
      </c>
      <c r="B138" s="454" t="str">
        <f t="shared" si="91"/>
        <v>29</v>
      </c>
      <c r="C138" s="454" t="str">
        <f t="array" ref="C138">_xlfn.IFS(_xlfn.NUMBERVALUE(B138)&lt;=13,"Q1",AND(_xlfn.NUMBERVALUE(B138)&gt;13,_xlfn.NUMBERVALUE(B138)&lt;=26),"Q2", AND(_xlfn.NUMBERVALUE(B138)&gt;26,_xlfn.NUMBERVALUE(B138)&lt;=39),"Q3",_xlfn.NUMBERVALUE(B138)&gt;39,"Q4")</f>
        <v>Q3</v>
      </c>
      <c r="D138" s="448">
        <f t="shared" si="121"/>
        <v>44786</v>
      </c>
      <c r="E138" s="448">
        <f t="shared" si="92"/>
        <v>44792</v>
      </c>
      <c r="F138" s="97">
        <v>202229</v>
      </c>
      <c r="G138" s="103"/>
      <c r="H138" s="429"/>
      <c r="I138" s="429"/>
      <c r="J138" s="429"/>
      <c r="K138" s="429"/>
      <c r="L138" s="429"/>
      <c r="M138" s="429"/>
      <c r="N138" s="429"/>
      <c r="O138" s="429"/>
      <c r="P138" s="429"/>
      <c r="Q138" s="429"/>
      <c r="R138" s="429"/>
      <c r="S138" s="429"/>
      <c r="T138" s="429"/>
      <c r="U138" s="429"/>
      <c r="V138" s="429"/>
      <c r="W138" s="429"/>
      <c r="X138" s="429"/>
      <c r="Y138" s="449">
        <f t="shared" si="89"/>
        <v>0</v>
      </c>
      <c r="Z138" s="449">
        <f t="shared" si="122"/>
        <v>0</v>
      </c>
      <c r="AA138" s="214">
        <f>'Overall Metrics'!N139</f>
        <v>0</v>
      </c>
      <c r="AB138" s="110"/>
      <c r="AC138" s="430"/>
      <c r="AD138" s="430"/>
      <c r="AE138" s="430"/>
      <c r="AF138" s="430"/>
      <c r="AG138" s="430"/>
      <c r="AH138" s="430"/>
      <c r="AI138" s="446"/>
      <c r="AJ138" s="430"/>
      <c r="AK138" s="430"/>
      <c r="AL138" s="430"/>
      <c r="AM138" s="430"/>
      <c r="AN138" s="430"/>
      <c r="AO138" s="430"/>
      <c r="AP138" s="430"/>
      <c r="AQ138" s="430"/>
      <c r="AR138" s="219">
        <f t="shared" si="93"/>
        <v>0</v>
      </c>
      <c r="AS138" s="220" t="str">
        <f t="shared" si="94"/>
        <v>-</v>
      </c>
      <c r="AT138" s="472" t="str">
        <f t="shared" si="95"/>
        <v>-</v>
      </c>
      <c r="AU138" s="472" t="str">
        <f t="shared" si="96"/>
        <v>-</v>
      </c>
      <c r="AV138" s="472" t="str">
        <f t="shared" si="97"/>
        <v>-</v>
      </c>
      <c r="AW138" s="472" t="str">
        <f t="shared" si="98"/>
        <v>-</v>
      </c>
      <c r="AX138" s="472" t="str">
        <f t="shared" si="99"/>
        <v>-</v>
      </c>
      <c r="AY138" s="472" t="str">
        <f t="shared" si="100"/>
        <v>-</v>
      </c>
      <c r="AZ138" s="472" t="str">
        <f t="shared" si="101"/>
        <v>-</v>
      </c>
      <c r="BA138" s="472" t="str">
        <f t="shared" si="102"/>
        <v>-</v>
      </c>
      <c r="BB138" s="472" t="str">
        <f t="shared" si="103"/>
        <v>-</v>
      </c>
      <c r="BC138" s="472" t="str">
        <f t="shared" si="104"/>
        <v>-</v>
      </c>
      <c r="BD138" s="472" t="str">
        <f t="shared" si="105"/>
        <v>-</v>
      </c>
      <c r="BE138" s="472" t="str">
        <f t="shared" si="106"/>
        <v>-</v>
      </c>
      <c r="BF138" s="472" t="str">
        <f t="shared" si="107"/>
        <v>-</v>
      </c>
      <c r="BG138" s="472" t="str">
        <f t="shared" si="108"/>
        <v>-</v>
      </c>
      <c r="BH138" s="472" t="str">
        <f t="shared" si="109"/>
        <v>-</v>
      </c>
      <c r="BI138" s="221" t="str">
        <f t="shared" si="110"/>
        <v>-</v>
      </c>
      <c r="BJ138" s="730"/>
      <c r="BK138" s="692"/>
      <c r="BL138" s="429"/>
      <c r="BM138" s="429"/>
      <c r="BN138" s="214">
        <f t="shared" si="111"/>
        <v>0</v>
      </c>
      <c r="BO138" s="741"/>
      <c r="BP138" s="742"/>
      <c r="BQ138" s="446"/>
      <c r="BR138" s="446"/>
      <c r="BS138" s="228">
        <f t="shared" si="112"/>
        <v>0</v>
      </c>
      <c r="BT138" s="229" t="str">
        <f t="shared" si="113"/>
        <v>-</v>
      </c>
      <c r="BU138" s="526" t="str">
        <f t="shared" si="114"/>
        <v>-</v>
      </c>
      <c r="BV138" s="526" t="str">
        <f t="shared" si="115"/>
        <v>-</v>
      </c>
      <c r="BW138" s="526" t="str">
        <f t="shared" si="116"/>
        <v>-</v>
      </c>
      <c r="BX138" s="230" t="str">
        <f t="shared" si="117"/>
        <v>-</v>
      </c>
      <c r="BY138" s="745"/>
      <c r="BZ138" s="735"/>
      <c r="CA138" s="746"/>
      <c r="CB138" s="229" t="str">
        <f t="shared" si="118"/>
        <v>-</v>
      </c>
      <c r="CC138" s="529" t="str">
        <f t="shared" si="119"/>
        <v>-</v>
      </c>
      <c r="CD138" s="230" t="str">
        <f t="shared" si="120"/>
        <v>-</v>
      </c>
    </row>
    <row r="139" spans="1:82" ht="16.350000000000001" customHeight="1">
      <c r="A139" s="175">
        <f t="shared" si="90"/>
        <v>2023</v>
      </c>
      <c r="B139" s="454" t="str">
        <f t="shared" si="91"/>
        <v>30</v>
      </c>
      <c r="C139" s="454" t="str">
        <f t="array" ref="C139">_xlfn.IFS(_xlfn.NUMBERVALUE(B139)&lt;=13,"Q1",AND(_xlfn.NUMBERVALUE(B139)&gt;13,_xlfn.NUMBERVALUE(B139)&lt;=26),"Q2", AND(_xlfn.NUMBERVALUE(B139)&gt;26,_xlfn.NUMBERVALUE(B139)&lt;=39),"Q3",_xlfn.NUMBERVALUE(B139)&gt;39,"Q4")</f>
        <v>Q3</v>
      </c>
      <c r="D139" s="448">
        <f t="shared" si="121"/>
        <v>44793</v>
      </c>
      <c r="E139" s="448">
        <f t="shared" si="92"/>
        <v>44799</v>
      </c>
      <c r="F139" s="97">
        <v>202230</v>
      </c>
      <c r="G139" s="103"/>
      <c r="H139" s="429"/>
      <c r="I139" s="429"/>
      <c r="J139" s="429"/>
      <c r="K139" s="429"/>
      <c r="L139" s="429"/>
      <c r="M139" s="429"/>
      <c r="N139" s="429"/>
      <c r="O139" s="429"/>
      <c r="P139" s="429"/>
      <c r="Q139" s="429"/>
      <c r="R139" s="429"/>
      <c r="S139" s="429"/>
      <c r="T139" s="429"/>
      <c r="U139" s="429"/>
      <c r="V139" s="429"/>
      <c r="W139" s="429"/>
      <c r="X139" s="429"/>
      <c r="Y139" s="449">
        <f t="shared" si="89"/>
        <v>0</v>
      </c>
      <c r="Z139" s="449">
        <f t="shared" si="122"/>
        <v>0</v>
      </c>
      <c r="AA139" s="214">
        <f>'Overall Metrics'!N140</f>
        <v>0</v>
      </c>
      <c r="AB139" s="110"/>
      <c r="AC139" s="430"/>
      <c r="AD139" s="430"/>
      <c r="AE139" s="430"/>
      <c r="AF139" s="430"/>
      <c r="AG139" s="430"/>
      <c r="AH139" s="430"/>
      <c r="AI139" s="446"/>
      <c r="AJ139" s="430"/>
      <c r="AK139" s="430"/>
      <c r="AL139" s="430"/>
      <c r="AM139" s="430"/>
      <c r="AN139" s="430"/>
      <c r="AO139" s="430"/>
      <c r="AP139" s="430"/>
      <c r="AQ139" s="430"/>
      <c r="AR139" s="219">
        <f t="shared" si="93"/>
        <v>0</v>
      </c>
      <c r="AS139" s="220" t="str">
        <f t="shared" si="94"/>
        <v>-</v>
      </c>
      <c r="AT139" s="472" t="str">
        <f t="shared" si="95"/>
        <v>-</v>
      </c>
      <c r="AU139" s="472" t="str">
        <f t="shared" si="96"/>
        <v>-</v>
      </c>
      <c r="AV139" s="472" t="str">
        <f t="shared" si="97"/>
        <v>-</v>
      </c>
      <c r="AW139" s="472" t="str">
        <f t="shared" si="98"/>
        <v>-</v>
      </c>
      <c r="AX139" s="472" t="str">
        <f t="shared" si="99"/>
        <v>-</v>
      </c>
      <c r="AY139" s="472" t="str">
        <f t="shared" si="100"/>
        <v>-</v>
      </c>
      <c r="AZ139" s="472" t="str">
        <f t="shared" si="101"/>
        <v>-</v>
      </c>
      <c r="BA139" s="472" t="str">
        <f t="shared" si="102"/>
        <v>-</v>
      </c>
      <c r="BB139" s="472" t="str">
        <f t="shared" si="103"/>
        <v>-</v>
      </c>
      <c r="BC139" s="472" t="str">
        <f t="shared" si="104"/>
        <v>-</v>
      </c>
      <c r="BD139" s="472" t="str">
        <f t="shared" si="105"/>
        <v>-</v>
      </c>
      <c r="BE139" s="472" t="str">
        <f t="shared" si="106"/>
        <v>-</v>
      </c>
      <c r="BF139" s="472" t="str">
        <f t="shared" si="107"/>
        <v>-</v>
      </c>
      <c r="BG139" s="472" t="str">
        <f t="shared" si="108"/>
        <v>-</v>
      </c>
      <c r="BH139" s="472" t="str">
        <f t="shared" si="109"/>
        <v>-</v>
      </c>
      <c r="BI139" s="221" t="str">
        <f t="shared" si="110"/>
        <v>-</v>
      </c>
      <c r="BJ139" s="730"/>
      <c r="BK139" s="692"/>
      <c r="BL139" s="429"/>
      <c r="BM139" s="429"/>
      <c r="BN139" s="214">
        <f t="shared" si="111"/>
        <v>0</v>
      </c>
      <c r="BO139" s="741"/>
      <c r="BP139" s="742"/>
      <c r="BQ139" s="446"/>
      <c r="BR139" s="446"/>
      <c r="BS139" s="228">
        <f t="shared" si="112"/>
        <v>0</v>
      </c>
      <c r="BT139" s="229" t="str">
        <f t="shared" si="113"/>
        <v>-</v>
      </c>
      <c r="BU139" s="526" t="str">
        <f t="shared" si="114"/>
        <v>-</v>
      </c>
      <c r="BV139" s="526" t="str">
        <f t="shared" si="115"/>
        <v>-</v>
      </c>
      <c r="BW139" s="526" t="str">
        <f t="shared" si="116"/>
        <v>-</v>
      </c>
      <c r="BX139" s="230" t="str">
        <f t="shared" si="117"/>
        <v>-</v>
      </c>
      <c r="BY139" s="745"/>
      <c r="BZ139" s="735"/>
      <c r="CA139" s="746"/>
      <c r="CB139" s="229" t="str">
        <f t="shared" si="118"/>
        <v>-</v>
      </c>
      <c r="CC139" s="529" t="str">
        <f t="shared" si="119"/>
        <v>-</v>
      </c>
      <c r="CD139" s="230" t="str">
        <f t="shared" si="120"/>
        <v>-</v>
      </c>
    </row>
    <row r="140" spans="1:82" ht="16.350000000000001" customHeight="1">
      <c r="A140" s="175">
        <f t="shared" si="90"/>
        <v>2023</v>
      </c>
      <c r="B140" s="454" t="str">
        <f t="shared" si="91"/>
        <v>31</v>
      </c>
      <c r="C140" s="454" t="str">
        <f t="array" ref="C140">_xlfn.IFS(_xlfn.NUMBERVALUE(B140)&lt;=13,"Q1",AND(_xlfn.NUMBERVALUE(B140)&gt;13,_xlfn.NUMBERVALUE(B140)&lt;=26),"Q2", AND(_xlfn.NUMBERVALUE(B140)&gt;26,_xlfn.NUMBERVALUE(B140)&lt;=39),"Q3",_xlfn.NUMBERVALUE(B140)&gt;39,"Q4")</f>
        <v>Q3</v>
      </c>
      <c r="D140" s="448">
        <f t="shared" si="121"/>
        <v>44800</v>
      </c>
      <c r="E140" s="448">
        <f t="shared" si="92"/>
        <v>44806</v>
      </c>
      <c r="F140" s="97">
        <v>202231</v>
      </c>
      <c r="G140" s="103"/>
      <c r="H140" s="429"/>
      <c r="I140" s="429"/>
      <c r="J140" s="429"/>
      <c r="K140" s="429"/>
      <c r="L140" s="429"/>
      <c r="M140" s="429"/>
      <c r="N140" s="429"/>
      <c r="O140" s="429"/>
      <c r="P140" s="429"/>
      <c r="Q140" s="429"/>
      <c r="R140" s="429"/>
      <c r="S140" s="429"/>
      <c r="T140" s="429"/>
      <c r="U140" s="429"/>
      <c r="V140" s="429"/>
      <c r="W140" s="429"/>
      <c r="X140" s="429"/>
      <c r="Y140" s="449">
        <f t="shared" si="89"/>
        <v>0</v>
      </c>
      <c r="Z140" s="449">
        <f t="shared" si="122"/>
        <v>0</v>
      </c>
      <c r="AA140" s="214">
        <f>'Overall Metrics'!N141</f>
        <v>0</v>
      </c>
      <c r="AB140" s="110"/>
      <c r="AC140" s="430"/>
      <c r="AD140" s="430"/>
      <c r="AE140" s="430"/>
      <c r="AF140" s="430"/>
      <c r="AG140" s="430"/>
      <c r="AH140" s="430"/>
      <c r="AI140" s="446"/>
      <c r="AJ140" s="430"/>
      <c r="AK140" s="430"/>
      <c r="AL140" s="430"/>
      <c r="AM140" s="430"/>
      <c r="AN140" s="430"/>
      <c r="AO140" s="430"/>
      <c r="AP140" s="430"/>
      <c r="AQ140" s="430"/>
      <c r="AR140" s="219">
        <f t="shared" si="93"/>
        <v>0</v>
      </c>
      <c r="AS140" s="220" t="str">
        <f t="shared" si="94"/>
        <v>-</v>
      </c>
      <c r="AT140" s="472" t="str">
        <f t="shared" si="95"/>
        <v>-</v>
      </c>
      <c r="AU140" s="472" t="str">
        <f t="shared" si="96"/>
        <v>-</v>
      </c>
      <c r="AV140" s="472" t="str">
        <f t="shared" si="97"/>
        <v>-</v>
      </c>
      <c r="AW140" s="472" t="str">
        <f t="shared" si="98"/>
        <v>-</v>
      </c>
      <c r="AX140" s="472" t="str">
        <f t="shared" si="99"/>
        <v>-</v>
      </c>
      <c r="AY140" s="472" t="str">
        <f t="shared" si="100"/>
        <v>-</v>
      </c>
      <c r="AZ140" s="472" t="str">
        <f t="shared" si="101"/>
        <v>-</v>
      </c>
      <c r="BA140" s="472" t="str">
        <f t="shared" si="102"/>
        <v>-</v>
      </c>
      <c r="BB140" s="472" t="str">
        <f t="shared" si="103"/>
        <v>-</v>
      </c>
      <c r="BC140" s="472" t="str">
        <f t="shared" si="104"/>
        <v>-</v>
      </c>
      <c r="BD140" s="472" t="str">
        <f t="shared" si="105"/>
        <v>-</v>
      </c>
      <c r="BE140" s="472" t="str">
        <f t="shared" si="106"/>
        <v>-</v>
      </c>
      <c r="BF140" s="472" t="str">
        <f t="shared" si="107"/>
        <v>-</v>
      </c>
      <c r="BG140" s="472" t="str">
        <f t="shared" si="108"/>
        <v>-</v>
      </c>
      <c r="BH140" s="472" t="str">
        <f t="shared" si="109"/>
        <v>-</v>
      </c>
      <c r="BI140" s="221" t="str">
        <f t="shared" si="110"/>
        <v>-</v>
      </c>
      <c r="BJ140" s="730"/>
      <c r="BK140" s="692"/>
      <c r="BL140" s="429"/>
      <c r="BM140" s="429"/>
      <c r="BN140" s="214">
        <f t="shared" si="111"/>
        <v>0</v>
      </c>
      <c r="BO140" s="741"/>
      <c r="BP140" s="742"/>
      <c r="BQ140" s="446"/>
      <c r="BR140" s="446"/>
      <c r="BS140" s="228">
        <f t="shared" si="112"/>
        <v>0</v>
      </c>
      <c r="BT140" s="229" t="str">
        <f t="shared" si="113"/>
        <v>-</v>
      </c>
      <c r="BU140" s="526" t="str">
        <f t="shared" si="114"/>
        <v>-</v>
      </c>
      <c r="BV140" s="526" t="str">
        <f t="shared" si="115"/>
        <v>-</v>
      </c>
      <c r="BW140" s="526" t="str">
        <f t="shared" si="116"/>
        <v>-</v>
      </c>
      <c r="BX140" s="230" t="str">
        <f t="shared" si="117"/>
        <v>-</v>
      </c>
      <c r="BY140" s="745"/>
      <c r="BZ140" s="735"/>
      <c r="CA140" s="746"/>
      <c r="CB140" s="229" t="str">
        <f t="shared" si="118"/>
        <v>-</v>
      </c>
      <c r="CC140" s="529" t="str">
        <f t="shared" si="119"/>
        <v>-</v>
      </c>
      <c r="CD140" s="230" t="str">
        <f t="shared" si="120"/>
        <v>-</v>
      </c>
    </row>
    <row r="141" spans="1:82" ht="16.350000000000001" customHeight="1">
      <c r="A141" s="175">
        <f t="shared" si="90"/>
        <v>2023</v>
      </c>
      <c r="B141" s="454" t="str">
        <f t="shared" si="91"/>
        <v>32</v>
      </c>
      <c r="C141" s="454" t="str">
        <f t="array" ref="C141">_xlfn.IFS(_xlfn.NUMBERVALUE(B141)&lt;=13,"Q1",AND(_xlfn.NUMBERVALUE(B141)&gt;13,_xlfn.NUMBERVALUE(B141)&lt;=26),"Q2", AND(_xlfn.NUMBERVALUE(B141)&gt;26,_xlfn.NUMBERVALUE(B141)&lt;=39),"Q3",_xlfn.NUMBERVALUE(B141)&gt;39,"Q4")</f>
        <v>Q3</v>
      </c>
      <c r="D141" s="448">
        <f t="shared" si="121"/>
        <v>44807</v>
      </c>
      <c r="E141" s="448">
        <f t="shared" si="92"/>
        <v>44813</v>
      </c>
      <c r="F141" s="97">
        <v>202232</v>
      </c>
      <c r="G141" s="103"/>
      <c r="H141" s="429"/>
      <c r="I141" s="429"/>
      <c r="J141" s="429"/>
      <c r="K141" s="429"/>
      <c r="L141" s="429"/>
      <c r="M141" s="429"/>
      <c r="N141" s="429"/>
      <c r="O141" s="429"/>
      <c r="P141" s="429"/>
      <c r="Q141" s="429"/>
      <c r="R141" s="429"/>
      <c r="S141" s="429"/>
      <c r="T141" s="429"/>
      <c r="U141" s="429"/>
      <c r="V141" s="429"/>
      <c r="W141" s="429"/>
      <c r="X141" s="429"/>
      <c r="Y141" s="449">
        <f t="shared" si="89"/>
        <v>0</v>
      </c>
      <c r="Z141" s="449">
        <f t="shared" si="122"/>
        <v>0</v>
      </c>
      <c r="AA141" s="214">
        <f>'Overall Metrics'!N142</f>
        <v>0</v>
      </c>
      <c r="AB141" s="110"/>
      <c r="AC141" s="430"/>
      <c r="AD141" s="430"/>
      <c r="AE141" s="430"/>
      <c r="AF141" s="430"/>
      <c r="AG141" s="430"/>
      <c r="AH141" s="430"/>
      <c r="AI141" s="446"/>
      <c r="AJ141" s="430"/>
      <c r="AK141" s="430"/>
      <c r="AL141" s="430"/>
      <c r="AM141" s="430"/>
      <c r="AN141" s="430"/>
      <c r="AO141" s="430"/>
      <c r="AP141" s="430"/>
      <c r="AQ141" s="430"/>
      <c r="AR141" s="219">
        <f t="shared" si="93"/>
        <v>0</v>
      </c>
      <c r="AS141" s="220" t="str">
        <f t="shared" si="94"/>
        <v>-</v>
      </c>
      <c r="AT141" s="472" t="str">
        <f t="shared" si="95"/>
        <v>-</v>
      </c>
      <c r="AU141" s="472" t="str">
        <f t="shared" si="96"/>
        <v>-</v>
      </c>
      <c r="AV141" s="472" t="str">
        <f t="shared" si="97"/>
        <v>-</v>
      </c>
      <c r="AW141" s="472" t="str">
        <f t="shared" si="98"/>
        <v>-</v>
      </c>
      <c r="AX141" s="472" t="str">
        <f t="shared" si="99"/>
        <v>-</v>
      </c>
      <c r="AY141" s="472" t="str">
        <f t="shared" si="100"/>
        <v>-</v>
      </c>
      <c r="AZ141" s="472" t="str">
        <f t="shared" si="101"/>
        <v>-</v>
      </c>
      <c r="BA141" s="472" t="str">
        <f t="shared" si="102"/>
        <v>-</v>
      </c>
      <c r="BB141" s="472" t="str">
        <f t="shared" si="103"/>
        <v>-</v>
      </c>
      <c r="BC141" s="472" t="str">
        <f t="shared" si="104"/>
        <v>-</v>
      </c>
      <c r="BD141" s="472" t="str">
        <f t="shared" si="105"/>
        <v>-</v>
      </c>
      <c r="BE141" s="472" t="str">
        <f t="shared" si="106"/>
        <v>-</v>
      </c>
      <c r="BF141" s="472" t="str">
        <f t="shared" si="107"/>
        <v>-</v>
      </c>
      <c r="BG141" s="472" t="str">
        <f t="shared" si="108"/>
        <v>-</v>
      </c>
      <c r="BH141" s="472" t="str">
        <f t="shared" si="109"/>
        <v>-</v>
      </c>
      <c r="BI141" s="221" t="str">
        <f t="shared" si="110"/>
        <v>-</v>
      </c>
      <c r="BJ141" s="730"/>
      <c r="BK141" s="692"/>
      <c r="BL141" s="429"/>
      <c r="BM141" s="429"/>
      <c r="BN141" s="214">
        <f t="shared" si="111"/>
        <v>0</v>
      </c>
      <c r="BO141" s="741"/>
      <c r="BP141" s="742"/>
      <c r="BQ141" s="446"/>
      <c r="BR141" s="446"/>
      <c r="BS141" s="228">
        <f t="shared" si="112"/>
        <v>0</v>
      </c>
      <c r="BT141" s="229" t="str">
        <f t="shared" si="113"/>
        <v>-</v>
      </c>
      <c r="BU141" s="526" t="str">
        <f t="shared" si="114"/>
        <v>-</v>
      </c>
      <c r="BV141" s="526" t="str">
        <f t="shared" si="115"/>
        <v>-</v>
      </c>
      <c r="BW141" s="526" t="str">
        <f t="shared" si="116"/>
        <v>-</v>
      </c>
      <c r="BX141" s="230" t="str">
        <f t="shared" si="117"/>
        <v>-</v>
      </c>
      <c r="BY141" s="745"/>
      <c r="BZ141" s="735"/>
      <c r="CA141" s="746"/>
      <c r="CB141" s="229" t="str">
        <f t="shared" si="118"/>
        <v>-</v>
      </c>
      <c r="CC141" s="529" t="str">
        <f t="shared" si="119"/>
        <v>-</v>
      </c>
      <c r="CD141" s="230" t="str">
        <f t="shared" si="120"/>
        <v>-</v>
      </c>
    </row>
    <row r="142" spans="1:82" ht="16.350000000000001" customHeight="1">
      <c r="A142" s="175">
        <f t="shared" si="90"/>
        <v>2023</v>
      </c>
      <c r="B142" s="454" t="str">
        <f t="shared" si="91"/>
        <v>33</v>
      </c>
      <c r="C142" s="454" t="str">
        <f t="array" ref="C142">_xlfn.IFS(_xlfn.NUMBERVALUE(B142)&lt;=13,"Q1",AND(_xlfn.NUMBERVALUE(B142)&gt;13,_xlfn.NUMBERVALUE(B142)&lt;=26),"Q2", AND(_xlfn.NUMBERVALUE(B142)&gt;26,_xlfn.NUMBERVALUE(B142)&lt;=39),"Q3",_xlfn.NUMBERVALUE(B142)&gt;39,"Q4")</f>
        <v>Q3</v>
      </c>
      <c r="D142" s="448">
        <f t="shared" si="121"/>
        <v>44814</v>
      </c>
      <c r="E142" s="448">
        <f t="shared" si="92"/>
        <v>44820</v>
      </c>
      <c r="F142" s="97">
        <v>202233</v>
      </c>
      <c r="G142" s="103"/>
      <c r="H142" s="429"/>
      <c r="I142" s="429"/>
      <c r="J142" s="429"/>
      <c r="K142" s="429"/>
      <c r="L142" s="429"/>
      <c r="M142" s="429"/>
      <c r="N142" s="429"/>
      <c r="O142" s="429"/>
      <c r="P142" s="429"/>
      <c r="Q142" s="429"/>
      <c r="R142" s="429"/>
      <c r="S142" s="429"/>
      <c r="T142" s="429"/>
      <c r="U142" s="429"/>
      <c r="V142" s="429"/>
      <c r="W142" s="429"/>
      <c r="X142" s="429"/>
      <c r="Y142" s="449">
        <f t="shared" si="89"/>
        <v>0</v>
      </c>
      <c r="Z142" s="449">
        <f t="shared" si="122"/>
        <v>0</v>
      </c>
      <c r="AA142" s="214">
        <f>'Overall Metrics'!N143</f>
        <v>0</v>
      </c>
      <c r="AB142" s="110"/>
      <c r="AC142" s="430"/>
      <c r="AD142" s="430"/>
      <c r="AE142" s="430"/>
      <c r="AF142" s="430"/>
      <c r="AG142" s="430"/>
      <c r="AH142" s="430"/>
      <c r="AI142" s="446"/>
      <c r="AJ142" s="430"/>
      <c r="AK142" s="430"/>
      <c r="AL142" s="430"/>
      <c r="AM142" s="430"/>
      <c r="AN142" s="430"/>
      <c r="AO142" s="430"/>
      <c r="AP142" s="430"/>
      <c r="AQ142" s="430"/>
      <c r="AR142" s="219">
        <f t="shared" si="93"/>
        <v>0</v>
      </c>
      <c r="AS142" s="220" t="str">
        <f t="shared" si="94"/>
        <v>-</v>
      </c>
      <c r="AT142" s="472" t="str">
        <f t="shared" si="95"/>
        <v>-</v>
      </c>
      <c r="AU142" s="472" t="str">
        <f t="shared" si="96"/>
        <v>-</v>
      </c>
      <c r="AV142" s="472" t="str">
        <f t="shared" si="97"/>
        <v>-</v>
      </c>
      <c r="AW142" s="472" t="str">
        <f t="shared" si="98"/>
        <v>-</v>
      </c>
      <c r="AX142" s="472" t="str">
        <f t="shared" si="99"/>
        <v>-</v>
      </c>
      <c r="AY142" s="472" t="str">
        <f t="shared" si="100"/>
        <v>-</v>
      </c>
      <c r="AZ142" s="472" t="str">
        <f t="shared" si="101"/>
        <v>-</v>
      </c>
      <c r="BA142" s="472" t="str">
        <f t="shared" si="102"/>
        <v>-</v>
      </c>
      <c r="BB142" s="472" t="str">
        <f t="shared" si="103"/>
        <v>-</v>
      </c>
      <c r="BC142" s="472" t="str">
        <f t="shared" si="104"/>
        <v>-</v>
      </c>
      <c r="BD142" s="472" t="str">
        <f t="shared" si="105"/>
        <v>-</v>
      </c>
      <c r="BE142" s="472" t="str">
        <f t="shared" si="106"/>
        <v>-</v>
      </c>
      <c r="BF142" s="472" t="str">
        <f t="shared" si="107"/>
        <v>-</v>
      </c>
      <c r="BG142" s="472" t="str">
        <f t="shared" si="108"/>
        <v>-</v>
      </c>
      <c r="BH142" s="472" t="str">
        <f t="shared" si="109"/>
        <v>-</v>
      </c>
      <c r="BI142" s="221" t="str">
        <f t="shared" si="110"/>
        <v>-</v>
      </c>
      <c r="BJ142" s="730"/>
      <c r="BK142" s="692"/>
      <c r="BL142" s="429"/>
      <c r="BM142" s="429"/>
      <c r="BN142" s="214">
        <f t="shared" si="111"/>
        <v>0</v>
      </c>
      <c r="BO142" s="741"/>
      <c r="BP142" s="742"/>
      <c r="BQ142" s="446"/>
      <c r="BR142" s="446"/>
      <c r="BS142" s="228">
        <f t="shared" si="112"/>
        <v>0</v>
      </c>
      <c r="BT142" s="229" t="str">
        <f t="shared" si="113"/>
        <v>-</v>
      </c>
      <c r="BU142" s="526" t="str">
        <f t="shared" si="114"/>
        <v>-</v>
      </c>
      <c r="BV142" s="526" t="str">
        <f t="shared" si="115"/>
        <v>-</v>
      </c>
      <c r="BW142" s="526" t="str">
        <f t="shared" si="116"/>
        <v>-</v>
      </c>
      <c r="BX142" s="230" t="str">
        <f t="shared" si="117"/>
        <v>-</v>
      </c>
      <c r="BY142" s="745"/>
      <c r="BZ142" s="735"/>
      <c r="CA142" s="746"/>
      <c r="CB142" s="229" t="str">
        <f t="shared" si="118"/>
        <v>-</v>
      </c>
      <c r="CC142" s="529" t="str">
        <f t="shared" si="119"/>
        <v>-</v>
      </c>
      <c r="CD142" s="230" t="str">
        <f t="shared" si="120"/>
        <v>-</v>
      </c>
    </row>
    <row r="143" spans="1:82" ht="16.350000000000001" customHeight="1">
      <c r="A143" s="175">
        <f t="shared" si="90"/>
        <v>2023</v>
      </c>
      <c r="B143" s="454" t="str">
        <f t="shared" si="91"/>
        <v>34</v>
      </c>
      <c r="C143" s="454" t="str">
        <f t="array" ref="C143">_xlfn.IFS(_xlfn.NUMBERVALUE(B143)&lt;=13,"Q1",AND(_xlfn.NUMBERVALUE(B143)&gt;13,_xlfn.NUMBERVALUE(B143)&lt;=26),"Q2", AND(_xlfn.NUMBERVALUE(B143)&gt;26,_xlfn.NUMBERVALUE(B143)&lt;=39),"Q3",_xlfn.NUMBERVALUE(B143)&gt;39,"Q4")</f>
        <v>Q3</v>
      </c>
      <c r="D143" s="448">
        <f t="shared" si="121"/>
        <v>44821</v>
      </c>
      <c r="E143" s="448">
        <f t="shared" si="92"/>
        <v>44827</v>
      </c>
      <c r="F143" s="97">
        <v>202234</v>
      </c>
      <c r="G143" s="103"/>
      <c r="H143" s="429"/>
      <c r="I143" s="429"/>
      <c r="J143" s="429"/>
      <c r="K143" s="429"/>
      <c r="L143" s="429"/>
      <c r="M143" s="429"/>
      <c r="N143" s="429"/>
      <c r="O143" s="429"/>
      <c r="P143" s="429"/>
      <c r="Q143" s="429"/>
      <c r="R143" s="429"/>
      <c r="S143" s="429"/>
      <c r="T143" s="429"/>
      <c r="U143" s="429"/>
      <c r="V143" s="429"/>
      <c r="W143" s="429"/>
      <c r="X143" s="429"/>
      <c r="Y143" s="449">
        <f t="shared" si="89"/>
        <v>0</v>
      </c>
      <c r="Z143" s="449">
        <f t="shared" si="122"/>
        <v>0</v>
      </c>
      <c r="AA143" s="214">
        <f>'Overall Metrics'!N144</f>
        <v>0</v>
      </c>
      <c r="AB143" s="110"/>
      <c r="AC143" s="430"/>
      <c r="AD143" s="430"/>
      <c r="AE143" s="430"/>
      <c r="AF143" s="430"/>
      <c r="AG143" s="430"/>
      <c r="AH143" s="430"/>
      <c r="AI143" s="430"/>
      <c r="AJ143" s="430"/>
      <c r="AK143" s="430"/>
      <c r="AL143" s="430"/>
      <c r="AM143" s="430"/>
      <c r="AN143" s="430"/>
      <c r="AO143" s="430"/>
      <c r="AP143" s="430"/>
      <c r="AQ143" s="430"/>
      <c r="AR143" s="219">
        <f t="shared" si="93"/>
        <v>0</v>
      </c>
      <c r="AS143" s="220" t="str">
        <f t="shared" si="94"/>
        <v>-</v>
      </c>
      <c r="AT143" s="472" t="str">
        <f t="shared" si="95"/>
        <v>-</v>
      </c>
      <c r="AU143" s="472" t="str">
        <f t="shared" si="96"/>
        <v>-</v>
      </c>
      <c r="AV143" s="472" t="str">
        <f t="shared" si="97"/>
        <v>-</v>
      </c>
      <c r="AW143" s="472" t="str">
        <f t="shared" si="98"/>
        <v>-</v>
      </c>
      <c r="AX143" s="472" t="str">
        <f t="shared" si="99"/>
        <v>-</v>
      </c>
      <c r="AY143" s="472" t="str">
        <f t="shared" si="100"/>
        <v>-</v>
      </c>
      <c r="AZ143" s="472" t="str">
        <f t="shared" si="101"/>
        <v>-</v>
      </c>
      <c r="BA143" s="472" t="str">
        <f t="shared" si="102"/>
        <v>-</v>
      </c>
      <c r="BB143" s="472" t="str">
        <f t="shared" si="103"/>
        <v>-</v>
      </c>
      <c r="BC143" s="472" t="str">
        <f t="shared" si="104"/>
        <v>-</v>
      </c>
      <c r="BD143" s="472" t="str">
        <f t="shared" si="105"/>
        <v>-</v>
      </c>
      <c r="BE143" s="472" t="str">
        <f t="shared" si="106"/>
        <v>-</v>
      </c>
      <c r="BF143" s="472" t="str">
        <f t="shared" si="107"/>
        <v>-</v>
      </c>
      <c r="BG143" s="472" t="str">
        <f t="shared" si="108"/>
        <v>-</v>
      </c>
      <c r="BH143" s="472" t="str">
        <f t="shared" si="109"/>
        <v>-</v>
      </c>
      <c r="BI143" s="221" t="str">
        <f t="shared" si="110"/>
        <v>-</v>
      </c>
      <c r="BJ143" s="730"/>
      <c r="BK143" s="692"/>
      <c r="BL143" s="429"/>
      <c r="BM143" s="429"/>
      <c r="BN143" s="214">
        <f t="shared" si="111"/>
        <v>0</v>
      </c>
      <c r="BO143" s="741"/>
      <c r="BP143" s="742"/>
      <c r="BQ143" s="446"/>
      <c r="BR143" s="446"/>
      <c r="BS143" s="228">
        <f t="shared" si="112"/>
        <v>0</v>
      </c>
      <c r="BT143" s="229" t="str">
        <f t="shared" si="113"/>
        <v>-</v>
      </c>
      <c r="BU143" s="526" t="str">
        <f t="shared" si="114"/>
        <v>-</v>
      </c>
      <c r="BV143" s="526" t="str">
        <f t="shared" si="115"/>
        <v>-</v>
      </c>
      <c r="BW143" s="526" t="str">
        <f t="shared" si="116"/>
        <v>-</v>
      </c>
      <c r="BX143" s="230" t="str">
        <f t="shared" si="117"/>
        <v>-</v>
      </c>
      <c r="BY143" s="745"/>
      <c r="BZ143" s="735"/>
      <c r="CA143" s="746"/>
      <c r="CB143" s="229" t="str">
        <f t="shared" si="118"/>
        <v>-</v>
      </c>
      <c r="CC143" s="529" t="str">
        <f t="shared" si="119"/>
        <v>-</v>
      </c>
      <c r="CD143" s="230" t="str">
        <f t="shared" si="120"/>
        <v>-</v>
      </c>
    </row>
    <row r="144" spans="1:82" ht="16.350000000000001" customHeight="1">
      <c r="A144" s="175">
        <f t="shared" si="90"/>
        <v>2023</v>
      </c>
      <c r="B144" s="454" t="str">
        <f t="shared" si="91"/>
        <v>35</v>
      </c>
      <c r="C144" s="454" t="str">
        <f t="array" ref="C144">_xlfn.IFS(_xlfn.NUMBERVALUE(B144)&lt;=13,"Q1",AND(_xlfn.NUMBERVALUE(B144)&gt;13,_xlfn.NUMBERVALUE(B144)&lt;=26),"Q2", AND(_xlfn.NUMBERVALUE(B144)&gt;26,_xlfn.NUMBERVALUE(B144)&lt;=39),"Q3",_xlfn.NUMBERVALUE(B144)&gt;39,"Q4")</f>
        <v>Q3</v>
      </c>
      <c r="D144" s="448">
        <f t="shared" si="121"/>
        <v>44828</v>
      </c>
      <c r="E144" s="448">
        <f t="shared" si="92"/>
        <v>44834</v>
      </c>
      <c r="F144" s="97">
        <v>202235</v>
      </c>
      <c r="G144" s="103"/>
      <c r="H144" s="429"/>
      <c r="I144" s="429"/>
      <c r="J144" s="429"/>
      <c r="K144" s="429"/>
      <c r="L144" s="429"/>
      <c r="M144" s="429"/>
      <c r="N144" s="429"/>
      <c r="O144" s="429"/>
      <c r="P144" s="429"/>
      <c r="Q144" s="429"/>
      <c r="R144" s="429"/>
      <c r="S144" s="429"/>
      <c r="T144" s="429"/>
      <c r="U144" s="429"/>
      <c r="V144" s="429"/>
      <c r="W144" s="429"/>
      <c r="X144" s="429"/>
      <c r="Y144" s="449">
        <f t="shared" si="89"/>
        <v>0</v>
      </c>
      <c r="Z144" s="449">
        <f t="shared" si="122"/>
        <v>0</v>
      </c>
      <c r="AA144" s="214">
        <f>'Overall Metrics'!N145</f>
        <v>0</v>
      </c>
      <c r="AB144" s="110"/>
      <c r="AC144" s="430"/>
      <c r="AD144" s="430"/>
      <c r="AE144" s="430"/>
      <c r="AF144" s="430"/>
      <c r="AG144" s="430"/>
      <c r="AH144" s="430"/>
      <c r="AI144" s="430"/>
      <c r="AJ144" s="430"/>
      <c r="AK144" s="430"/>
      <c r="AL144" s="430"/>
      <c r="AM144" s="430"/>
      <c r="AN144" s="430"/>
      <c r="AO144" s="430"/>
      <c r="AP144" s="430"/>
      <c r="AQ144" s="430"/>
      <c r="AR144" s="219">
        <f t="shared" si="93"/>
        <v>0</v>
      </c>
      <c r="AS144" s="220" t="str">
        <f t="shared" si="94"/>
        <v>-</v>
      </c>
      <c r="AT144" s="472" t="str">
        <f t="shared" si="95"/>
        <v>-</v>
      </c>
      <c r="AU144" s="472" t="str">
        <f t="shared" si="96"/>
        <v>-</v>
      </c>
      <c r="AV144" s="472" t="str">
        <f t="shared" si="97"/>
        <v>-</v>
      </c>
      <c r="AW144" s="472" t="str">
        <f t="shared" si="98"/>
        <v>-</v>
      </c>
      <c r="AX144" s="472" t="str">
        <f t="shared" si="99"/>
        <v>-</v>
      </c>
      <c r="AY144" s="472" t="str">
        <f t="shared" si="100"/>
        <v>-</v>
      </c>
      <c r="AZ144" s="472" t="str">
        <f t="shared" si="101"/>
        <v>-</v>
      </c>
      <c r="BA144" s="472" t="str">
        <f t="shared" si="102"/>
        <v>-</v>
      </c>
      <c r="BB144" s="472" t="str">
        <f t="shared" si="103"/>
        <v>-</v>
      </c>
      <c r="BC144" s="472" t="str">
        <f t="shared" si="104"/>
        <v>-</v>
      </c>
      <c r="BD144" s="472" t="str">
        <f t="shared" si="105"/>
        <v>-</v>
      </c>
      <c r="BE144" s="472" t="str">
        <f t="shared" si="106"/>
        <v>-</v>
      </c>
      <c r="BF144" s="472" t="str">
        <f t="shared" si="107"/>
        <v>-</v>
      </c>
      <c r="BG144" s="472" t="str">
        <f t="shared" si="108"/>
        <v>-</v>
      </c>
      <c r="BH144" s="472" t="str">
        <f t="shared" si="109"/>
        <v>-</v>
      </c>
      <c r="BI144" s="221" t="str">
        <f t="shared" si="110"/>
        <v>-</v>
      </c>
      <c r="BJ144" s="730"/>
      <c r="BK144" s="692"/>
      <c r="BL144" s="429"/>
      <c r="BM144" s="429"/>
      <c r="BN144" s="214">
        <f t="shared" si="111"/>
        <v>0</v>
      </c>
      <c r="BO144" s="741"/>
      <c r="BP144" s="742"/>
      <c r="BQ144" s="446"/>
      <c r="BR144" s="446"/>
      <c r="BS144" s="228">
        <f t="shared" si="112"/>
        <v>0</v>
      </c>
      <c r="BT144" s="229" t="str">
        <f t="shared" si="113"/>
        <v>-</v>
      </c>
      <c r="BU144" s="526" t="str">
        <f t="shared" si="114"/>
        <v>-</v>
      </c>
      <c r="BV144" s="526" t="str">
        <f t="shared" si="115"/>
        <v>-</v>
      </c>
      <c r="BW144" s="526" t="str">
        <f t="shared" si="116"/>
        <v>-</v>
      </c>
      <c r="BX144" s="230" t="str">
        <f t="shared" si="117"/>
        <v>-</v>
      </c>
      <c r="BY144" s="745"/>
      <c r="BZ144" s="735"/>
      <c r="CA144" s="746"/>
      <c r="CB144" s="229" t="str">
        <f t="shared" si="118"/>
        <v>-</v>
      </c>
      <c r="CC144" s="529" t="str">
        <f t="shared" si="119"/>
        <v>-</v>
      </c>
      <c r="CD144" s="230" t="str">
        <f t="shared" si="120"/>
        <v>-</v>
      </c>
    </row>
    <row r="145" spans="1:82" ht="16.350000000000001" customHeight="1">
      <c r="A145" s="175">
        <f t="shared" si="90"/>
        <v>2023</v>
      </c>
      <c r="B145" s="454" t="str">
        <f t="shared" si="91"/>
        <v>36</v>
      </c>
      <c r="C145" s="454" t="str">
        <f t="array" ref="C145">_xlfn.IFS(_xlfn.NUMBERVALUE(B145)&lt;=13,"Q1",AND(_xlfn.NUMBERVALUE(B145)&gt;13,_xlfn.NUMBERVALUE(B145)&lt;=26),"Q2", AND(_xlfn.NUMBERVALUE(B145)&gt;26,_xlfn.NUMBERVALUE(B145)&lt;=39),"Q3",_xlfn.NUMBERVALUE(B145)&gt;39,"Q4")</f>
        <v>Q3</v>
      </c>
      <c r="D145" s="448">
        <f t="shared" si="121"/>
        <v>44835</v>
      </c>
      <c r="E145" s="448">
        <f t="shared" si="92"/>
        <v>44841</v>
      </c>
      <c r="F145" s="97">
        <v>202236</v>
      </c>
      <c r="G145" s="103"/>
      <c r="H145" s="429"/>
      <c r="I145" s="429"/>
      <c r="J145" s="429"/>
      <c r="K145" s="429"/>
      <c r="L145" s="429"/>
      <c r="M145" s="429"/>
      <c r="N145" s="429"/>
      <c r="O145" s="429"/>
      <c r="P145" s="429"/>
      <c r="Q145" s="429"/>
      <c r="R145" s="429"/>
      <c r="S145" s="429"/>
      <c r="T145" s="429"/>
      <c r="U145" s="429"/>
      <c r="V145" s="429"/>
      <c r="W145" s="429"/>
      <c r="X145" s="429"/>
      <c r="Y145" s="449">
        <f t="shared" si="89"/>
        <v>0</v>
      </c>
      <c r="Z145" s="449">
        <f t="shared" si="122"/>
        <v>0</v>
      </c>
      <c r="AA145" s="214">
        <f>'Overall Metrics'!N146</f>
        <v>0</v>
      </c>
      <c r="AB145" s="110"/>
      <c r="AC145" s="430"/>
      <c r="AD145" s="430"/>
      <c r="AE145" s="430"/>
      <c r="AF145" s="430"/>
      <c r="AG145" s="430"/>
      <c r="AH145" s="430"/>
      <c r="AI145" s="430"/>
      <c r="AJ145" s="430"/>
      <c r="AK145" s="430"/>
      <c r="AL145" s="430"/>
      <c r="AM145" s="430"/>
      <c r="AN145" s="430"/>
      <c r="AO145" s="430"/>
      <c r="AP145" s="430"/>
      <c r="AQ145" s="430"/>
      <c r="AR145" s="219">
        <f t="shared" si="93"/>
        <v>0</v>
      </c>
      <c r="AS145" s="220" t="str">
        <f t="shared" si="94"/>
        <v>-</v>
      </c>
      <c r="AT145" s="472" t="str">
        <f t="shared" si="95"/>
        <v>-</v>
      </c>
      <c r="AU145" s="472" t="str">
        <f t="shared" si="96"/>
        <v>-</v>
      </c>
      <c r="AV145" s="472" t="str">
        <f t="shared" si="97"/>
        <v>-</v>
      </c>
      <c r="AW145" s="472" t="str">
        <f t="shared" si="98"/>
        <v>-</v>
      </c>
      <c r="AX145" s="472" t="str">
        <f t="shared" si="99"/>
        <v>-</v>
      </c>
      <c r="AY145" s="472" t="str">
        <f t="shared" si="100"/>
        <v>-</v>
      </c>
      <c r="AZ145" s="472" t="str">
        <f t="shared" si="101"/>
        <v>-</v>
      </c>
      <c r="BA145" s="472" t="str">
        <f t="shared" si="102"/>
        <v>-</v>
      </c>
      <c r="BB145" s="472" t="str">
        <f t="shared" si="103"/>
        <v>-</v>
      </c>
      <c r="BC145" s="472" t="str">
        <f t="shared" si="104"/>
        <v>-</v>
      </c>
      <c r="BD145" s="472" t="str">
        <f t="shared" si="105"/>
        <v>-</v>
      </c>
      <c r="BE145" s="472" t="str">
        <f t="shared" si="106"/>
        <v>-</v>
      </c>
      <c r="BF145" s="472" t="str">
        <f t="shared" si="107"/>
        <v>-</v>
      </c>
      <c r="BG145" s="472" t="str">
        <f t="shared" si="108"/>
        <v>-</v>
      </c>
      <c r="BH145" s="472" t="str">
        <f t="shared" si="109"/>
        <v>-</v>
      </c>
      <c r="BI145" s="221" t="str">
        <f t="shared" si="110"/>
        <v>-</v>
      </c>
      <c r="BJ145" s="730"/>
      <c r="BK145" s="692"/>
      <c r="BL145" s="429"/>
      <c r="BM145" s="429"/>
      <c r="BN145" s="214">
        <f t="shared" si="111"/>
        <v>0</v>
      </c>
      <c r="BO145" s="741"/>
      <c r="BP145" s="742"/>
      <c r="BQ145" s="446"/>
      <c r="BR145" s="446"/>
      <c r="BS145" s="228">
        <f t="shared" si="112"/>
        <v>0</v>
      </c>
      <c r="BT145" s="229" t="str">
        <f t="shared" si="113"/>
        <v>-</v>
      </c>
      <c r="BU145" s="526" t="str">
        <f t="shared" si="114"/>
        <v>-</v>
      </c>
      <c r="BV145" s="526" t="str">
        <f t="shared" si="115"/>
        <v>-</v>
      </c>
      <c r="BW145" s="526" t="str">
        <f t="shared" si="116"/>
        <v>-</v>
      </c>
      <c r="BX145" s="230" t="str">
        <f t="shared" si="117"/>
        <v>-</v>
      </c>
      <c r="BY145" s="745"/>
      <c r="BZ145" s="735"/>
      <c r="CA145" s="746"/>
      <c r="CB145" s="229" t="str">
        <f t="shared" si="118"/>
        <v>-</v>
      </c>
      <c r="CC145" s="529" t="str">
        <f t="shared" si="119"/>
        <v>-</v>
      </c>
      <c r="CD145" s="230" t="str">
        <f t="shared" si="120"/>
        <v>-</v>
      </c>
    </row>
    <row r="146" spans="1:82" ht="16.350000000000001" customHeight="1">
      <c r="A146" s="175">
        <f t="shared" si="90"/>
        <v>2023</v>
      </c>
      <c r="B146" s="454" t="str">
        <f t="shared" si="91"/>
        <v>37</v>
      </c>
      <c r="C146" s="454" t="str">
        <f t="array" ref="C146">_xlfn.IFS(_xlfn.NUMBERVALUE(B146)&lt;=13,"Q1",AND(_xlfn.NUMBERVALUE(B146)&gt;13,_xlfn.NUMBERVALUE(B146)&lt;=26),"Q2", AND(_xlfn.NUMBERVALUE(B146)&gt;26,_xlfn.NUMBERVALUE(B146)&lt;=39),"Q3",_xlfn.NUMBERVALUE(B146)&gt;39,"Q4")</f>
        <v>Q3</v>
      </c>
      <c r="D146" s="448">
        <f t="shared" si="121"/>
        <v>44842</v>
      </c>
      <c r="E146" s="448">
        <f t="shared" si="92"/>
        <v>44848</v>
      </c>
      <c r="F146" s="97">
        <v>202237</v>
      </c>
      <c r="G146" s="103"/>
      <c r="H146" s="429"/>
      <c r="I146" s="429"/>
      <c r="J146" s="429"/>
      <c r="K146" s="429"/>
      <c r="L146" s="429"/>
      <c r="M146" s="429"/>
      <c r="N146" s="429"/>
      <c r="O146" s="429"/>
      <c r="P146" s="429"/>
      <c r="Q146" s="429"/>
      <c r="R146" s="429"/>
      <c r="S146" s="429"/>
      <c r="T146" s="429"/>
      <c r="U146" s="429"/>
      <c r="V146" s="429"/>
      <c r="W146" s="429"/>
      <c r="X146" s="429"/>
      <c r="Y146" s="449">
        <f t="shared" si="89"/>
        <v>0</v>
      </c>
      <c r="Z146" s="449">
        <f t="shared" si="122"/>
        <v>0</v>
      </c>
      <c r="AA146" s="214">
        <f>'Overall Metrics'!N147</f>
        <v>0</v>
      </c>
      <c r="AB146" s="110"/>
      <c r="AC146" s="430"/>
      <c r="AD146" s="430"/>
      <c r="AE146" s="430"/>
      <c r="AF146" s="430"/>
      <c r="AG146" s="430"/>
      <c r="AH146" s="430"/>
      <c r="AI146" s="430"/>
      <c r="AJ146" s="430"/>
      <c r="AK146" s="430"/>
      <c r="AL146" s="430"/>
      <c r="AM146" s="430"/>
      <c r="AN146" s="430"/>
      <c r="AO146" s="430"/>
      <c r="AP146" s="430"/>
      <c r="AQ146" s="430"/>
      <c r="AR146" s="219">
        <f t="shared" si="93"/>
        <v>0</v>
      </c>
      <c r="AS146" s="220" t="str">
        <f t="shared" si="94"/>
        <v>-</v>
      </c>
      <c r="AT146" s="472" t="str">
        <f t="shared" si="95"/>
        <v>-</v>
      </c>
      <c r="AU146" s="472" t="str">
        <f t="shared" si="96"/>
        <v>-</v>
      </c>
      <c r="AV146" s="472" t="str">
        <f t="shared" si="97"/>
        <v>-</v>
      </c>
      <c r="AW146" s="472" t="str">
        <f t="shared" si="98"/>
        <v>-</v>
      </c>
      <c r="AX146" s="472" t="str">
        <f t="shared" si="99"/>
        <v>-</v>
      </c>
      <c r="AY146" s="472" t="str">
        <f t="shared" si="100"/>
        <v>-</v>
      </c>
      <c r="AZ146" s="472" t="str">
        <f t="shared" si="101"/>
        <v>-</v>
      </c>
      <c r="BA146" s="472" t="str">
        <f t="shared" si="102"/>
        <v>-</v>
      </c>
      <c r="BB146" s="472" t="str">
        <f t="shared" si="103"/>
        <v>-</v>
      </c>
      <c r="BC146" s="472" t="str">
        <f t="shared" si="104"/>
        <v>-</v>
      </c>
      <c r="BD146" s="472" t="str">
        <f t="shared" si="105"/>
        <v>-</v>
      </c>
      <c r="BE146" s="472" t="str">
        <f t="shared" si="106"/>
        <v>-</v>
      </c>
      <c r="BF146" s="472" t="str">
        <f t="shared" si="107"/>
        <v>-</v>
      </c>
      <c r="BG146" s="472" t="str">
        <f t="shared" si="108"/>
        <v>-</v>
      </c>
      <c r="BH146" s="472" t="str">
        <f t="shared" si="109"/>
        <v>-</v>
      </c>
      <c r="BI146" s="221" t="str">
        <f t="shared" si="110"/>
        <v>-</v>
      </c>
      <c r="BJ146" s="730"/>
      <c r="BK146" s="692"/>
      <c r="BL146" s="429"/>
      <c r="BM146" s="429"/>
      <c r="BN146" s="214">
        <f t="shared" si="111"/>
        <v>0</v>
      </c>
      <c r="BO146" s="741"/>
      <c r="BP146" s="742"/>
      <c r="BQ146" s="446"/>
      <c r="BR146" s="446"/>
      <c r="BS146" s="228">
        <f t="shared" si="112"/>
        <v>0</v>
      </c>
      <c r="BT146" s="229" t="str">
        <f t="shared" si="113"/>
        <v>-</v>
      </c>
      <c r="BU146" s="526" t="str">
        <f t="shared" si="114"/>
        <v>-</v>
      </c>
      <c r="BV146" s="526" t="str">
        <f t="shared" si="115"/>
        <v>-</v>
      </c>
      <c r="BW146" s="526" t="str">
        <f t="shared" si="116"/>
        <v>-</v>
      </c>
      <c r="BX146" s="230" t="str">
        <f t="shared" si="117"/>
        <v>-</v>
      </c>
      <c r="BY146" s="745"/>
      <c r="BZ146" s="735"/>
      <c r="CA146" s="746"/>
      <c r="CB146" s="229" t="str">
        <f t="shared" si="118"/>
        <v>-</v>
      </c>
      <c r="CC146" s="529" t="str">
        <f t="shared" si="119"/>
        <v>-</v>
      </c>
      <c r="CD146" s="230" t="str">
        <f t="shared" si="120"/>
        <v>-</v>
      </c>
    </row>
    <row r="147" spans="1:82" ht="16.350000000000001" customHeight="1">
      <c r="A147" s="175">
        <f t="shared" si="90"/>
        <v>2023</v>
      </c>
      <c r="B147" s="454" t="str">
        <f t="shared" si="91"/>
        <v>38</v>
      </c>
      <c r="C147" s="454" t="str">
        <f t="array" ref="C147">_xlfn.IFS(_xlfn.NUMBERVALUE(B147)&lt;=13,"Q1",AND(_xlfn.NUMBERVALUE(B147)&gt;13,_xlfn.NUMBERVALUE(B147)&lt;=26),"Q2", AND(_xlfn.NUMBERVALUE(B147)&gt;26,_xlfn.NUMBERVALUE(B147)&lt;=39),"Q3",_xlfn.NUMBERVALUE(B147)&gt;39,"Q4")</f>
        <v>Q3</v>
      </c>
      <c r="D147" s="448">
        <f t="shared" si="121"/>
        <v>44849</v>
      </c>
      <c r="E147" s="448">
        <f t="shared" si="92"/>
        <v>44855</v>
      </c>
      <c r="F147" s="97">
        <v>202238</v>
      </c>
      <c r="G147" s="103"/>
      <c r="H147" s="429"/>
      <c r="I147" s="429"/>
      <c r="J147" s="429"/>
      <c r="K147" s="429"/>
      <c r="L147" s="429"/>
      <c r="M147" s="429"/>
      <c r="N147" s="429"/>
      <c r="O147" s="429"/>
      <c r="P147" s="429"/>
      <c r="Q147" s="429"/>
      <c r="R147" s="429"/>
      <c r="S147" s="429"/>
      <c r="T147" s="429"/>
      <c r="U147" s="429"/>
      <c r="V147" s="429"/>
      <c r="W147" s="429"/>
      <c r="X147" s="429"/>
      <c r="Y147" s="449">
        <f t="shared" si="89"/>
        <v>0</v>
      </c>
      <c r="Z147" s="449">
        <f t="shared" si="122"/>
        <v>0</v>
      </c>
      <c r="AA147" s="214">
        <f>'Overall Metrics'!N148</f>
        <v>0</v>
      </c>
      <c r="AB147" s="110"/>
      <c r="AC147" s="430"/>
      <c r="AD147" s="430"/>
      <c r="AE147" s="430"/>
      <c r="AF147" s="430"/>
      <c r="AG147" s="430"/>
      <c r="AH147" s="430"/>
      <c r="AI147" s="430"/>
      <c r="AJ147" s="430"/>
      <c r="AK147" s="430"/>
      <c r="AL147" s="430"/>
      <c r="AM147" s="430"/>
      <c r="AN147" s="430"/>
      <c r="AO147" s="430"/>
      <c r="AP147" s="430"/>
      <c r="AQ147" s="430"/>
      <c r="AR147" s="219">
        <f t="shared" si="93"/>
        <v>0</v>
      </c>
      <c r="AS147" s="220" t="str">
        <f t="shared" si="94"/>
        <v>-</v>
      </c>
      <c r="AT147" s="472" t="str">
        <f t="shared" si="95"/>
        <v>-</v>
      </c>
      <c r="AU147" s="472" t="str">
        <f t="shared" si="96"/>
        <v>-</v>
      </c>
      <c r="AV147" s="472" t="str">
        <f t="shared" si="97"/>
        <v>-</v>
      </c>
      <c r="AW147" s="472" t="str">
        <f t="shared" si="98"/>
        <v>-</v>
      </c>
      <c r="AX147" s="472" t="str">
        <f t="shared" si="99"/>
        <v>-</v>
      </c>
      <c r="AY147" s="472" t="str">
        <f t="shared" si="100"/>
        <v>-</v>
      </c>
      <c r="AZ147" s="472" t="str">
        <f t="shared" si="101"/>
        <v>-</v>
      </c>
      <c r="BA147" s="472" t="str">
        <f t="shared" si="102"/>
        <v>-</v>
      </c>
      <c r="BB147" s="472" t="str">
        <f t="shared" si="103"/>
        <v>-</v>
      </c>
      <c r="BC147" s="472" t="str">
        <f t="shared" si="104"/>
        <v>-</v>
      </c>
      <c r="BD147" s="472" t="str">
        <f t="shared" si="105"/>
        <v>-</v>
      </c>
      <c r="BE147" s="472" t="str">
        <f t="shared" si="106"/>
        <v>-</v>
      </c>
      <c r="BF147" s="472" t="str">
        <f t="shared" si="107"/>
        <v>-</v>
      </c>
      <c r="BG147" s="472" t="str">
        <f t="shared" si="108"/>
        <v>-</v>
      </c>
      <c r="BH147" s="472" t="str">
        <f t="shared" si="109"/>
        <v>-</v>
      </c>
      <c r="BI147" s="221" t="str">
        <f t="shared" si="110"/>
        <v>-</v>
      </c>
      <c r="BJ147" s="730"/>
      <c r="BK147" s="692"/>
      <c r="BL147" s="429"/>
      <c r="BM147" s="429"/>
      <c r="BN147" s="214">
        <f t="shared" si="111"/>
        <v>0</v>
      </c>
      <c r="BO147" s="741"/>
      <c r="BP147" s="742"/>
      <c r="BQ147" s="446"/>
      <c r="BR147" s="446"/>
      <c r="BS147" s="228">
        <f t="shared" si="112"/>
        <v>0</v>
      </c>
      <c r="BT147" s="229" t="str">
        <f t="shared" si="113"/>
        <v>-</v>
      </c>
      <c r="BU147" s="526" t="str">
        <f t="shared" si="114"/>
        <v>-</v>
      </c>
      <c r="BV147" s="526" t="str">
        <f t="shared" si="115"/>
        <v>-</v>
      </c>
      <c r="BW147" s="526" t="str">
        <f t="shared" si="116"/>
        <v>-</v>
      </c>
      <c r="BX147" s="230" t="str">
        <f t="shared" si="117"/>
        <v>-</v>
      </c>
      <c r="BY147" s="745"/>
      <c r="BZ147" s="735"/>
      <c r="CA147" s="746"/>
      <c r="CB147" s="229" t="str">
        <f t="shared" si="118"/>
        <v>-</v>
      </c>
      <c r="CC147" s="529" t="str">
        <f t="shared" si="119"/>
        <v>-</v>
      </c>
      <c r="CD147" s="230" t="str">
        <f t="shared" si="120"/>
        <v>-</v>
      </c>
    </row>
    <row r="148" spans="1:82" ht="16.350000000000001" customHeight="1">
      <c r="A148" s="175">
        <f t="shared" si="90"/>
        <v>2023</v>
      </c>
      <c r="B148" s="454" t="str">
        <f t="shared" si="91"/>
        <v>39</v>
      </c>
      <c r="C148" s="454" t="str">
        <f t="array" ref="C148">_xlfn.IFS(_xlfn.NUMBERVALUE(B148)&lt;=13,"Q1",AND(_xlfn.NUMBERVALUE(B148)&gt;13,_xlfn.NUMBERVALUE(B148)&lt;=26),"Q2", AND(_xlfn.NUMBERVALUE(B148)&gt;26,_xlfn.NUMBERVALUE(B148)&lt;=39),"Q3",_xlfn.NUMBERVALUE(B148)&gt;39,"Q4")</f>
        <v>Q3</v>
      </c>
      <c r="D148" s="448">
        <f t="shared" si="121"/>
        <v>44856</v>
      </c>
      <c r="E148" s="448">
        <f t="shared" si="92"/>
        <v>44862</v>
      </c>
      <c r="F148" s="97">
        <v>202239</v>
      </c>
      <c r="G148" s="103"/>
      <c r="H148" s="429"/>
      <c r="I148" s="429"/>
      <c r="J148" s="429"/>
      <c r="K148" s="429"/>
      <c r="L148" s="429"/>
      <c r="M148" s="429"/>
      <c r="N148" s="429"/>
      <c r="O148" s="429"/>
      <c r="P148" s="429"/>
      <c r="Q148" s="429"/>
      <c r="R148" s="429"/>
      <c r="S148" s="429"/>
      <c r="T148" s="429"/>
      <c r="U148" s="429"/>
      <c r="V148" s="429"/>
      <c r="W148" s="429"/>
      <c r="X148" s="429"/>
      <c r="Y148" s="449">
        <f t="shared" si="89"/>
        <v>0</v>
      </c>
      <c r="Z148" s="449">
        <f t="shared" si="122"/>
        <v>0</v>
      </c>
      <c r="AA148" s="214">
        <f>'Overall Metrics'!N149</f>
        <v>0</v>
      </c>
      <c r="AB148" s="110"/>
      <c r="AC148" s="430"/>
      <c r="AD148" s="430"/>
      <c r="AE148" s="430"/>
      <c r="AF148" s="430"/>
      <c r="AG148" s="430"/>
      <c r="AH148" s="430"/>
      <c r="AI148" s="430"/>
      <c r="AJ148" s="430"/>
      <c r="AK148" s="430"/>
      <c r="AL148" s="430"/>
      <c r="AM148" s="430"/>
      <c r="AN148" s="430"/>
      <c r="AO148" s="430"/>
      <c r="AP148" s="430"/>
      <c r="AQ148" s="430"/>
      <c r="AR148" s="219">
        <f t="shared" si="93"/>
        <v>0</v>
      </c>
      <c r="AS148" s="220" t="str">
        <f t="shared" si="94"/>
        <v>-</v>
      </c>
      <c r="AT148" s="472" t="str">
        <f t="shared" si="95"/>
        <v>-</v>
      </c>
      <c r="AU148" s="472" t="str">
        <f t="shared" si="96"/>
        <v>-</v>
      </c>
      <c r="AV148" s="472" t="str">
        <f t="shared" si="97"/>
        <v>-</v>
      </c>
      <c r="AW148" s="472" t="str">
        <f t="shared" si="98"/>
        <v>-</v>
      </c>
      <c r="AX148" s="472" t="str">
        <f t="shared" si="99"/>
        <v>-</v>
      </c>
      <c r="AY148" s="472" t="str">
        <f t="shared" si="100"/>
        <v>-</v>
      </c>
      <c r="AZ148" s="472" t="str">
        <f t="shared" si="101"/>
        <v>-</v>
      </c>
      <c r="BA148" s="472" t="str">
        <f t="shared" si="102"/>
        <v>-</v>
      </c>
      <c r="BB148" s="472" t="str">
        <f t="shared" si="103"/>
        <v>-</v>
      </c>
      <c r="BC148" s="472" t="str">
        <f t="shared" si="104"/>
        <v>-</v>
      </c>
      <c r="BD148" s="472" t="str">
        <f t="shared" si="105"/>
        <v>-</v>
      </c>
      <c r="BE148" s="472" t="str">
        <f t="shared" si="106"/>
        <v>-</v>
      </c>
      <c r="BF148" s="472" t="str">
        <f t="shared" si="107"/>
        <v>-</v>
      </c>
      <c r="BG148" s="472" t="str">
        <f t="shared" si="108"/>
        <v>-</v>
      </c>
      <c r="BH148" s="472" t="str">
        <f t="shared" si="109"/>
        <v>-</v>
      </c>
      <c r="BI148" s="221" t="str">
        <f t="shared" si="110"/>
        <v>-</v>
      </c>
      <c r="BJ148" s="730"/>
      <c r="BK148" s="692"/>
      <c r="BL148" s="429"/>
      <c r="BM148" s="429"/>
      <c r="BN148" s="214">
        <f t="shared" si="111"/>
        <v>0</v>
      </c>
      <c r="BO148" s="741"/>
      <c r="BP148" s="742"/>
      <c r="BQ148" s="446"/>
      <c r="BR148" s="446"/>
      <c r="BS148" s="228">
        <f t="shared" si="112"/>
        <v>0</v>
      </c>
      <c r="BT148" s="229" t="str">
        <f t="shared" si="113"/>
        <v>-</v>
      </c>
      <c r="BU148" s="526" t="str">
        <f t="shared" si="114"/>
        <v>-</v>
      </c>
      <c r="BV148" s="526" t="str">
        <f t="shared" si="115"/>
        <v>-</v>
      </c>
      <c r="BW148" s="526" t="str">
        <f t="shared" si="116"/>
        <v>-</v>
      </c>
      <c r="BX148" s="230" t="str">
        <f t="shared" si="117"/>
        <v>-</v>
      </c>
      <c r="BY148" s="745"/>
      <c r="BZ148" s="735"/>
      <c r="CA148" s="746"/>
      <c r="CB148" s="229" t="str">
        <f t="shared" si="118"/>
        <v>-</v>
      </c>
      <c r="CC148" s="529" t="str">
        <f t="shared" si="119"/>
        <v>-</v>
      </c>
      <c r="CD148" s="230" t="str">
        <f t="shared" si="120"/>
        <v>-</v>
      </c>
    </row>
    <row r="149" spans="1:82" ht="16.350000000000001" customHeight="1">
      <c r="A149" s="175">
        <f t="shared" si="90"/>
        <v>2023</v>
      </c>
      <c r="B149" s="454" t="str">
        <f t="shared" si="91"/>
        <v>40</v>
      </c>
      <c r="C149" s="454" t="str">
        <f t="array" ref="C149">_xlfn.IFS(_xlfn.NUMBERVALUE(B149)&lt;=13,"Q1",AND(_xlfn.NUMBERVALUE(B149)&gt;13,_xlfn.NUMBERVALUE(B149)&lt;=26),"Q2", AND(_xlfn.NUMBERVALUE(B149)&gt;26,_xlfn.NUMBERVALUE(B149)&lt;=39),"Q3",_xlfn.NUMBERVALUE(B149)&gt;39,"Q4")</f>
        <v>Q4</v>
      </c>
      <c r="D149" s="448">
        <f t="shared" si="121"/>
        <v>44863</v>
      </c>
      <c r="E149" s="448">
        <f t="shared" si="92"/>
        <v>44869</v>
      </c>
      <c r="F149" s="97">
        <v>202240</v>
      </c>
      <c r="G149" s="103"/>
      <c r="H149" s="429"/>
      <c r="I149" s="429"/>
      <c r="J149" s="429"/>
      <c r="K149" s="429"/>
      <c r="L149" s="429"/>
      <c r="M149" s="429"/>
      <c r="N149" s="429"/>
      <c r="O149" s="429"/>
      <c r="P149" s="429"/>
      <c r="Q149" s="429"/>
      <c r="R149" s="429"/>
      <c r="S149" s="429"/>
      <c r="T149" s="429"/>
      <c r="U149" s="429"/>
      <c r="V149" s="429"/>
      <c r="W149" s="429"/>
      <c r="X149" s="429"/>
      <c r="Y149" s="449">
        <f t="shared" si="89"/>
        <v>0</v>
      </c>
      <c r="Z149" s="449">
        <f t="shared" si="122"/>
        <v>0</v>
      </c>
      <c r="AA149" s="214">
        <f>'Overall Metrics'!N150</f>
        <v>0</v>
      </c>
      <c r="AB149" s="110"/>
      <c r="AC149" s="430"/>
      <c r="AD149" s="430"/>
      <c r="AE149" s="430"/>
      <c r="AF149" s="430"/>
      <c r="AG149" s="430"/>
      <c r="AH149" s="430"/>
      <c r="AI149" s="430"/>
      <c r="AJ149" s="430"/>
      <c r="AK149" s="430"/>
      <c r="AL149" s="430"/>
      <c r="AM149" s="430"/>
      <c r="AN149" s="430"/>
      <c r="AO149" s="430"/>
      <c r="AP149" s="430"/>
      <c r="AQ149" s="430"/>
      <c r="AR149" s="219">
        <f t="shared" si="93"/>
        <v>0</v>
      </c>
      <c r="AS149" s="220" t="str">
        <f t="shared" si="94"/>
        <v>-</v>
      </c>
      <c r="AT149" s="472" t="str">
        <f t="shared" si="95"/>
        <v>-</v>
      </c>
      <c r="AU149" s="472" t="str">
        <f t="shared" si="96"/>
        <v>-</v>
      </c>
      <c r="AV149" s="472" t="str">
        <f t="shared" si="97"/>
        <v>-</v>
      </c>
      <c r="AW149" s="472" t="str">
        <f t="shared" si="98"/>
        <v>-</v>
      </c>
      <c r="AX149" s="472" t="str">
        <f t="shared" si="99"/>
        <v>-</v>
      </c>
      <c r="AY149" s="472" t="str">
        <f t="shared" si="100"/>
        <v>-</v>
      </c>
      <c r="AZ149" s="472" t="str">
        <f t="shared" si="101"/>
        <v>-</v>
      </c>
      <c r="BA149" s="472" t="str">
        <f t="shared" si="102"/>
        <v>-</v>
      </c>
      <c r="BB149" s="472" t="str">
        <f t="shared" si="103"/>
        <v>-</v>
      </c>
      <c r="BC149" s="472" t="str">
        <f t="shared" si="104"/>
        <v>-</v>
      </c>
      <c r="BD149" s="472" t="str">
        <f t="shared" si="105"/>
        <v>-</v>
      </c>
      <c r="BE149" s="472" t="str">
        <f t="shared" si="106"/>
        <v>-</v>
      </c>
      <c r="BF149" s="472" t="str">
        <f t="shared" si="107"/>
        <v>-</v>
      </c>
      <c r="BG149" s="472" t="str">
        <f t="shared" si="108"/>
        <v>-</v>
      </c>
      <c r="BH149" s="472" t="str">
        <f t="shared" si="109"/>
        <v>-</v>
      </c>
      <c r="BI149" s="221" t="str">
        <f t="shared" si="110"/>
        <v>-</v>
      </c>
      <c r="BJ149" s="730"/>
      <c r="BK149" s="692"/>
      <c r="BL149" s="429"/>
      <c r="BM149" s="429"/>
      <c r="BN149" s="214">
        <f t="shared" si="111"/>
        <v>0</v>
      </c>
      <c r="BO149" s="741"/>
      <c r="BP149" s="742"/>
      <c r="BQ149" s="446"/>
      <c r="BR149" s="446"/>
      <c r="BS149" s="228">
        <f t="shared" si="112"/>
        <v>0</v>
      </c>
      <c r="BT149" s="229" t="str">
        <f t="shared" si="113"/>
        <v>-</v>
      </c>
      <c r="BU149" s="526" t="str">
        <f t="shared" si="114"/>
        <v>-</v>
      </c>
      <c r="BV149" s="526" t="str">
        <f t="shared" si="115"/>
        <v>-</v>
      </c>
      <c r="BW149" s="526" t="str">
        <f t="shared" si="116"/>
        <v>-</v>
      </c>
      <c r="BX149" s="230" t="str">
        <f t="shared" si="117"/>
        <v>-</v>
      </c>
      <c r="BY149" s="745"/>
      <c r="BZ149" s="735"/>
      <c r="CA149" s="746"/>
      <c r="CB149" s="229" t="str">
        <f t="shared" si="118"/>
        <v>-</v>
      </c>
      <c r="CC149" s="529" t="str">
        <f t="shared" si="119"/>
        <v>-</v>
      </c>
      <c r="CD149" s="230" t="str">
        <f t="shared" si="120"/>
        <v>-</v>
      </c>
    </row>
    <row r="150" spans="1:82" ht="16.350000000000001" customHeight="1">
      <c r="A150" s="175">
        <f t="shared" si="90"/>
        <v>2023</v>
      </c>
      <c r="B150" s="454" t="str">
        <f t="shared" si="91"/>
        <v>41</v>
      </c>
      <c r="C150" s="454" t="str">
        <f t="array" ref="C150">_xlfn.IFS(_xlfn.NUMBERVALUE(B150)&lt;=13,"Q1",AND(_xlfn.NUMBERVALUE(B150)&gt;13,_xlfn.NUMBERVALUE(B150)&lt;=26),"Q2", AND(_xlfn.NUMBERVALUE(B150)&gt;26,_xlfn.NUMBERVALUE(B150)&lt;=39),"Q3",_xlfn.NUMBERVALUE(B150)&gt;39,"Q4")</f>
        <v>Q4</v>
      </c>
      <c r="D150" s="448">
        <f t="shared" si="121"/>
        <v>44870</v>
      </c>
      <c r="E150" s="448">
        <f t="shared" si="92"/>
        <v>44876</v>
      </c>
      <c r="F150" s="97">
        <v>202241</v>
      </c>
      <c r="G150" s="103"/>
      <c r="H150" s="429"/>
      <c r="I150" s="429"/>
      <c r="J150" s="429"/>
      <c r="K150" s="429"/>
      <c r="L150" s="429"/>
      <c r="M150" s="429"/>
      <c r="N150" s="429"/>
      <c r="O150" s="429"/>
      <c r="P150" s="429"/>
      <c r="Q150" s="429"/>
      <c r="R150" s="429"/>
      <c r="S150" s="429"/>
      <c r="T150" s="429"/>
      <c r="U150" s="429"/>
      <c r="V150" s="429"/>
      <c r="W150" s="429"/>
      <c r="X150" s="429"/>
      <c r="Y150" s="449">
        <f t="shared" si="89"/>
        <v>0</v>
      </c>
      <c r="Z150" s="449">
        <f t="shared" si="122"/>
        <v>0</v>
      </c>
      <c r="AA150" s="214">
        <f>'Overall Metrics'!N151</f>
        <v>0</v>
      </c>
      <c r="AB150" s="110"/>
      <c r="AC150" s="430"/>
      <c r="AD150" s="430"/>
      <c r="AE150" s="430"/>
      <c r="AF150" s="430"/>
      <c r="AG150" s="430"/>
      <c r="AH150" s="430"/>
      <c r="AI150" s="430"/>
      <c r="AJ150" s="430"/>
      <c r="AK150" s="430"/>
      <c r="AL150" s="430"/>
      <c r="AM150" s="430"/>
      <c r="AN150" s="430"/>
      <c r="AO150" s="430"/>
      <c r="AP150" s="430"/>
      <c r="AQ150" s="430"/>
      <c r="AR150" s="219">
        <f t="shared" si="93"/>
        <v>0</v>
      </c>
      <c r="AS150" s="220" t="str">
        <f t="shared" si="94"/>
        <v>-</v>
      </c>
      <c r="AT150" s="472" t="str">
        <f t="shared" si="95"/>
        <v>-</v>
      </c>
      <c r="AU150" s="472" t="str">
        <f t="shared" si="96"/>
        <v>-</v>
      </c>
      <c r="AV150" s="472" t="str">
        <f t="shared" si="97"/>
        <v>-</v>
      </c>
      <c r="AW150" s="472" t="str">
        <f t="shared" si="98"/>
        <v>-</v>
      </c>
      <c r="AX150" s="472" t="str">
        <f t="shared" si="99"/>
        <v>-</v>
      </c>
      <c r="AY150" s="472" t="str">
        <f t="shared" si="100"/>
        <v>-</v>
      </c>
      <c r="AZ150" s="472" t="str">
        <f t="shared" si="101"/>
        <v>-</v>
      </c>
      <c r="BA150" s="472" t="str">
        <f t="shared" si="102"/>
        <v>-</v>
      </c>
      <c r="BB150" s="472" t="str">
        <f t="shared" si="103"/>
        <v>-</v>
      </c>
      <c r="BC150" s="472" t="str">
        <f t="shared" si="104"/>
        <v>-</v>
      </c>
      <c r="BD150" s="472" t="str">
        <f t="shared" si="105"/>
        <v>-</v>
      </c>
      <c r="BE150" s="472" t="str">
        <f t="shared" si="106"/>
        <v>-</v>
      </c>
      <c r="BF150" s="472" t="str">
        <f t="shared" si="107"/>
        <v>-</v>
      </c>
      <c r="BG150" s="472" t="str">
        <f t="shared" si="108"/>
        <v>-</v>
      </c>
      <c r="BH150" s="472" t="str">
        <f t="shared" si="109"/>
        <v>-</v>
      </c>
      <c r="BI150" s="221" t="str">
        <f t="shared" si="110"/>
        <v>-</v>
      </c>
      <c r="BJ150" s="730"/>
      <c r="BK150" s="692"/>
      <c r="BL150" s="429"/>
      <c r="BM150" s="429"/>
      <c r="BN150" s="214">
        <f t="shared" si="111"/>
        <v>0</v>
      </c>
      <c r="BO150" s="741"/>
      <c r="BP150" s="742"/>
      <c r="BQ150" s="446"/>
      <c r="BR150" s="446"/>
      <c r="BS150" s="228">
        <f t="shared" si="112"/>
        <v>0</v>
      </c>
      <c r="BT150" s="229" t="str">
        <f t="shared" si="113"/>
        <v>-</v>
      </c>
      <c r="BU150" s="526" t="str">
        <f t="shared" si="114"/>
        <v>-</v>
      </c>
      <c r="BV150" s="526" t="str">
        <f t="shared" si="115"/>
        <v>-</v>
      </c>
      <c r="BW150" s="526" t="str">
        <f t="shared" si="116"/>
        <v>-</v>
      </c>
      <c r="BX150" s="230" t="str">
        <f t="shared" si="117"/>
        <v>-</v>
      </c>
      <c r="BY150" s="745"/>
      <c r="BZ150" s="735"/>
      <c r="CA150" s="746"/>
      <c r="CB150" s="229" t="str">
        <f t="shared" si="118"/>
        <v>-</v>
      </c>
      <c r="CC150" s="529" t="str">
        <f t="shared" si="119"/>
        <v>-</v>
      </c>
      <c r="CD150" s="230" t="str">
        <f t="shared" si="120"/>
        <v>-</v>
      </c>
    </row>
    <row r="151" spans="1:82" ht="16.350000000000001" customHeight="1">
      <c r="A151" s="175">
        <f t="shared" si="90"/>
        <v>2023</v>
      </c>
      <c r="B151" s="454" t="str">
        <f t="shared" si="91"/>
        <v>42</v>
      </c>
      <c r="C151" s="454" t="str">
        <f t="array" ref="C151">_xlfn.IFS(_xlfn.NUMBERVALUE(B151)&lt;=13,"Q1",AND(_xlfn.NUMBERVALUE(B151)&gt;13,_xlfn.NUMBERVALUE(B151)&lt;=26),"Q2", AND(_xlfn.NUMBERVALUE(B151)&gt;26,_xlfn.NUMBERVALUE(B151)&lt;=39),"Q3",_xlfn.NUMBERVALUE(B151)&gt;39,"Q4")</f>
        <v>Q4</v>
      </c>
      <c r="D151" s="448">
        <f t="shared" si="121"/>
        <v>44877</v>
      </c>
      <c r="E151" s="448">
        <f t="shared" si="92"/>
        <v>44883</v>
      </c>
      <c r="F151" s="97">
        <v>202242</v>
      </c>
      <c r="G151" s="103"/>
      <c r="H151" s="429"/>
      <c r="I151" s="429"/>
      <c r="J151" s="429"/>
      <c r="K151" s="429"/>
      <c r="L151" s="429"/>
      <c r="M151" s="429"/>
      <c r="N151" s="429"/>
      <c r="O151" s="429"/>
      <c r="P151" s="429"/>
      <c r="Q151" s="429"/>
      <c r="R151" s="429"/>
      <c r="S151" s="429"/>
      <c r="T151" s="429"/>
      <c r="U151" s="429"/>
      <c r="V151" s="429"/>
      <c r="W151" s="429"/>
      <c r="X151" s="429"/>
      <c r="Y151" s="449">
        <f t="shared" si="89"/>
        <v>0</v>
      </c>
      <c r="Z151" s="449">
        <f t="shared" si="122"/>
        <v>0</v>
      </c>
      <c r="AA151" s="214">
        <f>'Overall Metrics'!N152</f>
        <v>0</v>
      </c>
      <c r="AB151" s="110"/>
      <c r="AC151" s="430"/>
      <c r="AD151" s="430"/>
      <c r="AE151" s="430"/>
      <c r="AF151" s="430"/>
      <c r="AG151" s="430"/>
      <c r="AH151" s="430"/>
      <c r="AI151" s="430"/>
      <c r="AJ151" s="430"/>
      <c r="AK151" s="430"/>
      <c r="AL151" s="430"/>
      <c r="AM151" s="430"/>
      <c r="AN151" s="430"/>
      <c r="AO151" s="430"/>
      <c r="AP151" s="430"/>
      <c r="AQ151" s="430"/>
      <c r="AR151" s="219">
        <f t="shared" si="93"/>
        <v>0</v>
      </c>
      <c r="AS151" s="220" t="str">
        <f t="shared" si="94"/>
        <v>-</v>
      </c>
      <c r="AT151" s="472" t="str">
        <f t="shared" si="95"/>
        <v>-</v>
      </c>
      <c r="AU151" s="472" t="str">
        <f t="shared" si="96"/>
        <v>-</v>
      </c>
      <c r="AV151" s="472" t="str">
        <f t="shared" si="97"/>
        <v>-</v>
      </c>
      <c r="AW151" s="472" t="str">
        <f t="shared" si="98"/>
        <v>-</v>
      </c>
      <c r="AX151" s="472" t="str">
        <f t="shared" si="99"/>
        <v>-</v>
      </c>
      <c r="AY151" s="472" t="str">
        <f t="shared" si="100"/>
        <v>-</v>
      </c>
      <c r="AZ151" s="472" t="str">
        <f t="shared" si="101"/>
        <v>-</v>
      </c>
      <c r="BA151" s="472" t="str">
        <f t="shared" si="102"/>
        <v>-</v>
      </c>
      <c r="BB151" s="472" t="str">
        <f t="shared" si="103"/>
        <v>-</v>
      </c>
      <c r="BC151" s="472" t="str">
        <f t="shared" si="104"/>
        <v>-</v>
      </c>
      <c r="BD151" s="472" t="str">
        <f t="shared" si="105"/>
        <v>-</v>
      </c>
      <c r="BE151" s="472" t="str">
        <f t="shared" si="106"/>
        <v>-</v>
      </c>
      <c r="BF151" s="472" t="str">
        <f t="shared" si="107"/>
        <v>-</v>
      </c>
      <c r="BG151" s="472" t="str">
        <f t="shared" si="108"/>
        <v>-</v>
      </c>
      <c r="BH151" s="472" t="str">
        <f t="shared" si="109"/>
        <v>-</v>
      </c>
      <c r="BI151" s="221" t="str">
        <f t="shared" si="110"/>
        <v>-</v>
      </c>
      <c r="BJ151" s="730"/>
      <c r="BK151" s="692"/>
      <c r="BL151" s="429"/>
      <c r="BM151" s="429"/>
      <c r="BN151" s="214">
        <f t="shared" si="111"/>
        <v>0</v>
      </c>
      <c r="BO151" s="741"/>
      <c r="BP151" s="742"/>
      <c r="BQ151" s="446"/>
      <c r="BR151" s="446"/>
      <c r="BS151" s="228">
        <f t="shared" si="112"/>
        <v>0</v>
      </c>
      <c r="BT151" s="229" t="str">
        <f t="shared" si="113"/>
        <v>-</v>
      </c>
      <c r="BU151" s="526" t="str">
        <f t="shared" si="114"/>
        <v>-</v>
      </c>
      <c r="BV151" s="526" t="str">
        <f t="shared" si="115"/>
        <v>-</v>
      </c>
      <c r="BW151" s="526" t="str">
        <f t="shared" si="116"/>
        <v>-</v>
      </c>
      <c r="BX151" s="230" t="str">
        <f t="shared" si="117"/>
        <v>-</v>
      </c>
      <c r="BY151" s="745"/>
      <c r="BZ151" s="735"/>
      <c r="CA151" s="746"/>
      <c r="CB151" s="229" t="str">
        <f t="shared" si="118"/>
        <v>-</v>
      </c>
      <c r="CC151" s="529" t="str">
        <f t="shared" si="119"/>
        <v>-</v>
      </c>
      <c r="CD151" s="230" t="str">
        <f t="shared" si="120"/>
        <v>-</v>
      </c>
    </row>
    <row r="152" spans="1:82" ht="16.350000000000001" customHeight="1">
      <c r="A152" s="175">
        <f t="shared" si="90"/>
        <v>2023</v>
      </c>
      <c r="B152" s="454" t="str">
        <f t="shared" si="91"/>
        <v>43</v>
      </c>
      <c r="C152" s="454" t="str">
        <f t="array" ref="C152">_xlfn.IFS(_xlfn.NUMBERVALUE(B152)&lt;=13,"Q1",AND(_xlfn.NUMBERVALUE(B152)&gt;13,_xlfn.NUMBERVALUE(B152)&lt;=26),"Q2", AND(_xlfn.NUMBERVALUE(B152)&gt;26,_xlfn.NUMBERVALUE(B152)&lt;=39),"Q3",_xlfn.NUMBERVALUE(B152)&gt;39,"Q4")</f>
        <v>Q4</v>
      </c>
      <c r="D152" s="448">
        <f t="shared" si="121"/>
        <v>44884</v>
      </c>
      <c r="E152" s="448">
        <f t="shared" si="92"/>
        <v>44890</v>
      </c>
      <c r="F152" s="97">
        <v>202243</v>
      </c>
      <c r="G152" s="103"/>
      <c r="H152" s="429"/>
      <c r="I152" s="429"/>
      <c r="J152" s="429"/>
      <c r="K152" s="429"/>
      <c r="L152" s="429"/>
      <c r="M152" s="429"/>
      <c r="N152" s="429"/>
      <c r="O152" s="429"/>
      <c r="P152" s="429"/>
      <c r="Q152" s="429"/>
      <c r="R152" s="429"/>
      <c r="S152" s="429"/>
      <c r="T152" s="429"/>
      <c r="U152" s="429"/>
      <c r="V152" s="429"/>
      <c r="W152" s="429"/>
      <c r="X152" s="429"/>
      <c r="Y152" s="449">
        <f t="shared" si="89"/>
        <v>0</v>
      </c>
      <c r="Z152" s="449">
        <f t="shared" si="122"/>
        <v>0</v>
      </c>
      <c r="AA152" s="214">
        <f>'Overall Metrics'!N153</f>
        <v>0</v>
      </c>
      <c r="AB152" s="110"/>
      <c r="AC152" s="430"/>
      <c r="AD152" s="430"/>
      <c r="AE152" s="430"/>
      <c r="AF152" s="430"/>
      <c r="AG152" s="430"/>
      <c r="AH152" s="430"/>
      <c r="AI152" s="430"/>
      <c r="AJ152" s="430"/>
      <c r="AK152" s="430"/>
      <c r="AL152" s="430"/>
      <c r="AM152" s="430"/>
      <c r="AN152" s="430"/>
      <c r="AO152" s="430"/>
      <c r="AP152" s="430"/>
      <c r="AQ152" s="430"/>
      <c r="AR152" s="219">
        <f t="shared" si="93"/>
        <v>0</v>
      </c>
      <c r="AS152" s="220" t="str">
        <f t="shared" si="94"/>
        <v>-</v>
      </c>
      <c r="AT152" s="472" t="str">
        <f t="shared" si="95"/>
        <v>-</v>
      </c>
      <c r="AU152" s="472" t="str">
        <f t="shared" si="96"/>
        <v>-</v>
      </c>
      <c r="AV152" s="472" t="str">
        <f t="shared" si="97"/>
        <v>-</v>
      </c>
      <c r="AW152" s="472" t="str">
        <f t="shared" si="98"/>
        <v>-</v>
      </c>
      <c r="AX152" s="472" t="str">
        <f t="shared" si="99"/>
        <v>-</v>
      </c>
      <c r="AY152" s="472" t="str">
        <f t="shared" si="100"/>
        <v>-</v>
      </c>
      <c r="AZ152" s="472" t="str">
        <f t="shared" si="101"/>
        <v>-</v>
      </c>
      <c r="BA152" s="472" t="str">
        <f t="shared" si="102"/>
        <v>-</v>
      </c>
      <c r="BB152" s="472" t="str">
        <f t="shared" si="103"/>
        <v>-</v>
      </c>
      <c r="BC152" s="472" t="str">
        <f t="shared" si="104"/>
        <v>-</v>
      </c>
      <c r="BD152" s="472" t="str">
        <f t="shared" si="105"/>
        <v>-</v>
      </c>
      <c r="BE152" s="472" t="str">
        <f t="shared" si="106"/>
        <v>-</v>
      </c>
      <c r="BF152" s="472" t="str">
        <f t="shared" si="107"/>
        <v>-</v>
      </c>
      <c r="BG152" s="472" t="str">
        <f t="shared" si="108"/>
        <v>-</v>
      </c>
      <c r="BH152" s="472" t="str">
        <f t="shared" si="109"/>
        <v>-</v>
      </c>
      <c r="BI152" s="221" t="str">
        <f t="shared" si="110"/>
        <v>-</v>
      </c>
      <c r="BJ152" s="730"/>
      <c r="BK152" s="692"/>
      <c r="BL152" s="429"/>
      <c r="BM152" s="429"/>
      <c r="BN152" s="214">
        <f t="shared" si="111"/>
        <v>0</v>
      </c>
      <c r="BO152" s="741"/>
      <c r="BP152" s="742"/>
      <c r="BQ152" s="446"/>
      <c r="BR152" s="446"/>
      <c r="BS152" s="228">
        <f t="shared" si="112"/>
        <v>0</v>
      </c>
      <c r="BT152" s="229" t="str">
        <f t="shared" si="113"/>
        <v>-</v>
      </c>
      <c r="BU152" s="526" t="str">
        <f t="shared" si="114"/>
        <v>-</v>
      </c>
      <c r="BV152" s="526" t="str">
        <f t="shared" si="115"/>
        <v>-</v>
      </c>
      <c r="BW152" s="526" t="str">
        <f t="shared" si="116"/>
        <v>-</v>
      </c>
      <c r="BX152" s="230" t="str">
        <f t="shared" si="117"/>
        <v>-</v>
      </c>
      <c r="BY152" s="745"/>
      <c r="BZ152" s="735"/>
      <c r="CA152" s="746"/>
      <c r="CB152" s="229" t="str">
        <f t="shared" si="118"/>
        <v>-</v>
      </c>
      <c r="CC152" s="529" t="str">
        <f t="shared" si="119"/>
        <v>-</v>
      </c>
      <c r="CD152" s="230" t="str">
        <f t="shared" si="120"/>
        <v>-</v>
      </c>
    </row>
    <row r="153" spans="1:82" ht="16.350000000000001" customHeight="1">
      <c r="A153" s="175">
        <f t="shared" si="90"/>
        <v>2023</v>
      </c>
      <c r="B153" s="454" t="str">
        <f t="shared" si="91"/>
        <v>44</v>
      </c>
      <c r="C153" s="454" t="str">
        <f t="array" ref="C153">_xlfn.IFS(_xlfn.NUMBERVALUE(B153)&lt;=13,"Q1",AND(_xlfn.NUMBERVALUE(B153)&gt;13,_xlfn.NUMBERVALUE(B153)&lt;=26),"Q2", AND(_xlfn.NUMBERVALUE(B153)&gt;26,_xlfn.NUMBERVALUE(B153)&lt;=39),"Q3",_xlfn.NUMBERVALUE(B153)&gt;39,"Q4")</f>
        <v>Q4</v>
      </c>
      <c r="D153" s="448">
        <f t="shared" si="121"/>
        <v>44891</v>
      </c>
      <c r="E153" s="448">
        <f t="shared" si="92"/>
        <v>44897</v>
      </c>
      <c r="F153" s="97">
        <v>202244</v>
      </c>
      <c r="G153" s="103"/>
      <c r="H153" s="429"/>
      <c r="I153" s="429"/>
      <c r="J153" s="429"/>
      <c r="K153" s="429"/>
      <c r="L153" s="429"/>
      <c r="M153" s="429"/>
      <c r="N153" s="429"/>
      <c r="O153" s="429"/>
      <c r="P153" s="429"/>
      <c r="Q153" s="429"/>
      <c r="R153" s="429"/>
      <c r="S153" s="429"/>
      <c r="T153" s="429"/>
      <c r="U153" s="429"/>
      <c r="V153" s="429"/>
      <c r="W153" s="429"/>
      <c r="X153" s="429"/>
      <c r="Y153" s="449">
        <f t="shared" si="89"/>
        <v>0</v>
      </c>
      <c r="Z153" s="449">
        <f t="shared" si="122"/>
        <v>0</v>
      </c>
      <c r="AA153" s="214">
        <f>'Overall Metrics'!N154</f>
        <v>0</v>
      </c>
      <c r="AB153" s="110"/>
      <c r="AC153" s="430"/>
      <c r="AD153" s="430"/>
      <c r="AE153" s="430"/>
      <c r="AF153" s="430"/>
      <c r="AG153" s="430"/>
      <c r="AH153" s="430"/>
      <c r="AI153" s="430"/>
      <c r="AJ153" s="430"/>
      <c r="AK153" s="430"/>
      <c r="AL153" s="430"/>
      <c r="AM153" s="430"/>
      <c r="AN153" s="430"/>
      <c r="AO153" s="430"/>
      <c r="AP153" s="430"/>
      <c r="AQ153" s="430"/>
      <c r="AR153" s="219">
        <f t="shared" si="93"/>
        <v>0</v>
      </c>
      <c r="AS153" s="220" t="str">
        <f t="shared" si="94"/>
        <v>-</v>
      </c>
      <c r="AT153" s="472" t="str">
        <f t="shared" si="95"/>
        <v>-</v>
      </c>
      <c r="AU153" s="472" t="str">
        <f t="shared" si="96"/>
        <v>-</v>
      </c>
      <c r="AV153" s="472" t="str">
        <f t="shared" si="97"/>
        <v>-</v>
      </c>
      <c r="AW153" s="472" t="str">
        <f t="shared" si="98"/>
        <v>-</v>
      </c>
      <c r="AX153" s="472" t="str">
        <f t="shared" si="99"/>
        <v>-</v>
      </c>
      <c r="AY153" s="472" t="str">
        <f t="shared" si="100"/>
        <v>-</v>
      </c>
      <c r="AZ153" s="472" t="str">
        <f t="shared" si="101"/>
        <v>-</v>
      </c>
      <c r="BA153" s="472" t="str">
        <f t="shared" si="102"/>
        <v>-</v>
      </c>
      <c r="BB153" s="472" t="str">
        <f t="shared" si="103"/>
        <v>-</v>
      </c>
      <c r="BC153" s="472" t="str">
        <f t="shared" si="104"/>
        <v>-</v>
      </c>
      <c r="BD153" s="472" t="str">
        <f t="shared" si="105"/>
        <v>-</v>
      </c>
      <c r="BE153" s="472" t="str">
        <f t="shared" si="106"/>
        <v>-</v>
      </c>
      <c r="BF153" s="472" t="str">
        <f t="shared" si="107"/>
        <v>-</v>
      </c>
      <c r="BG153" s="472" t="str">
        <f t="shared" si="108"/>
        <v>-</v>
      </c>
      <c r="BH153" s="472" t="str">
        <f t="shared" si="109"/>
        <v>-</v>
      </c>
      <c r="BI153" s="221" t="str">
        <f t="shared" si="110"/>
        <v>-</v>
      </c>
      <c r="BJ153" s="730"/>
      <c r="BK153" s="692"/>
      <c r="BL153" s="429"/>
      <c r="BM153" s="429"/>
      <c r="BN153" s="214">
        <f t="shared" si="111"/>
        <v>0</v>
      </c>
      <c r="BO153" s="741"/>
      <c r="BP153" s="742"/>
      <c r="BQ153" s="446"/>
      <c r="BR153" s="446"/>
      <c r="BS153" s="228">
        <f t="shared" si="112"/>
        <v>0</v>
      </c>
      <c r="BT153" s="229" t="str">
        <f t="shared" si="113"/>
        <v>-</v>
      </c>
      <c r="BU153" s="526" t="str">
        <f t="shared" si="114"/>
        <v>-</v>
      </c>
      <c r="BV153" s="526" t="str">
        <f t="shared" si="115"/>
        <v>-</v>
      </c>
      <c r="BW153" s="526" t="str">
        <f t="shared" si="116"/>
        <v>-</v>
      </c>
      <c r="BX153" s="230" t="str">
        <f t="shared" si="117"/>
        <v>-</v>
      </c>
      <c r="BY153" s="745"/>
      <c r="BZ153" s="735"/>
      <c r="CA153" s="746"/>
      <c r="CB153" s="229" t="str">
        <f t="shared" si="118"/>
        <v>-</v>
      </c>
      <c r="CC153" s="529" t="str">
        <f t="shared" si="119"/>
        <v>-</v>
      </c>
      <c r="CD153" s="230" t="str">
        <f t="shared" si="120"/>
        <v>-</v>
      </c>
    </row>
    <row r="154" spans="1:82" ht="16.350000000000001" customHeight="1">
      <c r="A154" s="175">
        <f t="shared" si="90"/>
        <v>2023</v>
      </c>
      <c r="B154" s="454" t="str">
        <f t="shared" si="91"/>
        <v>45</v>
      </c>
      <c r="C154" s="454" t="str">
        <f t="array" ref="C154">_xlfn.IFS(_xlfn.NUMBERVALUE(B154)&lt;=13,"Q1",AND(_xlfn.NUMBERVALUE(B154)&gt;13,_xlfn.NUMBERVALUE(B154)&lt;=26),"Q2", AND(_xlfn.NUMBERVALUE(B154)&gt;26,_xlfn.NUMBERVALUE(B154)&lt;=39),"Q3",_xlfn.NUMBERVALUE(B154)&gt;39,"Q4")</f>
        <v>Q4</v>
      </c>
      <c r="D154" s="448">
        <f t="shared" si="121"/>
        <v>44898</v>
      </c>
      <c r="E154" s="448">
        <f t="shared" si="92"/>
        <v>44904</v>
      </c>
      <c r="F154" s="97">
        <v>202245</v>
      </c>
      <c r="G154" s="103"/>
      <c r="H154" s="429"/>
      <c r="I154" s="429"/>
      <c r="J154" s="429"/>
      <c r="K154" s="429"/>
      <c r="L154" s="429"/>
      <c r="M154" s="429"/>
      <c r="N154" s="429"/>
      <c r="O154" s="429"/>
      <c r="P154" s="429"/>
      <c r="Q154" s="429"/>
      <c r="R154" s="429"/>
      <c r="S154" s="429"/>
      <c r="T154" s="429"/>
      <c r="U154" s="429"/>
      <c r="V154" s="429"/>
      <c r="W154" s="429"/>
      <c r="X154" s="429"/>
      <c r="Y154" s="449">
        <f t="shared" si="89"/>
        <v>0</v>
      </c>
      <c r="Z154" s="449">
        <f t="shared" si="122"/>
        <v>0</v>
      </c>
      <c r="AA154" s="214">
        <f>'Overall Metrics'!N155</f>
        <v>0</v>
      </c>
      <c r="AB154" s="110"/>
      <c r="AC154" s="430"/>
      <c r="AD154" s="430"/>
      <c r="AE154" s="430"/>
      <c r="AF154" s="430"/>
      <c r="AG154" s="430"/>
      <c r="AH154" s="430"/>
      <c r="AI154" s="430"/>
      <c r="AJ154" s="430"/>
      <c r="AK154" s="430"/>
      <c r="AL154" s="430"/>
      <c r="AM154" s="430"/>
      <c r="AN154" s="430"/>
      <c r="AO154" s="430"/>
      <c r="AP154" s="430"/>
      <c r="AQ154" s="430"/>
      <c r="AR154" s="219">
        <f t="shared" si="93"/>
        <v>0</v>
      </c>
      <c r="AS154" s="220" t="str">
        <f t="shared" si="94"/>
        <v>-</v>
      </c>
      <c r="AT154" s="472" t="str">
        <f t="shared" si="95"/>
        <v>-</v>
      </c>
      <c r="AU154" s="472" t="str">
        <f t="shared" si="96"/>
        <v>-</v>
      </c>
      <c r="AV154" s="472" t="str">
        <f t="shared" si="97"/>
        <v>-</v>
      </c>
      <c r="AW154" s="472" t="str">
        <f t="shared" si="98"/>
        <v>-</v>
      </c>
      <c r="AX154" s="472" t="str">
        <f t="shared" si="99"/>
        <v>-</v>
      </c>
      <c r="AY154" s="472" t="str">
        <f t="shared" si="100"/>
        <v>-</v>
      </c>
      <c r="AZ154" s="472" t="str">
        <f t="shared" si="101"/>
        <v>-</v>
      </c>
      <c r="BA154" s="472" t="str">
        <f t="shared" si="102"/>
        <v>-</v>
      </c>
      <c r="BB154" s="472" t="str">
        <f t="shared" si="103"/>
        <v>-</v>
      </c>
      <c r="BC154" s="472" t="str">
        <f t="shared" si="104"/>
        <v>-</v>
      </c>
      <c r="BD154" s="472" t="str">
        <f t="shared" si="105"/>
        <v>-</v>
      </c>
      <c r="BE154" s="472" t="str">
        <f t="shared" si="106"/>
        <v>-</v>
      </c>
      <c r="BF154" s="472" t="str">
        <f t="shared" si="107"/>
        <v>-</v>
      </c>
      <c r="BG154" s="472" t="str">
        <f t="shared" si="108"/>
        <v>-</v>
      </c>
      <c r="BH154" s="472" t="str">
        <f t="shared" si="109"/>
        <v>-</v>
      </c>
      <c r="BI154" s="221" t="str">
        <f t="shared" si="110"/>
        <v>-</v>
      </c>
      <c r="BJ154" s="730"/>
      <c r="BK154" s="692"/>
      <c r="BL154" s="429"/>
      <c r="BM154" s="429"/>
      <c r="BN154" s="214">
        <f t="shared" si="111"/>
        <v>0</v>
      </c>
      <c r="BO154" s="741"/>
      <c r="BP154" s="742"/>
      <c r="BQ154" s="446"/>
      <c r="BR154" s="446"/>
      <c r="BS154" s="228">
        <f t="shared" si="112"/>
        <v>0</v>
      </c>
      <c r="BT154" s="229" t="str">
        <f t="shared" si="113"/>
        <v>-</v>
      </c>
      <c r="BU154" s="526" t="str">
        <f t="shared" si="114"/>
        <v>-</v>
      </c>
      <c r="BV154" s="526" t="str">
        <f t="shared" si="115"/>
        <v>-</v>
      </c>
      <c r="BW154" s="526" t="str">
        <f t="shared" si="116"/>
        <v>-</v>
      </c>
      <c r="BX154" s="230" t="str">
        <f t="shared" si="117"/>
        <v>-</v>
      </c>
      <c r="BY154" s="745"/>
      <c r="BZ154" s="735"/>
      <c r="CA154" s="746"/>
      <c r="CB154" s="229" t="str">
        <f t="shared" si="118"/>
        <v>-</v>
      </c>
      <c r="CC154" s="529" t="str">
        <f t="shared" si="119"/>
        <v>-</v>
      </c>
      <c r="CD154" s="230" t="str">
        <f t="shared" si="120"/>
        <v>-</v>
      </c>
    </row>
    <row r="155" spans="1:82" ht="16.350000000000001" customHeight="1">
      <c r="A155" s="175">
        <f t="shared" si="90"/>
        <v>2023</v>
      </c>
      <c r="B155" s="454" t="str">
        <f t="shared" si="91"/>
        <v>46</v>
      </c>
      <c r="C155" s="454" t="str">
        <f t="array" ref="C155">_xlfn.IFS(_xlfn.NUMBERVALUE(B155)&lt;=13,"Q1",AND(_xlfn.NUMBERVALUE(B155)&gt;13,_xlfn.NUMBERVALUE(B155)&lt;=26),"Q2", AND(_xlfn.NUMBERVALUE(B155)&gt;26,_xlfn.NUMBERVALUE(B155)&lt;=39),"Q3",_xlfn.NUMBERVALUE(B155)&gt;39,"Q4")</f>
        <v>Q4</v>
      </c>
      <c r="D155" s="448">
        <f t="shared" si="121"/>
        <v>44905</v>
      </c>
      <c r="E155" s="448">
        <f t="shared" si="92"/>
        <v>44911</v>
      </c>
      <c r="F155" s="97">
        <v>202246</v>
      </c>
      <c r="G155" s="103"/>
      <c r="H155" s="429"/>
      <c r="I155" s="429"/>
      <c r="J155" s="429"/>
      <c r="K155" s="429"/>
      <c r="L155" s="429"/>
      <c r="M155" s="429"/>
      <c r="N155" s="429"/>
      <c r="O155" s="429"/>
      <c r="P155" s="429"/>
      <c r="Q155" s="429"/>
      <c r="R155" s="429"/>
      <c r="S155" s="429"/>
      <c r="T155" s="429"/>
      <c r="U155" s="429"/>
      <c r="V155" s="429"/>
      <c r="W155" s="429"/>
      <c r="X155" s="429"/>
      <c r="Y155" s="449">
        <f t="shared" si="89"/>
        <v>0</v>
      </c>
      <c r="Z155" s="449">
        <f t="shared" si="122"/>
        <v>0</v>
      </c>
      <c r="AA155" s="214">
        <f>'Overall Metrics'!N156</f>
        <v>0</v>
      </c>
      <c r="AB155" s="110"/>
      <c r="AC155" s="430"/>
      <c r="AD155" s="430"/>
      <c r="AE155" s="430"/>
      <c r="AF155" s="430"/>
      <c r="AG155" s="430"/>
      <c r="AH155" s="430"/>
      <c r="AI155" s="430"/>
      <c r="AJ155" s="430"/>
      <c r="AK155" s="430"/>
      <c r="AL155" s="430"/>
      <c r="AM155" s="430"/>
      <c r="AN155" s="430"/>
      <c r="AO155" s="430"/>
      <c r="AP155" s="430"/>
      <c r="AQ155" s="430"/>
      <c r="AR155" s="219">
        <f t="shared" si="93"/>
        <v>0</v>
      </c>
      <c r="AS155" s="220" t="str">
        <f t="shared" si="94"/>
        <v>-</v>
      </c>
      <c r="AT155" s="472" t="str">
        <f t="shared" si="95"/>
        <v>-</v>
      </c>
      <c r="AU155" s="472" t="str">
        <f t="shared" si="96"/>
        <v>-</v>
      </c>
      <c r="AV155" s="472" t="str">
        <f t="shared" si="97"/>
        <v>-</v>
      </c>
      <c r="AW155" s="472" t="str">
        <f t="shared" si="98"/>
        <v>-</v>
      </c>
      <c r="AX155" s="472" t="str">
        <f t="shared" si="99"/>
        <v>-</v>
      </c>
      <c r="AY155" s="472" t="str">
        <f t="shared" si="100"/>
        <v>-</v>
      </c>
      <c r="AZ155" s="472" t="str">
        <f t="shared" si="101"/>
        <v>-</v>
      </c>
      <c r="BA155" s="472" t="str">
        <f t="shared" si="102"/>
        <v>-</v>
      </c>
      <c r="BB155" s="472" t="str">
        <f t="shared" si="103"/>
        <v>-</v>
      </c>
      <c r="BC155" s="472" t="str">
        <f t="shared" si="104"/>
        <v>-</v>
      </c>
      <c r="BD155" s="472" t="str">
        <f t="shared" si="105"/>
        <v>-</v>
      </c>
      <c r="BE155" s="472" t="str">
        <f t="shared" si="106"/>
        <v>-</v>
      </c>
      <c r="BF155" s="472" t="str">
        <f t="shared" si="107"/>
        <v>-</v>
      </c>
      <c r="BG155" s="472" t="str">
        <f t="shared" si="108"/>
        <v>-</v>
      </c>
      <c r="BH155" s="472" t="str">
        <f t="shared" si="109"/>
        <v>-</v>
      </c>
      <c r="BI155" s="221" t="str">
        <f t="shared" si="110"/>
        <v>-</v>
      </c>
      <c r="BJ155" s="730"/>
      <c r="BK155" s="692"/>
      <c r="BL155" s="429"/>
      <c r="BM155" s="429"/>
      <c r="BN155" s="214">
        <f t="shared" si="111"/>
        <v>0</v>
      </c>
      <c r="BO155" s="741"/>
      <c r="BP155" s="742"/>
      <c r="BQ155" s="446"/>
      <c r="BR155" s="446"/>
      <c r="BS155" s="228">
        <f t="shared" si="112"/>
        <v>0</v>
      </c>
      <c r="BT155" s="229" t="str">
        <f t="shared" si="113"/>
        <v>-</v>
      </c>
      <c r="BU155" s="526" t="str">
        <f t="shared" si="114"/>
        <v>-</v>
      </c>
      <c r="BV155" s="526" t="str">
        <f t="shared" si="115"/>
        <v>-</v>
      </c>
      <c r="BW155" s="526" t="str">
        <f t="shared" si="116"/>
        <v>-</v>
      </c>
      <c r="BX155" s="230" t="str">
        <f t="shared" si="117"/>
        <v>-</v>
      </c>
      <c r="BY155" s="745"/>
      <c r="BZ155" s="735"/>
      <c r="CA155" s="746"/>
      <c r="CB155" s="229" t="str">
        <f t="shared" si="118"/>
        <v>-</v>
      </c>
      <c r="CC155" s="529" t="str">
        <f t="shared" si="119"/>
        <v>-</v>
      </c>
      <c r="CD155" s="230" t="str">
        <f t="shared" si="120"/>
        <v>-</v>
      </c>
    </row>
    <row r="156" spans="1:82" ht="16.350000000000001" customHeight="1">
      <c r="A156" s="175">
        <f t="shared" si="90"/>
        <v>2023</v>
      </c>
      <c r="B156" s="454" t="str">
        <f t="shared" si="91"/>
        <v>47</v>
      </c>
      <c r="C156" s="454" t="str">
        <f t="array" ref="C156">_xlfn.IFS(_xlfn.NUMBERVALUE(B156)&lt;=13,"Q1",AND(_xlfn.NUMBERVALUE(B156)&gt;13,_xlfn.NUMBERVALUE(B156)&lt;=26),"Q2", AND(_xlfn.NUMBERVALUE(B156)&gt;26,_xlfn.NUMBERVALUE(B156)&lt;=39),"Q3",_xlfn.NUMBERVALUE(B156)&gt;39,"Q4")</f>
        <v>Q4</v>
      </c>
      <c r="D156" s="448">
        <f t="shared" si="121"/>
        <v>44912</v>
      </c>
      <c r="E156" s="448">
        <f t="shared" si="92"/>
        <v>44918</v>
      </c>
      <c r="F156" s="97">
        <v>202247</v>
      </c>
      <c r="G156" s="103"/>
      <c r="H156" s="429"/>
      <c r="I156" s="429"/>
      <c r="J156" s="429"/>
      <c r="K156" s="429"/>
      <c r="L156" s="429"/>
      <c r="M156" s="429"/>
      <c r="N156" s="429"/>
      <c r="O156" s="429"/>
      <c r="P156" s="429"/>
      <c r="Q156" s="429"/>
      <c r="R156" s="429"/>
      <c r="S156" s="429"/>
      <c r="T156" s="429"/>
      <c r="U156" s="429"/>
      <c r="V156" s="429"/>
      <c r="W156" s="429"/>
      <c r="X156" s="429"/>
      <c r="Y156" s="449">
        <f t="shared" si="89"/>
        <v>0</v>
      </c>
      <c r="Z156" s="449">
        <f t="shared" si="122"/>
        <v>0</v>
      </c>
      <c r="AA156" s="214">
        <f>'Overall Metrics'!N157</f>
        <v>0</v>
      </c>
      <c r="AB156" s="110"/>
      <c r="AC156" s="430"/>
      <c r="AD156" s="430"/>
      <c r="AE156" s="430"/>
      <c r="AF156" s="430"/>
      <c r="AG156" s="430"/>
      <c r="AH156" s="430"/>
      <c r="AI156" s="430"/>
      <c r="AJ156" s="430"/>
      <c r="AK156" s="430"/>
      <c r="AL156" s="430"/>
      <c r="AM156" s="430"/>
      <c r="AN156" s="430"/>
      <c r="AO156" s="430"/>
      <c r="AP156" s="430"/>
      <c r="AQ156" s="430"/>
      <c r="AR156" s="219">
        <f t="shared" si="93"/>
        <v>0</v>
      </c>
      <c r="AS156" s="220" t="str">
        <f t="shared" si="94"/>
        <v>-</v>
      </c>
      <c r="AT156" s="472" t="str">
        <f t="shared" si="95"/>
        <v>-</v>
      </c>
      <c r="AU156" s="472" t="str">
        <f t="shared" si="96"/>
        <v>-</v>
      </c>
      <c r="AV156" s="472" t="str">
        <f t="shared" si="97"/>
        <v>-</v>
      </c>
      <c r="AW156" s="472" t="str">
        <f t="shared" si="98"/>
        <v>-</v>
      </c>
      <c r="AX156" s="472" t="str">
        <f t="shared" si="99"/>
        <v>-</v>
      </c>
      <c r="AY156" s="472" t="str">
        <f t="shared" si="100"/>
        <v>-</v>
      </c>
      <c r="AZ156" s="472" t="str">
        <f t="shared" si="101"/>
        <v>-</v>
      </c>
      <c r="BA156" s="472" t="str">
        <f t="shared" si="102"/>
        <v>-</v>
      </c>
      <c r="BB156" s="472" t="str">
        <f t="shared" si="103"/>
        <v>-</v>
      </c>
      <c r="BC156" s="472" t="str">
        <f t="shared" si="104"/>
        <v>-</v>
      </c>
      <c r="BD156" s="472" t="str">
        <f t="shared" si="105"/>
        <v>-</v>
      </c>
      <c r="BE156" s="472" t="str">
        <f t="shared" si="106"/>
        <v>-</v>
      </c>
      <c r="BF156" s="472" t="str">
        <f t="shared" si="107"/>
        <v>-</v>
      </c>
      <c r="BG156" s="472" t="str">
        <f t="shared" si="108"/>
        <v>-</v>
      </c>
      <c r="BH156" s="472" t="str">
        <f t="shared" si="109"/>
        <v>-</v>
      </c>
      <c r="BI156" s="221" t="str">
        <f t="shared" si="110"/>
        <v>-</v>
      </c>
      <c r="BJ156" s="730"/>
      <c r="BK156" s="692"/>
      <c r="BL156" s="429"/>
      <c r="BM156" s="429"/>
      <c r="BN156" s="214">
        <f t="shared" si="111"/>
        <v>0</v>
      </c>
      <c r="BO156" s="741"/>
      <c r="BP156" s="742"/>
      <c r="BQ156" s="446"/>
      <c r="BR156" s="446"/>
      <c r="BS156" s="228">
        <f t="shared" si="112"/>
        <v>0</v>
      </c>
      <c r="BT156" s="229" t="str">
        <f t="shared" si="113"/>
        <v>-</v>
      </c>
      <c r="BU156" s="526" t="str">
        <f t="shared" si="114"/>
        <v>-</v>
      </c>
      <c r="BV156" s="526" t="str">
        <f t="shared" si="115"/>
        <v>-</v>
      </c>
      <c r="BW156" s="526" t="str">
        <f t="shared" si="116"/>
        <v>-</v>
      </c>
      <c r="BX156" s="230" t="str">
        <f t="shared" si="117"/>
        <v>-</v>
      </c>
      <c r="BY156" s="745"/>
      <c r="BZ156" s="735"/>
      <c r="CA156" s="746"/>
      <c r="CB156" s="229" t="str">
        <f t="shared" si="118"/>
        <v>-</v>
      </c>
      <c r="CC156" s="529" t="str">
        <f t="shared" si="119"/>
        <v>-</v>
      </c>
      <c r="CD156" s="230" t="str">
        <f t="shared" si="120"/>
        <v>-</v>
      </c>
    </row>
    <row r="157" spans="1:82" ht="16.350000000000001" customHeight="1">
      <c r="A157" s="175">
        <f t="shared" si="90"/>
        <v>2023</v>
      </c>
      <c r="B157" s="454" t="str">
        <f t="shared" si="91"/>
        <v>48</v>
      </c>
      <c r="C157" s="454" t="str">
        <f t="array" ref="C157">_xlfn.IFS(_xlfn.NUMBERVALUE(B157)&lt;=13,"Q1",AND(_xlfn.NUMBERVALUE(B157)&gt;13,_xlfn.NUMBERVALUE(B157)&lt;=26),"Q2", AND(_xlfn.NUMBERVALUE(B157)&gt;26,_xlfn.NUMBERVALUE(B157)&lt;=39),"Q3",_xlfn.NUMBERVALUE(B157)&gt;39,"Q4")</f>
        <v>Q4</v>
      </c>
      <c r="D157" s="448">
        <f t="shared" si="121"/>
        <v>44919</v>
      </c>
      <c r="E157" s="448">
        <f t="shared" si="92"/>
        <v>44925</v>
      </c>
      <c r="F157" s="97">
        <v>202248</v>
      </c>
      <c r="G157" s="103"/>
      <c r="H157" s="429"/>
      <c r="I157" s="429"/>
      <c r="J157" s="429"/>
      <c r="K157" s="429"/>
      <c r="L157" s="429"/>
      <c r="M157" s="429"/>
      <c r="N157" s="429"/>
      <c r="O157" s="429"/>
      <c r="P157" s="429"/>
      <c r="Q157" s="429"/>
      <c r="R157" s="429"/>
      <c r="S157" s="429"/>
      <c r="T157" s="429"/>
      <c r="U157" s="429"/>
      <c r="V157" s="429"/>
      <c r="W157" s="429"/>
      <c r="X157" s="429"/>
      <c r="Y157" s="449">
        <f t="shared" si="89"/>
        <v>0</v>
      </c>
      <c r="Z157" s="449">
        <f t="shared" si="122"/>
        <v>0</v>
      </c>
      <c r="AA157" s="214">
        <f>'Overall Metrics'!N158</f>
        <v>0</v>
      </c>
      <c r="AB157" s="110"/>
      <c r="AC157" s="430"/>
      <c r="AD157" s="430"/>
      <c r="AE157" s="430"/>
      <c r="AF157" s="430"/>
      <c r="AG157" s="430"/>
      <c r="AH157" s="430"/>
      <c r="AI157" s="430"/>
      <c r="AJ157" s="430"/>
      <c r="AK157" s="430"/>
      <c r="AL157" s="430"/>
      <c r="AM157" s="430"/>
      <c r="AN157" s="430"/>
      <c r="AO157" s="430"/>
      <c r="AP157" s="430"/>
      <c r="AQ157" s="430"/>
      <c r="AR157" s="219">
        <f t="shared" si="93"/>
        <v>0</v>
      </c>
      <c r="AS157" s="220" t="str">
        <f t="shared" si="94"/>
        <v>-</v>
      </c>
      <c r="AT157" s="472" t="str">
        <f t="shared" si="95"/>
        <v>-</v>
      </c>
      <c r="AU157" s="472" t="str">
        <f t="shared" si="96"/>
        <v>-</v>
      </c>
      <c r="AV157" s="472" t="str">
        <f t="shared" si="97"/>
        <v>-</v>
      </c>
      <c r="AW157" s="472" t="str">
        <f t="shared" si="98"/>
        <v>-</v>
      </c>
      <c r="AX157" s="472" t="str">
        <f t="shared" si="99"/>
        <v>-</v>
      </c>
      <c r="AY157" s="472" t="str">
        <f t="shared" si="100"/>
        <v>-</v>
      </c>
      <c r="AZ157" s="472" t="str">
        <f t="shared" si="101"/>
        <v>-</v>
      </c>
      <c r="BA157" s="472" t="str">
        <f t="shared" si="102"/>
        <v>-</v>
      </c>
      <c r="BB157" s="472" t="str">
        <f t="shared" si="103"/>
        <v>-</v>
      </c>
      <c r="BC157" s="472" t="str">
        <f t="shared" si="104"/>
        <v>-</v>
      </c>
      <c r="BD157" s="472" t="str">
        <f t="shared" si="105"/>
        <v>-</v>
      </c>
      <c r="BE157" s="472" t="str">
        <f t="shared" si="106"/>
        <v>-</v>
      </c>
      <c r="BF157" s="472" t="str">
        <f t="shared" si="107"/>
        <v>-</v>
      </c>
      <c r="BG157" s="472" t="str">
        <f t="shared" si="108"/>
        <v>-</v>
      </c>
      <c r="BH157" s="472" t="str">
        <f t="shared" si="109"/>
        <v>-</v>
      </c>
      <c r="BI157" s="221" t="str">
        <f t="shared" si="110"/>
        <v>-</v>
      </c>
      <c r="BJ157" s="730"/>
      <c r="BK157" s="692"/>
      <c r="BL157" s="429"/>
      <c r="BM157" s="429"/>
      <c r="BN157" s="214">
        <f t="shared" si="111"/>
        <v>0</v>
      </c>
      <c r="BO157" s="741"/>
      <c r="BP157" s="742"/>
      <c r="BQ157" s="446"/>
      <c r="BR157" s="446"/>
      <c r="BS157" s="228">
        <f t="shared" si="112"/>
        <v>0</v>
      </c>
      <c r="BT157" s="229" t="str">
        <f t="shared" si="113"/>
        <v>-</v>
      </c>
      <c r="BU157" s="526" t="str">
        <f t="shared" si="114"/>
        <v>-</v>
      </c>
      <c r="BV157" s="526" t="str">
        <f t="shared" si="115"/>
        <v>-</v>
      </c>
      <c r="BW157" s="526" t="str">
        <f t="shared" si="116"/>
        <v>-</v>
      </c>
      <c r="BX157" s="230" t="str">
        <f t="shared" si="117"/>
        <v>-</v>
      </c>
      <c r="BY157" s="745"/>
      <c r="BZ157" s="735"/>
      <c r="CA157" s="746"/>
      <c r="CB157" s="229" t="str">
        <f t="shared" si="118"/>
        <v>-</v>
      </c>
      <c r="CC157" s="529" t="str">
        <f t="shared" si="119"/>
        <v>-</v>
      </c>
      <c r="CD157" s="230" t="str">
        <f t="shared" si="120"/>
        <v>-</v>
      </c>
    </row>
    <row r="158" spans="1:82" ht="16.350000000000001" customHeight="1">
      <c r="A158" s="175">
        <f t="shared" si="90"/>
        <v>2023</v>
      </c>
      <c r="B158" s="454" t="str">
        <f t="shared" si="91"/>
        <v>49</v>
      </c>
      <c r="C158" s="454" t="str">
        <f t="array" ref="C158">_xlfn.IFS(_xlfn.NUMBERVALUE(B158)&lt;=13,"Q1",AND(_xlfn.NUMBERVALUE(B158)&gt;13,_xlfn.NUMBERVALUE(B158)&lt;=26),"Q2", AND(_xlfn.NUMBERVALUE(B158)&gt;26,_xlfn.NUMBERVALUE(B158)&lt;=39),"Q3",_xlfn.NUMBERVALUE(B158)&gt;39,"Q4")</f>
        <v>Q4</v>
      </c>
      <c r="D158" s="448">
        <f t="shared" si="121"/>
        <v>44926</v>
      </c>
      <c r="E158" s="448">
        <f t="shared" si="92"/>
        <v>44932</v>
      </c>
      <c r="F158" s="97">
        <v>202249</v>
      </c>
      <c r="G158" s="103"/>
      <c r="H158" s="429"/>
      <c r="I158" s="429"/>
      <c r="J158" s="429"/>
      <c r="K158" s="429"/>
      <c r="L158" s="429"/>
      <c r="M158" s="429"/>
      <c r="N158" s="429"/>
      <c r="O158" s="429"/>
      <c r="P158" s="429"/>
      <c r="Q158" s="429"/>
      <c r="R158" s="429"/>
      <c r="S158" s="429"/>
      <c r="T158" s="429"/>
      <c r="U158" s="429"/>
      <c r="V158" s="429"/>
      <c r="W158" s="429"/>
      <c r="X158" s="429"/>
      <c r="Y158" s="449">
        <f t="shared" si="89"/>
        <v>0</v>
      </c>
      <c r="Z158" s="449">
        <f t="shared" si="122"/>
        <v>0</v>
      </c>
      <c r="AA158" s="214">
        <f>'Overall Metrics'!N159</f>
        <v>0</v>
      </c>
      <c r="AB158" s="110"/>
      <c r="AC158" s="430"/>
      <c r="AD158" s="430"/>
      <c r="AE158" s="430"/>
      <c r="AF158" s="430"/>
      <c r="AG158" s="430"/>
      <c r="AH158" s="430"/>
      <c r="AI158" s="430"/>
      <c r="AJ158" s="430"/>
      <c r="AK158" s="430"/>
      <c r="AL158" s="430"/>
      <c r="AM158" s="430"/>
      <c r="AN158" s="430"/>
      <c r="AO158" s="430"/>
      <c r="AP158" s="430"/>
      <c r="AQ158" s="430"/>
      <c r="AR158" s="219">
        <f t="shared" si="93"/>
        <v>0</v>
      </c>
      <c r="AS158" s="220" t="str">
        <f t="shared" si="94"/>
        <v>-</v>
      </c>
      <c r="AT158" s="472" t="str">
        <f t="shared" si="95"/>
        <v>-</v>
      </c>
      <c r="AU158" s="472" t="str">
        <f t="shared" si="96"/>
        <v>-</v>
      </c>
      <c r="AV158" s="472" t="str">
        <f t="shared" si="97"/>
        <v>-</v>
      </c>
      <c r="AW158" s="472" t="str">
        <f t="shared" si="98"/>
        <v>-</v>
      </c>
      <c r="AX158" s="472" t="str">
        <f t="shared" si="99"/>
        <v>-</v>
      </c>
      <c r="AY158" s="472" t="str">
        <f t="shared" si="100"/>
        <v>-</v>
      </c>
      <c r="AZ158" s="472" t="str">
        <f t="shared" si="101"/>
        <v>-</v>
      </c>
      <c r="BA158" s="472" t="str">
        <f t="shared" si="102"/>
        <v>-</v>
      </c>
      <c r="BB158" s="472" t="str">
        <f t="shared" si="103"/>
        <v>-</v>
      </c>
      <c r="BC158" s="472" t="str">
        <f t="shared" si="104"/>
        <v>-</v>
      </c>
      <c r="BD158" s="472" t="str">
        <f t="shared" si="105"/>
        <v>-</v>
      </c>
      <c r="BE158" s="472" t="str">
        <f t="shared" si="106"/>
        <v>-</v>
      </c>
      <c r="BF158" s="472" t="str">
        <f t="shared" si="107"/>
        <v>-</v>
      </c>
      <c r="BG158" s="472" t="str">
        <f t="shared" si="108"/>
        <v>-</v>
      </c>
      <c r="BH158" s="472" t="str">
        <f t="shared" si="109"/>
        <v>-</v>
      </c>
      <c r="BI158" s="221" t="str">
        <f t="shared" si="110"/>
        <v>-</v>
      </c>
      <c r="BJ158" s="730"/>
      <c r="BK158" s="692"/>
      <c r="BL158" s="429"/>
      <c r="BM158" s="429"/>
      <c r="BN158" s="214">
        <f t="shared" si="111"/>
        <v>0</v>
      </c>
      <c r="BO158" s="741"/>
      <c r="BP158" s="742"/>
      <c r="BQ158" s="446"/>
      <c r="BR158" s="446"/>
      <c r="BS158" s="228">
        <f t="shared" si="112"/>
        <v>0</v>
      </c>
      <c r="BT158" s="229" t="str">
        <f t="shared" si="113"/>
        <v>-</v>
      </c>
      <c r="BU158" s="526" t="str">
        <f t="shared" si="114"/>
        <v>-</v>
      </c>
      <c r="BV158" s="526" t="str">
        <f t="shared" si="115"/>
        <v>-</v>
      </c>
      <c r="BW158" s="526" t="str">
        <f t="shared" si="116"/>
        <v>-</v>
      </c>
      <c r="BX158" s="230" t="str">
        <f t="shared" si="117"/>
        <v>-</v>
      </c>
      <c r="BY158" s="745"/>
      <c r="BZ158" s="735"/>
      <c r="CA158" s="746"/>
      <c r="CB158" s="229" t="str">
        <f t="shared" si="118"/>
        <v>-</v>
      </c>
      <c r="CC158" s="529" t="str">
        <f t="shared" si="119"/>
        <v>-</v>
      </c>
      <c r="CD158" s="230" t="str">
        <f t="shared" si="120"/>
        <v>-</v>
      </c>
    </row>
    <row r="159" spans="1:82" ht="16.350000000000001" customHeight="1">
      <c r="A159" s="175">
        <f t="shared" si="90"/>
        <v>2023</v>
      </c>
      <c r="B159" s="454" t="str">
        <f t="shared" si="91"/>
        <v>50</v>
      </c>
      <c r="C159" s="454" t="str">
        <f t="array" ref="C159">_xlfn.IFS(_xlfn.NUMBERVALUE(B159)&lt;=13,"Q1",AND(_xlfn.NUMBERVALUE(B159)&gt;13,_xlfn.NUMBERVALUE(B159)&lt;=26),"Q2", AND(_xlfn.NUMBERVALUE(B159)&gt;26,_xlfn.NUMBERVALUE(B159)&lt;=39),"Q3",_xlfn.NUMBERVALUE(B159)&gt;39,"Q4")</f>
        <v>Q4</v>
      </c>
      <c r="D159" s="448">
        <f t="shared" si="121"/>
        <v>44933</v>
      </c>
      <c r="E159" s="448">
        <f t="shared" si="92"/>
        <v>44939</v>
      </c>
      <c r="F159" s="97">
        <v>202250</v>
      </c>
      <c r="G159" s="103"/>
      <c r="H159" s="429"/>
      <c r="I159" s="429"/>
      <c r="J159" s="429"/>
      <c r="K159" s="429"/>
      <c r="L159" s="429"/>
      <c r="M159" s="429"/>
      <c r="N159" s="429"/>
      <c r="O159" s="464"/>
      <c r="P159" s="464"/>
      <c r="Q159" s="464"/>
      <c r="R159" s="464"/>
      <c r="S159" s="464"/>
      <c r="T159" s="429"/>
      <c r="U159" s="429"/>
      <c r="V159" s="429"/>
      <c r="W159" s="429"/>
      <c r="X159" s="429"/>
      <c r="Y159" s="449">
        <f t="shared" si="89"/>
        <v>0</v>
      </c>
      <c r="Z159" s="449">
        <f t="shared" si="122"/>
        <v>0</v>
      </c>
      <c r="AA159" s="214">
        <f>'Overall Metrics'!N160</f>
        <v>0</v>
      </c>
      <c r="AB159" s="110"/>
      <c r="AC159" s="430"/>
      <c r="AD159" s="430"/>
      <c r="AE159" s="430"/>
      <c r="AF159" s="430"/>
      <c r="AG159" s="430"/>
      <c r="AH159" s="430"/>
      <c r="AI159" s="430"/>
      <c r="AJ159" s="430"/>
      <c r="AK159" s="430"/>
      <c r="AL159" s="430"/>
      <c r="AM159" s="430"/>
      <c r="AN159" s="430"/>
      <c r="AO159" s="430"/>
      <c r="AP159" s="430"/>
      <c r="AQ159" s="430"/>
      <c r="AR159" s="219">
        <f t="shared" si="93"/>
        <v>0</v>
      </c>
      <c r="AS159" s="220" t="str">
        <f t="shared" si="94"/>
        <v>-</v>
      </c>
      <c r="AT159" s="472" t="str">
        <f t="shared" si="95"/>
        <v>-</v>
      </c>
      <c r="AU159" s="472" t="str">
        <f t="shared" si="96"/>
        <v>-</v>
      </c>
      <c r="AV159" s="472" t="str">
        <f t="shared" si="97"/>
        <v>-</v>
      </c>
      <c r="AW159" s="472" t="str">
        <f t="shared" si="98"/>
        <v>-</v>
      </c>
      <c r="AX159" s="472" t="str">
        <f t="shared" si="99"/>
        <v>-</v>
      </c>
      <c r="AY159" s="472" t="str">
        <f t="shared" si="100"/>
        <v>-</v>
      </c>
      <c r="AZ159" s="472" t="str">
        <f t="shared" si="101"/>
        <v>-</v>
      </c>
      <c r="BA159" s="472" t="str">
        <f t="shared" si="102"/>
        <v>-</v>
      </c>
      <c r="BB159" s="472" t="str">
        <f t="shared" si="103"/>
        <v>-</v>
      </c>
      <c r="BC159" s="472" t="str">
        <f t="shared" si="104"/>
        <v>-</v>
      </c>
      <c r="BD159" s="472" t="str">
        <f t="shared" si="105"/>
        <v>-</v>
      </c>
      <c r="BE159" s="472" t="str">
        <f t="shared" si="106"/>
        <v>-</v>
      </c>
      <c r="BF159" s="472" t="str">
        <f t="shared" si="107"/>
        <v>-</v>
      </c>
      <c r="BG159" s="472" t="str">
        <f t="shared" si="108"/>
        <v>-</v>
      </c>
      <c r="BH159" s="472" t="str">
        <f t="shared" si="109"/>
        <v>-</v>
      </c>
      <c r="BI159" s="221" t="str">
        <f t="shared" si="110"/>
        <v>-</v>
      </c>
      <c r="BJ159" s="730"/>
      <c r="BK159" s="692"/>
      <c r="BL159" s="429"/>
      <c r="BM159" s="429"/>
      <c r="BN159" s="214">
        <f t="shared" si="111"/>
        <v>0</v>
      </c>
      <c r="BO159" s="741"/>
      <c r="BP159" s="742"/>
      <c r="BQ159" s="446"/>
      <c r="BR159" s="446"/>
      <c r="BS159" s="228">
        <f t="shared" si="112"/>
        <v>0</v>
      </c>
      <c r="BT159" s="229" t="str">
        <f t="shared" si="113"/>
        <v>-</v>
      </c>
      <c r="BU159" s="526" t="str">
        <f t="shared" si="114"/>
        <v>-</v>
      </c>
      <c r="BV159" s="526" t="str">
        <f t="shared" si="115"/>
        <v>-</v>
      </c>
      <c r="BW159" s="526" t="str">
        <f t="shared" si="116"/>
        <v>-</v>
      </c>
      <c r="BX159" s="230" t="str">
        <f t="shared" si="117"/>
        <v>-</v>
      </c>
      <c r="BY159" s="745"/>
      <c r="BZ159" s="735"/>
      <c r="CA159" s="746"/>
      <c r="CB159" s="229" t="str">
        <f t="shared" si="118"/>
        <v>-</v>
      </c>
      <c r="CC159" s="529" t="str">
        <f t="shared" si="119"/>
        <v>-</v>
      </c>
      <c r="CD159" s="230" t="str">
        <f t="shared" si="120"/>
        <v>-</v>
      </c>
    </row>
    <row r="160" spans="1:82" ht="16.350000000000001" customHeight="1">
      <c r="A160" s="175">
        <f t="shared" si="90"/>
        <v>2023</v>
      </c>
      <c r="B160" s="454" t="str">
        <f t="shared" si="91"/>
        <v>51</v>
      </c>
      <c r="C160" s="454" t="str">
        <f t="array" ref="C160">_xlfn.IFS(_xlfn.NUMBERVALUE(B160)&lt;=13,"Q1",AND(_xlfn.NUMBERVALUE(B160)&gt;13,_xlfn.NUMBERVALUE(B160)&lt;=26),"Q2", AND(_xlfn.NUMBERVALUE(B160)&gt;26,_xlfn.NUMBERVALUE(B160)&lt;=39),"Q3",_xlfn.NUMBERVALUE(B160)&gt;39,"Q4")</f>
        <v>Q4</v>
      </c>
      <c r="D160" s="448">
        <f t="shared" si="121"/>
        <v>44940</v>
      </c>
      <c r="E160" s="448">
        <f t="shared" si="92"/>
        <v>44946</v>
      </c>
      <c r="F160" s="97">
        <v>202251</v>
      </c>
      <c r="G160" s="103"/>
      <c r="H160" s="464"/>
      <c r="I160" s="429"/>
      <c r="J160" s="429"/>
      <c r="K160" s="464"/>
      <c r="L160" s="464"/>
      <c r="M160" s="464"/>
      <c r="N160" s="464"/>
      <c r="O160" s="464"/>
      <c r="P160" s="464"/>
      <c r="Q160" s="464"/>
      <c r="R160" s="464"/>
      <c r="S160" s="464"/>
      <c r="T160" s="429"/>
      <c r="U160" s="429"/>
      <c r="V160" s="429"/>
      <c r="W160" s="429"/>
      <c r="X160" s="429"/>
      <c r="Y160" s="449">
        <f t="shared" si="89"/>
        <v>0</v>
      </c>
      <c r="Z160" s="449">
        <f t="shared" si="122"/>
        <v>0</v>
      </c>
      <c r="AA160" s="214">
        <f>'Overall Metrics'!N161</f>
        <v>0</v>
      </c>
      <c r="AB160" s="110"/>
      <c r="AC160" s="430"/>
      <c r="AD160" s="430"/>
      <c r="AE160" s="430"/>
      <c r="AF160" s="430"/>
      <c r="AG160" s="430"/>
      <c r="AH160" s="430"/>
      <c r="AI160" s="430"/>
      <c r="AJ160" s="430"/>
      <c r="AK160" s="430"/>
      <c r="AL160" s="430"/>
      <c r="AM160" s="430"/>
      <c r="AN160" s="430"/>
      <c r="AO160" s="430"/>
      <c r="AP160" s="430"/>
      <c r="AQ160" s="430"/>
      <c r="AR160" s="219">
        <f t="shared" si="93"/>
        <v>0</v>
      </c>
      <c r="AS160" s="220" t="str">
        <f t="shared" si="94"/>
        <v>-</v>
      </c>
      <c r="AT160" s="472" t="str">
        <f t="shared" si="95"/>
        <v>-</v>
      </c>
      <c r="AU160" s="472" t="str">
        <f t="shared" si="96"/>
        <v>-</v>
      </c>
      <c r="AV160" s="472" t="str">
        <f t="shared" si="97"/>
        <v>-</v>
      </c>
      <c r="AW160" s="472" t="str">
        <f t="shared" si="98"/>
        <v>-</v>
      </c>
      <c r="AX160" s="472" t="str">
        <f t="shared" si="99"/>
        <v>-</v>
      </c>
      <c r="AY160" s="472" t="str">
        <f t="shared" si="100"/>
        <v>-</v>
      </c>
      <c r="AZ160" s="472" t="str">
        <f t="shared" si="101"/>
        <v>-</v>
      </c>
      <c r="BA160" s="472" t="str">
        <f t="shared" si="102"/>
        <v>-</v>
      </c>
      <c r="BB160" s="472" t="str">
        <f t="shared" si="103"/>
        <v>-</v>
      </c>
      <c r="BC160" s="472" t="str">
        <f t="shared" si="104"/>
        <v>-</v>
      </c>
      <c r="BD160" s="472" t="str">
        <f t="shared" si="105"/>
        <v>-</v>
      </c>
      <c r="BE160" s="472" t="str">
        <f t="shared" si="106"/>
        <v>-</v>
      </c>
      <c r="BF160" s="472" t="str">
        <f t="shared" si="107"/>
        <v>-</v>
      </c>
      <c r="BG160" s="472" t="str">
        <f t="shared" si="108"/>
        <v>-</v>
      </c>
      <c r="BH160" s="472" t="str">
        <f t="shared" si="109"/>
        <v>-</v>
      </c>
      <c r="BI160" s="221" t="str">
        <f t="shared" si="110"/>
        <v>-</v>
      </c>
      <c r="BJ160" s="730"/>
      <c r="BK160" s="692"/>
      <c r="BL160" s="429"/>
      <c r="BM160" s="429"/>
      <c r="BN160" s="214">
        <f t="shared" si="111"/>
        <v>0</v>
      </c>
      <c r="BO160" s="741"/>
      <c r="BP160" s="742"/>
      <c r="BQ160" s="446"/>
      <c r="BR160" s="446"/>
      <c r="BS160" s="228">
        <f t="shared" si="112"/>
        <v>0</v>
      </c>
      <c r="BT160" s="229" t="str">
        <f t="shared" si="113"/>
        <v>-</v>
      </c>
      <c r="BU160" s="526" t="str">
        <f t="shared" si="114"/>
        <v>-</v>
      </c>
      <c r="BV160" s="526" t="str">
        <f t="shared" si="115"/>
        <v>-</v>
      </c>
      <c r="BW160" s="526" t="str">
        <f t="shared" si="116"/>
        <v>-</v>
      </c>
      <c r="BX160" s="230" t="str">
        <f t="shared" si="117"/>
        <v>-</v>
      </c>
      <c r="BY160" s="745"/>
      <c r="BZ160" s="735"/>
      <c r="CA160" s="746"/>
      <c r="CB160" s="229" t="str">
        <f t="shared" si="118"/>
        <v>-</v>
      </c>
      <c r="CC160" s="529" t="str">
        <f t="shared" si="119"/>
        <v>-</v>
      </c>
      <c r="CD160" s="230" t="str">
        <f t="shared" si="120"/>
        <v>-</v>
      </c>
    </row>
    <row r="161" spans="1:82" ht="16.350000000000001" customHeight="1">
      <c r="A161" s="175">
        <f t="shared" si="90"/>
        <v>2023</v>
      </c>
      <c r="B161" s="454" t="str">
        <f t="shared" si="91"/>
        <v>52</v>
      </c>
      <c r="C161" s="454" t="str">
        <f t="array" ref="C161">_xlfn.IFS(_xlfn.NUMBERVALUE(B161)&lt;=13,"Q1",AND(_xlfn.NUMBERVALUE(B161)&gt;13,_xlfn.NUMBERVALUE(B161)&lt;=26),"Q2", AND(_xlfn.NUMBERVALUE(B161)&gt;26,_xlfn.NUMBERVALUE(B161)&lt;=39),"Q3",_xlfn.NUMBERVALUE(B161)&gt;39,"Q4")</f>
        <v>Q4</v>
      </c>
      <c r="D161" s="448">
        <f t="shared" si="121"/>
        <v>44947</v>
      </c>
      <c r="E161" s="448">
        <f t="shared" si="92"/>
        <v>44953</v>
      </c>
      <c r="F161" s="97">
        <v>202252</v>
      </c>
      <c r="G161" s="103"/>
      <c r="H161" s="464"/>
      <c r="I161" s="429"/>
      <c r="J161" s="429"/>
      <c r="K161" s="464"/>
      <c r="L161" s="464"/>
      <c r="M161" s="464"/>
      <c r="N161" s="464"/>
      <c r="O161" s="464"/>
      <c r="P161" s="464"/>
      <c r="Q161" s="464"/>
      <c r="R161" s="464"/>
      <c r="S161" s="464"/>
      <c r="T161" s="429"/>
      <c r="U161" s="429"/>
      <c r="V161" s="429"/>
      <c r="W161" s="429"/>
      <c r="X161" s="429"/>
      <c r="Y161" s="449">
        <f t="shared" si="89"/>
        <v>0</v>
      </c>
      <c r="Z161" s="449">
        <f t="shared" si="122"/>
        <v>0</v>
      </c>
      <c r="AA161" s="214">
        <f>'Overall Metrics'!N162</f>
        <v>0</v>
      </c>
      <c r="AB161" s="110"/>
      <c r="AC161" s="430"/>
      <c r="AD161" s="430"/>
      <c r="AE161" s="430"/>
      <c r="AF161" s="430"/>
      <c r="AG161" s="430"/>
      <c r="AH161" s="430"/>
      <c r="AI161" s="430"/>
      <c r="AJ161" s="430"/>
      <c r="AK161" s="430"/>
      <c r="AL161" s="430"/>
      <c r="AM161" s="430"/>
      <c r="AN161" s="430"/>
      <c r="AO161" s="430"/>
      <c r="AP161" s="430"/>
      <c r="AQ161" s="430"/>
      <c r="AR161" s="219">
        <f t="shared" si="93"/>
        <v>0</v>
      </c>
      <c r="AS161" s="220" t="str">
        <f t="shared" si="94"/>
        <v>-</v>
      </c>
      <c r="AT161" s="472" t="str">
        <f t="shared" si="95"/>
        <v>-</v>
      </c>
      <c r="AU161" s="472" t="str">
        <f t="shared" si="96"/>
        <v>-</v>
      </c>
      <c r="AV161" s="472" t="str">
        <f t="shared" si="97"/>
        <v>-</v>
      </c>
      <c r="AW161" s="472" t="str">
        <f t="shared" si="98"/>
        <v>-</v>
      </c>
      <c r="AX161" s="472" t="str">
        <f t="shared" si="99"/>
        <v>-</v>
      </c>
      <c r="AY161" s="472" t="str">
        <f t="shared" si="100"/>
        <v>-</v>
      </c>
      <c r="AZ161" s="472" t="str">
        <f t="shared" si="101"/>
        <v>-</v>
      </c>
      <c r="BA161" s="472" t="str">
        <f t="shared" si="102"/>
        <v>-</v>
      </c>
      <c r="BB161" s="472" t="str">
        <f t="shared" si="103"/>
        <v>-</v>
      </c>
      <c r="BC161" s="472" t="str">
        <f t="shared" si="104"/>
        <v>-</v>
      </c>
      <c r="BD161" s="472" t="str">
        <f t="shared" si="105"/>
        <v>-</v>
      </c>
      <c r="BE161" s="472" t="str">
        <f t="shared" si="106"/>
        <v>-</v>
      </c>
      <c r="BF161" s="472" t="str">
        <f t="shared" si="107"/>
        <v>-</v>
      </c>
      <c r="BG161" s="472" t="str">
        <f t="shared" si="108"/>
        <v>-</v>
      </c>
      <c r="BH161" s="472" t="str">
        <f t="shared" si="109"/>
        <v>-</v>
      </c>
      <c r="BI161" s="221" t="str">
        <f t="shared" si="110"/>
        <v>-</v>
      </c>
      <c r="BJ161" s="730"/>
      <c r="BK161" s="692"/>
      <c r="BL161" s="429"/>
      <c r="BM161" s="429"/>
      <c r="BN161" s="214">
        <f t="shared" si="111"/>
        <v>0</v>
      </c>
      <c r="BO161" s="741"/>
      <c r="BP161" s="742"/>
      <c r="BQ161" s="446"/>
      <c r="BR161" s="446"/>
      <c r="BS161" s="228">
        <f t="shared" si="112"/>
        <v>0</v>
      </c>
      <c r="BT161" s="229" t="str">
        <f t="shared" si="113"/>
        <v>-</v>
      </c>
      <c r="BU161" s="526" t="str">
        <f t="shared" si="114"/>
        <v>-</v>
      </c>
      <c r="BV161" s="526" t="str">
        <f t="shared" si="115"/>
        <v>-</v>
      </c>
      <c r="BW161" s="526" t="str">
        <f t="shared" si="116"/>
        <v>-</v>
      </c>
      <c r="BX161" s="230" t="str">
        <f t="shared" si="117"/>
        <v>-</v>
      </c>
      <c r="BY161" s="745"/>
      <c r="BZ161" s="735"/>
      <c r="CA161" s="746"/>
      <c r="CB161" s="229" t="str">
        <f t="shared" si="118"/>
        <v>-</v>
      </c>
      <c r="CC161" s="529" t="str">
        <f t="shared" si="119"/>
        <v>-</v>
      </c>
      <c r="CD161" s="230" t="str">
        <f t="shared" si="120"/>
        <v>-</v>
      </c>
    </row>
    <row r="162" spans="1:82" ht="16.350000000000001" customHeight="1">
      <c r="A162" s="175">
        <f t="shared" si="90"/>
        <v>2024</v>
      </c>
      <c r="B162" s="454" t="str">
        <f t="shared" si="91"/>
        <v>01</v>
      </c>
      <c r="C162" s="454" t="str">
        <f t="array" ref="C162">_xlfn.IFS(_xlfn.NUMBERVALUE(B162)&lt;=13,"Q1",AND(_xlfn.NUMBERVALUE(B162)&gt;13,_xlfn.NUMBERVALUE(B162)&lt;=26),"Q2", AND(_xlfn.NUMBERVALUE(B162)&gt;26,_xlfn.NUMBERVALUE(B162)&lt;=39),"Q3",_xlfn.NUMBERVALUE(B162)&gt;39,"Q4")</f>
        <v>Q1</v>
      </c>
      <c r="D162" s="448">
        <f t="shared" si="121"/>
        <v>44954</v>
      </c>
      <c r="E162" s="448">
        <f t="shared" si="92"/>
        <v>44960</v>
      </c>
      <c r="F162" s="97">
        <v>202301</v>
      </c>
      <c r="G162" s="103"/>
      <c r="H162" s="429"/>
      <c r="I162" s="429"/>
      <c r="J162" s="429"/>
      <c r="K162" s="429"/>
      <c r="L162" s="429"/>
      <c r="M162" s="429"/>
      <c r="N162" s="429"/>
      <c r="O162" s="429"/>
      <c r="P162" s="429"/>
      <c r="Q162" s="429"/>
      <c r="R162" s="429"/>
      <c r="S162" s="429"/>
      <c r="T162" s="429"/>
      <c r="U162" s="429"/>
      <c r="V162" s="429"/>
      <c r="W162" s="429"/>
      <c r="X162" s="429"/>
      <c r="Y162" s="449">
        <f t="shared" si="89"/>
        <v>0</v>
      </c>
      <c r="Z162" s="449">
        <f t="shared" si="122"/>
        <v>0</v>
      </c>
      <c r="AA162" s="214">
        <f>'Overall Metrics'!N163</f>
        <v>0</v>
      </c>
      <c r="AB162" s="110"/>
      <c r="AC162" s="430"/>
      <c r="AD162" s="430"/>
      <c r="AE162" s="430"/>
      <c r="AF162" s="430"/>
      <c r="AG162" s="430"/>
      <c r="AH162" s="430"/>
      <c r="AI162" s="462"/>
      <c r="AJ162" s="430"/>
      <c r="AK162" s="430"/>
      <c r="AL162" s="430"/>
      <c r="AM162" s="430"/>
      <c r="AN162" s="430"/>
      <c r="AO162" s="430"/>
      <c r="AP162" s="430"/>
      <c r="AQ162" s="430"/>
      <c r="AR162" s="219">
        <f t="shared" si="93"/>
        <v>0</v>
      </c>
      <c r="AS162" s="220" t="str">
        <f t="shared" si="94"/>
        <v>-</v>
      </c>
      <c r="AT162" s="472" t="str">
        <f t="shared" si="95"/>
        <v>-</v>
      </c>
      <c r="AU162" s="472" t="str">
        <f t="shared" si="96"/>
        <v>-</v>
      </c>
      <c r="AV162" s="472" t="str">
        <f t="shared" si="97"/>
        <v>-</v>
      </c>
      <c r="AW162" s="472" t="str">
        <f t="shared" si="98"/>
        <v>-</v>
      </c>
      <c r="AX162" s="472" t="str">
        <f t="shared" si="99"/>
        <v>-</v>
      </c>
      <c r="AY162" s="472" t="str">
        <f t="shared" si="100"/>
        <v>-</v>
      </c>
      <c r="AZ162" s="472" t="str">
        <f t="shared" si="101"/>
        <v>-</v>
      </c>
      <c r="BA162" s="472" t="str">
        <f t="shared" si="102"/>
        <v>-</v>
      </c>
      <c r="BB162" s="472" t="str">
        <f t="shared" si="103"/>
        <v>-</v>
      </c>
      <c r="BC162" s="472" t="str">
        <f t="shared" si="104"/>
        <v>-</v>
      </c>
      <c r="BD162" s="472" t="str">
        <f t="shared" si="105"/>
        <v>-</v>
      </c>
      <c r="BE162" s="472" t="str">
        <f t="shared" si="106"/>
        <v>-</v>
      </c>
      <c r="BF162" s="472" t="str">
        <f t="shared" si="107"/>
        <v>-</v>
      </c>
      <c r="BG162" s="472" t="str">
        <f t="shared" si="108"/>
        <v>-</v>
      </c>
      <c r="BH162" s="472" t="str">
        <f t="shared" si="109"/>
        <v>-</v>
      </c>
      <c r="BI162" s="221" t="str">
        <f t="shared" si="110"/>
        <v>-</v>
      </c>
      <c r="BJ162" s="730"/>
      <c r="BK162" s="692"/>
      <c r="BL162" s="429"/>
      <c r="BM162" s="429"/>
      <c r="BN162" s="214">
        <f t="shared" si="111"/>
        <v>0</v>
      </c>
      <c r="BO162" s="738"/>
      <c r="BP162" s="740"/>
      <c r="BQ162" s="462"/>
      <c r="BR162" s="462"/>
      <c r="BS162" s="228">
        <f t="shared" si="112"/>
        <v>0</v>
      </c>
      <c r="BT162" s="407" t="str">
        <f t="shared" si="113"/>
        <v>-</v>
      </c>
      <c r="BU162" s="529" t="str">
        <f t="shared" si="114"/>
        <v>-</v>
      </c>
      <c r="BV162" s="529" t="str">
        <f t="shared" si="115"/>
        <v>-</v>
      </c>
      <c r="BW162" s="529" t="str">
        <f t="shared" si="116"/>
        <v>-</v>
      </c>
      <c r="BX162" s="221" t="str">
        <f t="shared" si="117"/>
        <v>-</v>
      </c>
      <c r="BY162" s="745"/>
      <c r="BZ162" s="735"/>
      <c r="CA162" s="746"/>
      <c r="CB162" s="407" t="str">
        <f t="shared" si="118"/>
        <v>-</v>
      </c>
      <c r="CC162" s="529" t="str">
        <f t="shared" si="119"/>
        <v>-</v>
      </c>
      <c r="CD162" s="221" t="str">
        <f t="shared" si="120"/>
        <v>-</v>
      </c>
    </row>
    <row r="163" spans="1:82" ht="16.350000000000001" customHeight="1">
      <c r="A163" s="175">
        <f t="shared" si="90"/>
        <v>2024</v>
      </c>
      <c r="B163" s="454" t="str">
        <f t="shared" si="91"/>
        <v>02</v>
      </c>
      <c r="C163" s="454" t="str">
        <f t="array" ref="C163">_xlfn.IFS(_xlfn.NUMBERVALUE(B163)&lt;=13,"Q1",AND(_xlfn.NUMBERVALUE(B163)&gt;13,_xlfn.NUMBERVALUE(B163)&lt;=26),"Q2", AND(_xlfn.NUMBERVALUE(B163)&gt;26,_xlfn.NUMBERVALUE(B163)&lt;=39),"Q3",_xlfn.NUMBERVALUE(B163)&gt;39,"Q4")</f>
        <v>Q1</v>
      </c>
      <c r="D163" s="448">
        <f t="shared" si="121"/>
        <v>44961</v>
      </c>
      <c r="E163" s="448">
        <f t="shared" si="92"/>
        <v>44967</v>
      </c>
      <c r="F163" s="97">
        <v>202302</v>
      </c>
      <c r="G163" s="103"/>
      <c r="H163" s="429"/>
      <c r="I163" s="429"/>
      <c r="J163" s="429"/>
      <c r="K163" s="429"/>
      <c r="L163" s="429"/>
      <c r="M163" s="429"/>
      <c r="N163" s="429"/>
      <c r="O163" s="429"/>
      <c r="P163" s="429"/>
      <c r="Q163" s="429"/>
      <c r="R163" s="429"/>
      <c r="S163" s="429"/>
      <c r="T163" s="429"/>
      <c r="U163" s="429"/>
      <c r="V163" s="429"/>
      <c r="W163" s="429"/>
      <c r="X163" s="429"/>
      <c r="Y163" s="449">
        <f t="shared" si="89"/>
        <v>0</v>
      </c>
      <c r="Z163" s="449">
        <f t="shared" si="122"/>
        <v>0</v>
      </c>
      <c r="AA163" s="214">
        <f>'Overall Metrics'!N164</f>
        <v>0</v>
      </c>
      <c r="AB163" s="202"/>
      <c r="AC163" s="430"/>
      <c r="AD163" s="430"/>
      <c r="AE163" s="430"/>
      <c r="AF163" s="430"/>
      <c r="AG163" s="430"/>
      <c r="AH163" s="430"/>
      <c r="AI163" s="462"/>
      <c r="AJ163" s="430"/>
      <c r="AK163" s="430"/>
      <c r="AL163" s="430"/>
      <c r="AM163" s="430"/>
      <c r="AN163" s="430"/>
      <c r="AO163" s="430"/>
      <c r="AP163" s="430"/>
      <c r="AQ163" s="430"/>
      <c r="AR163" s="219">
        <f t="shared" si="93"/>
        <v>0</v>
      </c>
      <c r="AS163" s="220" t="str">
        <f t="shared" si="94"/>
        <v>-</v>
      </c>
      <c r="AT163" s="472" t="str">
        <f t="shared" si="95"/>
        <v>-</v>
      </c>
      <c r="AU163" s="472" t="str">
        <f t="shared" si="96"/>
        <v>-</v>
      </c>
      <c r="AV163" s="472" t="str">
        <f t="shared" si="97"/>
        <v>-</v>
      </c>
      <c r="AW163" s="472" t="str">
        <f t="shared" si="98"/>
        <v>-</v>
      </c>
      <c r="AX163" s="472" t="str">
        <f t="shared" si="99"/>
        <v>-</v>
      </c>
      <c r="AY163" s="472" t="str">
        <f t="shared" si="100"/>
        <v>-</v>
      </c>
      <c r="AZ163" s="472" t="str">
        <f t="shared" si="101"/>
        <v>-</v>
      </c>
      <c r="BA163" s="472" t="str">
        <f t="shared" si="102"/>
        <v>-</v>
      </c>
      <c r="BB163" s="472" t="str">
        <f t="shared" si="103"/>
        <v>-</v>
      </c>
      <c r="BC163" s="472" t="str">
        <f t="shared" si="104"/>
        <v>-</v>
      </c>
      <c r="BD163" s="472" t="str">
        <f t="shared" si="105"/>
        <v>-</v>
      </c>
      <c r="BE163" s="472" t="str">
        <f t="shared" si="106"/>
        <v>-</v>
      </c>
      <c r="BF163" s="472" t="str">
        <f t="shared" si="107"/>
        <v>-</v>
      </c>
      <c r="BG163" s="472" t="str">
        <f t="shared" si="108"/>
        <v>-</v>
      </c>
      <c r="BH163" s="472" t="str">
        <f t="shared" si="109"/>
        <v>-</v>
      </c>
      <c r="BI163" s="221" t="str">
        <f t="shared" si="110"/>
        <v>-</v>
      </c>
      <c r="BJ163" s="730"/>
      <c r="BK163" s="692"/>
      <c r="BL163" s="429"/>
      <c r="BM163" s="429"/>
      <c r="BN163" s="214">
        <f t="shared" si="111"/>
        <v>0</v>
      </c>
      <c r="BO163" s="738"/>
      <c r="BP163" s="740"/>
      <c r="BQ163" s="462"/>
      <c r="BR163" s="462"/>
      <c r="BS163" s="228">
        <f t="shared" si="112"/>
        <v>0</v>
      </c>
      <c r="BT163" s="407" t="str">
        <f t="shared" si="113"/>
        <v>-</v>
      </c>
      <c r="BU163" s="529" t="str">
        <f t="shared" si="114"/>
        <v>-</v>
      </c>
      <c r="BV163" s="529" t="str">
        <f t="shared" si="115"/>
        <v>-</v>
      </c>
      <c r="BW163" s="529" t="str">
        <f t="shared" si="116"/>
        <v>-</v>
      </c>
      <c r="BX163" s="221" t="str">
        <f t="shared" si="117"/>
        <v>-</v>
      </c>
      <c r="BY163" s="745"/>
      <c r="BZ163" s="735"/>
      <c r="CA163" s="746"/>
      <c r="CB163" s="407" t="str">
        <f t="shared" si="118"/>
        <v>-</v>
      </c>
      <c r="CC163" s="529" t="str">
        <f t="shared" si="119"/>
        <v>-</v>
      </c>
      <c r="CD163" s="221" t="str">
        <f t="shared" si="120"/>
        <v>-</v>
      </c>
    </row>
    <row r="164" spans="1:82" ht="16.350000000000001" customHeight="1">
      <c r="A164" s="175">
        <f t="shared" si="90"/>
        <v>2024</v>
      </c>
      <c r="B164" s="454" t="str">
        <f t="shared" si="91"/>
        <v>03</v>
      </c>
      <c r="C164" s="454" t="str">
        <f t="array" ref="C164">_xlfn.IFS(_xlfn.NUMBERVALUE(B164)&lt;=13,"Q1",AND(_xlfn.NUMBERVALUE(B164)&gt;13,_xlfn.NUMBERVALUE(B164)&lt;=26),"Q2", AND(_xlfn.NUMBERVALUE(B164)&gt;26,_xlfn.NUMBERVALUE(B164)&lt;=39),"Q3",_xlfn.NUMBERVALUE(B164)&gt;39,"Q4")</f>
        <v>Q1</v>
      </c>
      <c r="D164" s="448">
        <f t="shared" si="121"/>
        <v>44968</v>
      </c>
      <c r="E164" s="448">
        <f t="shared" si="92"/>
        <v>44974</v>
      </c>
      <c r="F164" s="97">
        <v>202303</v>
      </c>
      <c r="G164" s="103"/>
      <c r="H164" s="429"/>
      <c r="I164" s="429"/>
      <c r="J164" s="429"/>
      <c r="K164" s="429"/>
      <c r="L164" s="429"/>
      <c r="M164" s="429"/>
      <c r="N164" s="429"/>
      <c r="O164" s="429"/>
      <c r="P164" s="429"/>
      <c r="Q164" s="429"/>
      <c r="R164" s="429"/>
      <c r="S164" s="429"/>
      <c r="T164" s="429"/>
      <c r="U164" s="429"/>
      <c r="V164" s="429"/>
      <c r="W164" s="429"/>
      <c r="X164" s="429"/>
      <c r="Y164" s="449">
        <f t="shared" si="89"/>
        <v>0</v>
      </c>
      <c r="Z164" s="449">
        <f t="shared" si="122"/>
        <v>0</v>
      </c>
      <c r="AA164" s="214">
        <f>'Overall Metrics'!N165</f>
        <v>0</v>
      </c>
      <c r="AB164" s="202"/>
      <c r="AC164" s="430"/>
      <c r="AD164" s="430"/>
      <c r="AE164" s="430"/>
      <c r="AF164" s="430"/>
      <c r="AG164" s="430"/>
      <c r="AH164" s="430"/>
      <c r="AI164" s="462"/>
      <c r="AJ164" s="430"/>
      <c r="AK164" s="430"/>
      <c r="AL164" s="430"/>
      <c r="AM164" s="430"/>
      <c r="AN164" s="430"/>
      <c r="AO164" s="430"/>
      <c r="AP164" s="430"/>
      <c r="AQ164" s="430"/>
      <c r="AR164" s="219">
        <f t="shared" si="93"/>
        <v>0</v>
      </c>
      <c r="AS164" s="220" t="str">
        <f t="shared" si="94"/>
        <v>-</v>
      </c>
      <c r="AT164" s="472" t="str">
        <f t="shared" si="95"/>
        <v>-</v>
      </c>
      <c r="AU164" s="472" t="str">
        <f t="shared" si="96"/>
        <v>-</v>
      </c>
      <c r="AV164" s="472" t="str">
        <f t="shared" si="97"/>
        <v>-</v>
      </c>
      <c r="AW164" s="472" t="str">
        <f t="shared" si="98"/>
        <v>-</v>
      </c>
      <c r="AX164" s="472" t="str">
        <f t="shared" si="99"/>
        <v>-</v>
      </c>
      <c r="AY164" s="472" t="str">
        <f t="shared" si="100"/>
        <v>-</v>
      </c>
      <c r="AZ164" s="472" t="str">
        <f t="shared" si="101"/>
        <v>-</v>
      </c>
      <c r="BA164" s="472" t="str">
        <f t="shared" si="102"/>
        <v>-</v>
      </c>
      <c r="BB164" s="472" t="str">
        <f t="shared" si="103"/>
        <v>-</v>
      </c>
      <c r="BC164" s="472" t="str">
        <f t="shared" si="104"/>
        <v>-</v>
      </c>
      <c r="BD164" s="472" t="str">
        <f t="shared" si="105"/>
        <v>-</v>
      </c>
      <c r="BE164" s="472" t="str">
        <f t="shared" si="106"/>
        <v>-</v>
      </c>
      <c r="BF164" s="472" t="str">
        <f t="shared" si="107"/>
        <v>-</v>
      </c>
      <c r="BG164" s="472" t="str">
        <f t="shared" si="108"/>
        <v>-</v>
      </c>
      <c r="BH164" s="472" t="str">
        <f t="shared" si="109"/>
        <v>-</v>
      </c>
      <c r="BI164" s="221" t="str">
        <f t="shared" si="110"/>
        <v>-</v>
      </c>
      <c r="BJ164" s="730"/>
      <c r="BK164" s="692"/>
      <c r="BL164" s="429"/>
      <c r="BM164" s="429"/>
      <c r="BN164" s="214">
        <f t="shared" si="111"/>
        <v>0</v>
      </c>
      <c r="BO164" s="738"/>
      <c r="BP164" s="740"/>
      <c r="BQ164" s="462"/>
      <c r="BR164" s="462"/>
      <c r="BS164" s="228">
        <f t="shared" si="112"/>
        <v>0</v>
      </c>
      <c r="BT164" s="407" t="str">
        <f t="shared" si="113"/>
        <v>-</v>
      </c>
      <c r="BU164" s="529" t="str">
        <f t="shared" si="114"/>
        <v>-</v>
      </c>
      <c r="BV164" s="529" t="str">
        <f t="shared" si="115"/>
        <v>-</v>
      </c>
      <c r="BW164" s="529" t="str">
        <f t="shared" si="116"/>
        <v>-</v>
      </c>
      <c r="BX164" s="221" t="str">
        <f t="shared" si="117"/>
        <v>-</v>
      </c>
      <c r="BY164" s="745"/>
      <c r="BZ164" s="735"/>
      <c r="CA164" s="746"/>
      <c r="CB164" s="407" t="str">
        <f t="shared" si="118"/>
        <v>-</v>
      </c>
      <c r="CC164" s="529" t="str">
        <f t="shared" si="119"/>
        <v>-</v>
      </c>
      <c r="CD164" s="221" t="str">
        <f t="shared" si="120"/>
        <v>-</v>
      </c>
    </row>
    <row r="165" spans="1:82" ht="16.350000000000001" customHeight="1">
      <c r="A165" s="175">
        <f t="shared" si="90"/>
        <v>2024</v>
      </c>
      <c r="B165" s="454" t="str">
        <f t="shared" si="91"/>
        <v>04</v>
      </c>
      <c r="C165" s="454" t="str">
        <f t="array" ref="C165">_xlfn.IFS(_xlfn.NUMBERVALUE(B165)&lt;=13,"Q1",AND(_xlfn.NUMBERVALUE(B165)&gt;13,_xlfn.NUMBERVALUE(B165)&lt;=26),"Q2", AND(_xlfn.NUMBERVALUE(B165)&gt;26,_xlfn.NUMBERVALUE(B165)&lt;=39),"Q3",_xlfn.NUMBERVALUE(B165)&gt;39,"Q4")</f>
        <v>Q1</v>
      </c>
      <c r="D165" s="448">
        <f t="shared" si="121"/>
        <v>44975</v>
      </c>
      <c r="E165" s="448">
        <f t="shared" si="92"/>
        <v>44981</v>
      </c>
      <c r="F165" s="97">
        <v>202304</v>
      </c>
      <c r="G165" s="103"/>
      <c r="H165" s="429"/>
      <c r="I165" s="429"/>
      <c r="J165" s="429"/>
      <c r="K165" s="429"/>
      <c r="L165" s="429"/>
      <c r="M165" s="429"/>
      <c r="N165" s="429"/>
      <c r="O165" s="429"/>
      <c r="P165" s="429"/>
      <c r="Q165" s="429"/>
      <c r="R165" s="429"/>
      <c r="S165" s="429"/>
      <c r="T165" s="429"/>
      <c r="U165" s="429"/>
      <c r="V165" s="429"/>
      <c r="W165" s="429"/>
      <c r="X165" s="429"/>
      <c r="Y165" s="449">
        <f t="shared" si="89"/>
        <v>0</v>
      </c>
      <c r="Z165" s="449">
        <f t="shared" si="122"/>
        <v>0</v>
      </c>
      <c r="AA165" s="214">
        <f>'Overall Metrics'!N166</f>
        <v>0</v>
      </c>
      <c r="AB165" s="202"/>
      <c r="AC165" s="430"/>
      <c r="AD165" s="430"/>
      <c r="AE165" s="430"/>
      <c r="AF165" s="430"/>
      <c r="AG165" s="430"/>
      <c r="AH165" s="430"/>
      <c r="AI165" s="462"/>
      <c r="AJ165" s="430"/>
      <c r="AK165" s="430"/>
      <c r="AL165" s="430"/>
      <c r="AM165" s="430"/>
      <c r="AN165" s="430"/>
      <c r="AO165" s="430"/>
      <c r="AP165" s="430"/>
      <c r="AQ165" s="430"/>
      <c r="AR165" s="219">
        <f t="shared" si="93"/>
        <v>0</v>
      </c>
      <c r="AS165" s="220" t="str">
        <f t="shared" si="94"/>
        <v>-</v>
      </c>
      <c r="AT165" s="472" t="str">
        <f t="shared" si="95"/>
        <v>-</v>
      </c>
      <c r="AU165" s="472" t="str">
        <f t="shared" si="96"/>
        <v>-</v>
      </c>
      <c r="AV165" s="472" t="str">
        <f t="shared" si="97"/>
        <v>-</v>
      </c>
      <c r="AW165" s="472" t="str">
        <f t="shared" si="98"/>
        <v>-</v>
      </c>
      <c r="AX165" s="472" t="str">
        <f t="shared" si="99"/>
        <v>-</v>
      </c>
      <c r="AY165" s="472" t="str">
        <f t="shared" si="100"/>
        <v>-</v>
      </c>
      <c r="AZ165" s="472" t="str">
        <f t="shared" si="101"/>
        <v>-</v>
      </c>
      <c r="BA165" s="472" t="str">
        <f t="shared" si="102"/>
        <v>-</v>
      </c>
      <c r="BB165" s="472" t="str">
        <f t="shared" si="103"/>
        <v>-</v>
      </c>
      <c r="BC165" s="472" t="str">
        <f t="shared" si="104"/>
        <v>-</v>
      </c>
      <c r="BD165" s="472" t="str">
        <f t="shared" si="105"/>
        <v>-</v>
      </c>
      <c r="BE165" s="472" t="str">
        <f t="shared" si="106"/>
        <v>-</v>
      </c>
      <c r="BF165" s="472" t="str">
        <f t="shared" si="107"/>
        <v>-</v>
      </c>
      <c r="BG165" s="472" t="str">
        <f t="shared" si="108"/>
        <v>-</v>
      </c>
      <c r="BH165" s="472" t="str">
        <f t="shared" si="109"/>
        <v>-</v>
      </c>
      <c r="BI165" s="221" t="str">
        <f t="shared" si="110"/>
        <v>-</v>
      </c>
      <c r="BJ165" s="730"/>
      <c r="BK165" s="692"/>
      <c r="BL165" s="429"/>
      <c r="BM165" s="429"/>
      <c r="BN165" s="214">
        <f t="shared" si="111"/>
        <v>0</v>
      </c>
      <c r="BO165" s="738"/>
      <c r="BP165" s="740"/>
      <c r="BQ165" s="462"/>
      <c r="BR165" s="462"/>
      <c r="BS165" s="228">
        <f t="shared" si="112"/>
        <v>0</v>
      </c>
      <c r="BT165" s="407" t="str">
        <f t="shared" si="113"/>
        <v>-</v>
      </c>
      <c r="BU165" s="529" t="str">
        <f t="shared" si="114"/>
        <v>-</v>
      </c>
      <c r="BV165" s="529" t="str">
        <f t="shared" si="115"/>
        <v>-</v>
      </c>
      <c r="BW165" s="529" t="str">
        <f t="shared" si="116"/>
        <v>-</v>
      </c>
      <c r="BX165" s="221" t="str">
        <f t="shared" si="117"/>
        <v>-</v>
      </c>
      <c r="BY165" s="745"/>
      <c r="BZ165" s="735"/>
      <c r="CA165" s="746"/>
      <c r="CB165" s="407" t="str">
        <f t="shared" si="118"/>
        <v>-</v>
      </c>
      <c r="CC165" s="529" t="str">
        <f t="shared" si="119"/>
        <v>-</v>
      </c>
      <c r="CD165" s="221" t="str">
        <f t="shared" si="120"/>
        <v>-</v>
      </c>
    </row>
    <row r="166" spans="1:82" ht="16.350000000000001" customHeight="1">
      <c r="A166" s="175">
        <f t="shared" si="90"/>
        <v>2024</v>
      </c>
      <c r="B166" s="454" t="str">
        <f t="shared" si="91"/>
        <v>05</v>
      </c>
      <c r="C166" s="454" t="str">
        <f t="array" ref="C166">_xlfn.IFS(_xlfn.NUMBERVALUE(B166)&lt;=13,"Q1",AND(_xlfn.NUMBERVALUE(B166)&gt;13,_xlfn.NUMBERVALUE(B166)&lt;=26),"Q2", AND(_xlfn.NUMBERVALUE(B166)&gt;26,_xlfn.NUMBERVALUE(B166)&lt;=39),"Q3",_xlfn.NUMBERVALUE(B166)&gt;39,"Q4")</f>
        <v>Q1</v>
      </c>
      <c r="D166" s="448">
        <f t="shared" si="121"/>
        <v>44982</v>
      </c>
      <c r="E166" s="448">
        <f t="shared" si="92"/>
        <v>44988</v>
      </c>
      <c r="F166" s="97">
        <v>202305</v>
      </c>
      <c r="G166" s="103"/>
      <c r="H166" s="429"/>
      <c r="I166" s="429"/>
      <c r="J166" s="429"/>
      <c r="K166" s="429"/>
      <c r="L166" s="429"/>
      <c r="M166" s="429"/>
      <c r="N166" s="429"/>
      <c r="O166" s="429"/>
      <c r="P166" s="429"/>
      <c r="Q166" s="429"/>
      <c r="R166" s="429"/>
      <c r="S166" s="429"/>
      <c r="T166" s="429"/>
      <c r="U166" s="429"/>
      <c r="V166" s="429"/>
      <c r="W166" s="429"/>
      <c r="X166" s="429"/>
      <c r="Y166" s="449">
        <f t="shared" si="89"/>
        <v>0</v>
      </c>
      <c r="Z166" s="449">
        <f t="shared" si="122"/>
        <v>0</v>
      </c>
      <c r="AA166" s="214">
        <f>'Overall Metrics'!N167</f>
        <v>0</v>
      </c>
      <c r="AB166" s="202"/>
      <c r="AC166" s="430"/>
      <c r="AD166" s="430"/>
      <c r="AE166" s="430"/>
      <c r="AF166" s="430"/>
      <c r="AG166" s="430"/>
      <c r="AH166" s="430"/>
      <c r="AI166" s="462"/>
      <c r="AJ166" s="430"/>
      <c r="AK166" s="430"/>
      <c r="AL166" s="430"/>
      <c r="AM166" s="430"/>
      <c r="AN166" s="430"/>
      <c r="AO166" s="430"/>
      <c r="AP166" s="430"/>
      <c r="AQ166" s="430"/>
      <c r="AR166" s="219">
        <f t="shared" si="93"/>
        <v>0</v>
      </c>
      <c r="AS166" s="220" t="str">
        <f t="shared" si="94"/>
        <v>-</v>
      </c>
      <c r="AT166" s="472" t="str">
        <f t="shared" si="95"/>
        <v>-</v>
      </c>
      <c r="AU166" s="472" t="str">
        <f t="shared" si="96"/>
        <v>-</v>
      </c>
      <c r="AV166" s="472" t="str">
        <f t="shared" si="97"/>
        <v>-</v>
      </c>
      <c r="AW166" s="472" t="str">
        <f t="shared" si="98"/>
        <v>-</v>
      </c>
      <c r="AX166" s="472" t="str">
        <f t="shared" si="99"/>
        <v>-</v>
      </c>
      <c r="AY166" s="472" t="str">
        <f t="shared" ref="AY166:AY188" si="123">IFERROR(AH166/O166,"-")</f>
        <v>-</v>
      </c>
      <c r="AZ166" s="472" t="str">
        <f t="shared" ref="AZ166:AZ188" si="124">IFERROR(AI166/P166,"-")</f>
        <v>-</v>
      </c>
      <c r="BA166" s="472" t="str">
        <f t="shared" ref="BA166:BA188" si="125">IFERROR(AJ166/Q166,"-")</f>
        <v>-</v>
      </c>
      <c r="BB166" s="472" t="str">
        <f t="shared" ref="BB166:BB188" si="126">IFERROR(AK166/R166,"-")</f>
        <v>-</v>
      </c>
      <c r="BC166" s="472" t="str">
        <f t="shared" ref="BC166:BC188" si="127">IFERROR(AL166/S166,"-")</f>
        <v>-</v>
      </c>
      <c r="BD166" s="472" t="str">
        <f t="shared" ref="BD166:BD188" si="128">IFERROR(AM166/T166,"-")</f>
        <v>-</v>
      </c>
      <c r="BE166" s="472" t="str">
        <f t="shared" ref="BE166:BE188" si="129">IFERROR(AN166/U166,"-")</f>
        <v>-</v>
      </c>
      <c r="BF166" s="472" t="str">
        <f t="shared" ref="BF166:BF188" si="130">IFERROR(AO166/V166,"-")</f>
        <v>-</v>
      </c>
      <c r="BG166" s="472" t="str">
        <f t="shared" ref="BG166:BG188" si="131">IFERROR(AP166/W166,"-")</f>
        <v>-</v>
      </c>
      <c r="BH166" s="472" t="str">
        <f t="shared" ref="BH166:BH188" si="132">IFERROR(AQ166/X166,"-")</f>
        <v>-</v>
      </c>
      <c r="BI166" s="221" t="str">
        <f t="shared" si="110"/>
        <v>-</v>
      </c>
      <c r="BJ166" s="730"/>
      <c r="BK166" s="692"/>
      <c r="BL166" s="429"/>
      <c r="BM166" s="429"/>
      <c r="BN166" s="214">
        <f t="shared" si="111"/>
        <v>0</v>
      </c>
      <c r="BO166" s="738"/>
      <c r="BP166" s="742"/>
      <c r="BQ166" s="446"/>
      <c r="BR166" s="446"/>
      <c r="BS166" s="228">
        <f t="shared" si="112"/>
        <v>0</v>
      </c>
      <c r="BT166" s="407" t="str">
        <f t="shared" si="113"/>
        <v>-</v>
      </c>
      <c r="BU166" s="529" t="str">
        <f t="shared" si="114"/>
        <v>-</v>
      </c>
      <c r="BV166" s="529" t="str">
        <f t="shared" si="115"/>
        <v>-</v>
      </c>
      <c r="BW166" s="529" t="str">
        <f t="shared" si="116"/>
        <v>-</v>
      </c>
      <c r="BX166" s="221" t="str">
        <f t="shared" si="117"/>
        <v>-</v>
      </c>
      <c r="BY166" s="745"/>
      <c r="BZ166" s="735"/>
      <c r="CA166" s="746"/>
      <c r="CB166" s="407" t="str">
        <f t="shared" si="118"/>
        <v>-</v>
      </c>
      <c r="CC166" s="529" t="str">
        <f t="shared" si="119"/>
        <v>-</v>
      </c>
      <c r="CD166" s="221" t="str">
        <f t="shared" si="120"/>
        <v>-</v>
      </c>
    </row>
    <row r="167" spans="1:82" ht="16.350000000000001" customHeight="1">
      <c r="A167" s="175">
        <f t="shared" si="90"/>
        <v>2024</v>
      </c>
      <c r="B167" s="454" t="str">
        <f t="shared" si="91"/>
        <v>06</v>
      </c>
      <c r="C167" s="454" t="str">
        <f t="array" ref="C167">_xlfn.IFS(_xlfn.NUMBERVALUE(B167)&lt;=13,"Q1",AND(_xlfn.NUMBERVALUE(B167)&gt;13,_xlfn.NUMBERVALUE(B167)&lt;=26),"Q2", AND(_xlfn.NUMBERVALUE(B167)&gt;26,_xlfn.NUMBERVALUE(B167)&lt;=39),"Q3",_xlfn.NUMBERVALUE(B167)&gt;39,"Q4")</f>
        <v>Q1</v>
      </c>
      <c r="D167" s="448">
        <f t="shared" si="121"/>
        <v>44989</v>
      </c>
      <c r="E167" s="448">
        <f t="shared" si="92"/>
        <v>44995</v>
      </c>
      <c r="F167" s="97">
        <v>202306</v>
      </c>
      <c r="G167" s="103"/>
      <c r="H167" s="429"/>
      <c r="I167" s="429"/>
      <c r="J167" s="429"/>
      <c r="K167" s="429"/>
      <c r="L167" s="429"/>
      <c r="M167" s="429"/>
      <c r="N167" s="429"/>
      <c r="O167" s="429"/>
      <c r="P167" s="429"/>
      <c r="Q167" s="429"/>
      <c r="R167" s="429"/>
      <c r="S167" s="429"/>
      <c r="T167" s="429"/>
      <c r="U167" s="429"/>
      <c r="V167" s="429"/>
      <c r="W167" s="429"/>
      <c r="X167" s="429"/>
      <c r="Y167" s="449">
        <f t="shared" si="89"/>
        <v>0</v>
      </c>
      <c r="Z167" s="449">
        <f t="shared" si="122"/>
        <v>0</v>
      </c>
      <c r="AA167" s="214">
        <f>'Overall Metrics'!N168</f>
        <v>0</v>
      </c>
      <c r="AB167" s="110"/>
      <c r="AC167" s="430"/>
      <c r="AD167" s="430"/>
      <c r="AE167" s="430"/>
      <c r="AF167" s="430"/>
      <c r="AG167" s="430"/>
      <c r="AH167" s="430"/>
      <c r="AI167" s="462"/>
      <c r="AJ167" s="430"/>
      <c r="AK167" s="430"/>
      <c r="AL167" s="430"/>
      <c r="AM167" s="430"/>
      <c r="AN167" s="430"/>
      <c r="AO167" s="430"/>
      <c r="AP167" s="430"/>
      <c r="AQ167" s="430"/>
      <c r="AR167" s="219">
        <f t="shared" si="93"/>
        <v>0</v>
      </c>
      <c r="AS167" s="220" t="str">
        <f t="shared" si="94"/>
        <v>-</v>
      </c>
      <c r="AT167" s="472" t="str">
        <f t="shared" si="95"/>
        <v>-</v>
      </c>
      <c r="AU167" s="472" t="str">
        <f t="shared" si="96"/>
        <v>-</v>
      </c>
      <c r="AV167" s="472" t="str">
        <f t="shared" si="97"/>
        <v>-</v>
      </c>
      <c r="AW167" s="472" t="str">
        <f t="shared" si="98"/>
        <v>-</v>
      </c>
      <c r="AX167" s="472" t="str">
        <f t="shared" si="99"/>
        <v>-</v>
      </c>
      <c r="AY167" s="472" t="str">
        <f t="shared" si="123"/>
        <v>-</v>
      </c>
      <c r="AZ167" s="472" t="str">
        <f t="shared" si="124"/>
        <v>-</v>
      </c>
      <c r="BA167" s="472" t="str">
        <f t="shared" si="125"/>
        <v>-</v>
      </c>
      <c r="BB167" s="472" t="str">
        <f t="shared" si="126"/>
        <v>-</v>
      </c>
      <c r="BC167" s="472" t="str">
        <f t="shared" si="127"/>
        <v>-</v>
      </c>
      <c r="BD167" s="472" t="str">
        <f t="shared" si="128"/>
        <v>-</v>
      </c>
      <c r="BE167" s="472" t="str">
        <f t="shared" si="129"/>
        <v>-</v>
      </c>
      <c r="BF167" s="472" t="str">
        <f t="shared" si="130"/>
        <v>-</v>
      </c>
      <c r="BG167" s="472" t="str">
        <f t="shared" si="131"/>
        <v>-</v>
      </c>
      <c r="BH167" s="472" t="str">
        <f t="shared" si="132"/>
        <v>-</v>
      </c>
      <c r="BI167" s="221" t="str">
        <f t="shared" si="110"/>
        <v>-</v>
      </c>
      <c r="BJ167" s="730"/>
      <c r="BK167" s="692"/>
      <c r="BL167" s="429"/>
      <c r="BM167" s="429"/>
      <c r="BN167" s="214">
        <f t="shared" si="111"/>
        <v>0</v>
      </c>
      <c r="BO167" s="738"/>
      <c r="BP167" s="742"/>
      <c r="BQ167" s="446"/>
      <c r="BR167" s="446"/>
      <c r="BS167" s="228">
        <f t="shared" si="112"/>
        <v>0</v>
      </c>
      <c r="BT167" s="407" t="str">
        <f t="shared" si="113"/>
        <v>-</v>
      </c>
      <c r="BU167" s="529" t="str">
        <f t="shared" si="114"/>
        <v>-</v>
      </c>
      <c r="BV167" s="529" t="str">
        <f t="shared" si="115"/>
        <v>-</v>
      </c>
      <c r="BW167" s="529" t="str">
        <f t="shared" si="116"/>
        <v>-</v>
      </c>
      <c r="BX167" s="221" t="str">
        <f t="shared" si="117"/>
        <v>-</v>
      </c>
      <c r="BY167" s="745"/>
      <c r="BZ167" s="735"/>
      <c r="CA167" s="746"/>
      <c r="CB167" s="407" t="str">
        <f t="shared" si="118"/>
        <v>-</v>
      </c>
      <c r="CC167" s="529" t="str">
        <f t="shared" si="119"/>
        <v>-</v>
      </c>
      <c r="CD167" s="221" t="str">
        <f t="shared" si="120"/>
        <v>-</v>
      </c>
    </row>
    <row r="168" spans="1:82" ht="16.350000000000001" customHeight="1">
      <c r="A168" s="175">
        <f t="shared" si="90"/>
        <v>2024</v>
      </c>
      <c r="B168" s="454" t="str">
        <f t="shared" si="91"/>
        <v>07</v>
      </c>
      <c r="C168" s="454" t="str">
        <f t="array" ref="C168">_xlfn.IFS(_xlfn.NUMBERVALUE(B168)&lt;=13,"Q1",AND(_xlfn.NUMBERVALUE(B168)&gt;13,_xlfn.NUMBERVALUE(B168)&lt;=26),"Q2", AND(_xlfn.NUMBERVALUE(B168)&gt;26,_xlfn.NUMBERVALUE(B168)&lt;=39),"Q3",_xlfn.NUMBERVALUE(B168)&gt;39,"Q4")</f>
        <v>Q1</v>
      </c>
      <c r="D168" s="448">
        <f t="shared" si="121"/>
        <v>44996</v>
      </c>
      <c r="E168" s="448">
        <f t="shared" si="92"/>
        <v>45002</v>
      </c>
      <c r="F168" s="97">
        <v>202307</v>
      </c>
      <c r="G168" s="103"/>
      <c r="H168" s="429"/>
      <c r="I168" s="429"/>
      <c r="J168" s="429"/>
      <c r="K168" s="429"/>
      <c r="L168" s="429"/>
      <c r="M168" s="429"/>
      <c r="N168" s="429"/>
      <c r="O168" s="429"/>
      <c r="P168" s="429"/>
      <c r="Q168" s="429"/>
      <c r="R168" s="429"/>
      <c r="S168" s="429"/>
      <c r="T168" s="429"/>
      <c r="U168" s="429"/>
      <c r="V168" s="429"/>
      <c r="W168" s="429"/>
      <c r="X168" s="429"/>
      <c r="Y168" s="449">
        <f t="shared" si="89"/>
        <v>0</v>
      </c>
      <c r="Z168" s="449">
        <f t="shared" si="122"/>
        <v>0</v>
      </c>
      <c r="AA168" s="214">
        <f>'Overall Metrics'!N169</f>
        <v>0</v>
      </c>
      <c r="AB168" s="110"/>
      <c r="AC168" s="430"/>
      <c r="AD168" s="430"/>
      <c r="AE168" s="430"/>
      <c r="AF168" s="430"/>
      <c r="AG168" s="430"/>
      <c r="AH168" s="430"/>
      <c r="AI168" s="462"/>
      <c r="AJ168" s="430"/>
      <c r="AK168" s="430"/>
      <c r="AL168" s="430"/>
      <c r="AM168" s="430"/>
      <c r="AN168" s="430"/>
      <c r="AO168" s="430"/>
      <c r="AP168" s="430"/>
      <c r="AQ168" s="430"/>
      <c r="AR168" s="219">
        <f t="shared" si="93"/>
        <v>0</v>
      </c>
      <c r="AS168" s="220" t="str">
        <f t="shared" si="94"/>
        <v>-</v>
      </c>
      <c r="AT168" s="472" t="str">
        <f t="shared" si="95"/>
        <v>-</v>
      </c>
      <c r="AU168" s="472" t="str">
        <f t="shared" si="96"/>
        <v>-</v>
      </c>
      <c r="AV168" s="472" t="str">
        <f t="shared" si="97"/>
        <v>-</v>
      </c>
      <c r="AW168" s="472" t="str">
        <f t="shared" si="98"/>
        <v>-</v>
      </c>
      <c r="AX168" s="472" t="str">
        <f t="shared" si="99"/>
        <v>-</v>
      </c>
      <c r="AY168" s="472" t="str">
        <f t="shared" si="123"/>
        <v>-</v>
      </c>
      <c r="AZ168" s="472" t="str">
        <f t="shared" si="124"/>
        <v>-</v>
      </c>
      <c r="BA168" s="472" t="str">
        <f t="shared" si="125"/>
        <v>-</v>
      </c>
      <c r="BB168" s="472" t="str">
        <f t="shared" si="126"/>
        <v>-</v>
      </c>
      <c r="BC168" s="472" t="str">
        <f t="shared" si="127"/>
        <v>-</v>
      </c>
      <c r="BD168" s="472" t="str">
        <f t="shared" si="128"/>
        <v>-</v>
      </c>
      <c r="BE168" s="472" t="str">
        <f t="shared" si="129"/>
        <v>-</v>
      </c>
      <c r="BF168" s="472" t="str">
        <f t="shared" si="130"/>
        <v>-</v>
      </c>
      <c r="BG168" s="472" t="str">
        <f t="shared" si="131"/>
        <v>-</v>
      </c>
      <c r="BH168" s="472" t="str">
        <f t="shared" si="132"/>
        <v>-</v>
      </c>
      <c r="BI168" s="221" t="str">
        <f t="shared" si="110"/>
        <v>-</v>
      </c>
      <c r="BJ168" s="730"/>
      <c r="BK168" s="692"/>
      <c r="BL168" s="429"/>
      <c r="BM168" s="429"/>
      <c r="BN168" s="214">
        <f t="shared" si="111"/>
        <v>0</v>
      </c>
      <c r="BO168" s="738"/>
      <c r="BP168" s="742"/>
      <c r="BQ168" s="446"/>
      <c r="BR168" s="446"/>
      <c r="BS168" s="228">
        <f t="shared" si="112"/>
        <v>0</v>
      </c>
      <c r="BT168" s="407" t="str">
        <f t="shared" si="113"/>
        <v>-</v>
      </c>
      <c r="BU168" s="529" t="str">
        <f t="shared" si="114"/>
        <v>-</v>
      </c>
      <c r="BV168" s="529" t="str">
        <f t="shared" si="115"/>
        <v>-</v>
      </c>
      <c r="BW168" s="529" t="str">
        <f t="shared" si="116"/>
        <v>-</v>
      </c>
      <c r="BX168" s="221" t="str">
        <f t="shared" si="117"/>
        <v>-</v>
      </c>
      <c r="BY168" s="745"/>
      <c r="BZ168" s="735"/>
      <c r="CA168" s="746"/>
      <c r="CB168" s="407" t="str">
        <f t="shared" si="118"/>
        <v>-</v>
      </c>
      <c r="CC168" s="529" t="str">
        <f t="shared" si="119"/>
        <v>-</v>
      </c>
      <c r="CD168" s="221" t="str">
        <f t="shared" si="120"/>
        <v>-</v>
      </c>
    </row>
    <row r="169" spans="1:82" ht="16.350000000000001" customHeight="1">
      <c r="A169" s="175">
        <f t="shared" si="90"/>
        <v>2024</v>
      </c>
      <c r="B169" s="454" t="str">
        <f t="shared" si="91"/>
        <v>08</v>
      </c>
      <c r="C169" s="454" t="str">
        <f t="array" ref="C169">_xlfn.IFS(_xlfn.NUMBERVALUE(B169)&lt;=13,"Q1",AND(_xlfn.NUMBERVALUE(B169)&gt;13,_xlfn.NUMBERVALUE(B169)&lt;=26),"Q2", AND(_xlfn.NUMBERVALUE(B169)&gt;26,_xlfn.NUMBERVALUE(B169)&lt;=39),"Q3",_xlfn.NUMBERVALUE(B169)&gt;39,"Q4")</f>
        <v>Q1</v>
      </c>
      <c r="D169" s="448">
        <f t="shared" si="121"/>
        <v>45003</v>
      </c>
      <c r="E169" s="448">
        <f t="shared" si="92"/>
        <v>45009</v>
      </c>
      <c r="F169" s="97">
        <v>202308</v>
      </c>
      <c r="G169" s="103"/>
      <c r="H169" s="429"/>
      <c r="I169" s="429"/>
      <c r="J169" s="429"/>
      <c r="K169" s="429"/>
      <c r="L169" s="429"/>
      <c r="M169" s="429"/>
      <c r="N169" s="429"/>
      <c r="O169" s="429"/>
      <c r="P169" s="464"/>
      <c r="Q169" s="429"/>
      <c r="R169" s="429"/>
      <c r="S169" s="429"/>
      <c r="T169" s="429"/>
      <c r="U169" s="429"/>
      <c r="V169" s="429"/>
      <c r="W169" s="429"/>
      <c r="X169" s="429"/>
      <c r="Y169" s="449">
        <f t="shared" si="89"/>
        <v>0</v>
      </c>
      <c r="Z169" s="449">
        <f t="shared" si="122"/>
        <v>0</v>
      </c>
      <c r="AA169" s="214">
        <f>'Overall Metrics'!N170</f>
        <v>0</v>
      </c>
      <c r="AB169" s="202"/>
      <c r="AC169" s="430"/>
      <c r="AD169" s="430"/>
      <c r="AE169" s="430"/>
      <c r="AF169" s="430"/>
      <c r="AG169" s="430"/>
      <c r="AH169" s="430"/>
      <c r="AI169" s="462"/>
      <c r="AJ169" s="430"/>
      <c r="AK169" s="430"/>
      <c r="AL169" s="430"/>
      <c r="AM169" s="430"/>
      <c r="AN169" s="430"/>
      <c r="AO169" s="430"/>
      <c r="AP169" s="430"/>
      <c r="AQ169" s="430"/>
      <c r="AR169" s="219">
        <f t="shared" si="93"/>
        <v>0</v>
      </c>
      <c r="AS169" s="220" t="str">
        <f t="shared" si="94"/>
        <v>-</v>
      </c>
      <c r="AT169" s="472" t="str">
        <f t="shared" si="95"/>
        <v>-</v>
      </c>
      <c r="AU169" s="472" t="str">
        <f t="shared" si="96"/>
        <v>-</v>
      </c>
      <c r="AV169" s="472" t="str">
        <f t="shared" si="97"/>
        <v>-</v>
      </c>
      <c r="AW169" s="472" t="str">
        <f t="shared" si="98"/>
        <v>-</v>
      </c>
      <c r="AX169" s="472" t="str">
        <f t="shared" si="99"/>
        <v>-</v>
      </c>
      <c r="AY169" s="472" t="str">
        <f t="shared" si="123"/>
        <v>-</v>
      </c>
      <c r="AZ169" s="472" t="str">
        <f t="shared" si="124"/>
        <v>-</v>
      </c>
      <c r="BA169" s="472" t="str">
        <f t="shared" si="125"/>
        <v>-</v>
      </c>
      <c r="BB169" s="472" t="str">
        <f t="shared" si="126"/>
        <v>-</v>
      </c>
      <c r="BC169" s="472" t="str">
        <f t="shared" si="127"/>
        <v>-</v>
      </c>
      <c r="BD169" s="472" t="str">
        <f t="shared" si="128"/>
        <v>-</v>
      </c>
      <c r="BE169" s="472" t="str">
        <f t="shared" si="129"/>
        <v>-</v>
      </c>
      <c r="BF169" s="472" t="str">
        <f t="shared" si="130"/>
        <v>-</v>
      </c>
      <c r="BG169" s="472" t="str">
        <f t="shared" si="131"/>
        <v>-</v>
      </c>
      <c r="BH169" s="472" t="str">
        <f t="shared" si="132"/>
        <v>-</v>
      </c>
      <c r="BI169" s="221" t="str">
        <f t="shared" si="110"/>
        <v>-</v>
      </c>
      <c r="BJ169" s="730"/>
      <c r="BK169" s="692"/>
      <c r="BL169" s="429"/>
      <c r="BM169" s="429"/>
      <c r="BN169" s="214">
        <f t="shared" si="111"/>
        <v>0</v>
      </c>
      <c r="BO169" s="738"/>
      <c r="BP169" s="742"/>
      <c r="BQ169" s="446"/>
      <c r="BR169" s="446"/>
      <c r="BS169" s="228">
        <f t="shared" si="112"/>
        <v>0</v>
      </c>
      <c r="BT169" s="407" t="str">
        <f t="shared" si="113"/>
        <v>-</v>
      </c>
      <c r="BU169" s="529" t="str">
        <f t="shared" si="114"/>
        <v>-</v>
      </c>
      <c r="BV169" s="529" t="str">
        <f t="shared" si="115"/>
        <v>-</v>
      </c>
      <c r="BW169" s="529" t="str">
        <f t="shared" si="116"/>
        <v>-</v>
      </c>
      <c r="BX169" s="221" t="str">
        <f t="shared" si="117"/>
        <v>-</v>
      </c>
      <c r="BY169" s="745"/>
      <c r="BZ169" s="735"/>
      <c r="CA169" s="746"/>
      <c r="CB169" s="407" t="str">
        <f t="shared" si="118"/>
        <v>-</v>
      </c>
      <c r="CC169" s="529" t="str">
        <f t="shared" si="119"/>
        <v>-</v>
      </c>
      <c r="CD169" s="221" t="str">
        <f t="shared" si="120"/>
        <v>-</v>
      </c>
    </row>
    <row r="170" spans="1:82" ht="16.350000000000001" customHeight="1">
      <c r="A170" s="175">
        <f t="shared" si="90"/>
        <v>2024</v>
      </c>
      <c r="B170" s="454" t="str">
        <f t="shared" si="91"/>
        <v>09</v>
      </c>
      <c r="C170" s="454" t="str">
        <f t="array" ref="C170">_xlfn.IFS(_xlfn.NUMBERVALUE(B170)&lt;=13,"Q1",AND(_xlfn.NUMBERVALUE(B170)&gt;13,_xlfn.NUMBERVALUE(B170)&lt;=26),"Q2", AND(_xlfn.NUMBERVALUE(B170)&gt;26,_xlfn.NUMBERVALUE(B170)&lt;=39),"Q3",_xlfn.NUMBERVALUE(B170)&gt;39,"Q4")</f>
        <v>Q1</v>
      </c>
      <c r="D170" s="448">
        <f t="shared" si="121"/>
        <v>45010</v>
      </c>
      <c r="E170" s="448">
        <f t="shared" si="92"/>
        <v>45016</v>
      </c>
      <c r="F170" s="97">
        <v>202309</v>
      </c>
      <c r="G170" s="103"/>
      <c r="H170" s="429"/>
      <c r="I170" s="429"/>
      <c r="J170" s="429"/>
      <c r="K170" s="429"/>
      <c r="L170" s="429"/>
      <c r="M170" s="429"/>
      <c r="N170" s="429"/>
      <c r="O170" s="429"/>
      <c r="P170" s="464"/>
      <c r="Q170" s="429"/>
      <c r="R170" s="429"/>
      <c r="S170" s="429"/>
      <c r="T170" s="429"/>
      <c r="U170" s="429"/>
      <c r="V170" s="429"/>
      <c r="W170" s="429"/>
      <c r="X170" s="429"/>
      <c r="Y170" s="449">
        <f t="shared" si="89"/>
        <v>0</v>
      </c>
      <c r="Z170" s="449">
        <f t="shared" si="122"/>
        <v>0</v>
      </c>
      <c r="AA170" s="214">
        <f>'Overall Metrics'!N171</f>
        <v>0</v>
      </c>
      <c r="AB170" s="110"/>
      <c r="AC170" s="430"/>
      <c r="AD170" s="430"/>
      <c r="AE170" s="430"/>
      <c r="AF170" s="430"/>
      <c r="AG170" s="430"/>
      <c r="AH170" s="430"/>
      <c r="AI170" s="462"/>
      <c r="AJ170" s="430"/>
      <c r="AK170" s="430"/>
      <c r="AL170" s="430"/>
      <c r="AM170" s="430"/>
      <c r="AN170" s="430"/>
      <c r="AO170" s="430"/>
      <c r="AP170" s="430"/>
      <c r="AQ170" s="430"/>
      <c r="AR170" s="219">
        <f t="shared" si="93"/>
        <v>0</v>
      </c>
      <c r="AS170" s="220" t="str">
        <f t="shared" si="94"/>
        <v>-</v>
      </c>
      <c r="AT170" s="472" t="str">
        <f t="shared" si="95"/>
        <v>-</v>
      </c>
      <c r="AU170" s="472" t="str">
        <f t="shared" si="96"/>
        <v>-</v>
      </c>
      <c r="AV170" s="472" t="str">
        <f t="shared" si="97"/>
        <v>-</v>
      </c>
      <c r="AW170" s="472" t="str">
        <f t="shared" si="98"/>
        <v>-</v>
      </c>
      <c r="AX170" s="472" t="str">
        <f t="shared" si="99"/>
        <v>-</v>
      </c>
      <c r="AY170" s="472" t="str">
        <f t="shared" si="123"/>
        <v>-</v>
      </c>
      <c r="AZ170" s="472" t="str">
        <f t="shared" si="124"/>
        <v>-</v>
      </c>
      <c r="BA170" s="472" t="str">
        <f t="shared" si="125"/>
        <v>-</v>
      </c>
      <c r="BB170" s="472" t="str">
        <f t="shared" si="126"/>
        <v>-</v>
      </c>
      <c r="BC170" s="472" t="str">
        <f t="shared" si="127"/>
        <v>-</v>
      </c>
      <c r="BD170" s="472" t="str">
        <f t="shared" si="128"/>
        <v>-</v>
      </c>
      <c r="BE170" s="472" t="str">
        <f t="shared" si="129"/>
        <v>-</v>
      </c>
      <c r="BF170" s="472" t="str">
        <f t="shared" si="130"/>
        <v>-</v>
      </c>
      <c r="BG170" s="472" t="str">
        <f t="shared" si="131"/>
        <v>-</v>
      </c>
      <c r="BH170" s="472" t="str">
        <f t="shared" si="132"/>
        <v>-</v>
      </c>
      <c r="BI170" s="221" t="str">
        <f t="shared" si="110"/>
        <v>-</v>
      </c>
      <c r="BJ170" s="730"/>
      <c r="BK170" s="692"/>
      <c r="BL170" s="429"/>
      <c r="BM170" s="429"/>
      <c r="BN170" s="214">
        <f t="shared" si="111"/>
        <v>0</v>
      </c>
      <c r="BO170" s="738"/>
      <c r="BP170" s="742"/>
      <c r="BQ170" s="446"/>
      <c r="BR170" s="446"/>
      <c r="BS170" s="228">
        <f t="shared" si="112"/>
        <v>0</v>
      </c>
      <c r="BT170" s="407" t="str">
        <f t="shared" si="113"/>
        <v>-</v>
      </c>
      <c r="BU170" s="529" t="str">
        <f t="shared" si="114"/>
        <v>-</v>
      </c>
      <c r="BV170" s="529" t="str">
        <f t="shared" si="115"/>
        <v>-</v>
      </c>
      <c r="BW170" s="529" t="str">
        <f t="shared" si="116"/>
        <v>-</v>
      </c>
      <c r="BX170" s="221" t="str">
        <f t="shared" si="117"/>
        <v>-</v>
      </c>
      <c r="BY170" s="745"/>
      <c r="BZ170" s="735"/>
      <c r="CA170" s="746"/>
      <c r="CB170" s="407" t="str">
        <f t="shared" si="118"/>
        <v>-</v>
      </c>
      <c r="CC170" s="529" t="str">
        <f t="shared" si="119"/>
        <v>-</v>
      </c>
      <c r="CD170" s="221" t="str">
        <f t="shared" si="120"/>
        <v>-</v>
      </c>
    </row>
    <row r="171" spans="1:82" ht="16.350000000000001" customHeight="1">
      <c r="A171" s="175">
        <f t="shared" si="90"/>
        <v>2024</v>
      </c>
      <c r="B171" s="454" t="str">
        <f t="shared" si="91"/>
        <v>10</v>
      </c>
      <c r="C171" s="454" t="str">
        <f t="array" ref="C171">_xlfn.IFS(_xlfn.NUMBERVALUE(B171)&lt;=13,"Q1",AND(_xlfn.NUMBERVALUE(B171)&gt;13,_xlfn.NUMBERVALUE(B171)&lt;=26),"Q2", AND(_xlfn.NUMBERVALUE(B171)&gt;26,_xlfn.NUMBERVALUE(B171)&lt;=39),"Q3",_xlfn.NUMBERVALUE(B171)&gt;39,"Q4")</f>
        <v>Q1</v>
      </c>
      <c r="D171" s="448">
        <f t="shared" si="121"/>
        <v>45017</v>
      </c>
      <c r="E171" s="448">
        <f t="shared" si="92"/>
        <v>45023</v>
      </c>
      <c r="F171" s="97">
        <v>202310</v>
      </c>
      <c r="G171" s="103"/>
      <c r="H171" s="429"/>
      <c r="I171" s="429"/>
      <c r="J171" s="429"/>
      <c r="K171" s="429"/>
      <c r="L171" s="429"/>
      <c r="M171" s="429"/>
      <c r="N171" s="429"/>
      <c r="O171" s="429"/>
      <c r="P171" s="464"/>
      <c r="Q171" s="429"/>
      <c r="R171" s="429"/>
      <c r="S171" s="429"/>
      <c r="T171" s="429"/>
      <c r="U171" s="429"/>
      <c r="V171" s="429"/>
      <c r="W171" s="429"/>
      <c r="X171" s="429"/>
      <c r="Y171" s="449">
        <f t="shared" si="89"/>
        <v>0</v>
      </c>
      <c r="Z171" s="449">
        <f t="shared" si="122"/>
        <v>0</v>
      </c>
      <c r="AA171" s="214">
        <f>'Overall Metrics'!N172</f>
        <v>0</v>
      </c>
      <c r="AB171" s="110"/>
      <c r="AC171" s="430"/>
      <c r="AD171" s="430"/>
      <c r="AE171" s="430"/>
      <c r="AF171" s="430"/>
      <c r="AG171" s="430"/>
      <c r="AH171" s="430"/>
      <c r="AI171" s="462"/>
      <c r="AJ171" s="430"/>
      <c r="AK171" s="430"/>
      <c r="AL171" s="430"/>
      <c r="AM171" s="430"/>
      <c r="AN171" s="430"/>
      <c r="AO171" s="430"/>
      <c r="AP171" s="430"/>
      <c r="AQ171" s="430"/>
      <c r="AR171" s="219">
        <f t="shared" si="93"/>
        <v>0</v>
      </c>
      <c r="AS171" s="220" t="str">
        <f t="shared" si="94"/>
        <v>-</v>
      </c>
      <c r="AT171" s="472" t="str">
        <f t="shared" si="95"/>
        <v>-</v>
      </c>
      <c r="AU171" s="472" t="str">
        <f t="shared" si="96"/>
        <v>-</v>
      </c>
      <c r="AV171" s="472" t="str">
        <f t="shared" si="97"/>
        <v>-</v>
      </c>
      <c r="AW171" s="472" t="str">
        <f t="shared" si="98"/>
        <v>-</v>
      </c>
      <c r="AX171" s="472" t="str">
        <f t="shared" si="99"/>
        <v>-</v>
      </c>
      <c r="AY171" s="472" t="str">
        <f t="shared" si="123"/>
        <v>-</v>
      </c>
      <c r="AZ171" s="472" t="str">
        <f t="shared" si="124"/>
        <v>-</v>
      </c>
      <c r="BA171" s="472" t="str">
        <f t="shared" si="125"/>
        <v>-</v>
      </c>
      <c r="BB171" s="472" t="str">
        <f t="shared" si="126"/>
        <v>-</v>
      </c>
      <c r="BC171" s="472" t="str">
        <f t="shared" si="127"/>
        <v>-</v>
      </c>
      <c r="BD171" s="472" t="str">
        <f t="shared" si="128"/>
        <v>-</v>
      </c>
      <c r="BE171" s="472" t="str">
        <f t="shared" si="129"/>
        <v>-</v>
      </c>
      <c r="BF171" s="472" t="str">
        <f t="shared" si="130"/>
        <v>-</v>
      </c>
      <c r="BG171" s="472" t="str">
        <f t="shared" si="131"/>
        <v>-</v>
      </c>
      <c r="BH171" s="472" t="str">
        <f t="shared" si="132"/>
        <v>-</v>
      </c>
      <c r="BI171" s="221" t="str">
        <f t="shared" si="110"/>
        <v>-</v>
      </c>
      <c r="BJ171" s="730"/>
      <c r="BK171" s="692"/>
      <c r="BL171" s="429"/>
      <c r="BM171" s="429"/>
      <c r="BN171" s="214">
        <f t="shared" si="111"/>
        <v>0</v>
      </c>
      <c r="BO171" s="738"/>
      <c r="BP171" s="742"/>
      <c r="BQ171" s="446"/>
      <c r="BR171" s="446"/>
      <c r="BS171" s="228">
        <f t="shared" si="112"/>
        <v>0</v>
      </c>
      <c r="BT171" s="407" t="str">
        <f t="shared" si="113"/>
        <v>-</v>
      </c>
      <c r="BU171" s="529" t="str">
        <f t="shared" si="114"/>
        <v>-</v>
      </c>
      <c r="BV171" s="529" t="str">
        <f t="shared" si="115"/>
        <v>-</v>
      </c>
      <c r="BW171" s="529" t="str">
        <f t="shared" si="116"/>
        <v>-</v>
      </c>
      <c r="BX171" s="221" t="str">
        <f t="shared" si="117"/>
        <v>-</v>
      </c>
      <c r="BY171" s="745"/>
      <c r="BZ171" s="735"/>
      <c r="CA171" s="746"/>
      <c r="CB171" s="407" t="str">
        <f t="shared" si="118"/>
        <v>-</v>
      </c>
      <c r="CC171" s="529" t="str">
        <f t="shared" si="119"/>
        <v>-</v>
      </c>
      <c r="CD171" s="221" t="str">
        <f t="shared" si="120"/>
        <v>-</v>
      </c>
    </row>
    <row r="172" spans="1:82" ht="13.35" customHeight="1">
      <c r="A172" s="175">
        <f t="shared" si="90"/>
        <v>2024</v>
      </c>
      <c r="B172" s="454" t="str">
        <f t="shared" si="91"/>
        <v>11</v>
      </c>
      <c r="C172" s="454" t="str">
        <f t="array" ref="C172">_xlfn.IFS(_xlfn.NUMBERVALUE(B172)&lt;=13,"Q1",AND(_xlfn.NUMBERVALUE(B172)&gt;13,_xlfn.NUMBERVALUE(B172)&lt;=26),"Q2", AND(_xlfn.NUMBERVALUE(B172)&gt;26,_xlfn.NUMBERVALUE(B172)&lt;=39),"Q3",_xlfn.NUMBERVALUE(B172)&gt;39,"Q4")</f>
        <v>Q1</v>
      </c>
      <c r="D172" s="448">
        <f t="shared" si="121"/>
        <v>45024</v>
      </c>
      <c r="E172" s="448">
        <f t="shared" si="92"/>
        <v>45030</v>
      </c>
      <c r="F172" s="97">
        <v>202311</v>
      </c>
      <c r="G172" s="103"/>
      <c r="H172" s="429"/>
      <c r="I172" s="429"/>
      <c r="J172" s="429"/>
      <c r="K172" s="429"/>
      <c r="L172" s="429"/>
      <c r="M172" s="429"/>
      <c r="N172" s="429"/>
      <c r="O172" s="429"/>
      <c r="P172" s="464"/>
      <c r="Q172" s="429"/>
      <c r="R172" s="429"/>
      <c r="S172" s="429"/>
      <c r="T172" s="429"/>
      <c r="U172" s="429"/>
      <c r="V172" s="429"/>
      <c r="W172" s="429"/>
      <c r="X172" s="429"/>
      <c r="Y172" s="449">
        <f t="shared" si="89"/>
        <v>0</v>
      </c>
      <c r="Z172" s="449">
        <f t="shared" si="122"/>
        <v>0</v>
      </c>
      <c r="AA172" s="214">
        <f>'Overall Metrics'!N173</f>
        <v>0</v>
      </c>
      <c r="AB172" s="110"/>
      <c r="AC172" s="430"/>
      <c r="AD172" s="430"/>
      <c r="AE172" s="430"/>
      <c r="AF172" s="430"/>
      <c r="AG172" s="430"/>
      <c r="AH172" s="430"/>
      <c r="AI172" s="462"/>
      <c r="AJ172" s="430"/>
      <c r="AK172" s="430"/>
      <c r="AL172" s="430"/>
      <c r="AM172" s="430"/>
      <c r="AN172" s="430"/>
      <c r="AO172" s="430"/>
      <c r="AP172" s="430"/>
      <c r="AQ172" s="430"/>
      <c r="AR172" s="219">
        <f t="shared" si="93"/>
        <v>0</v>
      </c>
      <c r="AS172" s="220" t="str">
        <f t="shared" si="94"/>
        <v>-</v>
      </c>
      <c r="AT172" s="472" t="str">
        <f t="shared" si="95"/>
        <v>-</v>
      </c>
      <c r="AU172" s="472" t="str">
        <f t="shared" si="96"/>
        <v>-</v>
      </c>
      <c r="AV172" s="472" t="str">
        <f t="shared" si="97"/>
        <v>-</v>
      </c>
      <c r="AW172" s="472" t="str">
        <f t="shared" si="98"/>
        <v>-</v>
      </c>
      <c r="AX172" s="472" t="str">
        <f t="shared" si="99"/>
        <v>-</v>
      </c>
      <c r="AY172" s="472" t="str">
        <f t="shared" si="123"/>
        <v>-</v>
      </c>
      <c r="AZ172" s="472" t="str">
        <f t="shared" si="124"/>
        <v>-</v>
      </c>
      <c r="BA172" s="472" t="str">
        <f t="shared" si="125"/>
        <v>-</v>
      </c>
      <c r="BB172" s="472" t="str">
        <f t="shared" si="126"/>
        <v>-</v>
      </c>
      <c r="BC172" s="472" t="str">
        <f t="shared" si="127"/>
        <v>-</v>
      </c>
      <c r="BD172" s="472" t="str">
        <f t="shared" si="128"/>
        <v>-</v>
      </c>
      <c r="BE172" s="472" t="str">
        <f t="shared" si="129"/>
        <v>-</v>
      </c>
      <c r="BF172" s="472" t="str">
        <f t="shared" si="130"/>
        <v>-</v>
      </c>
      <c r="BG172" s="472" t="str">
        <f t="shared" si="131"/>
        <v>-</v>
      </c>
      <c r="BH172" s="472" t="str">
        <f t="shared" si="132"/>
        <v>-</v>
      </c>
      <c r="BI172" s="221" t="str">
        <f t="shared" si="110"/>
        <v>-</v>
      </c>
      <c r="BJ172" s="730"/>
      <c r="BK172" s="692"/>
      <c r="BL172" s="429"/>
      <c r="BM172" s="429"/>
      <c r="BN172" s="214">
        <f t="shared" si="111"/>
        <v>0</v>
      </c>
      <c r="BO172" s="738"/>
      <c r="BP172" s="742"/>
      <c r="BQ172" s="446"/>
      <c r="BR172" s="446"/>
      <c r="BS172" s="228">
        <f t="shared" si="112"/>
        <v>0</v>
      </c>
      <c r="BT172" s="407" t="str">
        <f t="shared" si="113"/>
        <v>-</v>
      </c>
      <c r="BU172" s="529" t="str">
        <f t="shared" si="114"/>
        <v>-</v>
      </c>
      <c r="BV172" s="529" t="str">
        <f t="shared" si="115"/>
        <v>-</v>
      </c>
      <c r="BW172" s="529" t="str">
        <f t="shared" si="116"/>
        <v>-</v>
      </c>
      <c r="BX172" s="221" t="str">
        <f t="shared" si="117"/>
        <v>-</v>
      </c>
      <c r="BY172" s="745"/>
      <c r="BZ172" s="735"/>
      <c r="CA172" s="746"/>
      <c r="CB172" s="407" t="str">
        <f t="shared" si="118"/>
        <v>-</v>
      </c>
      <c r="CC172" s="529" t="str">
        <f t="shared" si="119"/>
        <v>-</v>
      </c>
      <c r="CD172" s="221" t="str">
        <f t="shared" si="120"/>
        <v>-</v>
      </c>
    </row>
    <row r="173" spans="1:82" ht="16.350000000000001" customHeight="1">
      <c r="A173" s="175">
        <f t="shared" si="90"/>
        <v>2024</v>
      </c>
      <c r="B173" s="454" t="str">
        <f t="shared" si="91"/>
        <v>12</v>
      </c>
      <c r="C173" s="454" t="str">
        <f t="array" ref="C173">_xlfn.IFS(_xlfn.NUMBERVALUE(B173)&lt;=13,"Q1",AND(_xlfn.NUMBERVALUE(B173)&gt;13,_xlfn.NUMBERVALUE(B173)&lt;=26),"Q2", AND(_xlfn.NUMBERVALUE(B173)&gt;26,_xlfn.NUMBERVALUE(B173)&lt;=39),"Q3",_xlfn.NUMBERVALUE(B173)&gt;39,"Q4")</f>
        <v>Q1</v>
      </c>
      <c r="D173" s="448">
        <f t="shared" si="121"/>
        <v>45031</v>
      </c>
      <c r="E173" s="448">
        <f t="shared" si="92"/>
        <v>45037</v>
      </c>
      <c r="F173" s="97">
        <v>202312</v>
      </c>
      <c r="G173" s="103"/>
      <c r="H173" s="429"/>
      <c r="I173" s="429"/>
      <c r="J173" s="429"/>
      <c r="K173" s="429"/>
      <c r="L173" s="429"/>
      <c r="M173" s="429"/>
      <c r="N173" s="429"/>
      <c r="O173" s="429"/>
      <c r="P173" s="464"/>
      <c r="Q173" s="429"/>
      <c r="R173" s="429"/>
      <c r="S173" s="429"/>
      <c r="T173" s="429"/>
      <c r="U173" s="429"/>
      <c r="V173" s="429"/>
      <c r="W173" s="429"/>
      <c r="X173" s="429"/>
      <c r="Y173" s="449">
        <f t="shared" si="89"/>
        <v>0</v>
      </c>
      <c r="Z173" s="449">
        <f t="shared" si="122"/>
        <v>0</v>
      </c>
      <c r="AA173" s="214">
        <f>'Overall Metrics'!N174</f>
        <v>0</v>
      </c>
      <c r="AB173" s="110"/>
      <c r="AC173" s="430"/>
      <c r="AD173" s="430"/>
      <c r="AE173" s="430"/>
      <c r="AF173" s="430"/>
      <c r="AG173" s="430"/>
      <c r="AH173" s="430"/>
      <c r="AI173" s="462"/>
      <c r="AJ173" s="430"/>
      <c r="AK173" s="430"/>
      <c r="AL173" s="430"/>
      <c r="AM173" s="430"/>
      <c r="AN173" s="430"/>
      <c r="AO173" s="430"/>
      <c r="AP173" s="430"/>
      <c r="AQ173" s="430"/>
      <c r="AR173" s="219">
        <f t="shared" si="93"/>
        <v>0</v>
      </c>
      <c r="AS173" s="220" t="str">
        <f t="shared" si="94"/>
        <v>-</v>
      </c>
      <c r="AT173" s="472" t="str">
        <f t="shared" si="95"/>
        <v>-</v>
      </c>
      <c r="AU173" s="472" t="str">
        <f t="shared" si="96"/>
        <v>-</v>
      </c>
      <c r="AV173" s="472" t="str">
        <f t="shared" si="97"/>
        <v>-</v>
      </c>
      <c r="AW173" s="472" t="str">
        <f t="shared" si="98"/>
        <v>-</v>
      </c>
      <c r="AX173" s="472" t="str">
        <f t="shared" si="99"/>
        <v>-</v>
      </c>
      <c r="AY173" s="472" t="str">
        <f t="shared" si="123"/>
        <v>-</v>
      </c>
      <c r="AZ173" s="472" t="str">
        <f t="shared" si="124"/>
        <v>-</v>
      </c>
      <c r="BA173" s="472" t="str">
        <f t="shared" si="125"/>
        <v>-</v>
      </c>
      <c r="BB173" s="472" t="str">
        <f t="shared" si="126"/>
        <v>-</v>
      </c>
      <c r="BC173" s="472" t="str">
        <f t="shared" si="127"/>
        <v>-</v>
      </c>
      <c r="BD173" s="472" t="str">
        <f t="shared" si="128"/>
        <v>-</v>
      </c>
      <c r="BE173" s="472" t="str">
        <f t="shared" si="129"/>
        <v>-</v>
      </c>
      <c r="BF173" s="472" t="str">
        <f t="shared" si="130"/>
        <v>-</v>
      </c>
      <c r="BG173" s="472" t="str">
        <f t="shared" si="131"/>
        <v>-</v>
      </c>
      <c r="BH173" s="472" t="str">
        <f t="shared" si="132"/>
        <v>-</v>
      </c>
      <c r="BI173" s="221" t="str">
        <f t="shared" si="110"/>
        <v>-</v>
      </c>
      <c r="BJ173" s="730"/>
      <c r="BK173" s="692"/>
      <c r="BL173" s="429"/>
      <c r="BM173" s="429"/>
      <c r="BN173" s="214">
        <f t="shared" si="111"/>
        <v>0</v>
      </c>
      <c r="BO173" s="738"/>
      <c r="BP173" s="742"/>
      <c r="BQ173" s="446"/>
      <c r="BR173" s="446"/>
      <c r="BS173" s="228">
        <f t="shared" si="112"/>
        <v>0</v>
      </c>
      <c r="BT173" s="407" t="str">
        <f t="shared" si="113"/>
        <v>-</v>
      </c>
      <c r="BU173" s="529" t="str">
        <f t="shared" si="114"/>
        <v>-</v>
      </c>
      <c r="BV173" s="529" t="str">
        <f t="shared" si="115"/>
        <v>-</v>
      </c>
      <c r="BW173" s="529" t="str">
        <f t="shared" si="116"/>
        <v>-</v>
      </c>
      <c r="BX173" s="221" t="str">
        <f t="shared" si="117"/>
        <v>-</v>
      </c>
      <c r="BY173" s="745"/>
      <c r="BZ173" s="735"/>
      <c r="CA173" s="746"/>
      <c r="CB173" s="407" t="str">
        <f t="shared" si="118"/>
        <v>-</v>
      </c>
      <c r="CC173" s="529" t="str">
        <f t="shared" si="119"/>
        <v>-</v>
      </c>
      <c r="CD173" s="221" t="str">
        <f t="shared" si="120"/>
        <v>-</v>
      </c>
    </row>
    <row r="174" spans="1:82" ht="16.350000000000001" customHeight="1">
      <c r="A174" s="175">
        <f t="shared" si="90"/>
        <v>2024</v>
      </c>
      <c r="B174" s="454" t="str">
        <f t="shared" si="91"/>
        <v>13</v>
      </c>
      <c r="C174" s="454" t="str">
        <f t="array" ref="C174">_xlfn.IFS(_xlfn.NUMBERVALUE(B174)&lt;=13,"Q1",AND(_xlfn.NUMBERVALUE(B174)&gt;13,_xlfn.NUMBERVALUE(B174)&lt;=26),"Q2", AND(_xlfn.NUMBERVALUE(B174)&gt;26,_xlfn.NUMBERVALUE(B174)&lt;=39),"Q3",_xlfn.NUMBERVALUE(B174)&gt;39,"Q4")</f>
        <v>Q1</v>
      </c>
      <c r="D174" s="448">
        <f t="shared" si="121"/>
        <v>45038</v>
      </c>
      <c r="E174" s="448">
        <f t="shared" si="92"/>
        <v>45044</v>
      </c>
      <c r="F174" s="97">
        <v>202313</v>
      </c>
      <c r="G174" s="103"/>
      <c r="H174" s="429"/>
      <c r="I174" s="429"/>
      <c r="J174" s="429"/>
      <c r="K174" s="429"/>
      <c r="L174" s="429"/>
      <c r="M174" s="429"/>
      <c r="N174" s="429"/>
      <c r="O174" s="429"/>
      <c r="P174" s="464"/>
      <c r="Q174" s="429"/>
      <c r="R174" s="429"/>
      <c r="S174" s="429"/>
      <c r="T174" s="429"/>
      <c r="U174" s="429"/>
      <c r="V174" s="429"/>
      <c r="W174" s="429"/>
      <c r="X174" s="429"/>
      <c r="Y174" s="449">
        <f t="shared" si="89"/>
        <v>0</v>
      </c>
      <c r="Z174" s="449">
        <f t="shared" si="122"/>
        <v>0</v>
      </c>
      <c r="AA174" s="214">
        <f>'Overall Metrics'!N175</f>
        <v>0</v>
      </c>
      <c r="AB174" s="110"/>
      <c r="AC174" s="430"/>
      <c r="AD174" s="430"/>
      <c r="AE174" s="430"/>
      <c r="AF174" s="430"/>
      <c r="AG174" s="430"/>
      <c r="AH174" s="430"/>
      <c r="AI174" s="473"/>
      <c r="AJ174" s="430"/>
      <c r="AK174" s="430"/>
      <c r="AL174" s="430"/>
      <c r="AM174" s="430"/>
      <c r="AN174" s="430"/>
      <c r="AO174" s="430"/>
      <c r="AP174" s="430"/>
      <c r="AQ174" s="430"/>
      <c r="AR174" s="219">
        <f t="shared" si="93"/>
        <v>0</v>
      </c>
      <c r="AS174" s="220" t="str">
        <f t="shared" si="94"/>
        <v>-</v>
      </c>
      <c r="AT174" s="472" t="str">
        <f t="shared" si="95"/>
        <v>-</v>
      </c>
      <c r="AU174" s="472" t="str">
        <f t="shared" si="96"/>
        <v>-</v>
      </c>
      <c r="AV174" s="472" t="str">
        <f t="shared" si="97"/>
        <v>-</v>
      </c>
      <c r="AW174" s="472" t="str">
        <f t="shared" si="98"/>
        <v>-</v>
      </c>
      <c r="AX174" s="472" t="str">
        <f t="shared" si="99"/>
        <v>-</v>
      </c>
      <c r="AY174" s="472" t="str">
        <f t="shared" si="123"/>
        <v>-</v>
      </c>
      <c r="AZ174" s="472" t="str">
        <f t="shared" si="124"/>
        <v>-</v>
      </c>
      <c r="BA174" s="472" t="str">
        <f t="shared" si="125"/>
        <v>-</v>
      </c>
      <c r="BB174" s="472" t="str">
        <f t="shared" si="126"/>
        <v>-</v>
      </c>
      <c r="BC174" s="472" t="str">
        <f t="shared" si="127"/>
        <v>-</v>
      </c>
      <c r="BD174" s="472" t="str">
        <f t="shared" si="128"/>
        <v>-</v>
      </c>
      <c r="BE174" s="472" t="str">
        <f t="shared" si="129"/>
        <v>-</v>
      </c>
      <c r="BF174" s="472" t="str">
        <f t="shared" si="130"/>
        <v>-</v>
      </c>
      <c r="BG174" s="472" t="str">
        <f t="shared" si="131"/>
        <v>-</v>
      </c>
      <c r="BH174" s="472" t="str">
        <f t="shared" si="132"/>
        <v>-</v>
      </c>
      <c r="BI174" s="221" t="str">
        <f t="shared" si="110"/>
        <v>-</v>
      </c>
      <c r="BJ174" s="730"/>
      <c r="BK174" s="731"/>
      <c r="BL174" s="429"/>
      <c r="BM174" s="429"/>
      <c r="BN174" s="214">
        <f t="shared" si="111"/>
        <v>0</v>
      </c>
      <c r="BO174" s="738"/>
      <c r="BP174" s="742"/>
      <c r="BQ174" s="446"/>
      <c r="BR174" s="446"/>
      <c r="BS174" s="228">
        <f t="shared" si="112"/>
        <v>0</v>
      </c>
      <c r="BT174" s="407" t="str">
        <f t="shared" si="113"/>
        <v>-</v>
      </c>
      <c r="BU174" s="529" t="str">
        <f t="shared" si="114"/>
        <v>-</v>
      </c>
      <c r="BV174" s="529" t="str">
        <f t="shared" si="115"/>
        <v>-</v>
      </c>
      <c r="BW174" s="529" t="str">
        <f t="shared" si="116"/>
        <v>-</v>
      </c>
      <c r="BX174" s="221" t="str">
        <f t="shared" si="117"/>
        <v>-</v>
      </c>
      <c r="BY174" s="745"/>
      <c r="BZ174" s="735"/>
      <c r="CA174" s="746"/>
      <c r="CB174" s="407" t="str">
        <f t="shared" si="118"/>
        <v>-</v>
      </c>
      <c r="CC174" s="529" t="str">
        <f t="shared" si="119"/>
        <v>-</v>
      </c>
      <c r="CD174" s="221" t="str">
        <f t="shared" si="120"/>
        <v>-</v>
      </c>
    </row>
    <row r="175" spans="1:82" ht="16.350000000000001" customHeight="1">
      <c r="A175" s="175">
        <f t="shared" si="90"/>
        <v>2024</v>
      </c>
      <c r="B175" s="454" t="str">
        <f t="shared" si="91"/>
        <v>14</v>
      </c>
      <c r="C175" s="454" t="str">
        <f t="array" ref="C175">_xlfn.IFS(_xlfn.NUMBERVALUE(B175)&lt;=13,"Q1",AND(_xlfn.NUMBERVALUE(B175)&gt;13,_xlfn.NUMBERVALUE(B175)&lt;=26),"Q2", AND(_xlfn.NUMBERVALUE(B175)&gt;26,_xlfn.NUMBERVALUE(B175)&lt;=39),"Q3",_xlfn.NUMBERVALUE(B175)&gt;39,"Q4")</f>
        <v>Q2</v>
      </c>
      <c r="D175" s="448">
        <f t="shared" si="121"/>
        <v>45045</v>
      </c>
      <c r="E175" s="448">
        <f t="shared" si="92"/>
        <v>45051</v>
      </c>
      <c r="F175" s="97">
        <v>202314</v>
      </c>
      <c r="G175" s="103"/>
      <c r="H175" s="429"/>
      <c r="I175" s="429"/>
      <c r="J175" s="429"/>
      <c r="K175" s="429"/>
      <c r="L175" s="429"/>
      <c r="M175" s="429"/>
      <c r="N175" s="429"/>
      <c r="O175" s="429"/>
      <c r="P175" s="464"/>
      <c r="Q175" s="429"/>
      <c r="R175" s="429"/>
      <c r="S175" s="429"/>
      <c r="T175" s="429"/>
      <c r="U175" s="429"/>
      <c r="V175" s="429"/>
      <c r="W175" s="429"/>
      <c r="X175" s="429"/>
      <c r="Y175" s="449">
        <f t="shared" si="89"/>
        <v>0</v>
      </c>
      <c r="Z175" s="449">
        <f t="shared" si="122"/>
        <v>0</v>
      </c>
      <c r="AA175" s="214">
        <f>'Overall Metrics'!N176</f>
        <v>0</v>
      </c>
      <c r="AB175" s="110"/>
      <c r="AC175" s="430"/>
      <c r="AD175" s="430"/>
      <c r="AE175" s="430"/>
      <c r="AF175" s="430"/>
      <c r="AG175" s="430"/>
      <c r="AH175" s="430"/>
      <c r="AI175" s="473"/>
      <c r="AJ175" s="430"/>
      <c r="AK175" s="430"/>
      <c r="AL175" s="430"/>
      <c r="AM175" s="430"/>
      <c r="AN175" s="430"/>
      <c r="AO175" s="430"/>
      <c r="AP175" s="430"/>
      <c r="AQ175" s="430"/>
      <c r="AR175" s="219">
        <f t="shared" si="93"/>
        <v>0</v>
      </c>
      <c r="AS175" s="220" t="str">
        <f t="shared" si="94"/>
        <v>-</v>
      </c>
      <c r="AT175" s="472" t="str">
        <f t="shared" si="95"/>
        <v>-</v>
      </c>
      <c r="AU175" s="472" t="str">
        <f t="shared" si="96"/>
        <v>-</v>
      </c>
      <c r="AV175" s="472" t="str">
        <f t="shared" si="97"/>
        <v>-</v>
      </c>
      <c r="AW175" s="472" t="str">
        <f t="shared" si="98"/>
        <v>-</v>
      </c>
      <c r="AX175" s="472" t="str">
        <f t="shared" si="99"/>
        <v>-</v>
      </c>
      <c r="AY175" s="472" t="str">
        <f t="shared" si="123"/>
        <v>-</v>
      </c>
      <c r="AZ175" s="472" t="str">
        <f t="shared" si="124"/>
        <v>-</v>
      </c>
      <c r="BA175" s="472" t="str">
        <f t="shared" si="125"/>
        <v>-</v>
      </c>
      <c r="BB175" s="472" t="str">
        <f t="shared" si="126"/>
        <v>-</v>
      </c>
      <c r="BC175" s="472" t="str">
        <f t="shared" si="127"/>
        <v>-</v>
      </c>
      <c r="BD175" s="472" t="str">
        <f t="shared" si="128"/>
        <v>-</v>
      </c>
      <c r="BE175" s="472" t="str">
        <f t="shared" si="129"/>
        <v>-</v>
      </c>
      <c r="BF175" s="472" t="str">
        <f t="shared" si="130"/>
        <v>-</v>
      </c>
      <c r="BG175" s="472" t="str">
        <f t="shared" si="131"/>
        <v>-</v>
      </c>
      <c r="BH175" s="472" t="str">
        <f t="shared" si="132"/>
        <v>-</v>
      </c>
      <c r="BI175" s="221" t="str">
        <f t="shared" si="110"/>
        <v>-</v>
      </c>
      <c r="BJ175" s="730"/>
      <c r="BK175" s="731"/>
      <c r="BL175" s="429"/>
      <c r="BM175" s="429"/>
      <c r="BN175" s="214">
        <f t="shared" si="111"/>
        <v>0</v>
      </c>
      <c r="BO175" s="738"/>
      <c r="BP175" s="743"/>
      <c r="BQ175" s="446"/>
      <c r="BR175" s="446"/>
      <c r="BS175" s="228">
        <f t="shared" si="112"/>
        <v>0</v>
      </c>
      <c r="BT175" s="407" t="str">
        <f t="shared" si="113"/>
        <v>-</v>
      </c>
      <c r="BU175" s="529" t="str">
        <f t="shared" si="114"/>
        <v>-</v>
      </c>
      <c r="BV175" s="529" t="str">
        <f t="shared" si="115"/>
        <v>-</v>
      </c>
      <c r="BW175" s="529" t="str">
        <f t="shared" si="116"/>
        <v>-</v>
      </c>
      <c r="BX175" s="221" t="str">
        <f t="shared" si="117"/>
        <v>-</v>
      </c>
      <c r="BY175" s="745"/>
      <c r="BZ175" s="735"/>
      <c r="CA175" s="746"/>
      <c r="CB175" s="407" t="str">
        <f t="shared" si="118"/>
        <v>-</v>
      </c>
      <c r="CC175" s="529" t="str">
        <f t="shared" si="119"/>
        <v>-</v>
      </c>
      <c r="CD175" s="221" t="str">
        <f t="shared" si="120"/>
        <v>-</v>
      </c>
    </row>
    <row r="176" spans="1:82" ht="16.350000000000001" customHeight="1">
      <c r="A176" s="175">
        <f t="shared" si="90"/>
        <v>2024</v>
      </c>
      <c r="B176" s="454" t="str">
        <f t="shared" si="91"/>
        <v>15</v>
      </c>
      <c r="C176" s="454" t="str">
        <f t="array" ref="C176">_xlfn.IFS(_xlfn.NUMBERVALUE(B176)&lt;=13,"Q1",AND(_xlfn.NUMBERVALUE(B176)&gt;13,_xlfn.NUMBERVALUE(B176)&lt;=26),"Q2", AND(_xlfn.NUMBERVALUE(B176)&gt;26,_xlfn.NUMBERVALUE(B176)&lt;=39),"Q3",_xlfn.NUMBERVALUE(B176)&gt;39,"Q4")</f>
        <v>Q2</v>
      </c>
      <c r="D176" s="448">
        <f t="shared" si="121"/>
        <v>45052</v>
      </c>
      <c r="E176" s="448">
        <f t="shared" si="92"/>
        <v>45058</v>
      </c>
      <c r="F176" s="97">
        <v>202315</v>
      </c>
      <c r="G176" s="103"/>
      <c r="H176" s="429"/>
      <c r="I176" s="429"/>
      <c r="J176" s="429"/>
      <c r="K176" s="429"/>
      <c r="L176" s="429"/>
      <c r="M176" s="429"/>
      <c r="N176" s="429"/>
      <c r="O176" s="429"/>
      <c r="P176" s="464"/>
      <c r="Q176" s="429"/>
      <c r="R176" s="429"/>
      <c r="S176" s="429"/>
      <c r="T176" s="429"/>
      <c r="U176" s="429"/>
      <c r="V176" s="429"/>
      <c r="W176" s="429"/>
      <c r="X176" s="429"/>
      <c r="Y176" s="449">
        <f t="shared" si="89"/>
        <v>0</v>
      </c>
      <c r="Z176" s="449">
        <f t="shared" si="122"/>
        <v>0</v>
      </c>
      <c r="AA176" s="214">
        <f>'Overall Metrics'!N177</f>
        <v>0</v>
      </c>
      <c r="AB176" s="203"/>
      <c r="AC176" s="473"/>
      <c r="AD176" s="473"/>
      <c r="AE176" s="473"/>
      <c r="AF176" s="473"/>
      <c r="AG176" s="473"/>
      <c r="AH176" s="473"/>
      <c r="AI176" s="473"/>
      <c r="AJ176" s="430"/>
      <c r="AK176" s="430"/>
      <c r="AL176" s="430"/>
      <c r="AM176" s="430"/>
      <c r="AN176" s="430"/>
      <c r="AO176" s="430"/>
      <c r="AP176" s="430"/>
      <c r="AQ176" s="430"/>
      <c r="AR176" s="219">
        <f t="shared" si="93"/>
        <v>0</v>
      </c>
      <c r="AS176" s="220" t="str">
        <f t="shared" si="94"/>
        <v>-</v>
      </c>
      <c r="AT176" s="472" t="str">
        <f t="shared" si="95"/>
        <v>-</v>
      </c>
      <c r="AU176" s="472" t="str">
        <f t="shared" si="96"/>
        <v>-</v>
      </c>
      <c r="AV176" s="472" t="str">
        <f t="shared" si="97"/>
        <v>-</v>
      </c>
      <c r="AW176" s="472" t="str">
        <f t="shared" si="98"/>
        <v>-</v>
      </c>
      <c r="AX176" s="472" t="str">
        <f t="shared" si="99"/>
        <v>-</v>
      </c>
      <c r="AY176" s="472" t="str">
        <f t="shared" si="123"/>
        <v>-</v>
      </c>
      <c r="AZ176" s="472" t="str">
        <f t="shared" si="124"/>
        <v>-</v>
      </c>
      <c r="BA176" s="472" t="str">
        <f t="shared" si="125"/>
        <v>-</v>
      </c>
      <c r="BB176" s="472" t="str">
        <f t="shared" si="126"/>
        <v>-</v>
      </c>
      <c r="BC176" s="472" t="str">
        <f t="shared" si="127"/>
        <v>-</v>
      </c>
      <c r="BD176" s="472" t="str">
        <f t="shared" si="128"/>
        <v>-</v>
      </c>
      <c r="BE176" s="472" t="str">
        <f t="shared" si="129"/>
        <v>-</v>
      </c>
      <c r="BF176" s="472" t="str">
        <f t="shared" si="130"/>
        <v>-</v>
      </c>
      <c r="BG176" s="472" t="str">
        <f t="shared" si="131"/>
        <v>-</v>
      </c>
      <c r="BH176" s="472" t="str">
        <f t="shared" si="132"/>
        <v>-</v>
      </c>
      <c r="BI176" s="221" t="str">
        <f t="shared" si="110"/>
        <v>-</v>
      </c>
      <c r="BJ176" s="730"/>
      <c r="BK176" s="731"/>
      <c r="BL176" s="429"/>
      <c r="BM176" s="429"/>
      <c r="BN176" s="214">
        <f t="shared" si="111"/>
        <v>0</v>
      </c>
      <c r="BO176" s="738"/>
      <c r="BP176" s="743"/>
      <c r="BQ176" s="446"/>
      <c r="BR176" s="446"/>
      <c r="BS176" s="228">
        <f t="shared" si="112"/>
        <v>0</v>
      </c>
      <c r="BT176" s="407" t="str">
        <f t="shared" si="113"/>
        <v>-</v>
      </c>
      <c r="BU176" s="529" t="str">
        <f t="shared" si="114"/>
        <v>-</v>
      </c>
      <c r="BV176" s="529" t="str">
        <f t="shared" si="115"/>
        <v>-</v>
      </c>
      <c r="BW176" s="529" t="str">
        <f t="shared" si="116"/>
        <v>-</v>
      </c>
      <c r="BX176" s="221" t="str">
        <f t="shared" si="117"/>
        <v>-</v>
      </c>
      <c r="BY176" s="745"/>
      <c r="BZ176" s="735"/>
      <c r="CA176" s="746"/>
      <c r="CB176" s="407" t="str">
        <f t="shared" si="118"/>
        <v>-</v>
      </c>
      <c r="CC176" s="529" t="str">
        <f t="shared" si="119"/>
        <v>-</v>
      </c>
      <c r="CD176" s="221" t="str">
        <f t="shared" si="120"/>
        <v>-</v>
      </c>
    </row>
    <row r="177" spans="1:82" ht="16.350000000000001" customHeight="1">
      <c r="A177" s="175">
        <f t="shared" si="90"/>
        <v>2024</v>
      </c>
      <c r="B177" s="454" t="str">
        <f t="shared" si="91"/>
        <v>16</v>
      </c>
      <c r="C177" s="454" t="str">
        <f t="array" ref="C177">_xlfn.IFS(_xlfn.NUMBERVALUE(B177)&lt;=13,"Q1",AND(_xlfn.NUMBERVALUE(B177)&gt;13,_xlfn.NUMBERVALUE(B177)&lt;=26),"Q2", AND(_xlfn.NUMBERVALUE(B177)&gt;26,_xlfn.NUMBERVALUE(B177)&lt;=39),"Q3",_xlfn.NUMBERVALUE(B177)&gt;39,"Q4")</f>
        <v>Q2</v>
      </c>
      <c r="D177" s="448">
        <f t="shared" si="121"/>
        <v>45059</v>
      </c>
      <c r="E177" s="448">
        <f t="shared" si="92"/>
        <v>45065</v>
      </c>
      <c r="F177" s="97">
        <v>202316</v>
      </c>
      <c r="G177" s="103"/>
      <c r="H177" s="429"/>
      <c r="I177" s="429"/>
      <c r="J177" s="429"/>
      <c r="K177" s="429"/>
      <c r="L177" s="429"/>
      <c r="M177" s="429"/>
      <c r="N177" s="429"/>
      <c r="O177" s="429"/>
      <c r="P177" s="464"/>
      <c r="Q177" s="429"/>
      <c r="R177" s="429"/>
      <c r="S177" s="429"/>
      <c r="T177" s="429"/>
      <c r="U177" s="429"/>
      <c r="V177" s="429"/>
      <c r="W177" s="429"/>
      <c r="X177" s="429"/>
      <c r="Y177" s="449">
        <f t="shared" si="89"/>
        <v>0</v>
      </c>
      <c r="Z177" s="449">
        <f t="shared" si="122"/>
        <v>0</v>
      </c>
      <c r="AA177" s="214">
        <f>'Overall Metrics'!N178</f>
        <v>0</v>
      </c>
      <c r="AB177" s="203"/>
      <c r="AC177" s="473"/>
      <c r="AD177" s="473"/>
      <c r="AE177" s="473"/>
      <c r="AF177" s="473"/>
      <c r="AG177" s="473"/>
      <c r="AH177" s="473"/>
      <c r="AI177" s="473"/>
      <c r="AJ177" s="430"/>
      <c r="AK177" s="430"/>
      <c r="AL177" s="430"/>
      <c r="AM177" s="430"/>
      <c r="AN177" s="430"/>
      <c r="AO177" s="430"/>
      <c r="AP177" s="430"/>
      <c r="AQ177" s="430"/>
      <c r="AR177" s="219">
        <f t="shared" si="93"/>
        <v>0</v>
      </c>
      <c r="AS177" s="220" t="str">
        <f t="shared" si="94"/>
        <v>-</v>
      </c>
      <c r="AT177" s="472" t="str">
        <f t="shared" si="95"/>
        <v>-</v>
      </c>
      <c r="AU177" s="472" t="str">
        <f t="shared" si="96"/>
        <v>-</v>
      </c>
      <c r="AV177" s="472" t="str">
        <f t="shared" si="97"/>
        <v>-</v>
      </c>
      <c r="AW177" s="472" t="str">
        <f t="shared" si="98"/>
        <v>-</v>
      </c>
      <c r="AX177" s="472" t="str">
        <f t="shared" si="99"/>
        <v>-</v>
      </c>
      <c r="AY177" s="472" t="str">
        <f t="shared" si="123"/>
        <v>-</v>
      </c>
      <c r="AZ177" s="472" t="str">
        <f t="shared" si="124"/>
        <v>-</v>
      </c>
      <c r="BA177" s="472" t="str">
        <f t="shared" si="125"/>
        <v>-</v>
      </c>
      <c r="BB177" s="472" t="str">
        <f t="shared" si="126"/>
        <v>-</v>
      </c>
      <c r="BC177" s="472" t="str">
        <f t="shared" si="127"/>
        <v>-</v>
      </c>
      <c r="BD177" s="472" t="str">
        <f t="shared" si="128"/>
        <v>-</v>
      </c>
      <c r="BE177" s="472" t="str">
        <f t="shared" si="129"/>
        <v>-</v>
      </c>
      <c r="BF177" s="472" t="str">
        <f t="shared" si="130"/>
        <v>-</v>
      </c>
      <c r="BG177" s="472" t="str">
        <f t="shared" si="131"/>
        <v>-</v>
      </c>
      <c r="BH177" s="472" t="str">
        <f t="shared" si="132"/>
        <v>-</v>
      </c>
      <c r="BI177" s="221" t="str">
        <f t="shared" si="110"/>
        <v>-</v>
      </c>
      <c r="BJ177" s="730"/>
      <c r="BK177" s="731"/>
      <c r="BL177" s="429"/>
      <c r="BM177" s="429"/>
      <c r="BN177" s="214">
        <f t="shared" si="111"/>
        <v>0</v>
      </c>
      <c r="BO177" s="738"/>
      <c r="BP177" s="743"/>
      <c r="BQ177" s="446"/>
      <c r="BR177" s="446"/>
      <c r="BS177" s="228">
        <f t="shared" si="112"/>
        <v>0</v>
      </c>
      <c r="BT177" s="407" t="str">
        <f t="shared" si="113"/>
        <v>-</v>
      </c>
      <c r="BU177" s="529" t="str">
        <f t="shared" si="114"/>
        <v>-</v>
      </c>
      <c r="BV177" s="529" t="str">
        <f t="shared" si="115"/>
        <v>-</v>
      </c>
      <c r="BW177" s="529" t="str">
        <f t="shared" si="116"/>
        <v>-</v>
      </c>
      <c r="BX177" s="221" t="str">
        <f t="shared" si="117"/>
        <v>-</v>
      </c>
      <c r="BY177" s="745"/>
      <c r="BZ177" s="735"/>
      <c r="CA177" s="746"/>
      <c r="CB177" s="407" t="str">
        <f t="shared" si="118"/>
        <v>-</v>
      </c>
      <c r="CC177" s="529" t="str">
        <f t="shared" si="119"/>
        <v>-</v>
      </c>
      <c r="CD177" s="221" t="str">
        <f t="shared" si="120"/>
        <v>-</v>
      </c>
    </row>
    <row r="178" spans="1:82" ht="16.350000000000001" customHeight="1">
      <c r="A178" s="175">
        <f t="shared" si="90"/>
        <v>2024</v>
      </c>
      <c r="B178" s="454" t="str">
        <f t="shared" si="91"/>
        <v>17</v>
      </c>
      <c r="C178" s="454" t="str">
        <f t="array" ref="C178">_xlfn.IFS(_xlfn.NUMBERVALUE(B178)&lt;=13,"Q1",AND(_xlfn.NUMBERVALUE(B178)&gt;13,_xlfn.NUMBERVALUE(B178)&lt;=26),"Q2", AND(_xlfn.NUMBERVALUE(B178)&gt;26,_xlfn.NUMBERVALUE(B178)&lt;=39),"Q3",_xlfn.NUMBERVALUE(B178)&gt;39,"Q4")</f>
        <v>Q2</v>
      </c>
      <c r="D178" s="448">
        <f t="shared" si="121"/>
        <v>45066</v>
      </c>
      <c r="E178" s="448">
        <f t="shared" si="92"/>
        <v>45072</v>
      </c>
      <c r="F178" s="97">
        <v>202317</v>
      </c>
      <c r="G178" s="103"/>
      <c r="H178" s="429"/>
      <c r="I178" s="429"/>
      <c r="J178" s="429"/>
      <c r="K178" s="429"/>
      <c r="L178" s="429"/>
      <c r="M178" s="429"/>
      <c r="N178" s="429"/>
      <c r="O178" s="429"/>
      <c r="P178" s="464"/>
      <c r="Q178" s="429"/>
      <c r="R178" s="429"/>
      <c r="S178" s="429"/>
      <c r="T178" s="429"/>
      <c r="U178" s="429"/>
      <c r="V178" s="429"/>
      <c r="W178" s="429"/>
      <c r="X178" s="429"/>
      <c r="Y178" s="449">
        <f t="shared" si="89"/>
        <v>0</v>
      </c>
      <c r="Z178" s="449">
        <f t="shared" si="122"/>
        <v>0</v>
      </c>
      <c r="AA178" s="214">
        <f>'Overall Metrics'!N179</f>
        <v>0</v>
      </c>
      <c r="AB178" s="203"/>
      <c r="AC178" s="473"/>
      <c r="AD178" s="473"/>
      <c r="AE178" s="473"/>
      <c r="AF178" s="473"/>
      <c r="AG178" s="473"/>
      <c r="AH178" s="473"/>
      <c r="AI178" s="473"/>
      <c r="AJ178" s="430"/>
      <c r="AK178" s="430"/>
      <c r="AL178" s="430"/>
      <c r="AM178" s="430"/>
      <c r="AN178" s="430"/>
      <c r="AO178" s="430"/>
      <c r="AP178" s="430"/>
      <c r="AQ178" s="430"/>
      <c r="AR178" s="219">
        <f t="shared" si="93"/>
        <v>0</v>
      </c>
      <c r="AS178" s="220" t="str">
        <f t="shared" si="94"/>
        <v>-</v>
      </c>
      <c r="AT178" s="472" t="str">
        <f t="shared" si="95"/>
        <v>-</v>
      </c>
      <c r="AU178" s="472" t="str">
        <f t="shared" si="96"/>
        <v>-</v>
      </c>
      <c r="AV178" s="472" t="str">
        <f t="shared" si="97"/>
        <v>-</v>
      </c>
      <c r="AW178" s="472" t="str">
        <f t="shared" si="98"/>
        <v>-</v>
      </c>
      <c r="AX178" s="472" t="str">
        <f t="shared" si="99"/>
        <v>-</v>
      </c>
      <c r="AY178" s="472" t="str">
        <f t="shared" si="123"/>
        <v>-</v>
      </c>
      <c r="AZ178" s="472" t="str">
        <f t="shared" si="124"/>
        <v>-</v>
      </c>
      <c r="BA178" s="472" t="str">
        <f t="shared" si="125"/>
        <v>-</v>
      </c>
      <c r="BB178" s="472" t="str">
        <f t="shared" si="126"/>
        <v>-</v>
      </c>
      <c r="BC178" s="472" t="str">
        <f t="shared" si="127"/>
        <v>-</v>
      </c>
      <c r="BD178" s="472" t="str">
        <f t="shared" si="128"/>
        <v>-</v>
      </c>
      <c r="BE178" s="472" t="str">
        <f t="shared" si="129"/>
        <v>-</v>
      </c>
      <c r="BF178" s="472" t="str">
        <f t="shared" si="130"/>
        <v>-</v>
      </c>
      <c r="BG178" s="472" t="str">
        <f t="shared" si="131"/>
        <v>-</v>
      </c>
      <c r="BH178" s="472" t="str">
        <f t="shared" si="132"/>
        <v>-</v>
      </c>
      <c r="BI178" s="221" t="str">
        <f t="shared" si="110"/>
        <v>-</v>
      </c>
      <c r="BJ178" s="730"/>
      <c r="BK178" s="731"/>
      <c r="BL178" s="429"/>
      <c r="BM178" s="429"/>
      <c r="BN178" s="214">
        <f t="shared" si="111"/>
        <v>0</v>
      </c>
      <c r="BO178" s="738"/>
      <c r="BP178" s="743"/>
      <c r="BQ178" s="446"/>
      <c r="BR178" s="446"/>
      <c r="BS178" s="228">
        <f t="shared" si="112"/>
        <v>0</v>
      </c>
      <c r="BT178" s="407" t="str">
        <f t="shared" si="113"/>
        <v>-</v>
      </c>
      <c r="BU178" s="529" t="str">
        <f t="shared" si="114"/>
        <v>-</v>
      </c>
      <c r="BV178" s="529" t="str">
        <f t="shared" si="115"/>
        <v>-</v>
      </c>
      <c r="BW178" s="529" t="str">
        <f t="shared" si="116"/>
        <v>-</v>
      </c>
      <c r="BX178" s="221" t="str">
        <f t="shared" si="117"/>
        <v>-</v>
      </c>
      <c r="BY178" s="745"/>
      <c r="BZ178" s="735"/>
      <c r="CA178" s="746"/>
      <c r="CB178" s="407" t="str">
        <f t="shared" si="118"/>
        <v>-</v>
      </c>
      <c r="CC178" s="529" t="str">
        <f t="shared" si="119"/>
        <v>-</v>
      </c>
      <c r="CD178" s="221" t="str">
        <f t="shared" si="120"/>
        <v>-</v>
      </c>
    </row>
    <row r="179" spans="1:82" ht="16.350000000000001" customHeight="1">
      <c r="A179" s="175">
        <f t="shared" si="90"/>
        <v>2024</v>
      </c>
      <c r="B179" s="454" t="str">
        <f t="shared" si="91"/>
        <v>18</v>
      </c>
      <c r="C179" s="454" t="str">
        <f t="array" ref="C179">_xlfn.IFS(_xlfn.NUMBERVALUE(B179)&lt;=13,"Q1",AND(_xlfn.NUMBERVALUE(B179)&gt;13,_xlfn.NUMBERVALUE(B179)&lt;=26),"Q2", AND(_xlfn.NUMBERVALUE(B179)&gt;26,_xlfn.NUMBERVALUE(B179)&lt;=39),"Q3",_xlfn.NUMBERVALUE(B179)&gt;39,"Q4")</f>
        <v>Q2</v>
      </c>
      <c r="D179" s="448">
        <f t="shared" si="121"/>
        <v>45073</v>
      </c>
      <c r="E179" s="448">
        <f t="shared" si="92"/>
        <v>45079</v>
      </c>
      <c r="F179" s="97">
        <v>202318</v>
      </c>
      <c r="G179" s="103"/>
      <c r="H179" s="429"/>
      <c r="I179" s="429"/>
      <c r="J179" s="429"/>
      <c r="K179" s="429"/>
      <c r="L179" s="429"/>
      <c r="M179" s="429"/>
      <c r="N179" s="429"/>
      <c r="O179" s="429"/>
      <c r="P179" s="429"/>
      <c r="Q179" s="429"/>
      <c r="R179" s="429"/>
      <c r="S179" s="429"/>
      <c r="T179" s="429"/>
      <c r="U179" s="429"/>
      <c r="V179" s="429"/>
      <c r="W179" s="429"/>
      <c r="X179" s="429"/>
      <c r="Y179" s="449">
        <f t="shared" si="89"/>
        <v>0</v>
      </c>
      <c r="Z179" s="449">
        <f t="shared" si="122"/>
        <v>0</v>
      </c>
      <c r="AA179" s="214">
        <f>'Overall Metrics'!N180</f>
        <v>0</v>
      </c>
      <c r="AB179" s="110"/>
      <c r="AC179" s="430"/>
      <c r="AD179" s="430"/>
      <c r="AE179" s="430"/>
      <c r="AF179" s="430"/>
      <c r="AG179" s="430"/>
      <c r="AH179" s="430"/>
      <c r="AI179" s="462"/>
      <c r="AJ179" s="430"/>
      <c r="AK179" s="430"/>
      <c r="AL179" s="430"/>
      <c r="AM179" s="430"/>
      <c r="AN179" s="430"/>
      <c r="AO179" s="430"/>
      <c r="AP179" s="430"/>
      <c r="AQ179" s="430"/>
      <c r="AR179" s="219">
        <f t="shared" si="93"/>
        <v>0</v>
      </c>
      <c r="AS179" s="220" t="str">
        <f t="shared" si="94"/>
        <v>-</v>
      </c>
      <c r="AT179" s="472" t="str">
        <f t="shared" si="95"/>
        <v>-</v>
      </c>
      <c r="AU179" s="472" t="str">
        <f t="shared" si="96"/>
        <v>-</v>
      </c>
      <c r="AV179" s="472" t="str">
        <f t="shared" si="97"/>
        <v>-</v>
      </c>
      <c r="AW179" s="472" t="str">
        <f t="shared" si="98"/>
        <v>-</v>
      </c>
      <c r="AX179" s="472" t="str">
        <f t="shared" si="99"/>
        <v>-</v>
      </c>
      <c r="AY179" s="472" t="str">
        <f t="shared" si="123"/>
        <v>-</v>
      </c>
      <c r="AZ179" s="472" t="str">
        <f t="shared" si="124"/>
        <v>-</v>
      </c>
      <c r="BA179" s="472" t="str">
        <f t="shared" si="125"/>
        <v>-</v>
      </c>
      <c r="BB179" s="472" t="str">
        <f t="shared" si="126"/>
        <v>-</v>
      </c>
      <c r="BC179" s="472" t="str">
        <f t="shared" si="127"/>
        <v>-</v>
      </c>
      <c r="BD179" s="472" t="str">
        <f t="shared" si="128"/>
        <v>-</v>
      </c>
      <c r="BE179" s="472" t="str">
        <f t="shared" si="129"/>
        <v>-</v>
      </c>
      <c r="BF179" s="472" t="str">
        <f t="shared" si="130"/>
        <v>-</v>
      </c>
      <c r="BG179" s="472" t="str">
        <f t="shared" si="131"/>
        <v>-</v>
      </c>
      <c r="BH179" s="472" t="str">
        <f t="shared" si="132"/>
        <v>-</v>
      </c>
      <c r="BI179" s="221" t="str">
        <f t="shared" si="110"/>
        <v>-</v>
      </c>
      <c r="BJ179" s="730"/>
      <c r="BK179" s="692"/>
      <c r="BL179" s="429"/>
      <c r="BM179" s="429"/>
      <c r="BN179" s="214">
        <f t="shared" si="111"/>
        <v>0</v>
      </c>
      <c r="BO179" s="738"/>
      <c r="BP179" s="742"/>
      <c r="BQ179" s="446"/>
      <c r="BR179" s="446"/>
      <c r="BS179" s="228">
        <f t="shared" si="112"/>
        <v>0</v>
      </c>
      <c r="BT179" s="407" t="str">
        <f t="shared" si="113"/>
        <v>-</v>
      </c>
      <c r="BU179" s="529" t="str">
        <f t="shared" si="114"/>
        <v>-</v>
      </c>
      <c r="BV179" s="529" t="str">
        <f t="shared" si="115"/>
        <v>-</v>
      </c>
      <c r="BW179" s="529" t="str">
        <f t="shared" si="116"/>
        <v>-</v>
      </c>
      <c r="BX179" s="221" t="str">
        <f t="shared" si="117"/>
        <v>-</v>
      </c>
      <c r="BY179" s="745"/>
      <c r="BZ179" s="735"/>
      <c r="CA179" s="746"/>
      <c r="CB179" s="407" t="str">
        <f t="shared" si="118"/>
        <v>-</v>
      </c>
      <c r="CC179" s="529" t="str">
        <f t="shared" si="119"/>
        <v>-</v>
      </c>
      <c r="CD179" s="221" t="str">
        <f t="shared" si="120"/>
        <v>-</v>
      </c>
    </row>
    <row r="180" spans="1:82" ht="16.350000000000001" customHeight="1">
      <c r="A180" s="175">
        <f t="shared" si="90"/>
        <v>2024</v>
      </c>
      <c r="B180" s="454" t="str">
        <f t="shared" si="91"/>
        <v>19</v>
      </c>
      <c r="C180" s="454" t="str">
        <f t="array" ref="C180">_xlfn.IFS(_xlfn.NUMBERVALUE(B180)&lt;=13,"Q1",AND(_xlfn.NUMBERVALUE(B180)&gt;13,_xlfn.NUMBERVALUE(B180)&lt;=26),"Q2", AND(_xlfn.NUMBERVALUE(B180)&gt;26,_xlfn.NUMBERVALUE(B180)&lt;=39),"Q3",_xlfn.NUMBERVALUE(B180)&gt;39,"Q4")</f>
        <v>Q2</v>
      </c>
      <c r="D180" s="448">
        <f t="shared" si="121"/>
        <v>45080</v>
      </c>
      <c r="E180" s="448">
        <f t="shared" si="92"/>
        <v>45086</v>
      </c>
      <c r="F180" s="97">
        <v>202319</v>
      </c>
      <c r="G180" s="103"/>
      <c r="H180" s="429"/>
      <c r="I180" s="429"/>
      <c r="J180" s="429"/>
      <c r="K180" s="429"/>
      <c r="L180" s="429"/>
      <c r="M180" s="429"/>
      <c r="N180" s="429"/>
      <c r="O180" s="429"/>
      <c r="P180" s="429"/>
      <c r="Q180" s="429"/>
      <c r="R180" s="429"/>
      <c r="S180" s="429"/>
      <c r="T180" s="429"/>
      <c r="U180" s="429"/>
      <c r="V180" s="429"/>
      <c r="W180" s="429"/>
      <c r="X180" s="429"/>
      <c r="Y180" s="449">
        <f t="shared" si="89"/>
        <v>0</v>
      </c>
      <c r="Z180" s="449">
        <f t="shared" si="122"/>
        <v>0</v>
      </c>
      <c r="AA180" s="214">
        <f>'Overall Metrics'!N181</f>
        <v>0</v>
      </c>
      <c r="AB180" s="110"/>
      <c r="AC180" s="430"/>
      <c r="AD180" s="430"/>
      <c r="AE180" s="430"/>
      <c r="AF180" s="430"/>
      <c r="AG180" s="430"/>
      <c r="AH180" s="430"/>
      <c r="AI180" s="462"/>
      <c r="AJ180" s="430"/>
      <c r="AK180" s="430"/>
      <c r="AL180" s="430"/>
      <c r="AM180" s="430"/>
      <c r="AN180" s="430"/>
      <c r="AO180" s="430"/>
      <c r="AP180" s="430"/>
      <c r="AQ180" s="430"/>
      <c r="AR180" s="219">
        <f t="shared" si="93"/>
        <v>0</v>
      </c>
      <c r="AS180" s="220" t="str">
        <f t="shared" si="94"/>
        <v>-</v>
      </c>
      <c r="AT180" s="472" t="str">
        <f t="shared" si="95"/>
        <v>-</v>
      </c>
      <c r="AU180" s="472" t="str">
        <f t="shared" si="96"/>
        <v>-</v>
      </c>
      <c r="AV180" s="472" t="str">
        <f t="shared" si="97"/>
        <v>-</v>
      </c>
      <c r="AW180" s="472" t="str">
        <f t="shared" si="98"/>
        <v>-</v>
      </c>
      <c r="AX180" s="472" t="str">
        <f t="shared" si="99"/>
        <v>-</v>
      </c>
      <c r="AY180" s="472" t="str">
        <f t="shared" si="123"/>
        <v>-</v>
      </c>
      <c r="AZ180" s="472" t="str">
        <f t="shared" si="124"/>
        <v>-</v>
      </c>
      <c r="BA180" s="472" t="str">
        <f t="shared" si="125"/>
        <v>-</v>
      </c>
      <c r="BB180" s="472" t="str">
        <f t="shared" si="126"/>
        <v>-</v>
      </c>
      <c r="BC180" s="472" t="str">
        <f t="shared" si="127"/>
        <v>-</v>
      </c>
      <c r="BD180" s="472" t="str">
        <f t="shared" si="128"/>
        <v>-</v>
      </c>
      <c r="BE180" s="472" t="str">
        <f t="shared" si="129"/>
        <v>-</v>
      </c>
      <c r="BF180" s="472" t="str">
        <f t="shared" si="130"/>
        <v>-</v>
      </c>
      <c r="BG180" s="472" t="str">
        <f t="shared" si="131"/>
        <v>-</v>
      </c>
      <c r="BH180" s="472" t="str">
        <f t="shared" si="132"/>
        <v>-</v>
      </c>
      <c r="BI180" s="221" t="str">
        <f t="shared" si="110"/>
        <v>-</v>
      </c>
      <c r="BJ180" s="730"/>
      <c r="BK180" s="692"/>
      <c r="BL180" s="429"/>
      <c r="BM180" s="429"/>
      <c r="BN180" s="214">
        <f t="shared" si="111"/>
        <v>0</v>
      </c>
      <c r="BO180" s="738"/>
      <c r="BP180" s="742"/>
      <c r="BQ180" s="669"/>
      <c r="BR180" s="446"/>
      <c r="BS180" s="228">
        <f t="shared" si="112"/>
        <v>0</v>
      </c>
      <c r="BT180" s="407" t="str">
        <f t="shared" si="113"/>
        <v>-</v>
      </c>
      <c r="BU180" s="529" t="str">
        <f t="shared" si="114"/>
        <v>-</v>
      </c>
      <c r="BV180" s="529" t="str">
        <f t="shared" si="115"/>
        <v>-</v>
      </c>
      <c r="BW180" s="529" t="str">
        <f t="shared" si="116"/>
        <v>-</v>
      </c>
      <c r="BX180" s="221" t="str">
        <f t="shared" si="117"/>
        <v>-</v>
      </c>
      <c r="BY180" s="745"/>
      <c r="BZ180" s="735"/>
      <c r="CA180" s="746"/>
      <c r="CB180" s="407" t="str">
        <f t="shared" si="118"/>
        <v>-</v>
      </c>
      <c r="CC180" s="529" t="str">
        <f t="shared" si="119"/>
        <v>-</v>
      </c>
      <c r="CD180" s="221" t="str">
        <f t="shared" si="120"/>
        <v>-</v>
      </c>
    </row>
    <row r="181" spans="1:82" ht="16.350000000000001" customHeight="1">
      <c r="A181" s="175">
        <f t="shared" si="90"/>
        <v>2024</v>
      </c>
      <c r="B181" s="454" t="str">
        <f t="shared" si="91"/>
        <v>20</v>
      </c>
      <c r="C181" s="454" t="str">
        <f t="array" ref="C181">_xlfn.IFS(_xlfn.NUMBERVALUE(B181)&lt;=13,"Q1",AND(_xlfn.NUMBERVALUE(B181)&gt;13,_xlfn.NUMBERVALUE(B181)&lt;=26),"Q2", AND(_xlfn.NUMBERVALUE(B181)&gt;26,_xlfn.NUMBERVALUE(B181)&lt;=39),"Q3",_xlfn.NUMBERVALUE(B181)&gt;39,"Q4")</f>
        <v>Q2</v>
      </c>
      <c r="D181" s="448">
        <f t="shared" si="121"/>
        <v>45087</v>
      </c>
      <c r="E181" s="448">
        <f t="shared" si="92"/>
        <v>45093</v>
      </c>
      <c r="F181" s="97">
        <v>202320</v>
      </c>
      <c r="G181" s="103"/>
      <c r="H181" s="429"/>
      <c r="I181" s="429"/>
      <c r="J181" s="429"/>
      <c r="K181" s="429"/>
      <c r="L181" s="429"/>
      <c r="M181" s="429"/>
      <c r="N181" s="429"/>
      <c r="O181" s="429"/>
      <c r="P181" s="429"/>
      <c r="Q181" s="429"/>
      <c r="R181" s="429"/>
      <c r="S181" s="429"/>
      <c r="T181" s="429"/>
      <c r="U181" s="429"/>
      <c r="V181" s="429"/>
      <c r="W181" s="429"/>
      <c r="X181" s="429"/>
      <c r="Y181" s="449">
        <f t="shared" si="89"/>
        <v>0</v>
      </c>
      <c r="Z181" s="449">
        <f t="shared" si="122"/>
        <v>0</v>
      </c>
      <c r="AA181" s="214">
        <f>'Overall Metrics'!N182</f>
        <v>0</v>
      </c>
      <c r="AB181" s="110"/>
      <c r="AC181" s="430"/>
      <c r="AD181" s="430"/>
      <c r="AE181" s="430"/>
      <c r="AF181" s="430"/>
      <c r="AG181" s="430"/>
      <c r="AH181" s="430"/>
      <c r="AI181" s="462"/>
      <c r="AJ181" s="430"/>
      <c r="AK181" s="430"/>
      <c r="AL181" s="430"/>
      <c r="AM181" s="430"/>
      <c r="AN181" s="430"/>
      <c r="AO181" s="430"/>
      <c r="AP181" s="430"/>
      <c r="AQ181" s="430"/>
      <c r="AR181" s="219">
        <f t="shared" si="93"/>
        <v>0</v>
      </c>
      <c r="AS181" s="220" t="str">
        <f t="shared" si="94"/>
        <v>-</v>
      </c>
      <c r="AT181" s="472" t="str">
        <f t="shared" si="95"/>
        <v>-</v>
      </c>
      <c r="AU181" s="472" t="str">
        <f t="shared" si="96"/>
        <v>-</v>
      </c>
      <c r="AV181" s="472" t="str">
        <f t="shared" si="97"/>
        <v>-</v>
      </c>
      <c r="AW181" s="472" t="str">
        <f t="shared" si="98"/>
        <v>-</v>
      </c>
      <c r="AX181" s="472" t="str">
        <f t="shared" si="99"/>
        <v>-</v>
      </c>
      <c r="AY181" s="472" t="str">
        <f t="shared" si="123"/>
        <v>-</v>
      </c>
      <c r="AZ181" s="472" t="str">
        <f t="shared" si="124"/>
        <v>-</v>
      </c>
      <c r="BA181" s="472" t="str">
        <f t="shared" si="125"/>
        <v>-</v>
      </c>
      <c r="BB181" s="472" t="str">
        <f t="shared" si="126"/>
        <v>-</v>
      </c>
      <c r="BC181" s="472" t="str">
        <f t="shared" si="127"/>
        <v>-</v>
      </c>
      <c r="BD181" s="472" t="str">
        <f t="shared" si="128"/>
        <v>-</v>
      </c>
      <c r="BE181" s="472" t="str">
        <f t="shared" si="129"/>
        <v>-</v>
      </c>
      <c r="BF181" s="472" t="str">
        <f t="shared" si="130"/>
        <v>-</v>
      </c>
      <c r="BG181" s="472" t="str">
        <f t="shared" si="131"/>
        <v>-</v>
      </c>
      <c r="BH181" s="472" t="str">
        <f t="shared" si="132"/>
        <v>-</v>
      </c>
      <c r="BI181" s="221" t="str">
        <f t="shared" si="110"/>
        <v>-</v>
      </c>
      <c r="BJ181" s="730"/>
      <c r="BK181" s="692"/>
      <c r="BL181" s="429"/>
      <c r="BM181" s="429"/>
      <c r="BN181" s="214">
        <f t="shared" si="111"/>
        <v>0</v>
      </c>
      <c r="BO181" s="738"/>
      <c r="BP181" s="742"/>
      <c r="BQ181" s="446"/>
      <c r="BR181" s="446"/>
      <c r="BS181" s="228">
        <f t="shared" si="112"/>
        <v>0</v>
      </c>
      <c r="BT181" s="407" t="str">
        <f t="shared" si="113"/>
        <v>-</v>
      </c>
      <c r="BU181" s="529" t="str">
        <f t="shared" si="114"/>
        <v>-</v>
      </c>
      <c r="BV181" s="529" t="str">
        <f t="shared" si="115"/>
        <v>-</v>
      </c>
      <c r="BW181" s="529" t="str">
        <f t="shared" si="116"/>
        <v>-</v>
      </c>
      <c r="BX181" s="221" t="str">
        <f t="shared" si="117"/>
        <v>-</v>
      </c>
      <c r="BY181" s="745"/>
      <c r="BZ181" s="735"/>
      <c r="CA181" s="746"/>
      <c r="CB181" s="407" t="str">
        <f t="shared" si="118"/>
        <v>-</v>
      </c>
      <c r="CC181" s="529" t="str">
        <f t="shared" si="119"/>
        <v>-</v>
      </c>
      <c r="CD181" s="221" t="str">
        <f t="shared" si="120"/>
        <v>-</v>
      </c>
    </row>
    <row r="182" spans="1:82" ht="16.350000000000001" customHeight="1">
      <c r="A182" s="175">
        <f t="shared" si="90"/>
        <v>2024</v>
      </c>
      <c r="B182" s="454" t="str">
        <f t="shared" si="91"/>
        <v>21</v>
      </c>
      <c r="C182" s="454" t="str">
        <f t="array" ref="C182">_xlfn.IFS(_xlfn.NUMBERVALUE(B182)&lt;=13,"Q1",AND(_xlfn.NUMBERVALUE(B182)&gt;13,_xlfn.NUMBERVALUE(B182)&lt;=26),"Q2", AND(_xlfn.NUMBERVALUE(B182)&gt;26,_xlfn.NUMBERVALUE(B182)&lt;=39),"Q3",_xlfn.NUMBERVALUE(B182)&gt;39,"Q4")</f>
        <v>Q2</v>
      </c>
      <c r="D182" s="448">
        <f t="shared" si="121"/>
        <v>45094</v>
      </c>
      <c r="E182" s="448">
        <f t="shared" si="92"/>
        <v>45100</v>
      </c>
      <c r="F182" s="97">
        <v>202321</v>
      </c>
      <c r="G182" s="103"/>
      <c r="H182" s="429"/>
      <c r="I182" s="429"/>
      <c r="J182" s="429"/>
      <c r="K182" s="429"/>
      <c r="L182" s="429"/>
      <c r="M182" s="429"/>
      <c r="N182" s="429"/>
      <c r="O182" s="429"/>
      <c r="P182" s="429"/>
      <c r="Q182" s="429"/>
      <c r="R182" s="429"/>
      <c r="S182" s="429"/>
      <c r="T182" s="429"/>
      <c r="U182" s="429"/>
      <c r="V182" s="429"/>
      <c r="W182" s="429"/>
      <c r="X182" s="429"/>
      <c r="Y182" s="449">
        <f t="shared" si="89"/>
        <v>0</v>
      </c>
      <c r="Z182" s="449">
        <f t="shared" si="122"/>
        <v>0</v>
      </c>
      <c r="AA182" s="214">
        <f>'Overall Metrics'!N183</f>
        <v>0</v>
      </c>
      <c r="AB182" s="110"/>
      <c r="AC182" s="430"/>
      <c r="AD182" s="430"/>
      <c r="AE182" s="430"/>
      <c r="AF182" s="430"/>
      <c r="AG182" s="430"/>
      <c r="AH182" s="430"/>
      <c r="AI182" s="462"/>
      <c r="AJ182" s="430"/>
      <c r="AK182" s="430"/>
      <c r="AL182" s="430"/>
      <c r="AM182" s="430"/>
      <c r="AN182" s="430"/>
      <c r="AO182" s="430"/>
      <c r="AP182" s="430"/>
      <c r="AQ182" s="430"/>
      <c r="AR182" s="219">
        <f t="shared" si="93"/>
        <v>0</v>
      </c>
      <c r="AS182" s="220" t="str">
        <f t="shared" si="94"/>
        <v>-</v>
      </c>
      <c r="AT182" s="472" t="str">
        <f t="shared" si="95"/>
        <v>-</v>
      </c>
      <c r="AU182" s="472" t="str">
        <f t="shared" si="96"/>
        <v>-</v>
      </c>
      <c r="AV182" s="472" t="str">
        <f t="shared" si="97"/>
        <v>-</v>
      </c>
      <c r="AW182" s="472" t="str">
        <f t="shared" si="98"/>
        <v>-</v>
      </c>
      <c r="AX182" s="472" t="str">
        <f t="shared" si="99"/>
        <v>-</v>
      </c>
      <c r="AY182" s="472" t="str">
        <f t="shared" si="123"/>
        <v>-</v>
      </c>
      <c r="AZ182" s="472" t="str">
        <f t="shared" si="124"/>
        <v>-</v>
      </c>
      <c r="BA182" s="472" t="str">
        <f t="shared" si="125"/>
        <v>-</v>
      </c>
      <c r="BB182" s="472" t="str">
        <f t="shared" si="126"/>
        <v>-</v>
      </c>
      <c r="BC182" s="472" t="str">
        <f t="shared" si="127"/>
        <v>-</v>
      </c>
      <c r="BD182" s="472" t="str">
        <f t="shared" si="128"/>
        <v>-</v>
      </c>
      <c r="BE182" s="472" t="str">
        <f t="shared" si="129"/>
        <v>-</v>
      </c>
      <c r="BF182" s="472" t="str">
        <f t="shared" si="130"/>
        <v>-</v>
      </c>
      <c r="BG182" s="472" t="str">
        <f t="shared" si="131"/>
        <v>-</v>
      </c>
      <c r="BH182" s="472" t="str">
        <f t="shared" si="132"/>
        <v>-</v>
      </c>
      <c r="BI182" s="221" t="str">
        <f t="shared" si="110"/>
        <v>-</v>
      </c>
      <c r="BJ182" s="730"/>
      <c r="BK182" s="692"/>
      <c r="BL182" s="429"/>
      <c r="BM182" s="429"/>
      <c r="BN182" s="214">
        <f t="shared" si="111"/>
        <v>0</v>
      </c>
      <c r="BO182" s="738"/>
      <c r="BP182" s="742"/>
      <c r="BQ182" s="446"/>
      <c r="BR182" s="446"/>
      <c r="BS182" s="228">
        <f t="shared" si="112"/>
        <v>0</v>
      </c>
      <c r="BT182" s="407" t="str">
        <f t="shared" si="113"/>
        <v>-</v>
      </c>
      <c r="BU182" s="529" t="str">
        <f t="shared" si="114"/>
        <v>-</v>
      </c>
      <c r="BV182" s="529" t="str">
        <f t="shared" si="115"/>
        <v>-</v>
      </c>
      <c r="BW182" s="529" t="str">
        <f t="shared" si="116"/>
        <v>-</v>
      </c>
      <c r="BX182" s="221" t="str">
        <f t="shared" si="117"/>
        <v>-</v>
      </c>
      <c r="BY182" s="745"/>
      <c r="BZ182" s="735"/>
      <c r="CA182" s="746"/>
      <c r="CB182" s="407" t="str">
        <f t="shared" si="118"/>
        <v>-</v>
      </c>
      <c r="CC182" s="529" t="str">
        <f t="shared" si="119"/>
        <v>-</v>
      </c>
      <c r="CD182" s="221" t="str">
        <f t="shared" si="120"/>
        <v>-</v>
      </c>
    </row>
    <row r="183" spans="1:82" ht="16.350000000000001" customHeight="1">
      <c r="A183" s="175">
        <f t="shared" si="90"/>
        <v>2024</v>
      </c>
      <c r="B183" s="454" t="str">
        <f t="shared" si="91"/>
        <v>22</v>
      </c>
      <c r="C183" s="454" t="str">
        <f t="array" ref="C183">_xlfn.IFS(_xlfn.NUMBERVALUE(B183)&lt;=13,"Q1",AND(_xlfn.NUMBERVALUE(B183)&gt;13,_xlfn.NUMBERVALUE(B183)&lt;=26),"Q2", AND(_xlfn.NUMBERVALUE(B183)&gt;26,_xlfn.NUMBERVALUE(B183)&lt;=39),"Q3",_xlfn.NUMBERVALUE(B183)&gt;39,"Q4")</f>
        <v>Q2</v>
      </c>
      <c r="D183" s="448">
        <f t="shared" si="121"/>
        <v>45101</v>
      </c>
      <c r="E183" s="448">
        <f t="shared" si="92"/>
        <v>45107</v>
      </c>
      <c r="F183" s="97">
        <v>202322</v>
      </c>
      <c r="G183" s="103"/>
      <c r="H183" s="429"/>
      <c r="I183" s="429"/>
      <c r="J183" s="429"/>
      <c r="K183" s="429"/>
      <c r="L183" s="429"/>
      <c r="M183" s="429"/>
      <c r="N183" s="429"/>
      <c r="O183" s="429"/>
      <c r="P183" s="429"/>
      <c r="Q183" s="429"/>
      <c r="R183" s="429"/>
      <c r="S183" s="429"/>
      <c r="T183" s="429"/>
      <c r="U183" s="429"/>
      <c r="V183" s="429"/>
      <c r="W183" s="429"/>
      <c r="X183" s="429"/>
      <c r="Y183" s="449">
        <f t="shared" si="89"/>
        <v>0</v>
      </c>
      <c r="Z183" s="449">
        <f t="shared" si="122"/>
        <v>0</v>
      </c>
      <c r="AA183" s="214">
        <f>'Overall Metrics'!N184</f>
        <v>0</v>
      </c>
      <c r="AB183" s="201"/>
      <c r="AC183" s="430"/>
      <c r="AD183" s="430"/>
      <c r="AE183" s="430"/>
      <c r="AF183" s="430"/>
      <c r="AG183" s="430"/>
      <c r="AH183" s="430"/>
      <c r="AI183" s="462"/>
      <c r="AJ183" s="430"/>
      <c r="AK183" s="430"/>
      <c r="AL183" s="430"/>
      <c r="AM183" s="430"/>
      <c r="AN183" s="430"/>
      <c r="AO183" s="430"/>
      <c r="AP183" s="430"/>
      <c r="AQ183" s="430"/>
      <c r="AR183" s="219">
        <f t="shared" si="93"/>
        <v>0</v>
      </c>
      <c r="AS183" s="220" t="str">
        <f t="shared" si="94"/>
        <v>-</v>
      </c>
      <c r="AT183" s="472" t="str">
        <f t="shared" si="95"/>
        <v>-</v>
      </c>
      <c r="AU183" s="472" t="str">
        <f t="shared" si="96"/>
        <v>-</v>
      </c>
      <c r="AV183" s="472" t="str">
        <f t="shared" si="97"/>
        <v>-</v>
      </c>
      <c r="AW183" s="472" t="str">
        <f t="shared" si="98"/>
        <v>-</v>
      </c>
      <c r="AX183" s="472" t="str">
        <f t="shared" si="99"/>
        <v>-</v>
      </c>
      <c r="AY183" s="472" t="str">
        <f t="shared" si="123"/>
        <v>-</v>
      </c>
      <c r="AZ183" s="472" t="str">
        <f t="shared" si="124"/>
        <v>-</v>
      </c>
      <c r="BA183" s="472" t="str">
        <f t="shared" si="125"/>
        <v>-</v>
      </c>
      <c r="BB183" s="472" t="str">
        <f t="shared" si="126"/>
        <v>-</v>
      </c>
      <c r="BC183" s="472" t="str">
        <f t="shared" si="127"/>
        <v>-</v>
      </c>
      <c r="BD183" s="472" t="str">
        <f t="shared" si="128"/>
        <v>-</v>
      </c>
      <c r="BE183" s="472" t="str">
        <f t="shared" si="129"/>
        <v>-</v>
      </c>
      <c r="BF183" s="472" t="str">
        <f t="shared" si="130"/>
        <v>-</v>
      </c>
      <c r="BG183" s="472" t="str">
        <f t="shared" si="131"/>
        <v>-</v>
      </c>
      <c r="BH183" s="472" t="str">
        <f t="shared" si="132"/>
        <v>-</v>
      </c>
      <c r="BI183" s="221" t="str">
        <f t="shared" si="110"/>
        <v>-</v>
      </c>
      <c r="BJ183" s="730"/>
      <c r="BK183" s="692"/>
      <c r="BL183" s="429"/>
      <c r="BM183" s="429"/>
      <c r="BN183" s="214">
        <f t="shared" si="111"/>
        <v>0</v>
      </c>
      <c r="BO183" s="738"/>
      <c r="BP183" s="742"/>
      <c r="BQ183" s="446"/>
      <c r="BR183" s="446"/>
      <c r="BS183" s="228">
        <f t="shared" si="112"/>
        <v>0</v>
      </c>
      <c r="BT183" s="407" t="str">
        <f t="shared" si="113"/>
        <v>-</v>
      </c>
      <c r="BU183" s="529" t="str">
        <f t="shared" si="114"/>
        <v>-</v>
      </c>
      <c r="BV183" s="529" t="str">
        <f t="shared" si="115"/>
        <v>-</v>
      </c>
      <c r="BW183" s="529" t="str">
        <f t="shared" si="116"/>
        <v>-</v>
      </c>
      <c r="BX183" s="221" t="str">
        <f t="shared" si="117"/>
        <v>-</v>
      </c>
      <c r="BY183" s="745"/>
      <c r="BZ183" s="735"/>
      <c r="CA183" s="746"/>
      <c r="CB183" s="407" t="str">
        <f t="shared" si="118"/>
        <v>-</v>
      </c>
      <c r="CC183" s="529" t="str">
        <f t="shared" si="119"/>
        <v>-</v>
      </c>
      <c r="CD183" s="221" t="str">
        <f t="shared" si="120"/>
        <v>-</v>
      </c>
    </row>
    <row r="184" spans="1:82" ht="16.350000000000001" customHeight="1">
      <c r="A184" s="175">
        <f t="shared" si="90"/>
        <v>2024</v>
      </c>
      <c r="B184" s="454" t="str">
        <f t="shared" si="91"/>
        <v>23</v>
      </c>
      <c r="C184" s="454" t="str">
        <f t="array" ref="C184">_xlfn.IFS(_xlfn.NUMBERVALUE(B184)&lt;=13,"Q1",AND(_xlfn.NUMBERVALUE(B184)&gt;13,_xlfn.NUMBERVALUE(B184)&lt;=26),"Q2", AND(_xlfn.NUMBERVALUE(B184)&gt;26,_xlfn.NUMBERVALUE(B184)&lt;=39),"Q3",_xlfn.NUMBERVALUE(B184)&gt;39,"Q4")</f>
        <v>Q2</v>
      </c>
      <c r="D184" s="448">
        <f t="shared" si="121"/>
        <v>45108</v>
      </c>
      <c r="E184" s="448">
        <f t="shared" si="92"/>
        <v>45114</v>
      </c>
      <c r="F184" s="97">
        <v>202323</v>
      </c>
      <c r="G184" s="103"/>
      <c r="H184" s="429"/>
      <c r="I184" s="429"/>
      <c r="J184" s="429"/>
      <c r="K184" s="429"/>
      <c r="L184" s="429"/>
      <c r="M184" s="429"/>
      <c r="N184" s="429"/>
      <c r="O184" s="429"/>
      <c r="P184" s="429"/>
      <c r="Q184" s="429"/>
      <c r="R184" s="429"/>
      <c r="S184" s="429"/>
      <c r="T184" s="429"/>
      <c r="U184" s="429"/>
      <c r="V184" s="429"/>
      <c r="W184" s="429"/>
      <c r="X184" s="429"/>
      <c r="Y184" s="449">
        <f t="shared" si="89"/>
        <v>0</v>
      </c>
      <c r="Z184" s="449">
        <f t="shared" si="122"/>
        <v>0</v>
      </c>
      <c r="AA184" s="214">
        <f>'Overall Metrics'!N185</f>
        <v>0</v>
      </c>
      <c r="AB184" s="110"/>
      <c r="AC184" s="430"/>
      <c r="AD184" s="430"/>
      <c r="AE184" s="430"/>
      <c r="AF184" s="430"/>
      <c r="AG184" s="430"/>
      <c r="AH184" s="430"/>
      <c r="AI184" s="462"/>
      <c r="AJ184" s="430"/>
      <c r="AK184" s="430"/>
      <c r="AL184" s="430"/>
      <c r="AM184" s="430"/>
      <c r="AN184" s="430"/>
      <c r="AO184" s="430"/>
      <c r="AP184" s="430"/>
      <c r="AQ184" s="430"/>
      <c r="AR184" s="219">
        <f t="shared" si="93"/>
        <v>0</v>
      </c>
      <c r="AS184" s="220" t="str">
        <f t="shared" si="94"/>
        <v>-</v>
      </c>
      <c r="AT184" s="472" t="str">
        <f t="shared" si="95"/>
        <v>-</v>
      </c>
      <c r="AU184" s="472" t="str">
        <f t="shared" si="96"/>
        <v>-</v>
      </c>
      <c r="AV184" s="472" t="str">
        <f t="shared" si="97"/>
        <v>-</v>
      </c>
      <c r="AW184" s="472" t="str">
        <f t="shared" si="98"/>
        <v>-</v>
      </c>
      <c r="AX184" s="472" t="str">
        <f t="shared" si="99"/>
        <v>-</v>
      </c>
      <c r="AY184" s="472" t="str">
        <f t="shared" si="123"/>
        <v>-</v>
      </c>
      <c r="AZ184" s="472" t="str">
        <f t="shared" si="124"/>
        <v>-</v>
      </c>
      <c r="BA184" s="472" t="str">
        <f t="shared" si="125"/>
        <v>-</v>
      </c>
      <c r="BB184" s="472" t="str">
        <f t="shared" si="126"/>
        <v>-</v>
      </c>
      <c r="BC184" s="472" t="str">
        <f t="shared" si="127"/>
        <v>-</v>
      </c>
      <c r="BD184" s="472" t="str">
        <f t="shared" si="128"/>
        <v>-</v>
      </c>
      <c r="BE184" s="472" t="str">
        <f t="shared" si="129"/>
        <v>-</v>
      </c>
      <c r="BF184" s="472" t="str">
        <f t="shared" si="130"/>
        <v>-</v>
      </c>
      <c r="BG184" s="472" t="str">
        <f t="shared" si="131"/>
        <v>-</v>
      </c>
      <c r="BH184" s="472" t="str">
        <f t="shared" si="132"/>
        <v>-</v>
      </c>
      <c r="BI184" s="221" t="str">
        <f t="shared" si="110"/>
        <v>-</v>
      </c>
      <c r="BJ184" s="730"/>
      <c r="BK184" s="692"/>
      <c r="BL184" s="429"/>
      <c r="BM184" s="429"/>
      <c r="BN184" s="214">
        <f t="shared" si="111"/>
        <v>0</v>
      </c>
      <c r="BO184" s="738"/>
      <c r="BP184" s="742"/>
      <c r="BQ184" s="446"/>
      <c r="BR184" s="446"/>
      <c r="BS184" s="228">
        <f t="shared" si="112"/>
        <v>0</v>
      </c>
      <c r="BT184" s="407" t="str">
        <f t="shared" si="113"/>
        <v>-</v>
      </c>
      <c r="BU184" s="529" t="str">
        <f t="shared" si="114"/>
        <v>-</v>
      </c>
      <c r="BV184" s="529" t="str">
        <f t="shared" si="115"/>
        <v>-</v>
      </c>
      <c r="BW184" s="529" t="str">
        <f t="shared" si="116"/>
        <v>-</v>
      </c>
      <c r="BX184" s="221" t="str">
        <f t="shared" si="117"/>
        <v>-</v>
      </c>
      <c r="BY184" s="745"/>
      <c r="BZ184" s="735"/>
      <c r="CA184" s="746"/>
      <c r="CB184" s="407" t="str">
        <f t="shared" si="118"/>
        <v>-</v>
      </c>
      <c r="CC184" s="529" t="str">
        <f t="shared" si="119"/>
        <v>-</v>
      </c>
      <c r="CD184" s="221" t="str">
        <f t="shared" si="120"/>
        <v>-</v>
      </c>
    </row>
    <row r="185" spans="1:82" ht="16.350000000000001" customHeight="1">
      <c r="A185" s="175">
        <f t="shared" si="90"/>
        <v>2024</v>
      </c>
      <c r="B185" s="454" t="str">
        <f t="shared" si="91"/>
        <v>24</v>
      </c>
      <c r="C185" s="454" t="str">
        <f t="array" ref="C185">_xlfn.IFS(_xlfn.NUMBERVALUE(B185)&lt;=13,"Q1",AND(_xlfn.NUMBERVALUE(B185)&gt;13,_xlfn.NUMBERVALUE(B185)&lt;=26),"Q2", AND(_xlfn.NUMBERVALUE(B185)&gt;26,_xlfn.NUMBERVALUE(B185)&lt;=39),"Q3",_xlfn.NUMBERVALUE(B185)&gt;39,"Q4")</f>
        <v>Q2</v>
      </c>
      <c r="D185" s="448">
        <f t="shared" si="121"/>
        <v>45115</v>
      </c>
      <c r="E185" s="448">
        <f t="shared" si="92"/>
        <v>45121</v>
      </c>
      <c r="F185" s="97">
        <v>202324</v>
      </c>
      <c r="G185" s="103"/>
      <c r="H185" s="429"/>
      <c r="I185" s="429"/>
      <c r="J185" s="429"/>
      <c r="K185" s="429"/>
      <c r="L185" s="429"/>
      <c r="M185" s="429"/>
      <c r="N185" s="429"/>
      <c r="O185" s="429"/>
      <c r="P185" s="429"/>
      <c r="Q185" s="429"/>
      <c r="R185" s="429"/>
      <c r="S185" s="429"/>
      <c r="T185" s="429"/>
      <c r="U185" s="429"/>
      <c r="V185" s="429"/>
      <c r="W185" s="429"/>
      <c r="X185" s="429"/>
      <c r="Y185" s="449">
        <f t="shared" si="89"/>
        <v>0</v>
      </c>
      <c r="Z185" s="449">
        <f t="shared" si="122"/>
        <v>0</v>
      </c>
      <c r="AA185" s="214">
        <f>'Overall Metrics'!N186</f>
        <v>0</v>
      </c>
      <c r="AB185" s="110"/>
      <c r="AC185" s="430"/>
      <c r="AD185" s="430"/>
      <c r="AE185" s="430"/>
      <c r="AF185" s="430"/>
      <c r="AG185" s="430"/>
      <c r="AH185" s="430"/>
      <c r="AI185" s="430"/>
      <c r="AJ185" s="430"/>
      <c r="AK185" s="430"/>
      <c r="AL185" s="430"/>
      <c r="AM185" s="430"/>
      <c r="AN185" s="430"/>
      <c r="AO185" s="430"/>
      <c r="AP185" s="430"/>
      <c r="AQ185" s="430"/>
      <c r="AR185" s="219">
        <f t="shared" si="93"/>
        <v>0</v>
      </c>
      <c r="AS185" s="220" t="str">
        <f t="shared" si="94"/>
        <v>-</v>
      </c>
      <c r="AT185" s="472" t="str">
        <f t="shared" si="95"/>
        <v>-</v>
      </c>
      <c r="AU185" s="472" t="str">
        <f t="shared" si="96"/>
        <v>-</v>
      </c>
      <c r="AV185" s="472" t="str">
        <f t="shared" si="97"/>
        <v>-</v>
      </c>
      <c r="AW185" s="472" t="str">
        <f t="shared" si="98"/>
        <v>-</v>
      </c>
      <c r="AX185" s="472" t="str">
        <f t="shared" si="99"/>
        <v>-</v>
      </c>
      <c r="AY185" s="472" t="str">
        <f t="shared" si="123"/>
        <v>-</v>
      </c>
      <c r="AZ185" s="472" t="str">
        <f t="shared" si="124"/>
        <v>-</v>
      </c>
      <c r="BA185" s="472" t="str">
        <f t="shared" si="125"/>
        <v>-</v>
      </c>
      <c r="BB185" s="472" t="str">
        <f t="shared" si="126"/>
        <v>-</v>
      </c>
      <c r="BC185" s="472" t="str">
        <f t="shared" si="127"/>
        <v>-</v>
      </c>
      <c r="BD185" s="472" t="str">
        <f t="shared" si="128"/>
        <v>-</v>
      </c>
      <c r="BE185" s="472" t="str">
        <f t="shared" si="129"/>
        <v>-</v>
      </c>
      <c r="BF185" s="472" t="str">
        <f t="shared" si="130"/>
        <v>-</v>
      </c>
      <c r="BG185" s="472" t="str">
        <f t="shared" si="131"/>
        <v>-</v>
      </c>
      <c r="BH185" s="472" t="str">
        <f t="shared" si="132"/>
        <v>-</v>
      </c>
      <c r="BI185" s="221" t="str">
        <f t="shared" si="110"/>
        <v>-</v>
      </c>
      <c r="BJ185" s="730"/>
      <c r="BK185" s="692"/>
      <c r="BL185" s="429"/>
      <c r="BM185" s="429"/>
      <c r="BN185" s="214">
        <f t="shared" si="111"/>
        <v>0</v>
      </c>
      <c r="BO185" s="738"/>
      <c r="BP185" s="742"/>
      <c r="BQ185" s="446"/>
      <c r="BR185" s="446"/>
      <c r="BS185" s="228">
        <f t="shared" si="112"/>
        <v>0</v>
      </c>
      <c r="BT185" s="407" t="str">
        <f t="shared" si="113"/>
        <v>-</v>
      </c>
      <c r="BU185" s="529" t="str">
        <f t="shared" si="114"/>
        <v>-</v>
      </c>
      <c r="BV185" s="529" t="str">
        <f t="shared" si="115"/>
        <v>-</v>
      </c>
      <c r="BW185" s="529" t="str">
        <f t="shared" si="116"/>
        <v>-</v>
      </c>
      <c r="BX185" s="221" t="str">
        <f t="shared" si="117"/>
        <v>-</v>
      </c>
      <c r="BY185" s="745"/>
      <c r="BZ185" s="735"/>
      <c r="CA185" s="746"/>
      <c r="CB185" s="407" t="str">
        <f t="shared" si="118"/>
        <v>-</v>
      </c>
      <c r="CC185" s="529" t="str">
        <f t="shared" si="119"/>
        <v>-</v>
      </c>
      <c r="CD185" s="221" t="str">
        <f t="shared" si="120"/>
        <v>-</v>
      </c>
    </row>
    <row r="186" spans="1:82" ht="16.350000000000001" customHeight="1">
      <c r="A186" s="175">
        <f t="shared" si="90"/>
        <v>2024</v>
      </c>
      <c r="B186" s="454" t="str">
        <f t="shared" si="91"/>
        <v>25</v>
      </c>
      <c r="C186" s="454" t="str">
        <f t="array" ref="C186">_xlfn.IFS(_xlfn.NUMBERVALUE(B186)&lt;=13,"Q1",AND(_xlfn.NUMBERVALUE(B186)&gt;13,_xlfn.NUMBERVALUE(B186)&lt;=26),"Q2", AND(_xlfn.NUMBERVALUE(B186)&gt;26,_xlfn.NUMBERVALUE(B186)&lt;=39),"Q3",_xlfn.NUMBERVALUE(B186)&gt;39,"Q4")</f>
        <v>Q2</v>
      </c>
      <c r="D186" s="448">
        <f t="shared" si="121"/>
        <v>45122</v>
      </c>
      <c r="E186" s="448">
        <f t="shared" si="92"/>
        <v>45128</v>
      </c>
      <c r="F186" s="97">
        <v>202325</v>
      </c>
      <c r="G186" s="103"/>
      <c r="H186" s="429"/>
      <c r="I186" s="429"/>
      <c r="J186" s="429"/>
      <c r="K186" s="429"/>
      <c r="L186" s="429"/>
      <c r="M186" s="429"/>
      <c r="N186" s="429"/>
      <c r="O186" s="429"/>
      <c r="P186" s="429"/>
      <c r="Q186" s="429"/>
      <c r="R186" s="429"/>
      <c r="S186" s="429"/>
      <c r="T186" s="429"/>
      <c r="U186" s="429"/>
      <c r="V186" s="429"/>
      <c r="W186" s="429"/>
      <c r="X186" s="429"/>
      <c r="Y186" s="449">
        <f t="shared" ref="Y186:Y249" si="133">AA186-Z186</f>
        <v>0</v>
      </c>
      <c r="Z186" s="449">
        <f t="shared" si="122"/>
        <v>0</v>
      </c>
      <c r="AA186" s="214">
        <f>'Overall Metrics'!N187</f>
        <v>0</v>
      </c>
      <c r="AB186" s="110"/>
      <c r="AC186" s="446"/>
      <c r="AD186" s="430"/>
      <c r="AE186" s="430"/>
      <c r="AF186" s="430"/>
      <c r="AG186" s="430"/>
      <c r="AH186" s="430"/>
      <c r="AI186" s="430"/>
      <c r="AJ186" s="430"/>
      <c r="AK186" s="430"/>
      <c r="AL186" s="430"/>
      <c r="AM186" s="430"/>
      <c r="AN186" s="430"/>
      <c r="AO186" s="430"/>
      <c r="AP186" s="430"/>
      <c r="AQ186" s="430"/>
      <c r="AR186" s="219">
        <f t="shared" si="93"/>
        <v>0</v>
      </c>
      <c r="AS186" s="220" t="str">
        <f t="shared" si="94"/>
        <v>-</v>
      </c>
      <c r="AT186" s="472" t="str">
        <f t="shared" si="95"/>
        <v>-</v>
      </c>
      <c r="AU186" s="472" t="str">
        <f t="shared" si="96"/>
        <v>-</v>
      </c>
      <c r="AV186" s="472" t="str">
        <f t="shared" si="97"/>
        <v>-</v>
      </c>
      <c r="AW186" s="472" t="str">
        <f t="shared" si="98"/>
        <v>-</v>
      </c>
      <c r="AX186" s="472" t="str">
        <f t="shared" si="99"/>
        <v>-</v>
      </c>
      <c r="AY186" s="472" t="str">
        <f t="shared" si="123"/>
        <v>-</v>
      </c>
      <c r="AZ186" s="472" t="str">
        <f t="shared" si="124"/>
        <v>-</v>
      </c>
      <c r="BA186" s="472" t="str">
        <f t="shared" si="125"/>
        <v>-</v>
      </c>
      <c r="BB186" s="472" t="str">
        <f t="shared" si="126"/>
        <v>-</v>
      </c>
      <c r="BC186" s="472" t="str">
        <f t="shared" si="127"/>
        <v>-</v>
      </c>
      <c r="BD186" s="472" t="str">
        <f t="shared" si="128"/>
        <v>-</v>
      </c>
      <c r="BE186" s="472" t="str">
        <f t="shared" si="129"/>
        <v>-</v>
      </c>
      <c r="BF186" s="472" t="str">
        <f t="shared" si="130"/>
        <v>-</v>
      </c>
      <c r="BG186" s="472" t="str">
        <f t="shared" si="131"/>
        <v>-</v>
      </c>
      <c r="BH186" s="472" t="str">
        <f t="shared" si="132"/>
        <v>-</v>
      </c>
      <c r="BI186" s="221" t="str">
        <f t="shared" si="110"/>
        <v>-</v>
      </c>
      <c r="BJ186" s="730"/>
      <c r="BK186" s="692"/>
      <c r="BL186" s="429"/>
      <c r="BM186" s="429"/>
      <c r="BN186" s="214">
        <f t="shared" si="111"/>
        <v>0</v>
      </c>
      <c r="BO186" s="738"/>
      <c r="BP186" s="742"/>
      <c r="BQ186" s="446"/>
      <c r="BR186" s="446"/>
      <c r="BS186" s="228">
        <f t="shared" si="112"/>
        <v>0</v>
      </c>
      <c r="BT186" s="407" t="str">
        <f t="shared" si="113"/>
        <v>-</v>
      </c>
      <c r="BU186" s="529" t="str">
        <f t="shared" si="114"/>
        <v>-</v>
      </c>
      <c r="BV186" s="529" t="str">
        <f t="shared" si="115"/>
        <v>-</v>
      </c>
      <c r="BW186" s="529" t="str">
        <f t="shared" si="116"/>
        <v>-</v>
      </c>
      <c r="BX186" s="221" t="str">
        <f t="shared" si="117"/>
        <v>-</v>
      </c>
      <c r="BY186" s="745"/>
      <c r="BZ186" s="735"/>
      <c r="CA186" s="746"/>
      <c r="CB186" s="407" t="str">
        <f t="shared" si="118"/>
        <v>-</v>
      </c>
      <c r="CC186" s="529" t="str">
        <f t="shared" si="119"/>
        <v>-</v>
      </c>
      <c r="CD186" s="221" t="str">
        <f t="shared" si="120"/>
        <v>-</v>
      </c>
    </row>
    <row r="187" spans="1:82" ht="16.350000000000001" customHeight="1">
      <c r="A187" s="175">
        <f t="shared" si="90"/>
        <v>2024</v>
      </c>
      <c r="B187" s="454" t="str">
        <f t="shared" si="91"/>
        <v>26</v>
      </c>
      <c r="C187" s="454" t="str">
        <f t="array" ref="C187">_xlfn.IFS(_xlfn.NUMBERVALUE(B187)&lt;=13,"Q1",AND(_xlfn.NUMBERVALUE(B187)&gt;13,_xlfn.NUMBERVALUE(B187)&lt;=26),"Q2", AND(_xlfn.NUMBERVALUE(B187)&gt;26,_xlfn.NUMBERVALUE(B187)&lt;=39),"Q3",_xlfn.NUMBERVALUE(B187)&gt;39,"Q4")</f>
        <v>Q2</v>
      </c>
      <c r="D187" s="448">
        <f t="shared" si="121"/>
        <v>45129</v>
      </c>
      <c r="E187" s="448">
        <f t="shared" si="92"/>
        <v>45135</v>
      </c>
      <c r="F187" s="97">
        <v>202326</v>
      </c>
      <c r="G187" s="103"/>
      <c r="H187" s="429"/>
      <c r="I187" s="429"/>
      <c r="J187" s="429"/>
      <c r="K187" s="429"/>
      <c r="L187" s="429"/>
      <c r="M187" s="429"/>
      <c r="N187" s="429"/>
      <c r="O187" s="429"/>
      <c r="P187" s="429"/>
      <c r="Q187" s="429"/>
      <c r="R187" s="429"/>
      <c r="S187" s="429"/>
      <c r="T187" s="429"/>
      <c r="U187" s="429"/>
      <c r="V187" s="429"/>
      <c r="W187" s="429"/>
      <c r="X187" s="429"/>
      <c r="Y187" s="449">
        <f t="shared" si="133"/>
        <v>0</v>
      </c>
      <c r="Z187" s="449">
        <f t="shared" si="122"/>
        <v>0</v>
      </c>
      <c r="AA187" s="214">
        <f>'Overall Metrics'!N188</f>
        <v>0</v>
      </c>
      <c r="AB187" s="201"/>
      <c r="AC187" s="446"/>
      <c r="AD187" s="446"/>
      <c r="AE187" s="446"/>
      <c r="AF187" s="446"/>
      <c r="AG187" s="446"/>
      <c r="AH187" s="446"/>
      <c r="AI187" s="446"/>
      <c r="AJ187" s="446"/>
      <c r="AK187" s="446"/>
      <c r="AL187" s="446"/>
      <c r="AM187" s="446"/>
      <c r="AN187" s="446"/>
      <c r="AO187" s="446"/>
      <c r="AP187" s="446"/>
      <c r="AQ187" s="446"/>
      <c r="AR187" s="219">
        <f t="shared" si="93"/>
        <v>0</v>
      </c>
      <c r="AS187" s="220" t="str">
        <f t="shared" si="94"/>
        <v>-</v>
      </c>
      <c r="AT187" s="472" t="str">
        <f t="shared" si="95"/>
        <v>-</v>
      </c>
      <c r="AU187" s="472" t="str">
        <f t="shared" si="96"/>
        <v>-</v>
      </c>
      <c r="AV187" s="472" t="str">
        <f t="shared" si="97"/>
        <v>-</v>
      </c>
      <c r="AW187" s="472" t="str">
        <f t="shared" si="98"/>
        <v>-</v>
      </c>
      <c r="AX187" s="472" t="str">
        <f t="shared" si="99"/>
        <v>-</v>
      </c>
      <c r="AY187" s="472" t="str">
        <f t="shared" si="123"/>
        <v>-</v>
      </c>
      <c r="AZ187" s="472" t="str">
        <f t="shared" si="124"/>
        <v>-</v>
      </c>
      <c r="BA187" s="472" t="str">
        <f t="shared" si="125"/>
        <v>-</v>
      </c>
      <c r="BB187" s="472" t="str">
        <f t="shared" si="126"/>
        <v>-</v>
      </c>
      <c r="BC187" s="472" t="str">
        <f t="shared" si="127"/>
        <v>-</v>
      </c>
      <c r="BD187" s="472" t="str">
        <f t="shared" si="128"/>
        <v>-</v>
      </c>
      <c r="BE187" s="472" t="str">
        <f t="shared" si="129"/>
        <v>-</v>
      </c>
      <c r="BF187" s="472" t="str">
        <f t="shared" si="130"/>
        <v>-</v>
      </c>
      <c r="BG187" s="472" t="str">
        <f t="shared" si="131"/>
        <v>-</v>
      </c>
      <c r="BH187" s="472" t="str">
        <f t="shared" si="132"/>
        <v>-</v>
      </c>
      <c r="BI187" s="221" t="str">
        <f t="shared" si="110"/>
        <v>-</v>
      </c>
      <c r="BJ187" s="730"/>
      <c r="BK187" s="692"/>
      <c r="BL187" s="429"/>
      <c r="BM187" s="429"/>
      <c r="BN187" s="214">
        <f t="shared" si="111"/>
        <v>0</v>
      </c>
      <c r="BO187" s="741"/>
      <c r="BP187" s="742"/>
      <c r="BQ187" s="446"/>
      <c r="BR187" s="446"/>
      <c r="BS187" s="228">
        <f t="shared" si="112"/>
        <v>0</v>
      </c>
      <c r="BT187" s="407" t="str">
        <f t="shared" si="113"/>
        <v>-</v>
      </c>
      <c r="BU187" s="529" t="str">
        <f t="shared" si="114"/>
        <v>-</v>
      </c>
      <c r="BV187" s="529" t="str">
        <f t="shared" si="115"/>
        <v>-</v>
      </c>
      <c r="BW187" s="529" t="str">
        <f t="shared" si="116"/>
        <v>-</v>
      </c>
      <c r="BX187" s="221" t="str">
        <f t="shared" si="117"/>
        <v>-</v>
      </c>
      <c r="BY187" s="745"/>
      <c r="BZ187" s="735"/>
      <c r="CA187" s="746"/>
      <c r="CB187" s="407" t="str">
        <f t="shared" si="118"/>
        <v>-</v>
      </c>
      <c r="CC187" s="529" t="str">
        <f t="shared" si="119"/>
        <v>-</v>
      </c>
      <c r="CD187" s="221" t="str">
        <f t="shared" si="120"/>
        <v>-</v>
      </c>
    </row>
    <row r="188" spans="1:82" ht="16.350000000000001" customHeight="1">
      <c r="A188" s="175">
        <f t="shared" si="90"/>
        <v>2024</v>
      </c>
      <c r="B188" s="454" t="str">
        <f t="shared" si="91"/>
        <v>27</v>
      </c>
      <c r="C188" s="454" t="str">
        <f t="array" ref="C188">_xlfn.IFS(_xlfn.NUMBERVALUE(B188)&lt;=13,"Q1",AND(_xlfn.NUMBERVALUE(B188)&gt;13,_xlfn.NUMBERVALUE(B188)&lt;=26),"Q2", AND(_xlfn.NUMBERVALUE(B188)&gt;26,_xlfn.NUMBERVALUE(B188)&lt;=39),"Q3",_xlfn.NUMBERVALUE(B188)&gt;39,"Q4")</f>
        <v>Q3</v>
      </c>
      <c r="D188" s="448">
        <f t="shared" si="121"/>
        <v>45136</v>
      </c>
      <c r="E188" s="448">
        <f t="shared" si="92"/>
        <v>45142</v>
      </c>
      <c r="F188" s="97">
        <v>202327</v>
      </c>
      <c r="G188" s="103"/>
      <c r="H188" s="429"/>
      <c r="I188" s="429"/>
      <c r="J188" s="429"/>
      <c r="K188" s="429"/>
      <c r="L188" s="429"/>
      <c r="M188" s="429"/>
      <c r="N188" s="429"/>
      <c r="O188" s="429"/>
      <c r="P188" s="429"/>
      <c r="Q188" s="429"/>
      <c r="R188" s="429"/>
      <c r="S188" s="429"/>
      <c r="T188" s="429"/>
      <c r="U188" s="429"/>
      <c r="V188" s="429"/>
      <c r="W188" s="429"/>
      <c r="X188" s="429"/>
      <c r="Y188" s="449">
        <f t="shared" si="133"/>
        <v>0</v>
      </c>
      <c r="Z188" s="449">
        <f t="shared" si="122"/>
        <v>0</v>
      </c>
      <c r="AA188" s="214">
        <f>'Overall Metrics'!N189</f>
        <v>0</v>
      </c>
      <c r="AB188" s="201"/>
      <c r="AC188" s="446"/>
      <c r="AD188" s="446"/>
      <c r="AE188" s="446"/>
      <c r="AF188" s="446"/>
      <c r="AG188" s="446"/>
      <c r="AH188" s="446"/>
      <c r="AI188" s="446"/>
      <c r="AJ188" s="446"/>
      <c r="AK188" s="446"/>
      <c r="AL188" s="446"/>
      <c r="AM188" s="446"/>
      <c r="AN188" s="446"/>
      <c r="AO188" s="446"/>
      <c r="AP188" s="446"/>
      <c r="AQ188" s="446"/>
      <c r="AR188" s="219">
        <f t="shared" si="93"/>
        <v>0</v>
      </c>
      <c r="AS188" s="220" t="str">
        <f t="shared" si="94"/>
        <v>-</v>
      </c>
      <c r="AT188" s="472" t="str">
        <f t="shared" si="95"/>
        <v>-</v>
      </c>
      <c r="AU188" s="472" t="str">
        <f t="shared" si="96"/>
        <v>-</v>
      </c>
      <c r="AV188" s="472" t="str">
        <f t="shared" si="97"/>
        <v>-</v>
      </c>
      <c r="AW188" s="472" t="str">
        <f t="shared" si="98"/>
        <v>-</v>
      </c>
      <c r="AX188" s="472" t="str">
        <f t="shared" si="99"/>
        <v>-</v>
      </c>
      <c r="AY188" s="472" t="str">
        <f t="shared" si="123"/>
        <v>-</v>
      </c>
      <c r="AZ188" s="472" t="str">
        <f t="shared" si="124"/>
        <v>-</v>
      </c>
      <c r="BA188" s="472" t="str">
        <f t="shared" si="125"/>
        <v>-</v>
      </c>
      <c r="BB188" s="472" t="str">
        <f t="shared" si="126"/>
        <v>-</v>
      </c>
      <c r="BC188" s="472" t="str">
        <f t="shared" si="127"/>
        <v>-</v>
      </c>
      <c r="BD188" s="472" t="str">
        <f t="shared" si="128"/>
        <v>-</v>
      </c>
      <c r="BE188" s="472" t="str">
        <f t="shared" si="129"/>
        <v>-</v>
      </c>
      <c r="BF188" s="472" t="str">
        <f t="shared" si="130"/>
        <v>-</v>
      </c>
      <c r="BG188" s="472" t="str">
        <f t="shared" si="131"/>
        <v>-</v>
      </c>
      <c r="BH188" s="472" t="str">
        <f t="shared" si="132"/>
        <v>-</v>
      </c>
      <c r="BI188" s="221" t="str">
        <f t="shared" si="110"/>
        <v>-</v>
      </c>
      <c r="BJ188" s="730"/>
      <c r="BK188" s="692"/>
      <c r="BL188" s="429"/>
      <c r="BM188" s="429"/>
      <c r="BN188" s="214">
        <f t="shared" si="111"/>
        <v>0</v>
      </c>
      <c r="BO188" s="741"/>
      <c r="BP188" s="742"/>
      <c r="BQ188" s="446"/>
      <c r="BR188" s="446"/>
      <c r="BS188" s="228">
        <f t="shared" si="112"/>
        <v>0</v>
      </c>
      <c r="BT188" s="407" t="str">
        <f t="shared" si="113"/>
        <v>-</v>
      </c>
      <c r="BU188" s="529" t="str">
        <f t="shared" si="114"/>
        <v>-</v>
      </c>
      <c r="BV188" s="529" t="str">
        <f t="shared" si="115"/>
        <v>-</v>
      </c>
      <c r="BW188" s="529" t="str">
        <f t="shared" si="116"/>
        <v>-</v>
      </c>
      <c r="BX188" s="221" t="str">
        <f t="shared" si="117"/>
        <v>-</v>
      </c>
      <c r="BY188" s="745"/>
      <c r="BZ188" s="735"/>
      <c r="CA188" s="746"/>
      <c r="CB188" s="407" t="str">
        <f t="shared" si="118"/>
        <v>-</v>
      </c>
      <c r="CC188" s="529" t="str">
        <f t="shared" si="119"/>
        <v>-</v>
      </c>
      <c r="CD188" s="221" t="str">
        <f t="shared" si="120"/>
        <v>-</v>
      </c>
    </row>
    <row r="189" spans="1:82" ht="16.350000000000001" customHeight="1">
      <c r="A189" s="175">
        <f t="shared" si="90"/>
        <v>2024</v>
      </c>
      <c r="B189" s="454" t="str">
        <f t="shared" si="91"/>
        <v>28</v>
      </c>
      <c r="C189" s="454" t="str">
        <f t="array" ref="C189">_xlfn.IFS(_xlfn.NUMBERVALUE(B189)&lt;=13,"Q1",AND(_xlfn.NUMBERVALUE(B189)&gt;13,_xlfn.NUMBERVALUE(B189)&lt;=26),"Q2", AND(_xlfn.NUMBERVALUE(B189)&gt;26,_xlfn.NUMBERVALUE(B189)&lt;=39),"Q3",_xlfn.NUMBERVALUE(B189)&gt;39,"Q4")</f>
        <v>Q3</v>
      </c>
      <c r="D189" s="448">
        <f t="shared" si="121"/>
        <v>45143</v>
      </c>
      <c r="E189" s="448">
        <f t="shared" si="92"/>
        <v>45149</v>
      </c>
      <c r="F189" s="97">
        <v>202328</v>
      </c>
      <c r="G189" s="103"/>
      <c r="H189" s="429"/>
      <c r="I189" s="429"/>
      <c r="J189" s="429"/>
      <c r="K189" s="429"/>
      <c r="L189" s="429"/>
      <c r="M189" s="429"/>
      <c r="N189" s="429"/>
      <c r="O189" s="429"/>
      <c r="P189" s="429"/>
      <c r="R189" s="429"/>
      <c r="S189" s="429"/>
      <c r="T189" s="429"/>
      <c r="U189" s="429"/>
      <c r="V189" s="429"/>
      <c r="W189" s="429"/>
      <c r="X189" s="429"/>
      <c r="Y189" s="449">
        <f t="shared" si="133"/>
        <v>0</v>
      </c>
      <c r="Z189" s="449">
        <f t="shared" si="122"/>
        <v>0</v>
      </c>
      <c r="AA189" s="214">
        <f>'Overall Metrics'!N190</f>
        <v>0</v>
      </c>
      <c r="AB189" s="201"/>
      <c r="AC189" s="446"/>
      <c r="AD189" s="446"/>
      <c r="AE189" s="446"/>
      <c r="AF189" s="446"/>
      <c r="AG189" s="446"/>
      <c r="AH189" s="446"/>
      <c r="AI189" s="446"/>
      <c r="AJ189" s="446"/>
      <c r="AK189" s="446"/>
      <c r="AL189" s="446"/>
      <c r="AM189" s="446"/>
      <c r="AN189" s="446"/>
      <c r="AO189" s="446"/>
      <c r="AP189" s="446"/>
      <c r="AQ189" s="446"/>
      <c r="AR189" s="219">
        <f t="shared" si="93"/>
        <v>0</v>
      </c>
      <c r="AS189" s="220" t="str">
        <f t="shared" si="94"/>
        <v>-</v>
      </c>
      <c r="AT189" s="472" t="str">
        <f t="shared" si="95"/>
        <v>-</v>
      </c>
      <c r="AU189" s="472" t="str">
        <f t="shared" si="96"/>
        <v>-</v>
      </c>
      <c r="AV189" s="472" t="str">
        <f t="shared" si="97"/>
        <v>-</v>
      </c>
      <c r="AW189" s="472" t="str">
        <f t="shared" si="98"/>
        <v>-</v>
      </c>
      <c r="AX189" s="472" t="str">
        <f t="shared" si="99"/>
        <v>-</v>
      </c>
      <c r="AY189" s="472" t="str">
        <f t="shared" ref="AY189:AY220" si="134">IFERROR(AH189/O189,"-")</f>
        <v>-</v>
      </c>
      <c r="AZ189" s="472" t="str">
        <f>IFERROR(AI189/#REF!,"-")</f>
        <v>-</v>
      </c>
      <c r="BA189" s="472" t="str">
        <f>IFERROR(AJ189/P189,"-")</f>
        <v>-</v>
      </c>
      <c r="BB189" s="472" t="str">
        <f t="shared" ref="BB189:BB220" si="135">IFERROR(AK189/R189,"-")</f>
        <v>-</v>
      </c>
      <c r="BC189" s="472" t="str">
        <f t="shared" ref="BC189:BC220" si="136">IFERROR(AL189/S189,"-")</f>
        <v>-</v>
      </c>
      <c r="BD189" s="472" t="str">
        <f t="shared" ref="BD189:BD220" si="137">IFERROR(AM189/T189,"-")</f>
        <v>-</v>
      </c>
      <c r="BE189" s="472" t="str">
        <f t="shared" ref="BE189:BE220" si="138">IFERROR(AN189/U189,"-")</f>
        <v>-</v>
      </c>
      <c r="BF189" s="472" t="str">
        <f t="shared" ref="BF189:BF220" si="139">IFERROR(AO189/V189,"-")</f>
        <v>-</v>
      </c>
      <c r="BG189" s="472" t="str">
        <f t="shared" ref="BG189:BG220" si="140">IFERROR(AP189/W189,"-")</f>
        <v>-</v>
      </c>
      <c r="BH189" s="472" t="str">
        <f t="shared" ref="BH189:BH220" si="141">IFERROR(AQ189/X189,"-")</f>
        <v>-</v>
      </c>
      <c r="BI189" s="221" t="str">
        <f t="shared" si="110"/>
        <v>-</v>
      </c>
      <c r="BJ189" s="730"/>
      <c r="BK189" s="692"/>
      <c r="BL189" s="429"/>
      <c r="BM189" s="429"/>
      <c r="BN189" s="214">
        <f t="shared" si="111"/>
        <v>0</v>
      </c>
      <c r="BO189" s="741"/>
      <c r="BP189" s="742"/>
      <c r="BQ189" s="446"/>
      <c r="BR189" s="446"/>
      <c r="BS189" s="228">
        <f t="shared" si="112"/>
        <v>0</v>
      </c>
      <c r="BT189" s="407" t="str">
        <f t="shared" si="113"/>
        <v>-</v>
      </c>
      <c r="BU189" s="529" t="str">
        <f t="shared" si="114"/>
        <v>-</v>
      </c>
      <c r="BV189" s="529" t="str">
        <f t="shared" si="115"/>
        <v>-</v>
      </c>
      <c r="BW189" s="529" t="str">
        <f t="shared" si="116"/>
        <v>-</v>
      </c>
      <c r="BX189" s="221" t="str">
        <f t="shared" si="117"/>
        <v>-</v>
      </c>
      <c r="BY189" s="745"/>
      <c r="BZ189" s="735"/>
      <c r="CA189" s="746"/>
      <c r="CB189" s="407" t="str">
        <f t="shared" si="118"/>
        <v>-</v>
      </c>
      <c r="CC189" s="529" t="str">
        <f t="shared" si="119"/>
        <v>-</v>
      </c>
      <c r="CD189" s="221" t="str">
        <f t="shared" si="120"/>
        <v>-</v>
      </c>
    </row>
    <row r="190" spans="1:82" ht="16.350000000000001" customHeight="1">
      <c r="A190" s="175">
        <f t="shared" si="90"/>
        <v>2024</v>
      </c>
      <c r="B190" s="454" t="str">
        <f t="shared" si="91"/>
        <v>29</v>
      </c>
      <c r="C190" s="454" t="str">
        <f t="array" ref="C190">_xlfn.IFS(_xlfn.NUMBERVALUE(B190)&lt;=13,"Q1",AND(_xlfn.NUMBERVALUE(B190)&gt;13,_xlfn.NUMBERVALUE(B190)&lt;=26),"Q2", AND(_xlfn.NUMBERVALUE(B190)&gt;26,_xlfn.NUMBERVALUE(B190)&lt;=39),"Q3",_xlfn.NUMBERVALUE(B190)&gt;39,"Q4")</f>
        <v>Q3</v>
      </c>
      <c r="D190" s="448">
        <f t="shared" si="121"/>
        <v>45150</v>
      </c>
      <c r="E190" s="448">
        <f t="shared" si="92"/>
        <v>45156</v>
      </c>
      <c r="F190" s="97">
        <v>202329</v>
      </c>
      <c r="G190" s="103"/>
      <c r="H190" s="429"/>
      <c r="I190" s="429"/>
      <c r="J190" s="429"/>
      <c r="K190" s="429"/>
      <c r="L190" s="429"/>
      <c r="M190" s="429"/>
      <c r="N190" s="429"/>
      <c r="O190" s="429"/>
      <c r="P190" s="429"/>
      <c r="R190" s="429"/>
      <c r="S190" s="429"/>
      <c r="T190" s="429"/>
      <c r="U190" s="429"/>
      <c r="V190" s="429"/>
      <c r="W190" s="429"/>
      <c r="X190" s="429"/>
      <c r="Y190" s="449">
        <f t="shared" si="133"/>
        <v>0</v>
      </c>
      <c r="Z190" s="449">
        <f t="shared" si="122"/>
        <v>0</v>
      </c>
      <c r="AA190" s="214">
        <f>'Overall Metrics'!N191</f>
        <v>0</v>
      </c>
      <c r="AB190" s="201"/>
      <c r="AC190" s="446"/>
      <c r="AD190" s="446"/>
      <c r="AE190" s="446"/>
      <c r="AF190" s="446"/>
      <c r="AG190" s="446"/>
      <c r="AH190" s="446"/>
      <c r="AI190" s="446"/>
      <c r="AJ190" s="446"/>
      <c r="AK190" s="446"/>
      <c r="AL190" s="446"/>
      <c r="AM190" s="446"/>
      <c r="AN190" s="446"/>
      <c r="AO190" s="446"/>
      <c r="AP190" s="446"/>
      <c r="AQ190" s="446"/>
      <c r="AR190" s="219">
        <f t="shared" si="93"/>
        <v>0</v>
      </c>
      <c r="AS190" s="220" t="str">
        <f t="shared" si="94"/>
        <v>-</v>
      </c>
      <c r="AT190" s="472" t="str">
        <f t="shared" si="95"/>
        <v>-</v>
      </c>
      <c r="AU190" s="472" t="str">
        <f t="shared" si="96"/>
        <v>-</v>
      </c>
      <c r="AV190" s="472" t="str">
        <f t="shared" si="97"/>
        <v>-</v>
      </c>
      <c r="AW190" s="472" t="str">
        <f t="shared" si="98"/>
        <v>-</v>
      </c>
      <c r="AX190" s="472" t="str">
        <f t="shared" si="99"/>
        <v>-</v>
      </c>
      <c r="AY190" s="472" t="str">
        <f t="shared" si="134"/>
        <v>-</v>
      </c>
      <c r="AZ190" s="472" t="str">
        <f>IFERROR(AI190/#REF!,"-")</f>
        <v>-</v>
      </c>
      <c r="BA190" s="472" t="str">
        <f>IFERROR(AJ190/P190,"-")</f>
        <v>-</v>
      </c>
      <c r="BB190" s="472" t="str">
        <f t="shared" si="135"/>
        <v>-</v>
      </c>
      <c r="BC190" s="472" t="str">
        <f t="shared" si="136"/>
        <v>-</v>
      </c>
      <c r="BD190" s="472" t="str">
        <f t="shared" si="137"/>
        <v>-</v>
      </c>
      <c r="BE190" s="472" t="str">
        <f t="shared" si="138"/>
        <v>-</v>
      </c>
      <c r="BF190" s="472" t="str">
        <f t="shared" si="139"/>
        <v>-</v>
      </c>
      <c r="BG190" s="472" t="str">
        <f t="shared" si="140"/>
        <v>-</v>
      </c>
      <c r="BH190" s="472" t="str">
        <f t="shared" si="141"/>
        <v>-</v>
      </c>
      <c r="BI190" s="221" t="str">
        <f t="shared" si="110"/>
        <v>-</v>
      </c>
      <c r="BJ190" s="730"/>
      <c r="BK190" s="692"/>
      <c r="BL190" s="429"/>
      <c r="BM190" s="429"/>
      <c r="BN190" s="214">
        <f t="shared" si="111"/>
        <v>0</v>
      </c>
      <c r="BO190" s="741"/>
      <c r="BP190" s="742"/>
      <c r="BQ190" s="446"/>
      <c r="BR190" s="446"/>
      <c r="BS190" s="228">
        <f t="shared" si="112"/>
        <v>0</v>
      </c>
      <c r="BT190" s="407" t="str">
        <f t="shared" si="113"/>
        <v>-</v>
      </c>
      <c r="BU190" s="529" t="str">
        <f t="shared" si="114"/>
        <v>-</v>
      </c>
      <c r="BV190" s="529" t="str">
        <f t="shared" si="115"/>
        <v>-</v>
      </c>
      <c r="BW190" s="529" t="str">
        <f t="shared" si="116"/>
        <v>-</v>
      </c>
      <c r="BX190" s="221" t="str">
        <f t="shared" si="117"/>
        <v>-</v>
      </c>
      <c r="BY190" s="745"/>
      <c r="BZ190" s="735"/>
      <c r="CA190" s="746"/>
      <c r="CB190" s="407" t="str">
        <f t="shared" si="118"/>
        <v>-</v>
      </c>
      <c r="CC190" s="529" t="str">
        <f t="shared" si="119"/>
        <v>-</v>
      </c>
      <c r="CD190" s="221" t="str">
        <f t="shared" si="120"/>
        <v>-</v>
      </c>
    </row>
    <row r="191" spans="1:82" ht="16.350000000000001" customHeight="1">
      <c r="A191" s="175">
        <f t="shared" si="90"/>
        <v>2024</v>
      </c>
      <c r="B191" s="454" t="str">
        <f t="shared" si="91"/>
        <v>30</v>
      </c>
      <c r="C191" s="454" t="str">
        <f t="array" ref="C191">_xlfn.IFS(_xlfn.NUMBERVALUE(B191)&lt;=13,"Q1",AND(_xlfn.NUMBERVALUE(B191)&gt;13,_xlfn.NUMBERVALUE(B191)&lt;=26),"Q2", AND(_xlfn.NUMBERVALUE(B191)&gt;26,_xlfn.NUMBERVALUE(B191)&lt;=39),"Q3",_xlfn.NUMBERVALUE(B191)&gt;39,"Q4")</f>
        <v>Q3</v>
      </c>
      <c r="D191" s="448">
        <f t="shared" si="121"/>
        <v>45157</v>
      </c>
      <c r="E191" s="448">
        <f t="shared" si="92"/>
        <v>45163</v>
      </c>
      <c r="F191" s="97">
        <v>202330</v>
      </c>
      <c r="G191" s="103"/>
      <c r="H191" s="429"/>
      <c r="I191" s="429"/>
      <c r="J191" s="429"/>
      <c r="K191" s="429"/>
      <c r="L191" s="429"/>
      <c r="M191" s="429"/>
      <c r="N191" s="429"/>
      <c r="O191" s="429"/>
      <c r="P191" s="429"/>
      <c r="R191" s="429"/>
      <c r="S191" s="429"/>
      <c r="T191" s="429"/>
      <c r="U191" s="429"/>
      <c r="V191" s="429"/>
      <c r="W191" s="429"/>
      <c r="X191" s="429"/>
      <c r="Y191" s="449">
        <f t="shared" si="133"/>
        <v>0</v>
      </c>
      <c r="Z191" s="449">
        <f t="shared" si="122"/>
        <v>0</v>
      </c>
      <c r="AA191" s="214">
        <f>'Overall Metrics'!N192</f>
        <v>0</v>
      </c>
      <c r="AB191" s="201"/>
      <c r="AC191" s="446"/>
      <c r="AD191" s="446"/>
      <c r="AE191" s="446"/>
      <c r="AF191" s="446"/>
      <c r="AG191" s="446"/>
      <c r="AH191" s="446"/>
      <c r="AI191" s="446"/>
      <c r="AJ191" s="446"/>
      <c r="AK191" s="446"/>
      <c r="AL191" s="446"/>
      <c r="AM191" s="446"/>
      <c r="AN191" s="446"/>
      <c r="AO191" s="446"/>
      <c r="AP191" s="446"/>
      <c r="AQ191" s="446"/>
      <c r="AR191" s="219">
        <f t="shared" si="93"/>
        <v>0</v>
      </c>
      <c r="AS191" s="220" t="str">
        <f t="shared" si="94"/>
        <v>-</v>
      </c>
      <c r="AT191" s="472" t="str">
        <f t="shared" si="95"/>
        <v>-</v>
      </c>
      <c r="AU191" s="472" t="str">
        <f t="shared" si="96"/>
        <v>-</v>
      </c>
      <c r="AV191" s="472" t="str">
        <f t="shared" si="97"/>
        <v>-</v>
      </c>
      <c r="AW191" s="472" t="str">
        <f t="shared" si="98"/>
        <v>-</v>
      </c>
      <c r="AX191" s="472" t="str">
        <f t="shared" si="99"/>
        <v>-</v>
      </c>
      <c r="AY191" s="472" t="str">
        <f t="shared" si="134"/>
        <v>-</v>
      </c>
      <c r="AZ191" s="472" t="str">
        <f>IFERROR(AI191/#REF!,"-")</f>
        <v>-</v>
      </c>
      <c r="BA191" s="472" t="str">
        <f>IFERROR(AJ191/P191,"-")</f>
        <v>-</v>
      </c>
      <c r="BB191" s="472" t="str">
        <f t="shared" si="135"/>
        <v>-</v>
      </c>
      <c r="BC191" s="472" t="str">
        <f t="shared" si="136"/>
        <v>-</v>
      </c>
      <c r="BD191" s="472" t="str">
        <f t="shared" si="137"/>
        <v>-</v>
      </c>
      <c r="BE191" s="472" t="str">
        <f t="shared" si="138"/>
        <v>-</v>
      </c>
      <c r="BF191" s="472" t="str">
        <f t="shared" si="139"/>
        <v>-</v>
      </c>
      <c r="BG191" s="472" t="str">
        <f t="shared" si="140"/>
        <v>-</v>
      </c>
      <c r="BH191" s="472" t="str">
        <f t="shared" si="141"/>
        <v>-</v>
      </c>
      <c r="BI191" s="221" t="str">
        <f t="shared" si="110"/>
        <v>-</v>
      </c>
      <c r="BJ191" s="730"/>
      <c r="BK191" s="692"/>
      <c r="BL191" s="429"/>
      <c r="BM191" s="429"/>
      <c r="BN191" s="214">
        <f t="shared" si="111"/>
        <v>0</v>
      </c>
      <c r="BO191" s="741"/>
      <c r="BP191" s="742"/>
      <c r="BQ191" s="446"/>
      <c r="BR191" s="446"/>
      <c r="BS191" s="228">
        <f t="shared" si="112"/>
        <v>0</v>
      </c>
      <c r="BT191" s="407" t="str">
        <f t="shared" si="113"/>
        <v>-</v>
      </c>
      <c r="BU191" s="529" t="str">
        <f t="shared" si="114"/>
        <v>-</v>
      </c>
      <c r="BV191" s="529" t="str">
        <f t="shared" si="115"/>
        <v>-</v>
      </c>
      <c r="BW191" s="529" t="str">
        <f t="shared" si="116"/>
        <v>-</v>
      </c>
      <c r="BX191" s="221" t="str">
        <f t="shared" si="117"/>
        <v>-</v>
      </c>
      <c r="BY191" s="745"/>
      <c r="BZ191" s="735"/>
      <c r="CA191" s="746"/>
      <c r="CB191" s="407" t="str">
        <f t="shared" si="118"/>
        <v>-</v>
      </c>
      <c r="CC191" s="529" t="str">
        <f t="shared" si="119"/>
        <v>-</v>
      </c>
      <c r="CD191" s="221" t="str">
        <f t="shared" si="120"/>
        <v>-</v>
      </c>
    </row>
    <row r="192" spans="1:82" ht="16.350000000000001" customHeight="1">
      <c r="A192" s="175">
        <f t="shared" si="90"/>
        <v>2024</v>
      </c>
      <c r="B192" s="454" t="str">
        <f t="shared" si="91"/>
        <v>31</v>
      </c>
      <c r="C192" s="454" t="str">
        <f t="array" ref="C192">_xlfn.IFS(_xlfn.NUMBERVALUE(B192)&lt;=13,"Q1",AND(_xlfn.NUMBERVALUE(B192)&gt;13,_xlfn.NUMBERVALUE(B192)&lt;=26),"Q2", AND(_xlfn.NUMBERVALUE(B192)&gt;26,_xlfn.NUMBERVALUE(B192)&lt;=39),"Q3",_xlfn.NUMBERVALUE(B192)&gt;39,"Q4")</f>
        <v>Q3</v>
      </c>
      <c r="D192" s="448">
        <f t="shared" si="121"/>
        <v>45164</v>
      </c>
      <c r="E192" s="448">
        <f t="shared" si="92"/>
        <v>45170</v>
      </c>
      <c r="F192" s="97">
        <v>202331</v>
      </c>
      <c r="G192" s="103"/>
      <c r="H192" s="429"/>
      <c r="I192" s="429"/>
      <c r="J192" s="429"/>
      <c r="K192" s="429"/>
      <c r="L192" s="429"/>
      <c r="M192" s="429"/>
      <c r="N192" s="429"/>
      <c r="O192" s="429"/>
      <c r="P192" s="429"/>
      <c r="Q192" s="429"/>
      <c r="R192" s="429"/>
      <c r="S192" s="429"/>
      <c r="T192" s="429"/>
      <c r="U192" s="429"/>
      <c r="V192" s="429"/>
      <c r="W192" s="429"/>
      <c r="X192" s="429"/>
      <c r="Y192" s="449">
        <f t="shared" si="133"/>
        <v>0</v>
      </c>
      <c r="Z192" s="449">
        <f t="shared" si="122"/>
        <v>0</v>
      </c>
      <c r="AA192" s="214">
        <f>'Overall Metrics'!N193</f>
        <v>0</v>
      </c>
      <c r="AB192" s="201"/>
      <c r="AC192" s="446"/>
      <c r="AD192" s="446"/>
      <c r="AE192" s="446"/>
      <c r="AF192" s="446"/>
      <c r="AG192" s="446"/>
      <c r="AH192" s="446"/>
      <c r="AI192" s="446"/>
      <c r="AJ192" s="446"/>
      <c r="AK192" s="446"/>
      <c r="AL192" s="446"/>
      <c r="AM192" s="446"/>
      <c r="AN192" s="446"/>
      <c r="AO192" s="446"/>
      <c r="AP192" s="446"/>
      <c r="AQ192" s="446"/>
      <c r="AR192" s="219">
        <f t="shared" si="93"/>
        <v>0</v>
      </c>
      <c r="AS192" s="220" t="str">
        <f t="shared" si="94"/>
        <v>-</v>
      </c>
      <c r="AT192" s="472" t="str">
        <f t="shared" si="95"/>
        <v>-</v>
      </c>
      <c r="AU192" s="472" t="str">
        <f t="shared" si="96"/>
        <v>-</v>
      </c>
      <c r="AV192" s="472" t="str">
        <f t="shared" si="97"/>
        <v>-</v>
      </c>
      <c r="AW192" s="472" t="str">
        <f t="shared" si="98"/>
        <v>-</v>
      </c>
      <c r="AX192" s="472" t="str">
        <f t="shared" si="99"/>
        <v>-</v>
      </c>
      <c r="AY192" s="472" t="str">
        <f t="shared" si="134"/>
        <v>-</v>
      </c>
      <c r="AZ192" s="472" t="str">
        <f t="shared" ref="AZ192:AZ223" si="142">IFERROR(AI192/P192,"-")</f>
        <v>-</v>
      </c>
      <c r="BA192" s="472" t="str">
        <f t="shared" ref="BA192:BA223" si="143">IFERROR(AJ192/Q192,"-")</f>
        <v>-</v>
      </c>
      <c r="BB192" s="472" t="str">
        <f t="shared" si="135"/>
        <v>-</v>
      </c>
      <c r="BC192" s="472" t="str">
        <f t="shared" si="136"/>
        <v>-</v>
      </c>
      <c r="BD192" s="472" t="str">
        <f t="shared" si="137"/>
        <v>-</v>
      </c>
      <c r="BE192" s="472" t="str">
        <f t="shared" si="138"/>
        <v>-</v>
      </c>
      <c r="BF192" s="472" t="str">
        <f t="shared" si="139"/>
        <v>-</v>
      </c>
      <c r="BG192" s="472" t="str">
        <f t="shared" si="140"/>
        <v>-</v>
      </c>
      <c r="BH192" s="472" t="str">
        <f t="shared" si="141"/>
        <v>-</v>
      </c>
      <c r="BI192" s="221" t="str">
        <f t="shared" si="110"/>
        <v>-</v>
      </c>
      <c r="BJ192" s="730"/>
      <c r="BK192" s="692"/>
      <c r="BL192" s="429"/>
      <c r="BM192" s="429"/>
      <c r="BN192" s="214">
        <f t="shared" si="111"/>
        <v>0</v>
      </c>
      <c r="BO192" s="741"/>
      <c r="BP192" s="742"/>
      <c r="BQ192" s="446"/>
      <c r="BR192" s="446"/>
      <c r="BS192" s="228">
        <f t="shared" si="112"/>
        <v>0</v>
      </c>
      <c r="BT192" s="407" t="str">
        <f t="shared" si="113"/>
        <v>-</v>
      </c>
      <c r="BU192" s="529" t="str">
        <f t="shared" si="114"/>
        <v>-</v>
      </c>
      <c r="BV192" s="529" t="str">
        <f t="shared" si="115"/>
        <v>-</v>
      </c>
      <c r="BW192" s="529" t="str">
        <f t="shared" si="116"/>
        <v>-</v>
      </c>
      <c r="BX192" s="221" t="str">
        <f t="shared" si="117"/>
        <v>-</v>
      </c>
      <c r="BY192" s="745"/>
      <c r="BZ192" s="735"/>
      <c r="CA192" s="746"/>
      <c r="CB192" s="407" t="str">
        <f t="shared" si="118"/>
        <v>-</v>
      </c>
      <c r="CC192" s="529" t="str">
        <f t="shared" si="119"/>
        <v>-</v>
      </c>
      <c r="CD192" s="221" t="str">
        <f t="shared" si="120"/>
        <v>-</v>
      </c>
    </row>
    <row r="193" spans="1:82" ht="16.350000000000001" customHeight="1">
      <c r="A193" s="175">
        <f t="shared" si="90"/>
        <v>2024</v>
      </c>
      <c r="B193" s="454" t="str">
        <f t="shared" si="91"/>
        <v>32</v>
      </c>
      <c r="C193" s="454" t="str">
        <f t="array" ref="C193">_xlfn.IFS(_xlfn.NUMBERVALUE(B193)&lt;=13,"Q1",AND(_xlfn.NUMBERVALUE(B193)&gt;13,_xlfn.NUMBERVALUE(B193)&lt;=26),"Q2", AND(_xlfn.NUMBERVALUE(B193)&gt;26,_xlfn.NUMBERVALUE(B193)&lt;=39),"Q3",_xlfn.NUMBERVALUE(B193)&gt;39,"Q4")</f>
        <v>Q3</v>
      </c>
      <c r="D193" s="448">
        <f t="shared" si="121"/>
        <v>45171</v>
      </c>
      <c r="E193" s="448">
        <f t="shared" si="92"/>
        <v>45177</v>
      </c>
      <c r="F193" s="97">
        <v>202332</v>
      </c>
      <c r="G193" s="103"/>
      <c r="H193" s="429"/>
      <c r="I193" s="429"/>
      <c r="J193" s="429"/>
      <c r="K193" s="429"/>
      <c r="L193" s="429"/>
      <c r="M193" s="429"/>
      <c r="N193" s="429"/>
      <c r="O193" s="429"/>
      <c r="P193" s="429"/>
      <c r="Q193" s="429"/>
      <c r="R193" s="429"/>
      <c r="S193" s="429"/>
      <c r="T193" s="429"/>
      <c r="U193" s="429"/>
      <c r="V193" s="429"/>
      <c r="W193" s="429"/>
      <c r="X193" s="429"/>
      <c r="Y193" s="449">
        <f t="shared" si="133"/>
        <v>0</v>
      </c>
      <c r="Z193" s="449">
        <f t="shared" si="122"/>
        <v>0</v>
      </c>
      <c r="AA193" s="214">
        <f>'Overall Metrics'!N194</f>
        <v>0</v>
      </c>
      <c r="AB193" s="201"/>
      <c r="AC193" s="446"/>
      <c r="AD193" s="446"/>
      <c r="AE193" s="446"/>
      <c r="AF193" s="446"/>
      <c r="AG193" s="446"/>
      <c r="AH193" s="446"/>
      <c r="AI193" s="446"/>
      <c r="AJ193" s="446"/>
      <c r="AK193" s="446"/>
      <c r="AL193" s="446"/>
      <c r="AM193" s="446"/>
      <c r="AN193" s="446"/>
      <c r="AO193" s="446"/>
      <c r="AP193" s="446"/>
      <c r="AQ193" s="446"/>
      <c r="AR193" s="219">
        <f t="shared" si="93"/>
        <v>0</v>
      </c>
      <c r="AS193" s="220" t="str">
        <f t="shared" si="94"/>
        <v>-</v>
      </c>
      <c r="AT193" s="472" t="str">
        <f t="shared" si="95"/>
        <v>-</v>
      </c>
      <c r="AU193" s="472" t="str">
        <f t="shared" si="96"/>
        <v>-</v>
      </c>
      <c r="AV193" s="472" t="str">
        <f t="shared" si="97"/>
        <v>-</v>
      </c>
      <c r="AW193" s="472" t="str">
        <f t="shared" si="98"/>
        <v>-</v>
      </c>
      <c r="AX193" s="472" t="str">
        <f t="shared" si="99"/>
        <v>-</v>
      </c>
      <c r="AY193" s="472" t="str">
        <f t="shared" si="134"/>
        <v>-</v>
      </c>
      <c r="AZ193" s="472" t="str">
        <f t="shared" si="142"/>
        <v>-</v>
      </c>
      <c r="BA193" s="472" t="str">
        <f t="shared" si="143"/>
        <v>-</v>
      </c>
      <c r="BB193" s="472" t="str">
        <f t="shared" si="135"/>
        <v>-</v>
      </c>
      <c r="BC193" s="472" t="str">
        <f t="shared" si="136"/>
        <v>-</v>
      </c>
      <c r="BD193" s="472" t="str">
        <f t="shared" si="137"/>
        <v>-</v>
      </c>
      <c r="BE193" s="472" t="str">
        <f t="shared" si="138"/>
        <v>-</v>
      </c>
      <c r="BF193" s="472" t="str">
        <f t="shared" si="139"/>
        <v>-</v>
      </c>
      <c r="BG193" s="472" t="str">
        <f t="shared" si="140"/>
        <v>-</v>
      </c>
      <c r="BH193" s="472" t="str">
        <f t="shared" si="141"/>
        <v>-</v>
      </c>
      <c r="BI193" s="221" t="str">
        <f t="shared" si="110"/>
        <v>-</v>
      </c>
      <c r="BJ193" s="730"/>
      <c r="BK193" s="732"/>
      <c r="BL193" s="429"/>
      <c r="BM193" s="429"/>
      <c r="BN193" s="214">
        <f t="shared" si="111"/>
        <v>0</v>
      </c>
      <c r="BO193" s="741"/>
      <c r="BP193" s="742"/>
      <c r="BQ193" s="446"/>
      <c r="BR193" s="446"/>
      <c r="BS193" s="228">
        <f t="shared" si="112"/>
        <v>0</v>
      </c>
      <c r="BT193" s="407" t="str">
        <f t="shared" si="113"/>
        <v>-</v>
      </c>
      <c r="BU193" s="529" t="str">
        <f t="shared" si="114"/>
        <v>-</v>
      </c>
      <c r="BV193" s="529" t="str">
        <f t="shared" si="115"/>
        <v>-</v>
      </c>
      <c r="BW193" s="529" t="str">
        <f t="shared" si="116"/>
        <v>-</v>
      </c>
      <c r="BX193" s="221" t="str">
        <f t="shared" si="117"/>
        <v>-</v>
      </c>
      <c r="BY193" s="745"/>
      <c r="BZ193" s="735"/>
      <c r="CA193" s="746"/>
      <c r="CB193" s="407" t="str">
        <f t="shared" si="118"/>
        <v>-</v>
      </c>
      <c r="CC193" s="529" t="str">
        <f t="shared" si="119"/>
        <v>-</v>
      </c>
      <c r="CD193" s="221" t="str">
        <f t="shared" si="120"/>
        <v>-</v>
      </c>
    </row>
    <row r="194" spans="1:82" ht="16.350000000000001" customHeight="1">
      <c r="A194" s="175">
        <f t="shared" si="90"/>
        <v>2024</v>
      </c>
      <c r="B194" s="454" t="str">
        <f t="shared" si="91"/>
        <v>33</v>
      </c>
      <c r="C194" s="454" t="str">
        <f t="array" ref="C194">_xlfn.IFS(_xlfn.NUMBERVALUE(B194)&lt;=13,"Q1",AND(_xlfn.NUMBERVALUE(B194)&gt;13,_xlfn.NUMBERVALUE(B194)&lt;=26),"Q2", AND(_xlfn.NUMBERVALUE(B194)&gt;26,_xlfn.NUMBERVALUE(B194)&lt;=39),"Q3",_xlfn.NUMBERVALUE(B194)&gt;39,"Q4")</f>
        <v>Q3</v>
      </c>
      <c r="D194" s="448">
        <f t="shared" si="121"/>
        <v>45178</v>
      </c>
      <c r="E194" s="448">
        <f t="shared" si="92"/>
        <v>45184</v>
      </c>
      <c r="F194" s="97">
        <v>202333</v>
      </c>
      <c r="G194" s="103"/>
      <c r="H194" s="429"/>
      <c r="I194" s="429"/>
      <c r="J194" s="429"/>
      <c r="K194" s="429"/>
      <c r="L194" s="429"/>
      <c r="M194" s="429"/>
      <c r="N194" s="429"/>
      <c r="O194" s="429"/>
      <c r="P194" s="429"/>
      <c r="R194" s="429"/>
      <c r="S194" s="429"/>
      <c r="T194" s="429"/>
      <c r="U194" s="429"/>
      <c r="V194" s="429"/>
      <c r="W194" s="429"/>
      <c r="X194" s="429"/>
      <c r="Y194" s="449">
        <f t="shared" si="133"/>
        <v>0</v>
      </c>
      <c r="Z194" s="449">
        <f t="shared" si="122"/>
        <v>0</v>
      </c>
      <c r="AA194" s="214">
        <f>'Overall Metrics'!N195</f>
        <v>0</v>
      </c>
      <c r="AB194" s="201"/>
      <c r="AC194" s="446"/>
      <c r="AD194" s="446"/>
      <c r="AE194" s="446"/>
      <c r="AF194" s="446"/>
      <c r="AG194" s="446"/>
      <c r="AH194" s="446"/>
      <c r="AI194" s="446"/>
      <c r="AJ194" s="446"/>
      <c r="AK194" s="446"/>
      <c r="AL194" s="446"/>
      <c r="AM194" s="446"/>
      <c r="AN194" s="446"/>
      <c r="AO194" s="446"/>
      <c r="AP194" s="446"/>
      <c r="AQ194" s="446"/>
      <c r="AR194" s="219">
        <f t="shared" si="93"/>
        <v>0</v>
      </c>
      <c r="AS194" s="220" t="str">
        <f t="shared" si="94"/>
        <v>-</v>
      </c>
      <c r="AT194" s="472" t="str">
        <f t="shared" si="95"/>
        <v>-</v>
      </c>
      <c r="AU194" s="472" t="str">
        <f t="shared" si="96"/>
        <v>-</v>
      </c>
      <c r="AV194" s="472" t="str">
        <f t="shared" si="97"/>
        <v>-</v>
      </c>
      <c r="AW194" s="472" t="str">
        <f t="shared" si="98"/>
        <v>-</v>
      </c>
      <c r="AX194" s="472" t="str">
        <f t="shared" si="99"/>
        <v>-</v>
      </c>
      <c r="AY194" s="472" t="str">
        <f t="shared" si="134"/>
        <v>-</v>
      </c>
      <c r="AZ194" s="472" t="str">
        <f t="shared" si="142"/>
        <v>-</v>
      </c>
      <c r="BA194" s="472" t="str">
        <f t="shared" si="143"/>
        <v>-</v>
      </c>
      <c r="BB194" s="472" t="str">
        <f t="shared" si="135"/>
        <v>-</v>
      </c>
      <c r="BC194" s="472" t="str">
        <f t="shared" si="136"/>
        <v>-</v>
      </c>
      <c r="BD194" s="472" t="str">
        <f t="shared" si="137"/>
        <v>-</v>
      </c>
      <c r="BE194" s="472" t="str">
        <f t="shared" si="138"/>
        <v>-</v>
      </c>
      <c r="BF194" s="472" t="str">
        <f t="shared" si="139"/>
        <v>-</v>
      </c>
      <c r="BG194" s="472" t="str">
        <f t="shared" si="140"/>
        <v>-</v>
      </c>
      <c r="BH194" s="472" t="str">
        <f t="shared" si="141"/>
        <v>-</v>
      </c>
      <c r="BI194" s="221" t="str">
        <f t="shared" si="110"/>
        <v>-</v>
      </c>
      <c r="BJ194" s="730"/>
      <c r="BK194" s="732"/>
      <c r="BL194" s="429"/>
      <c r="BM194" s="429"/>
      <c r="BN194" s="214">
        <f t="shared" si="111"/>
        <v>0</v>
      </c>
      <c r="BO194" s="741"/>
      <c r="BP194" s="742"/>
      <c r="BQ194" s="446"/>
      <c r="BR194" s="446"/>
      <c r="BS194" s="228">
        <f t="shared" si="112"/>
        <v>0</v>
      </c>
      <c r="BT194" s="407" t="str">
        <f t="shared" si="113"/>
        <v>-</v>
      </c>
      <c r="BU194" s="529" t="str">
        <f t="shared" si="114"/>
        <v>-</v>
      </c>
      <c r="BV194" s="529" t="str">
        <f t="shared" si="115"/>
        <v>-</v>
      </c>
      <c r="BW194" s="529" t="str">
        <f t="shared" si="116"/>
        <v>-</v>
      </c>
      <c r="BX194" s="221" t="str">
        <f t="shared" si="117"/>
        <v>-</v>
      </c>
      <c r="BY194" s="745"/>
      <c r="BZ194" s="735"/>
      <c r="CA194" s="746"/>
      <c r="CB194" s="407" t="str">
        <f t="shared" si="118"/>
        <v>-</v>
      </c>
      <c r="CC194" s="529" t="str">
        <f t="shared" si="119"/>
        <v>-</v>
      </c>
      <c r="CD194" s="221" t="str">
        <f t="shared" si="120"/>
        <v>-</v>
      </c>
    </row>
    <row r="195" spans="1:82" ht="16.350000000000001" customHeight="1">
      <c r="A195" s="175">
        <f t="shared" si="90"/>
        <v>2024</v>
      </c>
      <c r="B195" s="454" t="str">
        <f t="shared" si="91"/>
        <v>34</v>
      </c>
      <c r="C195" s="454" t="str">
        <f t="array" ref="C195">_xlfn.IFS(_xlfn.NUMBERVALUE(B195)&lt;=13,"Q1",AND(_xlfn.NUMBERVALUE(B195)&gt;13,_xlfn.NUMBERVALUE(B195)&lt;=26),"Q2", AND(_xlfn.NUMBERVALUE(B195)&gt;26,_xlfn.NUMBERVALUE(B195)&lt;=39),"Q3",_xlfn.NUMBERVALUE(B195)&gt;39,"Q4")</f>
        <v>Q3</v>
      </c>
      <c r="D195" s="448">
        <f t="shared" si="121"/>
        <v>45185</v>
      </c>
      <c r="E195" s="448">
        <f t="shared" si="92"/>
        <v>45191</v>
      </c>
      <c r="F195" s="97">
        <v>202334</v>
      </c>
      <c r="G195" s="241"/>
      <c r="H195" s="467"/>
      <c r="I195" s="467"/>
      <c r="J195" s="467"/>
      <c r="K195" s="467"/>
      <c r="L195" s="467"/>
      <c r="M195" s="467"/>
      <c r="N195" s="467"/>
      <c r="O195" s="467"/>
      <c r="P195" s="467"/>
      <c r="Q195" s="429"/>
      <c r="R195" s="429"/>
      <c r="S195" s="429"/>
      <c r="T195" s="429"/>
      <c r="U195" s="429"/>
      <c r="V195" s="429"/>
      <c r="W195" s="429"/>
      <c r="X195" s="429"/>
      <c r="Y195" s="449">
        <f t="shared" si="133"/>
        <v>0</v>
      </c>
      <c r="Z195" s="449">
        <f t="shared" si="122"/>
        <v>0</v>
      </c>
      <c r="AA195" s="214">
        <f>'Overall Metrics'!N196</f>
        <v>0</v>
      </c>
      <c r="AB195" s="201"/>
      <c r="AC195" s="446"/>
      <c r="AD195" s="446"/>
      <c r="AE195" s="446"/>
      <c r="AF195" s="446"/>
      <c r="AG195" s="446"/>
      <c r="AH195" s="446"/>
      <c r="AI195" s="446"/>
      <c r="AJ195" s="446"/>
      <c r="AK195" s="446"/>
      <c r="AL195" s="446"/>
      <c r="AM195" s="446"/>
      <c r="AN195" s="446"/>
      <c r="AO195" s="446"/>
      <c r="AP195" s="446"/>
      <c r="AQ195" s="446"/>
      <c r="AR195" s="219">
        <f t="shared" si="93"/>
        <v>0</v>
      </c>
      <c r="AS195" s="220" t="str">
        <f t="shared" si="94"/>
        <v>-</v>
      </c>
      <c r="AT195" s="472" t="str">
        <f t="shared" si="95"/>
        <v>-</v>
      </c>
      <c r="AU195" s="472" t="str">
        <f t="shared" si="96"/>
        <v>-</v>
      </c>
      <c r="AV195" s="472" t="str">
        <f t="shared" si="97"/>
        <v>-</v>
      </c>
      <c r="AW195" s="472" t="str">
        <f t="shared" si="98"/>
        <v>-</v>
      </c>
      <c r="AX195" s="472" t="str">
        <f t="shared" si="99"/>
        <v>-</v>
      </c>
      <c r="AY195" s="472" t="str">
        <f t="shared" si="134"/>
        <v>-</v>
      </c>
      <c r="AZ195" s="472" t="str">
        <f t="shared" si="142"/>
        <v>-</v>
      </c>
      <c r="BA195" s="472" t="str">
        <f t="shared" si="143"/>
        <v>-</v>
      </c>
      <c r="BB195" s="472" t="str">
        <f t="shared" si="135"/>
        <v>-</v>
      </c>
      <c r="BC195" s="472" t="str">
        <f t="shared" si="136"/>
        <v>-</v>
      </c>
      <c r="BD195" s="472" t="str">
        <f t="shared" si="137"/>
        <v>-</v>
      </c>
      <c r="BE195" s="472" t="str">
        <f t="shared" si="138"/>
        <v>-</v>
      </c>
      <c r="BF195" s="472" t="str">
        <f t="shared" si="139"/>
        <v>-</v>
      </c>
      <c r="BG195" s="472" t="str">
        <f t="shared" si="140"/>
        <v>-</v>
      </c>
      <c r="BH195" s="472" t="str">
        <f t="shared" si="141"/>
        <v>-</v>
      </c>
      <c r="BI195" s="221" t="str">
        <f t="shared" si="110"/>
        <v>-</v>
      </c>
      <c r="BJ195" s="730"/>
      <c r="BK195" s="732"/>
      <c r="BL195" s="429"/>
      <c r="BM195" s="429"/>
      <c r="BN195" s="214">
        <f t="shared" si="111"/>
        <v>0</v>
      </c>
      <c r="BO195" s="741"/>
      <c r="BP195" s="742"/>
      <c r="BQ195" s="446"/>
      <c r="BR195" s="446"/>
      <c r="BS195" s="228">
        <f t="shared" si="112"/>
        <v>0</v>
      </c>
      <c r="BT195" s="407" t="str">
        <f t="shared" si="113"/>
        <v>-</v>
      </c>
      <c r="BU195" s="529" t="str">
        <f t="shared" si="114"/>
        <v>-</v>
      </c>
      <c r="BV195" s="529" t="str">
        <f t="shared" si="115"/>
        <v>-</v>
      </c>
      <c r="BW195" s="529" t="str">
        <f t="shared" si="116"/>
        <v>-</v>
      </c>
      <c r="BX195" s="221" t="str">
        <f t="shared" si="117"/>
        <v>-</v>
      </c>
      <c r="BY195" s="745"/>
      <c r="BZ195" s="735"/>
      <c r="CA195" s="746"/>
      <c r="CB195" s="407" t="str">
        <f t="shared" si="118"/>
        <v>-</v>
      </c>
      <c r="CC195" s="529" t="str">
        <f t="shared" si="119"/>
        <v>-</v>
      </c>
      <c r="CD195" s="221" t="str">
        <f t="shared" si="120"/>
        <v>-</v>
      </c>
    </row>
    <row r="196" spans="1:82" ht="16.350000000000001" customHeight="1">
      <c r="A196" s="175">
        <f t="shared" si="90"/>
        <v>2024</v>
      </c>
      <c r="B196" s="454" t="str">
        <f t="shared" si="91"/>
        <v>35</v>
      </c>
      <c r="C196" s="454" t="str">
        <f t="array" ref="C196">_xlfn.IFS(_xlfn.NUMBERVALUE(B196)&lt;=13,"Q1",AND(_xlfn.NUMBERVALUE(B196)&gt;13,_xlfn.NUMBERVALUE(B196)&lt;=26),"Q2", AND(_xlfn.NUMBERVALUE(B196)&gt;26,_xlfn.NUMBERVALUE(B196)&lt;=39),"Q3",_xlfn.NUMBERVALUE(B196)&gt;39,"Q4")</f>
        <v>Q3</v>
      </c>
      <c r="D196" s="448">
        <f t="shared" si="121"/>
        <v>45192</v>
      </c>
      <c r="E196" s="448">
        <f t="shared" si="92"/>
        <v>45198</v>
      </c>
      <c r="F196" s="97">
        <v>202335</v>
      </c>
      <c r="G196" s="103"/>
      <c r="H196" s="429"/>
      <c r="I196" s="429"/>
      <c r="J196" s="429"/>
      <c r="K196" s="429"/>
      <c r="L196" s="429"/>
      <c r="M196" s="429"/>
      <c r="N196" s="429"/>
      <c r="O196" s="429"/>
      <c r="P196" s="429"/>
      <c r="Q196" s="429"/>
      <c r="R196" s="429"/>
      <c r="S196" s="429"/>
      <c r="T196" s="429"/>
      <c r="U196" s="429"/>
      <c r="V196" s="429"/>
      <c r="W196" s="429"/>
      <c r="X196" s="429"/>
      <c r="Y196" s="449">
        <f t="shared" si="133"/>
        <v>0</v>
      </c>
      <c r="Z196" s="449">
        <f t="shared" si="122"/>
        <v>0</v>
      </c>
      <c r="AA196" s="214">
        <f>'Overall Metrics'!N197</f>
        <v>0</v>
      </c>
      <c r="AB196" s="201"/>
      <c r="AC196" s="446"/>
      <c r="AD196" s="446"/>
      <c r="AE196" s="446"/>
      <c r="AF196" s="446"/>
      <c r="AG196" s="446"/>
      <c r="AH196" s="446"/>
      <c r="AI196" s="446"/>
      <c r="AJ196" s="446"/>
      <c r="AK196" s="446"/>
      <c r="AL196" s="446"/>
      <c r="AM196" s="446"/>
      <c r="AN196" s="446"/>
      <c r="AO196" s="446"/>
      <c r="AP196" s="446"/>
      <c r="AQ196" s="446"/>
      <c r="AR196" s="219">
        <f t="shared" si="93"/>
        <v>0</v>
      </c>
      <c r="AS196" s="220" t="str">
        <f t="shared" si="94"/>
        <v>-</v>
      </c>
      <c r="AT196" s="472" t="str">
        <f t="shared" si="95"/>
        <v>-</v>
      </c>
      <c r="AU196" s="472" t="str">
        <f t="shared" si="96"/>
        <v>-</v>
      </c>
      <c r="AV196" s="472" t="str">
        <f t="shared" si="97"/>
        <v>-</v>
      </c>
      <c r="AW196" s="472" t="str">
        <f t="shared" si="98"/>
        <v>-</v>
      </c>
      <c r="AX196" s="472" t="str">
        <f t="shared" si="99"/>
        <v>-</v>
      </c>
      <c r="AY196" s="472" t="str">
        <f t="shared" si="134"/>
        <v>-</v>
      </c>
      <c r="AZ196" s="472" t="str">
        <f t="shared" si="142"/>
        <v>-</v>
      </c>
      <c r="BA196" s="472" t="str">
        <f t="shared" si="143"/>
        <v>-</v>
      </c>
      <c r="BB196" s="472" t="str">
        <f t="shared" si="135"/>
        <v>-</v>
      </c>
      <c r="BC196" s="472" t="str">
        <f t="shared" si="136"/>
        <v>-</v>
      </c>
      <c r="BD196" s="472" t="str">
        <f t="shared" si="137"/>
        <v>-</v>
      </c>
      <c r="BE196" s="472" t="str">
        <f t="shared" si="138"/>
        <v>-</v>
      </c>
      <c r="BF196" s="472" t="str">
        <f t="shared" si="139"/>
        <v>-</v>
      </c>
      <c r="BG196" s="472" t="str">
        <f t="shared" si="140"/>
        <v>-</v>
      </c>
      <c r="BH196" s="472" t="str">
        <f t="shared" si="141"/>
        <v>-</v>
      </c>
      <c r="BI196" s="221" t="str">
        <f t="shared" si="110"/>
        <v>-</v>
      </c>
      <c r="BJ196" s="730"/>
      <c r="BK196" s="692"/>
      <c r="BL196" s="429"/>
      <c r="BM196" s="429"/>
      <c r="BN196" s="214">
        <f t="shared" si="111"/>
        <v>0</v>
      </c>
      <c r="BO196" s="741"/>
      <c r="BP196" s="742"/>
      <c r="BQ196" s="446"/>
      <c r="BR196" s="446"/>
      <c r="BS196" s="228">
        <f t="shared" si="112"/>
        <v>0</v>
      </c>
      <c r="BT196" s="407" t="str">
        <f t="shared" si="113"/>
        <v>-</v>
      </c>
      <c r="BU196" s="529" t="str">
        <f t="shared" si="114"/>
        <v>-</v>
      </c>
      <c r="BV196" s="529" t="str">
        <f t="shared" si="115"/>
        <v>-</v>
      </c>
      <c r="BW196" s="529" t="str">
        <f t="shared" si="116"/>
        <v>-</v>
      </c>
      <c r="BX196" s="221" t="str">
        <f t="shared" si="117"/>
        <v>-</v>
      </c>
      <c r="BY196" s="745"/>
      <c r="BZ196" s="735"/>
      <c r="CA196" s="746"/>
      <c r="CB196" s="407" t="str">
        <f t="shared" si="118"/>
        <v>-</v>
      </c>
      <c r="CC196" s="529" t="str">
        <f t="shared" si="119"/>
        <v>-</v>
      </c>
      <c r="CD196" s="221" t="str">
        <f t="shared" si="120"/>
        <v>-</v>
      </c>
    </row>
    <row r="197" spans="1:82" ht="16.350000000000001" customHeight="1">
      <c r="A197" s="175">
        <f t="shared" si="90"/>
        <v>2024</v>
      </c>
      <c r="B197" s="454" t="str">
        <f t="shared" si="91"/>
        <v>36</v>
      </c>
      <c r="C197" s="454" t="str">
        <f t="array" ref="C197">_xlfn.IFS(_xlfn.NUMBERVALUE(B197)&lt;=13,"Q1",AND(_xlfn.NUMBERVALUE(B197)&gt;13,_xlfn.NUMBERVALUE(B197)&lt;=26),"Q2", AND(_xlfn.NUMBERVALUE(B197)&gt;26,_xlfn.NUMBERVALUE(B197)&lt;=39),"Q3",_xlfn.NUMBERVALUE(B197)&gt;39,"Q4")</f>
        <v>Q3</v>
      </c>
      <c r="D197" s="448">
        <f t="shared" si="121"/>
        <v>45199</v>
      </c>
      <c r="E197" s="448">
        <f t="shared" si="92"/>
        <v>45205</v>
      </c>
      <c r="F197" s="97">
        <v>202336</v>
      </c>
      <c r="G197" s="103"/>
      <c r="H197" s="429"/>
      <c r="I197" s="429"/>
      <c r="J197" s="429"/>
      <c r="K197" s="429"/>
      <c r="L197" s="429"/>
      <c r="M197" s="429"/>
      <c r="N197" s="429"/>
      <c r="O197" s="429"/>
      <c r="P197" s="429"/>
      <c r="Q197" s="429"/>
      <c r="R197" s="429"/>
      <c r="S197" s="429"/>
      <c r="T197" s="429"/>
      <c r="U197" s="429"/>
      <c r="V197" s="429"/>
      <c r="W197" s="429"/>
      <c r="X197" s="429"/>
      <c r="Y197" s="449">
        <f t="shared" si="133"/>
        <v>0</v>
      </c>
      <c r="Z197" s="449">
        <f t="shared" si="122"/>
        <v>0</v>
      </c>
      <c r="AA197" s="214">
        <f>'Overall Metrics'!N198</f>
        <v>0</v>
      </c>
      <c r="AB197" s="201"/>
      <c r="AC197" s="446"/>
      <c r="AD197" s="446"/>
      <c r="AE197" s="446"/>
      <c r="AF197" s="446"/>
      <c r="AG197" s="446"/>
      <c r="AH197" s="446"/>
      <c r="AI197" s="446"/>
      <c r="AJ197" s="446"/>
      <c r="AK197" s="446"/>
      <c r="AL197" s="446"/>
      <c r="AM197" s="446"/>
      <c r="AN197" s="446"/>
      <c r="AO197" s="446"/>
      <c r="AP197" s="446"/>
      <c r="AQ197" s="446"/>
      <c r="AR197" s="219">
        <f t="shared" si="93"/>
        <v>0</v>
      </c>
      <c r="AS197" s="220" t="str">
        <f t="shared" si="94"/>
        <v>-</v>
      </c>
      <c r="AT197" s="472" t="str">
        <f t="shared" si="95"/>
        <v>-</v>
      </c>
      <c r="AU197" s="472" t="str">
        <f t="shared" si="96"/>
        <v>-</v>
      </c>
      <c r="AV197" s="472" t="str">
        <f t="shared" si="97"/>
        <v>-</v>
      </c>
      <c r="AW197" s="472" t="str">
        <f t="shared" si="98"/>
        <v>-</v>
      </c>
      <c r="AX197" s="472" t="str">
        <f t="shared" si="99"/>
        <v>-</v>
      </c>
      <c r="AY197" s="472" t="str">
        <f t="shared" si="134"/>
        <v>-</v>
      </c>
      <c r="AZ197" s="472" t="str">
        <f t="shared" si="142"/>
        <v>-</v>
      </c>
      <c r="BA197" s="472" t="str">
        <f t="shared" si="143"/>
        <v>-</v>
      </c>
      <c r="BB197" s="472" t="str">
        <f t="shared" si="135"/>
        <v>-</v>
      </c>
      <c r="BC197" s="472" t="str">
        <f t="shared" si="136"/>
        <v>-</v>
      </c>
      <c r="BD197" s="472" t="str">
        <f t="shared" si="137"/>
        <v>-</v>
      </c>
      <c r="BE197" s="472" t="str">
        <f t="shared" si="138"/>
        <v>-</v>
      </c>
      <c r="BF197" s="472" t="str">
        <f t="shared" si="139"/>
        <v>-</v>
      </c>
      <c r="BG197" s="472" t="str">
        <f t="shared" si="140"/>
        <v>-</v>
      </c>
      <c r="BH197" s="472" t="str">
        <f t="shared" si="141"/>
        <v>-</v>
      </c>
      <c r="BI197" s="221" t="str">
        <f t="shared" si="110"/>
        <v>-</v>
      </c>
      <c r="BJ197" s="730"/>
      <c r="BK197" s="692"/>
      <c r="BL197" s="429"/>
      <c r="BM197" s="429"/>
      <c r="BN197" s="214">
        <f t="shared" si="111"/>
        <v>0</v>
      </c>
      <c r="BO197" s="741"/>
      <c r="BP197" s="742"/>
      <c r="BQ197" s="446"/>
      <c r="BR197" s="446"/>
      <c r="BS197" s="228">
        <f t="shared" si="112"/>
        <v>0</v>
      </c>
      <c r="BT197" s="407" t="str">
        <f t="shared" si="113"/>
        <v>-</v>
      </c>
      <c r="BU197" s="529" t="str">
        <f t="shared" si="114"/>
        <v>-</v>
      </c>
      <c r="BV197" s="529" t="str">
        <f t="shared" si="115"/>
        <v>-</v>
      </c>
      <c r="BW197" s="529" t="str">
        <f t="shared" si="116"/>
        <v>-</v>
      </c>
      <c r="BX197" s="221" t="str">
        <f t="shared" si="117"/>
        <v>-</v>
      </c>
      <c r="BY197" s="745"/>
      <c r="BZ197" s="735"/>
      <c r="CA197" s="746"/>
      <c r="CB197" s="407" t="str">
        <f t="shared" si="118"/>
        <v>-</v>
      </c>
      <c r="CC197" s="529" t="str">
        <f t="shared" si="119"/>
        <v>-</v>
      </c>
      <c r="CD197" s="221" t="str">
        <f t="shared" si="120"/>
        <v>-</v>
      </c>
    </row>
    <row r="198" spans="1:82" ht="16.350000000000001" customHeight="1">
      <c r="A198" s="175">
        <f t="shared" ref="A198:A261" si="144">LEFT(F198,4)+1</f>
        <v>2024</v>
      </c>
      <c r="B198" s="454" t="str">
        <f t="shared" ref="B198:B261" si="145">RIGHT(F198,2)</f>
        <v>37</v>
      </c>
      <c r="C198" s="454" t="str">
        <f t="array" ref="C198">_xlfn.IFS(_xlfn.NUMBERVALUE(B198)&lt;=13,"Q1",AND(_xlfn.NUMBERVALUE(B198)&gt;13,_xlfn.NUMBERVALUE(B198)&lt;=26),"Q2", AND(_xlfn.NUMBERVALUE(B198)&gt;26,_xlfn.NUMBERVALUE(B198)&lt;=39),"Q3",_xlfn.NUMBERVALUE(B198)&gt;39,"Q4")</f>
        <v>Q3</v>
      </c>
      <c r="D198" s="448">
        <f t="shared" si="121"/>
        <v>45206</v>
      </c>
      <c r="E198" s="448">
        <f t="shared" ref="E198:E261" si="146">D198+6</f>
        <v>45212</v>
      </c>
      <c r="F198" s="97">
        <v>202337</v>
      </c>
      <c r="G198" s="103"/>
      <c r="H198" s="429"/>
      <c r="I198" s="429"/>
      <c r="J198" s="429"/>
      <c r="K198" s="429"/>
      <c r="L198" s="429"/>
      <c r="M198" s="429"/>
      <c r="N198" s="429"/>
      <c r="O198" s="429"/>
      <c r="P198" s="429"/>
      <c r="Q198" s="429"/>
      <c r="R198" s="429"/>
      <c r="S198" s="429"/>
      <c r="T198" s="429"/>
      <c r="U198" s="429"/>
      <c r="V198" s="429"/>
      <c r="W198" s="429"/>
      <c r="X198" s="429"/>
      <c r="Y198" s="449">
        <f t="shared" si="133"/>
        <v>0</v>
      </c>
      <c r="Z198" s="449">
        <f t="shared" si="122"/>
        <v>0</v>
      </c>
      <c r="AA198" s="214">
        <f>'Overall Metrics'!N199</f>
        <v>0</v>
      </c>
      <c r="AB198" s="201"/>
      <c r="AC198" s="446"/>
      <c r="AD198" s="446"/>
      <c r="AE198" s="446"/>
      <c r="AF198" s="446"/>
      <c r="AG198" s="446"/>
      <c r="AH198" s="446"/>
      <c r="AI198" s="446"/>
      <c r="AJ198" s="446"/>
      <c r="AK198" s="446"/>
      <c r="AL198" s="446"/>
      <c r="AM198" s="446"/>
      <c r="AN198" s="446"/>
      <c r="AO198" s="446"/>
      <c r="AP198" s="446"/>
      <c r="AQ198" s="446"/>
      <c r="AR198" s="219">
        <f t="shared" ref="AR198:AR261" si="147">SUM(AB198:AQ198)</f>
        <v>0</v>
      </c>
      <c r="AS198" s="220" t="str">
        <f t="shared" ref="AS198:AS261" si="148">IFERROR(AB198/G198,"-")</f>
        <v>-</v>
      </c>
      <c r="AT198" s="472" t="str">
        <f t="shared" ref="AT198:AT261" si="149">IFERROR(AC198/H198,"-")</f>
        <v>-</v>
      </c>
      <c r="AU198" s="472" t="str">
        <f t="shared" ref="AU198:AU261" si="150">IFERROR(AD198/I198,"-")</f>
        <v>-</v>
      </c>
      <c r="AV198" s="472" t="str">
        <f t="shared" ref="AV198:AV261" si="151">IFERROR(AE198/J198,"-")</f>
        <v>-</v>
      </c>
      <c r="AW198" s="472" t="str">
        <f t="shared" ref="AW198:AW261" si="152">IFERROR(AF198/K198,"-")</f>
        <v>-</v>
      </c>
      <c r="AX198" s="472" t="str">
        <f t="shared" ref="AX198:AX261" si="153">IFERROR(AG198/L198,"-")</f>
        <v>-</v>
      </c>
      <c r="AY198" s="472" t="str">
        <f t="shared" si="134"/>
        <v>-</v>
      </c>
      <c r="AZ198" s="472" t="str">
        <f t="shared" si="142"/>
        <v>-</v>
      </c>
      <c r="BA198" s="472" t="str">
        <f t="shared" si="143"/>
        <v>-</v>
      </c>
      <c r="BB198" s="472" t="str">
        <f t="shared" si="135"/>
        <v>-</v>
      </c>
      <c r="BC198" s="472" t="str">
        <f t="shared" si="136"/>
        <v>-</v>
      </c>
      <c r="BD198" s="472" t="str">
        <f t="shared" si="137"/>
        <v>-</v>
      </c>
      <c r="BE198" s="472" t="str">
        <f t="shared" si="138"/>
        <v>-</v>
      </c>
      <c r="BF198" s="472" t="str">
        <f t="shared" si="139"/>
        <v>-</v>
      </c>
      <c r="BG198" s="472" t="str">
        <f t="shared" si="140"/>
        <v>-</v>
      </c>
      <c r="BH198" s="472" t="str">
        <f t="shared" si="141"/>
        <v>-</v>
      </c>
      <c r="BI198" s="221" t="str">
        <f t="shared" ref="BI198:BI261" si="154">IFERROR(AR198/Z198,"-")</f>
        <v>-</v>
      </c>
      <c r="BJ198" s="730"/>
      <c r="BK198" s="692"/>
      <c r="BL198" s="429"/>
      <c r="BM198" s="429"/>
      <c r="BN198" s="214">
        <f t="shared" ref="BN198:BN261" si="155">SUM(BJ198:BM198)</f>
        <v>0</v>
      </c>
      <c r="BO198" s="741"/>
      <c r="BP198" s="742"/>
      <c r="BQ198" s="446"/>
      <c r="BR198" s="446"/>
      <c r="BS198" s="228">
        <f t="shared" ref="BS198:BS261" si="156">SUM(BO198:BR198)</f>
        <v>0</v>
      </c>
      <c r="BT198" s="407" t="str">
        <f t="shared" ref="BT198:BT214" si="157">IFERROR(BO198/BJ198,"-")</f>
        <v>-</v>
      </c>
      <c r="BU198" s="529" t="str">
        <f t="shared" ref="BU198:BU214" si="158">IFERROR(BP198/BK198,"-")</f>
        <v>-</v>
      </c>
      <c r="BV198" s="529" t="str">
        <f t="shared" ref="BV198:BV214" si="159">IFERROR(BQ198/BL198,"-")</f>
        <v>-</v>
      </c>
      <c r="BW198" s="529" t="str">
        <f t="shared" ref="BW198:BW214" si="160">IFERROR(BR198/BM198,"-")</f>
        <v>-</v>
      </c>
      <c r="BX198" s="221" t="str">
        <f t="shared" ref="BX198:BX214" si="161">IFERROR(BS198/BN198,"-")</f>
        <v>-</v>
      </c>
      <c r="BY198" s="745"/>
      <c r="BZ198" s="735"/>
      <c r="CA198" s="746"/>
      <c r="CB198" s="407" t="str">
        <f t="shared" ref="CB198:CB215" si="162">IFERROR(BW198/BR198,"-")</f>
        <v>-</v>
      </c>
      <c r="CC198" s="529" t="str">
        <f t="shared" ref="CC198:CC261" si="163">IFERROR(BP198/BZ198,"-")</f>
        <v>-</v>
      </c>
      <c r="CD198" s="221" t="str">
        <f t="shared" ref="CD198:CD212" si="164">IFERROR(BY198/BT198,"-")</f>
        <v>-</v>
      </c>
    </row>
    <row r="199" spans="1:82" ht="16.350000000000001" customHeight="1">
      <c r="A199" s="175">
        <f t="shared" si="144"/>
        <v>2024</v>
      </c>
      <c r="B199" s="454" t="str">
        <f t="shared" si="145"/>
        <v>38</v>
      </c>
      <c r="C199" s="454" t="str">
        <f t="array" ref="C199">_xlfn.IFS(_xlfn.NUMBERVALUE(B199)&lt;=13,"Q1",AND(_xlfn.NUMBERVALUE(B199)&gt;13,_xlfn.NUMBERVALUE(B199)&lt;=26),"Q2", AND(_xlfn.NUMBERVALUE(B199)&gt;26,_xlfn.NUMBERVALUE(B199)&lt;=39),"Q3",_xlfn.NUMBERVALUE(B199)&gt;39,"Q4")</f>
        <v>Q3</v>
      </c>
      <c r="D199" s="448">
        <f t="shared" ref="D199:D262" si="165">E198+1</f>
        <v>45213</v>
      </c>
      <c r="E199" s="448">
        <f t="shared" si="146"/>
        <v>45219</v>
      </c>
      <c r="F199" s="97">
        <v>202338</v>
      </c>
      <c r="G199" s="103"/>
      <c r="H199" s="429"/>
      <c r="I199" s="429"/>
      <c r="J199" s="429"/>
      <c r="K199" s="429"/>
      <c r="L199" s="429"/>
      <c r="M199" s="429"/>
      <c r="N199" s="429"/>
      <c r="O199" s="429"/>
      <c r="P199" s="429"/>
      <c r="Q199" s="429"/>
      <c r="R199" s="429"/>
      <c r="S199" s="429"/>
      <c r="T199" s="429"/>
      <c r="U199" s="429"/>
      <c r="V199" s="429"/>
      <c r="W199" s="429"/>
      <c r="X199" s="429"/>
      <c r="Y199" s="449">
        <f t="shared" si="133"/>
        <v>0</v>
      </c>
      <c r="Z199" s="449">
        <f t="shared" ref="Z199:Z262" si="166">IFERROR(SUM(G199:M199,O199:X199),0)</f>
        <v>0</v>
      </c>
      <c r="AA199" s="214">
        <f>'Overall Metrics'!N200</f>
        <v>0</v>
      </c>
      <c r="AB199" s="201"/>
      <c r="AC199" s="446"/>
      <c r="AD199" s="446"/>
      <c r="AE199" s="446"/>
      <c r="AF199" s="446"/>
      <c r="AG199" s="446"/>
      <c r="AH199" s="446"/>
      <c r="AI199" s="446"/>
      <c r="AJ199" s="446"/>
      <c r="AK199" s="446"/>
      <c r="AL199" s="446"/>
      <c r="AM199" s="446"/>
      <c r="AN199" s="446"/>
      <c r="AO199" s="446"/>
      <c r="AP199" s="446"/>
      <c r="AQ199" s="446"/>
      <c r="AR199" s="219">
        <f t="shared" si="147"/>
        <v>0</v>
      </c>
      <c r="AS199" s="220" t="str">
        <f t="shared" si="148"/>
        <v>-</v>
      </c>
      <c r="AT199" s="472" t="str">
        <f t="shared" si="149"/>
        <v>-</v>
      </c>
      <c r="AU199" s="472" t="str">
        <f t="shared" si="150"/>
        <v>-</v>
      </c>
      <c r="AV199" s="472" t="str">
        <f t="shared" si="151"/>
        <v>-</v>
      </c>
      <c r="AW199" s="472" t="str">
        <f t="shared" si="152"/>
        <v>-</v>
      </c>
      <c r="AX199" s="472" t="str">
        <f t="shared" si="153"/>
        <v>-</v>
      </c>
      <c r="AY199" s="472" t="str">
        <f t="shared" si="134"/>
        <v>-</v>
      </c>
      <c r="AZ199" s="472" t="str">
        <f t="shared" si="142"/>
        <v>-</v>
      </c>
      <c r="BA199" s="472" t="str">
        <f t="shared" si="143"/>
        <v>-</v>
      </c>
      <c r="BB199" s="472" t="str">
        <f t="shared" si="135"/>
        <v>-</v>
      </c>
      <c r="BC199" s="472" t="str">
        <f t="shared" si="136"/>
        <v>-</v>
      </c>
      <c r="BD199" s="472" t="str">
        <f t="shared" si="137"/>
        <v>-</v>
      </c>
      <c r="BE199" s="472" t="str">
        <f t="shared" si="138"/>
        <v>-</v>
      </c>
      <c r="BF199" s="472" t="str">
        <f t="shared" si="139"/>
        <v>-</v>
      </c>
      <c r="BG199" s="472" t="str">
        <f t="shared" si="140"/>
        <v>-</v>
      </c>
      <c r="BH199" s="472" t="str">
        <f t="shared" si="141"/>
        <v>-</v>
      </c>
      <c r="BI199" s="221" t="str">
        <f t="shared" si="154"/>
        <v>-</v>
      </c>
      <c r="BJ199" s="730"/>
      <c r="BK199" s="692"/>
      <c r="BL199" s="429"/>
      <c r="BM199" s="429"/>
      <c r="BN199" s="214">
        <f t="shared" si="155"/>
        <v>0</v>
      </c>
      <c r="BO199" s="741"/>
      <c r="BP199" s="742"/>
      <c r="BQ199" s="446"/>
      <c r="BR199" s="446"/>
      <c r="BS199" s="228">
        <f t="shared" si="156"/>
        <v>0</v>
      </c>
      <c r="BT199" s="407" t="str">
        <f t="shared" si="157"/>
        <v>-</v>
      </c>
      <c r="BU199" s="529" t="str">
        <f t="shared" si="158"/>
        <v>-</v>
      </c>
      <c r="BV199" s="529" t="str">
        <f t="shared" si="159"/>
        <v>-</v>
      </c>
      <c r="BW199" s="529" t="str">
        <f t="shared" si="160"/>
        <v>-</v>
      </c>
      <c r="BX199" s="221" t="str">
        <f t="shared" si="161"/>
        <v>-</v>
      </c>
      <c r="BY199" s="745"/>
      <c r="BZ199" s="735"/>
      <c r="CA199" s="746"/>
      <c r="CB199" s="407" t="str">
        <f t="shared" si="162"/>
        <v>-</v>
      </c>
      <c r="CC199" s="529" t="str">
        <f t="shared" si="163"/>
        <v>-</v>
      </c>
      <c r="CD199" s="221" t="str">
        <f t="shared" si="164"/>
        <v>-</v>
      </c>
    </row>
    <row r="200" spans="1:82" ht="16.350000000000001" customHeight="1">
      <c r="A200" s="175">
        <f t="shared" si="144"/>
        <v>2024</v>
      </c>
      <c r="B200" s="454" t="str">
        <f t="shared" si="145"/>
        <v>39</v>
      </c>
      <c r="C200" s="454" t="str">
        <f t="array" ref="C200">_xlfn.IFS(_xlfn.NUMBERVALUE(B200)&lt;=13,"Q1",AND(_xlfn.NUMBERVALUE(B200)&gt;13,_xlfn.NUMBERVALUE(B200)&lt;=26),"Q2", AND(_xlfn.NUMBERVALUE(B200)&gt;26,_xlfn.NUMBERVALUE(B200)&lt;=39),"Q3",_xlfn.NUMBERVALUE(B200)&gt;39,"Q4")</f>
        <v>Q3</v>
      </c>
      <c r="D200" s="448">
        <f t="shared" si="165"/>
        <v>45220</v>
      </c>
      <c r="E200" s="448">
        <f t="shared" si="146"/>
        <v>45226</v>
      </c>
      <c r="F200" s="97">
        <v>202339</v>
      </c>
      <c r="G200" s="103"/>
      <c r="H200" s="429"/>
      <c r="I200" s="429"/>
      <c r="J200" s="429"/>
      <c r="K200" s="429"/>
      <c r="L200" s="429"/>
      <c r="M200" s="429"/>
      <c r="N200" s="429"/>
      <c r="O200" s="429"/>
      <c r="P200" s="429"/>
      <c r="Q200" s="429"/>
      <c r="R200" s="429"/>
      <c r="S200" s="429"/>
      <c r="T200" s="429"/>
      <c r="U200" s="429"/>
      <c r="V200" s="429"/>
      <c r="W200" s="429"/>
      <c r="X200" s="429"/>
      <c r="Y200" s="449">
        <f t="shared" si="133"/>
        <v>0</v>
      </c>
      <c r="Z200" s="449">
        <f t="shared" si="166"/>
        <v>0</v>
      </c>
      <c r="AA200" s="214">
        <f>'Overall Metrics'!N201</f>
        <v>0</v>
      </c>
      <c r="AB200" s="201"/>
      <c r="AC200" s="446"/>
      <c r="AD200" s="446"/>
      <c r="AE200" s="446"/>
      <c r="AF200" s="446"/>
      <c r="AG200" s="446"/>
      <c r="AH200" s="446"/>
      <c r="AI200" s="446"/>
      <c r="AJ200" s="446"/>
      <c r="AK200" s="446"/>
      <c r="AL200" s="446"/>
      <c r="AM200" s="446"/>
      <c r="AN200" s="446"/>
      <c r="AO200" s="446"/>
      <c r="AP200" s="446"/>
      <c r="AQ200" s="446"/>
      <c r="AR200" s="219">
        <f t="shared" si="147"/>
        <v>0</v>
      </c>
      <c r="AS200" s="220" t="str">
        <f t="shared" si="148"/>
        <v>-</v>
      </c>
      <c r="AT200" s="472" t="str">
        <f t="shared" si="149"/>
        <v>-</v>
      </c>
      <c r="AU200" s="472" t="str">
        <f t="shared" si="150"/>
        <v>-</v>
      </c>
      <c r="AV200" s="472" t="str">
        <f t="shared" si="151"/>
        <v>-</v>
      </c>
      <c r="AW200" s="472" t="str">
        <f t="shared" si="152"/>
        <v>-</v>
      </c>
      <c r="AX200" s="472" t="str">
        <f t="shared" si="153"/>
        <v>-</v>
      </c>
      <c r="AY200" s="472" t="str">
        <f t="shared" si="134"/>
        <v>-</v>
      </c>
      <c r="AZ200" s="472" t="str">
        <f t="shared" si="142"/>
        <v>-</v>
      </c>
      <c r="BA200" s="472" t="str">
        <f t="shared" si="143"/>
        <v>-</v>
      </c>
      <c r="BB200" s="472" t="str">
        <f t="shared" si="135"/>
        <v>-</v>
      </c>
      <c r="BC200" s="472" t="str">
        <f t="shared" si="136"/>
        <v>-</v>
      </c>
      <c r="BD200" s="472" t="str">
        <f t="shared" si="137"/>
        <v>-</v>
      </c>
      <c r="BE200" s="472" t="str">
        <f t="shared" si="138"/>
        <v>-</v>
      </c>
      <c r="BF200" s="472" t="str">
        <f t="shared" si="139"/>
        <v>-</v>
      </c>
      <c r="BG200" s="472" t="str">
        <f t="shared" si="140"/>
        <v>-</v>
      </c>
      <c r="BH200" s="472" t="str">
        <f t="shared" si="141"/>
        <v>-</v>
      </c>
      <c r="BI200" s="221" t="str">
        <f t="shared" si="154"/>
        <v>-</v>
      </c>
      <c r="BJ200" s="730"/>
      <c r="BK200" s="692"/>
      <c r="BL200" s="429"/>
      <c r="BM200" s="429"/>
      <c r="BN200" s="214">
        <f t="shared" si="155"/>
        <v>0</v>
      </c>
      <c r="BO200" s="741"/>
      <c r="BP200" s="742"/>
      <c r="BQ200" s="446"/>
      <c r="BR200" s="446"/>
      <c r="BS200" s="228">
        <f t="shared" si="156"/>
        <v>0</v>
      </c>
      <c r="BT200" s="407" t="str">
        <f t="shared" si="157"/>
        <v>-</v>
      </c>
      <c r="BU200" s="529" t="str">
        <f t="shared" si="158"/>
        <v>-</v>
      </c>
      <c r="BV200" s="529" t="str">
        <f t="shared" si="159"/>
        <v>-</v>
      </c>
      <c r="BW200" s="529" t="str">
        <f t="shared" si="160"/>
        <v>-</v>
      </c>
      <c r="BX200" s="221" t="str">
        <f t="shared" si="161"/>
        <v>-</v>
      </c>
      <c r="BY200" s="745"/>
      <c r="BZ200" s="735"/>
      <c r="CA200" s="746"/>
      <c r="CB200" s="407" t="str">
        <f t="shared" si="162"/>
        <v>-</v>
      </c>
      <c r="CC200" s="529" t="str">
        <f t="shared" si="163"/>
        <v>-</v>
      </c>
      <c r="CD200" s="221" t="str">
        <f t="shared" si="164"/>
        <v>-</v>
      </c>
    </row>
    <row r="201" spans="1:82" ht="16.350000000000001" customHeight="1">
      <c r="A201" s="175">
        <f t="shared" si="144"/>
        <v>2024</v>
      </c>
      <c r="B201" s="454" t="str">
        <f t="shared" si="145"/>
        <v>40</v>
      </c>
      <c r="C201" s="454" t="str">
        <f t="array" ref="C201">_xlfn.IFS(_xlfn.NUMBERVALUE(B201)&lt;=13,"Q1",AND(_xlfn.NUMBERVALUE(B201)&gt;13,_xlfn.NUMBERVALUE(B201)&lt;=26),"Q2", AND(_xlfn.NUMBERVALUE(B201)&gt;26,_xlfn.NUMBERVALUE(B201)&lt;=39),"Q3",_xlfn.NUMBERVALUE(B201)&gt;39,"Q4")</f>
        <v>Q4</v>
      </c>
      <c r="D201" s="448">
        <f t="shared" si="165"/>
        <v>45227</v>
      </c>
      <c r="E201" s="448">
        <f t="shared" si="146"/>
        <v>45233</v>
      </c>
      <c r="F201" s="97">
        <v>202340</v>
      </c>
      <c r="G201" s="103"/>
      <c r="H201" s="429"/>
      <c r="I201" s="429"/>
      <c r="J201" s="429"/>
      <c r="K201" s="429"/>
      <c r="L201" s="429"/>
      <c r="M201" s="429"/>
      <c r="N201" s="429"/>
      <c r="O201" s="429"/>
      <c r="P201" s="429"/>
      <c r="Q201" s="429"/>
      <c r="R201" s="429"/>
      <c r="S201" s="429"/>
      <c r="T201" s="429"/>
      <c r="U201" s="429"/>
      <c r="V201" s="429"/>
      <c r="W201" s="429"/>
      <c r="X201" s="429"/>
      <c r="Y201" s="449">
        <f t="shared" si="133"/>
        <v>0</v>
      </c>
      <c r="Z201" s="449">
        <f t="shared" si="166"/>
        <v>0</v>
      </c>
      <c r="AA201" s="214">
        <f>'Overall Metrics'!N202</f>
        <v>0</v>
      </c>
      <c r="AB201" s="201"/>
      <c r="AC201" s="446"/>
      <c r="AD201" s="446"/>
      <c r="AE201" s="446"/>
      <c r="AF201" s="446"/>
      <c r="AG201" s="446"/>
      <c r="AH201" s="446"/>
      <c r="AI201" s="446"/>
      <c r="AJ201" s="446"/>
      <c r="AK201" s="446"/>
      <c r="AL201" s="446"/>
      <c r="AM201" s="446"/>
      <c r="AN201" s="446"/>
      <c r="AO201" s="446"/>
      <c r="AP201" s="446"/>
      <c r="AQ201" s="446"/>
      <c r="AR201" s="219">
        <f t="shared" si="147"/>
        <v>0</v>
      </c>
      <c r="AS201" s="220" t="str">
        <f t="shared" si="148"/>
        <v>-</v>
      </c>
      <c r="AT201" s="472" t="str">
        <f t="shared" si="149"/>
        <v>-</v>
      </c>
      <c r="AU201" s="472" t="str">
        <f t="shared" si="150"/>
        <v>-</v>
      </c>
      <c r="AV201" s="472" t="str">
        <f t="shared" si="151"/>
        <v>-</v>
      </c>
      <c r="AW201" s="472" t="str">
        <f t="shared" si="152"/>
        <v>-</v>
      </c>
      <c r="AX201" s="472" t="str">
        <f t="shared" si="153"/>
        <v>-</v>
      </c>
      <c r="AY201" s="472" t="str">
        <f t="shared" si="134"/>
        <v>-</v>
      </c>
      <c r="AZ201" s="472" t="str">
        <f t="shared" si="142"/>
        <v>-</v>
      </c>
      <c r="BA201" s="472" t="str">
        <f t="shared" si="143"/>
        <v>-</v>
      </c>
      <c r="BB201" s="472" t="str">
        <f t="shared" si="135"/>
        <v>-</v>
      </c>
      <c r="BC201" s="472" t="str">
        <f t="shared" si="136"/>
        <v>-</v>
      </c>
      <c r="BD201" s="472" t="str">
        <f t="shared" si="137"/>
        <v>-</v>
      </c>
      <c r="BE201" s="472" t="str">
        <f t="shared" si="138"/>
        <v>-</v>
      </c>
      <c r="BF201" s="472" t="str">
        <f t="shared" si="139"/>
        <v>-</v>
      </c>
      <c r="BG201" s="472" t="str">
        <f t="shared" si="140"/>
        <v>-</v>
      </c>
      <c r="BH201" s="472" t="str">
        <f t="shared" si="141"/>
        <v>-</v>
      </c>
      <c r="BI201" s="221" t="str">
        <f t="shared" si="154"/>
        <v>-</v>
      </c>
      <c r="BJ201" s="692"/>
      <c r="BK201" s="733"/>
      <c r="BL201" s="429"/>
      <c r="BM201" s="429"/>
      <c r="BN201" s="214">
        <f t="shared" si="155"/>
        <v>0</v>
      </c>
      <c r="BO201" s="741"/>
      <c r="BP201" s="742"/>
      <c r="BQ201" s="446"/>
      <c r="BR201" s="446"/>
      <c r="BS201" s="228">
        <f t="shared" si="156"/>
        <v>0</v>
      </c>
      <c r="BT201" s="407" t="str">
        <f t="shared" si="157"/>
        <v>-</v>
      </c>
      <c r="BU201" s="529" t="str">
        <f t="shared" si="158"/>
        <v>-</v>
      </c>
      <c r="BV201" s="529" t="str">
        <f t="shared" si="159"/>
        <v>-</v>
      </c>
      <c r="BW201" s="529" t="str">
        <f t="shared" si="160"/>
        <v>-</v>
      </c>
      <c r="BX201" s="221" t="str">
        <f t="shared" si="161"/>
        <v>-</v>
      </c>
      <c r="BY201" s="745"/>
      <c r="BZ201" s="735"/>
      <c r="CA201" s="746"/>
      <c r="CB201" s="407" t="str">
        <f t="shared" si="162"/>
        <v>-</v>
      </c>
      <c r="CC201" s="529" t="str">
        <f t="shared" si="163"/>
        <v>-</v>
      </c>
      <c r="CD201" s="221" t="str">
        <f t="shared" si="164"/>
        <v>-</v>
      </c>
    </row>
    <row r="202" spans="1:82" ht="16.350000000000001" customHeight="1">
      <c r="A202" s="175">
        <f t="shared" si="144"/>
        <v>2024</v>
      </c>
      <c r="B202" s="454" t="str">
        <f t="shared" si="145"/>
        <v>41</v>
      </c>
      <c r="C202" s="454" t="str">
        <f t="array" ref="C202">_xlfn.IFS(_xlfn.NUMBERVALUE(B202)&lt;=13,"Q1",AND(_xlfn.NUMBERVALUE(B202)&gt;13,_xlfn.NUMBERVALUE(B202)&lt;=26),"Q2", AND(_xlfn.NUMBERVALUE(B202)&gt;26,_xlfn.NUMBERVALUE(B202)&lt;=39),"Q3",_xlfn.NUMBERVALUE(B202)&gt;39,"Q4")</f>
        <v>Q4</v>
      </c>
      <c r="D202" s="448">
        <f t="shared" si="165"/>
        <v>45234</v>
      </c>
      <c r="E202" s="448">
        <f t="shared" si="146"/>
        <v>45240</v>
      </c>
      <c r="F202" s="97">
        <v>202341</v>
      </c>
      <c r="G202" s="103"/>
      <c r="H202" s="429"/>
      <c r="I202" s="429"/>
      <c r="J202" s="429"/>
      <c r="K202" s="429"/>
      <c r="L202" s="429"/>
      <c r="M202" s="429"/>
      <c r="N202" s="429"/>
      <c r="O202" s="429"/>
      <c r="P202" s="429"/>
      <c r="Q202" s="429"/>
      <c r="R202" s="429"/>
      <c r="S202" s="429"/>
      <c r="T202" s="429"/>
      <c r="U202" s="429"/>
      <c r="V202" s="429"/>
      <c r="W202" s="429"/>
      <c r="X202" s="429"/>
      <c r="Y202" s="449">
        <f t="shared" si="133"/>
        <v>0</v>
      </c>
      <c r="Z202" s="449">
        <f t="shared" si="166"/>
        <v>0</v>
      </c>
      <c r="AA202" s="214">
        <f>'Overall Metrics'!N203</f>
        <v>0</v>
      </c>
      <c r="AB202" s="201"/>
      <c r="AC202" s="446"/>
      <c r="AD202" s="446"/>
      <c r="AE202" s="446"/>
      <c r="AF202" s="446"/>
      <c r="AG202" s="446"/>
      <c r="AH202" s="446"/>
      <c r="AI202" s="446"/>
      <c r="AJ202" s="446"/>
      <c r="AK202" s="446"/>
      <c r="AL202" s="446"/>
      <c r="AM202" s="446"/>
      <c r="AN202" s="446"/>
      <c r="AO202" s="446"/>
      <c r="AP202" s="446"/>
      <c r="AQ202" s="446"/>
      <c r="AR202" s="219">
        <f t="shared" si="147"/>
        <v>0</v>
      </c>
      <c r="AS202" s="220" t="str">
        <f t="shared" si="148"/>
        <v>-</v>
      </c>
      <c r="AT202" s="472" t="str">
        <f t="shared" si="149"/>
        <v>-</v>
      </c>
      <c r="AU202" s="472" t="str">
        <f t="shared" si="150"/>
        <v>-</v>
      </c>
      <c r="AV202" s="472" t="str">
        <f t="shared" si="151"/>
        <v>-</v>
      </c>
      <c r="AW202" s="472" t="str">
        <f t="shared" si="152"/>
        <v>-</v>
      </c>
      <c r="AX202" s="472" t="str">
        <f t="shared" si="153"/>
        <v>-</v>
      </c>
      <c r="AY202" s="472" t="str">
        <f t="shared" si="134"/>
        <v>-</v>
      </c>
      <c r="AZ202" s="472" t="str">
        <f t="shared" si="142"/>
        <v>-</v>
      </c>
      <c r="BA202" s="472" t="str">
        <f t="shared" si="143"/>
        <v>-</v>
      </c>
      <c r="BB202" s="472" t="str">
        <f t="shared" si="135"/>
        <v>-</v>
      </c>
      <c r="BC202" s="472" t="str">
        <f t="shared" si="136"/>
        <v>-</v>
      </c>
      <c r="BD202" s="472" t="str">
        <f t="shared" si="137"/>
        <v>-</v>
      </c>
      <c r="BE202" s="472" t="str">
        <f t="shared" si="138"/>
        <v>-</v>
      </c>
      <c r="BF202" s="472" t="str">
        <f t="shared" si="139"/>
        <v>-</v>
      </c>
      <c r="BG202" s="472" t="str">
        <f t="shared" si="140"/>
        <v>-</v>
      </c>
      <c r="BH202" s="472" t="str">
        <f t="shared" si="141"/>
        <v>-</v>
      </c>
      <c r="BI202" s="221" t="str">
        <f t="shared" si="154"/>
        <v>-</v>
      </c>
      <c r="BJ202" s="730"/>
      <c r="BK202" s="733"/>
      <c r="BL202" s="429"/>
      <c r="BM202" s="429"/>
      <c r="BN202" s="214">
        <f t="shared" si="155"/>
        <v>0</v>
      </c>
      <c r="BO202" s="741"/>
      <c r="BP202" s="742"/>
      <c r="BQ202" s="446"/>
      <c r="BR202" s="446"/>
      <c r="BS202" s="228">
        <f t="shared" si="156"/>
        <v>0</v>
      </c>
      <c r="BT202" s="407" t="str">
        <f t="shared" si="157"/>
        <v>-</v>
      </c>
      <c r="BU202" s="529" t="str">
        <f t="shared" si="158"/>
        <v>-</v>
      </c>
      <c r="BV202" s="529" t="str">
        <f t="shared" si="159"/>
        <v>-</v>
      </c>
      <c r="BW202" s="529" t="str">
        <f t="shared" si="160"/>
        <v>-</v>
      </c>
      <c r="BX202" s="221" t="str">
        <f t="shared" si="161"/>
        <v>-</v>
      </c>
      <c r="BY202" s="745"/>
      <c r="BZ202" s="735"/>
      <c r="CA202" s="746"/>
      <c r="CB202" s="407" t="str">
        <f t="shared" si="162"/>
        <v>-</v>
      </c>
      <c r="CC202" s="529" t="str">
        <f t="shared" si="163"/>
        <v>-</v>
      </c>
      <c r="CD202" s="221" t="str">
        <f t="shared" si="164"/>
        <v>-</v>
      </c>
    </row>
    <row r="203" spans="1:82" ht="16.350000000000001" customHeight="1">
      <c r="A203" s="175">
        <f t="shared" si="144"/>
        <v>2024</v>
      </c>
      <c r="B203" s="454" t="str">
        <f t="shared" si="145"/>
        <v>42</v>
      </c>
      <c r="C203" s="454" t="str">
        <f t="array" ref="C203">_xlfn.IFS(_xlfn.NUMBERVALUE(B203)&lt;=13,"Q1",AND(_xlfn.NUMBERVALUE(B203)&gt;13,_xlfn.NUMBERVALUE(B203)&lt;=26),"Q2", AND(_xlfn.NUMBERVALUE(B203)&gt;26,_xlfn.NUMBERVALUE(B203)&lt;=39),"Q3",_xlfn.NUMBERVALUE(B203)&gt;39,"Q4")</f>
        <v>Q4</v>
      </c>
      <c r="D203" s="448">
        <f t="shared" si="165"/>
        <v>45241</v>
      </c>
      <c r="E203" s="448">
        <f t="shared" si="146"/>
        <v>45247</v>
      </c>
      <c r="F203" s="97">
        <v>202342</v>
      </c>
      <c r="G203" s="103"/>
      <c r="H203" s="429"/>
      <c r="I203" s="429"/>
      <c r="J203" s="429"/>
      <c r="K203" s="429"/>
      <c r="L203" s="429"/>
      <c r="M203" s="429"/>
      <c r="N203" s="429"/>
      <c r="O203" s="429"/>
      <c r="P203" s="429"/>
      <c r="Q203" s="429"/>
      <c r="R203" s="429"/>
      <c r="S203" s="429"/>
      <c r="T203" s="429"/>
      <c r="U203" s="429"/>
      <c r="V203" s="429"/>
      <c r="W203" s="429"/>
      <c r="X203" s="429"/>
      <c r="Y203" s="449">
        <f t="shared" si="133"/>
        <v>0</v>
      </c>
      <c r="Z203" s="449">
        <f t="shared" si="166"/>
        <v>0</v>
      </c>
      <c r="AA203" s="214">
        <f>'Overall Metrics'!N204</f>
        <v>0</v>
      </c>
      <c r="AB203" s="201"/>
      <c r="AC203" s="446"/>
      <c r="AD203" s="446"/>
      <c r="AE203" s="446"/>
      <c r="AF203" s="446"/>
      <c r="AG203" s="446"/>
      <c r="AH203" s="446"/>
      <c r="AI203" s="446"/>
      <c r="AJ203" s="446"/>
      <c r="AK203" s="446"/>
      <c r="AL203" s="446"/>
      <c r="AM203" s="446"/>
      <c r="AN203" s="446"/>
      <c r="AO203" s="446"/>
      <c r="AP203" s="446"/>
      <c r="AQ203" s="446"/>
      <c r="AR203" s="219">
        <f t="shared" si="147"/>
        <v>0</v>
      </c>
      <c r="AS203" s="220" t="str">
        <f t="shared" si="148"/>
        <v>-</v>
      </c>
      <c r="AT203" s="472" t="str">
        <f t="shared" si="149"/>
        <v>-</v>
      </c>
      <c r="AU203" s="472" t="str">
        <f t="shared" si="150"/>
        <v>-</v>
      </c>
      <c r="AV203" s="472" t="str">
        <f t="shared" si="151"/>
        <v>-</v>
      </c>
      <c r="AW203" s="472" t="str">
        <f t="shared" si="152"/>
        <v>-</v>
      </c>
      <c r="AX203" s="472" t="str">
        <f t="shared" si="153"/>
        <v>-</v>
      </c>
      <c r="AY203" s="472" t="str">
        <f t="shared" si="134"/>
        <v>-</v>
      </c>
      <c r="AZ203" s="472" t="str">
        <f t="shared" si="142"/>
        <v>-</v>
      </c>
      <c r="BA203" s="472" t="str">
        <f t="shared" si="143"/>
        <v>-</v>
      </c>
      <c r="BB203" s="472" t="str">
        <f t="shared" si="135"/>
        <v>-</v>
      </c>
      <c r="BC203" s="472" t="str">
        <f t="shared" si="136"/>
        <v>-</v>
      </c>
      <c r="BD203" s="472" t="str">
        <f t="shared" si="137"/>
        <v>-</v>
      </c>
      <c r="BE203" s="472" t="str">
        <f t="shared" si="138"/>
        <v>-</v>
      </c>
      <c r="BF203" s="472" t="str">
        <f t="shared" si="139"/>
        <v>-</v>
      </c>
      <c r="BG203" s="472" t="str">
        <f t="shared" si="140"/>
        <v>-</v>
      </c>
      <c r="BH203" s="472" t="str">
        <f t="shared" si="141"/>
        <v>-</v>
      </c>
      <c r="BI203" s="221" t="str">
        <f t="shared" si="154"/>
        <v>-</v>
      </c>
      <c r="BJ203" s="730"/>
      <c r="BK203" s="733"/>
      <c r="BL203" s="429"/>
      <c r="BM203" s="429"/>
      <c r="BN203" s="214">
        <f t="shared" si="155"/>
        <v>0</v>
      </c>
      <c r="BO203" s="741"/>
      <c r="BP203" s="742"/>
      <c r="BQ203" s="446"/>
      <c r="BR203" s="446"/>
      <c r="BS203" s="228">
        <f t="shared" si="156"/>
        <v>0</v>
      </c>
      <c r="BT203" s="407" t="str">
        <f t="shared" si="157"/>
        <v>-</v>
      </c>
      <c r="BU203" s="529" t="str">
        <f t="shared" si="158"/>
        <v>-</v>
      </c>
      <c r="BV203" s="529" t="str">
        <f t="shared" si="159"/>
        <v>-</v>
      </c>
      <c r="BW203" s="529" t="str">
        <f t="shared" si="160"/>
        <v>-</v>
      </c>
      <c r="BX203" s="221" t="str">
        <f t="shared" si="161"/>
        <v>-</v>
      </c>
      <c r="BY203" s="745"/>
      <c r="BZ203" s="735"/>
      <c r="CA203" s="746"/>
      <c r="CB203" s="407" t="str">
        <f t="shared" si="162"/>
        <v>-</v>
      </c>
      <c r="CC203" s="529" t="str">
        <f t="shared" si="163"/>
        <v>-</v>
      </c>
      <c r="CD203" s="221" t="str">
        <f t="shared" si="164"/>
        <v>-</v>
      </c>
    </row>
    <row r="204" spans="1:82" ht="16.350000000000001" customHeight="1">
      <c r="A204" s="175">
        <f t="shared" si="144"/>
        <v>2024</v>
      </c>
      <c r="B204" s="454" t="str">
        <f t="shared" si="145"/>
        <v>43</v>
      </c>
      <c r="C204" s="454" t="str">
        <f t="array" ref="C204">_xlfn.IFS(_xlfn.NUMBERVALUE(B204)&lt;=13,"Q1",AND(_xlfn.NUMBERVALUE(B204)&gt;13,_xlfn.NUMBERVALUE(B204)&lt;=26),"Q2", AND(_xlfn.NUMBERVALUE(B204)&gt;26,_xlfn.NUMBERVALUE(B204)&lt;=39),"Q3",_xlfn.NUMBERVALUE(B204)&gt;39,"Q4")</f>
        <v>Q4</v>
      </c>
      <c r="D204" s="448">
        <f t="shared" si="165"/>
        <v>45248</v>
      </c>
      <c r="E204" s="448">
        <f t="shared" si="146"/>
        <v>45254</v>
      </c>
      <c r="F204" s="97">
        <v>202343</v>
      </c>
      <c r="G204" s="103"/>
      <c r="H204" s="429"/>
      <c r="I204" s="429"/>
      <c r="J204" s="429"/>
      <c r="K204" s="429"/>
      <c r="L204" s="429"/>
      <c r="M204" s="429"/>
      <c r="N204" s="429"/>
      <c r="O204" s="429"/>
      <c r="P204" s="429"/>
      <c r="Q204" s="429"/>
      <c r="R204" s="429"/>
      <c r="S204" s="429"/>
      <c r="T204" s="429"/>
      <c r="U204" s="429"/>
      <c r="V204" s="429"/>
      <c r="W204" s="429"/>
      <c r="X204" s="429"/>
      <c r="Y204" s="449">
        <f t="shared" si="133"/>
        <v>0</v>
      </c>
      <c r="Z204" s="449">
        <f t="shared" si="166"/>
        <v>0</v>
      </c>
      <c r="AA204" s="214">
        <f>'Overall Metrics'!N205</f>
        <v>0</v>
      </c>
      <c r="AB204" s="201"/>
      <c r="AC204" s="446"/>
      <c r="AD204" s="446"/>
      <c r="AE204" s="446"/>
      <c r="AF204" s="446"/>
      <c r="AG204" s="446"/>
      <c r="AH204" s="446"/>
      <c r="AI204" s="446"/>
      <c r="AJ204" s="446"/>
      <c r="AK204" s="446"/>
      <c r="AL204" s="446"/>
      <c r="AM204" s="446"/>
      <c r="AN204" s="446"/>
      <c r="AO204" s="446"/>
      <c r="AP204" s="446"/>
      <c r="AQ204" s="446"/>
      <c r="AR204" s="219">
        <f t="shared" si="147"/>
        <v>0</v>
      </c>
      <c r="AS204" s="220" t="str">
        <f t="shared" si="148"/>
        <v>-</v>
      </c>
      <c r="AT204" s="472" t="str">
        <f t="shared" si="149"/>
        <v>-</v>
      </c>
      <c r="AU204" s="472" t="str">
        <f t="shared" si="150"/>
        <v>-</v>
      </c>
      <c r="AV204" s="472" t="str">
        <f t="shared" si="151"/>
        <v>-</v>
      </c>
      <c r="AW204" s="472" t="str">
        <f t="shared" si="152"/>
        <v>-</v>
      </c>
      <c r="AX204" s="472" t="str">
        <f t="shared" si="153"/>
        <v>-</v>
      </c>
      <c r="AY204" s="472" t="str">
        <f t="shared" si="134"/>
        <v>-</v>
      </c>
      <c r="AZ204" s="472" t="str">
        <f t="shared" si="142"/>
        <v>-</v>
      </c>
      <c r="BA204" s="472" t="str">
        <f t="shared" si="143"/>
        <v>-</v>
      </c>
      <c r="BB204" s="472" t="str">
        <f t="shared" si="135"/>
        <v>-</v>
      </c>
      <c r="BC204" s="472" t="str">
        <f t="shared" si="136"/>
        <v>-</v>
      </c>
      <c r="BD204" s="472" t="str">
        <f t="shared" si="137"/>
        <v>-</v>
      </c>
      <c r="BE204" s="472" t="str">
        <f t="shared" si="138"/>
        <v>-</v>
      </c>
      <c r="BF204" s="472" t="str">
        <f t="shared" si="139"/>
        <v>-</v>
      </c>
      <c r="BG204" s="472" t="str">
        <f t="shared" si="140"/>
        <v>-</v>
      </c>
      <c r="BH204" s="472" t="str">
        <f t="shared" si="141"/>
        <v>-</v>
      </c>
      <c r="BI204" s="221" t="str">
        <f t="shared" si="154"/>
        <v>-</v>
      </c>
      <c r="BJ204" s="730"/>
      <c r="BK204" s="692"/>
      <c r="BL204" s="429"/>
      <c r="BM204" s="429"/>
      <c r="BN204" s="214">
        <f t="shared" si="155"/>
        <v>0</v>
      </c>
      <c r="BO204" s="741"/>
      <c r="BP204" s="742"/>
      <c r="BQ204" s="446"/>
      <c r="BR204" s="446"/>
      <c r="BS204" s="228">
        <f t="shared" si="156"/>
        <v>0</v>
      </c>
      <c r="BT204" s="407" t="str">
        <f t="shared" si="157"/>
        <v>-</v>
      </c>
      <c r="BU204" s="529" t="str">
        <f t="shared" si="158"/>
        <v>-</v>
      </c>
      <c r="BV204" s="529" t="str">
        <f t="shared" si="159"/>
        <v>-</v>
      </c>
      <c r="BW204" s="529" t="str">
        <f t="shared" si="160"/>
        <v>-</v>
      </c>
      <c r="BX204" s="221" t="str">
        <f t="shared" si="161"/>
        <v>-</v>
      </c>
      <c r="BY204" s="745"/>
      <c r="BZ204" s="735"/>
      <c r="CA204" s="746"/>
      <c r="CB204" s="407" t="str">
        <f t="shared" si="162"/>
        <v>-</v>
      </c>
      <c r="CC204" s="529" t="str">
        <f t="shared" si="163"/>
        <v>-</v>
      </c>
      <c r="CD204" s="221" t="str">
        <f t="shared" si="164"/>
        <v>-</v>
      </c>
    </row>
    <row r="205" spans="1:82" ht="16.350000000000001" customHeight="1">
      <c r="A205" s="175">
        <f t="shared" si="144"/>
        <v>2024</v>
      </c>
      <c r="B205" s="454" t="str">
        <f t="shared" si="145"/>
        <v>44</v>
      </c>
      <c r="C205" s="454" t="str">
        <f t="array" ref="C205">_xlfn.IFS(_xlfn.NUMBERVALUE(B205)&lt;=13,"Q1",AND(_xlfn.NUMBERVALUE(B205)&gt;13,_xlfn.NUMBERVALUE(B205)&lt;=26),"Q2", AND(_xlfn.NUMBERVALUE(B205)&gt;26,_xlfn.NUMBERVALUE(B205)&lt;=39),"Q3",_xlfn.NUMBERVALUE(B205)&gt;39,"Q4")</f>
        <v>Q4</v>
      </c>
      <c r="D205" s="448">
        <f t="shared" si="165"/>
        <v>45255</v>
      </c>
      <c r="E205" s="448">
        <f t="shared" si="146"/>
        <v>45261</v>
      </c>
      <c r="F205" s="97">
        <v>202344</v>
      </c>
      <c r="G205" s="103"/>
      <c r="H205" s="429"/>
      <c r="I205" s="429"/>
      <c r="J205" s="429"/>
      <c r="K205" s="429"/>
      <c r="L205" s="429"/>
      <c r="M205" s="429"/>
      <c r="N205" s="429"/>
      <c r="O205" s="429"/>
      <c r="P205" s="429"/>
      <c r="Q205" s="429"/>
      <c r="R205" s="429"/>
      <c r="S205" s="429"/>
      <c r="T205" s="429"/>
      <c r="U205" s="429"/>
      <c r="V205" s="429"/>
      <c r="W205" s="429"/>
      <c r="X205" s="429"/>
      <c r="Y205" s="449">
        <f t="shared" si="133"/>
        <v>0</v>
      </c>
      <c r="Z205" s="449">
        <f t="shared" si="166"/>
        <v>0</v>
      </c>
      <c r="AA205" s="214">
        <f>'Overall Metrics'!N206</f>
        <v>0</v>
      </c>
      <c r="AB205" s="201"/>
      <c r="AC205" s="446"/>
      <c r="AD205" s="446"/>
      <c r="AE205" s="446"/>
      <c r="AF205" s="446"/>
      <c r="AG205" s="446"/>
      <c r="AH205" s="446"/>
      <c r="AI205" s="446"/>
      <c r="AJ205" s="446"/>
      <c r="AK205" s="446"/>
      <c r="AL205" s="446"/>
      <c r="AM205" s="446"/>
      <c r="AN205" s="446"/>
      <c r="AO205" s="446"/>
      <c r="AP205" s="446"/>
      <c r="AQ205" s="446"/>
      <c r="AR205" s="219">
        <f t="shared" si="147"/>
        <v>0</v>
      </c>
      <c r="AS205" s="220" t="str">
        <f t="shared" si="148"/>
        <v>-</v>
      </c>
      <c r="AT205" s="472" t="str">
        <f t="shared" si="149"/>
        <v>-</v>
      </c>
      <c r="AU205" s="472" t="str">
        <f t="shared" si="150"/>
        <v>-</v>
      </c>
      <c r="AV205" s="472" t="str">
        <f t="shared" si="151"/>
        <v>-</v>
      </c>
      <c r="AW205" s="472" t="str">
        <f t="shared" si="152"/>
        <v>-</v>
      </c>
      <c r="AX205" s="472" t="str">
        <f t="shared" si="153"/>
        <v>-</v>
      </c>
      <c r="AY205" s="472" t="str">
        <f t="shared" si="134"/>
        <v>-</v>
      </c>
      <c r="AZ205" s="472" t="str">
        <f t="shared" si="142"/>
        <v>-</v>
      </c>
      <c r="BA205" s="472" t="str">
        <f t="shared" si="143"/>
        <v>-</v>
      </c>
      <c r="BB205" s="472" t="str">
        <f t="shared" si="135"/>
        <v>-</v>
      </c>
      <c r="BC205" s="472" t="str">
        <f t="shared" si="136"/>
        <v>-</v>
      </c>
      <c r="BD205" s="472" t="str">
        <f t="shared" si="137"/>
        <v>-</v>
      </c>
      <c r="BE205" s="472" t="str">
        <f t="shared" si="138"/>
        <v>-</v>
      </c>
      <c r="BF205" s="472" t="str">
        <f t="shared" si="139"/>
        <v>-</v>
      </c>
      <c r="BG205" s="472" t="str">
        <f t="shared" si="140"/>
        <v>-</v>
      </c>
      <c r="BH205" s="472" t="str">
        <f t="shared" si="141"/>
        <v>-</v>
      </c>
      <c r="BI205" s="221" t="str">
        <f t="shared" si="154"/>
        <v>-</v>
      </c>
      <c r="BJ205" s="730"/>
      <c r="BK205" s="692"/>
      <c r="BL205" s="429"/>
      <c r="BM205" s="429"/>
      <c r="BN205" s="214">
        <f t="shared" si="155"/>
        <v>0</v>
      </c>
      <c r="BO205" s="741"/>
      <c r="BP205" s="742"/>
      <c r="BQ205" s="446"/>
      <c r="BR205" s="446"/>
      <c r="BS205" s="228">
        <f t="shared" si="156"/>
        <v>0</v>
      </c>
      <c r="BT205" s="407" t="str">
        <f t="shared" si="157"/>
        <v>-</v>
      </c>
      <c r="BU205" s="529" t="str">
        <f t="shared" si="158"/>
        <v>-</v>
      </c>
      <c r="BV205" s="529" t="str">
        <f t="shared" si="159"/>
        <v>-</v>
      </c>
      <c r="BW205" s="529" t="str">
        <f t="shared" si="160"/>
        <v>-</v>
      </c>
      <c r="BX205" s="221" t="str">
        <f t="shared" si="161"/>
        <v>-</v>
      </c>
      <c r="BY205" s="745"/>
      <c r="BZ205" s="735"/>
      <c r="CA205" s="746"/>
      <c r="CB205" s="407" t="str">
        <f t="shared" si="162"/>
        <v>-</v>
      </c>
      <c r="CC205" s="529" t="str">
        <f t="shared" si="163"/>
        <v>-</v>
      </c>
      <c r="CD205" s="221" t="str">
        <f t="shared" si="164"/>
        <v>-</v>
      </c>
    </row>
    <row r="206" spans="1:82" ht="16.350000000000001" customHeight="1">
      <c r="A206" s="175">
        <f t="shared" si="144"/>
        <v>2024</v>
      </c>
      <c r="B206" s="454" t="str">
        <f t="shared" si="145"/>
        <v>45</v>
      </c>
      <c r="C206" s="454" t="str">
        <f t="array" ref="C206">_xlfn.IFS(_xlfn.NUMBERVALUE(B206)&lt;=13,"Q1",AND(_xlfn.NUMBERVALUE(B206)&gt;13,_xlfn.NUMBERVALUE(B206)&lt;=26),"Q2", AND(_xlfn.NUMBERVALUE(B206)&gt;26,_xlfn.NUMBERVALUE(B206)&lt;=39),"Q3",_xlfn.NUMBERVALUE(B206)&gt;39,"Q4")</f>
        <v>Q4</v>
      </c>
      <c r="D206" s="448">
        <f t="shared" si="165"/>
        <v>45262</v>
      </c>
      <c r="E206" s="448">
        <f t="shared" si="146"/>
        <v>45268</v>
      </c>
      <c r="F206" s="97">
        <v>202345</v>
      </c>
      <c r="G206" s="103"/>
      <c r="H206" s="429"/>
      <c r="I206" s="429"/>
      <c r="J206" s="429"/>
      <c r="K206" s="429"/>
      <c r="L206" s="429"/>
      <c r="M206" s="429"/>
      <c r="N206" s="429"/>
      <c r="O206" s="429"/>
      <c r="P206" s="429"/>
      <c r="Q206" s="429"/>
      <c r="R206" s="429"/>
      <c r="S206" s="429"/>
      <c r="T206" s="429"/>
      <c r="U206" s="429"/>
      <c r="V206" s="429"/>
      <c r="W206" s="429"/>
      <c r="X206" s="429"/>
      <c r="Y206" s="449">
        <f t="shared" si="133"/>
        <v>0</v>
      </c>
      <c r="Z206" s="449">
        <f t="shared" si="166"/>
        <v>0</v>
      </c>
      <c r="AA206" s="214">
        <f>'Overall Metrics'!N207</f>
        <v>0</v>
      </c>
      <c r="AB206" s="201"/>
      <c r="AC206" s="446"/>
      <c r="AD206" s="446"/>
      <c r="AE206" s="446"/>
      <c r="AF206" s="446"/>
      <c r="AG206" s="446"/>
      <c r="AH206" s="446"/>
      <c r="AI206" s="446"/>
      <c r="AJ206" s="446"/>
      <c r="AK206" s="446"/>
      <c r="AL206" s="446"/>
      <c r="AM206" s="446"/>
      <c r="AN206" s="446"/>
      <c r="AO206" s="446"/>
      <c r="AP206" s="446"/>
      <c r="AQ206" s="446"/>
      <c r="AR206" s="219">
        <f t="shared" si="147"/>
        <v>0</v>
      </c>
      <c r="AS206" s="220" t="str">
        <f t="shared" si="148"/>
        <v>-</v>
      </c>
      <c r="AT206" s="472" t="str">
        <f t="shared" si="149"/>
        <v>-</v>
      </c>
      <c r="AU206" s="472" t="str">
        <f t="shared" si="150"/>
        <v>-</v>
      </c>
      <c r="AV206" s="472" t="str">
        <f t="shared" si="151"/>
        <v>-</v>
      </c>
      <c r="AW206" s="472" t="str">
        <f t="shared" si="152"/>
        <v>-</v>
      </c>
      <c r="AX206" s="472" t="str">
        <f t="shared" si="153"/>
        <v>-</v>
      </c>
      <c r="AY206" s="472" t="str">
        <f t="shared" si="134"/>
        <v>-</v>
      </c>
      <c r="AZ206" s="472" t="str">
        <f t="shared" si="142"/>
        <v>-</v>
      </c>
      <c r="BA206" s="472" t="str">
        <f t="shared" si="143"/>
        <v>-</v>
      </c>
      <c r="BB206" s="472" t="str">
        <f t="shared" si="135"/>
        <v>-</v>
      </c>
      <c r="BC206" s="472" t="str">
        <f t="shared" si="136"/>
        <v>-</v>
      </c>
      <c r="BD206" s="472" t="str">
        <f t="shared" si="137"/>
        <v>-</v>
      </c>
      <c r="BE206" s="472" t="str">
        <f t="shared" si="138"/>
        <v>-</v>
      </c>
      <c r="BF206" s="472" t="str">
        <f t="shared" si="139"/>
        <v>-</v>
      </c>
      <c r="BG206" s="472" t="str">
        <f t="shared" si="140"/>
        <v>-</v>
      </c>
      <c r="BH206" s="472" t="str">
        <f t="shared" si="141"/>
        <v>-</v>
      </c>
      <c r="BI206" s="221" t="str">
        <f t="shared" si="154"/>
        <v>-</v>
      </c>
      <c r="BJ206" s="730"/>
      <c r="BK206" s="692"/>
      <c r="BL206" s="429"/>
      <c r="BM206" s="429"/>
      <c r="BN206" s="214">
        <f t="shared" si="155"/>
        <v>0</v>
      </c>
      <c r="BO206" s="741"/>
      <c r="BP206" s="742"/>
      <c r="BQ206" s="446"/>
      <c r="BR206" s="446"/>
      <c r="BS206" s="228">
        <f t="shared" si="156"/>
        <v>0</v>
      </c>
      <c r="BT206" s="407" t="str">
        <f t="shared" si="157"/>
        <v>-</v>
      </c>
      <c r="BU206" s="529" t="str">
        <f t="shared" si="158"/>
        <v>-</v>
      </c>
      <c r="BV206" s="529" t="str">
        <f t="shared" si="159"/>
        <v>-</v>
      </c>
      <c r="BW206" s="529" t="str">
        <f t="shared" si="160"/>
        <v>-</v>
      </c>
      <c r="BX206" s="221" t="str">
        <f t="shared" si="161"/>
        <v>-</v>
      </c>
      <c r="BY206" s="745"/>
      <c r="BZ206" s="735"/>
      <c r="CA206" s="746"/>
      <c r="CB206" s="407" t="str">
        <f t="shared" si="162"/>
        <v>-</v>
      </c>
      <c r="CC206" s="529" t="str">
        <f t="shared" si="163"/>
        <v>-</v>
      </c>
      <c r="CD206" s="221" t="str">
        <f t="shared" si="164"/>
        <v>-</v>
      </c>
    </row>
    <row r="207" spans="1:82" ht="16.350000000000001" customHeight="1">
      <c r="A207" s="175">
        <f t="shared" si="144"/>
        <v>2024</v>
      </c>
      <c r="B207" s="454" t="str">
        <f t="shared" si="145"/>
        <v>46</v>
      </c>
      <c r="C207" s="454" t="str">
        <f t="array" ref="C207">_xlfn.IFS(_xlfn.NUMBERVALUE(B207)&lt;=13,"Q1",AND(_xlfn.NUMBERVALUE(B207)&gt;13,_xlfn.NUMBERVALUE(B207)&lt;=26),"Q2", AND(_xlfn.NUMBERVALUE(B207)&gt;26,_xlfn.NUMBERVALUE(B207)&lt;=39),"Q3",_xlfn.NUMBERVALUE(B207)&gt;39,"Q4")</f>
        <v>Q4</v>
      </c>
      <c r="D207" s="448">
        <f t="shared" si="165"/>
        <v>45269</v>
      </c>
      <c r="E207" s="448">
        <f t="shared" si="146"/>
        <v>45275</v>
      </c>
      <c r="F207" s="97">
        <v>202346</v>
      </c>
      <c r="G207" s="103"/>
      <c r="H207" s="429"/>
      <c r="I207" s="429"/>
      <c r="J207" s="429"/>
      <c r="K207" s="429"/>
      <c r="L207" s="429"/>
      <c r="M207" s="429"/>
      <c r="N207" s="429"/>
      <c r="O207" s="429"/>
      <c r="P207" s="429"/>
      <c r="Q207" s="429"/>
      <c r="R207" s="429"/>
      <c r="S207" s="429"/>
      <c r="T207" s="429"/>
      <c r="U207" s="429"/>
      <c r="V207" s="429"/>
      <c r="W207" s="429"/>
      <c r="X207" s="429"/>
      <c r="Y207" s="449">
        <f t="shared" si="133"/>
        <v>0</v>
      </c>
      <c r="Z207" s="449">
        <f t="shared" si="166"/>
        <v>0</v>
      </c>
      <c r="AA207" s="214">
        <f>'Overall Metrics'!N208</f>
        <v>0</v>
      </c>
      <c r="AB207" s="201"/>
      <c r="AC207" s="446"/>
      <c r="AD207" s="446"/>
      <c r="AE207" s="446"/>
      <c r="AF207" s="446"/>
      <c r="AG207" s="446"/>
      <c r="AH207" s="446"/>
      <c r="AI207" s="446"/>
      <c r="AJ207" s="446"/>
      <c r="AK207" s="446"/>
      <c r="AL207" s="446"/>
      <c r="AM207" s="446"/>
      <c r="AN207" s="446"/>
      <c r="AO207" s="446"/>
      <c r="AP207" s="446"/>
      <c r="AQ207" s="446"/>
      <c r="AR207" s="219">
        <f t="shared" si="147"/>
        <v>0</v>
      </c>
      <c r="AS207" s="220" t="str">
        <f t="shared" si="148"/>
        <v>-</v>
      </c>
      <c r="AT207" s="472" t="str">
        <f t="shared" si="149"/>
        <v>-</v>
      </c>
      <c r="AU207" s="472" t="str">
        <f t="shared" si="150"/>
        <v>-</v>
      </c>
      <c r="AV207" s="472" t="str">
        <f t="shared" si="151"/>
        <v>-</v>
      </c>
      <c r="AW207" s="472" t="str">
        <f t="shared" si="152"/>
        <v>-</v>
      </c>
      <c r="AX207" s="472" t="str">
        <f t="shared" si="153"/>
        <v>-</v>
      </c>
      <c r="AY207" s="472" t="str">
        <f t="shared" si="134"/>
        <v>-</v>
      </c>
      <c r="AZ207" s="472" t="str">
        <f t="shared" si="142"/>
        <v>-</v>
      </c>
      <c r="BA207" s="472" t="str">
        <f t="shared" si="143"/>
        <v>-</v>
      </c>
      <c r="BB207" s="472" t="str">
        <f t="shared" si="135"/>
        <v>-</v>
      </c>
      <c r="BC207" s="472" t="str">
        <f t="shared" si="136"/>
        <v>-</v>
      </c>
      <c r="BD207" s="472" t="str">
        <f t="shared" si="137"/>
        <v>-</v>
      </c>
      <c r="BE207" s="472" t="str">
        <f t="shared" si="138"/>
        <v>-</v>
      </c>
      <c r="BF207" s="472" t="str">
        <f t="shared" si="139"/>
        <v>-</v>
      </c>
      <c r="BG207" s="472" t="str">
        <f t="shared" si="140"/>
        <v>-</v>
      </c>
      <c r="BH207" s="472" t="str">
        <f t="shared" si="141"/>
        <v>-</v>
      </c>
      <c r="BI207" s="221" t="str">
        <f t="shared" si="154"/>
        <v>-</v>
      </c>
      <c r="BJ207" s="730"/>
      <c r="BK207" s="692"/>
      <c r="BL207" s="429"/>
      <c r="BM207" s="429"/>
      <c r="BN207" s="214">
        <f t="shared" si="155"/>
        <v>0</v>
      </c>
      <c r="BO207" s="741"/>
      <c r="BP207" s="742"/>
      <c r="BQ207" s="446"/>
      <c r="BR207" s="446"/>
      <c r="BS207" s="228">
        <f t="shared" si="156"/>
        <v>0</v>
      </c>
      <c r="BT207" s="407" t="str">
        <f t="shared" si="157"/>
        <v>-</v>
      </c>
      <c r="BU207" s="529" t="str">
        <f t="shared" si="158"/>
        <v>-</v>
      </c>
      <c r="BV207" s="529" t="str">
        <f t="shared" si="159"/>
        <v>-</v>
      </c>
      <c r="BW207" s="529" t="str">
        <f t="shared" si="160"/>
        <v>-</v>
      </c>
      <c r="BX207" s="221" t="str">
        <f t="shared" si="161"/>
        <v>-</v>
      </c>
      <c r="BY207" s="745"/>
      <c r="BZ207" s="735"/>
      <c r="CA207" s="746"/>
      <c r="CB207" s="407" t="str">
        <f t="shared" si="162"/>
        <v>-</v>
      </c>
      <c r="CC207" s="529" t="str">
        <f t="shared" si="163"/>
        <v>-</v>
      </c>
      <c r="CD207" s="221" t="str">
        <f t="shared" si="164"/>
        <v>-</v>
      </c>
    </row>
    <row r="208" spans="1:82" ht="16.350000000000001" customHeight="1">
      <c r="A208" s="175">
        <f t="shared" si="144"/>
        <v>2024</v>
      </c>
      <c r="B208" s="454" t="str">
        <f t="shared" si="145"/>
        <v>47</v>
      </c>
      <c r="C208" s="454" t="str">
        <f t="array" ref="C208">_xlfn.IFS(_xlfn.NUMBERVALUE(B208)&lt;=13,"Q1",AND(_xlfn.NUMBERVALUE(B208)&gt;13,_xlfn.NUMBERVALUE(B208)&lt;=26),"Q2", AND(_xlfn.NUMBERVALUE(B208)&gt;26,_xlfn.NUMBERVALUE(B208)&lt;=39),"Q3",_xlfn.NUMBERVALUE(B208)&gt;39,"Q4")</f>
        <v>Q4</v>
      </c>
      <c r="D208" s="448">
        <f t="shared" si="165"/>
        <v>45276</v>
      </c>
      <c r="E208" s="448">
        <f t="shared" si="146"/>
        <v>45282</v>
      </c>
      <c r="F208" s="97">
        <v>202347</v>
      </c>
      <c r="G208" s="103"/>
      <c r="H208" s="429"/>
      <c r="I208" s="429"/>
      <c r="J208" s="429"/>
      <c r="K208" s="429"/>
      <c r="L208" s="429"/>
      <c r="M208" s="429"/>
      <c r="N208" s="429"/>
      <c r="O208" s="429"/>
      <c r="P208" s="429"/>
      <c r="Q208" s="429"/>
      <c r="R208" s="429"/>
      <c r="S208" s="429"/>
      <c r="T208" s="429"/>
      <c r="U208" s="429"/>
      <c r="V208" s="429"/>
      <c r="W208" s="429"/>
      <c r="X208" s="429"/>
      <c r="Y208" s="449">
        <f t="shared" si="133"/>
        <v>0</v>
      </c>
      <c r="Z208" s="449">
        <f t="shared" si="166"/>
        <v>0</v>
      </c>
      <c r="AA208" s="214">
        <f>'Overall Metrics'!N209</f>
        <v>0</v>
      </c>
      <c r="AB208" s="201"/>
      <c r="AC208" s="446"/>
      <c r="AD208" s="446"/>
      <c r="AE208" s="446"/>
      <c r="AF208" s="446"/>
      <c r="AG208" s="446"/>
      <c r="AH208" s="446"/>
      <c r="AI208" s="446"/>
      <c r="AJ208" s="446"/>
      <c r="AK208" s="446"/>
      <c r="AL208" s="446"/>
      <c r="AM208" s="446"/>
      <c r="AN208" s="446"/>
      <c r="AO208" s="446"/>
      <c r="AP208" s="446"/>
      <c r="AQ208" s="446"/>
      <c r="AR208" s="219">
        <f t="shared" si="147"/>
        <v>0</v>
      </c>
      <c r="AS208" s="220" t="str">
        <f t="shared" si="148"/>
        <v>-</v>
      </c>
      <c r="AT208" s="472" t="str">
        <f t="shared" si="149"/>
        <v>-</v>
      </c>
      <c r="AU208" s="472" t="str">
        <f t="shared" si="150"/>
        <v>-</v>
      </c>
      <c r="AV208" s="472" t="str">
        <f t="shared" si="151"/>
        <v>-</v>
      </c>
      <c r="AW208" s="472" t="str">
        <f t="shared" si="152"/>
        <v>-</v>
      </c>
      <c r="AX208" s="472" t="str">
        <f t="shared" si="153"/>
        <v>-</v>
      </c>
      <c r="AY208" s="472" t="str">
        <f t="shared" si="134"/>
        <v>-</v>
      </c>
      <c r="AZ208" s="472" t="str">
        <f t="shared" si="142"/>
        <v>-</v>
      </c>
      <c r="BA208" s="472" t="str">
        <f t="shared" si="143"/>
        <v>-</v>
      </c>
      <c r="BB208" s="472" t="str">
        <f t="shared" si="135"/>
        <v>-</v>
      </c>
      <c r="BC208" s="472" t="str">
        <f t="shared" si="136"/>
        <v>-</v>
      </c>
      <c r="BD208" s="472" t="str">
        <f t="shared" si="137"/>
        <v>-</v>
      </c>
      <c r="BE208" s="472" t="str">
        <f t="shared" si="138"/>
        <v>-</v>
      </c>
      <c r="BF208" s="472" t="str">
        <f t="shared" si="139"/>
        <v>-</v>
      </c>
      <c r="BG208" s="472" t="str">
        <f t="shared" si="140"/>
        <v>-</v>
      </c>
      <c r="BH208" s="472" t="str">
        <f t="shared" si="141"/>
        <v>-</v>
      </c>
      <c r="BI208" s="221" t="str">
        <f t="shared" si="154"/>
        <v>-</v>
      </c>
      <c r="BJ208" s="730"/>
      <c r="BK208" s="692"/>
      <c r="BL208" s="429"/>
      <c r="BM208" s="429"/>
      <c r="BN208" s="214">
        <f t="shared" si="155"/>
        <v>0</v>
      </c>
      <c r="BO208" s="741"/>
      <c r="BP208" s="742"/>
      <c r="BQ208" s="446"/>
      <c r="BR208" s="446"/>
      <c r="BS208" s="228">
        <f t="shared" si="156"/>
        <v>0</v>
      </c>
      <c r="BT208" s="407" t="str">
        <f t="shared" si="157"/>
        <v>-</v>
      </c>
      <c r="BU208" s="529" t="str">
        <f t="shared" si="158"/>
        <v>-</v>
      </c>
      <c r="BV208" s="529" t="str">
        <f t="shared" si="159"/>
        <v>-</v>
      </c>
      <c r="BW208" s="529" t="str">
        <f t="shared" si="160"/>
        <v>-</v>
      </c>
      <c r="BX208" s="221" t="str">
        <f t="shared" si="161"/>
        <v>-</v>
      </c>
      <c r="BY208" s="745"/>
      <c r="BZ208" s="735"/>
      <c r="CA208" s="746"/>
      <c r="CB208" s="407" t="str">
        <f t="shared" si="162"/>
        <v>-</v>
      </c>
      <c r="CC208" s="529" t="str">
        <f t="shared" si="163"/>
        <v>-</v>
      </c>
      <c r="CD208" s="221" t="str">
        <f t="shared" si="164"/>
        <v>-</v>
      </c>
    </row>
    <row r="209" spans="1:82" ht="16.350000000000001" customHeight="1">
      <c r="A209" s="175">
        <f t="shared" si="144"/>
        <v>2024</v>
      </c>
      <c r="B209" s="454" t="str">
        <f t="shared" si="145"/>
        <v>48</v>
      </c>
      <c r="C209" s="454" t="str">
        <f t="array" ref="C209">_xlfn.IFS(_xlfn.NUMBERVALUE(B209)&lt;=13,"Q1",AND(_xlfn.NUMBERVALUE(B209)&gt;13,_xlfn.NUMBERVALUE(B209)&lt;=26),"Q2", AND(_xlfn.NUMBERVALUE(B209)&gt;26,_xlfn.NUMBERVALUE(B209)&lt;=39),"Q3",_xlfn.NUMBERVALUE(B209)&gt;39,"Q4")</f>
        <v>Q4</v>
      </c>
      <c r="D209" s="448">
        <f t="shared" si="165"/>
        <v>45283</v>
      </c>
      <c r="E209" s="448">
        <f t="shared" si="146"/>
        <v>45289</v>
      </c>
      <c r="F209" s="97">
        <v>202348</v>
      </c>
      <c r="G209" s="103"/>
      <c r="H209" s="429"/>
      <c r="I209" s="429"/>
      <c r="J209" s="429"/>
      <c r="K209" s="429"/>
      <c r="L209" s="429"/>
      <c r="M209" s="429"/>
      <c r="N209" s="429"/>
      <c r="O209" s="429"/>
      <c r="P209" s="429"/>
      <c r="Q209" s="429"/>
      <c r="R209" s="429"/>
      <c r="S209" s="429"/>
      <c r="T209" s="429"/>
      <c r="U209" s="429"/>
      <c r="V209" s="429"/>
      <c r="W209" s="429"/>
      <c r="X209" s="429"/>
      <c r="Y209" s="449">
        <f t="shared" si="133"/>
        <v>0</v>
      </c>
      <c r="Z209" s="449">
        <f t="shared" si="166"/>
        <v>0</v>
      </c>
      <c r="AA209" s="214">
        <f>'Overall Metrics'!N210</f>
        <v>0</v>
      </c>
      <c r="AB209" s="201"/>
      <c r="AC209" s="446"/>
      <c r="AD209" s="446"/>
      <c r="AE209" s="446"/>
      <c r="AF209" s="446"/>
      <c r="AG209" s="446"/>
      <c r="AH209" s="446"/>
      <c r="AI209" s="446"/>
      <c r="AJ209" s="446"/>
      <c r="AK209" s="446"/>
      <c r="AL209" s="446"/>
      <c r="AM209" s="446"/>
      <c r="AN209" s="446"/>
      <c r="AO209" s="446"/>
      <c r="AP209" s="446"/>
      <c r="AQ209" s="446"/>
      <c r="AR209" s="219">
        <f t="shared" si="147"/>
        <v>0</v>
      </c>
      <c r="AS209" s="220" t="str">
        <f t="shared" si="148"/>
        <v>-</v>
      </c>
      <c r="AT209" s="472" t="str">
        <f t="shared" si="149"/>
        <v>-</v>
      </c>
      <c r="AU209" s="472" t="str">
        <f t="shared" si="150"/>
        <v>-</v>
      </c>
      <c r="AV209" s="472" t="str">
        <f t="shared" si="151"/>
        <v>-</v>
      </c>
      <c r="AW209" s="472" t="str">
        <f t="shared" si="152"/>
        <v>-</v>
      </c>
      <c r="AX209" s="472" t="str">
        <f t="shared" si="153"/>
        <v>-</v>
      </c>
      <c r="AY209" s="472" t="str">
        <f t="shared" si="134"/>
        <v>-</v>
      </c>
      <c r="AZ209" s="472" t="str">
        <f t="shared" si="142"/>
        <v>-</v>
      </c>
      <c r="BA209" s="472" t="str">
        <f t="shared" si="143"/>
        <v>-</v>
      </c>
      <c r="BB209" s="472" t="str">
        <f t="shared" si="135"/>
        <v>-</v>
      </c>
      <c r="BC209" s="472" t="str">
        <f t="shared" si="136"/>
        <v>-</v>
      </c>
      <c r="BD209" s="472" t="str">
        <f t="shared" si="137"/>
        <v>-</v>
      </c>
      <c r="BE209" s="472" t="str">
        <f t="shared" si="138"/>
        <v>-</v>
      </c>
      <c r="BF209" s="472" t="str">
        <f t="shared" si="139"/>
        <v>-</v>
      </c>
      <c r="BG209" s="472" t="str">
        <f t="shared" si="140"/>
        <v>-</v>
      </c>
      <c r="BH209" s="472" t="str">
        <f t="shared" si="141"/>
        <v>-</v>
      </c>
      <c r="BI209" s="221" t="str">
        <f t="shared" si="154"/>
        <v>-</v>
      </c>
      <c r="BJ209" s="730"/>
      <c r="BK209" s="692"/>
      <c r="BL209" s="429"/>
      <c r="BM209" s="429"/>
      <c r="BN209" s="214">
        <f t="shared" si="155"/>
        <v>0</v>
      </c>
      <c r="BO209" s="741"/>
      <c r="BP209" s="742"/>
      <c r="BQ209" s="446"/>
      <c r="BR209" s="446"/>
      <c r="BS209" s="228">
        <f t="shared" si="156"/>
        <v>0</v>
      </c>
      <c r="BT209" s="407" t="str">
        <f t="shared" si="157"/>
        <v>-</v>
      </c>
      <c r="BU209" s="529" t="str">
        <f t="shared" si="158"/>
        <v>-</v>
      </c>
      <c r="BV209" s="529" t="str">
        <f t="shared" si="159"/>
        <v>-</v>
      </c>
      <c r="BW209" s="529" t="str">
        <f t="shared" si="160"/>
        <v>-</v>
      </c>
      <c r="BX209" s="221" t="str">
        <f t="shared" si="161"/>
        <v>-</v>
      </c>
      <c r="BY209" s="745"/>
      <c r="BZ209" s="735"/>
      <c r="CA209" s="746"/>
      <c r="CB209" s="407" t="str">
        <f t="shared" si="162"/>
        <v>-</v>
      </c>
      <c r="CC209" s="529" t="str">
        <f t="shared" si="163"/>
        <v>-</v>
      </c>
      <c r="CD209" s="221" t="str">
        <f t="shared" si="164"/>
        <v>-</v>
      </c>
    </row>
    <row r="210" spans="1:82" ht="16.350000000000001" customHeight="1">
      <c r="A210" s="175">
        <f t="shared" si="144"/>
        <v>2024</v>
      </c>
      <c r="B210" s="454" t="str">
        <f t="shared" si="145"/>
        <v>49</v>
      </c>
      <c r="C210" s="454" t="str">
        <f t="array" ref="C210">_xlfn.IFS(_xlfn.NUMBERVALUE(B210)&lt;=13,"Q1",AND(_xlfn.NUMBERVALUE(B210)&gt;13,_xlfn.NUMBERVALUE(B210)&lt;=26),"Q2", AND(_xlfn.NUMBERVALUE(B210)&gt;26,_xlfn.NUMBERVALUE(B210)&lt;=39),"Q3",_xlfn.NUMBERVALUE(B210)&gt;39,"Q4")</f>
        <v>Q4</v>
      </c>
      <c r="D210" s="448">
        <f t="shared" si="165"/>
        <v>45290</v>
      </c>
      <c r="E210" s="448">
        <f t="shared" si="146"/>
        <v>45296</v>
      </c>
      <c r="F210" s="97">
        <v>202349</v>
      </c>
      <c r="G210" s="429">
        <v>9917</v>
      </c>
      <c r="H210" s="429">
        <v>9644</v>
      </c>
      <c r="I210" s="429"/>
      <c r="J210" s="429"/>
      <c r="K210" s="429">
        <v>7156</v>
      </c>
      <c r="L210" s="429">
        <v>5094</v>
      </c>
      <c r="M210" s="429"/>
      <c r="N210" s="429"/>
      <c r="O210" s="429">
        <v>6445</v>
      </c>
      <c r="P210" s="429">
        <v>5953</v>
      </c>
      <c r="Q210" s="429"/>
      <c r="R210" s="429"/>
      <c r="S210" s="429"/>
      <c r="T210" s="429"/>
      <c r="U210" s="429"/>
      <c r="V210" s="429"/>
      <c r="W210" s="429"/>
      <c r="X210" s="429"/>
      <c r="Y210" s="449">
        <f t="shared" si="133"/>
        <v>13262.699999999997</v>
      </c>
      <c r="Z210" s="449">
        <f t="shared" si="166"/>
        <v>44209</v>
      </c>
      <c r="AA210" s="214">
        <f>'Overall Metrics'!N211</f>
        <v>57471.7</v>
      </c>
      <c r="AB210" s="201"/>
      <c r="AC210" s="446"/>
      <c r="AD210" s="446"/>
      <c r="AE210" s="446"/>
      <c r="AF210" s="446"/>
      <c r="AG210" s="446"/>
      <c r="AH210" s="446"/>
      <c r="AI210" s="446"/>
      <c r="AJ210" s="446"/>
      <c r="AK210" s="446"/>
      <c r="AL210" s="446"/>
      <c r="AM210" s="446"/>
      <c r="AN210" s="446"/>
      <c r="AO210" s="446"/>
      <c r="AP210" s="446"/>
      <c r="AQ210" s="446"/>
      <c r="AR210" s="219">
        <f t="shared" si="147"/>
        <v>0</v>
      </c>
      <c r="AS210" s="220">
        <f t="shared" si="148"/>
        <v>0</v>
      </c>
      <c r="AT210" s="472">
        <f t="shared" si="149"/>
        <v>0</v>
      </c>
      <c r="AU210" s="472" t="str">
        <f t="shared" si="150"/>
        <v>-</v>
      </c>
      <c r="AV210" s="472" t="str">
        <f t="shared" si="151"/>
        <v>-</v>
      </c>
      <c r="AW210" s="472">
        <f t="shared" si="152"/>
        <v>0</v>
      </c>
      <c r="AX210" s="472">
        <f t="shared" si="153"/>
        <v>0</v>
      </c>
      <c r="AY210" s="472">
        <f t="shared" si="134"/>
        <v>0</v>
      </c>
      <c r="AZ210" s="472">
        <f t="shared" si="142"/>
        <v>0</v>
      </c>
      <c r="BA210" s="472" t="str">
        <f t="shared" si="143"/>
        <v>-</v>
      </c>
      <c r="BB210" s="472" t="str">
        <f t="shared" si="135"/>
        <v>-</v>
      </c>
      <c r="BC210" s="472" t="str">
        <f t="shared" si="136"/>
        <v>-</v>
      </c>
      <c r="BD210" s="472" t="str">
        <f t="shared" si="137"/>
        <v>-</v>
      </c>
      <c r="BE210" s="472" t="str">
        <f t="shared" si="138"/>
        <v>-</v>
      </c>
      <c r="BF210" s="472" t="str">
        <f t="shared" si="139"/>
        <v>-</v>
      </c>
      <c r="BG210" s="472" t="str">
        <f t="shared" si="140"/>
        <v>-</v>
      </c>
      <c r="BH210" s="472" t="str">
        <f t="shared" si="141"/>
        <v>-</v>
      </c>
      <c r="BI210" s="221">
        <f t="shared" si="154"/>
        <v>0</v>
      </c>
      <c r="BJ210" s="730"/>
      <c r="BK210" s="692"/>
      <c r="BL210" s="429"/>
      <c r="BM210" s="429"/>
      <c r="BN210" s="214">
        <f t="shared" si="155"/>
        <v>0</v>
      </c>
      <c r="BO210" s="741"/>
      <c r="BP210" s="742"/>
      <c r="BQ210" s="446"/>
      <c r="BR210" s="446"/>
      <c r="BS210" s="228">
        <f t="shared" si="156"/>
        <v>0</v>
      </c>
      <c r="BT210" s="407" t="str">
        <f t="shared" si="157"/>
        <v>-</v>
      </c>
      <c r="BU210" s="529" t="str">
        <f t="shared" si="158"/>
        <v>-</v>
      </c>
      <c r="BV210" s="529" t="str">
        <f t="shared" si="159"/>
        <v>-</v>
      </c>
      <c r="BW210" s="529" t="str">
        <f t="shared" si="160"/>
        <v>-</v>
      </c>
      <c r="BX210" s="221" t="str">
        <f t="shared" si="161"/>
        <v>-</v>
      </c>
      <c r="BY210" s="745"/>
      <c r="BZ210" s="735"/>
      <c r="CA210" s="746"/>
      <c r="CB210" s="407" t="str">
        <f t="shared" si="162"/>
        <v>-</v>
      </c>
      <c r="CC210" s="529" t="str">
        <f t="shared" si="163"/>
        <v>-</v>
      </c>
      <c r="CD210" s="221" t="str">
        <f t="shared" si="164"/>
        <v>-</v>
      </c>
    </row>
    <row r="211" spans="1:82" ht="16.350000000000001" customHeight="1">
      <c r="A211" s="175">
        <f t="shared" si="144"/>
        <v>2024</v>
      </c>
      <c r="B211" s="454" t="str">
        <f t="shared" si="145"/>
        <v>50</v>
      </c>
      <c r="C211" s="454" t="str">
        <f t="array" ref="C211">_xlfn.IFS(_xlfn.NUMBERVALUE(B211)&lt;=13,"Q1",AND(_xlfn.NUMBERVALUE(B211)&gt;13,_xlfn.NUMBERVALUE(B211)&lt;=26),"Q2", AND(_xlfn.NUMBERVALUE(B211)&gt;26,_xlfn.NUMBERVALUE(B211)&lt;=39),"Q3",_xlfn.NUMBERVALUE(B211)&gt;39,"Q4")</f>
        <v>Q4</v>
      </c>
      <c r="D211" s="448">
        <f t="shared" si="165"/>
        <v>45297</v>
      </c>
      <c r="E211" s="448">
        <f t="shared" si="146"/>
        <v>45303</v>
      </c>
      <c r="F211" s="97">
        <v>202350</v>
      </c>
      <c r="G211" s="429">
        <v>13946</v>
      </c>
      <c r="H211" s="429">
        <v>10690</v>
      </c>
      <c r="I211" s="429"/>
      <c r="J211" s="429"/>
      <c r="K211" s="429">
        <v>9799</v>
      </c>
      <c r="L211" s="429">
        <v>7293</v>
      </c>
      <c r="M211" s="429"/>
      <c r="N211" s="429"/>
      <c r="O211" s="429">
        <v>7289</v>
      </c>
      <c r="P211" s="429">
        <v>9678</v>
      </c>
      <c r="Q211" s="429"/>
      <c r="R211" s="429"/>
      <c r="S211" s="429"/>
      <c r="T211" s="429"/>
      <c r="U211" s="429"/>
      <c r="V211" s="429"/>
      <c r="W211" s="429"/>
      <c r="X211" s="429"/>
      <c r="Y211" s="449">
        <f t="shared" si="133"/>
        <v>17608.5</v>
      </c>
      <c r="Z211" s="449">
        <f t="shared" si="166"/>
        <v>58695</v>
      </c>
      <c r="AA211" s="214">
        <f>'Overall Metrics'!N212</f>
        <v>76303.5</v>
      </c>
      <c r="AB211" s="429">
        <v>98068</v>
      </c>
      <c r="AC211" s="429">
        <v>60604</v>
      </c>
      <c r="AD211" s="429">
        <v>80752</v>
      </c>
      <c r="AE211" s="429">
        <v>58978</v>
      </c>
      <c r="AF211" s="429">
        <v>71079</v>
      </c>
      <c r="AG211" s="429">
        <v>90188</v>
      </c>
      <c r="AH211" s="429">
        <v>66733</v>
      </c>
      <c r="AI211" s="429">
        <v>76185</v>
      </c>
      <c r="AJ211" s="429">
        <v>88050</v>
      </c>
      <c r="AK211" s="429">
        <v>66583</v>
      </c>
      <c r="AL211" s="429">
        <v>79539</v>
      </c>
      <c r="AM211" s="429">
        <v>75222</v>
      </c>
      <c r="AN211" s="429">
        <v>97287</v>
      </c>
      <c r="AO211" s="429">
        <v>91563</v>
      </c>
      <c r="AP211" s="429">
        <v>63202</v>
      </c>
      <c r="AQ211" s="429">
        <v>60897</v>
      </c>
      <c r="AR211" s="219">
        <f t="shared" si="147"/>
        <v>1224930</v>
      </c>
      <c r="AS211" s="220">
        <f t="shared" si="148"/>
        <v>7.0319804961996271</v>
      </c>
      <c r="AT211" s="472">
        <f t="shared" si="149"/>
        <v>5.6692235734331149</v>
      </c>
      <c r="AU211" s="472" t="str">
        <f t="shared" si="150"/>
        <v>-</v>
      </c>
      <c r="AV211" s="472" t="str">
        <f t="shared" si="151"/>
        <v>-</v>
      </c>
      <c r="AW211" s="472">
        <f t="shared" si="152"/>
        <v>7.2536993570772532</v>
      </c>
      <c r="AX211" s="472">
        <f t="shared" si="153"/>
        <v>12.366378719319895</v>
      </c>
      <c r="AY211" s="472">
        <f t="shared" si="134"/>
        <v>9.1553025106324597</v>
      </c>
      <c r="AZ211" s="472">
        <f t="shared" si="142"/>
        <v>7.8719776813391196</v>
      </c>
      <c r="BA211" s="472" t="str">
        <f t="shared" si="143"/>
        <v>-</v>
      </c>
      <c r="BB211" s="472" t="str">
        <f t="shared" si="135"/>
        <v>-</v>
      </c>
      <c r="BC211" s="472" t="str">
        <f t="shared" si="136"/>
        <v>-</v>
      </c>
      <c r="BD211" s="472" t="str">
        <f t="shared" si="137"/>
        <v>-</v>
      </c>
      <c r="BE211" s="472" t="str">
        <f t="shared" si="138"/>
        <v>-</v>
      </c>
      <c r="BF211" s="472" t="str">
        <f t="shared" si="139"/>
        <v>-</v>
      </c>
      <c r="BG211" s="472" t="str">
        <f t="shared" si="140"/>
        <v>-</v>
      </c>
      <c r="BH211" s="472" t="str">
        <f t="shared" si="141"/>
        <v>-</v>
      </c>
      <c r="BI211" s="221">
        <f t="shared" si="154"/>
        <v>20.869409660107333</v>
      </c>
      <c r="BJ211" s="730"/>
      <c r="BK211" s="692"/>
      <c r="BL211" s="429">
        <v>90983</v>
      </c>
      <c r="BM211" s="429">
        <v>87651</v>
      </c>
      <c r="BN211" s="214">
        <f t="shared" si="155"/>
        <v>178634</v>
      </c>
      <c r="BO211" s="741"/>
      <c r="BP211" s="742"/>
      <c r="BQ211" s="429">
        <v>54989</v>
      </c>
      <c r="BR211" s="429">
        <v>72032</v>
      </c>
      <c r="BS211" s="228">
        <f t="shared" si="156"/>
        <v>127021</v>
      </c>
      <c r="BT211" s="407" t="str">
        <f t="shared" si="157"/>
        <v>-</v>
      </c>
      <c r="BU211" s="529" t="str">
        <f t="shared" si="158"/>
        <v>-</v>
      </c>
      <c r="BV211" s="529">
        <f t="shared" si="159"/>
        <v>0.60438763285448927</v>
      </c>
      <c r="BW211" s="529">
        <f t="shared" si="160"/>
        <v>0.8218046571060228</v>
      </c>
      <c r="BX211" s="221">
        <f t="shared" si="161"/>
        <v>0.71106844161805705</v>
      </c>
      <c r="BY211" s="745"/>
      <c r="BZ211" s="735"/>
      <c r="CA211" s="746"/>
      <c r="CB211" s="407">
        <f t="shared" si="162"/>
        <v>1.1408882956269753E-5</v>
      </c>
      <c r="CC211" s="529" t="str">
        <f t="shared" si="163"/>
        <v>-</v>
      </c>
      <c r="CD211" s="221" t="str">
        <f t="shared" si="164"/>
        <v>-</v>
      </c>
    </row>
    <row r="212" spans="1:82" ht="16.350000000000001" customHeight="1">
      <c r="A212" s="175">
        <f t="shared" si="144"/>
        <v>2024</v>
      </c>
      <c r="B212" s="454" t="str">
        <f t="shared" si="145"/>
        <v>51</v>
      </c>
      <c r="C212" s="454" t="str">
        <f t="array" ref="C212">_xlfn.IFS(_xlfn.NUMBERVALUE(B212)&lt;=13,"Q1",AND(_xlfn.NUMBERVALUE(B212)&gt;13,_xlfn.NUMBERVALUE(B212)&lt;=26),"Q2", AND(_xlfn.NUMBERVALUE(B212)&gt;26,_xlfn.NUMBERVALUE(B212)&lt;=39),"Q3",_xlfn.NUMBERVALUE(B212)&gt;39,"Q4")</f>
        <v>Q4</v>
      </c>
      <c r="D212" s="448">
        <f t="shared" si="165"/>
        <v>45304</v>
      </c>
      <c r="E212" s="448">
        <f t="shared" si="146"/>
        <v>45310</v>
      </c>
      <c r="F212" s="97">
        <v>202351</v>
      </c>
      <c r="G212" s="429">
        <v>10295</v>
      </c>
      <c r="H212" s="429">
        <v>5598</v>
      </c>
      <c r="I212" s="429"/>
      <c r="J212" s="429"/>
      <c r="K212" s="429">
        <v>7288</v>
      </c>
      <c r="L212" s="429">
        <v>7326</v>
      </c>
      <c r="M212" s="429"/>
      <c r="N212" s="429"/>
      <c r="O212" s="429">
        <v>8314</v>
      </c>
      <c r="P212" s="429">
        <v>8582</v>
      </c>
      <c r="Q212" s="429"/>
      <c r="R212" s="429"/>
      <c r="S212" s="429"/>
      <c r="T212" s="429"/>
      <c r="U212" s="429"/>
      <c r="V212" s="429"/>
      <c r="W212" s="429"/>
      <c r="X212" s="429"/>
      <c r="Y212" s="449">
        <f t="shared" si="133"/>
        <v>14220.899999999994</v>
      </c>
      <c r="Z212" s="449">
        <f t="shared" si="166"/>
        <v>47403</v>
      </c>
      <c r="AA212" s="214">
        <f>'Overall Metrics'!N213</f>
        <v>61623.899999999994</v>
      </c>
      <c r="AB212" s="429">
        <v>94497</v>
      </c>
      <c r="AC212" s="429">
        <v>69480</v>
      </c>
      <c r="AD212" s="429">
        <v>69381</v>
      </c>
      <c r="AE212" s="429">
        <v>75575</v>
      </c>
      <c r="AF212" s="429">
        <v>52249</v>
      </c>
      <c r="AG212" s="429">
        <v>74299</v>
      </c>
      <c r="AH212" s="429">
        <v>53307</v>
      </c>
      <c r="AI212" s="429">
        <v>76228</v>
      </c>
      <c r="AJ212" s="429">
        <v>98693</v>
      </c>
      <c r="AK212" s="429">
        <v>98161</v>
      </c>
      <c r="AL212" s="429">
        <v>58782</v>
      </c>
      <c r="AM212" s="429">
        <v>57503</v>
      </c>
      <c r="AN212" s="429">
        <v>82055</v>
      </c>
      <c r="AO212" s="429">
        <v>88918</v>
      </c>
      <c r="AP212" s="429">
        <v>65450</v>
      </c>
      <c r="AQ212" s="429">
        <v>57715</v>
      </c>
      <c r="AR212" s="219">
        <f t="shared" si="147"/>
        <v>1172293</v>
      </c>
      <c r="AS212" s="220">
        <f t="shared" si="148"/>
        <v>9.1789218067022826</v>
      </c>
      <c r="AT212" s="472">
        <f t="shared" si="149"/>
        <v>12.411575562700964</v>
      </c>
      <c r="AU212" s="472" t="str">
        <f t="shared" si="150"/>
        <v>-</v>
      </c>
      <c r="AV212" s="472" t="str">
        <f t="shared" si="151"/>
        <v>-</v>
      </c>
      <c r="AW212" s="472">
        <f t="shared" si="152"/>
        <v>7.1691822173435789</v>
      </c>
      <c r="AX212" s="472">
        <f t="shared" si="153"/>
        <v>10.141823641823642</v>
      </c>
      <c r="AY212" s="472">
        <f t="shared" si="134"/>
        <v>6.4117151792157809</v>
      </c>
      <c r="AZ212" s="472">
        <f t="shared" si="142"/>
        <v>8.8823118154276397</v>
      </c>
      <c r="BA212" s="472" t="str">
        <f t="shared" si="143"/>
        <v>-</v>
      </c>
      <c r="BB212" s="472" t="str">
        <f t="shared" si="135"/>
        <v>-</v>
      </c>
      <c r="BC212" s="472" t="str">
        <f t="shared" si="136"/>
        <v>-</v>
      </c>
      <c r="BD212" s="472" t="str">
        <f t="shared" si="137"/>
        <v>-</v>
      </c>
      <c r="BE212" s="472" t="str">
        <f t="shared" si="138"/>
        <v>-</v>
      </c>
      <c r="BF212" s="472" t="str">
        <f t="shared" si="139"/>
        <v>-</v>
      </c>
      <c r="BG212" s="472" t="str">
        <f t="shared" si="140"/>
        <v>-</v>
      </c>
      <c r="BH212" s="472" t="str">
        <f t="shared" si="141"/>
        <v>-</v>
      </c>
      <c r="BI212" s="221">
        <f t="shared" si="154"/>
        <v>24.730354618905977</v>
      </c>
      <c r="BJ212" s="730"/>
      <c r="BK212" s="692"/>
      <c r="BL212" s="429">
        <v>59882</v>
      </c>
      <c r="BM212" s="429">
        <v>61170</v>
      </c>
      <c r="BN212" s="214">
        <f t="shared" si="155"/>
        <v>121052</v>
      </c>
      <c r="BO212" s="741"/>
      <c r="BP212" s="742"/>
      <c r="BQ212" s="429">
        <v>83639</v>
      </c>
      <c r="BR212" s="429">
        <v>79227</v>
      </c>
      <c r="BS212" s="228">
        <f t="shared" si="156"/>
        <v>162866</v>
      </c>
      <c r="BT212" s="407" t="str">
        <f t="shared" si="157"/>
        <v>-</v>
      </c>
      <c r="BU212" s="529" t="str">
        <f t="shared" si="158"/>
        <v>-</v>
      </c>
      <c r="BV212" s="529">
        <f t="shared" si="159"/>
        <v>1.3967302361310578</v>
      </c>
      <c r="BW212" s="529">
        <f t="shared" si="160"/>
        <v>1.2951937224129475</v>
      </c>
      <c r="BX212" s="221">
        <f t="shared" si="161"/>
        <v>1.3454218022007072</v>
      </c>
      <c r="BY212" s="745"/>
      <c r="BZ212" s="735"/>
      <c r="CA212" s="746"/>
      <c r="CB212" s="407">
        <f t="shared" si="162"/>
        <v>1.6347882949158084E-5</v>
      </c>
      <c r="CC212" s="529" t="str">
        <f t="shared" si="163"/>
        <v>-</v>
      </c>
      <c r="CD212" s="221" t="str">
        <f t="shared" si="164"/>
        <v>-</v>
      </c>
    </row>
    <row r="213" spans="1:82" ht="15.75" customHeight="1">
      <c r="A213" s="175">
        <f t="shared" si="144"/>
        <v>2024</v>
      </c>
      <c r="B213" s="454" t="str">
        <f t="shared" si="145"/>
        <v>52</v>
      </c>
      <c r="C213" s="454" t="str">
        <f t="array" ref="C213">_xlfn.IFS(_xlfn.NUMBERVALUE(B213)&lt;=13,"Q1",AND(_xlfn.NUMBERVALUE(B213)&gt;13,_xlfn.NUMBERVALUE(B213)&lt;=26),"Q2", AND(_xlfn.NUMBERVALUE(B213)&gt;26,_xlfn.NUMBERVALUE(B213)&lt;=39),"Q3",_xlfn.NUMBERVALUE(B213)&gt;39,"Q4")</f>
        <v>Q4</v>
      </c>
      <c r="D213" s="448">
        <f t="shared" si="165"/>
        <v>45311</v>
      </c>
      <c r="E213" s="448">
        <f t="shared" si="146"/>
        <v>45317</v>
      </c>
      <c r="F213" s="97">
        <v>202352</v>
      </c>
      <c r="G213" s="429">
        <v>9917</v>
      </c>
      <c r="H213" s="429">
        <v>13117</v>
      </c>
      <c r="I213" s="429"/>
      <c r="J213" s="429"/>
      <c r="K213" s="429">
        <v>5094</v>
      </c>
      <c r="L213" s="429">
        <v>8574</v>
      </c>
      <c r="M213" s="429"/>
      <c r="N213" s="429"/>
      <c r="O213" s="429">
        <v>5953</v>
      </c>
      <c r="P213" s="429">
        <v>6445</v>
      </c>
      <c r="Q213" s="429"/>
      <c r="R213" s="429"/>
      <c r="S213" s="429"/>
      <c r="T213" s="429"/>
      <c r="U213" s="429"/>
      <c r="V213" s="429"/>
      <c r="W213" s="429"/>
      <c r="X213" s="429"/>
      <c r="Y213" s="449">
        <f t="shared" si="133"/>
        <v>14730</v>
      </c>
      <c r="Z213" s="449">
        <f t="shared" si="166"/>
        <v>49100</v>
      </c>
      <c r="AA213" s="214">
        <f>'Overall Metrics'!N214</f>
        <v>63830</v>
      </c>
      <c r="AB213" s="429">
        <v>59930</v>
      </c>
      <c r="AC213" s="429">
        <v>95814</v>
      </c>
      <c r="AD213" s="429">
        <v>51143</v>
      </c>
      <c r="AE213" s="429">
        <v>89089</v>
      </c>
      <c r="AF213" s="429">
        <v>62403</v>
      </c>
      <c r="AG213" s="429">
        <v>55609</v>
      </c>
      <c r="AH213" s="429">
        <v>99719</v>
      </c>
      <c r="AI213" s="429">
        <v>81760</v>
      </c>
      <c r="AJ213" s="429">
        <v>97128</v>
      </c>
      <c r="AK213" s="429">
        <v>78126</v>
      </c>
      <c r="AL213" s="429">
        <v>55458</v>
      </c>
      <c r="AM213" s="429">
        <v>80191</v>
      </c>
      <c r="AN213" s="429">
        <v>90934</v>
      </c>
      <c r="AO213" s="429">
        <v>87607</v>
      </c>
      <c r="AP213" s="429">
        <v>75176</v>
      </c>
      <c r="AQ213" s="429">
        <v>88773</v>
      </c>
      <c r="AR213" s="219">
        <f t="shared" si="147"/>
        <v>1248860</v>
      </c>
      <c r="AS213" s="220">
        <f t="shared" si="148"/>
        <v>6.0431582131693053</v>
      </c>
      <c r="AT213" s="472">
        <f t="shared" si="149"/>
        <v>7.3045665929709536</v>
      </c>
      <c r="AU213" s="472" t="str">
        <f t="shared" si="150"/>
        <v>-</v>
      </c>
      <c r="AV213" s="472" t="str">
        <f t="shared" si="151"/>
        <v>-</v>
      </c>
      <c r="AW213" s="472">
        <f t="shared" si="152"/>
        <v>12.250294464075383</v>
      </c>
      <c r="AX213" s="472">
        <f t="shared" si="153"/>
        <v>6.4857709353860509</v>
      </c>
      <c r="AY213" s="472">
        <f t="shared" si="134"/>
        <v>16.751049890811355</v>
      </c>
      <c r="AZ213" s="472">
        <f t="shared" si="142"/>
        <v>12.685802948021722</v>
      </c>
      <c r="BA213" s="472" t="str">
        <f t="shared" si="143"/>
        <v>-</v>
      </c>
      <c r="BB213" s="472" t="str">
        <f t="shared" si="135"/>
        <v>-</v>
      </c>
      <c r="BC213" s="472" t="str">
        <f t="shared" si="136"/>
        <v>-</v>
      </c>
      <c r="BD213" s="472" t="str">
        <f t="shared" si="137"/>
        <v>-</v>
      </c>
      <c r="BE213" s="472" t="str">
        <f t="shared" si="138"/>
        <v>-</v>
      </c>
      <c r="BF213" s="472" t="str">
        <f t="shared" si="139"/>
        <v>-</v>
      </c>
      <c r="BG213" s="472" t="str">
        <f t="shared" si="140"/>
        <v>-</v>
      </c>
      <c r="BH213" s="472" t="str">
        <f t="shared" si="141"/>
        <v>-</v>
      </c>
      <c r="BI213" s="221">
        <f t="shared" si="154"/>
        <v>25.435030549898165</v>
      </c>
      <c r="BJ213" s="730"/>
      <c r="BK213" s="692"/>
      <c r="BL213" s="429">
        <v>87703</v>
      </c>
      <c r="BM213" s="429">
        <v>75298</v>
      </c>
      <c r="BN213" s="214">
        <f t="shared" si="155"/>
        <v>163001</v>
      </c>
      <c r="BO213" s="741"/>
      <c r="BP213" s="742"/>
      <c r="BQ213" s="429">
        <v>72425</v>
      </c>
      <c r="BR213" s="429">
        <v>91276</v>
      </c>
      <c r="BS213" s="228">
        <f t="shared" si="156"/>
        <v>163701</v>
      </c>
      <c r="BT213" s="407" t="str">
        <f t="shared" si="157"/>
        <v>-</v>
      </c>
      <c r="BU213" s="529" t="str">
        <f t="shared" si="158"/>
        <v>-</v>
      </c>
      <c r="BV213" s="529">
        <f t="shared" si="159"/>
        <v>0.82579843334891623</v>
      </c>
      <c r="BW213" s="529">
        <f t="shared" si="160"/>
        <v>1.212196871098834</v>
      </c>
      <c r="BX213" s="221">
        <f t="shared" si="161"/>
        <v>1.0042944521812749</v>
      </c>
      <c r="BY213" s="745"/>
      <c r="BZ213" s="735"/>
      <c r="CA213" s="746"/>
      <c r="CB213" s="407">
        <f t="shared" si="162"/>
        <v>1.32805652208558E-5</v>
      </c>
      <c r="CC213" s="529" t="str">
        <f t="shared" si="163"/>
        <v>-</v>
      </c>
      <c r="CD213" s="221" t="str">
        <f t="shared" ref="CD213:CD244" si="167">IFERROR(BS213/CA213,"-")</f>
        <v>-</v>
      </c>
    </row>
    <row r="214" spans="1:82" ht="16.350000000000001" customHeight="1">
      <c r="A214" s="175">
        <f t="shared" si="144"/>
        <v>2025</v>
      </c>
      <c r="B214" s="454" t="str">
        <f t="shared" si="145"/>
        <v>01</v>
      </c>
      <c r="C214" s="454" t="str">
        <f t="array" ref="C214">_xlfn.IFS(_xlfn.NUMBERVALUE(B214)&lt;=13,"Q1",AND(_xlfn.NUMBERVALUE(B214)&gt;13,_xlfn.NUMBERVALUE(B214)&lt;=26),"Q2", AND(_xlfn.NUMBERVALUE(B214)&gt;26,_xlfn.NUMBERVALUE(B214)&lt;=39),"Q3",_xlfn.NUMBERVALUE(B214)&gt;39,"Q4")</f>
        <v>Q1</v>
      </c>
      <c r="D214" s="448">
        <f t="shared" si="165"/>
        <v>45318</v>
      </c>
      <c r="E214" s="448">
        <f t="shared" si="146"/>
        <v>45324</v>
      </c>
      <c r="F214" s="79">
        <v>202401</v>
      </c>
      <c r="G214" s="429">
        <v>5261</v>
      </c>
      <c r="H214" s="429">
        <v>9644</v>
      </c>
      <c r="I214" s="429"/>
      <c r="J214" s="429"/>
      <c r="K214" s="429">
        <v>7086</v>
      </c>
      <c r="L214" s="429">
        <v>9749</v>
      </c>
      <c r="M214" s="429"/>
      <c r="N214" s="429"/>
      <c r="O214" s="429">
        <v>6899</v>
      </c>
      <c r="P214" s="429">
        <v>9905</v>
      </c>
      <c r="Q214" s="429"/>
      <c r="R214" s="429"/>
      <c r="S214" s="429"/>
      <c r="T214" s="429"/>
      <c r="U214" s="429"/>
      <c r="V214" s="429"/>
      <c r="W214" s="429"/>
      <c r="X214" s="429"/>
      <c r="Y214" s="449">
        <f t="shared" si="133"/>
        <v>14563.199999999997</v>
      </c>
      <c r="Z214" s="449">
        <f t="shared" si="166"/>
        <v>48544</v>
      </c>
      <c r="AA214" s="214">
        <f>'Overall Metrics'!N215</f>
        <v>63107.199999999997</v>
      </c>
      <c r="AB214" s="429">
        <v>79327</v>
      </c>
      <c r="AC214" s="429">
        <v>52953</v>
      </c>
      <c r="AD214" s="429">
        <v>89064</v>
      </c>
      <c r="AE214" s="429">
        <v>57902</v>
      </c>
      <c r="AF214" s="429">
        <v>84638</v>
      </c>
      <c r="AG214" s="429">
        <v>61434</v>
      </c>
      <c r="AH214" s="429">
        <v>57792</v>
      </c>
      <c r="AI214" s="429">
        <v>99202</v>
      </c>
      <c r="AJ214" s="429">
        <v>71410</v>
      </c>
      <c r="AK214" s="429">
        <v>82665</v>
      </c>
      <c r="AL214" s="429">
        <v>70325</v>
      </c>
      <c r="AM214" s="429">
        <v>82639</v>
      </c>
      <c r="AN214" s="429">
        <v>53805</v>
      </c>
      <c r="AO214" s="429">
        <v>87119</v>
      </c>
      <c r="AP214" s="429">
        <v>55145</v>
      </c>
      <c r="AQ214" s="429">
        <v>95609</v>
      </c>
      <c r="AR214" s="219">
        <f t="shared" si="147"/>
        <v>1181029</v>
      </c>
      <c r="AS214" s="220">
        <f t="shared" si="148"/>
        <v>15.078312107964265</v>
      </c>
      <c r="AT214" s="472">
        <f t="shared" si="149"/>
        <v>5.490771464122771</v>
      </c>
      <c r="AU214" s="472" t="str">
        <f t="shared" si="150"/>
        <v>-</v>
      </c>
      <c r="AV214" s="472" t="str">
        <f t="shared" si="151"/>
        <v>-</v>
      </c>
      <c r="AW214" s="472">
        <f t="shared" si="152"/>
        <v>11.944397403330511</v>
      </c>
      <c r="AX214" s="472">
        <f t="shared" si="153"/>
        <v>6.3015693917324853</v>
      </c>
      <c r="AY214" s="472">
        <f t="shared" si="134"/>
        <v>8.3768662124945639</v>
      </c>
      <c r="AZ214" s="472">
        <f t="shared" si="142"/>
        <v>10.015345784957093</v>
      </c>
      <c r="BA214" s="472" t="str">
        <f t="shared" si="143"/>
        <v>-</v>
      </c>
      <c r="BB214" s="472" t="str">
        <f t="shared" si="135"/>
        <v>-</v>
      </c>
      <c r="BC214" s="472" t="str">
        <f t="shared" si="136"/>
        <v>-</v>
      </c>
      <c r="BD214" s="472" t="str">
        <f t="shared" si="137"/>
        <v>-</v>
      </c>
      <c r="BE214" s="472" t="str">
        <f t="shared" si="138"/>
        <v>-</v>
      </c>
      <c r="BF214" s="472" t="str">
        <f t="shared" si="139"/>
        <v>-</v>
      </c>
      <c r="BG214" s="472" t="str">
        <f t="shared" si="140"/>
        <v>-</v>
      </c>
      <c r="BH214" s="472" t="str">
        <f t="shared" si="141"/>
        <v>-</v>
      </c>
      <c r="BI214" s="221">
        <f t="shared" si="154"/>
        <v>24.329041694133156</v>
      </c>
      <c r="BJ214" s="734"/>
      <c r="BK214" s="692"/>
      <c r="BL214" s="429">
        <v>80004</v>
      </c>
      <c r="BM214" s="429">
        <v>50512</v>
      </c>
      <c r="BN214" s="214">
        <f t="shared" si="155"/>
        <v>130516</v>
      </c>
      <c r="BO214" s="742"/>
      <c r="BP214" s="742"/>
      <c r="BQ214" s="429">
        <v>91269</v>
      </c>
      <c r="BR214" s="429">
        <v>93970</v>
      </c>
      <c r="BS214" s="228">
        <f t="shared" si="156"/>
        <v>185239</v>
      </c>
      <c r="BT214" s="407" t="str">
        <f t="shared" si="157"/>
        <v>-</v>
      </c>
      <c r="BU214" s="529" t="str">
        <f t="shared" si="158"/>
        <v>-</v>
      </c>
      <c r="BV214" s="529">
        <f t="shared" si="159"/>
        <v>1.1408054597270136</v>
      </c>
      <c r="BW214" s="529">
        <f t="shared" si="160"/>
        <v>1.8603500158378208</v>
      </c>
      <c r="BX214" s="221">
        <f t="shared" si="161"/>
        <v>1.4192819271200465</v>
      </c>
      <c r="BY214" s="745"/>
      <c r="BZ214" s="735"/>
      <c r="CA214" s="746"/>
      <c r="CB214" s="407">
        <f t="shared" si="162"/>
        <v>1.979727589483687E-5</v>
      </c>
      <c r="CC214" s="529" t="str">
        <f t="shared" si="163"/>
        <v>-</v>
      </c>
      <c r="CD214" s="221" t="str">
        <f t="shared" si="167"/>
        <v>-</v>
      </c>
    </row>
    <row r="215" spans="1:82" ht="16.350000000000001" customHeight="1">
      <c r="A215" s="175">
        <f t="shared" si="144"/>
        <v>2025</v>
      </c>
      <c r="B215" s="454" t="str">
        <f t="shared" si="145"/>
        <v>02</v>
      </c>
      <c r="C215" s="454" t="str">
        <f t="array" ref="C215">_xlfn.IFS(_xlfn.NUMBERVALUE(B215)&lt;=13,"Q1",AND(_xlfn.NUMBERVALUE(B215)&gt;13,_xlfn.NUMBERVALUE(B215)&lt;=26),"Q2", AND(_xlfn.NUMBERVALUE(B215)&gt;26,_xlfn.NUMBERVALUE(B215)&lt;=39),"Q3",_xlfn.NUMBERVALUE(B215)&gt;39,"Q4")</f>
        <v>Q1</v>
      </c>
      <c r="D215" s="448">
        <f t="shared" si="165"/>
        <v>45325</v>
      </c>
      <c r="E215" s="448">
        <f t="shared" si="146"/>
        <v>45331</v>
      </c>
      <c r="F215" s="97">
        <v>202402</v>
      </c>
      <c r="G215" s="429">
        <v>7177</v>
      </c>
      <c r="H215" s="429">
        <v>10604</v>
      </c>
      <c r="I215" s="429"/>
      <c r="J215" s="429"/>
      <c r="K215" s="429">
        <v>7798</v>
      </c>
      <c r="L215" s="429">
        <v>7156</v>
      </c>
      <c r="M215" s="429"/>
      <c r="N215" s="429"/>
      <c r="O215" s="429">
        <v>5481</v>
      </c>
      <c r="P215" s="429">
        <v>6360</v>
      </c>
      <c r="Q215" s="429"/>
      <c r="R215" s="429"/>
      <c r="S215" s="429"/>
      <c r="T215" s="429"/>
      <c r="U215" s="429"/>
      <c r="V215" s="429"/>
      <c r="W215" s="429"/>
      <c r="X215" s="429"/>
      <c r="Y215" s="449">
        <f t="shared" si="133"/>
        <v>13372.800000000003</v>
      </c>
      <c r="Z215" s="449">
        <f t="shared" si="166"/>
        <v>44576</v>
      </c>
      <c r="AA215" s="214">
        <f>'Overall Metrics'!N216</f>
        <v>57948.800000000003</v>
      </c>
      <c r="AB215" s="429">
        <v>72882</v>
      </c>
      <c r="AC215" s="429">
        <v>51628</v>
      </c>
      <c r="AD215" s="429">
        <v>80372</v>
      </c>
      <c r="AE215" s="429">
        <v>90636</v>
      </c>
      <c r="AF215" s="429">
        <v>60140</v>
      </c>
      <c r="AG215" s="429">
        <v>57563</v>
      </c>
      <c r="AH215" s="429">
        <v>59306</v>
      </c>
      <c r="AI215" s="429">
        <v>60916</v>
      </c>
      <c r="AJ215" s="429">
        <v>53728</v>
      </c>
      <c r="AK215" s="429">
        <v>71518</v>
      </c>
      <c r="AL215" s="429">
        <v>99836</v>
      </c>
      <c r="AM215" s="429">
        <v>50710</v>
      </c>
      <c r="AN215" s="429">
        <v>89520</v>
      </c>
      <c r="AO215" s="429">
        <v>63843</v>
      </c>
      <c r="AP215" s="429">
        <v>59718</v>
      </c>
      <c r="AQ215" s="429">
        <v>90801</v>
      </c>
      <c r="AR215" s="219">
        <f t="shared" si="147"/>
        <v>1113117</v>
      </c>
      <c r="AS215" s="220">
        <f t="shared" si="148"/>
        <v>10.154939389717152</v>
      </c>
      <c r="AT215" s="472">
        <f t="shared" si="149"/>
        <v>4.8687287815918525</v>
      </c>
      <c r="AU215" s="472" t="str">
        <f t="shared" si="150"/>
        <v>-</v>
      </c>
      <c r="AV215" s="472" t="str">
        <f t="shared" si="151"/>
        <v>-</v>
      </c>
      <c r="AW215" s="472">
        <f t="shared" si="152"/>
        <v>7.7122339061297769</v>
      </c>
      <c r="AX215" s="472">
        <f t="shared" si="153"/>
        <v>8.0440190050307443</v>
      </c>
      <c r="AY215" s="472">
        <f t="shared" si="134"/>
        <v>10.820288268564131</v>
      </c>
      <c r="AZ215" s="472">
        <f t="shared" si="142"/>
        <v>9.5779874213836482</v>
      </c>
      <c r="BA215" s="472" t="str">
        <f t="shared" si="143"/>
        <v>-</v>
      </c>
      <c r="BB215" s="472" t="str">
        <f t="shared" si="135"/>
        <v>-</v>
      </c>
      <c r="BC215" s="472" t="str">
        <f t="shared" si="136"/>
        <v>-</v>
      </c>
      <c r="BD215" s="472" t="str">
        <f t="shared" si="137"/>
        <v>-</v>
      </c>
      <c r="BE215" s="472" t="str">
        <f t="shared" si="138"/>
        <v>-</v>
      </c>
      <c r="BF215" s="472" t="str">
        <f t="shared" si="139"/>
        <v>-</v>
      </c>
      <c r="BG215" s="472" t="str">
        <f t="shared" si="140"/>
        <v>-</v>
      </c>
      <c r="BH215" s="472" t="str">
        <f t="shared" si="141"/>
        <v>-</v>
      </c>
      <c r="BI215" s="221">
        <f t="shared" si="154"/>
        <v>24.971217695620961</v>
      </c>
      <c r="BJ215" s="692"/>
      <c r="BK215" s="692"/>
      <c r="BL215" s="429">
        <v>68570</v>
      </c>
      <c r="BM215" s="429">
        <v>84948</v>
      </c>
      <c r="BN215" s="214">
        <f t="shared" si="155"/>
        <v>153518</v>
      </c>
      <c r="BO215" s="742"/>
      <c r="BP215" s="744"/>
      <c r="BQ215" s="429">
        <v>71693</v>
      </c>
      <c r="BR215" s="429">
        <v>98058</v>
      </c>
      <c r="BS215" s="228">
        <f t="shared" si="156"/>
        <v>169751</v>
      </c>
      <c r="BT215" s="407" t="e">
        <f>BO215/BJ215</f>
        <v>#DIV/0!</v>
      </c>
      <c r="BU215" s="529" t="str">
        <f>IFERROR(BP215/BO215,"-")</f>
        <v>-</v>
      </c>
      <c r="BV215" s="529">
        <f t="shared" ref="BV215:BV246" si="168">IFERROR(BQ215/BL215,"-")</f>
        <v>1.0455446988478927</v>
      </c>
      <c r="BW215" s="529">
        <f t="shared" ref="BW215:BW246" si="169">IFERROR(BR215/BM215,"-")</f>
        <v>1.1543297075858172</v>
      </c>
      <c r="BX215" s="221">
        <f t="shared" ref="BX215:BX246" si="170">IFERROR(BS215/BN215,"-")</f>
        <v>1.1057400435128129</v>
      </c>
      <c r="BY215" s="745"/>
      <c r="BZ215" s="735"/>
      <c r="CA215" s="746"/>
      <c r="CB215" s="407">
        <f t="shared" si="162"/>
        <v>1.1771907519894524E-5</v>
      </c>
      <c r="CC215" s="529" t="str">
        <f t="shared" si="163"/>
        <v>-</v>
      </c>
      <c r="CD215" s="221" t="str">
        <f t="shared" si="167"/>
        <v>-</v>
      </c>
    </row>
    <row r="216" spans="1:82" ht="16.350000000000001" customHeight="1">
      <c r="A216" s="175">
        <f t="shared" si="144"/>
        <v>2025</v>
      </c>
      <c r="B216" s="454" t="str">
        <f t="shared" si="145"/>
        <v>03</v>
      </c>
      <c r="C216" s="454" t="str">
        <f t="array" ref="C216">_xlfn.IFS(_xlfn.NUMBERVALUE(B216)&lt;=13,"Q1",AND(_xlfn.NUMBERVALUE(B216)&gt;13,_xlfn.NUMBERVALUE(B216)&lt;=26),"Q2", AND(_xlfn.NUMBERVALUE(B216)&gt;26,_xlfn.NUMBERVALUE(B216)&lt;=39),"Q3",_xlfn.NUMBERVALUE(B216)&gt;39,"Q4")</f>
        <v>Q1</v>
      </c>
      <c r="D216" s="448">
        <f t="shared" si="165"/>
        <v>45332</v>
      </c>
      <c r="E216" s="448">
        <f t="shared" si="146"/>
        <v>45338</v>
      </c>
      <c r="F216" s="97">
        <v>202403</v>
      </c>
      <c r="G216" s="429">
        <v>12912</v>
      </c>
      <c r="H216" s="429">
        <v>9122</v>
      </c>
      <c r="I216" s="429"/>
      <c r="J216" s="429"/>
      <c r="K216" s="429">
        <v>6937</v>
      </c>
      <c r="L216" s="429">
        <v>5534</v>
      </c>
      <c r="M216" s="429"/>
      <c r="N216" s="429"/>
      <c r="O216" s="429">
        <v>6655</v>
      </c>
      <c r="P216" s="429">
        <v>8000</v>
      </c>
      <c r="Q216" s="429"/>
      <c r="R216" s="429"/>
      <c r="S216" s="429"/>
      <c r="T216" s="429"/>
      <c r="U216" s="429"/>
      <c r="V216" s="429"/>
      <c r="W216" s="429"/>
      <c r="X216" s="429"/>
      <c r="Y216" s="449">
        <f t="shared" si="133"/>
        <v>14748</v>
      </c>
      <c r="Z216" s="449">
        <f t="shared" si="166"/>
        <v>49160</v>
      </c>
      <c r="AA216" s="214">
        <f>'Overall Metrics'!N217</f>
        <v>63908</v>
      </c>
      <c r="AB216" s="429">
        <v>84720</v>
      </c>
      <c r="AC216" s="429">
        <v>56352</v>
      </c>
      <c r="AD216" s="429">
        <v>66910</v>
      </c>
      <c r="AE216" s="429">
        <v>71543</v>
      </c>
      <c r="AF216" s="429">
        <v>59623</v>
      </c>
      <c r="AG216" s="429">
        <v>52575</v>
      </c>
      <c r="AH216" s="429">
        <v>53597</v>
      </c>
      <c r="AI216" s="429">
        <v>83922</v>
      </c>
      <c r="AJ216" s="429">
        <v>81756</v>
      </c>
      <c r="AK216" s="429">
        <v>65541</v>
      </c>
      <c r="AL216" s="429">
        <v>86841</v>
      </c>
      <c r="AM216" s="429">
        <v>77139</v>
      </c>
      <c r="AN216" s="429">
        <v>64178</v>
      </c>
      <c r="AO216" s="429">
        <v>61871</v>
      </c>
      <c r="AP216" s="429">
        <v>64682</v>
      </c>
      <c r="AQ216" s="429">
        <v>82658</v>
      </c>
      <c r="AR216" s="219">
        <f t="shared" si="147"/>
        <v>1113908</v>
      </c>
      <c r="AS216" s="220">
        <f t="shared" si="148"/>
        <v>6.5613382899628254</v>
      </c>
      <c r="AT216" s="472">
        <f t="shared" si="149"/>
        <v>6.1775926331944753</v>
      </c>
      <c r="AU216" s="472" t="str">
        <f t="shared" si="150"/>
        <v>-</v>
      </c>
      <c r="AV216" s="472" t="str">
        <f t="shared" si="151"/>
        <v>-</v>
      </c>
      <c r="AW216" s="472">
        <f t="shared" si="152"/>
        <v>8.5949257604151654</v>
      </c>
      <c r="AX216" s="472">
        <f t="shared" si="153"/>
        <v>9.5003614022406939</v>
      </c>
      <c r="AY216" s="472">
        <f t="shared" si="134"/>
        <v>8.0536438767843723</v>
      </c>
      <c r="AZ216" s="472">
        <f t="shared" si="142"/>
        <v>10.49025</v>
      </c>
      <c r="BA216" s="472" t="str">
        <f t="shared" si="143"/>
        <v>-</v>
      </c>
      <c r="BB216" s="472" t="str">
        <f t="shared" si="135"/>
        <v>-</v>
      </c>
      <c r="BC216" s="472" t="str">
        <f t="shared" si="136"/>
        <v>-</v>
      </c>
      <c r="BD216" s="472" t="str">
        <f t="shared" si="137"/>
        <v>-</v>
      </c>
      <c r="BE216" s="472" t="str">
        <f t="shared" si="138"/>
        <v>-</v>
      </c>
      <c r="BF216" s="472" t="str">
        <f t="shared" si="139"/>
        <v>-</v>
      </c>
      <c r="BG216" s="472" t="str">
        <f t="shared" si="140"/>
        <v>-</v>
      </c>
      <c r="BH216" s="472" t="str">
        <f t="shared" si="141"/>
        <v>-</v>
      </c>
      <c r="BI216" s="221">
        <f t="shared" si="154"/>
        <v>22.658828315703825</v>
      </c>
      <c r="BJ216" s="692"/>
      <c r="BK216" s="692"/>
      <c r="BL216" s="429">
        <v>55518</v>
      </c>
      <c r="BM216" s="429">
        <v>97555</v>
      </c>
      <c r="BN216" s="214">
        <f t="shared" si="155"/>
        <v>153073</v>
      </c>
      <c r="BO216" s="741"/>
      <c r="BP216" s="742"/>
      <c r="BQ216" s="429">
        <v>52057</v>
      </c>
      <c r="BR216" s="429">
        <v>91492</v>
      </c>
      <c r="BS216" s="228">
        <f t="shared" si="156"/>
        <v>143549</v>
      </c>
      <c r="BT216" s="407" t="str">
        <f t="shared" ref="BT216:BU223" si="171">IFERROR(BO216/BJ216,"-")</f>
        <v>-</v>
      </c>
      <c r="BU216" s="529" t="str">
        <f t="shared" si="171"/>
        <v>-</v>
      </c>
      <c r="BV216" s="529">
        <f t="shared" si="168"/>
        <v>0.93765985806405128</v>
      </c>
      <c r="BW216" s="529">
        <f t="shared" si="169"/>
        <v>0.9378504433396545</v>
      </c>
      <c r="BX216" s="221">
        <f t="shared" si="170"/>
        <v>0.93778132002377945</v>
      </c>
      <c r="BY216" s="745"/>
      <c r="BZ216" s="735"/>
      <c r="CA216" s="746"/>
      <c r="CB216" s="407" t="str">
        <f t="shared" ref="CB216:CB247" si="172">IFERROR(BO216/BY216,"-")</f>
        <v>-</v>
      </c>
      <c r="CC216" s="529" t="str">
        <f t="shared" si="163"/>
        <v>-</v>
      </c>
      <c r="CD216" s="221" t="str">
        <f t="shared" si="167"/>
        <v>-</v>
      </c>
    </row>
    <row r="217" spans="1:82" ht="16.350000000000001" customHeight="1">
      <c r="A217" s="175">
        <f t="shared" si="144"/>
        <v>2025</v>
      </c>
      <c r="B217" s="454" t="str">
        <f t="shared" si="145"/>
        <v>04</v>
      </c>
      <c r="C217" s="454" t="str">
        <f t="array" ref="C217">_xlfn.IFS(_xlfn.NUMBERVALUE(B217)&lt;=13,"Q1",AND(_xlfn.NUMBERVALUE(B217)&gt;13,_xlfn.NUMBERVALUE(B217)&lt;=26),"Q2", AND(_xlfn.NUMBERVALUE(B217)&gt;26,_xlfn.NUMBERVALUE(B217)&lt;=39),"Q3",_xlfn.NUMBERVALUE(B217)&gt;39,"Q4")</f>
        <v>Q1</v>
      </c>
      <c r="D217" s="448">
        <f t="shared" si="165"/>
        <v>45339</v>
      </c>
      <c r="E217" s="448">
        <f t="shared" si="146"/>
        <v>45345</v>
      </c>
      <c r="F217" s="97">
        <v>202404</v>
      </c>
      <c r="G217" s="429">
        <v>7129</v>
      </c>
      <c r="H217" s="429">
        <v>14719</v>
      </c>
      <c r="I217" s="429"/>
      <c r="J217" s="429"/>
      <c r="K217" s="429">
        <v>9280</v>
      </c>
      <c r="L217" s="429">
        <v>8255</v>
      </c>
      <c r="M217" s="429"/>
      <c r="N217" s="429"/>
      <c r="O217" s="429">
        <v>9719</v>
      </c>
      <c r="P217" s="429">
        <v>7263</v>
      </c>
      <c r="Q217" s="429"/>
      <c r="R217" s="429"/>
      <c r="S217" s="429"/>
      <c r="T217" s="429"/>
      <c r="U217" s="429"/>
      <c r="V217" s="429"/>
      <c r="W217" s="429"/>
      <c r="X217" s="429"/>
      <c r="Y217" s="449">
        <f t="shared" si="133"/>
        <v>16909.5</v>
      </c>
      <c r="Z217" s="449">
        <f t="shared" si="166"/>
        <v>56365</v>
      </c>
      <c r="AA217" s="214">
        <f>'Overall Metrics'!N218</f>
        <v>73274.5</v>
      </c>
      <c r="AB217" s="429">
        <v>54636</v>
      </c>
      <c r="AC217" s="429">
        <v>59496</v>
      </c>
      <c r="AD217" s="429">
        <v>63708</v>
      </c>
      <c r="AE217" s="429">
        <v>52765</v>
      </c>
      <c r="AF217" s="429">
        <v>57553</v>
      </c>
      <c r="AG217" s="429">
        <v>83305</v>
      </c>
      <c r="AH217" s="429">
        <v>83612</v>
      </c>
      <c r="AI217" s="429">
        <v>72796</v>
      </c>
      <c r="AJ217" s="429">
        <v>65778</v>
      </c>
      <c r="AK217" s="429">
        <v>80499</v>
      </c>
      <c r="AL217" s="429">
        <v>69460</v>
      </c>
      <c r="AM217" s="429">
        <v>97307</v>
      </c>
      <c r="AN217" s="429">
        <v>94622</v>
      </c>
      <c r="AO217" s="429">
        <v>82172</v>
      </c>
      <c r="AP217" s="429">
        <v>87292</v>
      </c>
      <c r="AQ217" s="429">
        <v>65198</v>
      </c>
      <c r="AR217" s="219">
        <f t="shared" si="147"/>
        <v>1170199</v>
      </c>
      <c r="AS217" s="220">
        <f t="shared" si="148"/>
        <v>7.6639079814840789</v>
      </c>
      <c r="AT217" s="472">
        <f t="shared" si="149"/>
        <v>4.0421224267952987</v>
      </c>
      <c r="AU217" s="472" t="str">
        <f t="shared" si="150"/>
        <v>-</v>
      </c>
      <c r="AV217" s="472" t="str">
        <f t="shared" si="151"/>
        <v>-</v>
      </c>
      <c r="AW217" s="472">
        <f t="shared" si="152"/>
        <v>6.2018318965517238</v>
      </c>
      <c r="AX217" s="472">
        <f t="shared" si="153"/>
        <v>10.091459721380982</v>
      </c>
      <c r="AY217" s="472">
        <f t="shared" si="134"/>
        <v>8.6029426895771177</v>
      </c>
      <c r="AZ217" s="472">
        <f t="shared" si="142"/>
        <v>10.022855569323971</v>
      </c>
      <c r="BA217" s="472" t="str">
        <f t="shared" si="143"/>
        <v>-</v>
      </c>
      <c r="BB217" s="472" t="str">
        <f t="shared" si="135"/>
        <v>-</v>
      </c>
      <c r="BC217" s="472" t="str">
        <f t="shared" si="136"/>
        <v>-</v>
      </c>
      <c r="BD217" s="472" t="str">
        <f t="shared" si="137"/>
        <v>-</v>
      </c>
      <c r="BE217" s="472" t="str">
        <f t="shared" si="138"/>
        <v>-</v>
      </c>
      <c r="BF217" s="472" t="str">
        <f t="shared" si="139"/>
        <v>-</v>
      </c>
      <c r="BG217" s="472" t="str">
        <f t="shared" si="140"/>
        <v>-</v>
      </c>
      <c r="BH217" s="472" t="str">
        <f t="shared" si="141"/>
        <v>-</v>
      </c>
      <c r="BI217" s="221">
        <f t="shared" si="154"/>
        <v>20.761092876785238</v>
      </c>
      <c r="BJ217" s="730"/>
      <c r="BK217" s="692"/>
      <c r="BL217" s="429">
        <v>97496</v>
      </c>
      <c r="BM217" s="429">
        <v>76388</v>
      </c>
      <c r="BN217" s="214">
        <f t="shared" si="155"/>
        <v>173884</v>
      </c>
      <c r="BO217" s="741"/>
      <c r="BP217" s="742"/>
      <c r="BQ217" s="429">
        <v>77995</v>
      </c>
      <c r="BR217" s="429">
        <v>76313</v>
      </c>
      <c r="BS217" s="228">
        <f t="shared" si="156"/>
        <v>154308</v>
      </c>
      <c r="BT217" s="407" t="str">
        <f t="shared" si="171"/>
        <v>-</v>
      </c>
      <c r="BU217" s="529" t="str">
        <f t="shared" si="171"/>
        <v>-</v>
      </c>
      <c r="BV217" s="529">
        <f t="shared" si="168"/>
        <v>0.79998153770411096</v>
      </c>
      <c r="BW217" s="529">
        <f t="shared" si="169"/>
        <v>0.99901817039325547</v>
      </c>
      <c r="BX217" s="221">
        <f t="shared" si="170"/>
        <v>0.88741919900623401</v>
      </c>
      <c r="BY217" s="730">
        <v>22662</v>
      </c>
      <c r="BZ217" s="692">
        <v>59419</v>
      </c>
      <c r="CA217" s="693">
        <f t="shared" ref="CA217:CA248" si="173">SUM(BY217:BZ217)</f>
        <v>82081</v>
      </c>
      <c r="CB217" s="407">
        <f t="shared" si="172"/>
        <v>0</v>
      </c>
      <c r="CC217" s="529">
        <f t="shared" si="163"/>
        <v>0</v>
      </c>
      <c r="CD217" s="221">
        <f t="shared" si="167"/>
        <v>1.8799478563857652</v>
      </c>
    </row>
    <row r="218" spans="1:82" ht="16.350000000000001" customHeight="1">
      <c r="A218" s="175">
        <f t="shared" si="144"/>
        <v>2025</v>
      </c>
      <c r="B218" s="454" t="str">
        <f t="shared" si="145"/>
        <v>05</v>
      </c>
      <c r="C218" s="454" t="str">
        <f t="array" ref="C218">_xlfn.IFS(_xlfn.NUMBERVALUE(B218)&lt;=13,"Q1",AND(_xlfn.NUMBERVALUE(B218)&gt;13,_xlfn.NUMBERVALUE(B218)&lt;=26),"Q2", AND(_xlfn.NUMBERVALUE(B218)&gt;26,_xlfn.NUMBERVALUE(B218)&lt;=39),"Q3",_xlfn.NUMBERVALUE(B218)&gt;39,"Q4")</f>
        <v>Q1</v>
      </c>
      <c r="D218" s="448">
        <f t="shared" si="165"/>
        <v>45346</v>
      </c>
      <c r="E218" s="448">
        <f t="shared" si="146"/>
        <v>45352</v>
      </c>
      <c r="F218" s="97">
        <v>202405</v>
      </c>
      <c r="G218" s="429">
        <v>9739</v>
      </c>
      <c r="H218" s="429">
        <v>7703</v>
      </c>
      <c r="I218" s="429"/>
      <c r="J218" s="429"/>
      <c r="K218" s="429">
        <v>6628</v>
      </c>
      <c r="L218" s="429">
        <v>6841</v>
      </c>
      <c r="M218" s="429"/>
      <c r="N218" s="429"/>
      <c r="O218" s="429">
        <v>7957</v>
      </c>
      <c r="P218" s="429">
        <v>5308</v>
      </c>
      <c r="Q218" s="429"/>
      <c r="R218" s="429"/>
      <c r="S218" s="429"/>
      <c r="T218" s="429"/>
      <c r="U218" s="429"/>
      <c r="V218" s="429"/>
      <c r="W218" s="429"/>
      <c r="X218" s="429"/>
      <c r="Y218" s="449">
        <f t="shared" si="133"/>
        <v>13252.800000000003</v>
      </c>
      <c r="Z218" s="449">
        <f t="shared" si="166"/>
        <v>44176</v>
      </c>
      <c r="AA218" s="214">
        <f>'Overall Metrics'!N219</f>
        <v>57428.800000000003</v>
      </c>
      <c r="AB218" s="429">
        <v>57318</v>
      </c>
      <c r="AC218" s="429">
        <v>51918</v>
      </c>
      <c r="AD218" s="429">
        <v>70628</v>
      </c>
      <c r="AE218" s="429">
        <v>51100</v>
      </c>
      <c r="AF218" s="429">
        <v>65271</v>
      </c>
      <c r="AG218" s="429">
        <v>57661</v>
      </c>
      <c r="AH218" s="429">
        <v>70417</v>
      </c>
      <c r="AI218" s="429">
        <v>54719</v>
      </c>
      <c r="AJ218" s="429">
        <v>77670</v>
      </c>
      <c r="AK218" s="429">
        <v>72280</v>
      </c>
      <c r="AL218" s="429">
        <v>82934</v>
      </c>
      <c r="AM218" s="429">
        <v>55517</v>
      </c>
      <c r="AN218" s="429">
        <v>72755</v>
      </c>
      <c r="AO218" s="429">
        <v>74055</v>
      </c>
      <c r="AP218" s="429">
        <v>51580</v>
      </c>
      <c r="AQ218" s="429">
        <v>94102</v>
      </c>
      <c r="AR218" s="219">
        <f t="shared" si="147"/>
        <v>1059925</v>
      </c>
      <c r="AS218" s="220">
        <f t="shared" si="148"/>
        <v>5.885409179587227</v>
      </c>
      <c r="AT218" s="472">
        <f t="shared" si="149"/>
        <v>6.7399714396988184</v>
      </c>
      <c r="AU218" s="472" t="str">
        <f t="shared" si="150"/>
        <v>-</v>
      </c>
      <c r="AV218" s="472" t="str">
        <f t="shared" si="151"/>
        <v>-</v>
      </c>
      <c r="AW218" s="472">
        <f t="shared" si="152"/>
        <v>9.8477670488835241</v>
      </c>
      <c r="AX218" s="472">
        <f t="shared" si="153"/>
        <v>8.4287384885250702</v>
      </c>
      <c r="AY218" s="472">
        <f t="shared" si="134"/>
        <v>8.849692095010683</v>
      </c>
      <c r="AZ218" s="472">
        <f t="shared" si="142"/>
        <v>10.308779201205727</v>
      </c>
      <c r="BA218" s="472" t="str">
        <f t="shared" si="143"/>
        <v>-</v>
      </c>
      <c r="BB218" s="472" t="str">
        <f t="shared" si="135"/>
        <v>-</v>
      </c>
      <c r="BC218" s="472" t="str">
        <f t="shared" si="136"/>
        <v>-</v>
      </c>
      <c r="BD218" s="472" t="str">
        <f t="shared" si="137"/>
        <v>-</v>
      </c>
      <c r="BE218" s="472" t="str">
        <f t="shared" si="138"/>
        <v>-</v>
      </c>
      <c r="BF218" s="472" t="str">
        <f t="shared" si="139"/>
        <v>-</v>
      </c>
      <c r="BG218" s="472" t="str">
        <f t="shared" si="140"/>
        <v>-</v>
      </c>
      <c r="BH218" s="472" t="str">
        <f t="shared" si="141"/>
        <v>-</v>
      </c>
      <c r="BI218" s="221">
        <f t="shared" si="154"/>
        <v>23.99323161897863</v>
      </c>
      <c r="BJ218" s="730"/>
      <c r="BK218" s="692"/>
      <c r="BL218" s="429">
        <v>54183</v>
      </c>
      <c r="BM218" s="429">
        <v>55230</v>
      </c>
      <c r="BN218" s="214">
        <f t="shared" si="155"/>
        <v>109413</v>
      </c>
      <c r="BO218" s="741"/>
      <c r="BP218" s="742"/>
      <c r="BQ218" s="429">
        <v>64103</v>
      </c>
      <c r="BR218" s="429">
        <v>68936</v>
      </c>
      <c r="BS218" s="228">
        <f t="shared" si="156"/>
        <v>133039</v>
      </c>
      <c r="BT218" s="407" t="str">
        <f t="shared" si="171"/>
        <v>-</v>
      </c>
      <c r="BU218" s="529" t="str">
        <f t="shared" si="171"/>
        <v>-</v>
      </c>
      <c r="BV218" s="529">
        <f t="shared" si="168"/>
        <v>1.1830832548954469</v>
      </c>
      <c r="BW218" s="529">
        <f t="shared" si="169"/>
        <v>1.2481622306717364</v>
      </c>
      <c r="BX218" s="221">
        <f t="shared" si="170"/>
        <v>1.2159341211739008</v>
      </c>
      <c r="BY218" s="730">
        <v>12304</v>
      </c>
      <c r="BZ218" s="692">
        <v>74484</v>
      </c>
      <c r="CA218" s="693">
        <f t="shared" si="173"/>
        <v>86788</v>
      </c>
      <c r="CB218" s="407">
        <f t="shared" si="172"/>
        <v>0</v>
      </c>
      <c r="CC218" s="529">
        <f t="shared" si="163"/>
        <v>0</v>
      </c>
      <c r="CD218" s="221">
        <f t="shared" si="167"/>
        <v>1.5329192975987465</v>
      </c>
    </row>
    <row r="219" spans="1:82" ht="16.350000000000001" customHeight="1">
      <c r="A219" s="175">
        <f t="shared" si="144"/>
        <v>2025</v>
      </c>
      <c r="B219" s="454" t="str">
        <f t="shared" si="145"/>
        <v>06</v>
      </c>
      <c r="C219" s="454" t="str">
        <f t="array" ref="C219">_xlfn.IFS(_xlfn.NUMBERVALUE(B219)&lt;=13,"Q1",AND(_xlfn.NUMBERVALUE(B219)&gt;13,_xlfn.NUMBERVALUE(B219)&lt;=26),"Q2", AND(_xlfn.NUMBERVALUE(B219)&gt;26,_xlfn.NUMBERVALUE(B219)&lt;=39),"Q3",_xlfn.NUMBERVALUE(B219)&gt;39,"Q4")</f>
        <v>Q1</v>
      </c>
      <c r="D219" s="448">
        <f t="shared" si="165"/>
        <v>45353</v>
      </c>
      <c r="E219" s="448">
        <f t="shared" si="146"/>
        <v>45359</v>
      </c>
      <c r="F219" s="97">
        <v>202406</v>
      </c>
      <c r="G219" s="429">
        <v>11202</v>
      </c>
      <c r="H219" s="429">
        <v>11866</v>
      </c>
      <c r="I219" s="429"/>
      <c r="J219" s="429"/>
      <c r="K219" s="429">
        <v>8705</v>
      </c>
      <c r="L219" s="429">
        <v>6169</v>
      </c>
      <c r="M219" s="429"/>
      <c r="N219" s="429"/>
      <c r="O219" s="429">
        <v>9289</v>
      </c>
      <c r="P219" s="429">
        <v>8247</v>
      </c>
      <c r="Q219" s="429"/>
      <c r="R219" s="429"/>
      <c r="S219" s="429"/>
      <c r="T219" s="429"/>
      <c r="U219" s="429"/>
      <c r="V219" s="429"/>
      <c r="W219" s="429"/>
      <c r="X219" s="429"/>
      <c r="Y219" s="449">
        <f t="shared" si="133"/>
        <v>16643.399999999994</v>
      </c>
      <c r="Z219" s="449">
        <f t="shared" si="166"/>
        <v>55478</v>
      </c>
      <c r="AA219" s="214">
        <f>'Overall Metrics'!N220</f>
        <v>72121.399999999994</v>
      </c>
      <c r="AB219" s="429">
        <v>64796</v>
      </c>
      <c r="AC219" s="429">
        <v>67806</v>
      </c>
      <c r="AD219" s="429">
        <v>96103</v>
      </c>
      <c r="AE219" s="429">
        <v>93718</v>
      </c>
      <c r="AF219" s="429">
        <v>72544</v>
      </c>
      <c r="AG219" s="429">
        <v>86421</v>
      </c>
      <c r="AH219" s="429">
        <v>99520</v>
      </c>
      <c r="AI219" s="429">
        <v>80426</v>
      </c>
      <c r="AJ219" s="429">
        <v>90770</v>
      </c>
      <c r="AK219" s="429">
        <v>97714</v>
      </c>
      <c r="AL219" s="429">
        <v>94395</v>
      </c>
      <c r="AM219" s="429">
        <v>50712</v>
      </c>
      <c r="AN219" s="429">
        <v>62313</v>
      </c>
      <c r="AO219" s="429">
        <v>66403</v>
      </c>
      <c r="AP219" s="429">
        <v>86328</v>
      </c>
      <c r="AQ219" s="429">
        <v>98183</v>
      </c>
      <c r="AR219" s="219">
        <f t="shared" si="147"/>
        <v>1308152</v>
      </c>
      <c r="AS219" s="220">
        <f t="shared" si="148"/>
        <v>5.7843242278164615</v>
      </c>
      <c r="AT219" s="472">
        <f t="shared" si="149"/>
        <v>5.7143097926849826</v>
      </c>
      <c r="AU219" s="472" t="str">
        <f t="shared" si="150"/>
        <v>-</v>
      </c>
      <c r="AV219" s="472" t="str">
        <f t="shared" si="151"/>
        <v>-</v>
      </c>
      <c r="AW219" s="472">
        <f t="shared" si="152"/>
        <v>8.3336013785180931</v>
      </c>
      <c r="AX219" s="472">
        <f t="shared" si="153"/>
        <v>14.008915545469282</v>
      </c>
      <c r="AY219" s="472">
        <f t="shared" si="134"/>
        <v>10.713747443212402</v>
      </c>
      <c r="AZ219" s="472">
        <f t="shared" si="142"/>
        <v>9.7521522978052619</v>
      </c>
      <c r="BA219" s="472" t="str">
        <f t="shared" si="143"/>
        <v>-</v>
      </c>
      <c r="BB219" s="472" t="str">
        <f t="shared" si="135"/>
        <v>-</v>
      </c>
      <c r="BC219" s="472" t="str">
        <f t="shared" si="136"/>
        <v>-</v>
      </c>
      <c r="BD219" s="472" t="str">
        <f t="shared" si="137"/>
        <v>-</v>
      </c>
      <c r="BE219" s="472" t="str">
        <f t="shared" si="138"/>
        <v>-</v>
      </c>
      <c r="BF219" s="472" t="str">
        <f t="shared" si="139"/>
        <v>-</v>
      </c>
      <c r="BG219" s="472" t="str">
        <f t="shared" si="140"/>
        <v>-</v>
      </c>
      <c r="BH219" s="472" t="str">
        <f t="shared" si="141"/>
        <v>-</v>
      </c>
      <c r="BI219" s="221">
        <f t="shared" si="154"/>
        <v>23.579653195861422</v>
      </c>
      <c r="BJ219" s="730"/>
      <c r="BK219" s="692"/>
      <c r="BL219" s="429">
        <v>51604</v>
      </c>
      <c r="BM219" s="429">
        <v>57162</v>
      </c>
      <c r="BN219" s="214">
        <f t="shared" si="155"/>
        <v>108766</v>
      </c>
      <c r="BO219" s="741"/>
      <c r="BP219" s="742"/>
      <c r="BQ219" s="429">
        <v>71141</v>
      </c>
      <c r="BR219" s="429">
        <v>51725</v>
      </c>
      <c r="BS219" s="228">
        <f t="shared" si="156"/>
        <v>122866</v>
      </c>
      <c r="BT219" s="407" t="str">
        <f t="shared" si="171"/>
        <v>-</v>
      </c>
      <c r="BU219" s="529" t="str">
        <f t="shared" si="171"/>
        <v>-</v>
      </c>
      <c r="BV219" s="529">
        <f t="shared" si="168"/>
        <v>1.3785946825827455</v>
      </c>
      <c r="BW219" s="529">
        <f t="shared" si="169"/>
        <v>0.90488436373814773</v>
      </c>
      <c r="BX219" s="221">
        <f t="shared" si="170"/>
        <v>1.129636099516393</v>
      </c>
      <c r="BY219" s="730">
        <v>0</v>
      </c>
      <c r="BZ219" s="692">
        <v>51936</v>
      </c>
      <c r="CA219" s="693">
        <f t="shared" si="173"/>
        <v>51936</v>
      </c>
      <c r="CB219" s="407" t="str">
        <f t="shared" si="172"/>
        <v>-</v>
      </c>
      <c r="CC219" s="529">
        <f t="shared" si="163"/>
        <v>0</v>
      </c>
      <c r="CD219" s="221">
        <f t="shared" si="167"/>
        <v>2.3657193468884783</v>
      </c>
    </row>
    <row r="220" spans="1:82" ht="16.350000000000001" customHeight="1">
      <c r="A220" s="175">
        <f t="shared" si="144"/>
        <v>2025</v>
      </c>
      <c r="B220" s="454" t="str">
        <f t="shared" si="145"/>
        <v>07</v>
      </c>
      <c r="C220" s="454" t="str">
        <f t="array" ref="C220">_xlfn.IFS(_xlfn.NUMBERVALUE(B220)&lt;=13,"Q1",AND(_xlfn.NUMBERVALUE(B220)&gt;13,_xlfn.NUMBERVALUE(B220)&lt;=26),"Q2", AND(_xlfn.NUMBERVALUE(B220)&gt;26,_xlfn.NUMBERVALUE(B220)&lt;=39),"Q3",_xlfn.NUMBERVALUE(B220)&gt;39,"Q4")</f>
        <v>Q1</v>
      </c>
      <c r="D220" s="448">
        <f t="shared" si="165"/>
        <v>45360</v>
      </c>
      <c r="E220" s="448">
        <f t="shared" si="146"/>
        <v>45366</v>
      </c>
      <c r="F220" s="97">
        <v>202407</v>
      </c>
      <c r="G220" s="429">
        <v>6368</v>
      </c>
      <c r="H220" s="429">
        <v>10622</v>
      </c>
      <c r="I220" s="429"/>
      <c r="J220" s="429"/>
      <c r="K220" s="429">
        <v>9021</v>
      </c>
      <c r="L220" s="429">
        <v>6342</v>
      </c>
      <c r="M220" s="429"/>
      <c r="N220" s="429"/>
      <c r="O220" s="429">
        <v>8954</v>
      </c>
      <c r="P220" s="429">
        <v>9238</v>
      </c>
      <c r="Q220" s="429"/>
      <c r="R220" s="429"/>
      <c r="S220" s="429"/>
      <c r="T220" s="429"/>
      <c r="U220" s="429"/>
      <c r="V220" s="429"/>
      <c r="W220" s="429"/>
      <c r="X220" s="429">
        <v>78877</v>
      </c>
      <c r="Y220" s="449">
        <f t="shared" si="133"/>
        <v>-55922</v>
      </c>
      <c r="Z220" s="449">
        <f t="shared" si="166"/>
        <v>129422</v>
      </c>
      <c r="AA220" s="214">
        <f>'Overall Metrics'!N221</f>
        <v>73500</v>
      </c>
      <c r="AB220" s="429">
        <v>56252</v>
      </c>
      <c r="AC220" s="429">
        <v>69553</v>
      </c>
      <c r="AD220" s="429">
        <v>66446</v>
      </c>
      <c r="AE220" s="429">
        <v>93658</v>
      </c>
      <c r="AF220" s="429">
        <v>57977</v>
      </c>
      <c r="AG220" s="429">
        <v>61931</v>
      </c>
      <c r="AH220" s="429">
        <v>67821</v>
      </c>
      <c r="AI220" s="429">
        <v>51808</v>
      </c>
      <c r="AJ220" s="429">
        <v>88356</v>
      </c>
      <c r="AK220" s="429">
        <v>63413</v>
      </c>
      <c r="AL220" s="429">
        <v>90561</v>
      </c>
      <c r="AM220" s="429">
        <v>73185</v>
      </c>
      <c r="AN220" s="429">
        <v>82737</v>
      </c>
      <c r="AO220" s="429">
        <v>90920</v>
      </c>
      <c r="AP220" s="429">
        <v>92564</v>
      </c>
      <c r="AQ220" s="429">
        <v>61054</v>
      </c>
      <c r="AR220" s="219">
        <f t="shared" si="147"/>
        <v>1168236</v>
      </c>
      <c r="AS220" s="220">
        <f t="shared" si="148"/>
        <v>8.833542713567839</v>
      </c>
      <c r="AT220" s="472">
        <f t="shared" si="149"/>
        <v>6.5480135567689697</v>
      </c>
      <c r="AU220" s="472" t="str">
        <f t="shared" si="150"/>
        <v>-</v>
      </c>
      <c r="AV220" s="472" t="str">
        <f t="shared" si="151"/>
        <v>-</v>
      </c>
      <c r="AW220" s="472">
        <f t="shared" si="152"/>
        <v>6.4268928056756458</v>
      </c>
      <c r="AX220" s="472">
        <f t="shared" si="153"/>
        <v>9.7652160201829084</v>
      </c>
      <c r="AY220" s="472">
        <f t="shared" si="134"/>
        <v>7.5743801652892566</v>
      </c>
      <c r="AZ220" s="472">
        <f t="shared" si="142"/>
        <v>5.6081402901060837</v>
      </c>
      <c r="BA220" s="472" t="str">
        <f t="shared" si="143"/>
        <v>-</v>
      </c>
      <c r="BB220" s="472" t="str">
        <f t="shared" si="135"/>
        <v>-</v>
      </c>
      <c r="BC220" s="472" t="str">
        <f t="shared" si="136"/>
        <v>-</v>
      </c>
      <c r="BD220" s="472" t="str">
        <f t="shared" si="137"/>
        <v>-</v>
      </c>
      <c r="BE220" s="472" t="str">
        <f t="shared" si="138"/>
        <v>-</v>
      </c>
      <c r="BF220" s="472" t="str">
        <f t="shared" si="139"/>
        <v>-</v>
      </c>
      <c r="BG220" s="472" t="str">
        <f t="shared" si="140"/>
        <v>-</v>
      </c>
      <c r="BH220" s="472">
        <f t="shared" si="141"/>
        <v>0.77404059485020982</v>
      </c>
      <c r="BI220" s="221">
        <f t="shared" si="154"/>
        <v>9.0265642626446816</v>
      </c>
      <c r="BJ220" s="730"/>
      <c r="BK220" s="692"/>
      <c r="BL220" s="429">
        <v>77220</v>
      </c>
      <c r="BM220" s="429">
        <v>80109</v>
      </c>
      <c r="BN220" s="214">
        <f t="shared" si="155"/>
        <v>157329</v>
      </c>
      <c r="BO220" s="741"/>
      <c r="BP220" s="742"/>
      <c r="BQ220" s="429">
        <v>96871</v>
      </c>
      <c r="BR220" s="429">
        <v>77840</v>
      </c>
      <c r="BS220" s="228">
        <f t="shared" si="156"/>
        <v>174711</v>
      </c>
      <c r="BT220" s="407" t="str">
        <f t="shared" si="171"/>
        <v>-</v>
      </c>
      <c r="BU220" s="529" t="str">
        <f t="shared" si="171"/>
        <v>-</v>
      </c>
      <c r="BV220" s="529">
        <f t="shared" si="168"/>
        <v>1.2544807044807045</v>
      </c>
      <c r="BW220" s="529">
        <f t="shared" si="169"/>
        <v>0.97167609132556887</v>
      </c>
      <c r="BX220" s="221">
        <f t="shared" si="170"/>
        <v>1.1104818564918102</v>
      </c>
      <c r="BY220" s="730">
        <v>0</v>
      </c>
      <c r="BZ220" s="692">
        <v>45779</v>
      </c>
      <c r="CA220" s="693">
        <f t="shared" si="173"/>
        <v>45779</v>
      </c>
      <c r="CB220" s="407" t="str">
        <f t="shared" si="172"/>
        <v>-</v>
      </c>
      <c r="CC220" s="529">
        <f t="shared" si="163"/>
        <v>0</v>
      </c>
      <c r="CD220" s="221">
        <f t="shared" si="167"/>
        <v>3.8164005329954782</v>
      </c>
    </row>
    <row r="221" spans="1:82" ht="16.350000000000001" customHeight="1">
      <c r="A221" s="175">
        <f t="shared" si="144"/>
        <v>2025</v>
      </c>
      <c r="B221" s="454" t="str">
        <f t="shared" si="145"/>
        <v>08</v>
      </c>
      <c r="C221" s="454" t="str">
        <f t="array" ref="C221">_xlfn.IFS(_xlfn.NUMBERVALUE(B221)&lt;=13,"Q1",AND(_xlfn.NUMBERVALUE(B221)&gt;13,_xlfn.NUMBERVALUE(B221)&lt;=26),"Q2", AND(_xlfn.NUMBERVALUE(B221)&gt;26,_xlfn.NUMBERVALUE(B221)&lt;=39),"Q3",_xlfn.NUMBERVALUE(B221)&gt;39,"Q4")</f>
        <v>Q1</v>
      </c>
      <c r="D221" s="448">
        <f t="shared" si="165"/>
        <v>45367</v>
      </c>
      <c r="E221" s="448">
        <f t="shared" si="146"/>
        <v>45373</v>
      </c>
      <c r="F221" s="97">
        <v>202408</v>
      </c>
      <c r="G221" s="429">
        <v>5192</v>
      </c>
      <c r="H221" s="429">
        <v>11797</v>
      </c>
      <c r="I221" s="429"/>
      <c r="J221" s="429"/>
      <c r="K221" s="429">
        <v>7372</v>
      </c>
      <c r="L221" s="429">
        <v>9296</v>
      </c>
      <c r="M221" s="429"/>
      <c r="N221" s="429"/>
      <c r="O221" s="429">
        <v>9828</v>
      </c>
      <c r="P221" s="429">
        <v>6582</v>
      </c>
      <c r="Q221" s="429"/>
      <c r="R221" s="429"/>
      <c r="S221" s="429"/>
      <c r="T221" s="429"/>
      <c r="U221" s="429"/>
      <c r="V221" s="429"/>
      <c r="W221" s="429"/>
      <c r="X221" s="429">
        <v>7964</v>
      </c>
      <c r="Y221" s="449">
        <f t="shared" si="133"/>
        <v>17409.300000000003</v>
      </c>
      <c r="Z221" s="449">
        <f t="shared" si="166"/>
        <v>58031</v>
      </c>
      <c r="AA221" s="214">
        <f>'Overall Metrics'!N222</f>
        <v>75440.3</v>
      </c>
      <c r="AB221" s="429">
        <v>74936</v>
      </c>
      <c r="AC221" s="429">
        <v>64274</v>
      </c>
      <c r="AD221" s="429">
        <v>58099</v>
      </c>
      <c r="AE221" s="429">
        <v>67178</v>
      </c>
      <c r="AF221" s="429">
        <v>60981</v>
      </c>
      <c r="AG221" s="429">
        <v>50463</v>
      </c>
      <c r="AH221" s="429">
        <v>97438</v>
      </c>
      <c r="AI221" s="429">
        <v>94728</v>
      </c>
      <c r="AJ221" s="429">
        <v>77554</v>
      </c>
      <c r="AK221" s="429">
        <v>56184</v>
      </c>
      <c r="AL221" s="429">
        <v>81263</v>
      </c>
      <c r="AM221" s="429">
        <v>51767</v>
      </c>
      <c r="AN221" s="429">
        <v>90538</v>
      </c>
      <c r="AO221" s="429">
        <v>74449</v>
      </c>
      <c r="AP221" s="429">
        <v>92551</v>
      </c>
      <c r="AQ221" s="429">
        <v>56835</v>
      </c>
      <c r="AR221" s="219">
        <f t="shared" si="147"/>
        <v>1149238</v>
      </c>
      <c r="AS221" s="220">
        <f t="shared" si="148"/>
        <v>14.432973805855163</v>
      </c>
      <c r="AT221" s="472">
        <f t="shared" si="149"/>
        <v>5.4483343222853264</v>
      </c>
      <c r="AU221" s="472" t="str">
        <f t="shared" si="150"/>
        <v>-</v>
      </c>
      <c r="AV221" s="472" t="str">
        <f t="shared" si="151"/>
        <v>-</v>
      </c>
      <c r="AW221" s="472">
        <f t="shared" si="152"/>
        <v>8.2719750406945192</v>
      </c>
      <c r="AX221" s="472">
        <f t="shared" si="153"/>
        <v>5.4284638554216871</v>
      </c>
      <c r="AY221" s="472">
        <f t="shared" ref="AY221:AY252" si="174">IFERROR(AH221/O221,"-")</f>
        <v>9.914326414326414</v>
      </c>
      <c r="AZ221" s="472">
        <f t="shared" si="142"/>
        <v>14.391978122151322</v>
      </c>
      <c r="BA221" s="472" t="str">
        <f t="shared" si="143"/>
        <v>-</v>
      </c>
      <c r="BB221" s="472" t="str">
        <f t="shared" ref="BB221:BB252" si="175">IFERROR(AK221/R221,"-")</f>
        <v>-</v>
      </c>
      <c r="BC221" s="472" t="str">
        <f t="shared" ref="BC221:BC252" si="176">IFERROR(AL221/S221,"-")</f>
        <v>-</v>
      </c>
      <c r="BD221" s="472" t="str">
        <f t="shared" ref="BD221:BD252" si="177">IFERROR(AM221/T221,"-")</f>
        <v>-</v>
      </c>
      <c r="BE221" s="472" t="str">
        <f t="shared" ref="BE221:BE252" si="178">IFERROR(AN221/U221,"-")</f>
        <v>-</v>
      </c>
      <c r="BF221" s="472" t="str">
        <f t="shared" ref="BF221:BF252" si="179">IFERROR(AO221/V221,"-")</f>
        <v>-</v>
      </c>
      <c r="BG221" s="472" t="str">
        <f t="shared" ref="BG221:BG252" si="180">IFERROR(AP221/W221,"-")</f>
        <v>-</v>
      </c>
      <c r="BH221" s="472">
        <f t="shared" ref="BH221:BH252" si="181">IFERROR(AQ221/X221,"-")</f>
        <v>7.1364892014063281</v>
      </c>
      <c r="BI221" s="221">
        <f t="shared" si="154"/>
        <v>19.803863452292742</v>
      </c>
      <c r="BJ221" s="730"/>
      <c r="BK221" s="692"/>
      <c r="BL221" s="429">
        <v>86804</v>
      </c>
      <c r="BM221" s="429">
        <v>66852</v>
      </c>
      <c r="BN221" s="214">
        <f t="shared" si="155"/>
        <v>153656</v>
      </c>
      <c r="BO221" s="741"/>
      <c r="BP221" s="742"/>
      <c r="BQ221" s="429">
        <v>60357</v>
      </c>
      <c r="BR221" s="429">
        <v>89905</v>
      </c>
      <c r="BS221" s="228">
        <f t="shared" si="156"/>
        <v>150262</v>
      </c>
      <c r="BT221" s="407" t="str">
        <f t="shared" si="171"/>
        <v>-</v>
      </c>
      <c r="BU221" s="529" t="str">
        <f t="shared" si="171"/>
        <v>-</v>
      </c>
      <c r="BV221" s="529">
        <f t="shared" si="168"/>
        <v>0.69532510022579608</v>
      </c>
      <c r="BW221" s="529">
        <f t="shared" si="169"/>
        <v>1.3448363549332856</v>
      </c>
      <c r="BX221" s="221">
        <f t="shared" si="170"/>
        <v>0.97791169885979068</v>
      </c>
      <c r="BY221" s="730">
        <v>0</v>
      </c>
      <c r="BZ221" s="692">
        <v>43278</v>
      </c>
      <c r="CA221" s="693">
        <f t="shared" si="173"/>
        <v>43278</v>
      </c>
      <c r="CB221" s="407" t="str">
        <f t="shared" si="172"/>
        <v>-</v>
      </c>
      <c r="CC221" s="529">
        <f t="shared" si="163"/>
        <v>0</v>
      </c>
      <c r="CD221" s="221">
        <f t="shared" si="167"/>
        <v>3.4720181154397154</v>
      </c>
    </row>
    <row r="222" spans="1:82" ht="16.350000000000001" customHeight="1">
      <c r="A222" s="175">
        <f t="shared" si="144"/>
        <v>2025</v>
      </c>
      <c r="B222" s="454" t="str">
        <f t="shared" si="145"/>
        <v>09</v>
      </c>
      <c r="C222" s="454" t="str">
        <f t="array" ref="C222">_xlfn.IFS(_xlfn.NUMBERVALUE(B222)&lt;=13,"Q1",AND(_xlfn.NUMBERVALUE(B222)&gt;13,_xlfn.NUMBERVALUE(B222)&lt;=26),"Q2", AND(_xlfn.NUMBERVALUE(B222)&gt;26,_xlfn.NUMBERVALUE(B222)&lt;=39),"Q3",_xlfn.NUMBERVALUE(B222)&gt;39,"Q4")</f>
        <v>Q1</v>
      </c>
      <c r="D222" s="448">
        <f t="shared" si="165"/>
        <v>45374</v>
      </c>
      <c r="E222" s="448">
        <f t="shared" si="146"/>
        <v>45380</v>
      </c>
      <c r="F222" s="97">
        <v>202409</v>
      </c>
      <c r="G222" s="429">
        <v>9983</v>
      </c>
      <c r="H222" s="429">
        <v>14078</v>
      </c>
      <c r="I222" s="429"/>
      <c r="J222" s="429"/>
      <c r="K222" s="429">
        <v>6365</v>
      </c>
      <c r="L222" s="429">
        <v>8301</v>
      </c>
      <c r="M222" s="429"/>
      <c r="N222" s="429"/>
      <c r="O222" s="429">
        <v>7518</v>
      </c>
      <c r="P222" s="429">
        <v>7485</v>
      </c>
      <c r="Q222" s="429"/>
      <c r="R222" s="429"/>
      <c r="S222" s="429"/>
      <c r="T222" s="429"/>
      <c r="U222" s="429"/>
      <c r="V222" s="429"/>
      <c r="W222" s="429"/>
      <c r="X222" s="429"/>
      <c r="Y222" s="449">
        <f t="shared" si="133"/>
        <v>16119</v>
      </c>
      <c r="Z222" s="449">
        <f t="shared" si="166"/>
        <v>53730</v>
      </c>
      <c r="AA222" s="214">
        <f>'Overall Metrics'!N223</f>
        <v>69849</v>
      </c>
      <c r="AB222" s="429">
        <v>62993</v>
      </c>
      <c r="AC222" s="429">
        <v>62906</v>
      </c>
      <c r="AD222" s="429">
        <v>64742</v>
      </c>
      <c r="AE222" s="429">
        <v>54221</v>
      </c>
      <c r="AF222" s="429">
        <v>78431</v>
      </c>
      <c r="AG222" s="429">
        <v>57797</v>
      </c>
      <c r="AH222" s="429">
        <v>83530</v>
      </c>
      <c r="AI222" s="429">
        <v>83353</v>
      </c>
      <c r="AJ222" s="429">
        <v>65937</v>
      </c>
      <c r="AK222" s="429">
        <v>86967</v>
      </c>
      <c r="AL222" s="429">
        <v>80407</v>
      </c>
      <c r="AM222" s="429">
        <v>65513</v>
      </c>
      <c r="AN222" s="429">
        <v>62249</v>
      </c>
      <c r="AO222" s="429">
        <v>72207</v>
      </c>
      <c r="AP222" s="429">
        <v>80674</v>
      </c>
      <c r="AQ222" s="429">
        <v>75834</v>
      </c>
      <c r="AR222" s="219">
        <f t="shared" si="147"/>
        <v>1137761</v>
      </c>
      <c r="AS222" s="220">
        <f t="shared" si="148"/>
        <v>6.3100270459781624</v>
      </c>
      <c r="AT222" s="472">
        <f t="shared" si="149"/>
        <v>4.4683903963631195</v>
      </c>
      <c r="AU222" s="472" t="str">
        <f t="shared" si="150"/>
        <v>-</v>
      </c>
      <c r="AV222" s="472" t="str">
        <f t="shared" si="151"/>
        <v>-</v>
      </c>
      <c r="AW222" s="472">
        <f t="shared" si="152"/>
        <v>12.322230950510605</v>
      </c>
      <c r="AX222" s="472">
        <f t="shared" si="153"/>
        <v>6.9626551017949643</v>
      </c>
      <c r="AY222" s="472">
        <f t="shared" si="174"/>
        <v>11.110667730779463</v>
      </c>
      <c r="AZ222" s="472">
        <f t="shared" si="142"/>
        <v>11.136005344021376</v>
      </c>
      <c r="BA222" s="472" t="str">
        <f t="shared" si="143"/>
        <v>-</v>
      </c>
      <c r="BB222" s="472" t="str">
        <f t="shared" si="175"/>
        <v>-</v>
      </c>
      <c r="BC222" s="472" t="str">
        <f t="shared" si="176"/>
        <v>-</v>
      </c>
      <c r="BD222" s="472" t="str">
        <f t="shared" si="177"/>
        <v>-</v>
      </c>
      <c r="BE222" s="472" t="str">
        <f t="shared" si="178"/>
        <v>-</v>
      </c>
      <c r="BF222" s="472" t="str">
        <f t="shared" si="179"/>
        <v>-</v>
      </c>
      <c r="BG222" s="472" t="str">
        <f t="shared" si="180"/>
        <v>-</v>
      </c>
      <c r="BH222" s="472" t="str">
        <f t="shared" si="181"/>
        <v>-</v>
      </c>
      <c r="BI222" s="221">
        <f t="shared" si="154"/>
        <v>21.175525777033315</v>
      </c>
      <c r="BJ222" s="730"/>
      <c r="BK222" s="692"/>
      <c r="BL222" s="429">
        <v>72417</v>
      </c>
      <c r="BM222" s="429">
        <v>84161</v>
      </c>
      <c r="BN222" s="214">
        <f t="shared" si="155"/>
        <v>156578</v>
      </c>
      <c r="BO222" s="741"/>
      <c r="BP222" s="742"/>
      <c r="BQ222" s="429">
        <v>96906</v>
      </c>
      <c r="BR222" s="429">
        <v>77572</v>
      </c>
      <c r="BS222" s="228">
        <f t="shared" si="156"/>
        <v>174478</v>
      </c>
      <c r="BT222" s="407" t="str">
        <f t="shared" si="171"/>
        <v>-</v>
      </c>
      <c r="BU222" s="529" t="str">
        <f t="shared" si="171"/>
        <v>-</v>
      </c>
      <c r="BV222" s="529">
        <f t="shared" si="168"/>
        <v>1.3381664526285264</v>
      </c>
      <c r="BW222" s="529">
        <f t="shared" si="169"/>
        <v>0.92170958044700035</v>
      </c>
      <c r="BX222" s="221">
        <f t="shared" si="170"/>
        <v>1.1143200194152436</v>
      </c>
      <c r="BY222" s="730">
        <v>0</v>
      </c>
      <c r="BZ222" s="692">
        <v>42375</v>
      </c>
      <c r="CA222" s="693">
        <f t="shared" si="173"/>
        <v>42375</v>
      </c>
      <c r="CB222" s="407" t="str">
        <f t="shared" si="172"/>
        <v>-</v>
      </c>
      <c r="CC222" s="529">
        <f t="shared" si="163"/>
        <v>0</v>
      </c>
      <c r="CD222" s="221">
        <f t="shared" si="167"/>
        <v>4.1174749262536876</v>
      </c>
    </row>
    <row r="223" spans="1:82" ht="16.350000000000001" customHeight="1">
      <c r="A223" s="175">
        <f t="shared" si="144"/>
        <v>2025</v>
      </c>
      <c r="B223" s="454" t="str">
        <f t="shared" si="145"/>
        <v>10</v>
      </c>
      <c r="C223" s="454" t="str">
        <f t="array" ref="C223">_xlfn.IFS(_xlfn.NUMBERVALUE(B223)&lt;=13,"Q1",AND(_xlfn.NUMBERVALUE(B223)&gt;13,_xlfn.NUMBERVALUE(B223)&lt;=26),"Q2", AND(_xlfn.NUMBERVALUE(B223)&gt;26,_xlfn.NUMBERVALUE(B223)&lt;=39),"Q3",_xlfn.NUMBERVALUE(B223)&gt;39,"Q4")</f>
        <v>Q1</v>
      </c>
      <c r="D223" s="448">
        <f t="shared" si="165"/>
        <v>45381</v>
      </c>
      <c r="E223" s="448">
        <f t="shared" si="146"/>
        <v>45387</v>
      </c>
      <c r="F223" s="97">
        <v>202410</v>
      </c>
      <c r="G223" s="429">
        <v>8838</v>
      </c>
      <c r="H223" s="429">
        <v>8817</v>
      </c>
      <c r="I223" s="429"/>
      <c r="J223" s="429"/>
      <c r="K223" s="429">
        <v>8643</v>
      </c>
      <c r="L223" s="429">
        <v>7716</v>
      </c>
      <c r="M223" s="429"/>
      <c r="N223" s="429"/>
      <c r="O223" s="429">
        <v>6793</v>
      </c>
      <c r="P223" s="429">
        <v>8450</v>
      </c>
      <c r="Q223" s="429"/>
      <c r="R223" s="429"/>
      <c r="S223" s="429"/>
      <c r="T223" s="429"/>
      <c r="U223" s="429"/>
      <c r="V223" s="429"/>
      <c r="W223" s="429"/>
      <c r="X223" s="429"/>
      <c r="Y223" s="449">
        <f t="shared" si="133"/>
        <v>14777.100000000006</v>
      </c>
      <c r="Z223" s="449">
        <f t="shared" si="166"/>
        <v>49257</v>
      </c>
      <c r="AA223" s="214">
        <f>'Overall Metrics'!N224</f>
        <v>64034.100000000006</v>
      </c>
      <c r="AB223" s="429">
        <v>95935</v>
      </c>
      <c r="AC223" s="429">
        <v>57080</v>
      </c>
      <c r="AD223" s="429">
        <v>84882</v>
      </c>
      <c r="AE223" s="429">
        <v>77245</v>
      </c>
      <c r="AF223" s="429">
        <v>79834</v>
      </c>
      <c r="AG223" s="429">
        <v>93153</v>
      </c>
      <c r="AH223" s="429">
        <v>62124</v>
      </c>
      <c r="AI223" s="429">
        <v>70066</v>
      </c>
      <c r="AJ223" s="429">
        <v>53929</v>
      </c>
      <c r="AK223" s="429">
        <v>92569</v>
      </c>
      <c r="AL223" s="429">
        <v>88222</v>
      </c>
      <c r="AM223" s="429">
        <v>52413</v>
      </c>
      <c r="AN223" s="429">
        <v>88074</v>
      </c>
      <c r="AO223" s="429">
        <v>89551</v>
      </c>
      <c r="AP223" s="429">
        <v>64807</v>
      </c>
      <c r="AQ223" s="429">
        <v>55245</v>
      </c>
      <c r="AR223" s="219">
        <f t="shared" si="147"/>
        <v>1205129</v>
      </c>
      <c r="AS223" s="220">
        <f t="shared" si="148"/>
        <v>10.854831409821227</v>
      </c>
      <c r="AT223" s="472">
        <f t="shared" si="149"/>
        <v>6.4738573210842691</v>
      </c>
      <c r="AU223" s="472" t="str">
        <f t="shared" si="150"/>
        <v>-</v>
      </c>
      <c r="AV223" s="472" t="str">
        <f t="shared" si="151"/>
        <v>-</v>
      </c>
      <c r="AW223" s="472">
        <f t="shared" si="152"/>
        <v>9.2368390605113966</v>
      </c>
      <c r="AX223" s="472">
        <f t="shared" si="153"/>
        <v>12.072706065318817</v>
      </c>
      <c r="AY223" s="472">
        <f t="shared" si="174"/>
        <v>9.145296628882674</v>
      </c>
      <c r="AZ223" s="472">
        <f t="shared" si="142"/>
        <v>8.2918343195266271</v>
      </c>
      <c r="BA223" s="472" t="str">
        <f t="shared" si="143"/>
        <v>-</v>
      </c>
      <c r="BB223" s="472" t="str">
        <f t="shared" si="175"/>
        <v>-</v>
      </c>
      <c r="BC223" s="472" t="str">
        <f t="shared" si="176"/>
        <v>-</v>
      </c>
      <c r="BD223" s="472" t="str">
        <f t="shared" si="177"/>
        <v>-</v>
      </c>
      <c r="BE223" s="472" t="str">
        <f t="shared" si="178"/>
        <v>-</v>
      </c>
      <c r="BF223" s="472" t="str">
        <f t="shared" si="179"/>
        <v>-</v>
      </c>
      <c r="BG223" s="472" t="str">
        <f t="shared" si="180"/>
        <v>-</v>
      </c>
      <c r="BH223" s="472" t="str">
        <f t="shared" si="181"/>
        <v>-</v>
      </c>
      <c r="BI223" s="221">
        <f t="shared" si="154"/>
        <v>24.466146943581624</v>
      </c>
      <c r="BJ223" s="730"/>
      <c r="BK223" s="692"/>
      <c r="BL223" s="429">
        <v>69741</v>
      </c>
      <c r="BM223" s="429">
        <v>68844</v>
      </c>
      <c r="BN223" s="214">
        <f t="shared" si="155"/>
        <v>138585</v>
      </c>
      <c r="BO223" s="741"/>
      <c r="BP223" s="742"/>
      <c r="BQ223" s="429">
        <v>58586</v>
      </c>
      <c r="BR223" s="429">
        <v>82886</v>
      </c>
      <c r="BS223" s="228">
        <f t="shared" si="156"/>
        <v>141472</v>
      </c>
      <c r="BT223" s="407" t="str">
        <f t="shared" si="171"/>
        <v>-</v>
      </c>
      <c r="BU223" s="529" t="str">
        <f t="shared" si="171"/>
        <v>-</v>
      </c>
      <c r="BV223" s="529">
        <f t="shared" si="168"/>
        <v>0.84005104601310565</v>
      </c>
      <c r="BW223" s="529">
        <f t="shared" si="169"/>
        <v>1.2039683923072453</v>
      </c>
      <c r="BX223" s="221">
        <f t="shared" si="170"/>
        <v>1.0208319803730563</v>
      </c>
      <c r="BY223" s="730">
        <v>0</v>
      </c>
      <c r="BZ223" s="692">
        <v>45170</v>
      </c>
      <c r="CA223" s="693">
        <f t="shared" si="173"/>
        <v>45170</v>
      </c>
      <c r="CB223" s="407" t="str">
        <f t="shared" si="172"/>
        <v>-</v>
      </c>
      <c r="CC223" s="529">
        <f t="shared" si="163"/>
        <v>0</v>
      </c>
      <c r="CD223" s="221">
        <f t="shared" si="167"/>
        <v>3.1319902590214745</v>
      </c>
    </row>
    <row r="224" spans="1:82" ht="16.350000000000001" customHeight="1">
      <c r="A224" s="175">
        <f t="shared" si="144"/>
        <v>2025</v>
      </c>
      <c r="B224" s="454" t="str">
        <f t="shared" si="145"/>
        <v>11</v>
      </c>
      <c r="C224" s="454" t="str">
        <f t="array" ref="C224">_xlfn.IFS(_xlfn.NUMBERVALUE(B224)&lt;=13,"Q1",AND(_xlfn.NUMBERVALUE(B224)&gt;13,_xlfn.NUMBERVALUE(B224)&lt;=26),"Q2", AND(_xlfn.NUMBERVALUE(B224)&gt;26,_xlfn.NUMBERVALUE(B224)&lt;=39),"Q3",_xlfn.NUMBERVALUE(B224)&gt;39,"Q4")</f>
        <v>Q1</v>
      </c>
      <c r="D224" s="448">
        <f t="shared" si="165"/>
        <v>45388</v>
      </c>
      <c r="E224" s="448">
        <f t="shared" si="146"/>
        <v>45394</v>
      </c>
      <c r="F224" s="97">
        <v>202411</v>
      </c>
      <c r="G224" s="429">
        <v>12095</v>
      </c>
      <c r="H224" s="429">
        <v>9315</v>
      </c>
      <c r="I224" s="429"/>
      <c r="J224" s="429"/>
      <c r="K224" s="429">
        <v>6133</v>
      </c>
      <c r="L224" s="429">
        <v>8690</v>
      </c>
      <c r="M224" s="429"/>
      <c r="N224" s="429"/>
      <c r="O224" s="429">
        <v>8496</v>
      </c>
      <c r="P224" s="429">
        <v>6922</v>
      </c>
      <c r="Q224" s="429"/>
      <c r="R224" s="429"/>
      <c r="S224" s="429"/>
      <c r="T224" s="429"/>
      <c r="U224" s="429"/>
      <c r="V224" s="429"/>
      <c r="W224" s="429"/>
      <c r="X224" s="429"/>
      <c r="Y224" s="449">
        <f t="shared" si="133"/>
        <v>15495.300000000003</v>
      </c>
      <c r="Z224" s="449">
        <f t="shared" si="166"/>
        <v>51651</v>
      </c>
      <c r="AA224" s="214">
        <f>'Overall Metrics'!N225</f>
        <v>67146.3</v>
      </c>
      <c r="AB224" s="429">
        <v>72438</v>
      </c>
      <c r="AC224" s="429">
        <v>68506</v>
      </c>
      <c r="AD224" s="429">
        <v>61739</v>
      </c>
      <c r="AE224" s="429">
        <v>56144</v>
      </c>
      <c r="AF224" s="429">
        <v>79349</v>
      </c>
      <c r="AG224" s="429">
        <v>80943</v>
      </c>
      <c r="AH224" s="429">
        <v>55896</v>
      </c>
      <c r="AI224" s="429">
        <v>84012</v>
      </c>
      <c r="AJ224" s="429">
        <v>50416</v>
      </c>
      <c r="AK224" s="429">
        <v>64548</v>
      </c>
      <c r="AL224" s="429">
        <v>62995</v>
      </c>
      <c r="AM224" s="429">
        <v>77329</v>
      </c>
      <c r="AN224" s="429">
        <v>84286</v>
      </c>
      <c r="AO224" s="429">
        <v>50457</v>
      </c>
      <c r="AP224" s="429">
        <v>87484</v>
      </c>
      <c r="AQ224" s="429">
        <v>95762</v>
      </c>
      <c r="AR224" s="219">
        <f t="shared" si="147"/>
        <v>1132304</v>
      </c>
      <c r="AS224" s="220">
        <f t="shared" si="148"/>
        <v>5.9890863993385697</v>
      </c>
      <c r="AT224" s="472">
        <f t="shared" si="149"/>
        <v>7.3543746645195922</v>
      </c>
      <c r="AU224" s="472" t="str">
        <f t="shared" si="150"/>
        <v>-</v>
      </c>
      <c r="AV224" s="472" t="str">
        <f t="shared" si="151"/>
        <v>-</v>
      </c>
      <c r="AW224" s="472">
        <f t="shared" si="152"/>
        <v>12.93804011087559</v>
      </c>
      <c r="AX224" s="472">
        <f t="shared" si="153"/>
        <v>9.3144994246260069</v>
      </c>
      <c r="AY224" s="472">
        <f t="shared" si="174"/>
        <v>6.5790960451977405</v>
      </c>
      <c r="AZ224" s="472">
        <f t="shared" ref="AZ224:AZ255" si="182">IFERROR(AI224/P224,"-")</f>
        <v>12.136954637388039</v>
      </c>
      <c r="BA224" s="472" t="str">
        <f t="shared" ref="BA224:BA255" si="183">IFERROR(AJ224/Q224,"-")</f>
        <v>-</v>
      </c>
      <c r="BB224" s="472" t="str">
        <f t="shared" si="175"/>
        <v>-</v>
      </c>
      <c r="BC224" s="472" t="str">
        <f t="shared" si="176"/>
        <v>-</v>
      </c>
      <c r="BD224" s="472" t="str">
        <f t="shared" si="177"/>
        <v>-</v>
      </c>
      <c r="BE224" s="472" t="str">
        <f t="shared" si="178"/>
        <v>-</v>
      </c>
      <c r="BF224" s="472" t="str">
        <f t="shared" si="179"/>
        <v>-</v>
      </c>
      <c r="BG224" s="472" t="str">
        <f t="shared" si="180"/>
        <v>-</v>
      </c>
      <c r="BH224" s="472" t="str">
        <f t="shared" si="181"/>
        <v>-</v>
      </c>
      <c r="BI224" s="221">
        <f t="shared" si="154"/>
        <v>21.922208669725659</v>
      </c>
      <c r="BJ224" s="692"/>
      <c r="BK224" s="692"/>
      <c r="BL224" s="429">
        <v>90640</v>
      </c>
      <c r="BM224" s="429">
        <v>92585</v>
      </c>
      <c r="BN224" s="214">
        <f t="shared" si="155"/>
        <v>183225</v>
      </c>
      <c r="BO224" s="742"/>
      <c r="BP224" s="742"/>
      <c r="BQ224" s="429">
        <v>85549</v>
      </c>
      <c r="BR224" s="429">
        <v>96863</v>
      </c>
      <c r="BS224" s="228">
        <f t="shared" si="156"/>
        <v>182412</v>
      </c>
      <c r="BT224" s="407" t="e">
        <f>BO224/BJ224</f>
        <v>#DIV/0!</v>
      </c>
      <c r="BU224" s="529" t="e">
        <f>BP224/BK224</f>
        <v>#DIV/0!</v>
      </c>
      <c r="BV224" s="529">
        <f t="shared" si="168"/>
        <v>0.94383274492497793</v>
      </c>
      <c r="BW224" s="529">
        <f t="shared" si="169"/>
        <v>1.0462061889074905</v>
      </c>
      <c r="BX224" s="221">
        <f t="shared" si="170"/>
        <v>0.99556283258288991</v>
      </c>
      <c r="BY224" s="730">
        <v>4171</v>
      </c>
      <c r="BZ224" s="692">
        <v>48547</v>
      </c>
      <c r="CA224" s="693">
        <f t="shared" si="173"/>
        <v>52718</v>
      </c>
      <c r="CB224" s="407">
        <f t="shared" si="172"/>
        <v>0</v>
      </c>
      <c r="CC224" s="529">
        <f t="shared" si="163"/>
        <v>0</v>
      </c>
      <c r="CD224" s="221">
        <f t="shared" si="167"/>
        <v>3.4601464395462651</v>
      </c>
    </row>
    <row r="225" spans="1:82" ht="16.350000000000001" customHeight="1">
      <c r="A225" s="175">
        <f t="shared" si="144"/>
        <v>2025</v>
      </c>
      <c r="B225" s="454" t="str">
        <f t="shared" si="145"/>
        <v>12</v>
      </c>
      <c r="C225" s="454" t="str">
        <f t="array" ref="C225">_xlfn.IFS(_xlfn.NUMBERVALUE(B225)&lt;=13,"Q1",AND(_xlfn.NUMBERVALUE(B225)&gt;13,_xlfn.NUMBERVALUE(B225)&lt;=26),"Q2", AND(_xlfn.NUMBERVALUE(B225)&gt;26,_xlfn.NUMBERVALUE(B225)&lt;=39),"Q3",_xlfn.NUMBERVALUE(B225)&gt;39,"Q4")</f>
        <v>Q1</v>
      </c>
      <c r="D225" s="448">
        <f t="shared" si="165"/>
        <v>45395</v>
      </c>
      <c r="E225" s="448">
        <f t="shared" si="146"/>
        <v>45401</v>
      </c>
      <c r="F225" s="97">
        <v>202412</v>
      </c>
      <c r="G225" s="429">
        <v>9422</v>
      </c>
      <c r="H225" s="429">
        <v>6362</v>
      </c>
      <c r="I225" s="429"/>
      <c r="J225" s="429"/>
      <c r="K225" s="429">
        <v>5026</v>
      </c>
      <c r="L225" s="429">
        <v>7911</v>
      </c>
      <c r="M225" s="429"/>
      <c r="N225" s="429"/>
      <c r="O225" s="429">
        <v>5143</v>
      </c>
      <c r="P225" s="429">
        <v>5555</v>
      </c>
      <c r="Q225" s="429"/>
      <c r="R225" s="429"/>
      <c r="S225" s="429"/>
      <c r="T225" s="429"/>
      <c r="U225" s="429"/>
      <c r="V225" s="429"/>
      <c r="W225" s="429"/>
      <c r="X225" s="429"/>
      <c r="Y225" s="449">
        <f t="shared" si="133"/>
        <v>11825.699999999997</v>
      </c>
      <c r="Z225" s="449">
        <f t="shared" si="166"/>
        <v>39419</v>
      </c>
      <c r="AA225" s="214">
        <f>'Overall Metrics'!N226</f>
        <v>51244.7</v>
      </c>
      <c r="AB225" s="429">
        <v>80207</v>
      </c>
      <c r="AC225" s="429">
        <v>98275</v>
      </c>
      <c r="AD225" s="429">
        <v>81998</v>
      </c>
      <c r="AE225" s="429">
        <v>94888</v>
      </c>
      <c r="AF225" s="429">
        <v>81121</v>
      </c>
      <c r="AG225" s="429">
        <v>69325</v>
      </c>
      <c r="AH225" s="429">
        <v>73187</v>
      </c>
      <c r="AI225" s="429">
        <v>58428</v>
      </c>
      <c r="AJ225" s="429">
        <v>51441</v>
      </c>
      <c r="AK225" s="429">
        <v>90682</v>
      </c>
      <c r="AL225" s="429">
        <v>74033</v>
      </c>
      <c r="AM225" s="429">
        <v>98338</v>
      </c>
      <c r="AN225" s="429">
        <v>97969</v>
      </c>
      <c r="AO225" s="429">
        <v>84981</v>
      </c>
      <c r="AP225" s="429">
        <v>84495</v>
      </c>
      <c r="AQ225" s="429">
        <v>83249</v>
      </c>
      <c r="AR225" s="219">
        <f t="shared" si="147"/>
        <v>1302617</v>
      </c>
      <c r="AS225" s="220">
        <f t="shared" si="148"/>
        <v>8.5127361494374867</v>
      </c>
      <c r="AT225" s="472">
        <f t="shared" si="149"/>
        <v>15.44718641936498</v>
      </c>
      <c r="AU225" s="472" t="str">
        <f t="shared" si="150"/>
        <v>-</v>
      </c>
      <c r="AV225" s="472" t="str">
        <f t="shared" si="151"/>
        <v>-</v>
      </c>
      <c r="AW225" s="472">
        <f t="shared" si="152"/>
        <v>16.140270592916831</v>
      </c>
      <c r="AX225" s="472">
        <f t="shared" si="153"/>
        <v>8.7631146504866635</v>
      </c>
      <c r="AY225" s="472">
        <f t="shared" si="174"/>
        <v>14.23041026638149</v>
      </c>
      <c r="AZ225" s="472">
        <f t="shared" si="182"/>
        <v>10.518091809180918</v>
      </c>
      <c r="BA225" s="472" t="str">
        <f t="shared" si="183"/>
        <v>-</v>
      </c>
      <c r="BB225" s="472" t="str">
        <f t="shared" si="175"/>
        <v>-</v>
      </c>
      <c r="BC225" s="472" t="str">
        <f t="shared" si="176"/>
        <v>-</v>
      </c>
      <c r="BD225" s="472" t="str">
        <f t="shared" si="177"/>
        <v>-</v>
      </c>
      <c r="BE225" s="472" t="str">
        <f t="shared" si="178"/>
        <v>-</v>
      </c>
      <c r="BF225" s="472" t="str">
        <f t="shared" si="179"/>
        <v>-</v>
      </c>
      <c r="BG225" s="472" t="str">
        <f t="shared" si="180"/>
        <v>-</v>
      </c>
      <c r="BH225" s="472" t="str">
        <f t="shared" si="181"/>
        <v>-</v>
      </c>
      <c r="BI225" s="221">
        <f t="shared" si="154"/>
        <v>33.045409574063271</v>
      </c>
      <c r="BJ225" s="730"/>
      <c r="BK225" s="692"/>
      <c r="BL225" s="429">
        <v>60574</v>
      </c>
      <c r="BM225" s="429">
        <v>88519</v>
      </c>
      <c r="BN225" s="214">
        <f t="shared" si="155"/>
        <v>149093</v>
      </c>
      <c r="BO225" s="742"/>
      <c r="BP225" s="742"/>
      <c r="BQ225" s="429">
        <v>51610</v>
      </c>
      <c r="BR225" s="429">
        <v>71834</v>
      </c>
      <c r="BS225" s="228">
        <f t="shared" si="156"/>
        <v>123444</v>
      </c>
      <c r="BT225" s="407" t="str">
        <f t="shared" ref="BT225:BU232" si="184">IFERROR(BO225/BJ225,"-")</f>
        <v>-</v>
      </c>
      <c r="BU225" s="529" t="str">
        <f t="shared" si="184"/>
        <v>-</v>
      </c>
      <c r="BV225" s="529">
        <f t="shared" si="168"/>
        <v>0.85201571631393003</v>
      </c>
      <c r="BW225" s="529">
        <f t="shared" si="169"/>
        <v>0.81150939346355022</v>
      </c>
      <c r="BX225" s="221">
        <f t="shared" si="170"/>
        <v>0.82796643705606565</v>
      </c>
      <c r="BY225" s="730">
        <v>24992</v>
      </c>
      <c r="BZ225" s="692">
        <v>84996</v>
      </c>
      <c r="CA225" s="693">
        <f t="shared" si="173"/>
        <v>109988</v>
      </c>
      <c r="CB225" s="407">
        <f t="shared" si="172"/>
        <v>0</v>
      </c>
      <c r="CC225" s="529">
        <f t="shared" si="163"/>
        <v>0</v>
      </c>
      <c r="CD225" s="221">
        <f t="shared" si="167"/>
        <v>1.1223406189766156</v>
      </c>
    </row>
    <row r="226" spans="1:82" ht="16.350000000000001" customHeight="1">
      <c r="A226" s="175">
        <f t="shared" si="144"/>
        <v>2025</v>
      </c>
      <c r="B226" s="454" t="str">
        <f t="shared" si="145"/>
        <v>13</v>
      </c>
      <c r="C226" s="454" t="str">
        <f t="array" ref="C226">_xlfn.IFS(_xlfn.NUMBERVALUE(B226)&lt;=13,"Q1",AND(_xlfn.NUMBERVALUE(B226)&gt;13,_xlfn.NUMBERVALUE(B226)&lt;=26),"Q2", AND(_xlfn.NUMBERVALUE(B226)&gt;26,_xlfn.NUMBERVALUE(B226)&lt;=39),"Q3",_xlfn.NUMBERVALUE(B226)&gt;39,"Q4")</f>
        <v>Q1</v>
      </c>
      <c r="D226" s="448">
        <f t="shared" si="165"/>
        <v>45402</v>
      </c>
      <c r="E226" s="448">
        <f t="shared" si="146"/>
        <v>45408</v>
      </c>
      <c r="F226" s="97">
        <v>202413</v>
      </c>
      <c r="G226" s="429">
        <v>11443</v>
      </c>
      <c r="H226" s="429">
        <v>10188</v>
      </c>
      <c r="I226" s="429"/>
      <c r="J226" s="429"/>
      <c r="K226" s="429">
        <v>8078</v>
      </c>
      <c r="L226" s="429">
        <v>8474</v>
      </c>
      <c r="M226" s="429"/>
      <c r="N226" s="429"/>
      <c r="O226" s="429">
        <v>8497</v>
      </c>
      <c r="P226" s="429">
        <v>7282</v>
      </c>
      <c r="Q226" s="429"/>
      <c r="R226" s="429"/>
      <c r="S226" s="429"/>
      <c r="T226" s="429"/>
      <c r="U226" s="429"/>
      <c r="V226" s="429"/>
      <c r="W226" s="429"/>
      <c r="X226" s="429"/>
      <c r="Y226" s="449">
        <f t="shared" si="133"/>
        <v>16188.600000000006</v>
      </c>
      <c r="Z226" s="449">
        <f t="shared" si="166"/>
        <v>53962</v>
      </c>
      <c r="AA226" s="214">
        <f>'Overall Metrics'!N227</f>
        <v>70150.600000000006</v>
      </c>
      <c r="AB226" s="429">
        <v>88602</v>
      </c>
      <c r="AC226" s="429">
        <v>98451</v>
      </c>
      <c r="AD226" s="429">
        <v>78672</v>
      </c>
      <c r="AE226" s="429">
        <v>50081</v>
      </c>
      <c r="AF226" s="429">
        <v>90352</v>
      </c>
      <c r="AG226" s="429">
        <v>72610</v>
      </c>
      <c r="AH226" s="429">
        <v>82502</v>
      </c>
      <c r="AI226" s="429">
        <v>74696</v>
      </c>
      <c r="AJ226" s="429">
        <v>91859</v>
      </c>
      <c r="AK226" s="429">
        <v>68104</v>
      </c>
      <c r="AL226" s="429">
        <v>80604</v>
      </c>
      <c r="AM226" s="429">
        <v>54161</v>
      </c>
      <c r="AN226" s="429">
        <v>51833</v>
      </c>
      <c r="AO226" s="429">
        <v>87269</v>
      </c>
      <c r="AP226" s="429">
        <v>84825</v>
      </c>
      <c r="AQ226" s="429">
        <v>52024</v>
      </c>
      <c r="AR226" s="219">
        <f t="shared" si="147"/>
        <v>1206645</v>
      </c>
      <c r="AS226" s="220">
        <f t="shared" si="148"/>
        <v>7.7428995892685482</v>
      </c>
      <c r="AT226" s="472">
        <f t="shared" si="149"/>
        <v>9.6634275618374552</v>
      </c>
      <c r="AU226" s="472" t="str">
        <f t="shared" si="150"/>
        <v>-</v>
      </c>
      <c r="AV226" s="472" t="str">
        <f t="shared" si="151"/>
        <v>-</v>
      </c>
      <c r="AW226" s="472">
        <f t="shared" si="152"/>
        <v>11.184946769002229</v>
      </c>
      <c r="AX226" s="472">
        <f t="shared" si="153"/>
        <v>8.5685626622610336</v>
      </c>
      <c r="AY226" s="472">
        <f t="shared" si="174"/>
        <v>9.7095445451335767</v>
      </c>
      <c r="AZ226" s="472">
        <f t="shared" si="182"/>
        <v>10.257621532546004</v>
      </c>
      <c r="BA226" s="472" t="str">
        <f t="shared" si="183"/>
        <v>-</v>
      </c>
      <c r="BB226" s="472" t="str">
        <f t="shared" si="175"/>
        <v>-</v>
      </c>
      <c r="BC226" s="472" t="str">
        <f t="shared" si="176"/>
        <v>-</v>
      </c>
      <c r="BD226" s="472" t="str">
        <f t="shared" si="177"/>
        <v>-</v>
      </c>
      <c r="BE226" s="472" t="str">
        <f t="shared" si="178"/>
        <v>-</v>
      </c>
      <c r="BF226" s="472" t="str">
        <f t="shared" si="179"/>
        <v>-</v>
      </c>
      <c r="BG226" s="472" t="str">
        <f t="shared" si="180"/>
        <v>-</v>
      </c>
      <c r="BH226" s="472" t="str">
        <f t="shared" si="181"/>
        <v>-</v>
      </c>
      <c r="BI226" s="221">
        <f t="shared" si="154"/>
        <v>22.361013305659537</v>
      </c>
      <c r="BJ226" s="730"/>
      <c r="BK226" s="692"/>
      <c r="BL226" s="429">
        <v>97806</v>
      </c>
      <c r="BM226" s="429">
        <v>73630</v>
      </c>
      <c r="BN226" s="214">
        <f t="shared" si="155"/>
        <v>171436</v>
      </c>
      <c r="BO226" s="742"/>
      <c r="BP226" s="742"/>
      <c r="BQ226" s="429">
        <v>98185</v>
      </c>
      <c r="BR226" s="429">
        <v>76158</v>
      </c>
      <c r="BS226" s="228">
        <f t="shared" si="156"/>
        <v>174343</v>
      </c>
      <c r="BT226" s="407" t="str">
        <f t="shared" si="184"/>
        <v>-</v>
      </c>
      <c r="BU226" s="529" t="str">
        <f t="shared" si="184"/>
        <v>-</v>
      </c>
      <c r="BV226" s="529">
        <f t="shared" si="168"/>
        <v>1.0038750178925628</v>
      </c>
      <c r="BW226" s="529">
        <f t="shared" si="169"/>
        <v>1.034333831318756</v>
      </c>
      <c r="BX226" s="221">
        <f t="shared" si="170"/>
        <v>1.016956765206841</v>
      </c>
      <c r="BY226" s="730">
        <v>30620</v>
      </c>
      <c r="BZ226" s="692">
        <v>79121</v>
      </c>
      <c r="CA226" s="693">
        <f t="shared" si="173"/>
        <v>109741</v>
      </c>
      <c r="CB226" s="407">
        <f t="shared" si="172"/>
        <v>0</v>
      </c>
      <c r="CC226" s="529">
        <f t="shared" si="163"/>
        <v>0</v>
      </c>
      <c r="CD226" s="221">
        <f t="shared" si="167"/>
        <v>1.5886769757884474</v>
      </c>
    </row>
    <row r="227" spans="1:82" ht="16.350000000000001" customHeight="1">
      <c r="A227" s="175">
        <f t="shared" si="144"/>
        <v>2025</v>
      </c>
      <c r="B227" s="454" t="str">
        <f t="shared" si="145"/>
        <v>14</v>
      </c>
      <c r="C227" s="454" t="str">
        <f t="array" ref="C227">_xlfn.IFS(_xlfn.NUMBERVALUE(B227)&lt;=13,"Q1",AND(_xlfn.NUMBERVALUE(B227)&gt;13,_xlfn.NUMBERVALUE(B227)&lt;=26),"Q2", AND(_xlfn.NUMBERVALUE(B227)&gt;26,_xlfn.NUMBERVALUE(B227)&lt;=39),"Q3",_xlfn.NUMBERVALUE(B227)&gt;39,"Q4")</f>
        <v>Q2</v>
      </c>
      <c r="D227" s="448">
        <f t="shared" si="165"/>
        <v>45409</v>
      </c>
      <c r="E227" s="448">
        <f t="shared" si="146"/>
        <v>45415</v>
      </c>
      <c r="F227" s="97">
        <v>202414</v>
      </c>
      <c r="G227" s="429">
        <v>8373</v>
      </c>
      <c r="H227" s="429">
        <v>9768</v>
      </c>
      <c r="I227" s="429"/>
      <c r="J227" s="429"/>
      <c r="K227" s="429">
        <v>9192</v>
      </c>
      <c r="L227" s="429">
        <v>9608</v>
      </c>
      <c r="M227" s="429"/>
      <c r="N227" s="429"/>
      <c r="O227" s="429">
        <v>8734</v>
      </c>
      <c r="P227" s="429">
        <v>5517</v>
      </c>
      <c r="Q227" s="429"/>
      <c r="R227" s="429"/>
      <c r="S227" s="429"/>
      <c r="T227" s="429"/>
      <c r="U227" s="429"/>
      <c r="V227" s="429"/>
      <c r="W227" s="429"/>
      <c r="X227" s="429"/>
      <c r="Y227" s="449">
        <f t="shared" si="133"/>
        <v>15357.600000000006</v>
      </c>
      <c r="Z227" s="449">
        <f t="shared" si="166"/>
        <v>51192</v>
      </c>
      <c r="AA227" s="214">
        <f>'Overall Metrics'!N228</f>
        <v>66549.600000000006</v>
      </c>
      <c r="AB227" s="429">
        <v>55388</v>
      </c>
      <c r="AC227" s="429">
        <v>55319</v>
      </c>
      <c r="AD227" s="429">
        <v>64211</v>
      </c>
      <c r="AE227" s="429">
        <v>81849</v>
      </c>
      <c r="AF227" s="429">
        <v>64242</v>
      </c>
      <c r="AG227" s="429">
        <v>56054</v>
      </c>
      <c r="AH227" s="429">
        <v>52376</v>
      </c>
      <c r="AI227" s="429">
        <v>67499</v>
      </c>
      <c r="AJ227" s="429">
        <v>63349</v>
      </c>
      <c r="AK227" s="429">
        <v>75890</v>
      </c>
      <c r="AL227" s="429">
        <v>70755</v>
      </c>
      <c r="AM227" s="429">
        <v>93236</v>
      </c>
      <c r="AN227" s="429">
        <v>88638</v>
      </c>
      <c r="AO227" s="429">
        <v>56589</v>
      </c>
      <c r="AP227" s="429">
        <v>88819</v>
      </c>
      <c r="AQ227" s="429">
        <v>61670</v>
      </c>
      <c r="AR227" s="219">
        <f t="shared" si="147"/>
        <v>1095884</v>
      </c>
      <c r="AS227" s="220">
        <f t="shared" si="148"/>
        <v>6.6150722560611488</v>
      </c>
      <c r="AT227" s="472">
        <f t="shared" si="149"/>
        <v>5.663288288288288</v>
      </c>
      <c r="AU227" s="472" t="str">
        <f t="shared" si="150"/>
        <v>-</v>
      </c>
      <c r="AV227" s="472" t="str">
        <f t="shared" si="151"/>
        <v>-</v>
      </c>
      <c r="AW227" s="472">
        <f t="shared" si="152"/>
        <v>6.9889033942558747</v>
      </c>
      <c r="AX227" s="472">
        <f t="shared" si="153"/>
        <v>5.8340965861781848</v>
      </c>
      <c r="AY227" s="472">
        <f t="shared" si="174"/>
        <v>5.9967941378520724</v>
      </c>
      <c r="AZ227" s="472">
        <f t="shared" si="182"/>
        <v>12.234729019394598</v>
      </c>
      <c r="BA227" s="472" t="str">
        <f t="shared" si="183"/>
        <v>-</v>
      </c>
      <c r="BB227" s="472" t="str">
        <f t="shared" si="175"/>
        <v>-</v>
      </c>
      <c r="BC227" s="472" t="str">
        <f t="shared" si="176"/>
        <v>-</v>
      </c>
      <c r="BD227" s="472" t="str">
        <f t="shared" si="177"/>
        <v>-</v>
      </c>
      <c r="BE227" s="472" t="str">
        <f t="shared" si="178"/>
        <v>-</v>
      </c>
      <c r="BF227" s="472" t="str">
        <f t="shared" si="179"/>
        <v>-</v>
      </c>
      <c r="BG227" s="472" t="str">
        <f t="shared" si="180"/>
        <v>-</v>
      </c>
      <c r="BH227" s="472" t="str">
        <f t="shared" si="181"/>
        <v>-</v>
      </c>
      <c r="BI227" s="221">
        <f t="shared" si="154"/>
        <v>21.407329270198467</v>
      </c>
      <c r="BJ227" s="730"/>
      <c r="BK227" s="692"/>
      <c r="BL227" s="429">
        <v>76726</v>
      </c>
      <c r="BM227" s="429">
        <v>56021</v>
      </c>
      <c r="BN227" s="214">
        <f t="shared" si="155"/>
        <v>132747</v>
      </c>
      <c r="BO227" s="742"/>
      <c r="BP227" s="742"/>
      <c r="BQ227" s="429">
        <v>58848</v>
      </c>
      <c r="BR227" s="429">
        <v>66898</v>
      </c>
      <c r="BS227" s="228">
        <f t="shared" si="156"/>
        <v>125746</v>
      </c>
      <c r="BT227" s="407" t="str">
        <f t="shared" si="184"/>
        <v>-</v>
      </c>
      <c r="BU227" s="529" t="str">
        <f t="shared" si="184"/>
        <v>-</v>
      </c>
      <c r="BV227" s="529">
        <f t="shared" si="168"/>
        <v>0.76698902588431561</v>
      </c>
      <c r="BW227" s="529">
        <f t="shared" si="169"/>
        <v>1.1941593331072275</v>
      </c>
      <c r="BX227" s="221">
        <f t="shared" si="170"/>
        <v>0.94726057839348532</v>
      </c>
      <c r="BY227" s="730">
        <v>13659</v>
      </c>
      <c r="BZ227" s="692">
        <v>50488</v>
      </c>
      <c r="CA227" s="693">
        <f t="shared" si="173"/>
        <v>64147</v>
      </c>
      <c r="CB227" s="407">
        <f t="shared" si="172"/>
        <v>0</v>
      </c>
      <c r="CC227" s="529">
        <f t="shared" si="163"/>
        <v>0</v>
      </c>
      <c r="CD227" s="221">
        <f t="shared" si="167"/>
        <v>1.9602787347810497</v>
      </c>
    </row>
    <row r="228" spans="1:82" ht="16.350000000000001" customHeight="1">
      <c r="A228" s="175">
        <f t="shared" si="144"/>
        <v>2025</v>
      </c>
      <c r="B228" s="454" t="str">
        <f t="shared" si="145"/>
        <v>15</v>
      </c>
      <c r="C228" s="454" t="str">
        <f t="array" ref="C228">_xlfn.IFS(_xlfn.NUMBERVALUE(B228)&lt;=13,"Q1",AND(_xlfn.NUMBERVALUE(B228)&gt;13,_xlfn.NUMBERVALUE(B228)&lt;=26),"Q2", AND(_xlfn.NUMBERVALUE(B228)&gt;26,_xlfn.NUMBERVALUE(B228)&lt;=39),"Q3",_xlfn.NUMBERVALUE(B228)&gt;39,"Q4")</f>
        <v>Q2</v>
      </c>
      <c r="D228" s="448">
        <f t="shared" si="165"/>
        <v>45416</v>
      </c>
      <c r="E228" s="448">
        <f t="shared" si="146"/>
        <v>45422</v>
      </c>
      <c r="F228" s="97">
        <v>202415</v>
      </c>
      <c r="G228" s="429">
        <v>10155</v>
      </c>
      <c r="H228" s="429">
        <v>5900</v>
      </c>
      <c r="I228" s="429"/>
      <c r="J228" s="429"/>
      <c r="K228" s="429">
        <v>7312</v>
      </c>
      <c r="L228" s="429">
        <v>9368</v>
      </c>
      <c r="M228" s="429"/>
      <c r="N228" s="429"/>
      <c r="O228" s="429">
        <v>5338</v>
      </c>
      <c r="P228" s="429">
        <v>6507</v>
      </c>
      <c r="Q228" s="429"/>
      <c r="R228" s="429"/>
      <c r="S228" s="429"/>
      <c r="T228" s="429"/>
      <c r="U228" s="429"/>
      <c r="V228" s="429"/>
      <c r="W228" s="429"/>
      <c r="X228" s="429"/>
      <c r="Y228" s="449">
        <f t="shared" si="133"/>
        <v>13374</v>
      </c>
      <c r="Z228" s="449">
        <f t="shared" si="166"/>
        <v>44580</v>
      </c>
      <c r="AA228" s="214">
        <f>'Overall Metrics'!N229</f>
        <v>57954</v>
      </c>
      <c r="AB228" s="429">
        <v>96380</v>
      </c>
      <c r="AC228" s="429">
        <v>80697</v>
      </c>
      <c r="AD228" s="429">
        <v>52323</v>
      </c>
      <c r="AE228" s="429">
        <v>50360</v>
      </c>
      <c r="AF228" s="429">
        <v>99259</v>
      </c>
      <c r="AG228" s="429">
        <v>85880</v>
      </c>
      <c r="AH228" s="429">
        <v>54897</v>
      </c>
      <c r="AI228" s="429">
        <v>95671</v>
      </c>
      <c r="AJ228" s="429">
        <v>52656</v>
      </c>
      <c r="AK228" s="429">
        <v>91397</v>
      </c>
      <c r="AL228" s="429">
        <v>73491</v>
      </c>
      <c r="AM228" s="429">
        <v>61238</v>
      </c>
      <c r="AN228" s="429">
        <v>86135</v>
      </c>
      <c r="AO228" s="429">
        <v>98824</v>
      </c>
      <c r="AP228" s="429">
        <v>71454</v>
      </c>
      <c r="AQ228" s="429">
        <v>57079</v>
      </c>
      <c r="AR228" s="219">
        <f t="shared" si="147"/>
        <v>1207741</v>
      </c>
      <c r="AS228" s="220">
        <f t="shared" si="148"/>
        <v>9.4908911866075822</v>
      </c>
      <c r="AT228" s="472">
        <f t="shared" si="149"/>
        <v>13.677457627118644</v>
      </c>
      <c r="AU228" s="472" t="str">
        <f t="shared" si="150"/>
        <v>-</v>
      </c>
      <c r="AV228" s="472" t="str">
        <f t="shared" si="151"/>
        <v>-</v>
      </c>
      <c r="AW228" s="472">
        <f t="shared" si="152"/>
        <v>13.574808533916849</v>
      </c>
      <c r="AX228" s="472">
        <f t="shared" si="153"/>
        <v>9.1673783091374901</v>
      </c>
      <c r="AY228" s="472">
        <f t="shared" si="174"/>
        <v>10.284188834769576</v>
      </c>
      <c r="AZ228" s="472">
        <f t="shared" si="182"/>
        <v>14.702781619794068</v>
      </c>
      <c r="BA228" s="472" t="str">
        <f t="shared" si="183"/>
        <v>-</v>
      </c>
      <c r="BB228" s="472" t="str">
        <f t="shared" si="175"/>
        <v>-</v>
      </c>
      <c r="BC228" s="472" t="str">
        <f t="shared" si="176"/>
        <v>-</v>
      </c>
      <c r="BD228" s="472" t="str">
        <f t="shared" si="177"/>
        <v>-</v>
      </c>
      <c r="BE228" s="472" t="str">
        <f t="shared" si="178"/>
        <v>-</v>
      </c>
      <c r="BF228" s="472" t="str">
        <f t="shared" si="179"/>
        <v>-</v>
      </c>
      <c r="BG228" s="472" t="str">
        <f t="shared" si="180"/>
        <v>-</v>
      </c>
      <c r="BH228" s="472" t="str">
        <f t="shared" si="181"/>
        <v>-</v>
      </c>
      <c r="BI228" s="221">
        <f t="shared" si="154"/>
        <v>27.091543292956484</v>
      </c>
      <c r="BJ228" s="730"/>
      <c r="BK228" s="692"/>
      <c r="BL228" s="429">
        <v>88638</v>
      </c>
      <c r="BM228" s="429">
        <v>90550</v>
      </c>
      <c r="BN228" s="214">
        <f t="shared" si="155"/>
        <v>179188</v>
      </c>
      <c r="BO228" s="742"/>
      <c r="BP228" s="742"/>
      <c r="BQ228" s="429">
        <v>55620</v>
      </c>
      <c r="BR228" s="429">
        <v>53500</v>
      </c>
      <c r="BS228" s="228">
        <f t="shared" si="156"/>
        <v>109120</v>
      </c>
      <c r="BT228" s="407" t="str">
        <f t="shared" si="184"/>
        <v>-</v>
      </c>
      <c r="BU228" s="529" t="str">
        <f t="shared" si="184"/>
        <v>-</v>
      </c>
      <c r="BV228" s="529">
        <f t="shared" si="168"/>
        <v>0.62749610776416431</v>
      </c>
      <c r="BW228" s="529">
        <f t="shared" si="169"/>
        <v>0.59083379348426279</v>
      </c>
      <c r="BX228" s="221">
        <f t="shared" si="170"/>
        <v>0.60896935062615798</v>
      </c>
      <c r="BY228" s="730">
        <v>1032</v>
      </c>
      <c r="BZ228" s="692">
        <v>15818</v>
      </c>
      <c r="CA228" s="693">
        <f t="shared" si="173"/>
        <v>16850</v>
      </c>
      <c r="CB228" s="407">
        <f t="shared" si="172"/>
        <v>0</v>
      </c>
      <c r="CC228" s="529">
        <f t="shared" si="163"/>
        <v>0</v>
      </c>
      <c r="CD228" s="221">
        <f t="shared" si="167"/>
        <v>6.4759643916913943</v>
      </c>
    </row>
    <row r="229" spans="1:82" ht="16.350000000000001" customHeight="1">
      <c r="A229" s="175">
        <f t="shared" si="144"/>
        <v>2025</v>
      </c>
      <c r="B229" s="454" t="str">
        <f t="shared" si="145"/>
        <v>16</v>
      </c>
      <c r="C229" s="454" t="str">
        <f t="array" ref="C229">_xlfn.IFS(_xlfn.NUMBERVALUE(B229)&lt;=13,"Q1",AND(_xlfn.NUMBERVALUE(B229)&gt;13,_xlfn.NUMBERVALUE(B229)&lt;=26),"Q2", AND(_xlfn.NUMBERVALUE(B229)&gt;26,_xlfn.NUMBERVALUE(B229)&lt;=39),"Q3",_xlfn.NUMBERVALUE(B229)&gt;39,"Q4")</f>
        <v>Q2</v>
      </c>
      <c r="D229" s="448">
        <f t="shared" si="165"/>
        <v>45423</v>
      </c>
      <c r="E229" s="448">
        <f t="shared" si="146"/>
        <v>45429</v>
      </c>
      <c r="F229" s="97">
        <v>202416</v>
      </c>
      <c r="G229" s="429">
        <v>11561</v>
      </c>
      <c r="H229" s="429">
        <v>11638</v>
      </c>
      <c r="I229" s="429"/>
      <c r="J229" s="429"/>
      <c r="K229" s="429">
        <v>7386</v>
      </c>
      <c r="L229" s="429">
        <v>9857</v>
      </c>
      <c r="M229" s="429"/>
      <c r="N229" s="429"/>
      <c r="O229" s="429">
        <v>9672</v>
      </c>
      <c r="P229" s="429">
        <v>8112</v>
      </c>
      <c r="Q229" s="429"/>
      <c r="R229" s="429"/>
      <c r="S229" s="429"/>
      <c r="T229" s="429"/>
      <c r="U229" s="429"/>
      <c r="V229" s="429"/>
      <c r="W229" s="429"/>
      <c r="X229" s="429"/>
      <c r="Y229" s="449">
        <f t="shared" si="133"/>
        <v>17467.800000000003</v>
      </c>
      <c r="Z229" s="449">
        <f t="shared" si="166"/>
        <v>58226</v>
      </c>
      <c r="AA229" s="214">
        <f>'Overall Metrics'!N230</f>
        <v>75693.8</v>
      </c>
      <c r="AB229" s="429">
        <v>74986</v>
      </c>
      <c r="AC229" s="429">
        <v>83176</v>
      </c>
      <c r="AD229" s="429">
        <v>60881</v>
      </c>
      <c r="AE229" s="429">
        <v>73478</v>
      </c>
      <c r="AF229" s="429">
        <v>63136</v>
      </c>
      <c r="AG229" s="429">
        <v>70240</v>
      </c>
      <c r="AH229" s="429">
        <v>88719</v>
      </c>
      <c r="AI229" s="429">
        <v>98471</v>
      </c>
      <c r="AJ229" s="429">
        <v>75533</v>
      </c>
      <c r="AK229" s="429">
        <v>89441</v>
      </c>
      <c r="AL229" s="429">
        <v>92546</v>
      </c>
      <c r="AM229" s="429">
        <v>53227</v>
      </c>
      <c r="AN229" s="429">
        <v>93606</v>
      </c>
      <c r="AO229" s="429">
        <v>74642</v>
      </c>
      <c r="AP229" s="429">
        <v>51327</v>
      </c>
      <c r="AQ229" s="429">
        <v>50261</v>
      </c>
      <c r="AR229" s="219">
        <f t="shared" si="147"/>
        <v>1193670</v>
      </c>
      <c r="AS229" s="220">
        <f t="shared" si="148"/>
        <v>6.4861171178963755</v>
      </c>
      <c r="AT229" s="472">
        <f t="shared" si="149"/>
        <v>7.146932462622444</v>
      </c>
      <c r="AU229" s="472" t="str">
        <f t="shared" si="150"/>
        <v>-</v>
      </c>
      <c r="AV229" s="472" t="str">
        <f t="shared" si="151"/>
        <v>-</v>
      </c>
      <c r="AW229" s="472">
        <f t="shared" si="152"/>
        <v>8.5480639046845379</v>
      </c>
      <c r="AX229" s="472">
        <f t="shared" si="153"/>
        <v>7.1259003753677588</v>
      </c>
      <c r="AY229" s="472">
        <f t="shared" si="174"/>
        <v>9.1727667493796528</v>
      </c>
      <c r="AZ229" s="472">
        <f t="shared" si="182"/>
        <v>12.138929980276133</v>
      </c>
      <c r="BA229" s="472" t="str">
        <f t="shared" si="183"/>
        <v>-</v>
      </c>
      <c r="BB229" s="472" t="str">
        <f t="shared" si="175"/>
        <v>-</v>
      </c>
      <c r="BC229" s="472" t="str">
        <f t="shared" si="176"/>
        <v>-</v>
      </c>
      <c r="BD229" s="472" t="str">
        <f t="shared" si="177"/>
        <v>-</v>
      </c>
      <c r="BE229" s="472" t="str">
        <f t="shared" si="178"/>
        <v>-</v>
      </c>
      <c r="BF229" s="472" t="str">
        <f t="shared" si="179"/>
        <v>-</v>
      </c>
      <c r="BG229" s="472" t="str">
        <f t="shared" si="180"/>
        <v>-</v>
      </c>
      <c r="BH229" s="472" t="str">
        <f t="shared" si="181"/>
        <v>-</v>
      </c>
      <c r="BI229" s="221">
        <f t="shared" si="154"/>
        <v>20.500635454951396</v>
      </c>
      <c r="BJ229" s="692"/>
      <c r="BK229" s="692"/>
      <c r="BL229" s="429">
        <v>91798</v>
      </c>
      <c r="BM229" s="429">
        <v>60208</v>
      </c>
      <c r="BN229" s="214">
        <f t="shared" si="155"/>
        <v>152006</v>
      </c>
      <c r="BO229" s="742"/>
      <c r="BP229" s="742"/>
      <c r="BQ229" s="429">
        <v>79107</v>
      </c>
      <c r="BR229" s="429">
        <v>65065</v>
      </c>
      <c r="BS229" s="228">
        <f t="shared" si="156"/>
        <v>144172</v>
      </c>
      <c r="BT229" s="407" t="str">
        <f t="shared" si="184"/>
        <v>-</v>
      </c>
      <c r="BU229" s="529" t="str">
        <f t="shared" si="184"/>
        <v>-</v>
      </c>
      <c r="BV229" s="529">
        <f t="shared" si="168"/>
        <v>0.8617508006710386</v>
      </c>
      <c r="BW229" s="529">
        <f t="shared" si="169"/>
        <v>1.0806703428115865</v>
      </c>
      <c r="BX229" s="221">
        <f t="shared" si="170"/>
        <v>0.94846256068839385</v>
      </c>
      <c r="BY229" s="730">
        <v>0</v>
      </c>
      <c r="BZ229" s="692">
        <v>29578</v>
      </c>
      <c r="CA229" s="693">
        <f t="shared" si="173"/>
        <v>29578</v>
      </c>
      <c r="CB229" s="407" t="str">
        <f t="shared" si="172"/>
        <v>-</v>
      </c>
      <c r="CC229" s="529">
        <f t="shared" si="163"/>
        <v>0</v>
      </c>
      <c r="CD229" s="221">
        <f t="shared" si="167"/>
        <v>4.8742984650753938</v>
      </c>
    </row>
    <row r="230" spans="1:82" ht="16.350000000000001" customHeight="1">
      <c r="A230" s="175">
        <f t="shared" si="144"/>
        <v>2025</v>
      </c>
      <c r="B230" s="454" t="str">
        <f t="shared" si="145"/>
        <v>17</v>
      </c>
      <c r="C230" s="454" t="str">
        <f t="array" ref="C230">_xlfn.IFS(_xlfn.NUMBERVALUE(B230)&lt;=13,"Q1",AND(_xlfn.NUMBERVALUE(B230)&gt;13,_xlfn.NUMBERVALUE(B230)&lt;=26),"Q2", AND(_xlfn.NUMBERVALUE(B230)&gt;26,_xlfn.NUMBERVALUE(B230)&lt;=39),"Q3",_xlfn.NUMBERVALUE(B230)&gt;39,"Q4")</f>
        <v>Q2</v>
      </c>
      <c r="D230" s="448">
        <f t="shared" si="165"/>
        <v>45430</v>
      </c>
      <c r="E230" s="448">
        <f t="shared" si="146"/>
        <v>45436</v>
      </c>
      <c r="F230" s="97">
        <v>202417</v>
      </c>
      <c r="G230" s="429">
        <v>14697</v>
      </c>
      <c r="H230" s="429">
        <v>9752</v>
      </c>
      <c r="I230" s="429"/>
      <c r="J230" s="429"/>
      <c r="K230" s="429">
        <v>7492</v>
      </c>
      <c r="L230" s="429">
        <v>8167</v>
      </c>
      <c r="M230" s="429"/>
      <c r="N230" s="429"/>
      <c r="O230" s="429">
        <v>7517</v>
      </c>
      <c r="P230" s="429">
        <v>8819</v>
      </c>
      <c r="Q230" s="429"/>
      <c r="R230" s="429"/>
      <c r="S230" s="429"/>
      <c r="T230" s="429"/>
      <c r="U230" s="429"/>
      <c r="V230" s="429"/>
      <c r="W230" s="429"/>
      <c r="X230" s="429"/>
      <c r="Y230" s="449">
        <f t="shared" si="133"/>
        <v>16933.200000000012</v>
      </c>
      <c r="Z230" s="449">
        <f t="shared" si="166"/>
        <v>56444</v>
      </c>
      <c r="AA230" s="214">
        <f>'Overall Metrics'!N231</f>
        <v>73377.200000000012</v>
      </c>
      <c r="AB230" s="429">
        <v>84546</v>
      </c>
      <c r="AC230" s="429">
        <v>63392</v>
      </c>
      <c r="AD230" s="429">
        <v>60061</v>
      </c>
      <c r="AE230" s="429">
        <v>65025</v>
      </c>
      <c r="AF230" s="429">
        <v>74467</v>
      </c>
      <c r="AG230" s="429">
        <v>71220</v>
      </c>
      <c r="AH230" s="429">
        <v>92312</v>
      </c>
      <c r="AI230" s="429">
        <v>80356</v>
      </c>
      <c r="AJ230" s="429">
        <v>92666</v>
      </c>
      <c r="AK230" s="429">
        <v>84208</v>
      </c>
      <c r="AL230" s="429">
        <v>78559</v>
      </c>
      <c r="AM230" s="429">
        <v>68184</v>
      </c>
      <c r="AN230" s="429">
        <v>68069</v>
      </c>
      <c r="AO230" s="429">
        <v>68590</v>
      </c>
      <c r="AP230" s="429">
        <v>80695</v>
      </c>
      <c r="AQ230" s="429">
        <v>92018</v>
      </c>
      <c r="AR230" s="219">
        <f t="shared" si="147"/>
        <v>1224368</v>
      </c>
      <c r="AS230" s="220">
        <f t="shared" si="148"/>
        <v>5.7526025719534601</v>
      </c>
      <c r="AT230" s="472">
        <f t="shared" si="149"/>
        <v>6.5004101722723542</v>
      </c>
      <c r="AU230" s="472" t="str">
        <f t="shared" si="150"/>
        <v>-</v>
      </c>
      <c r="AV230" s="472" t="str">
        <f t="shared" si="151"/>
        <v>-</v>
      </c>
      <c r="AW230" s="472">
        <f t="shared" si="152"/>
        <v>9.9395355045381741</v>
      </c>
      <c r="AX230" s="472">
        <f t="shared" si="153"/>
        <v>8.720460389371862</v>
      </c>
      <c r="AY230" s="472">
        <f t="shared" si="174"/>
        <v>12.280431023014501</v>
      </c>
      <c r="AZ230" s="472">
        <f t="shared" si="182"/>
        <v>9.1116906678761769</v>
      </c>
      <c r="BA230" s="472" t="str">
        <f t="shared" si="183"/>
        <v>-</v>
      </c>
      <c r="BB230" s="472" t="str">
        <f t="shared" si="175"/>
        <v>-</v>
      </c>
      <c r="BC230" s="472" t="str">
        <f t="shared" si="176"/>
        <v>-</v>
      </c>
      <c r="BD230" s="472" t="str">
        <f t="shared" si="177"/>
        <v>-</v>
      </c>
      <c r="BE230" s="472" t="str">
        <f t="shared" si="178"/>
        <v>-</v>
      </c>
      <c r="BF230" s="472" t="str">
        <f t="shared" si="179"/>
        <v>-</v>
      </c>
      <c r="BG230" s="472" t="str">
        <f t="shared" si="180"/>
        <v>-</v>
      </c>
      <c r="BH230" s="472" t="str">
        <f t="shared" si="181"/>
        <v>-</v>
      </c>
      <c r="BI230" s="221">
        <f t="shared" si="154"/>
        <v>21.691729856140601</v>
      </c>
      <c r="BJ230" s="735"/>
      <c r="BK230" s="692"/>
      <c r="BL230" s="429">
        <v>73638</v>
      </c>
      <c r="BM230" s="429">
        <v>93003</v>
      </c>
      <c r="BN230" s="214">
        <f t="shared" si="155"/>
        <v>166641</v>
      </c>
      <c r="BO230" s="742"/>
      <c r="BP230" s="742"/>
      <c r="BQ230" s="429">
        <v>76830</v>
      </c>
      <c r="BR230" s="429">
        <v>55833</v>
      </c>
      <c r="BS230" s="228">
        <f t="shared" si="156"/>
        <v>132663</v>
      </c>
      <c r="BT230" s="407" t="str">
        <f t="shared" si="184"/>
        <v>-</v>
      </c>
      <c r="BU230" s="529" t="str">
        <f t="shared" si="184"/>
        <v>-</v>
      </c>
      <c r="BV230" s="529">
        <f t="shared" si="168"/>
        <v>1.043347184877373</v>
      </c>
      <c r="BW230" s="529">
        <f t="shared" si="169"/>
        <v>0.6003354730492565</v>
      </c>
      <c r="BX230" s="221">
        <f t="shared" si="170"/>
        <v>0.79610059949232181</v>
      </c>
      <c r="BY230" s="730">
        <v>0</v>
      </c>
      <c r="BZ230" s="692">
        <v>26436</v>
      </c>
      <c r="CA230" s="693">
        <f t="shared" si="173"/>
        <v>26436</v>
      </c>
      <c r="CB230" s="407" t="str">
        <f t="shared" si="172"/>
        <v>-</v>
      </c>
      <c r="CC230" s="529">
        <f t="shared" si="163"/>
        <v>0</v>
      </c>
      <c r="CD230" s="221">
        <f t="shared" si="167"/>
        <v>5.0182705401724919</v>
      </c>
    </row>
    <row r="231" spans="1:82" ht="16.350000000000001" customHeight="1">
      <c r="A231" s="175">
        <f t="shared" si="144"/>
        <v>2025</v>
      </c>
      <c r="B231" s="454" t="str">
        <f t="shared" si="145"/>
        <v>18</v>
      </c>
      <c r="C231" s="454" t="str">
        <f t="array" ref="C231">_xlfn.IFS(_xlfn.NUMBERVALUE(B231)&lt;=13,"Q1",AND(_xlfn.NUMBERVALUE(B231)&gt;13,_xlfn.NUMBERVALUE(B231)&lt;=26),"Q2", AND(_xlfn.NUMBERVALUE(B231)&gt;26,_xlfn.NUMBERVALUE(B231)&lt;=39),"Q3",_xlfn.NUMBERVALUE(B231)&gt;39,"Q4")</f>
        <v>Q2</v>
      </c>
      <c r="D231" s="448">
        <f t="shared" si="165"/>
        <v>45437</v>
      </c>
      <c r="E231" s="448">
        <f t="shared" si="146"/>
        <v>45443</v>
      </c>
      <c r="F231" s="97">
        <v>202418</v>
      </c>
      <c r="G231" s="429">
        <v>11115</v>
      </c>
      <c r="H231" s="429">
        <v>12919</v>
      </c>
      <c r="I231" s="429"/>
      <c r="J231" s="429"/>
      <c r="K231" s="429">
        <v>7038</v>
      </c>
      <c r="L231" s="429">
        <v>5584</v>
      </c>
      <c r="M231" s="429"/>
      <c r="N231" s="429"/>
      <c r="O231" s="429">
        <v>6806</v>
      </c>
      <c r="P231" s="429">
        <v>7534</v>
      </c>
      <c r="Q231" s="429"/>
      <c r="R231" s="429"/>
      <c r="S231" s="429"/>
      <c r="T231" s="429"/>
      <c r="U231" s="429"/>
      <c r="V231" s="429"/>
      <c r="W231" s="429"/>
      <c r="X231" s="429"/>
      <c r="Y231" s="449">
        <f t="shared" si="133"/>
        <v>15298.800000000003</v>
      </c>
      <c r="Z231" s="449">
        <f t="shared" si="166"/>
        <v>50996</v>
      </c>
      <c r="AA231" s="214">
        <f>'Overall Metrics'!N232</f>
        <v>66294.8</v>
      </c>
      <c r="AB231" s="429">
        <v>53012</v>
      </c>
      <c r="AC231" s="429">
        <v>98730</v>
      </c>
      <c r="AD231" s="429">
        <v>56917</v>
      </c>
      <c r="AE231" s="429">
        <v>76127</v>
      </c>
      <c r="AF231" s="429">
        <v>58952</v>
      </c>
      <c r="AG231" s="429">
        <v>68791</v>
      </c>
      <c r="AH231" s="429">
        <v>57946</v>
      </c>
      <c r="AI231" s="429">
        <v>94031</v>
      </c>
      <c r="AJ231" s="429">
        <v>96811</v>
      </c>
      <c r="AK231" s="429">
        <v>68150</v>
      </c>
      <c r="AL231" s="429">
        <v>62149</v>
      </c>
      <c r="AM231" s="429">
        <v>54986</v>
      </c>
      <c r="AN231" s="429">
        <v>53435</v>
      </c>
      <c r="AO231" s="429">
        <v>58270</v>
      </c>
      <c r="AP231" s="429">
        <v>53624</v>
      </c>
      <c r="AQ231" s="429">
        <v>74546</v>
      </c>
      <c r="AR231" s="219">
        <f t="shared" si="147"/>
        <v>1086477</v>
      </c>
      <c r="AS231" s="220">
        <f t="shared" si="148"/>
        <v>4.7694107062528115</v>
      </c>
      <c r="AT231" s="472">
        <f t="shared" si="149"/>
        <v>7.6422323709265427</v>
      </c>
      <c r="AU231" s="472" t="str">
        <f t="shared" si="150"/>
        <v>-</v>
      </c>
      <c r="AV231" s="472" t="str">
        <f t="shared" si="151"/>
        <v>-</v>
      </c>
      <c r="AW231" s="472">
        <f t="shared" si="152"/>
        <v>8.376243250923558</v>
      </c>
      <c r="AX231" s="472">
        <f t="shared" si="153"/>
        <v>12.319305157593123</v>
      </c>
      <c r="AY231" s="472">
        <f t="shared" si="174"/>
        <v>8.5139582721128413</v>
      </c>
      <c r="AZ231" s="472">
        <f t="shared" si="182"/>
        <v>12.480886647199362</v>
      </c>
      <c r="BA231" s="472" t="str">
        <f t="shared" si="183"/>
        <v>-</v>
      </c>
      <c r="BB231" s="472" t="str">
        <f t="shared" si="175"/>
        <v>-</v>
      </c>
      <c r="BC231" s="472" t="str">
        <f t="shared" si="176"/>
        <v>-</v>
      </c>
      <c r="BD231" s="472" t="str">
        <f t="shared" si="177"/>
        <v>-</v>
      </c>
      <c r="BE231" s="472" t="str">
        <f t="shared" si="178"/>
        <v>-</v>
      </c>
      <c r="BF231" s="472" t="str">
        <f t="shared" si="179"/>
        <v>-</v>
      </c>
      <c r="BG231" s="472" t="str">
        <f t="shared" si="180"/>
        <v>-</v>
      </c>
      <c r="BH231" s="472" t="str">
        <f t="shared" si="181"/>
        <v>-</v>
      </c>
      <c r="BI231" s="221">
        <f t="shared" si="154"/>
        <v>21.305141579731742</v>
      </c>
      <c r="BJ231" s="692"/>
      <c r="BK231" s="692"/>
      <c r="BL231" s="429">
        <v>83472</v>
      </c>
      <c r="BM231" s="429">
        <v>91908</v>
      </c>
      <c r="BN231" s="214">
        <f t="shared" si="155"/>
        <v>175380</v>
      </c>
      <c r="BO231" s="742"/>
      <c r="BP231" s="742"/>
      <c r="BQ231" s="429">
        <v>64501</v>
      </c>
      <c r="BR231" s="429">
        <v>96230</v>
      </c>
      <c r="BS231" s="228">
        <f t="shared" si="156"/>
        <v>160731</v>
      </c>
      <c r="BT231" s="407" t="str">
        <f t="shared" si="184"/>
        <v>-</v>
      </c>
      <c r="BU231" s="529" t="str">
        <f t="shared" si="184"/>
        <v>-</v>
      </c>
      <c r="BV231" s="529">
        <f t="shared" si="168"/>
        <v>0.77272618363043899</v>
      </c>
      <c r="BW231" s="529">
        <f t="shared" si="169"/>
        <v>1.047025286155721</v>
      </c>
      <c r="BX231" s="221">
        <f t="shared" si="170"/>
        <v>0.91647280191583991</v>
      </c>
      <c r="BY231" s="730"/>
      <c r="BZ231" s="692">
        <v>9627</v>
      </c>
      <c r="CA231" s="693">
        <f t="shared" si="173"/>
        <v>9627</v>
      </c>
      <c r="CB231" s="407" t="str">
        <f t="shared" si="172"/>
        <v>-</v>
      </c>
      <c r="CC231" s="529">
        <f t="shared" si="163"/>
        <v>0</v>
      </c>
      <c r="CD231" s="221">
        <f t="shared" si="167"/>
        <v>16.695855406668745</v>
      </c>
    </row>
    <row r="232" spans="1:82" ht="16.350000000000001" customHeight="1">
      <c r="A232" s="175">
        <f t="shared" si="144"/>
        <v>2025</v>
      </c>
      <c r="B232" s="454" t="str">
        <f t="shared" si="145"/>
        <v>19</v>
      </c>
      <c r="C232" s="454" t="str">
        <f t="array" ref="C232">_xlfn.IFS(_xlfn.NUMBERVALUE(B232)&lt;=13,"Q1",AND(_xlfn.NUMBERVALUE(B232)&gt;13,_xlfn.NUMBERVALUE(B232)&lt;=26),"Q2", AND(_xlfn.NUMBERVALUE(B232)&gt;26,_xlfn.NUMBERVALUE(B232)&lt;=39),"Q3",_xlfn.NUMBERVALUE(B232)&gt;39,"Q4")</f>
        <v>Q2</v>
      </c>
      <c r="D232" s="448">
        <f t="shared" si="165"/>
        <v>45444</v>
      </c>
      <c r="E232" s="448">
        <f t="shared" si="146"/>
        <v>45450</v>
      </c>
      <c r="F232" s="97">
        <v>202419</v>
      </c>
      <c r="G232" s="429">
        <v>8314</v>
      </c>
      <c r="H232" s="429">
        <v>14054</v>
      </c>
      <c r="I232" s="429"/>
      <c r="J232" s="429"/>
      <c r="K232" s="429">
        <v>8268</v>
      </c>
      <c r="L232" s="429">
        <v>9748</v>
      </c>
      <c r="M232" s="429"/>
      <c r="N232" s="429"/>
      <c r="O232" s="429">
        <v>5027</v>
      </c>
      <c r="P232" s="429">
        <v>7853</v>
      </c>
      <c r="Q232" s="429"/>
      <c r="R232" s="429"/>
      <c r="S232" s="429"/>
      <c r="T232" s="429"/>
      <c r="U232" s="429"/>
      <c r="V232" s="429"/>
      <c r="W232" s="429"/>
      <c r="X232" s="429"/>
      <c r="Y232" s="449">
        <f t="shared" si="133"/>
        <v>15979.200000000012</v>
      </c>
      <c r="Z232" s="449">
        <f t="shared" si="166"/>
        <v>53264</v>
      </c>
      <c r="AA232" s="214">
        <f>'Overall Metrics'!N233</f>
        <v>69243.200000000012</v>
      </c>
      <c r="AB232" s="429">
        <v>88029</v>
      </c>
      <c r="AC232" s="429">
        <v>97609</v>
      </c>
      <c r="AD232" s="429">
        <v>99742</v>
      </c>
      <c r="AE232" s="429">
        <v>54062</v>
      </c>
      <c r="AF232" s="429">
        <v>51825</v>
      </c>
      <c r="AG232" s="429">
        <v>59505</v>
      </c>
      <c r="AH232" s="429">
        <v>73889</v>
      </c>
      <c r="AI232" s="429">
        <v>95791</v>
      </c>
      <c r="AJ232" s="429">
        <v>94364</v>
      </c>
      <c r="AK232" s="429">
        <v>52862</v>
      </c>
      <c r="AL232" s="429">
        <v>68397</v>
      </c>
      <c r="AM232" s="429">
        <v>84490</v>
      </c>
      <c r="AN232" s="429">
        <v>75472</v>
      </c>
      <c r="AO232" s="429">
        <v>66586</v>
      </c>
      <c r="AP232" s="429">
        <v>61150</v>
      </c>
      <c r="AQ232" s="429">
        <v>85950</v>
      </c>
      <c r="AR232" s="219">
        <f t="shared" si="147"/>
        <v>1209723</v>
      </c>
      <c r="AS232" s="220">
        <f t="shared" si="148"/>
        <v>10.58804426268944</v>
      </c>
      <c r="AT232" s="472">
        <f t="shared" si="149"/>
        <v>6.9452824818556991</v>
      </c>
      <c r="AU232" s="472" t="str">
        <f t="shared" si="150"/>
        <v>-</v>
      </c>
      <c r="AV232" s="472" t="str">
        <f t="shared" si="151"/>
        <v>-</v>
      </c>
      <c r="AW232" s="472">
        <f t="shared" si="152"/>
        <v>6.2681422351233671</v>
      </c>
      <c r="AX232" s="472">
        <f t="shared" si="153"/>
        <v>6.104329093147312</v>
      </c>
      <c r="AY232" s="472">
        <f t="shared" si="174"/>
        <v>14.698428486174658</v>
      </c>
      <c r="AZ232" s="472">
        <f t="shared" si="182"/>
        <v>12.198013498026231</v>
      </c>
      <c r="BA232" s="472" t="str">
        <f t="shared" si="183"/>
        <v>-</v>
      </c>
      <c r="BB232" s="472" t="str">
        <f t="shared" si="175"/>
        <v>-</v>
      </c>
      <c r="BC232" s="472" t="str">
        <f t="shared" si="176"/>
        <v>-</v>
      </c>
      <c r="BD232" s="472" t="str">
        <f t="shared" si="177"/>
        <v>-</v>
      </c>
      <c r="BE232" s="472" t="str">
        <f t="shared" si="178"/>
        <v>-</v>
      </c>
      <c r="BF232" s="472" t="str">
        <f t="shared" si="179"/>
        <v>-</v>
      </c>
      <c r="BG232" s="472" t="str">
        <f t="shared" si="180"/>
        <v>-</v>
      </c>
      <c r="BH232" s="472" t="str">
        <f t="shared" si="181"/>
        <v>-</v>
      </c>
      <c r="BI232" s="221">
        <f t="shared" si="154"/>
        <v>22.711831631120457</v>
      </c>
      <c r="BJ232" s="692"/>
      <c r="BK232" s="692"/>
      <c r="BL232" s="429">
        <v>70591</v>
      </c>
      <c r="BM232" s="429">
        <v>85496</v>
      </c>
      <c r="BN232" s="214">
        <f t="shared" si="155"/>
        <v>156087</v>
      </c>
      <c r="BO232" s="742"/>
      <c r="BP232" s="742"/>
      <c r="BQ232" s="429">
        <v>81368</v>
      </c>
      <c r="BR232" s="429">
        <v>58780</v>
      </c>
      <c r="BS232" s="228">
        <f t="shared" si="156"/>
        <v>140148</v>
      </c>
      <c r="BT232" s="407" t="str">
        <f t="shared" si="184"/>
        <v>-</v>
      </c>
      <c r="BU232" s="529" t="str">
        <f t="shared" si="184"/>
        <v>-</v>
      </c>
      <c r="BV232" s="529">
        <f t="shared" si="168"/>
        <v>1.1526681871626694</v>
      </c>
      <c r="BW232" s="529">
        <f t="shared" si="169"/>
        <v>0.6875175446804529</v>
      </c>
      <c r="BX232" s="221">
        <f t="shared" si="170"/>
        <v>0.89788387245574586</v>
      </c>
      <c r="BY232" s="730"/>
      <c r="BZ232" s="692">
        <v>39263</v>
      </c>
      <c r="CA232" s="693">
        <f t="shared" si="173"/>
        <v>39263</v>
      </c>
      <c r="CB232" s="407" t="str">
        <f t="shared" si="172"/>
        <v>-</v>
      </c>
      <c r="CC232" s="529">
        <f t="shared" si="163"/>
        <v>0</v>
      </c>
      <c r="CD232" s="221">
        <f t="shared" si="167"/>
        <v>3.5694674375366122</v>
      </c>
    </row>
    <row r="233" spans="1:82" ht="16.350000000000001" customHeight="1">
      <c r="A233" s="175">
        <f t="shared" si="144"/>
        <v>2025</v>
      </c>
      <c r="B233" s="454" t="str">
        <f t="shared" si="145"/>
        <v>20</v>
      </c>
      <c r="C233" s="454" t="str">
        <f t="array" ref="C233">_xlfn.IFS(_xlfn.NUMBERVALUE(B233)&lt;=13,"Q1",AND(_xlfn.NUMBERVALUE(B233)&gt;13,_xlfn.NUMBERVALUE(B233)&lt;=26),"Q2", AND(_xlfn.NUMBERVALUE(B233)&gt;26,_xlfn.NUMBERVALUE(B233)&lt;=39),"Q3",_xlfn.NUMBERVALUE(B233)&gt;39,"Q4")</f>
        <v>Q2</v>
      </c>
      <c r="D233" s="448">
        <f t="shared" si="165"/>
        <v>45451</v>
      </c>
      <c r="E233" s="448">
        <f t="shared" si="146"/>
        <v>45457</v>
      </c>
      <c r="F233" s="97">
        <v>202420</v>
      </c>
      <c r="G233" s="429">
        <v>7438</v>
      </c>
      <c r="H233" s="429">
        <v>8105</v>
      </c>
      <c r="I233" s="429"/>
      <c r="J233" s="429"/>
      <c r="K233" s="429">
        <v>8894</v>
      </c>
      <c r="L233" s="429">
        <v>6562</v>
      </c>
      <c r="M233" s="429"/>
      <c r="N233" s="429"/>
      <c r="O233" s="429">
        <v>8873</v>
      </c>
      <c r="P233" s="429">
        <v>9925</v>
      </c>
      <c r="Q233" s="429"/>
      <c r="R233" s="429"/>
      <c r="S233" s="429"/>
      <c r="T233" s="429"/>
      <c r="U233" s="429"/>
      <c r="V233" s="429"/>
      <c r="W233" s="429"/>
      <c r="X233" s="429"/>
      <c r="Y233" s="449">
        <f t="shared" si="133"/>
        <v>14939.099999999999</v>
      </c>
      <c r="Z233" s="449">
        <f t="shared" si="166"/>
        <v>49797</v>
      </c>
      <c r="AA233" s="214">
        <f>'Overall Metrics'!N234</f>
        <v>64736.1</v>
      </c>
      <c r="AB233" s="429">
        <v>77382</v>
      </c>
      <c r="AC233" s="429">
        <v>61920</v>
      </c>
      <c r="AD233" s="429">
        <v>66345</v>
      </c>
      <c r="AE233" s="429">
        <v>59268</v>
      </c>
      <c r="AF233" s="429">
        <v>80619</v>
      </c>
      <c r="AG233" s="429">
        <v>52571</v>
      </c>
      <c r="AH233" s="429">
        <v>72871</v>
      </c>
      <c r="AI233" s="429">
        <v>92500</v>
      </c>
      <c r="AJ233" s="429">
        <v>55557</v>
      </c>
      <c r="AK233" s="429">
        <v>78729</v>
      </c>
      <c r="AL233" s="429">
        <v>70116</v>
      </c>
      <c r="AM233" s="429">
        <v>75328</v>
      </c>
      <c r="AN233" s="429">
        <v>82417</v>
      </c>
      <c r="AO233" s="429">
        <v>95799</v>
      </c>
      <c r="AP233" s="429">
        <v>61510</v>
      </c>
      <c r="AQ233" s="429">
        <v>77207</v>
      </c>
      <c r="AR233" s="219">
        <f t="shared" si="147"/>
        <v>1160139</v>
      </c>
      <c r="AS233" s="220">
        <f t="shared" si="148"/>
        <v>10.403603119118042</v>
      </c>
      <c r="AT233" s="472">
        <f t="shared" si="149"/>
        <v>7.6397285626156695</v>
      </c>
      <c r="AU233" s="472" t="str">
        <f t="shared" si="150"/>
        <v>-</v>
      </c>
      <c r="AV233" s="472" t="str">
        <f t="shared" si="151"/>
        <v>-</v>
      </c>
      <c r="AW233" s="472">
        <f t="shared" si="152"/>
        <v>9.0644254553631658</v>
      </c>
      <c r="AX233" s="472">
        <f t="shared" si="153"/>
        <v>8.0114294422432177</v>
      </c>
      <c r="AY233" s="472">
        <f t="shared" si="174"/>
        <v>8.2126676434125994</v>
      </c>
      <c r="AZ233" s="472">
        <f t="shared" si="182"/>
        <v>9.3198992443324933</v>
      </c>
      <c r="BA233" s="472" t="str">
        <f t="shared" si="183"/>
        <v>-</v>
      </c>
      <c r="BB233" s="472" t="str">
        <f t="shared" si="175"/>
        <v>-</v>
      </c>
      <c r="BC233" s="472" t="str">
        <f t="shared" si="176"/>
        <v>-</v>
      </c>
      <c r="BD233" s="472" t="str">
        <f t="shared" si="177"/>
        <v>-</v>
      </c>
      <c r="BE233" s="472" t="str">
        <f t="shared" si="178"/>
        <v>-</v>
      </c>
      <c r="BF233" s="472" t="str">
        <f t="shared" si="179"/>
        <v>-</v>
      </c>
      <c r="BG233" s="472" t="str">
        <f t="shared" si="180"/>
        <v>-</v>
      </c>
      <c r="BH233" s="472" t="str">
        <f t="shared" si="181"/>
        <v>-</v>
      </c>
      <c r="BI233" s="221">
        <f t="shared" si="154"/>
        <v>23.297367311283811</v>
      </c>
      <c r="BJ233" s="692"/>
      <c r="BK233" s="692"/>
      <c r="BL233" s="429">
        <v>63498</v>
      </c>
      <c r="BM233" s="429">
        <v>67888</v>
      </c>
      <c r="BN233" s="214">
        <f t="shared" si="155"/>
        <v>131386</v>
      </c>
      <c r="BO233" s="742"/>
      <c r="BP233" s="742"/>
      <c r="BQ233" s="429">
        <v>76699</v>
      </c>
      <c r="BR233" s="429">
        <v>95938</v>
      </c>
      <c r="BS233" s="228">
        <f t="shared" si="156"/>
        <v>172637</v>
      </c>
      <c r="BT233" s="407" t="str">
        <f t="shared" ref="BT233:BT264" si="185">IFERROR(BO233/BJ233,"-")</f>
        <v>-</v>
      </c>
      <c r="BU233" s="529" t="s">
        <v>309</v>
      </c>
      <c r="BV233" s="529">
        <f t="shared" si="168"/>
        <v>1.2078963116948565</v>
      </c>
      <c r="BW233" s="529">
        <f t="shared" si="169"/>
        <v>1.4131805326419986</v>
      </c>
      <c r="BX233" s="221">
        <f t="shared" si="170"/>
        <v>1.3139680026791287</v>
      </c>
      <c r="BY233" s="730"/>
      <c r="BZ233" s="692">
        <v>39987</v>
      </c>
      <c r="CA233" s="693">
        <f t="shared" si="173"/>
        <v>39987</v>
      </c>
      <c r="CB233" s="407" t="str">
        <f t="shared" si="172"/>
        <v>-</v>
      </c>
      <c r="CC233" s="529">
        <f t="shared" si="163"/>
        <v>0</v>
      </c>
      <c r="CD233" s="221">
        <f t="shared" si="167"/>
        <v>4.3173281316427836</v>
      </c>
    </row>
    <row r="234" spans="1:82" ht="16.350000000000001" customHeight="1">
      <c r="A234" s="175">
        <f t="shared" si="144"/>
        <v>2025</v>
      </c>
      <c r="B234" s="454" t="str">
        <f t="shared" si="145"/>
        <v>21</v>
      </c>
      <c r="C234" s="454" t="str">
        <f t="array" ref="C234">_xlfn.IFS(_xlfn.NUMBERVALUE(B234)&lt;=13,"Q1",AND(_xlfn.NUMBERVALUE(B234)&gt;13,_xlfn.NUMBERVALUE(B234)&lt;=26),"Q2", AND(_xlfn.NUMBERVALUE(B234)&gt;26,_xlfn.NUMBERVALUE(B234)&lt;=39),"Q3",_xlfn.NUMBERVALUE(B234)&gt;39,"Q4")</f>
        <v>Q2</v>
      </c>
      <c r="D234" s="448">
        <f t="shared" si="165"/>
        <v>45458</v>
      </c>
      <c r="E234" s="448">
        <f t="shared" si="146"/>
        <v>45464</v>
      </c>
      <c r="F234" s="97">
        <v>202421</v>
      </c>
      <c r="G234" s="429">
        <v>10976</v>
      </c>
      <c r="H234" s="429">
        <v>6819</v>
      </c>
      <c r="I234" s="429"/>
      <c r="J234" s="429"/>
      <c r="K234" s="429">
        <v>5877</v>
      </c>
      <c r="L234" s="429">
        <v>8504</v>
      </c>
      <c r="M234" s="429"/>
      <c r="N234" s="429"/>
      <c r="O234" s="429">
        <v>8486</v>
      </c>
      <c r="P234" s="429">
        <v>6844</v>
      </c>
      <c r="Q234" s="429"/>
      <c r="R234" s="429"/>
      <c r="S234" s="429"/>
      <c r="T234" s="429"/>
      <c r="U234" s="429"/>
      <c r="V234" s="429"/>
      <c r="W234" s="429"/>
      <c r="X234" s="429"/>
      <c r="Y234" s="449">
        <f t="shared" si="133"/>
        <v>14251.800000000003</v>
      </c>
      <c r="Z234" s="449">
        <f t="shared" si="166"/>
        <v>47506</v>
      </c>
      <c r="AA234" s="214">
        <f>'Overall Metrics'!N235</f>
        <v>61757.8</v>
      </c>
      <c r="AB234" s="429">
        <v>86324</v>
      </c>
      <c r="AC234" s="429">
        <v>87573</v>
      </c>
      <c r="AD234" s="429">
        <v>61955</v>
      </c>
      <c r="AE234" s="429">
        <v>93764</v>
      </c>
      <c r="AF234" s="429">
        <v>68885</v>
      </c>
      <c r="AG234" s="429">
        <v>90592</v>
      </c>
      <c r="AH234" s="429">
        <v>78410</v>
      </c>
      <c r="AI234" s="429">
        <v>73420</v>
      </c>
      <c r="AJ234" s="429">
        <v>94398</v>
      </c>
      <c r="AK234" s="429">
        <v>54033</v>
      </c>
      <c r="AL234" s="429">
        <v>59222</v>
      </c>
      <c r="AM234" s="429">
        <v>93886</v>
      </c>
      <c r="AN234" s="429">
        <v>85026</v>
      </c>
      <c r="AO234" s="429">
        <v>62193</v>
      </c>
      <c r="AP234" s="429">
        <v>79019</v>
      </c>
      <c r="AQ234" s="429">
        <v>60774</v>
      </c>
      <c r="AR234" s="219">
        <f t="shared" si="147"/>
        <v>1229474</v>
      </c>
      <c r="AS234" s="220">
        <f t="shared" si="148"/>
        <v>7.8647959183673466</v>
      </c>
      <c r="AT234" s="472">
        <f t="shared" si="149"/>
        <v>12.842498900131984</v>
      </c>
      <c r="AU234" s="472" t="str">
        <f t="shared" si="150"/>
        <v>-</v>
      </c>
      <c r="AV234" s="472" t="str">
        <f t="shared" si="151"/>
        <v>-</v>
      </c>
      <c r="AW234" s="472">
        <f t="shared" si="152"/>
        <v>11.721116215756338</v>
      </c>
      <c r="AX234" s="472">
        <f t="shared" si="153"/>
        <v>10.652869238005644</v>
      </c>
      <c r="AY234" s="472">
        <f t="shared" si="174"/>
        <v>9.2399245816639173</v>
      </c>
      <c r="AZ234" s="472">
        <f t="shared" si="182"/>
        <v>10.727644652250147</v>
      </c>
      <c r="BA234" s="472" t="str">
        <f t="shared" si="183"/>
        <v>-</v>
      </c>
      <c r="BB234" s="472" t="str">
        <f t="shared" si="175"/>
        <v>-</v>
      </c>
      <c r="BC234" s="472" t="str">
        <f t="shared" si="176"/>
        <v>-</v>
      </c>
      <c r="BD234" s="472" t="str">
        <f t="shared" si="177"/>
        <v>-</v>
      </c>
      <c r="BE234" s="472" t="str">
        <f t="shared" si="178"/>
        <v>-</v>
      </c>
      <c r="BF234" s="472" t="str">
        <f t="shared" si="179"/>
        <v>-</v>
      </c>
      <c r="BG234" s="472" t="str">
        <f t="shared" si="180"/>
        <v>-</v>
      </c>
      <c r="BH234" s="472" t="str">
        <f t="shared" si="181"/>
        <v>-</v>
      </c>
      <c r="BI234" s="221">
        <f t="shared" si="154"/>
        <v>25.880394055487727</v>
      </c>
      <c r="BJ234" s="692"/>
      <c r="BK234" s="692"/>
      <c r="BL234" s="429">
        <v>62852</v>
      </c>
      <c r="BM234" s="429">
        <v>80533</v>
      </c>
      <c r="BN234" s="214">
        <f t="shared" si="155"/>
        <v>143385</v>
      </c>
      <c r="BO234" s="742"/>
      <c r="BP234" s="742"/>
      <c r="BQ234" s="429">
        <v>87617</v>
      </c>
      <c r="BR234" s="429">
        <v>79617</v>
      </c>
      <c r="BS234" s="228">
        <f t="shared" si="156"/>
        <v>167234</v>
      </c>
      <c r="BT234" s="407" t="str">
        <f t="shared" si="185"/>
        <v>-</v>
      </c>
      <c r="BU234" s="529" t="str">
        <f t="shared" ref="BU234:BU265" si="186">IFERROR(BP234/BK234,"-")</f>
        <v>-</v>
      </c>
      <c r="BV234" s="529">
        <f t="shared" si="168"/>
        <v>1.394020874435181</v>
      </c>
      <c r="BW234" s="529">
        <f t="shared" si="169"/>
        <v>0.98862578073584739</v>
      </c>
      <c r="BX234" s="221">
        <f t="shared" si="170"/>
        <v>1.1663284165010288</v>
      </c>
      <c r="BY234" s="730"/>
      <c r="BZ234" s="692">
        <v>54620</v>
      </c>
      <c r="CA234" s="693">
        <f t="shared" si="173"/>
        <v>54620</v>
      </c>
      <c r="CB234" s="407" t="str">
        <f t="shared" si="172"/>
        <v>-</v>
      </c>
      <c r="CC234" s="529">
        <f t="shared" si="163"/>
        <v>0</v>
      </c>
      <c r="CD234" s="221">
        <f t="shared" si="167"/>
        <v>3.0617722445990481</v>
      </c>
    </row>
    <row r="235" spans="1:82" ht="16.350000000000001" customHeight="1">
      <c r="A235" s="175">
        <f t="shared" si="144"/>
        <v>2025</v>
      </c>
      <c r="B235" s="454" t="str">
        <f t="shared" si="145"/>
        <v>22</v>
      </c>
      <c r="C235" s="454" t="str">
        <f t="array" ref="C235">_xlfn.IFS(_xlfn.NUMBERVALUE(B235)&lt;=13,"Q1",AND(_xlfn.NUMBERVALUE(B235)&gt;13,_xlfn.NUMBERVALUE(B235)&lt;=26),"Q2", AND(_xlfn.NUMBERVALUE(B235)&gt;26,_xlfn.NUMBERVALUE(B235)&lt;=39),"Q3",_xlfn.NUMBERVALUE(B235)&gt;39,"Q4")</f>
        <v>Q2</v>
      </c>
      <c r="D235" s="448">
        <f t="shared" si="165"/>
        <v>45465</v>
      </c>
      <c r="E235" s="448">
        <f t="shared" si="146"/>
        <v>45471</v>
      </c>
      <c r="F235" s="97">
        <v>202422</v>
      </c>
      <c r="G235" s="429">
        <v>5099</v>
      </c>
      <c r="H235" s="429">
        <v>5624</v>
      </c>
      <c r="I235" s="429"/>
      <c r="J235" s="429"/>
      <c r="K235" s="429">
        <v>8119</v>
      </c>
      <c r="L235" s="429">
        <v>5345</v>
      </c>
      <c r="M235" s="429"/>
      <c r="N235" s="429"/>
      <c r="O235" s="429">
        <v>5902</v>
      </c>
      <c r="P235" s="429">
        <v>5352</v>
      </c>
      <c r="Q235" s="429"/>
      <c r="R235" s="429"/>
      <c r="S235" s="429"/>
      <c r="T235" s="429"/>
      <c r="U235" s="429"/>
      <c r="V235" s="429"/>
      <c r="W235" s="429"/>
      <c r="X235" s="429"/>
      <c r="Y235" s="449">
        <f t="shared" si="133"/>
        <v>10632.300000000003</v>
      </c>
      <c r="Z235" s="449">
        <f t="shared" si="166"/>
        <v>35441</v>
      </c>
      <c r="AA235" s="214">
        <f>'Overall Metrics'!N236</f>
        <v>46073.3</v>
      </c>
      <c r="AB235" s="429">
        <v>58902</v>
      </c>
      <c r="AC235" s="429">
        <v>77104</v>
      </c>
      <c r="AD235" s="429">
        <v>66502</v>
      </c>
      <c r="AE235" s="429">
        <v>63450</v>
      </c>
      <c r="AF235" s="429">
        <v>85814</v>
      </c>
      <c r="AG235" s="429">
        <v>58404</v>
      </c>
      <c r="AH235" s="429">
        <v>50322</v>
      </c>
      <c r="AI235" s="429">
        <v>51756</v>
      </c>
      <c r="AJ235" s="429">
        <v>93115</v>
      </c>
      <c r="AK235" s="429">
        <v>71590</v>
      </c>
      <c r="AL235" s="429">
        <v>78438</v>
      </c>
      <c r="AM235" s="429">
        <v>52667</v>
      </c>
      <c r="AN235" s="429">
        <v>61912</v>
      </c>
      <c r="AO235" s="429">
        <v>84255</v>
      </c>
      <c r="AP235" s="429">
        <v>56090</v>
      </c>
      <c r="AQ235" s="429">
        <v>89661</v>
      </c>
      <c r="AR235" s="219">
        <f t="shared" si="147"/>
        <v>1099982</v>
      </c>
      <c r="AS235" s="220">
        <f t="shared" si="148"/>
        <v>11.551676799372427</v>
      </c>
      <c r="AT235" s="472">
        <f t="shared" si="149"/>
        <v>13.709815078236131</v>
      </c>
      <c r="AU235" s="472" t="str">
        <f t="shared" si="150"/>
        <v>-</v>
      </c>
      <c r="AV235" s="472" t="str">
        <f t="shared" si="151"/>
        <v>-</v>
      </c>
      <c r="AW235" s="472">
        <f t="shared" si="152"/>
        <v>10.569528267027959</v>
      </c>
      <c r="AX235" s="472">
        <f t="shared" si="153"/>
        <v>10.926847521047709</v>
      </c>
      <c r="AY235" s="472">
        <f t="shared" si="174"/>
        <v>8.5262622839715352</v>
      </c>
      <c r="AZ235" s="472">
        <f t="shared" si="182"/>
        <v>9.6704035874439462</v>
      </c>
      <c r="BA235" s="472" t="str">
        <f t="shared" si="183"/>
        <v>-</v>
      </c>
      <c r="BB235" s="472" t="str">
        <f t="shared" si="175"/>
        <v>-</v>
      </c>
      <c r="BC235" s="472" t="str">
        <f t="shared" si="176"/>
        <v>-</v>
      </c>
      <c r="BD235" s="472" t="str">
        <f t="shared" si="177"/>
        <v>-</v>
      </c>
      <c r="BE235" s="472" t="str">
        <f t="shared" si="178"/>
        <v>-</v>
      </c>
      <c r="BF235" s="472" t="str">
        <f t="shared" si="179"/>
        <v>-</v>
      </c>
      <c r="BG235" s="472" t="str">
        <f t="shared" si="180"/>
        <v>-</v>
      </c>
      <c r="BH235" s="472" t="str">
        <f t="shared" si="181"/>
        <v>-</v>
      </c>
      <c r="BI235" s="221">
        <f t="shared" si="154"/>
        <v>31.036991055557124</v>
      </c>
      <c r="BJ235" s="692"/>
      <c r="BK235" s="692"/>
      <c r="BL235" s="429">
        <v>59257</v>
      </c>
      <c r="BM235" s="429">
        <v>53086</v>
      </c>
      <c r="BN235" s="214">
        <f t="shared" si="155"/>
        <v>112343</v>
      </c>
      <c r="BO235" s="742"/>
      <c r="BP235" s="742"/>
      <c r="BQ235" s="429">
        <v>74812</v>
      </c>
      <c r="BR235" s="429">
        <v>83022</v>
      </c>
      <c r="BS235" s="228">
        <f t="shared" si="156"/>
        <v>157834</v>
      </c>
      <c r="BT235" s="407" t="str">
        <f t="shared" si="185"/>
        <v>-</v>
      </c>
      <c r="BU235" s="529" t="str">
        <f t="shared" si="186"/>
        <v>-</v>
      </c>
      <c r="BV235" s="529">
        <f t="shared" si="168"/>
        <v>1.2625006328366268</v>
      </c>
      <c r="BW235" s="529">
        <f t="shared" si="169"/>
        <v>1.563915156538447</v>
      </c>
      <c r="BX235" s="221">
        <f t="shared" si="170"/>
        <v>1.4049295461221438</v>
      </c>
      <c r="BY235" s="730"/>
      <c r="BZ235" s="692">
        <v>51471</v>
      </c>
      <c r="CA235" s="693">
        <f t="shared" si="173"/>
        <v>51471</v>
      </c>
      <c r="CB235" s="407" t="str">
        <f t="shared" si="172"/>
        <v>-</v>
      </c>
      <c r="CC235" s="529">
        <f t="shared" si="163"/>
        <v>0</v>
      </c>
      <c r="CD235" s="221">
        <f t="shared" si="167"/>
        <v>3.0664646111402538</v>
      </c>
    </row>
    <row r="236" spans="1:82" ht="16.350000000000001" customHeight="1">
      <c r="A236" s="175">
        <f t="shared" si="144"/>
        <v>2025</v>
      </c>
      <c r="B236" s="454" t="str">
        <f t="shared" si="145"/>
        <v>23</v>
      </c>
      <c r="C236" s="454" t="str">
        <f t="array" ref="C236">_xlfn.IFS(_xlfn.NUMBERVALUE(B236)&lt;=13,"Q1",AND(_xlfn.NUMBERVALUE(B236)&gt;13,_xlfn.NUMBERVALUE(B236)&lt;=26),"Q2", AND(_xlfn.NUMBERVALUE(B236)&gt;26,_xlfn.NUMBERVALUE(B236)&lt;=39),"Q3",_xlfn.NUMBERVALUE(B236)&gt;39,"Q4")</f>
        <v>Q2</v>
      </c>
      <c r="D236" s="448">
        <f t="shared" si="165"/>
        <v>45472</v>
      </c>
      <c r="E236" s="448">
        <f t="shared" si="146"/>
        <v>45478</v>
      </c>
      <c r="F236" s="97">
        <v>202423</v>
      </c>
      <c r="G236" s="429">
        <v>7901</v>
      </c>
      <c r="H236" s="429">
        <v>5123</v>
      </c>
      <c r="I236" s="429"/>
      <c r="J236" s="429"/>
      <c r="K236" s="429">
        <v>6108</v>
      </c>
      <c r="L236" s="429">
        <v>7230</v>
      </c>
      <c r="M236" s="429"/>
      <c r="N236" s="429"/>
      <c r="O236" s="429">
        <v>6953</v>
      </c>
      <c r="P236" s="429">
        <v>5075</v>
      </c>
      <c r="Q236" s="429"/>
      <c r="R236" s="429"/>
      <c r="S236" s="429"/>
      <c r="T236" s="429"/>
      <c r="U236" s="429"/>
      <c r="V236" s="429"/>
      <c r="W236" s="429"/>
      <c r="X236" s="429"/>
      <c r="Y236" s="449">
        <f t="shared" si="133"/>
        <v>11517</v>
      </c>
      <c r="Z236" s="449">
        <f t="shared" si="166"/>
        <v>38390</v>
      </c>
      <c r="AA236" s="214">
        <f>'Overall Metrics'!N237</f>
        <v>49907</v>
      </c>
      <c r="AB236" s="429">
        <v>52569</v>
      </c>
      <c r="AC236" s="429">
        <v>93712</v>
      </c>
      <c r="AD236" s="429">
        <v>75932</v>
      </c>
      <c r="AE236" s="429">
        <v>59535</v>
      </c>
      <c r="AF236" s="429">
        <v>88477</v>
      </c>
      <c r="AG236" s="429">
        <v>50154</v>
      </c>
      <c r="AH236" s="429">
        <v>87329</v>
      </c>
      <c r="AI236" s="429">
        <v>88560</v>
      </c>
      <c r="AJ236" s="429">
        <v>80060</v>
      </c>
      <c r="AK236" s="429">
        <v>62282</v>
      </c>
      <c r="AL236" s="429">
        <v>68047</v>
      </c>
      <c r="AM236" s="429">
        <v>99548</v>
      </c>
      <c r="AN236" s="429">
        <v>84630</v>
      </c>
      <c r="AO236" s="429">
        <v>81602</v>
      </c>
      <c r="AP236" s="429">
        <v>71894</v>
      </c>
      <c r="AQ236" s="429">
        <v>78245</v>
      </c>
      <c r="AR236" s="219">
        <f t="shared" si="147"/>
        <v>1222576</v>
      </c>
      <c r="AS236" s="220">
        <f t="shared" si="148"/>
        <v>6.6534615871408684</v>
      </c>
      <c r="AT236" s="472">
        <f t="shared" si="149"/>
        <v>18.292406792894788</v>
      </c>
      <c r="AU236" s="472" t="str">
        <f t="shared" si="150"/>
        <v>-</v>
      </c>
      <c r="AV236" s="472" t="str">
        <f t="shared" si="151"/>
        <v>-</v>
      </c>
      <c r="AW236" s="472">
        <f t="shared" si="152"/>
        <v>14.485428945645056</v>
      </c>
      <c r="AX236" s="472">
        <f t="shared" si="153"/>
        <v>6.9369294605809131</v>
      </c>
      <c r="AY236" s="472">
        <f t="shared" si="174"/>
        <v>12.559902200488997</v>
      </c>
      <c r="AZ236" s="472">
        <f t="shared" si="182"/>
        <v>17.45024630541872</v>
      </c>
      <c r="BA236" s="472" t="str">
        <f t="shared" si="183"/>
        <v>-</v>
      </c>
      <c r="BB236" s="472" t="str">
        <f t="shared" si="175"/>
        <v>-</v>
      </c>
      <c r="BC236" s="472" t="str">
        <f t="shared" si="176"/>
        <v>-</v>
      </c>
      <c r="BD236" s="472" t="str">
        <f t="shared" si="177"/>
        <v>-</v>
      </c>
      <c r="BE236" s="472" t="str">
        <f t="shared" si="178"/>
        <v>-</v>
      </c>
      <c r="BF236" s="472" t="str">
        <f t="shared" si="179"/>
        <v>-</v>
      </c>
      <c r="BG236" s="472" t="str">
        <f t="shared" si="180"/>
        <v>-</v>
      </c>
      <c r="BH236" s="472" t="str">
        <f t="shared" si="181"/>
        <v>-</v>
      </c>
      <c r="BI236" s="221">
        <f t="shared" si="154"/>
        <v>31.846209950507944</v>
      </c>
      <c r="BJ236" s="692"/>
      <c r="BK236" s="692"/>
      <c r="BL236" s="429">
        <v>73184</v>
      </c>
      <c r="BM236" s="429">
        <v>57883</v>
      </c>
      <c r="BN236" s="214">
        <f t="shared" si="155"/>
        <v>131067</v>
      </c>
      <c r="BO236" s="742"/>
      <c r="BP236" s="742"/>
      <c r="BQ236" s="429">
        <v>62342</v>
      </c>
      <c r="BR236" s="429">
        <v>66385</v>
      </c>
      <c r="BS236" s="228">
        <f t="shared" si="156"/>
        <v>128727</v>
      </c>
      <c r="BT236" s="407" t="str">
        <f t="shared" si="185"/>
        <v>-</v>
      </c>
      <c r="BU236" s="529" t="str">
        <f t="shared" si="186"/>
        <v>-</v>
      </c>
      <c r="BV236" s="529">
        <f t="shared" si="168"/>
        <v>0.85185286401399218</v>
      </c>
      <c r="BW236" s="529">
        <f t="shared" si="169"/>
        <v>1.1468825043622479</v>
      </c>
      <c r="BX236" s="221">
        <f t="shared" si="170"/>
        <v>0.98214653574126209</v>
      </c>
      <c r="BY236" s="730"/>
      <c r="BZ236" s="692">
        <f>35182+56805</f>
        <v>91987</v>
      </c>
      <c r="CA236" s="693">
        <f t="shared" si="173"/>
        <v>91987</v>
      </c>
      <c r="CB236" s="407" t="str">
        <f t="shared" si="172"/>
        <v>-</v>
      </c>
      <c r="CC236" s="529">
        <f t="shared" si="163"/>
        <v>0</v>
      </c>
      <c r="CD236" s="221">
        <f t="shared" si="167"/>
        <v>1.3994042636459501</v>
      </c>
    </row>
    <row r="237" spans="1:82" ht="16.350000000000001" customHeight="1">
      <c r="A237" s="175">
        <f t="shared" si="144"/>
        <v>2025</v>
      </c>
      <c r="B237" s="454" t="str">
        <f t="shared" si="145"/>
        <v>24</v>
      </c>
      <c r="C237" s="454" t="str">
        <f t="array" ref="C237">_xlfn.IFS(_xlfn.NUMBERVALUE(B237)&lt;=13,"Q1",AND(_xlfn.NUMBERVALUE(B237)&gt;13,_xlfn.NUMBERVALUE(B237)&lt;=26),"Q2", AND(_xlfn.NUMBERVALUE(B237)&gt;26,_xlfn.NUMBERVALUE(B237)&lt;=39),"Q3",_xlfn.NUMBERVALUE(B237)&gt;39,"Q4")</f>
        <v>Q2</v>
      </c>
      <c r="D237" s="448">
        <f t="shared" si="165"/>
        <v>45479</v>
      </c>
      <c r="E237" s="448">
        <f t="shared" si="146"/>
        <v>45485</v>
      </c>
      <c r="F237" s="97">
        <v>202424</v>
      </c>
      <c r="G237" s="429">
        <v>7929</v>
      </c>
      <c r="H237" s="429">
        <v>13575</v>
      </c>
      <c r="I237" s="429"/>
      <c r="J237" s="429"/>
      <c r="K237" s="429">
        <v>6083</v>
      </c>
      <c r="L237" s="429">
        <v>8942</v>
      </c>
      <c r="M237" s="429"/>
      <c r="N237" s="429"/>
      <c r="O237" s="429">
        <v>5597</v>
      </c>
      <c r="P237" s="429">
        <v>8301</v>
      </c>
      <c r="Q237" s="429"/>
      <c r="R237" s="429"/>
      <c r="S237" s="429"/>
      <c r="T237" s="429"/>
      <c r="U237" s="429"/>
      <c r="V237" s="429"/>
      <c r="W237" s="429"/>
      <c r="X237" s="429"/>
      <c r="Y237" s="449">
        <f t="shared" si="133"/>
        <v>15128.100000000006</v>
      </c>
      <c r="Z237" s="449">
        <f t="shared" si="166"/>
        <v>50427</v>
      </c>
      <c r="AA237" s="214">
        <f>'Overall Metrics'!N238</f>
        <v>65555.100000000006</v>
      </c>
      <c r="AB237" s="429">
        <v>90346</v>
      </c>
      <c r="AC237" s="429">
        <v>87400</v>
      </c>
      <c r="AD237" s="429">
        <v>96300</v>
      </c>
      <c r="AE237" s="429">
        <v>58655</v>
      </c>
      <c r="AF237" s="429">
        <v>81189</v>
      </c>
      <c r="AG237" s="429">
        <v>66524</v>
      </c>
      <c r="AH237" s="429">
        <v>88007</v>
      </c>
      <c r="AI237" s="429">
        <v>62816</v>
      </c>
      <c r="AJ237" s="429">
        <v>71029</v>
      </c>
      <c r="AK237" s="429">
        <v>63815</v>
      </c>
      <c r="AL237" s="429">
        <v>60655</v>
      </c>
      <c r="AM237" s="429">
        <v>88689</v>
      </c>
      <c r="AN237" s="429">
        <v>71137</v>
      </c>
      <c r="AO237" s="429">
        <v>85649</v>
      </c>
      <c r="AP237" s="429">
        <v>50962</v>
      </c>
      <c r="AQ237" s="429">
        <v>54408</v>
      </c>
      <c r="AR237" s="219">
        <f t="shared" si="147"/>
        <v>1177581</v>
      </c>
      <c r="AS237" s="220">
        <f t="shared" si="148"/>
        <v>11.394375078824568</v>
      </c>
      <c r="AT237" s="472">
        <f t="shared" si="149"/>
        <v>6.4383057090239415</v>
      </c>
      <c r="AU237" s="472" t="str">
        <f t="shared" si="150"/>
        <v>-</v>
      </c>
      <c r="AV237" s="472" t="str">
        <f t="shared" si="151"/>
        <v>-</v>
      </c>
      <c r="AW237" s="472">
        <f t="shared" si="152"/>
        <v>13.346868321551867</v>
      </c>
      <c r="AX237" s="472">
        <f t="shared" si="153"/>
        <v>7.4394989935137552</v>
      </c>
      <c r="AY237" s="472">
        <f t="shared" si="174"/>
        <v>15.72395926389137</v>
      </c>
      <c r="AZ237" s="472">
        <f t="shared" si="182"/>
        <v>7.5672810504758461</v>
      </c>
      <c r="BA237" s="472" t="str">
        <f t="shared" si="183"/>
        <v>-</v>
      </c>
      <c r="BB237" s="472" t="str">
        <f t="shared" si="175"/>
        <v>-</v>
      </c>
      <c r="BC237" s="472" t="str">
        <f t="shared" si="176"/>
        <v>-</v>
      </c>
      <c r="BD237" s="472" t="str">
        <f t="shared" si="177"/>
        <v>-</v>
      </c>
      <c r="BE237" s="472" t="str">
        <f t="shared" si="178"/>
        <v>-</v>
      </c>
      <c r="BF237" s="472" t="str">
        <f t="shared" si="179"/>
        <v>-</v>
      </c>
      <c r="BG237" s="472" t="str">
        <f t="shared" si="180"/>
        <v>-</v>
      </c>
      <c r="BH237" s="472" t="str">
        <f t="shared" si="181"/>
        <v>-</v>
      </c>
      <c r="BI237" s="221">
        <f t="shared" si="154"/>
        <v>23.352192277946337</v>
      </c>
      <c r="BJ237" s="692"/>
      <c r="BK237" s="692"/>
      <c r="BL237" s="429">
        <v>80322</v>
      </c>
      <c r="BM237" s="429">
        <v>63917</v>
      </c>
      <c r="BN237" s="214">
        <f t="shared" si="155"/>
        <v>144239</v>
      </c>
      <c r="BO237" s="742"/>
      <c r="BP237" s="742"/>
      <c r="BQ237" s="429">
        <v>82276</v>
      </c>
      <c r="BR237" s="429">
        <v>89425</v>
      </c>
      <c r="BS237" s="228">
        <f t="shared" si="156"/>
        <v>171701</v>
      </c>
      <c r="BT237" s="407" t="str">
        <f t="shared" si="185"/>
        <v>-</v>
      </c>
      <c r="BU237" s="529" t="str">
        <f t="shared" si="186"/>
        <v>-</v>
      </c>
      <c r="BV237" s="529">
        <f t="shared" si="168"/>
        <v>1.0243270834889568</v>
      </c>
      <c r="BW237" s="529">
        <f t="shared" si="169"/>
        <v>1.3990800569488555</v>
      </c>
      <c r="BX237" s="221">
        <f t="shared" si="170"/>
        <v>1.1903923349440859</v>
      </c>
      <c r="BY237" s="730"/>
      <c r="BZ237" s="692">
        <v>157954</v>
      </c>
      <c r="CA237" s="693">
        <f t="shared" si="173"/>
        <v>157954</v>
      </c>
      <c r="CB237" s="407" t="str">
        <f t="shared" si="172"/>
        <v>-</v>
      </c>
      <c r="CC237" s="529">
        <f t="shared" si="163"/>
        <v>0</v>
      </c>
      <c r="CD237" s="221">
        <f t="shared" si="167"/>
        <v>1.0870316674474847</v>
      </c>
    </row>
    <row r="238" spans="1:82" ht="16.350000000000001" customHeight="1">
      <c r="A238" s="175">
        <f t="shared" si="144"/>
        <v>2025</v>
      </c>
      <c r="B238" s="454" t="str">
        <f t="shared" si="145"/>
        <v>25</v>
      </c>
      <c r="C238" s="454" t="str">
        <f t="array" ref="C238">_xlfn.IFS(_xlfn.NUMBERVALUE(B238)&lt;=13,"Q1",AND(_xlfn.NUMBERVALUE(B238)&gt;13,_xlfn.NUMBERVALUE(B238)&lt;=26),"Q2", AND(_xlfn.NUMBERVALUE(B238)&gt;26,_xlfn.NUMBERVALUE(B238)&lt;=39),"Q3",_xlfn.NUMBERVALUE(B238)&gt;39,"Q4")</f>
        <v>Q2</v>
      </c>
      <c r="D238" s="448">
        <f t="shared" si="165"/>
        <v>45486</v>
      </c>
      <c r="E238" s="448">
        <f t="shared" si="146"/>
        <v>45492</v>
      </c>
      <c r="F238" s="97">
        <v>202425</v>
      </c>
      <c r="G238" s="429">
        <v>7876</v>
      </c>
      <c r="H238" s="429">
        <v>8459</v>
      </c>
      <c r="I238" s="429"/>
      <c r="J238" s="429"/>
      <c r="K238" s="429">
        <v>6179</v>
      </c>
      <c r="L238" s="429">
        <v>8039</v>
      </c>
      <c r="M238" s="429"/>
      <c r="N238" s="429"/>
      <c r="O238" s="429">
        <v>6768</v>
      </c>
      <c r="P238" s="429">
        <v>7072</v>
      </c>
      <c r="Q238" s="429"/>
      <c r="R238" s="429"/>
      <c r="S238" s="429"/>
      <c r="T238" s="429"/>
      <c r="U238" s="429"/>
      <c r="V238" s="429"/>
      <c r="W238" s="429"/>
      <c r="X238" s="429"/>
      <c r="Y238" s="449">
        <f t="shared" si="133"/>
        <v>13317.900000000009</v>
      </c>
      <c r="Z238" s="449">
        <f t="shared" si="166"/>
        <v>44393</v>
      </c>
      <c r="AA238" s="214">
        <f>'Overall Metrics'!N239</f>
        <v>57710.900000000009</v>
      </c>
      <c r="AB238" s="429">
        <v>93201</v>
      </c>
      <c r="AC238" s="429">
        <v>57020</v>
      </c>
      <c r="AD238" s="429">
        <v>76352</v>
      </c>
      <c r="AE238" s="429">
        <v>50678</v>
      </c>
      <c r="AF238" s="429">
        <v>94394</v>
      </c>
      <c r="AG238" s="429">
        <v>85011</v>
      </c>
      <c r="AH238" s="429">
        <v>59562</v>
      </c>
      <c r="AI238" s="429">
        <v>54917</v>
      </c>
      <c r="AJ238" s="429">
        <v>74726</v>
      </c>
      <c r="AK238" s="429">
        <v>93924</v>
      </c>
      <c r="AL238" s="429">
        <v>70852</v>
      </c>
      <c r="AM238" s="429">
        <v>87042</v>
      </c>
      <c r="AN238" s="429">
        <v>85020</v>
      </c>
      <c r="AO238" s="429">
        <v>87310</v>
      </c>
      <c r="AP238" s="429">
        <v>90660</v>
      </c>
      <c r="AQ238" s="429">
        <v>84256</v>
      </c>
      <c r="AR238" s="219">
        <f t="shared" si="147"/>
        <v>1244925</v>
      </c>
      <c r="AS238" s="220">
        <f t="shared" si="148"/>
        <v>11.833544946673438</v>
      </c>
      <c r="AT238" s="472">
        <f t="shared" si="149"/>
        <v>6.7407494975765454</v>
      </c>
      <c r="AU238" s="472" t="str">
        <f t="shared" si="150"/>
        <v>-</v>
      </c>
      <c r="AV238" s="472" t="str">
        <f t="shared" si="151"/>
        <v>-</v>
      </c>
      <c r="AW238" s="472">
        <f t="shared" si="152"/>
        <v>15.27658197119275</v>
      </c>
      <c r="AX238" s="472">
        <f t="shared" si="153"/>
        <v>10.57482273914666</v>
      </c>
      <c r="AY238" s="472">
        <f t="shared" si="174"/>
        <v>8.8005319148936163</v>
      </c>
      <c r="AZ238" s="472">
        <f t="shared" si="182"/>
        <v>7.7654128959276019</v>
      </c>
      <c r="BA238" s="472" t="str">
        <f t="shared" si="183"/>
        <v>-</v>
      </c>
      <c r="BB238" s="472" t="str">
        <f t="shared" si="175"/>
        <v>-</v>
      </c>
      <c r="BC238" s="472" t="str">
        <f t="shared" si="176"/>
        <v>-</v>
      </c>
      <c r="BD238" s="472" t="str">
        <f t="shared" si="177"/>
        <v>-</v>
      </c>
      <c r="BE238" s="472" t="str">
        <f t="shared" si="178"/>
        <v>-</v>
      </c>
      <c r="BF238" s="472" t="str">
        <f t="shared" si="179"/>
        <v>-</v>
      </c>
      <c r="BG238" s="472" t="str">
        <f t="shared" si="180"/>
        <v>-</v>
      </c>
      <c r="BH238" s="472" t="str">
        <f t="shared" si="181"/>
        <v>-</v>
      </c>
      <c r="BI238" s="221">
        <f t="shared" si="154"/>
        <v>28.043272588020635</v>
      </c>
      <c r="BJ238" s="692"/>
      <c r="BK238" s="692"/>
      <c r="BL238" s="429">
        <v>53891</v>
      </c>
      <c r="BM238" s="429">
        <v>94146</v>
      </c>
      <c r="BN238" s="214">
        <f t="shared" si="155"/>
        <v>148037</v>
      </c>
      <c r="BO238" s="742"/>
      <c r="BP238" s="742"/>
      <c r="BQ238" s="429">
        <v>90719</v>
      </c>
      <c r="BR238" s="429">
        <v>77686</v>
      </c>
      <c r="BS238" s="228">
        <f t="shared" si="156"/>
        <v>168405</v>
      </c>
      <c r="BT238" s="407" t="str">
        <f t="shared" si="185"/>
        <v>-</v>
      </c>
      <c r="BU238" s="529" t="str">
        <f t="shared" si="186"/>
        <v>-</v>
      </c>
      <c r="BV238" s="529">
        <f t="shared" si="168"/>
        <v>1.6833794140023381</v>
      </c>
      <c r="BW238" s="529">
        <f t="shared" si="169"/>
        <v>0.82516516899284087</v>
      </c>
      <c r="BX238" s="221">
        <f t="shared" si="170"/>
        <v>1.1375872248154177</v>
      </c>
      <c r="BY238" s="730"/>
      <c r="BZ238" s="692">
        <v>145922</v>
      </c>
      <c r="CA238" s="693">
        <f t="shared" si="173"/>
        <v>145922</v>
      </c>
      <c r="CB238" s="407" t="str">
        <f t="shared" si="172"/>
        <v>-</v>
      </c>
      <c r="CC238" s="529">
        <f t="shared" si="163"/>
        <v>0</v>
      </c>
      <c r="CD238" s="221">
        <f t="shared" si="167"/>
        <v>1.1540754649744385</v>
      </c>
    </row>
    <row r="239" spans="1:82" ht="16.350000000000001" customHeight="1">
      <c r="A239" s="175">
        <f t="shared" si="144"/>
        <v>2025</v>
      </c>
      <c r="B239" s="454" t="str">
        <f t="shared" si="145"/>
        <v>26</v>
      </c>
      <c r="C239" s="454" t="str">
        <f t="array" ref="C239">_xlfn.IFS(_xlfn.NUMBERVALUE(B239)&lt;=13,"Q1",AND(_xlfn.NUMBERVALUE(B239)&gt;13,_xlfn.NUMBERVALUE(B239)&lt;=26),"Q2", AND(_xlfn.NUMBERVALUE(B239)&gt;26,_xlfn.NUMBERVALUE(B239)&lt;=39),"Q3",_xlfn.NUMBERVALUE(B239)&gt;39,"Q4")</f>
        <v>Q2</v>
      </c>
      <c r="D239" s="448">
        <f t="shared" si="165"/>
        <v>45493</v>
      </c>
      <c r="E239" s="448">
        <f t="shared" si="146"/>
        <v>45499</v>
      </c>
      <c r="F239" s="97">
        <v>202426</v>
      </c>
      <c r="G239" s="429">
        <v>10306</v>
      </c>
      <c r="H239" s="429">
        <v>6992</v>
      </c>
      <c r="I239" s="429"/>
      <c r="J239" s="429"/>
      <c r="K239" s="429">
        <v>9440</v>
      </c>
      <c r="L239" s="429">
        <v>9442</v>
      </c>
      <c r="M239" s="429"/>
      <c r="N239" s="429"/>
      <c r="O239" s="429">
        <v>8189</v>
      </c>
      <c r="P239" s="429">
        <v>9111</v>
      </c>
      <c r="Q239" s="429"/>
      <c r="R239" s="429"/>
      <c r="S239" s="429"/>
      <c r="T239" s="429"/>
      <c r="U239" s="429"/>
      <c r="V239" s="429"/>
      <c r="W239" s="429"/>
      <c r="X239" s="429"/>
      <c r="Y239" s="449">
        <f t="shared" si="133"/>
        <v>16044</v>
      </c>
      <c r="Z239" s="449">
        <f t="shared" si="166"/>
        <v>53480</v>
      </c>
      <c r="AA239" s="214">
        <f>'Overall Metrics'!N240</f>
        <v>69524</v>
      </c>
      <c r="AB239" s="429">
        <v>50497</v>
      </c>
      <c r="AC239" s="429">
        <v>84572</v>
      </c>
      <c r="AD239" s="429">
        <v>81278</v>
      </c>
      <c r="AE239" s="429">
        <v>54750</v>
      </c>
      <c r="AF239" s="429">
        <v>60633</v>
      </c>
      <c r="AG239" s="429">
        <v>93739</v>
      </c>
      <c r="AH239" s="429">
        <v>98864</v>
      </c>
      <c r="AI239" s="429">
        <v>50426</v>
      </c>
      <c r="AJ239" s="429">
        <v>74064</v>
      </c>
      <c r="AK239" s="429">
        <v>58825</v>
      </c>
      <c r="AL239" s="429">
        <v>80264</v>
      </c>
      <c r="AM239" s="429">
        <v>50423</v>
      </c>
      <c r="AN239" s="429">
        <v>72203</v>
      </c>
      <c r="AO239" s="429">
        <v>96607</v>
      </c>
      <c r="AP239" s="429">
        <v>84324</v>
      </c>
      <c r="AQ239" s="429">
        <v>72983</v>
      </c>
      <c r="AR239" s="219">
        <f t="shared" si="147"/>
        <v>1164452</v>
      </c>
      <c r="AS239" s="220">
        <f t="shared" si="148"/>
        <v>4.8997671259460507</v>
      </c>
      <c r="AT239" s="472">
        <f t="shared" si="149"/>
        <v>12.095537757437071</v>
      </c>
      <c r="AU239" s="472" t="str">
        <f t="shared" si="150"/>
        <v>-</v>
      </c>
      <c r="AV239" s="472" t="str">
        <f t="shared" si="151"/>
        <v>-</v>
      </c>
      <c r="AW239" s="472">
        <f t="shared" si="152"/>
        <v>6.4229872881355936</v>
      </c>
      <c r="AX239" s="472">
        <f t="shared" si="153"/>
        <v>9.9278754501165007</v>
      </c>
      <c r="AY239" s="472">
        <f t="shared" si="174"/>
        <v>12.072780559286848</v>
      </c>
      <c r="AZ239" s="472">
        <f t="shared" si="182"/>
        <v>5.534628471078916</v>
      </c>
      <c r="BA239" s="472" t="str">
        <f t="shared" si="183"/>
        <v>-</v>
      </c>
      <c r="BB239" s="472" t="str">
        <f t="shared" si="175"/>
        <v>-</v>
      </c>
      <c r="BC239" s="472" t="str">
        <f t="shared" si="176"/>
        <v>-</v>
      </c>
      <c r="BD239" s="472" t="str">
        <f t="shared" si="177"/>
        <v>-</v>
      </c>
      <c r="BE239" s="472" t="str">
        <f t="shared" si="178"/>
        <v>-</v>
      </c>
      <c r="BF239" s="472" t="str">
        <f t="shared" si="179"/>
        <v>-</v>
      </c>
      <c r="BG239" s="472" t="str">
        <f t="shared" si="180"/>
        <v>-</v>
      </c>
      <c r="BH239" s="472" t="str">
        <f t="shared" si="181"/>
        <v>-</v>
      </c>
      <c r="BI239" s="221">
        <f t="shared" si="154"/>
        <v>21.773597606581898</v>
      </c>
      <c r="BJ239" s="692"/>
      <c r="BK239" s="692"/>
      <c r="BL239" s="429">
        <v>79483</v>
      </c>
      <c r="BM239" s="429">
        <v>94626</v>
      </c>
      <c r="BN239" s="214">
        <f t="shared" si="155"/>
        <v>174109</v>
      </c>
      <c r="BO239" s="742"/>
      <c r="BP239" s="742"/>
      <c r="BQ239" s="429">
        <v>57372</v>
      </c>
      <c r="BR239" s="429">
        <v>54145</v>
      </c>
      <c r="BS239" s="228">
        <f t="shared" si="156"/>
        <v>111517</v>
      </c>
      <c r="BT239" s="407" t="str">
        <f t="shared" si="185"/>
        <v>-</v>
      </c>
      <c r="BU239" s="529" t="str">
        <f t="shared" si="186"/>
        <v>-</v>
      </c>
      <c r="BV239" s="529">
        <f t="shared" si="168"/>
        <v>0.72181472767761656</v>
      </c>
      <c r="BW239" s="529">
        <f t="shared" si="169"/>
        <v>0.57220002959017602</v>
      </c>
      <c r="BX239" s="221">
        <f t="shared" si="170"/>
        <v>0.64050106542453289</v>
      </c>
      <c r="BY239" s="730"/>
      <c r="BZ239" s="692">
        <v>136399</v>
      </c>
      <c r="CA239" s="693">
        <f t="shared" si="173"/>
        <v>136399</v>
      </c>
      <c r="CB239" s="407" t="str">
        <f t="shared" si="172"/>
        <v>-</v>
      </c>
      <c r="CC239" s="529">
        <f t="shared" si="163"/>
        <v>0</v>
      </c>
      <c r="CD239" s="221">
        <f t="shared" si="167"/>
        <v>0.81757930776618593</v>
      </c>
    </row>
    <row r="240" spans="1:82" ht="16.350000000000001" customHeight="1">
      <c r="A240" s="175">
        <f t="shared" si="144"/>
        <v>2025</v>
      </c>
      <c r="B240" s="454" t="str">
        <f t="shared" si="145"/>
        <v>27</v>
      </c>
      <c r="C240" s="454" t="str">
        <f t="array" ref="C240">_xlfn.IFS(_xlfn.NUMBERVALUE(B240)&lt;=13,"Q1",AND(_xlfn.NUMBERVALUE(B240)&gt;13,_xlfn.NUMBERVALUE(B240)&lt;=26),"Q2", AND(_xlfn.NUMBERVALUE(B240)&gt;26,_xlfn.NUMBERVALUE(B240)&lt;=39),"Q3",_xlfn.NUMBERVALUE(B240)&gt;39,"Q4")</f>
        <v>Q3</v>
      </c>
      <c r="D240" s="448">
        <f t="shared" si="165"/>
        <v>45500</v>
      </c>
      <c r="E240" s="448">
        <f t="shared" si="146"/>
        <v>45506</v>
      </c>
      <c r="F240" s="97">
        <v>202427</v>
      </c>
      <c r="G240" s="429">
        <v>6390</v>
      </c>
      <c r="H240" s="429">
        <v>11656</v>
      </c>
      <c r="I240" s="429"/>
      <c r="J240" s="429"/>
      <c r="K240" s="429">
        <v>5771</v>
      </c>
      <c r="L240" s="429">
        <v>8768</v>
      </c>
      <c r="M240" s="429"/>
      <c r="N240" s="429"/>
      <c r="O240" s="429">
        <v>5303</v>
      </c>
      <c r="P240" s="429">
        <v>6041</v>
      </c>
      <c r="Q240" s="429"/>
      <c r="R240" s="429"/>
      <c r="S240" s="429"/>
      <c r="T240" s="429"/>
      <c r="U240" s="429"/>
      <c r="V240" s="429"/>
      <c r="W240" s="429"/>
      <c r="X240" s="429"/>
      <c r="Y240" s="449">
        <f t="shared" si="133"/>
        <v>13178.699999999997</v>
      </c>
      <c r="Z240" s="449">
        <f t="shared" si="166"/>
        <v>43929</v>
      </c>
      <c r="AA240" s="214">
        <f>'Overall Metrics'!N241</f>
        <v>57107.7</v>
      </c>
      <c r="AB240" s="429">
        <v>59678</v>
      </c>
      <c r="AC240" s="429">
        <v>98117</v>
      </c>
      <c r="AD240" s="429">
        <v>93965</v>
      </c>
      <c r="AE240" s="429">
        <v>90258</v>
      </c>
      <c r="AF240" s="429">
        <v>52849</v>
      </c>
      <c r="AG240" s="429">
        <v>92349</v>
      </c>
      <c r="AH240" s="429">
        <v>56839</v>
      </c>
      <c r="AI240" s="429">
        <v>65081</v>
      </c>
      <c r="AJ240" s="429">
        <v>72958</v>
      </c>
      <c r="AK240" s="429">
        <v>72509</v>
      </c>
      <c r="AL240" s="429">
        <v>63447</v>
      </c>
      <c r="AM240" s="429">
        <v>70647</v>
      </c>
      <c r="AN240" s="429">
        <v>63461</v>
      </c>
      <c r="AO240" s="429">
        <v>54083</v>
      </c>
      <c r="AP240" s="429">
        <v>51728</v>
      </c>
      <c r="AQ240" s="429">
        <v>70950</v>
      </c>
      <c r="AR240" s="219">
        <f t="shared" si="147"/>
        <v>1128919</v>
      </c>
      <c r="AS240" s="220">
        <f t="shared" si="148"/>
        <v>9.3392801251956179</v>
      </c>
      <c r="AT240" s="472">
        <f t="shared" si="149"/>
        <v>8.4177247769389147</v>
      </c>
      <c r="AU240" s="472" t="str">
        <f t="shared" si="150"/>
        <v>-</v>
      </c>
      <c r="AV240" s="472" t="str">
        <f t="shared" si="151"/>
        <v>-</v>
      </c>
      <c r="AW240" s="472">
        <f t="shared" si="152"/>
        <v>9.1576849766071735</v>
      </c>
      <c r="AX240" s="472">
        <f t="shared" si="153"/>
        <v>10.532504562043796</v>
      </c>
      <c r="AY240" s="472">
        <f t="shared" si="174"/>
        <v>10.718272675843862</v>
      </c>
      <c r="AZ240" s="472">
        <f t="shared" si="182"/>
        <v>10.773216354908127</v>
      </c>
      <c r="BA240" s="472" t="str">
        <f t="shared" si="183"/>
        <v>-</v>
      </c>
      <c r="BB240" s="472" t="str">
        <f t="shared" si="175"/>
        <v>-</v>
      </c>
      <c r="BC240" s="472" t="str">
        <f t="shared" si="176"/>
        <v>-</v>
      </c>
      <c r="BD240" s="472" t="str">
        <f t="shared" si="177"/>
        <v>-</v>
      </c>
      <c r="BE240" s="472" t="str">
        <f t="shared" si="178"/>
        <v>-</v>
      </c>
      <c r="BF240" s="472" t="str">
        <f t="shared" si="179"/>
        <v>-</v>
      </c>
      <c r="BG240" s="472" t="str">
        <f t="shared" si="180"/>
        <v>-</v>
      </c>
      <c r="BH240" s="472" t="str">
        <f t="shared" si="181"/>
        <v>-</v>
      </c>
      <c r="BI240" s="221">
        <f t="shared" si="154"/>
        <v>25.698718386487286</v>
      </c>
      <c r="BJ240" s="692"/>
      <c r="BK240" s="692"/>
      <c r="BL240" s="429">
        <v>51111</v>
      </c>
      <c r="BM240" s="429">
        <v>98533</v>
      </c>
      <c r="BN240" s="214">
        <f t="shared" si="155"/>
        <v>149644</v>
      </c>
      <c r="BO240" s="742"/>
      <c r="BP240" s="742"/>
      <c r="BQ240" s="429">
        <v>57026</v>
      </c>
      <c r="BR240" s="429">
        <v>78061</v>
      </c>
      <c r="BS240" s="228">
        <f t="shared" si="156"/>
        <v>135087</v>
      </c>
      <c r="BT240" s="407" t="str">
        <f t="shared" si="185"/>
        <v>-</v>
      </c>
      <c r="BU240" s="529" t="str">
        <f t="shared" si="186"/>
        <v>-</v>
      </c>
      <c r="BV240" s="529">
        <f t="shared" si="168"/>
        <v>1.1157285124532879</v>
      </c>
      <c r="BW240" s="529">
        <f t="shared" si="169"/>
        <v>0.79223204408675263</v>
      </c>
      <c r="BX240" s="221">
        <f t="shared" si="170"/>
        <v>0.90272246130817135</v>
      </c>
      <c r="BY240" s="730"/>
      <c r="BZ240" s="692">
        <v>131620</v>
      </c>
      <c r="CA240" s="693">
        <f t="shared" si="173"/>
        <v>131620</v>
      </c>
      <c r="CB240" s="407" t="str">
        <f t="shared" si="172"/>
        <v>-</v>
      </c>
      <c r="CC240" s="529">
        <f t="shared" si="163"/>
        <v>0</v>
      </c>
      <c r="CD240" s="221">
        <f t="shared" si="167"/>
        <v>1.0263409816137365</v>
      </c>
    </row>
    <row r="241" spans="1:82" ht="16.350000000000001" customHeight="1">
      <c r="A241" s="175">
        <f t="shared" si="144"/>
        <v>2025</v>
      </c>
      <c r="B241" s="454" t="str">
        <f t="shared" si="145"/>
        <v>28</v>
      </c>
      <c r="C241" s="454" t="str">
        <f t="array" ref="C241">_xlfn.IFS(_xlfn.NUMBERVALUE(B241)&lt;=13,"Q1",AND(_xlfn.NUMBERVALUE(B241)&gt;13,_xlfn.NUMBERVALUE(B241)&lt;=26),"Q2", AND(_xlfn.NUMBERVALUE(B241)&gt;26,_xlfn.NUMBERVALUE(B241)&lt;=39),"Q3",_xlfn.NUMBERVALUE(B241)&gt;39,"Q4")</f>
        <v>Q3</v>
      </c>
      <c r="D241" s="448">
        <f t="shared" si="165"/>
        <v>45507</v>
      </c>
      <c r="E241" s="448">
        <f t="shared" si="146"/>
        <v>45513</v>
      </c>
      <c r="F241" s="97">
        <v>202428</v>
      </c>
      <c r="G241" s="429">
        <v>12921</v>
      </c>
      <c r="H241" s="429">
        <v>9185</v>
      </c>
      <c r="I241" s="429"/>
      <c r="J241" s="429"/>
      <c r="K241" s="429">
        <v>8843</v>
      </c>
      <c r="L241" s="429">
        <v>7768</v>
      </c>
      <c r="M241" s="429"/>
      <c r="N241" s="429"/>
      <c r="O241" s="429">
        <v>7922</v>
      </c>
      <c r="P241" s="429">
        <v>8786</v>
      </c>
      <c r="Q241" s="429"/>
      <c r="R241" s="429"/>
      <c r="S241" s="429"/>
      <c r="T241" s="429"/>
      <c r="U241" s="429"/>
      <c r="V241" s="429"/>
      <c r="W241" s="429"/>
      <c r="X241" s="429"/>
      <c r="Y241" s="449">
        <f t="shared" si="133"/>
        <v>16627.5</v>
      </c>
      <c r="Z241" s="449">
        <f t="shared" si="166"/>
        <v>55425</v>
      </c>
      <c r="AA241" s="214">
        <f>'Overall Metrics'!N242</f>
        <v>72052.5</v>
      </c>
      <c r="AB241" s="429">
        <v>91834</v>
      </c>
      <c r="AC241" s="429">
        <v>82141</v>
      </c>
      <c r="AD241" s="429">
        <v>65217</v>
      </c>
      <c r="AE241" s="429">
        <v>52475</v>
      </c>
      <c r="AF241" s="429">
        <v>88848</v>
      </c>
      <c r="AG241" s="429">
        <v>63127</v>
      </c>
      <c r="AH241" s="429">
        <v>97357</v>
      </c>
      <c r="AI241" s="429">
        <v>50542</v>
      </c>
      <c r="AJ241" s="429">
        <v>81851</v>
      </c>
      <c r="AK241" s="429">
        <v>98099</v>
      </c>
      <c r="AL241" s="429">
        <v>62145</v>
      </c>
      <c r="AM241" s="429">
        <v>73081</v>
      </c>
      <c r="AN241" s="429">
        <v>91288</v>
      </c>
      <c r="AO241" s="429">
        <v>67623</v>
      </c>
      <c r="AP241" s="429">
        <v>71810</v>
      </c>
      <c r="AQ241" s="429">
        <v>77556</v>
      </c>
      <c r="AR241" s="219">
        <f t="shared" si="147"/>
        <v>1214994</v>
      </c>
      <c r="AS241" s="220">
        <f t="shared" si="148"/>
        <v>7.1073446327683616</v>
      </c>
      <c r="AT241" s="472">
        <f t="shared" si="149"/>
        <v>8.9429504627109413</v>
      </c>
      <c r="AU241" s="472" t="str">
        <f t="shared" si="150"/>
        <v>-</v>
      </c>
      <c r="AV241" s="472" t="str">
        <f t="shared" si="151"/>
        <v>-</v>
      </c>
      <c r="AW241" s="472">
        <f t="shared" si="152"/>
        <v>10.047269026348523</v>
      </c>
      <c r="AX241" s="472">
        <f t="shared" si="153"/>
        <v>8.1265447991761075</v>
      </c>
      <c r="AY241" s="472">
        <f t="shared" si="174"/>
        <v>12.28944710931583</v>
      </c>
      <c r="AZ241" s="472">
        <f t="shared" si="182"/>
        <v>5.752560892328705</v>
      </c>
      <c r="BA241" s="472" t="str">
        <f t="shared" si="183"/>
        <v>-</v>
      </c>
      <c r="BB241" s="472" t="str">
        <f t="shared" si="175"/>
        <v>-</v>
      </c>
      <c r="BC241" s="472" t="str">
        <f t="shared" si="176"/>
        <v>-</v>
      </c>
      <c r="BD241" s="472" t="str">
        <f t="shared" si="177"/>
        <v>-</v>
      </c>
      <c r="BE241" s="472" t="str">
        <f t="shared" si="178"/>
        <v>-</v>
      </c>
      <c r="BF241" s="472" t="str">
        <f t="shared" si="179"/>
        <v>-</v>
      </c>
      <c r="BG241" s="472" t="str">
        <f t="shared" si="180"/>
        <v>-</v>
      </c>
      <c r="BH241" s="472" t="str">
        <f t="shared" si="181"/>
        <v>-</v>
      </c>
      <c r="BI241" s="221">
        <f t="shared" si="154"/>
        <v>21.921407307171854</v>
      </c>
      <c r="BJ241" s="692"/>
      <c r="BK241" s="692"/>
      <c r="BL241" s="429">
        <v>60645</v>
      </c>
      <c r="BM241" s="429">
        <v>53474</v>
      </c>
      <c r="BN241" s="214">
        <f t="shared" si="155"/>
        <v>114119</v>
      </c>
      <c r="BO241" s="742"/>
      <c r="BP241" s="742"/>
      <c r="BQ241" s="429">
        <v>95572</v>
      </c>
      <c r="BR241" s="429">
        <v>78982</v>
      </c>
      <c r="BS241" s="228">
        <f t="shared" si="156"/>
        <v>174554</v>
      </c>
      <c r="BT241" s="407" t="str">
        <f t="shared" si="185"/>
        <v>-</v>
      </c>
      <c r="BU241" s="529" t="str">
        <f t="shared" si="186"/>
        <v>-</v>
      </c>
      <c r="BV241" s="529">
        <f t="shared" si="168"/>
        <v>1.5759254678868826</v>
      </c>
      <c r="BW241" s="529">
        <f t="shared" si="169"/>
        <v>1.4770168680106219</v>
      </c>
      <c r="BX241" s="221">
        <f t="shared" si="170"/>
        <v>1.5295787730351651</v>
      </c>
      <c r="BY241" s="730"/>
      <c r="BZ241" s="692">
        <v>108977</v>
      </c>
      <c r="CA241" s="693">
        <f t="shared" si="173"/>
        <v>108977</v>
      </c>
      <c r="CB241" s="407" t="str">
        <f t="shared" si="172"/>
        <v>-</v>
      </c>
      <c r="CC241" s="529">
        <f t="shared" si="163"/>
        <v>0</v>
      </c>
      <c r="CD241" s="221">
        <f t="shared" si="167"/>
        <v>1.6017508281563999</v>
      </c>
    </row>
    <row r="242" spans="1:82" ht="16.350000000000001" customHeight="1">
      <c r="A242" s="175">
        <f t="shared" si="144"/>
        <v>2025</v>
      </c>
      <c r="B242" s="454" t="str">
        <f t="shared" si="145"/>
        <v>29</v>
      </c>
      <c r="C242" s="454" t="str">
        <f t="array" ref="C242">_xlfn.IFS(_xlfn.NUMBERVALUE(B242)&lt;=13,"Q1",AND(_xlfn.NUMBERVALUE(B242)&gt;13,_xlfn.NUMBERVALUE(B242)&lt;=26),"Q2", AND(_xlfn.NUMBERVALUE(B242)&gt;26,_xlfn.NUMBERVALUE(B242)&lt;=39),"Q3",_xlfn.NUMBERVALUE(B242)&gt;39,"Q4")</f>
        <v>Q3</v>
      </c>
      <c r="D242" s="448">
        <f t="shared" si="165"/>
        <v>45514</v>
      </c>
      <c r="E242" s="448">
        <f t="shared" si="146"/>
        <v>45520</v>
      </c>
      <c r="F242" s="97">
        <v>202429</v>
      </c>
      <c r="G242" s="429">
        <v>8916</v>
      </c>
      <c r="H242" s="429">
        <v>9017</v>
      </c>
      <c r="I242" s="429"/>
      <c r="J242" s="429"/>
      <c r="K242" s="429">
        <v>7447</v>
      </c>
      <c r="L242" s="429">
        <v>9996</v>
      </c>
      <c r="M242" s="429"/>
      <c r="N242" s="429"/>
      <c r="O242" s="429">
        <v>5852</v>
      </c>
      <c r="P242" s="429">
        <v>6326</v>
      </c>
      <c r="Q242" s="429"/>
      <c r="R242" s="429"/>
      <c r="S242" s="429"/>
      <c r="T242" s="429"/>
      <c r="U242" s="429"/>
      <c r="V242" s="429"/>
      <c r="W242" s="429"/>
      <c r="X242" s="429"/>
      <c r="Y242" s="449">
        <f t="shared" si="133"/>
        <v>14266.199999999997</v>
      </c>
      <c r="Z242" s="449">
        <f t="shared" si="166"/>
        <v>47554</v>
      </c>
      <c r="AA242" s="214">
        <f>'Overall Metrics'!N243</f>
        <v>61820.2</v>
      </c>
      <c r="AB242" s="429">
        <v>92655</v>
      </c>
      <c r="AC242" s="429">
        <v>67513</v>
      </c>
      <c r="AD242" s="429">
        <v>51352</v>
      </c>
      <c r="AE242" s="429">
        <v>57170</v>
      </c>
      <c r="AF242" s="429">
        <v>89803</v>
      </c>
      <c r="AG242" s="429">
        <v>78496</v>
      </c>
      <c r="AH242" s="429">
        <v>72707</v>
      </c>
      <c r="AI242" s="429">
        <v>76989</v>
      </c>
      <c r="AJ242" s="429">
        <v>93987</v>
      </c>
      <c r="AK242" s="429">
        <v>93467</v>
      </c>
      <c r="AL242" s="429">
        <v>51218</v>
      </c>
      <c r="AM242" s="429">
        <v>93261</v>
      </c>
      <c r="AN242" s="429">
        <v>85887</v>
      </c>
      <c r="AO242" s="429">
        <v>87201</v>
      </c>
      <c r="AP242" s="429">
        <v>69722</v>
      </c>
      <c r="AQ242" s="429">
        <v>70283</v>
      </c>
      <c r="AR242" s="219">
        <f t="shared" si="147"/>
        <v>1231711</v>
      </c>
      <c r="AS242" s="220">
        <f t="shared" si="148"/>
        <v>10.391991924629879</v>
      </c>
      <c r="AT242" s="472">
        <f t="shared" si="149"/>
        <v>7.4873017633359211</v>
      </c>
      <c r="AU242" s="472" t="str">
        <f t="shared" si="150"/>
        <v>-</v>
      </c>
      <c r="AV242" s="472" t="str">
        <f t="shared" si="151"/>
        <v>-</v>
      </c>
      <c r="AW242" s="472">
        <f t="shared" si="152"/>
        <v>12.05894991271653</v>
      </c>
      <c r="AX242" s="472">
        <f t="shared" si="153"/>
        <v>7.8527410964385753</v>
      </c>
      <c r="AY242" s="472">
        <f t="shared" si="174"/>
        <v>12.4242993848257</v>
      </c>
      <c r="AZ242" s="472">
        <f t="shared" si="182"/>
        <v>12.170249762883339</v>
      </c>
      <c r="BA242" s="472" t="str">
        <f t="shared" si="183"/>
        <v>-</v>
      </c>
      <c r="BB242" s="472" t="str">
        <f t="shared" si="175"/>
        <v>-</v>
      </c>
      <c r="BC242" s="472" t="str">
        <f t="shared" si="176"/>
        <v>-</v>
      </c>
      <c r="BD242" s="472" t="str">
        <f t="shared" si="177"/>
        <v>-</v>
      </c>
      <c r="BE242" s="472" t="str">
        <f t="shared" si="178"/>
        <v>-</v>
      </c>
      <c r="BF242" s="472" t="str">
        <f t="shared" si="179"/>
        <v>-</v>
      </c>
      <c r="BG242" s="472" t="str">
        <f t="shared" si="180"/>
        <v>-</v>
      </c>
      <c r="BH242" s="472" t="str">
        <f t="shared" si="181"/>
        <v>-</v>
      </c>
      <c r="BI242" s="221">
        <f t="shared" si="154"/>
        <v>25.901312192454892</v>
      </c>
      <c r="BJ242" s="692"/>
      <c r="BK242" s="692"/>
      <c r="BL242" s="429">
        <v>69431</v>
      </c>
      <c r="BM242" s="429">
        <v>54879</v>
      </c>
      <c r="BN242" s="214">
        <f t="shared" si="155"/>
        <v>124310</v>
      </c>
      <c r="BO242" s="742"/>
      <c r="BP242" s="742"/>
      <c r="BQ242" s="429">
        <v>92162</v>
      </c>
      <c r="BR242" s="429">
        <v>57880</v>
      </c>
      <c r="BS242" s="228">
        <f t="shared" si="156"/>
        <v>150042</v>
      </c>
      <c r="BT242" s="407" t="str">
        <f t="shared" si="185"/>
        <v>-</v>
      </c>
      <c r="BU242" s="529" t="str">
        <f t="shared" si="186"/>
        <v>-</v>
      </c>
      <c r="BV242" s="529">
        <f t="shared" si="168"/>
        <v>1.3273897826619234</v>
      </c>
      <c r="BW242" s="529">
        <f t="shared" si="169"/>
        <v>1.0546839410339111</v>
      </c>
      <c r="BX242" s="221">
        <f t="shared" si="170"/>
        <v>1.2069986324511301</v>
      </c>
      <c r="BY242" s="730">
        <v>56987</v>
      </c>
      <c r="BZ242" s="692">
        <v>130206</v>
      </c>
      <c r="CA242" s="693">
        <f t="shared" si="173"/>
        <v>187193</v>
      </c>
      <c r="CB242" s="407">
        <f t="shared" si="172"/>
        <v>0</v>
      </c>
      <c r="CC242" s="529">
        <f t="shared" si="163"/>
        <v>0</v>
      </c>
      <c r="CD242" s="221">
        <f t="shared" si="167"/>
        <v>0.80153638223651524</v>
      </c>
    </row>
    <row r="243" spans="1:82" ht="16.350000000000001" customHeight="1">
      <c r="A243" s="175">
        <f t="shared" si="144"/>
        <v>2025</v>
      </c>
      <c r="B243" s="454" t="str">
        <f t="shared" si="145"/>
        <v>30</v>
      </c>
      <c r="C243" s="454" t="str">
        <f t="array" ref="C243">_xlfn.IFS(_xlfn.NUMBERVALUE(B243)&lt;=13,"Q1",AND(_xlfn.NUMBERVALUE(B243)&gt;13,_xlfn.NUMBERVALUE(B243)&lt;=26),"Q2", AND(_xlfn.NUMBERVALUE(B243)&gt;26,_xlfn.NUMBERVALUE(B243)&lt;=39),"Q3",_xlfn.NUMBERVALUE(B243)&gt;39,"Q4")</f>
        <v>Q3</v>
      </c>
      <c r="D243" s="448">
        <f t="shared" si="165"/>
        <v>45521</v>
      </c>
      <c r="E243" s="448">
        <f t="shared" si="146"/>
        <v>45527</v>
      </c>
      <c r="F243" s="97">
        <v>202430</v>
      </c>
      <c r="G243" s="429">
        <v>7586</v>
      </c>
      <c r="H243" s="429">
        <v>6493</v>
      </c>
      <c r="I243" s="429"/>
      <c r="J243" s="429"/>
      <c r="K243" s="429">
        <v>9444</v>
      </c>
      <c r="L243" s="429">
        <v>9227</v>
      </c>
      <c r="M243" s="429"/>
      <c r="N243" s="429"/>
      <c r="O243" s="429">
        <v>7493</v>
      </c>
      <c r="P243" s="429">
        <v>7878</v>
      </c>
      <c r="Q243" s="429"/>
      <c r="R243" s="429"/>
      <c r="S243" s="429"/>
      <c r="T243" s="429"/>
      <c r="U243" s="429"/>
      <c r="V243" s="429"/>
      <c r="W243" s="429"/>
      <c r="X243" s="429"/>
      <c r="Y243" s="449">
        <f t="shared" si="133"/>
        <v>14436.300000000003</v>
      </c>
      <c r="Z243" s="449">
        <f t="shared" si="166"/>
        <v>48121</v>
      </c>
      <c r="AA243" s="214">
        <f>'Overall Metrics'!N244</f>
        <v>62557.3</v>
      </c>
      <c r="AB243" s="429">
        <v>88540</v>
      </c>
      <c r="AC243" s="429">
        <v>61455</v>
      </c>
      <c r="AD243" s="429">
        <v>78718</v>
      </c>
      <c r="AE243" s="429">
        <v>66699</v>
      </c>
      <c r="AF243" s="429">
        <v>62972</v>
      </c>
      <c r="AG243" s="429">
        <v>94606</v>
      </c>
      <c r="AH243" s="429">
        <v>50648</v>
      </c>
      <c r="AI243" s="429">
        <v>52319</v>
      </c>
      <c r="AJ243" s="429">
        <v>59294</v>
      </c>
      <c r="AK243" s="429">
        <v>61591</v>
      </c>
      <c r="AL243" s="429">
        <v>62552</v>
      </c>
      <c r="AM243" s="429">
        <v>62874</v>
      </c>
      <c r="AN243" s="429">
        <v>66821</v>
      </c>
      <c r="AO243" s="429">
        <v>54871</v>
      </c>
      <c r="AP243" s="429">
        <v>81954</v>
      </c>
      <c r="AQ243" s="429">
        <v>71510</v>
      </c>
      <c r="AR243" s="219">
        <f t="shared" si="147"/>
        <v>1077424</v>
      </c>
      <c r="AS243" s="220">
        <f t="shared" si="148"/>
        <v>11.671500131821777</v>
      </c>
      <c r="AT243" s="472">
        <f t="shared" si="149"/>
        <v>9.4648082550438932</v>
      </c>
      <c r="AU243" s="472" t="str">
        <f t="shared" si="150"/>
        <v>-</v>
      </c>
      <c r="AV243" s="472" t="str">
        <f t="shared" si="151"/>
        <v>-</v>
      </c>
      <c r="AW243" s="472">
        <f t="shared" si="152"/>
        <v>6.6679373146971619</v>
      </c>
      <c r="AX243" s="472">
        <f t="shared" si="153"/>
        <v>10.25317004443481</v>
      </c>
      <c r="AY243" s="472">
        <f t="shared" si="174"/>
        <v>6.759375417055919</v>
      </c>
      <c r="AZ243" s="472">
        <f t="shared" si="182"/>
        <v>6.6411525767961415</v>
      </c>
      <c r="BA243" s="472" t="str">
        <f t="shared" si="183"/>
        <v>-</v>
      </c>
      <c r="BB243" s="472" t="str">
        <f t="shared" si="175"/>
        <v>-</v>
      </c>
      <c r="BC243" s="472" t="str">
        <f t="shared" si="176"/>
        <v>-</v>
      </c>
      <c r="BD243" s="472" t="str">
        <f t="shared" si="177"/>
        <v>-</v>
      </c>
      <c r="BE243" s="472" t="str">
        <f t="shared" si="178"/>
        <v>-</v>
      </c>
      <c r="BF243" s="472" t="str">
        <f t="shared" si="179"/>
        <v>-</v>
      </c>
      <c r="BG243" s="472" t="str">
        <f t="shared" si="180"/>
        <v>-</v>
      </c>
      <c r="BH243" s="472" t="str">
        <f t="shared" si="181"/>
        <v>-</v>
      </c>
      <c r="BI243" s="221">
        <f t="shared" si="154"/>
        <v>22.389892146879742</v>
      </c>
      <c r="BJ243" s="692"/>
      <c r="BK243" s="692"/>
      <c r="BL243" s="429">
        <v>90855</v>
      </c>
      <c r="BM243" s="429">
        <v>89088</v>
      </c>
      <c r="BN243" s="214">
        <f t="shared" si="155"/>
        <v>179943</v>
      </c>
      <c r="BO243" s="742"/>
      <c r="BP243" s="742"/>
      <c r="BQ243" s="429">
        <v>81521</v>
      </c>
      <c r="BR243" s="429">
        <v>58141</v>
      </c>
      <c r="BS243" s="228">
        <f t="shared" si="156"/>
        <v>139662</v>
      </c>
      <c r="BT243" s="407" t="str">
        <f t="shared" si="185"/>
        <v>-</v>
      </c>
      <c r="BU243" s="529" t="str">
        <f t="shared" si="186"/>
        <v>-</v>
      </c>
      <c r="BV243" s="529">
        <f t="shared" si="168"/>
        <v>0.89726487259919652</v>
      </c>
      <c r="BW243" s="529">
        <f t="shared" si="169"/>
        <v>0.65262437140804597</v>
      </c>
      <c r="BX243" s="221">
        <f t="shared" si="170"/>
        <v>0.77614577949684072</v>
      </c>
      <c r="BY243" s="730">
        <v>102458</v>
      </c>
      <c r="BZ243" s="692">
        <v>145743</v>
      </c>
      <c r="CA243" s="693">
        <f t="shared" si="173"/>
        <v>248201</v>
      </c>
      <c r="CB243" s="407">
        <f t="shared" si="172"/>
        <v>0</v>
      </c>
      <c r="CC243" s="529">
        <f t="shared" si="163"/>
        <v>0</v>
      </c>
      <c r="CD243" s="221">
        <f t="shared" si="167"/>
        <v>0.56269716882687826</v>
      </c>
    </row>
    <row r="244" spans="1:82" ht="16.350000000000001" customHeight="1">
      <c r="A244" s="175">
        <f t="shared" si="144"/>
        <v>2025</v>
      </c>
      <c r="B244" s="454" t="str">
        <f t="shared" si="145"/>
        <v>31</v>
      </c>
      <c r="C244" s="454" t="str">
        <f t="array" ref="C244">_xlfn.IFS(_xlfn.NUMBERVALUE(B244)&lt;=13,"Q1",AND(_xlfn.NUMBERVALUE(B244)&gt;13,_xlfn.NUMBERVALUE(B244)&lt;=26),"Q2", AND(_xlfn.NUMBERVALUE(B244)&gt;26,_xlfn.NUMBERVALUE(B244)&lt;=39),"Q3",_xlfn.NUMBERVALUE(B244)&gt;39,"Q4")</f>
        <v>Q3</v>
      </c>
      <c r="D244" s="448">
        <f t="shared" si="165"/>
        <v>45528</v>
      </c>
      <c r="E244" s="448">
        <f t="shared" si="146"/>
        <v>45534</v>
      </c>
      <c r="F244" s="97">
        <v>202431</v>
      </c>
      <c r="G244" s="429">
        <v>8985</v>
      </c>
      <c r="H244" s="429">
        <v>10532</v>
      </c>
      <c r="I244" s="429"/>
      <c r="J244" s="429"/>
      <c r="K244" s="429">
        <v>9921</v>
      </c>
      <c r="L244" s="429">
        <v>8064</v>
      </c>
      <c r="M244" s="429"/>
      <c r="N244" s="429"/>
      <c r="O244" s="429">
        <v>7444</v>
      </c>
      <c r="P244" s="429">
        <v>8712</v>
      </c>
      <c r="Q244" s="429"/>
      <c r="R244" s="429"/>
      <c r="S244" s="429"/>
      <c r="T244" s="429"/>
      <c r="U244" s="429"/>
      <c r="V244" s="429"/>
      <c r="W244" s="429"/>
      <c r="X244" s="429"/>
      <c r="Y244" s="449">
        <f t="shared" si="133"/>
        <v>16097.399999999994</v>
      </c>
      <c r="Z244" s="449">
        <f t="shared" si="166"/>
        <v>53658</v>
      </c>
      <c r="AA244" s="214">
        <f>'Overall Metrics'!N245</f>
        <v>69755.399999999994</v>
      </c>
      <c r="AB244" s="429">
        <v>60499</v>
      </c>
      <c r="AC244" s="429">
        <v>96775</v>
      </c>
      <c r="AD244" s="429">
        <v>68882</v>
      </c>
      <c r="AE244" s="429">
        <v>63811</v>
      </c>
      <c r="AF244" s="429">
        <v>75069</v>
      </c>
      <c r="AG244" s="429">
        <v>64596</v>
      </c>
      <c r="AH244" s="429">
        <v>93333</v>
      </c>
      <c r="AI244" s="429">
        <v>94037</v>
      </c>
      <c r="AJ244" s="429">
        <v>85415</v>
      </c>
      <c r="AK244" s="429">
        <v>77528</v>
      </c>
      <c r="AL244" s="429">
        <v>56732</v>
      </c>
      <c r="AM244" s="429">
        <v>79646</v>
      </c>
      <c r="AN244" s="429">
        <v>79331</v>
      </c>
      <c r="AO244" s="429">
        <v>73664</v>
      </c>
      <c r="AP244" s="429">
        <v>52951</v>
      </c>
      <c r="AQ244" s="429">
        <v>76776</v>
      </c>
      <c r="AR244" s="219">
        <f t="shared" si="147"/>
        <v>1199045</v>
      </c>
      <c r="AS244" s="220">
        <f t="shared" si="148"/>
        <v>6.7333333333333334</v>
      </c>
      <c r="AT244" s="472">
        <f t="shared" si="149"/>
        <v>9.1886631219141659</v>
      </c>
      <c r="AU244" s="472" t="str">
        <f t="shared" si="150"/>
        <v>-</v>
      </c>
      <c r="AV244" s="472" t="str">
        <f t="shared" si="151"/>
        <v>-</v>
      </c>
      <c r="AW244" s="472">
        <f t="shared" si="152"/>
        <v>7.5666767462957365</v>
      </c>
      <c r="AX244" s="472">
        <f t="shared" si="153"/>
        <v>8.0104166666666661</v>
      </c>
      <c r="AY244" s="472">
        <f t="shared" si="174"/>
        <v>12.538017195056421</v>
      </c>
      <c r="AZ244" s="472">
        <f t="shared" si="182"/>
        <v>10.793962350780532</v>
      </c>
      <c r="BA244" s="472" t="str">
        <f t="shared" si="183"/>
        <v>-</v>
      </c>
      <c r="BB244" s="472" t="str">
        <f t="shared" si="175"/>
        <v>-</v>
      </c>
      <c r="BC244" s="472" t="str">
        <f t="shared" si="176"/>
        <v>-</v>
      </c>
      <c r="BD244" s="472" t="str">
        <f t="shared" si="177"/>
        <v>-</v>
      </c>
      <c r="BE244" s="472" t="str">
        <f t="shared" si="178"/>
        <v>-</v>
      </c>
      <c r="BF244" s="472" t="str">
        <f t="shared" si="179"/>
        <v>-</v>
      </c>
      <c r="BG244" s="472" t="str">
        <f t="shared" si="180"/>
        <v>-</v>
      </c>
      <c r="BH244" s="472" t="str">
        <f t="shared" si="181"/>
        <v>-</v>
      </c>
      <c r="BI244" s="221">
        <f t="shared" si="154"/>
        <v>22.346062096984607</v>
      </c>
      <c r="BJ244" s="692"/>
      <c r="BK244" s="692"/>
      <c r="BL244" s="429">
        <v>68160</v>
      </c>
      <c r="BM244" s="429">
        <v>87842</v>
      </c>
      <c r="BN244" s="214">
        <f t="shared" si="155"/>
        <v>156002</v>
      </c>
      <c r="BO244" s="742"/>
      <c r="BP244" s="742"/>
      <c r="BQ244" s="429">
        <v>95743</v>
      </c>
      <c r="BR244" s="429">
        <v>60996</v>
      </c>
      <c r="BS244" s="228">
        <f t="shared" si="156"/>
        <v>156739</v>
      </c>
      <c r="BT244" s="407" t="str">
        <f t="shared" si="185"/>
        <v>-</v>
      </c>
      <c r="BU244" s="529" t="str">
        <f t="shared" si="186"/>
        <v>-</v>
      </c>
      <c r="BV244" s="529">
        <f t="shared" si="168"/>
        <v>1.4046801643192488</v>
      </c>
      <c r="BW244" s="529">
        <f t="shared" si="169"/>
        <v>0.69438309692402267</v>
      </c>
      <c r="BX244" s="221">
        <f t="shared" si="170"/>
        <v>1.0047242984064306</v>
      </c>
      <c r="BY244" s="730">
        <v>76639</v>
      </c>
      <c r="BZ244" s="692">
        <v>179459</v>
      </c>
      <c r="CA244" s="693">
        <f t="shared" si="173"/>
        <v>256098</v>
      </c>
      <c r="CB244" s="407">
        <f t="shared" si="172"/>
        <v>0</v>
      </c>
      <c r="CC244" s="529">
        <f t="shared" si="163"/>
        <v>0</v>
      </c>
      <c r="CD244" s="221">
        <f t="shared" si="167"/>
        <v>0.61202742700060131</v>
      </c>
    </row>
    <row r="245" spans="1:82" ht="16.350000000000001" customHeight="1">
      <c r="A245" s="175">
        <f t="shared" si="144"/>
        <v>2025</v>
      </c>
      <c r="B245" s="454" t="str">
        <f t="shared" si="145"/>
        <v>32</v>
      </c>
      <c r="C245" s="454" t="str">
        <f t="array" ref="C245">_xlfn.IFS(_xlfn.NUMBERVALUE(B245)&lt;=13,"Q1",AND(_xlfn.NUMBERVALUE(B245)&gt;13,_xlfn.NUMBERVALUE(B245)&lt;=26),"Q2", AND(_xlfn.NUMBERVALUE(B245)&gt;26,_xlfn.NUMBERVALUE(B245)&lt;=39),"Q3",_xlfn.NUMBERVALUE(B245)&gt;39,"Q4")</f>
        <v>Q3</v>
      </c>
      <c r="D245" s="448">
        <f t="shared" si="165"/>
        <v>45535</v>
      </c>
      <c r="E245" s="448">
        <f t="shared" si="146"/>
        <v>45541</v>
      </c>
      <c r="F245" s="97">
        <v>202432</v>
      </c>
      <c r="G245" s="429">
        <v>9633</v>
      </c>
      <c r="H245" s="429">
        <v>6307</v>
      </c>
      <c r="I245" s="429"/>
      <c r="J245" s="429"/>
      <c r="K245" s="429">
        <v>5743</v>
      </c>
      <c r="L245" s="429">
        <v>9736</v>
      </c>
      <c r="M245" s="429"/>
      <c r="N245" s="429"/>
      <c r="O245" s="429">
        <v>8780</v>
      </c>
      <c r="P245" s="429">
        <v>9586</v>
      </c>
      <c r="Q245" s="429"/>
      <c r="R245" s="429"/>
      <c r="S245" s="429"/>
      <c r="T245" s="429"/>
      <c r="U245" s="429"/>
      <c r="V245" s="429"/>
      <c r="W245" s="429"/>
      <c r="X245" s="429"/>
      <c r="Y245" s="449">
        <f t="shared" si="133"/>
        <v>14935.5</v>
      </c>
      <c r="Z245" s="449">
        <f t="shared" si="166"/>
        <v>49785</v>
      </c>
      <c r="AA245" s="214">
        <f>'Overall Metrics'!N246</f>
        <v>64720.5</v>
      </c>
      <c r="AB245" s="429">
        <v>99296</v>
      </c>
      <c r="AC245" s="429">
        <v>63087</v>
      </c>
      <c r="AD245" s="429">
        <v>72856</v>
      </c>
      <c r="AE245" s="429">
        <v>69159</v>
      </c>
      <c r="AF245" s="429">
        <v>75755</v>
      </c>
      <c r="AG245" s="429">
        <v>50370</v>
      </c>
      <c r="AH245" s="429">
        <v>66631</v>
      </c>
      <c r="AI245" s="429">
        <v>79841</v>
      </c>
      <c r="AJ245" s="429">
        <v>82952</v>
      </c>
      <c r="AK245" s="429">
        <v>63246</v>
      </c>
      <c r="AL245" s="429">
        <v>79105</v>
      </c>
      <c r="AM245" s="429">
        <v>70295</v>
      </c>
      <c r="AN245" s="429">
        <v>71046</v>
      </c>
      <c r="AO245" s="429">
        <v>71280</v>
      </c>
      <c r="AP245" s="429">
        <v>99452</v>
      </c>
      <c r="AQ245" s="429">
        <v>92971</v>
      </c>
      <c r="AR245" s="219">
        <f t="shared" si="147"/>
        <v>1207342</v>
      </c>
      <c r="AS245" s="220">
        <f t="shared" si="148"/>
        <v>10.307899927333125</v>
      </c>
      <c r="AT245" s="472">
        <f t="shared" si="149"/>
        <v>10.002695417789758</v>
      </c>
      <c r="AU245" s="472" t="str">
        <f t="shared" si="150"/>
        <v>-</v>
      </c>
      <c r="AV245" s="472" t="str">
        <f t="shared" si="151"/>
        <v>-</v>
      </c>
      <c r="AW245" s="472">
        <f t="shared" si="152"/>
        <v>13.190841023855128</v>
      </c>
      <c r="AX245" s="472">
        <f t="shared" si="153"/>
        <v>5.1735825801150366</v>
      </c>
      <c r="AY245" s="472">
        <f t="shared" si="174"/>
        <v>7.588952164009112</v>
      </c>
      <c r="AZ245" s="472">
        <f t="shared" si="182"/>
        <v>8.3289171708741918</v>
      </c>
      <c r="BA245" s="472" t="str">
        <f t="shared" si="183"/>
        <v>-</v>
      </c>
      <c r="BB245" s="472" t="str">
        <f t="shared" si="175"/>
        <v>-</v>
      </c>
      <c r="BC245" s="472" t="str">
        <f t="shared" si="176"/>
        <v>-</v>
      </c>
      <c r="BD245" s="472" t="str">
        <f t="shared" si="177"/>
        <v>-</v>
      </c>
      <c r="BE245" s="472" t="str">
        <f t="shared" si="178"/>
        <v>-</v>
      </c>
      <c r="BF245" s="472" t="str">
        <f t="shared" si="179"/>
        <v>-</v>
      </c>
      <c r="BG245" s="472" t="str">
        <f t="shared" si="180"/>
        <v>-</v>
      </c>
      <c r="BH245" s="472" t="str">
        <f t="shared" si="181"/>
        <v>-</v>
      </c>
      <c r="BI245" s="221">
        <f t="shared" si="154"/>
        <v>24.251119815205382</v>
      </c>
      <c r="BJ245" s="692"/>
      <c r="BK245" s="692"/>
      <c r="BL245" s="429">
        <v>74602</v>
      </c>
      <c r="BM245" s="429">
        <v>94563</v>
      </c>
      <c r="BN245" s="214">
        <f t="shared" si="155"/>
        <v>169165</v>
      </c>
      <c r="BO245" s="742"/>
      <c r="BP245" s="742"/>
      <c r="BQ245" s="429">
        <v>54384</v>
      </c>
      <c r="BR245" s="429">
        <v>90901</v>
      </c>
      <c r="BS245" s="228">
        <f t="shared" si="156"/>
        <v>145285</v>
      </c>
      <c r="BT245" s="407" t="str">
        <f t="shared" si="185"/>
        <v>-</v>
      </c>
      <c r="BU245" s="529" t="str">
        <f t="shared" si="186"/>
        <v>-</v>
      </c>
      <c r="BV245" s="529">
        <f t="shared" si="168"/>
        <v>0.72898849896785611</v>
      </c>
      <c r="BW245" s="529">
        <f t="shared" si="169"/>
        <v>0.96127449425250888</v>
      </c>
      <c r="BX245" s="221">
        <f t="shared" si="170"/>
        <v>0.85883604764578958</v>
      </c>
      <c r="BY245" s="730">
        <v>66037</v>
      </c>
      <c r="BZ245" s="692">
        <v>197597</v>
      </c>
      <c r="CA245" s="693">
        <f t="shared" si="173"/>
        <v>263634</v>
      </c>
      <c r="CB245" s="407">
        <f t="shared" si="172"/>
        <v>0</v>
      </c>
      <c r="CC245" s="529">
        <f t="shared" si="163"/>
        <v>0</v>
      </c>
      <c r="CD245" s="221">
        <f t="shared" ref="CD245:CD276" si="187">IFERROR(BS245/CA245,"-")</f>
        <v>0.55108597525357128</v>
      </c>
    </row>
    <row r="246" spans="1:82" ht="16.350000000000001" customHeight="1">
      <c r="A246" s="175">
        <f t="shared" si="144"/>
        <v>2025</v>
      </c>
      <c r="B246" s="454" t="str">
        <f t="shared" si="145"/>
        <v>33</v>
      </c>
      <c r="C246" s="454" t="str">
        <f t="array" ref="C246">_xlfn.IFS(_xlfn.NUMBERVALUE(B246)&lt;=13,"Q1",AND(_xlfn.NUMBERVALUE(B246)&gt;13,_xlfn.NUMBERVALUE(B246)&lt;=26),"Q2", AND(_xlfn.NUMBERVALUE(B246)&gt;26,_xlfn.NUMBERVALUE(B246)&lt;=39),"Q3",_xlfn.NUMBERVALUE(B246)&gt;39,"Q4")</f>
        <v>Q3</v>
      </c>
      <c r="D246" s="448">
        <f t="shared" si="165"/>
        <v>45542</v>
      </c>
      <c r="E246" s="448">
        <f t="shared" si="146"/>
        <v>45548</v>
      </c>
      <c r="F246" s="97">
        <v>202433</v>
      </c>
      <c r="G246" s="429">
        <v>13913</v>
      </c>
      <c r="H246" s="429">
        <v>7112</v>
      </c>
      <c r="I246" s="429"/>
      <c r="J246" s="429"/>
      <c r="K246" s="429">
        <v>7085</v>
      </c>
      <c r="L246" s="429">
        <v>7307</v>
      </c>
      <c r="M246" s="429"/>
      <c r="N246" s="429"/>
      <c r="O246" s="429">
        <v>6720</v>
      </c>
      <c r="P246" s="429">
        <v>9297</v>
      </c>
      <c r="Q246" s="429"/>
      <c r="R246" s="429"/>
      <c r="S246" s="429"/>
      <c r="T246" s="429"/>
      <c r="U246" s="429"/>
      <c r="V246" s="429"/>
      <c r="W246" s="429"/>
      <c r="X246" s="429"/>
      <c r="Y246" s="449">
        <f t="shared" si="133"/>
        <v>15430.199999999997</v>
      </c>
      <c r="Z246" s="449">
        <f t="shared" si="166"/>
        <v>51434</v>
      </c>
      <c r="AA246" s="214">
        <f>'Overall Metrics'!N247</f>
        <v>66864.2</v>
      </c>
      <c r="AB246" s="429">
        <v>80311</v>
      </c>
      <c r="AC246" s="429">
        <v>66262</v>
      </c>
      <c r="AD246" s="429">
        <v>99423</v>
      </c>
      <c r="AE246" s="429">
        <v>81992</v>
      </c>
      <c r="AF246" s="429">
        <v>83803</v>
      </c>
      <c r="AG246" s="429">
        <v>74689</v>
      </c>
      <c r="AH246" s="429">
        <v>67328</v>
      </c>
      <c r="AI246" s="429">
        <v>50788</v>
      </c>
      <c r="AJ246" s="429">
        <v>82399</v>
      </c>
      <c r="AK246" s="429">
        <v>73506</v>
      </c>
      <c r="AL246" s="429">
        <v>52145</v>
      </c>
      <c r="AM246" s="429">
        <v>86977</v>
      </c>
      <c r="AN246" s="429">
        <v>96516</v>
      </c>
      <c r="AO246" s="429">
        <v>73823</v>
      </c>
      <c r="AP246" s="429">
        <v>53400</v>
      </c>
      <c r="AQ246" s="429">
        <v>56346</v>
      </c>
      <c r="AR246" s="219">
        <f t="shared" si="147"/>
        <v>1179708</v>
      </c>
      <c r="AS246" s="220">
        <f t="shared" si="148"/>
        <v>5.7723711636598862</v>
      </c>
      <c r="AT246" s="472">
        <f t="shared" si="149"/>
        <v>9.3169291338582685</v>
      </c>
      <c r="AU246" s="472" t="str">
        <f t="shared" si="150"/>
        <v>-</v>
      </c>
      <c r="AV246" s="472" t="str">
        <f t="shared" si="151"/>
        <v>-</v>
      </c>
      <c r="AW246" s="472">
        <f t="shared" si="152"/>
        <v>11.828228652081863</v>
      </c>
      <c r="AX246" s="472">
        <f t="shared" si="153"/>
        <v>10.221568359107705</v>
      </c>
      <c r="AY246" s="472">
        <f t="shared" si="174"/>
        <v>10.019047619047619</v>
      </c>
      <c r="AZ246" s="472">
        <f t="shared" si="182"/>
        <v>5.4628374744541253</v>
      </c>
      <c r="BA246" s="472" t="str">
        <f t="shared" si="183"/>
        <v>-</v>
      </c>
      <c r="BB246" s="472" t="str">
        <f t="shared" si="175"/>
        <v>-</v>
      </c>
      <c r="BC246" s="472" t="str">
        <f t="shared" si="176"/>
        <v>-</v>
      </c>
      <c r="BD246" s="472" t="str">
        <f t="shared" si="177"/>
        <v>-</v>
      </c>
      <c r="BE246" s="472" t="str">
        <f t="shared" si="178"/>
        <v>-</v>
      </c>
      <c r="BF246" s="472" t="str">
        <f t="shared" si="179"/>
        <v>-</v>
      </c>
      <c r="BG246" s="472" t="str">
        <f t="shared" si="180"/>
        <v>-</v>
      </c>
      <c r="BH246" s="472" t="str">
        <f t="shared" si="181"/>
        <v>-</v>
      </c>
      <c r="BI246" s="221">
        <f t="shared" si="154"/>
        <v>22.936345607963602</v>
      </c>
      <c r="BJ246" s="692">
        <f>SUM('MAE - Audience Level Data'!O8,'MAE - Audience Level Data'!P8)</f>
        <v>156223</v>
      </c>
      <c r="BK246" s="692">
        <f>SUM('MAE - Audience Level Data'!M8,'MAE - Audience Level Data'!N8,'MAE - Audience Level Data'!Q8,'MAE - Audience Level Data'!R8)</f>
        <v>264246</v>
      </c>
      <c r="BL246" s="429">
        <v>60659</v>
      </c>
      <c r="BM246" s="429">
        <v>98394</v>
      </c>
      <c r="BN246" s="214">
        <f t="shared" si="155"/>
        <v>579522</v>
      </c>
      <c r="BO246" s="742">
        <f>SUM('MAE - Audience Level Data'!U8:V8)</f>
        <v>167874</v>
      </c>
      <c r="BP246" s="742">
        <f>SUM('MAE - Audience Level Data'!S8:T8,'MAE - Audience Level Data'!W8:X8)</f>
        <v>337805</v>
      </c>
      <c r="BQ246" s="429">
        <v>78747</v>
      </c>
      <c r="BR246" s="429">
        <v>77326</v>
      </c>
      <c r="BS246" s="228">
        <f t="shared" si="156"/>
        <v>661752</v>
      </c>
      <c r="BT246" s="407">
        <f t="shared" si="185"/>
        <v>1.0745792873008455</v>
      </c>
      <c r="BU246" s="529">
        <f t="shared" si="186"/>
        <v>1.2783731825647313</v>
      </c>
      <c r="BV246" s="529">
        <f t="shared" si="168"/>
        <v>1.298191529698808</v>
      </c>
      <c r="BW246" s="529">
        <f t="shared" si="169"/>
        <v>0.78588125292192612</v>
      </c>
      <c r="BX246" s="221">
        <f t="shared" si="170"/>
        <v>1.1418928013086647</v>
      </c>
      <c r="BY246" s="730">
        <f>SUM('MAE - Audience Level Data'!I8:J8)</f>
        <v>144600</v>
      </c>
      <c r="BZ246" s="692">
        <f>SUM('MAE - Audience Level Data'!G8:H8,'MAE - Audience Level Data'!K8:L8)</f>
        <v>266191</v>
      </c>
      <c r="CA246" s="693">
        <f t="shared" si="173"/>
        <v>410791</v>
      </c>
      <c r="CB246" s="407">
        <f t="shared" si="172"/>
        <v>1.1609543568464731</v>
      </c>
      <c r="CC246" s="529">
        <f t="shared" si="163"/>
        <v>1.2690323865194542</v>
      </c>
      <c r="CD246" s="221">
        <f t="shared" si="187"/>
        <v>1.6109213687739021</v>
      </c>
    </row>
    <row r="247" spans="1:82" ht="16.350000000000001" customHeight="1">
      <c r="A247" s="175">
        <f t="shared" si="144"/>
        <v>2025</v>
      </c>
      <c r="B247" s="454" t="str">
        <f t="shared" si="145"/>
        <v>34</v>
      </c>
      <c r="C247" s="454" t="str">
        <f t="array" ref="C247">_xlfn.IFS(_xlfn.NUMBERVALUE(B247)&lt;=13,"Q1",AND(_xlfn.NUMBERVALUE(B247)&gt;13,_xlfn.NUMBERVALUE(B247)&lt;=26),"Q2", AND(_xlfn.NUMBERVALUE(B247)&gt;26,_xlfn.NUMBERVALUE(B247)&lt;=39),"Q3",_xlfn.NUMBERVALUE(B247)&gt;39,"Q4")</f>
        <v>Q3</v>
      </c>
      <c r="D247" s="448">
        <f t="shared" si="165"/>
        <v>45549</v>
      </c>
      <c r="E247" s="448">
        <f t="shared" si="146"/>
        <v>45555</v>
      </c>
      <c r="F247" s="97">
        <v>202434</v>
      </c>
      <c r="G247" s="429">
        <v>12979</v>
      </c>
      <c r="H247" s="429">
        <v>8191</v>
      </c>
      <c r="I247" s="429"/>
      <c r="J247" s="429"/>
      <c r="K247" s="429">
        <v>9828</v>
      </c>
      <c r="L247" s="429">
        <v>9116</v>
      </c>
      <c r="M247" s="429"/>
      <c r="N247" s="429"/>
      <c r="O247" s="429">
        <v>6702</v>
      </c>
      <c r="P247" s="429">
        <v>8243</v>
      </c>
      <c r="Q247" s="429"/>
      <c r="R247" s="429"/>
      <c r="S247" s="429"/>
      <c r="T247" s="429"/>
      <c r="U247" s="429"/>
      <c r="V247" s="429"/>
      <c r="W247" s="429"/>
      <c r="X247" s="429"/>
      <c r="Y247" s="449">
        <f t="shared" si="133"/>
        <v>16517.699999999997</v>
      </c>
      <c r="Z247" s="449">
        <f t="shared" si="166"/>
        <v>55059</v>
      </c>
      <c r="AA247" s="214">
        <f>'Overall Metrics'!N248</f>
        <v>71576.7</v>
      </c>
      <c r="AB247" s="429">
        <v>68338</v>
      </c>
      <c r="AC247" s="429">
        <v>58371</v>
      </c>
      <c r="AD247" s="429">
        <v>92912</v>
      </c>
      <c r="AE247" s="429">
        <v>99494</v>
      </c>
      <c r="AF247" s="429">
        <v>64301</v>
      </c>
      <c r="AG247" s="429">
        <v>77486</v>
      </c>
      <c r="AH247" s="429">
        <v>72062</v>
      </c>
      <c r="AI247" s="429">
        <v>67506</v>
      </c>
      <c r="AJ247" s="429">
        <v>53659</v>
      </c>
      <c r="AK247" s="429">
        <v>88458</v>
      </c>
      <c r="AL247" s="429">
        <v>50154</v>
      </c>
      <c r="AM247" s="429">
        <v>63343</v>
      </c>
      <c r="AN247" s="429">
        <v>63812</v>
      </c>
      <c r="AO247" s="429">
        <v>51968</v>
      </c>
      <c r="AP247" s="429">
        <v>83177</v>
      </c>
      <c r="AQ247" s="429">
        <v>59932</v>
      </c>
      <c r="AR247" s="219">
        <f t="shared" si="147"/>
        <v>1114973</v>
      </c>
      <c r="AS247" s="220">
        <f t="shared" si="148"/>
        <v>5.265274674474151</v>
      </c>
      <c r="AT247" s="472">
        <f t="shared" si="149"/>
        <v>7.1262361128067395</v>
      </c>
      <c r="AU247" s="472" t="str">
        <f t="shared" si="150"/>
        <v>-</v>
      </c>
      <c r="AV247" s="472" t="str">
        <f t="shared" si="151"/>
        <v>-</v>
      </c>
      <c r="AW247" s="472">
        <f t="shared" si="152"/>
        <v>6.5426332926332931</v>
      </c>
      <c r="AX247" s="472">
        <f t="shared" si="153"/>
        <v>8.5</v>
      </c>
      <c r="AY247" s="472">
        <f t="shared" si="174"/>
        <v>10.752312742464936</v>
      </c>
      <c r="AZ247" s="472">
        <f t="shared" si="182"/>
        <v>8.1894941162198229</v>
      </c>
      <c r="BA247" s="472" t="str">
        <f t="shared" si="183"/>
        <v>-</v>
      </c>
      <c r="BB247" s="472" t="str">
        <f t="shared" si="175"/>
        <v>-</v>
      </c>
      <c r="BC247" s="472" t="str">
        <f t="shared" si="176"/>
        <v>-</v>
      </c>
      <c r="BD247" s="472" t="str">
        <f t="shared" si="177"/>
        <v>-</v>
      </c>
      <c r="BE247" s="472" t="str">
        <f t="shared" si="178"/>
        <v>-</v>
      </c>
      <c r="BF247" s="472" t="str">
        <f t="shared" si="179"/>
        <v>-</v>
      </c>
      <c r="BG247" s="472" t="str">
        <f t="shared" si="180"/>
        <v>-</v>
      </c>
      <c r="BH247" s="472" t="str">
        <f t="shared" si="181"/>
        <v>-</v>
      </c>
      <c r="BI247" s="221">
        <f t="shared" si="154"/>
        <v>20.250513085962332</v>
      </c>
      <c r="BJ247" s="692">
        <f>SUM('MAE - Audience Level Data'!O9,'MAE - Audience Level Data'!P9)</f>
        <v>153526</v>
      </c>
      <c r="BK247" s="692">
        <f>SUM('MAE - Audience Level Data'!M9,'MAE - Audience Level Data'!N9,'MAE - Audience Level Data'!Q9,'MAE - Audience Level Data'!R9)</f>
        <v>272654</v>
      </c>
      <c r="BL247" s="429">
        <v>77633</v>
      </c>
      <c r="BM247" s="429">
        <v>58635</v>
      </c>
      <c r="BN247" s="214">
        <f t="shared" si="155"/>
        <v>562448</v>
      </c>
      <c r="BO247" s="742">
        <f>SUM('MAE - Audience Level Data'!U9:V9)</f>
        <v>142831</v>
      </c>
      <c r="BP247" s="742">
        <f>SUM('MAE - Audience Level Data'!S9:T9,'MAE - Audience Level Data'!W9:X9)</f>
        <v>319991</v>
      </c>
      <c r="BQ247" s="429">
        <v>85598</v>
      </c>
      <c r="BR247" s="429">
        <v>75809</v>
      </c>
      <c r="BS247" s="228">
        <f t="shared" si="156"/>
        <v>624229</v>
      </c>
      <c r="BT247" s="407">
        <f t="shared" si="185"/>
        <v>0.93033753240493466</v>
      </c>
      <c r="BU247" s="529">
        <f t="shared" si="186"/>
        <v>1.1736156447365524</v>
      </c>
      <c r="BV247" s="529">
        <f t="shared" ref="BV247:BV278" si="188">IFERROR(BQ247/BL247,"-")</f>
        <v>1.1025981219326833</v>
      </c>
      <c r="BW247" s="529">
        <f t="shared" ref="BW247:BW278" si="189">IFERROR(BR247/BM247,"-")</f>
        <v>1.2928967340325743</v>
      </c>
      <c r="BX247" s="221">
        <f t="shared" ref="BX247:BX278" si="190">IFERROR(BS247/BN247,"-")</f>
        <v>1.109843043268</v>
      </c>
      <c r="BY247" s="730">
        <f>SUM('MAE - Audience Level Data'!I9:J9)</f>
        <v>145118</v>
      </c>
      <c r="BZ247" s="692">
        <f>SUM('MAE - Audience Level Data'!G9:H9,'MAE - Audience Level Data'!K9:L9)</f>
        <v>315714</v>
      </c>
      <c r="CA247" s="693">
        <f t="shared" si="173"/>
        <v>460832</v>
      </c>
      <c r="CB247" s="407">
        <f t="shared" si="172"/>
        <v>0.98424041125153328</v>
      </c>
      <c r="CC247" s="529">
        <f t="shared" si="163"/>
        <v>1.0135470710833223</v>
      </c>
      <c r="CD247" s="221">
        <f t="shared" si="187"/>
        <v>1.3545695611415873</v>
      </c>
    </row>
    <row r="248" spans="1:82" ht="16.350000000000001" customHeight="1">
      <c r="A248" s="175">
        <f t="shared" si="144"/>
        <v>2025</v>
      </c>
      <c r="B248" s="454" t="str">
        <f t="shared" si="145"/>
        <v>35</v>
      </c>
      <c r="C248" s="454" t="str">
        <f t="array" ref="C248">_xlfn.IFS(_xlfn.NUMBERVALUE(B248)&lt;=13,"Q1",AND(_xlfn.NUMBERVALUE(B248)&gt;13,_xlfn.NUMBERVALUE(B248)&lt;=26),"Q2", AND(_xlfn.NUMBERVALUE(B248)&gt;26,_xlfn.NUMBERVALUE(B248)&lt;=39),"Q3",_xlfn.NUMBERVALUE(B248)&gt;39,"Q4")</f>
        <v>Q3</v>
      </c>
      <c r="D248" s="448">
        <f t="shared" si="165"/>
        <v>45556</v>
      </c>
      <c r="E248" s="448">
        <f t="shared" si="146"/>
        <v>45562</v>
      </c>
      <c r="F248" s="97">
        <v>202435</v>
      </c>
      <c r="G248" s="429">
        <v>12866</v>
      </c>
      <c r="H248" s="429">
        <v>6928</v>
      </c>
      <c r="I248" s="429"/>
      <c r="J248" s="429"/>
      <c r="K248" s="429">
        <v>7340</v>
      </c>
      <c r="L248" s="429">
        <v>6714</v>
      </c>
      <c r="M248" s="429"/>
      <c r="N248" s="429"/>
      <c r="O248" s="429">
        <v>9556</v>
      </c>
      <c r="P248" s="429">
        <v>9619</v>
      </c>
      <c r="Q248" s="429"/>
      <c r="R248" s="429"/>
      <c r="S248" s="429"/>
      <c r="T248" s="429"/>
      <c r="U248" s="429"/>
      <c r="V248" s="429"/>
      <c r="W248" s="429"/>
      <c r="X248" s="429"/>
      <c r="Y248" s="449">
        <f t="shared" si="133"/>
        <v>15906.899999999994</v>
      </c>
      <c r="Z248" s="449">
        <f t="shared" si="166"/>
        <v>53023</v>
      </c>
      <c r="AA248" s="214">
        <f>'Overall Metrics'!N249</f>
        <v>68929.899999999994</v>
      </c>
      <c r="AB248" s="429">
        <v>90264</v>
      </c>
      <c r="AC248" s="429">
        <v>59137</v>
      </c>
      <c r="AD248" s="429">
        <v>90834</v>
      </c>
      <c r="AE248" s="429">
        <v>63669</v>
      </c>
      <c r="AF248" s="429">
        <v>99363</v>
      </c>
      <c r="AG248" s="429">
        <v>64561</v>
      </c>
      <c r="AH248" s="429">
        <v>60605</v>
      </c>
      <c r="AI248" s="429">
        <v>71542</v>
      </c>
      <c r="AJ248" s="429">
        <v>84226</v>
      </c>
      <c r="AK248" s="429">
        <v>93953</v>
      </c>
      <c r="AL248" s="429">
        <v>50208</v>
      </c>
      <c r="AM248" s="429">
        <v>76072</v>
      </c>
      <c r="AN248" s="429">
        <v>64191</v>
      </c>
      <c r="AO248" s="429">
        <v>75484</v>
      </c>
      <c r="AP248" s="429">
        <v>76604</v>
      </c>
      <c r="AQ248" s="429">
        <v>98742</v>
      </c>
      <c r="AR248" s="219">
        <f t="shared" si="147"/>
        <v>1219455</v>
      </c>
      <c r="AS248" s="220">
        <f t="shared" si="148"/>
        <v>7.0157002953520911</v>
      </c>
      <c r="AT248" s="472">
        <f t="shared" si="149"/>
        <v>8.5359411085450354</v>
      </c>
      <c r="AU248" s="472" t="str">
        <f t="shared" si="150"/>
        <v>-</v>
      </c>
      <c r="AV248" s="472" t="str">
        <f t="shared" si="151"/>
        <v>-</v>
      </c>
      <c r="AW248" s="472">
        <f t="shared" si="152"/>
        <v>13.537193460490464</v>
      </c>
      <c r="AX248" s="472">
        <f t="shared" si="153"/>
        <v>9.6158772713732503</v>
      </c>
      <c r="AY248" s="472">
        <f t="shared" si="174"/>
        <v>6.3420887400586023</v>
      </c>
      <c r="AZ248" s="472">
        <f t="shared" si="182"/>
        <v>7.4375714731261047</v>
      </c>
      <c r="BA248" s="472" t="str">
        <f t="shared" si="183"/>
        <v>-</v>
      </c>
      <c r="BB248" s="472" t="str">
        <f t="shared" si="175"/>
        <v>-</v>
      </c>
      <c r="BC248" s="472" t="str">
        <f t="shared" si="176"/>
        <v>-</v>
      </c>
      <c r="BD248" s="472" t="str">
        <f t="shared" si="177"/>
        <v>-</v>
      </c>
      <c r="BE248" s="472" t="str">
        <f t="shared" si="178"/>
        <v>-</v>
      </c>
      <c r="BF248" s="472" t="str">
        <f t="shared" si="179"/>
        <v>-</v>
      </c>
      <c r="BG248" s="472" t="str">
        <f t="shared" si="180"/>
        <v>-</v>
      </c>
      <c r="BH248" s="472" t="str">
        <f t="shared" si="181"/>
        <v>-</v>
      </c>
      <c r="BI248" s="221">
        <f t="shared" si="154"/>
        <v>22.998604379231654</v>
      </c>
      <c r="BJ248" s="692">
        <f>SUM('MAE - Audience Level Data'!O10,'MAE - Audience Level Data'!P10)</f>
        <v>174977</v>
      </c>
      <c r="BK248" s="692">
        <f>SUM('MAE - Audience Level Data'!M10,'MAE - Audience Level Data'!N10,'MAE - Audience Level Data'!Q10,'MAE - Audience Level Data'!R10)</f>
        <v>326283</v>
      </c>
      <c r="BL248" s="429">
        <v>60471</v>
      </c>
      <c r="BM248" s="429">
        <v>57470</v>
      </c>
      <c r="BN248" s="214">
        <f t="shared" si="155"/>
        <v>619201</v>
      </c>
      <c r="BO248" s="742">
        <f>SUM('MAE - Audience Level Data'!U10:V10)</f>
        <v>137950</v>
      </c>
      <c r="BP248" s="742">
        <f>SUM('MAE - Audience Level Data'!S10:T10,'MAE - Audience Level Data'!W10:X10)</f>
        <v>235656</v>
      </c>
      <c r="BQ248" s="429">
        <v>60154</v>
      </c>
      <c r="BR248" s="429">
        <v>51562</v>
      </c>
      <c r="BS248" s="228">
        <f t="shared" si="156"/>
        <v>485322</v>
      </c>
      <c r="BT248" s="407">
        <f t="shared" si="185"/>
        <v>0.78838933116923937</v>
      </c>
      <c r="BU248" s="529">
        <f t="shared" si="186"/>
        <v>0.72224418679489888</v>
      </c>
      <c r="BV248" s="529">
        <f t="shared" si="188"/>
        <v>0.99475781779696049</v>
      </c>
      <c r="BW248" s="529">
        <f t="shared" si="189"/>
        <v>0.89719853836784413</v>
      </c>
      <c r="BX248" s="221">
        <f t="shared" si="190"/>
        <v>0.78378749388324631</v>
      </c>
      <c r="BY248" s="730">
        <f>SUM('MAE - Audience Level Data'!I10:J10)</f>
        <v>115714</v>
      </c>
      <c r="BZ248" s="692">
        <f>SUM('MAE - Audience Level Data'!G10:H10,'MAE - Audience Level Data'!K10:L10)</f>
        <v>330498</v>
      </c>
      <c r="CA248" s="693">
        <f t="shared" si="173"/>
        <v>446212</v>
      </c>
      <c r="CB248" s="407">
        <f t="shared" ref="CB248:CB279" si="191">IFERROR(BO248/BY248,"-")</f>
        <v>1.1921634374405863</v>
      </c>
      <c r="CC248" s="529">
        <f t="shared" si="163"/>
        <v>0.71303305920156856</v>
      </c>
      <c r="CD248" s="221">
        <f t="shared" si="187"/>
        <v>1.0876489202441888</v>
      </c>
    </row>
    <row r="249" spans="1:82" ht="16.350000000000001" customHeight="1">
      <c r="A249" s="175">
        <f t="shared" si="144"/>
        <v>2025</v>
      </c>
      <c r="B249" s="454" t="str">
        <f t="shared" si="145"/>
        <v>36</v>
      </c>
      <c r="C249" s="454" t="str">
        <f t="array" ref="C249">_xlfn.IFS(_xlfn.NUMBERVALUE(B249)&lt;=13,"Q1",AND(_xlfn.NUMBERVALUE(B249)&gt;13,_xlfn.NUMBERVALUE(B249)&lt;=26),"Q2", AND(_xlfn.NUMBERVALUE(B249)&gt;26,_xlfn.NUMBERVALUE(B249)&lt;=39),"Q3",_xlfn.NUMBERVALUE(B249)&gt;39,"Q4")</f>
        <v>Q3</v>
      </c>
      <c r="D249" s="448">
        <f t="shared" si="165"/>
        <v>45563</v>
      </c>
      <c r="E249" s="448">
        <f t="shared" si="146"/>
        <v>45569</v>
      </c>
      <c r="F249" s="97">
        <v>202436</v>
      </c>
      <c r="G249" s="429">
        <v>7497</v>
      </c>
      <c r="H249" s="429">
        <v>10572</v>
      </c>
      <c r="I249" s="429"/>
      <c r="J249" s="429"/>
      <c r="K249" s="429">
        <v>8424</v>
      </c>
      <c r="L249" s="429">
        <v>9802</v>
      </c>
      <c r="M249" s="429"/>
      <c r="N249" s="429"/>
      <c r="O249" s="429">
        <v>7844</v>
      </c>
      <c r="P249" s="429">
        <v>5396</v>
      </c>
      <c r="Q249" s="429"/>
      <c r="R249" s="429"/>
      <c r="S249" s="429"/>
      <c r="T249" s="429"/>
      <c r="U249" s="429"/>
      <c r="V249" s="429"/>
      <c r="W249" s="429"/>
      <c r="X249" s="429"/>
      <c r="Y249" s="449">
        <f t="shared" si="133"/>
        <v>14860.5</v>
      </c>
      <c r="Z249" s="449">
        <f t="shared" si="166"/>
        <v>49535</v>
      </c>
      <c r="AA249" s="214">
        <f>'Overall Metrics'!N250</f>
        <v>64395.5</v>
      </c>
      <c r="AB249" s="429">
        <v>77069</v>
      </c>
      <c r="AC249" s="429">
        <v>86145</v>
      </c>
      <c r="AD249" s="429">
        <v>72033</v>
      </c>
      <c r="AE249" s="429">
        <v>87663</v>
      </c>
      <c r="AF249" s="429">
        <v>92288</v>
      </c>
      <c r="AG249" s="429">
        <v>56708</v>
      </c>
      <c r="AH249" s="429">
        <v>70566</v>
      </c>
      <c r="AI249" s="429">
        <v>54458</v>
      </c>
      <c r="AJ249" s="429">
        <v>65025</v>
      </c>
      <c r="AK249" s="429">
        <v>63879</v>
      </c>
      <c r="AL249" s="429">
        <v>84761</v>
      </c>
      <c r="AM249" s="429">
        <v>97957</v>
      </c>
      <c r="AN249" s="429">
        <v>56604</v>
      </c>
      <c r="AO249" s="429">
        <v>89452</v>
      </c>
      <c r="AP249" s="429">
        <v>90536</v>
      </c>
      <c r="AQ249" s="429">
        <v>77288</v>
      </c>
      <c r="AR249" s="219">
        <f t="shared" si="147"/>
        <v>1222432</v>
      </c>
      <c r="AS249" s="220">
        <f t="shared" si="148"/>
        <v>10.279978658129918</v>
      </c>
      <c r="AT249" s="472">
        <f t="shared" si="149"/>
        <v>8.1484108967082864</v>
      </c>
      <c r="AU249" s="472" t="str">
        <f t="shared" si="150"/>
        <v>-</v>
      </c>
      <c r="AV249" s="472" t="str">
        <f t="shared" si="151"/>
        <v>-</v>
      </c>
      <c r="AW249" s="472">
        <f t="shared" si="152"/>
        <v>10.955365622032289</v>
      </c>
      <c r="AX249" s="472">
        <f t="shared" si="153"/>
        <v>5.7853499285860028</v>
      </c>
      <c r="AY249" s="472">
        <f t="shared" si="174"/>
        <v>8.9961754207037234</v>
      </c>
      <c r="AZ249" s="472">
        <f t="shared" si="182"/>
        <v>10.092290585618978</v>
      </c>
      <c r="BA249" s="472" t="str">
        <f t="shared" si="183"/>
        <v>-</v>
      </c>
      <c r="BB249" s="472" t="str">
        <f t="shared" si="175"/>
        <v>-</v>
      </c>
      <c r="BC249" s="472" t="str">
        <f t="shared" si="176"/>
        <v>-</v>
      </c>
      <c r="BD249" s="472" t="str">
        <f t="shared" si="177"/>
        <v>-</v>
      </c>
      <c r="BE249" s="472" t="str">
        <f t="shared" si="178"/>
        <v>-</v>
      </c>
      <c r="BF249" s="472" t="str">
        <f t="shared" si="179"/>
        <v>-</v>
      </c>
      <c r="BG249" s="472" t="str">
        <f t="shared" si="180"/>
        <v>-</v>
      </c>
      <c r="BH249" s="472" t="str">
        <f t="shared" si="181"/>
        <v>-</v>
      </c>
      <c r="BI249" s="221">
        <f t="shared" si="154"/>
        <v>24.678146764913699</v>
      </c>
      <c r="BJ249" s="692">
        <f>SUM('MAE - Audience Level Data'!O11,'MAE - Audience Level Data'!P11)</f>
        <v>177445</v>
      </c>
      <c r="BK249" s="692">
        <f>SUM('MAE - Audience Level Data'!M11,'MAE - Audience Level Data'!N11,'MAE - Audience Level Data'!Q11,'MAE - Audience Level Data'!R11)</f>
        <v>292458</v>
      </c>
      <c r="BL249" s="429">
        <v>64036</v>
      </c>
      <c r="BM249" s="429">
        <v>75396</v>
      </c>
      <c r="BN249" s="214">
        <f t="shared" si="155"/>
        <v>609335</v>
      </c>
      <c r="BO249" s="742">
        <f>SUM('MAE - Audience Level Data'!U11:V11)</f>
        <v>151115</v>
      </c>
      <c r="BP249" s="742">
        <f>SUM('MAE - Audience Level Data'!S11:T11,'MAE - Audience Level Data'!W11:X11)</f>
        <v>330485</v>
      </c>
      <c r="BQ249" s="429">
        <v>80134</v>
      </c>
      <c r="BR249" s="429">
        <v>54093</v>
      </c>
      <c r="BS249" s="228">
        <f t="shared" si="156"/>
        <v>615827</v>
      </c>
      <c r="BT249" s="407">
        <f t="shared" si="185"/>
        <v>0.85161599368818508</v>
      </c>
      <c r="BU249" s="529">
        <f t="shared" si="186"/>
        <v>1.1300255079361823</v>
      </c>
      <c r="BV249" s="529">
        <f t="shared" si="188"/>
        <v>1.2513898432131927</v>
      </c>
      <c r="BW249" s="529">
        <f t="shared" si="189"/>
        <v>0.71745185420977242</v>
      </c>
      <c r="BX249" s="221">
        <f t="shared" si="190"/>
        <v>1.0106542378166361</v>
      </c>
      <c r="BY249" s="730">
        <f>SUM('MAE - Audience Level Data'!I11:J11)</f>
        <v>151560</v>
      </c>
      <c r="BZ249" s="692">
        <f>SUM('MAE - Audience Level Data'!G11:H11,'MAE - Audience Level Data'!K11:L11)</f>
        <v>284719</v>
      </c>
      <c r="CA249" s="693">
        <f t="shared" ref="CA249:CA280" si="192">SUM(BY249:BZ249)</f>
        <v>436279</v>
      </c>
      <c r="CB249" s="407">
        <f t="shared" si="191"/>
        <v>0.99706386909474798</v>
      </c>
      <c r="CC249" s="529">
        <f t="shared" si="163"/>
        <v>1.160740941068211</v>
      </c>
      <c r="CD249" s="221">
        <f t="shared" si="187"/>
        <v>1.4115439890528767</v>
      </c>
    </row>
    <row r="250" spans="1:82" ht="16.350000000000001" customHeight="1">
      <c r="A250" s="175">
        <f t="shared" si="144"/>
        <v>2025</v>
      </c>
      <c r="B250" s="454" t="str">
        <f t="shared" si="145"/>
        <v>37</v>
      </c>
      <c r="C250" s="454" t="str">
        <f t="array" ref="C250">_xlfn.IFS(_xlfn.NUMBERVALUE(B250)&lt;=13,"Q1",AND(_xlfn.NUMBERVALUE(B250)&gt;13,_xlfn.NUMBERVALUE(B250)&lt;=26),"Q2", AND(_xlfn.NUMBERVALUE(B250)&gt;26,_xlfn.NUMBERVALUE(B250)&lt;=39),"Q3",_xlfn.NUMBERVALUE(B250)&gt;39,"Q4")</f>
        <v>Q3</v>
      </c>
      <c r="D250" s="448">
        <f t="shared" si="165"/>
        <v>45570</v>
      </c>
      <c r="E250" s="448">
        <f t="shared" si="146"/>
        <v>45576</v>
      </c>
      <c r="F250" s="97">
        <v>202437</v>
      </c>
      <c r="G250" s="429">
        <v>9565</v>
      </c>
      <c r="H250" s="429">
        <v>10418</v>
      </c>
      <c r="I250" s="429"/>
      <c r="J250" s="429"/>
      <c r="K250" s="429">
        <v>9005</v>
      </c>
      <c r="L250" s="429">
        <v>7511</v>
      </c>
      <c r="M250" s="429"/>
      <c r="N250" s="429"/>
      <c r="O250" s="429">
        <v>7033</v>
      </c>
      <c r="P250" s="429">
        <v>8275</v>
      </c>
      <c r="Q250" s="429"/>
      <c r="R250" s="429"/>
      <c r="S250" s="429"/>
      <c r="T250" s="429"/>
      <c r="U250" s="429"/>
      <c r="V250" s="429"/>
      <c r="W250" s="429"/>
      <c r="X250" s="429"/>
      <c r="Y250" s="449">
        <f t="shared" ref="Y250:Y272" si="193">AA250-Z250</f>
        <v>15542.100000000006</v>
      </c>
      <c r="Z250" s="449">
        <f t="shared" si="166"/>
        <v>51807</v>
      </c>
      <c r="AA250" s="214">
        <f>'Overall Metrics'!N251</f>
        <v>67349.100000000006</v>
      </c>
      <c r="AB250" s="429">
        <v>57224</v>
      </c>
      <c r="AC250" s="429">
        <v>90851</v>
      </c>
      <c r="AD250" s="429">
        <v>80462</v>
      </c>
      <c r="AE250" s="429">
        <v>74396</v>
      </c>
      <c r="AF250" s="429">
        <v>54861</v>
      </c>
      <c r="AG250" s="429">
        <v>71958</v>
      </c>
      <c r="AH250" s="429">
        <v>84326</v>
      </c>
      <c r="AI250" s="429">
        <v>64898</v>
      </c>
      <c r="AJ250" s="429">
        <v>78999</v>
      </c>
      <c r="AK250" s="429">
        <v>70031</v>
      </c>
      <c r="AL250" s="429">
        <v>54419</v>
      </c>
      <c r="AM250" s="429">
        <v>63859</v>
      </c>
      <c r="AN250" s="429">
        <v>61496</v>
      </c>
      <c r="AO250" s="429">
        <v>58665</v>
      </c>
      <c r="AP250" s="429">
        <v>78324</v>
      </c>
      <c r="AQ250" s="429">
        <v>86795</v>
      </c>
      <c r="AR250" s="219">
        <f t="shared" si="147"/>
        <v>1131564</v>
      </c>
      <c r="AS250" s="220">
        <f t="shared" si="148"/>
        <v>5.9826450601150025</v>
      </c>
      <c r="AT250" s="472">
        <f t="shared" si="149"/>
        <v>8.7205797657899797</v>
      </c>
      <c r="AU250" s="472" t="str">
        <f t="shared" si="150"/>
        <v>-</v>
      </c>
      <c r="AV250" s="472" t="str">
        <f t="shared" si="151"/>
        <v>-</v>
      </c>
      <c r="AW250" s="472">
        <f t="shared" si="152"/>
        <v>6.0922820655191563</v>
      </c>
      <c r="AX250" s="472">
        <f t="shared" si="153"/>
        <v>9.5803488217281316</v>
      </c>
      <c r="AY250" s="472">
        <f t="shared" si="174"/>
        <v>11.990046921655054</v>
      </c>
      <c r="AZ250" s="472">
        <f t="shared" si="182"/>
        <v>7.8426586102719034</v>
      </c>
      <c r="BA250" s="472" t="str">
        <f t="shared" si="183"/>
        <v>-</v>
      </c>
      <c r="BB250" s="472" t="str">
        <f t="shared" si="175"/>
        <v>-</v>
      </c>
      <c r="BC250" s="472" t="str">
        <f t="shared" si="176"/>
        <v>-</v>
      </c>
      <c r="BD250" s="472" t="str">
        <f t="shared" si="177"/>
        <v>-</v>
      </c>
      <c r="BE250" s="472" t="str">
        <f t="shared" si="178"/>
        <v>-</v>
      </c>
      <c r="BF250" s="472" t="str">
        <f t="shared" si="179"/>
        <v>-</v>
      </c>
      <c r="BG250" s="472" t="str">
        <f t="shared" si="180"/>
        <v>-</v>
      </c>
      <c r="BH250" s="472" t="str">
        <f t="shared" si="181"/>
        <v>-</v>
      </c>
      <c r="BI250" s="221">
        <f t="shared" si="154"/>
        <v>21.841913254965544</v>
      </c>
      <c r="BJ250" s="692">
        <f>SUM('MAE - Audience Level Data'!O12,'MAE - Audience Level Data'!P12)</f>
        <v>123375</v>
      </c>
      <c r="BK250" s="692">
        <f>SUM('MAE - Audience Level Data'!M12,'MAE - Audience Level Data'!N12,'MAE - Audience Level Data'!Q12,'MAE - Audience Level Data'!R12)</f>
        <v>303544</v>
      </c>
      <c r="BL250" s="429">
        <v>98563</v>
      </c>
      <c r="BM250" s="429">
        <v>57736</v>
      </c>
      <c r="BN250" s="214">
        <f t="shared" si="155"/>
        <v>583218</v>
      </c>
      <c r="BO250" s="742">
        <f>SUM('MAE - Audience Level Data'!U12:V12)</f>
        <v>130844</v>
      </c>
      <c r="BP250" s="742">
        <f>SUM('MAE - Audience Level Data'!S12:T12,'MAE - Audience Level Data'!W12:X12)</f>
        <v>241997</v>
      </c>
      <c r="BQ250" s="429">
        <v>86506</v>
      </c>
      <c r="BR250" s="429">
        <v>50557</v>
      </c>
      <c r="BS250" s="228">
        <f t="shared" si="156"/>
        <v>509904</v>
      </c>
      <c r="BT250" s="407">
        <f t="shared" si="185"/>
        <v>1.0605390070921985</v>
      </c>
      <c r="BU250" s="529">
        <f t="shared" si="186"/>
        <v>0.79723862108952903</v>
      </c>
      <c r="BV250" s="529">
        <f t="shared" si="188"/>
        <v>0.87767214877793898</v>
      </c>
      <c r="BW250" s="529">
        <f t="shared" si="189"/>
        <v>0.87565816821393927</v>
      </c>
      <c r="BX250" s="221">
        <f t="shared" si="190"/>
        <v>0.87429400327150397</v>
      </c>
      <c r="BY250" s="730">
        <f>SUM('MAE - Audience Level Data'!I12:J12)</f>
        <v>120560</v>
      </c>
      <c r="BZ250" s="692">
        <f>SUM('MAE - Audience Level Data'!G12:H12,'MAE - Audience Level Data'!K12:L12)</f>
        <v>303106</v>
      </c>
      <c r="CA250" s="693">
        <f t="shared" si="192"/>
        <v>423666</v>
      </c>
      <c r="CB250" s="407">
        <f t="shared" si="191"/>
        <v>1.0853019243530193</v>
      </c>
      <c r="CC250" s="529">
        <f t="shared" si="163"/>
        <v>0.7983906620126292</v>
      </c>
      <c r="CD250" s="221">
        <f t="shared" si="187"/>
        <v>1.203551854526915</v>
      </c>
    </row>
    <row r="251" spans="1:82" ht="16.350000000000001" customHeight="1">
      <c r="A251" s="175">
        <f t="shared" si="144"/>
        <v>2025</v>
      </c>
      <c r="B251" s="454" t="str">
        <f t="shared" si="145"/>
        <v>38</v>
      </c>
      <c r="C251" s="454" t="str">
        <f t="array" ref="C251">_xlfn.IFS(_xlfn.NUMBERVALUE(B251)&lt;=13,"Q1",AND(_xlfn.NUMBERVALUE(B251)&gt;13,_xlfn.NUMBERVALUE(B251)&lt;=26),"Q2", AND(_xlfn.NUMBERVALUE(B251)&gt;26,_xlfn.NUMBERVALUE(B251)&lt;=39),"Q3",_xlfn.NUMBERVALUE(B251)&gt;39,"Q4")</f>
        <v>Q3</v>
      </c>
      <c r="D251" s="448">
        <f t="shared" si="165"/>
        <v>45577</v>
      </c>
      <c r="E251" s="448">
        <f t="shared" si="146"/>
        <v>45583</v>
      </c>
      <c r="F251" s="97">
        <v>202438</v>
      </c>
      <c r="G251" s="429">
        <v>5107</v>
      </c>
      <c r="H251" s="429">
        <v>13744</v>
      </c>
      <c r="I251" s="429"/>
      <c r="J251" s="429"/>
      <c r="K251" s="429">
        <v>8193</v>
      </c>
      <c r="L251" s="429">
        <v>9934</v>
      </c>
      <c r="M251" s="429"/>
      <c r="N251" s="429"/>
      <c r="O251" s="429">
        <v>8457</v>
      </c>
      <c r="P251" s="429">
        <v>7163</v>
      </c>
      <c r="Q251" s="429"/>
      <c r="R251" s="429"/>
      <c r="S251" s="429"/>
      <c r="T251" s="429"/>
      <c r="U251" s="429"/>
      <c r="V251" s="429"/>
      <c r="W251" s="429"/>
      <c r="X251" s="429"/>
      <c r="Y251" s="449">
        <f t="shared" si="193"/>
        <v>15779.399999999994</v>
      </c>
      <c r="Z251" s="449">
        <f t="shared" si="166"/>
        <v>52598</v>
      </c>
      <c r="AA251" s="214">
        <f>'Overall Metrics'!N252</f>
        <v>68377.399999999994</v>
      </c>
      <c r="AB251" s="429">
        <v>98987</v>
      </c>
      <c r="AC251" s="429">
        <v>60848</v>
      </c>
      <c r="AD251" s="429">
        <v>56279</v>
      </c>
      <c r="AE251" s="429">
        <v>94229</v>
      </c>
      <c r="AF251" s="429">
        <v>87623</v>
      </c>
      <c r="AG251" s="429">
        <v>60593</v>
      </c>
      <c r="AH251" s="429">
        <v>68675</v>
      </c>
      <c r="AI251" s="429">
        <v>87171</v>
      </c>
      <c r="AJ251" s="429">
        <v>64881</v>
      </c>
      <c r="AK251" s="429">
        <v>52626</v>
      </c>
      <c r="AL251" s="429">
        <v>71733</v>
      </c>
      <c r="AM251" s="429">
        <v>87983</v>
      </c>
      <c r="AN251" s="429">
        <v>73288</v>
      </c>
      <c r="AO251" s="429">
        <v>79969</v>
      </c>
      <c r="AP251" s="429">
        <v>92505</v>
      </c>
      <c r="AQ251" s="429">
        <v>84702</v>
      </c>
      <c r="AR251" s="219">
        <f t="shared" si="147"/>
        <v>1222092</v>
      </c>
      <c r="AS251" s="220">
        <f t="shared" si="148"/>
        <v>19.38261210103779</v>
      </c>
      <c r="AT251" s="472">
        <f t="shared" si="149"/>
        <v>4.4272409778812571</v>
      </c>
      <c r="AU251" s="472" t="str">
        <f t="shared" si="150"/>
        <v>-</v>
      </c>
      <c r="AV251" s="472" t="str">
        <f t="shared" si="151"/>
        <v>-</v>
      </c>
      <c r="AW251" s="472">
        <f t="shared" si="152"/>
        <v>10.694861467106065</v>
      </c>
      <c r="AX251" s="472">
        <f t="shared" si="153"/>
        <v>6.0995570767062617</v>
      </c>
      <c r="AY251" s="472">
        <f t="shared" si="174"/>
        <v>8.1204919002010172</v>
      </c>
      <c r="AZ251" s="472">
        <f t="shared" si="182"/>
        <v>12.169621666899344</v>
      </c>
      <c r="BA251" s="472" t="str">
        <f t="shared" si="183"/>
        <v>-</v>
      </c>
      <c r="BB251" s="472" t="str">
        <f t="shared" si="175"/>
        <v>-</v>
      </c>
      <c r="BC251" s="472" t="str">
        <f t="shared" si="176"/>
        <v>-</v>
      </c>
      <c r="BD251" s="472" t="str">
        <f t="shared" si="177"/>
        <v>-</v>
      </c>
      <c r="BE251" s="472" t="str">
        <f t="shared" si="178"/>
        <v>-</v>
      </c>
      <c r="BF251" s="472" t="str">
        <f t="shared" si="179"/>
        <v>-</v>
      </c>
      <c r="BG251" s="472" t="str">
        <f t="shared" si="180"/>
        <v>-</v>
      </c>
      <c r="BH251" s="472" t="str">
        <f t="shared" si="181"/>
        <v>-</v>
      </c>
      <c r="BI251" s="221">
        <f t="shared" si="154"/>
        <v>23.234571656716984</v>
      </c>
      <c r="BJ251" s="692">
        <f>SUM('MAE - Audience Level Data'!O13,'MAE - Audience Level Data'!P13)</f>
        <v>154657</v>
      </c>
      <c r="BK251" s="692">
        <f>SUM('MAE - Audience Level Data'!M13,'MAE - Audience Level Data'!N13,'MAE - Audience Level Data'!Q13,'MAE - Audience Level Data'!R13)</f>
        <v>358683</v>
      </c>
      <c r="BL251" s="429">
        <v>77446</v>
      </c>
      <c r="BM251" s="429">
        <v>60455</v>
      </c>
      <c r="BN251" s="214">
        <f t="shared" si="155"/>
        <v>651241</v>
      </c>
      <c r="BO251" s="742">
        <f>SUM('MAE - Audience Level Data'!U13:V13)</f>
        <v>175461</v>
      </c>
      <c r="BP251" s="742">
        <f>SUM('MAE - Audience Level Data'!S13:T13,'MAE - Audience Level Data'!W13:X13)</f>
        <v>311395</v>
      </c>
      <c r="BQ251" s="429">
        <v>94092</v>
      </c>
      <c r="BR251" s="429">
        <v>90788</v>
      </c>
      <c r="BS251" s="228">
        <f t="shared" si="156"/>
        <v>671736</v>
      </c>
      <c r="BT251" s="407">
        <f t="shared" si="185"/>
        <v>1.1345170280039054</v>
      </c>
      <c r="BU251" s="529">
        <f t="shared" si="186"/>
        <v>0.86816213759782312</v>
      </c>
      <c r="BV251" s="529">
        <f t="shared" si="188"/>
        <v>1.214936859230948</v>
      </c>
      <c r="BW251" s="529">
        <f t="shared" si="189"/>
        <v>1.5017450996609047</v>
      </c>
      <c r="BX251" s="221">
        <f t="shared" si="190"/>
        <v>1.0314706844317234</v>
      </c>
      <c r="BY251" s="730">
        <f>SUM('MAE - Audience Level Data'!I13:J13)</f>
        <v>150482</v>
      </c>
      <c r="BZ251" s="692">
        <f>SUM('MAE - Audience Level Data'!G13:H13,'MAE - Audience Level Data'!K13:L13)</f>
        <v>320615</v>
      </c>
      <c r="CA251" s="693">
        <f t="shared" si="192"/>
        <v>471097</v>
      </c>
      <c r="CB251" s="407">
        <f t="shared" si="191"/>
        <v>1.1659932749431825</v>
      </c>
      <c r="CC251" s="529">
        <f t="shared" si="163"/>
        <v>0.97124276780562357</v>
      </c>
      <c r="CD251" s="221">
        <f t="shared" si="187"/>
        <v>1.4258974266446189</v>
      </c>
    </row>
    <row r="252" spans="1:82" ht="16.350000000000001" customHeight="1">
      <c r="A252" s="175">
        <f t="shared" si="144"/>
        <v>2025</v>
      </c>
      <c r="B252" s="454" t="str">
        <f t="shared" si="145"/>
        <v>39</v>
      </c>
      <c r="C252" s="454" t="str">
        <f t="array" ref="C252">_xlfn.IFS(_xlfn.NUMBERVALUE(B252)&lt;=13,"Q1",AND(_xlfn.NUMBERVALUE(B252)&gt;13,_xlfn.NUMBERVALUE(B252)&lt;=26),"Q2", AND(_xlfn.NUMBERVALUE(B252)&gt;26,_xlfn.NUMBERVALUE(B252)&lt;=39),"Q3",_xlfn.NUMBERVALUE(B252)&gt;39,"Q4")</f>
        <v>Q3</v>
      </c>
      <c r="D252" s="448">
        <f t="shared" si="165"/>
        <v>45584</v>
      </c>
      <c r="E252" s="448">
        <f t="shared" si="146"/>
        <v>45590</v>
      </c>
      <c r="F252" s="97">
        <v>202439</v>
      </c>
      <c r="G252" s="429">
        <v>13198</v>
      </c>
      <c r="H252" s="429">
        <v>12528</v>
      </c>
      <c r="I252" s="429"/>
      <c r="J252" s="429"/>
      <c r="K252" s="429">
        <v>8275</v>
      </c>
      <c r="L252" s="429">
        <v>6612</v>
      </c>
      <c r="M252" s="429"/>
      <c r="N252" s="429"/>
      <c r="O252" s="429">
        <v>5354</v>
      </c>
      <c r="P252" s="429">
        <v>5881</v>
      </c>
      <c r="Q252" s="429"/>
      <c r="R252" s="429"/>
      <c r="S252" s="429"/>
      <c r="T252" s="429"/>
      <c r="U252" s="429"/>
      <c r="V252" s="429"/>
      <c r="W252" s="429"/>
      <c r="X252" s="429"/>
      <c r="Y252" s="449">
        <f t="shared" si="193"/>
        <v>15554.399999999994</v>
      </c>
      <c r="Z252" s="449">
        <f t="shared" si="166"/>
        <v>51848</v>
      </c>
      <c r="AA252" s="214">
        <f>'Overall Metrics'!N253</f>
        <v>67402.399999999994</v>
      </c>
      <c r="AB252" s="429">
        <v>91543</v>
      </c>
      <c r="AC252" s="429">
        <v>76026</v>
      </c>
      <c r="AD252" s="429">
        <v>94497</v>
      </c>
      <c r="AE252" s="429">
        <v>82561</v>
      </c>
      <c r="AF252" s="429">
        <v>84304</v>
      </c>
      <c r="AG252" s="429">
        <v>99046</v>
      </c>
      <c r="AH252" s="429">
        <v>59926</v>
      </c>
      <c r="AI252" s="429">
        <v>76205</v>
      </c>
      <c r="AJ252" s="429">
        <v>54258</v>
      </c>
      <c r="AK252" s="429">
        <v>84824</v>
      </c>
      <c r="AL252" s="429">
        <v>53407</v>
      </c>
      <c r="AM252" s="429">
        <v>77926</v>
      </c>
      <c r="AN252" s="429">
        <v>63106</v>
      </c>
      <c r="AO252" s="429">
        <v>76293</v>
      </c>
      <c r="AP252" s="429">
        <v>73384</v>
      </c>
      <c r="AQ252" s="429">
        <v>92261</v>
      </c>
      <c r="AR252" s="219">
        <f t="shared" si="147"/>
        <v>1239567</v>
      </c>
      <c r="AS252" s="220">
        <f t="shared" si="148"/>
        <v>6.9361266858614945</v>
      </c>
      <c r="AT252" s="472">
        <f t="shared" si="149"/>
        <v>6.0684865900383143</v>
      </c>
      <c r="AU252" s="472" t="str">
        <f t="shared" si="150"/>
        <v>-</v>
      </c>
      <c r="AV252" s="472" t="str">
        <f t="shared" si="151"/>
        <v>-</v>
      </c>
      <c r="AW252" s="472">
        <f t="shared" si="152"/>
        <v>10.187794561933535</v>
      </c>
      <c r="AX252" s="472">
        <f t="shared" si="153"/>
        <v>14.979733817301875</v>
      </c>
      <c r="AY252" s="472">
        <f t="shared" si="174"/>
        <v>11.192753081807995</v>
      </c>
      <c r="AZ252" s="472">
        <f t="shared" si="182"/>
        <v>12.957830300969222</v>
      </c>
      <c r="BA252" s="472" t="str">
        <f t="shared" si="183"/>
        <v>-</v>
      </c>
      <c r="BB252" s="472" t="str">
        <f t="shared" si="175"/>
        <v>-</v>
      </c>
      <c r="BC252" s="472" t="str">
        <f t="shared" si="176"/>
        <v>-</v>
      </c>
      <c r="BD252" s="472" t="str">
        <f t="shared" si="177"/>
        <v>-</v>
      </c>
      <c r="BE252" s="472" t="str">
        <f t="shared" si="178"/>
        <v>-</v>
      </c>
      <c r="BF252" s="472" t="str">
        <f t="shared" si="179"/>
        <v>-</v>
      </c>
      <c r="BG252" s="472" t="str">
        <f t="shared" si="180"/>
        <v>-</v>
      </c>
      <c r="BH252" s="472" t="str">
        <f t="shared" si="181"/>
        <v>-</v>
      </c>
      <c r="BI252" s="221">
        <f t="shared" si="154"/>
        <v>23.907711001388673</v>
      </c>
      <c r="BJ252" s="692">
        <f>SUM('MAE - Audience Level Data'!O14,'MAE - Audience Level Data'!P14)</f>
        <v>163138</v>
      </c>
      <c r="BK252" s="692">
        <f>SUM('MAE - Audience Level Data'!M14,'MAE - Audience Level Data'!N14,'MAE - Audience Level Data'!Q14,'MAE - Audience Level Data'!R14)</f>
        <v>285925</v>
      </c>
      <c r="BL252" s="429">
        <v>62235</v>
      </c>
      <c r="BM252" s="429">
        <v>57066</v>
      </c>
      <c r="BN252" s="214">
        <f t="shared" si="155"/>
        <v>568364</v>
      </c>
      <c r="BO252" s="742">
        <f>SUM('MAE - Audience Level Data'!U14:V14)</f>
        <v>165116</v>
      </c>
      <c r="BP252" s="742">
        <f>SUM('MAE - Audience Level Data'!S14:T14,'MAE - Audience Level Data'!W14:X14)</f>
        <v>340715</v>
      </c>
      <c r="BQ252" s="429">
        <v>74180</v>
      </c>
      <c r="BR252" s="429">
        <v>51771</v>
      </c>
      <c r="BS252" s="228">
        <f t="shared" si="156"/>
        <v>631782</v>
      </c>
      <c r="BT252" s="407">
        <f t="shared" si="185"/>
        <v>1.0121247042381296</v>
      </c>
      <c r="BU252" s="529">
        <f t="shared" si="186"/>
        <v>1.191623677537816</v>
      </c>
      <c r="BV252" s="529">
        <f t="shared" si="188"/>
        <v>1.1919337993090704</v>
      </c>
      <c r="BW252" s="529">
        <f t="shared" si="189"/>
        <v>0.9072127010829566</v>
      </c>
      <c r="BX252" s="221">
        <f t="shared" si="190"/>
        <v>1.1115799030198956</v>
      </c>
      <c r="BY252" s="730">
        <f>SUM('MAE - Audience Level Data'!I14:J14)</f>
        <v>145053</v>
      </c>
      <c r="BZ252" s="692">
        <f>SUM('MAE - Audience Level Data'!G14:H14,'MAE - Audience Level Data'!K14:L14)</f>
        <v>291066</v>
      </c>
      <c r="CA252" s="693">
        <f t="shared" si="192"/>
        <v>436119</v>
      </c>
      <c r="CB252" s="407">
        <f t="shared" si="191"/>
        <v>1.1383149607384886</v>
      </c>
      <c r="CC252" s="529">
        <f t="shared" si="163"/>
        <v>1.1705764328365389</v>
      </c>
      <c r="CD252" s="221">
        <f t="shared" si="187"/>
        <v>1.4486458971060652</v>
      </c>
    </row>
    <row r="253" spans="1:82" ht="16.350000000000001" customHeight="1">
      <c r="A253" s="175">
        <f t="shared" si="144"/>
        <v>2025</v>
      </c>
      <c r="B253" s="454" t="str">
        <f t="shared" si="145"/>
        <v>40</v>
      </c>
      <c r="C253" s="454" t="str">
        <f t="array" ref="C253">_xlfn.IFS(_xlfn.NUMBERVALUE(B253)&lt;=13,"Q1",AND(_xlfn.NUMBERVALUE(B253)&gt;13,_xlfn.NUMBERVALUE(B253)&lt;=26),"Q2", AND(_xlfn.NUMBERVALUE(B253)&gt;26,_xlfn.NUMBERVALUE(B253)&lt;=39),"Q3",_xlfn.NUMBERVALUE(B253)&gt;39,"Q4")</f>
        <v>Q4</v>
      </c>
      <c r="D253" s="448">
        <f t="shared" si="165"/>
        <v>45591</v>
      </c>
      <c r="E253" s="448">
        <f t="shared" si="146"/>
        <v>45597</v>
      </c>
      <c r="F253" s="97">
        <v>202440</v>
      </c>
      <c r="G253" s="429">
        <v>7144</v>
      </c>
      <c r="H253" s="429">
        <v>7205</v>
      </c>
      <c r="I253" s="429"/>
      <c r="J253" s="429"/>
      <c r="K253" s="429">
        <v>7528</v>
      </c>
      <c r="L253" s="429">
        <v>5312</v>
      </c>
      <c r="M253" s="429"/>
      <c r="N253" s="429"/>
      <c r="O253" s="429">
        <v>5260</v>
      </c>
      <c r="P253" s="429">
        <v>7708</v>
      </c>
      <c r="Q253" s="429"/>
      <c r="R253" s="429"/>
      <c r="S253" s="429"/>
      <c r="T253" s="429"/>
      <c r="U253" s="429"/>
      <c r="V253" s="429"/>
      <c r="W253" s="429"/>
      <c r="X253" s="429"/>
      <c r="Y253" s="449">
        <f t="shared" si="193"/>
        <v>12047.100000000006</v>
      </c>
      <c r="Z253" s="449">
        <f t="shared" si="166"/>
        <v>40157</v>
      </c>
      <c r="AA253" s="214">
        <f>'Overall Metrics'!N254</f>
        <v>52204.100000000006</v>
      </c>
      <c r="AB253" s="429">
        <v>85522</v>
      </c>
      <c r="AC253" s="429">
        <v>71138</v>
      </c>
      <c r="AD253" s="429">
        <v>52085</v>
      </c>
      <c r="AE253" s="429">
        <v>73630</v>
      </c>
      <c r="AF253" s="429">
        <v>82362</v>
      </c>
      <c r="AG253" s="429">
        <v>69133</v>
      </c>
      <c r="AH253" s="429">
        <v>94124</v>
      </c>
      <c r="AI253" s="429">
        <v>63565</v>
      </c>
      <c r="AJ253" s="429">
        <v>63628</v>
      </c>
      <c r="AK253" s="429">
        <v>53692</v>
      </c>
      <c r="AL253" s="429">
        <v>85630</v>
      </c>
      <c r="AM253" s="429">
        <v>63087</v>
      </c>
      <c r="AN253" s="429">
        <v>62547</v>
      </c>
      <c r="AO253" s="429">
        <v>50076</v>
      </c>
      <c r="AP253" s="429">
        <v>80071</v>
      </c>
      <c r="AQ253" s="429">
        <v>95647</v>
      </c>
      <c r="AR253" s="219">
        <f t="shared" si="147"/>
        <v>1145937</v>
      </c>
      <c r="AS253" s="220">
        <f t="shared" si="148"/>
        <v>11.971164613661815</v>
      </c>
      <c r="AT253" s="472">
        <f t="shared" si="149"/>
        <v>9.8734212352532964</v>
      </c>
      <c r="AU253" s="472" t="str">
        <f t="shared" si="150"/>
        <v>-</v>
      </c>
      <c r="AV253" s="472" t="str">
        <f t="shared" si="151"/>
        <v>-</v>
      </c>
      <c r="AW253" s="472">
        <f t="shared" si="152"/>
        <v>10.940754516471838</v>
      </c>
      <c r="AX253" s="472">
        <f t="shared" si="153"/>
        <v>13.01449548192771</v>
      </c>
      <c r="AY253" s="472">
        <f t="shared" ref="AY253:AY284" si="194">IFERROR(AH253/O253,"-")</f>
        <v>17.894296577946768</v>
      </c>
      <c r="AZ253" s="472">
        <f t="shared" si="182"/>
        <v>8.2466268811624293</v>
      </c>
      <c r="BA253" s="472" t="str">
        <f t="shared" si="183"/>
        <v>-</v>
      </c>
      <c r="BB253" s="472" t="str">
        <f t="shared" ref="BB253:BB284" si="195">IFERROR(AK253/R253,"-")</f>
        <v>-</v>
      </c>
      <c r="BC253" s="472" t="str">
        <f t="shared" ref="BC253:BC284" si="196">IFERROR(AL253/S253,"-")</f>
        <v>-</v>
      </c>
      <c r="BD253" s="472" t="str">
        <f t="shared" ref="BD253:BD284" si="197">IFERROR(AM253/T253,"-")</f>
        <v>-</v>
      </c>
      <c r="BE253" s="472" t="str">
        <f t="shared" ref="BE253:BE284" si="198">IFERROR(AN253/U253,"-")</f>
        <v>-</v>
      </c>
      <c r="BF253" s="472" t="str">
        <f t="shared" ref="BF253:BF284" si="199">IFERROR(AO253/V253,"-")</f>
        <v>-</v>
      </c>
      <c r="BG253" s="472" t="str">
        <f t="shared" ref="BG253:BG284" si="200">IFERROR(AP253/W253,"-")</f>
        <v>-</v>
      </c>
      <c r="BH253" s="472" t="str">
        <f t="shared" ref="BH253:BH284" si="201">IFERROR(AQ253/X253,"-")</f>
        <v>-</v>
      </c>
      <c r="BI253" s="221">
        <f t="shared" si="154"/>
        <v>28.536419553253481</v>
      </c>
      <c r="BJ253" s="692">
        <f>SUM('MAE - Audience Level Data'!O15,'MAE - Audience Level Data'!P15)</f>
        <v>113663</v>
      </c>
      <c r="BK253" s="692">
        <f>SUM('MAE - Audience Level Data'!M15,'MAE - Audience Level Data'!N15,'MAE - Audience Level Data'!Q15,'MAE - Audience Level Data'!R15)</f>
        <v>261094</v>
      </c>
      <c r="BL253" s="429">
        <v>57101</v>
      </c>
      <c r="BM253" s="429">
        <v>99262</v>
      </c>
      <c r="BN253" s="214">
        <f t="shared" si="155"/>
        <v>531120</v>
      </c>
      <c r="BO253" s="742">
        <f>SUM('MAE - Audience Level Data'!U15:V15)</f>
        <v>148638</v>
      </c>
      <c r="BP253" s="742">
        <f>SUM('MAE - Audience Level Data'!S15:T15,'MAE - Audience Level Data'!W15:X15)</f>
        <v>265548</v>
      </c>
      <c r="BQ253" s="429">
        <v>66441</v>
      </c>
      <c r="BR253" s="429">
        <v>79439</v>
      </c>
      <c r="BS253" s="228">
        <f t="shared" si="156"/>
        <v>560066</v>
      </c>
      <c r="BT253" s="407">
        <f t="shared" si="185"/>
        <v>1.3077078732745044</v>
      </c>
      <c r="BU253" s="529">
        <f t="shared" si="186"/>
        <v>1.0170589902487226</v>
      </c>
      <c r="BV253" s="529">
        <f t="shared" si="188"/>
        <v>1.1635698148894065</v>
      </c>
      <c r="BW253" s="529">
        <f t="shared" si="189"/>
        <v>0.80029618585158468</v>
      </c>
      <c r="BX253" s="221">
        <f t="shared" si="190"/>
        <v>1.0544999246874529</v>
      </c>
      <c r="BY253" s="730">
        <f>SUM('MAE - Audience Level Data'!I15:J15)</f>
        <v>148576</v>
      </c>
      <c r="BZ253" s="692">
        <f>SUM('MAE - Audience Level Data'!G15:H15,'MAE - Audience Level Data'!K15:L15)</f>
        <v>336732</v>
      </c>
      <c r="CA253" s="693">
        <f t="shared" si="192"/>
        <v>485308</v>
      </c>
      <c r="CB253" s="407">
        <f t="shared" si="191"/>
        <v>1.0004172948524661</v>
      </c>
      <c r="CC253" s="529">
        <f t="shared" si="163"/>
        <v>0.78860339973628879</v>
      </c>
      <c r="CD253" s="221">
        <f t="shared" si="187"/>
        <v>1.1540423813330916</v>
      </c>
    </row>
    <row r="254" spans="1:82" ht="16.350000000000001" customHeight="1">
      <c r="A254" s="175">
        <f t="shared" si="144"/>
        <v>2025</v>
      </c>
      <c r="B254" s="454" t="str">
        <f t="shared" si="145"/>
        <v>41</v>
      </c>
      <c r="C254" s="454" t="str">
        <f t="array" ref="C254">_xlfn.IFS(_xlfn.NUMBERVALUE(B254)&lt;=13,"Q1",AND(_xlfn.NUMBERVALUE(B254)&gt;13,_xlfn.NUMBERVALUE(B254)&lt;=26),"Q2", AND(_xlfn.NUMBERVALUE(B254)&gt;26,_xlfn.NUMBERVALUE(B254)&lt;=39),"Q3",_xlfn.NUMBERVALUE(B254)&gt;39,"Q4")</f>
        <v>Q4</v>
      </c>
      <c r="D254" s="448">
        <f t="shared" si="165"/>
        <v>45598</v>
      </c>
      <c r="E254" s="448">
        <f t="shared" si="146"/>
        <v>45604</v>
      </c>
      <c r="F254" s="97">
        <v>202441</v>
      </c>
      <c r="G254" s="429">
        <v>5245</v>
      </c>
      <c r="H254" s="429">
        <v>9036</v>
      </c>
      <c r="I254" s="429"/>
      <c r="J254" s="429"/>
      <c r="K254" s="429">
        <v>6276</v>
      </c>
      <c r="L254" s="429">
        <v>5839</v>
      </c>
      <c r="M254" s="429"/>
      <c r="N254" s="429"/>
      <c r="O254" s="429">
        <v>7021</v>
      </c>
      <c r="P254" s="429">
        <v>7394</v>
      </c>
      <c r="Q254" s="429"/>
      <c r="R254" s="429"/>
      <c r="S254" s="429"/>
      <c r="T254" s="429"/>
      <c r="U254" s="429"/>
      <c r="V254" s="429"/>
      <c r="W254" s="429"/>
      <c r="X254" s="429"/>
      <c r="Y254" s="449">
        <f t="shared" si="193"/>
        <v>12243.300000000003</v>
      </c>
      <c r="Z254" s="449">
        <f t="shared" si="166"/>
        <v>40811</v>
      </c>
      <c r="AA254" s="214">
        <f>'Overall Metrics'!N255</f>
        <v>53054.3</v>
      </c>
      <c r="AB254" s="429">
        <v>68953</v>
      </c>
      <c r="AC254" s="429">
        <v>94170</v>
      </c>
      <c r="AD254" s="429">
        <v>87330</v>
      </c>
      <c r="AE254" s="429">
        <v>67465</v>
      </c>
      <c r="AF254" s="429">
        <v>69532</v>
      </c>
      <c r="AG254" s="429">
        <v>97996</v>
      </c>
      <c r="AH254" s="429">
        <v>92531</v>
      </c>
      <c r="AI254" s="429">
        <v>84975</v>
      </c>
      <c r="AJ254" s="429">
        <v>72332</v>
      </c>
      <c r="AK254" s="429">
        <v>82643</v>
      </c>
      <c r="AL254" s="429">
        <v>60777</v>
      </c>
      <c r="AM254" s="429">
        <v>94031</v>
      </c>
      <c r="AN254" s="429">
        <v>60026</v>
      </c>
      <c r="AO254" s="429">
        <v>76213</v>
      </c>
      <c r="AP254" s="429">
        <v>69872</v>
      </c>
      <c r="AQ254" s="429">
        <v>71506</v>
      </c>
      <c r="AR254" s="219">
        <f t="shared" si="147"/>
        <v>1250352</v>
      </c>
      <c r="AS254" s="220">
        <f t="shared" si="148"/>
        <v>13.146425166825548</v>
      </c>
      <c r="AT254" s="472">
        <f t="shared" si="149"/>
        <v>10.421646746347941</v>
      </c>
      <c r="AU254" s="472" t="str">
        <f t="shared" si="150"/>
        <v>-</v>
      </c>
      <c r="AV254" s="472" t="str">
        <f t="shared" si="151"/>
        <v>-</v>
      </c>
      <c r="AW254" s="472">
        <f t="shared" si="152"/>
        <v>11.079031230082855</v>
      </c>
      <c r="AX254" s="472">
        <f t="shared" si="153"/>
        <v>16.783010789518752</v>
      </c>
      <c r="AY254" s="472">
        <f t="shared" si="194"/>
        <v>13.179176755447942</v>
      </c>
      <c r="AZ254" s="472">
        <f t="shared" si="182"/>
        <v>11.492426291587774</v>
      </c>
      <c r="BA254" s="472" t="str">
        <f t="shared" si="183"/>
        <v>-</v>
      </c>
      <c r="BB254" s="472" t="str">
        <f t="shared" si="195"/>
        <v>-</v>
      </c>
      <c r="BC254" s="472" t="str">
        <f t="shared" si="196"/>
        <v>-</v>
      </c>
      <c r="BD254" s="472" t="str">
        <f t="shared" si="197"/>
        <v>-</v>
      </c>
      <c r="BE254" s="472" t="str">
        <f t="shared" si="198"/>
        <v>-</v>
      </c>
      <c r="BF254" s="472" t="str">
        <f t="shared" si="199"/>
        <v>-</v>
      </c>
      <c r="BG254" s="472" t="str">
        <f t="shared" si="200"/>
        <v>-</v>
      </c>
      <c r="BH254" s="472" t="str">
        <f t="shared" si="201"/>
        <v>-</v>
      </c>
      <c r="BI254" s="221">
        <f t="shared" si="154"/>
        <v>30.637622209698364</v>
      </c>
      <c r="BJ254" s="692">
        <f>SUM('MAE - Audience Level Data'!O16,'MAE - Audience Level Data'!P16)</f>
        <v>153305</v>
      </c>
      <c r="BK254" s="692">
        <f>SUM('MAE - Audience Level Data'!M16,'MAE - Audience Level Data'!N16,'MAE - Audience Level Data'!Q16,'MAE - Audience Level Data'!R16)</f>
        <v>249374</v>
      </c>
      <c r="BL254" s="429">
        <v>73758</v>
      </c>
      <c r="BM254" s="429">
        <v>99446</v>
      </c>
      <c r="BN254" s="214">
        <f t="shared" si="155"/>
        <v>575883</v>
      </c>
      <c r="BO254" s="742">
        <f>SUM('MAE - Audience Level Data'!U16:V16)</f>
        <v>170655</v>
      </c>
      <c r="BP254" s="742">
        <f>SUM('MAE - Audience Level Data'!S16:T16,'MAE - Audience Level Data'!W16:X16)</f>
        <v>323383</v>
      </c>
      <c r="BQ254" s="429">
        <v>71739</v>
      </c>
      <c r="BR254" s="429">
        <v>95594</v>
      </c>
      <c r="BS254" s="228">
        <f t="shared" si="156"/>
        <v>661371</v>
      </c>
      <c r="BT254" s="407">
        <f t="shared" si="185"/>
        <v>1.11317308633117</v>
      </c>
      <c r="BU254" s="529">
        <f t="shared" si="186"/>
        <v>1.2967791349539246</v>
      </c>
      <c r="BV254" s="529">
        <f t="shared" si="188"/>
        <v>0.97262669812088176</v>
      </c>
      <c r="BW254" s="529">
        <f t="shared" si="189"/>
        <v>0.96126541037346902</v>
      </c>
      <c r="BX254" s="221">
        <f t="shared" si="190"/>
        <v>1.1484468199269644</v>
      </c>
      <c r="BY254" s="730">
        <f>SUM('MAE - Audience Level Data'!I16:J16)</f>
        <v>144791</v>
      </c>
      <c r="BZ254" s="692">
        <f>SUM('MAE - Audience Level Data'!G16:H16,'MAE - Audience Level Data'!K16:L16)</f>
        <v>289227</v>
      </c>
      <c r="CA254" s="693">
        <f t="shared" si="192"/>
        <v>434018</v>
      </c>
      <c r="CB254" s="407">
        <f t="shared" si="191"/>
        <v>1.1786298872167469</v>
      </c>
      <c r="CC254" s="529">
        <f t="shared" si="163"/>
        <v>1.1180940921836482</v>
      </c>
      <c r="CD254" s="221">
        <f t="shared" si="187"/>
        <v>1.5238331129123677</v>
      </c>
    </row>
    <row r="255" spans="1:82" ht="16.350000000000001" customHeight="1">
      <c r="A255" s="175">
        <f t="shared" si="144"/>
        <v>2025</v>
      </c>
      <c r="B255" s="454" t="str">
        <f t="shared" si="145"/>
        <v>42</v>
      </c>
      <c r="C255" s="454" t="str">
        <f t="array" ref="C255">_xlfn.IFS(_xlfn.NUMBERVALUE(B255)&lt;=13,"Q1",AND(_xlfn.NUMBERVALUE(B255)&gt;13,_xlfn.NUMBERVALUE(B255)&lt;=26),"Q2", AND(_xlfn.NUMBERVALUE(B255)&gt;26,_xlfn.NUMBERVALUE(B255)&lt;=39),"Q3",_xlfn.NUMBERVALUE(B255)&gt;39,"Q4")</f>
        <v>Q4</v>
      </c>
      <c r="D255" s="448">
        <f t="shared" si="165"/>
        <v>45605</v>
      </c>
      <c r="E255" s="448">
        <f t="shared" si="146"/>
        <v>45611</v>
      </c>
      <c r="F255" s="97">
        <v>202442</v>
      </c>
      <c r="G255" s="429">
        <v>8046</v>
      </c>
      <c r="H255" s="429">
        <v>9060</v>
      </c>
      <c r="I255" s="429"/>
      <c r="J255" s="429"/>
      <c r="K255" s="429">
        <v>8140</v>
      </c>
      <c r="L255" s="429">
        <v>6105</v>
      </c>
      <c r="M255" s="429"/>
      <c r="N255" s="429"/>
      <c r="O255" s="429">
        <v>5415</v>
      </c>
      <c r="P255" s="429">
        <v>9039</v>
      </c>
      <c r="Q255" s="429"/>
      <c r="R255" s="429"/>
      <c r="S255" s="429"/>
      <c r="T255" s="429"/>
      <c r="U255" s="429"/>
      <c r="V255" s="429"/>
      <c r="W255" s="429"/>
      <c r="X255" s="429"/>
      <c r="Y255" s="449">
        <f t="shared" si="193"/>
        <v>13741.5</v>
      </c>
      <c r="Z255" s="449">
        <f t="shared" si="166"/>
        <v>45805</v>
      </c>
      <c r="AA255" s="214">
        <f>'Overall Metrics'!N256</f>
        <v>59546.5</v>
      </c>
      <c r="AB255" s="429">
        <v>75378</v>
      </c>
      <c r="AC255" s="429">
        <v>80534</v>
      </c>
      <c r="AD255" s="429">
        <v>71430</v>
      </c>
      <c r="AE255" s="429">
        <v>97809</v>
      </c>
      <c r="AF255" s="429">
        <v>53008</v>
      </c>
      <c r="AG255" s="429">
        <v>90623</v>
      </c>
      <c r="AH255" s="429">
        <v>55987</v>
      </c>
      <c r="AI255" s="429">
        <v>89197</v>
      </c>
      <c r="AJ255" s="429">
        <v>71119</v>
      </c>
      <c r="AK255" s="429">
        <v>58489</v>
      </c>
      <c r="AL255" s="429">
        <v>89403</v>
      </c>
      <c r="AM255" s="429">
        <v>58334</v>
      </c>
      <c r="AN255" s="429">
        <v>99449</v>
      </c>
      <c r="AO255" s="429">
        <v>96901</v>
      </c>
      <c r="AP255" s="429">
        <v>67012</v>
      </c>
      <c r="AQ255" s="429">
        <v>56356</v>
      </c>
      <c r="AR255" s="219">
        <f t="shared" si="147"/>
        <v>1211029</v>
      </c>
      <c r="AS255" s="220">
        <f t="shared" si="148"/>
        <v>9.3683818046234162</v>
      </c>
      <c r="AT255" s="472">
        <f t="shared" si="149"/>
        <v>8.8889624724061811</v>
      </c>
      <c r="AU255" s="472" t="str">
        <f t="shared" si="150"/>
        <v>-</v>
      </c>
      <c r="AV255" s="472" t="str">
        <f t="shared" si="151"/>
        <v>-</v>
      </c>
      <c r="AW255" s="472">
        <f t="shared" si="152"/>
        <v>6.5120393120393123</v>
      </c>
      <c r="AX255" s="472">
        <f t="shared" si="153"/>
        <v>14.844062244062243</v>
      </c>
      <c r="AY255" s="472">
        <f t="shared" si="194"/>
        <v>10.339242843951984</v>
      </c>
      <c r="AZ255" s="472">
        <f t="shared" si="182"/>
        <v>9.8680163734926438</v>
      </c>
      <c r="BA255" s="472" t="str">
        <f t="shared" si="183"/>
        <v>-</v>
      </c>
      <c r="BB255" s="472" t="str">
        <f t="shared" si="195"/>
        <v>-</v>
      </c>
      <c r="BC255" s="472" t="str">
        <f t="shared" si="196"/>
        <v>-</v>
      </c>
      <c r="BD255" s="472" t="str">
        <f t="shared" si="197"/>
        <v>-</v>
      </c>
      <c r="BE255" s="472" t="str">
        <f t="shared" si="198"/>
        <v>-</v>
      </c>
      <c r="BF255" s="472" t="str">
        <f t="shared" si="199"/>
        <v>-</v>
      </c>
      <c r="BG255" s="472" t="str">
        <f t="shared" si="200"/>
        <v>-</v>
      </c>
      <c r="BH255" s="472" t="str">
        <f t="shared" si="201"/>
        <v>-</v>
      </c>
      <c r="BI255" s="221">
        <f t="shared" si="154"/>
        <v>26.438794891387403</v>
      </c>
      <c r="BJ255" s="692">
        <f>SUM('MAE - Audience Level Data'!O17,'MAE - Audience Level Data'!P17)</f>
        <v>153880</v>
      </c>
      <c r="BK255" s="692">
        <f>SUM('MAE - Audience Level Data'!M17,'MAE - Audience Level Data'!N17,'MAE - Audience Level Data'!Q17,'MAE - Audience Level Data'!R17)</f>
        <v>321500</v>
      </c>
      <c r="BL255" s="429">
        <v>95816</v>
      </c>
      <c r="BM255" s="429">
        <v>72621</v>
      </c>
      <c r="BN255" s="214">
        <f t="shared" si="155"/>
        <v>643817</v>
      </c>
      <c r="BO255" s="742">
        <f>SUM('MAE - Audience Level Data'!U17:V17)</f>
        <v>123107</v>
      </c>
      <c r="BP255" s="742">
        <f>SUM('MAE - Audience Level Data'!S17:T17,'MAE - Audience Level Data'!W17:X17)</f>
        <v>309283</v>
      </c>
      <c r="BQ255" s="429">
        <v>50389</v>
      </c>
      <c r="BR255" s="429">
        <v>59923</v>
      </c>
      <c r="BS255" s="228">
        <f t="shared" si="156"/>
        <v>542702</v>
      </c>
      <c r="BT255" s="407">
        <f t="shared" si="185"/>
        <v>0.80001949571094355</v>
      </c>
      <c r="BU255" s="529">
        <f t="shared" si="186"/>
        <v>0.96199999999999997</v>
      </c>
      <c r="BV255" s="529">
        <f t="shared" si="188"/>
        <v>0.52589337897637134</v>
      </c>
      <c r="BW255" s="529">
        <f t="shared" si="189"/>
        <v>0.82514699604797515</v>
      </c>
      <c r="BX255" s="221">
        <f t="shared" si="190"/>
        <v>0.84294450131015486</v>
      </c>
      <c r="BY255" s="730">
        <f>SUM('MAE - Audience Level Data'!I17:J17)</f>
        <v>134067</v>
      </c>
      <c r="BZ255" s="692">
        <f>SUM('MAE - Audience Level Data'!G17:H17,'MAE - Audience Level Data'!K17:L17)</f>
        <v>292621</v>
      </c>
      <c r="CA255" s="693">
        <f t="shared" si="192"/>
        <v>426688</v>
      </c>
      <c r="CB255" s="407">
        <f t="shared" si="191"/>
        <v>0.9182498303087262</v>
      </c>
      <c r="CC255" s="529">
        <f t="shared" si="163"/>
        <v>1.056940547670878</v>
      </c>
      <c r="CD255" s="221">
        <f t="shared" si="187"/>
        <v>1.2718942177891106</v>
      </c>
    </row>
    <row r="256" spans="1:82" ht="16.350000000000001" customHeight="1">
      <c r="A256" s="175">
        <f t="shared" si="144"/>
        <v>2025</v>
      </c>
      <c r="B256" s="454" t="str">
        <f t="shared" si="145"/>
        <v>43</v>
      </c>
      <c r="C256" s="454" t="str">
        <f t="array" ref="C256">_xlfn.IFS(_xlfn.NUMBERVALUE(B256)&lt;=13,"Q1",AND(_xlfn.NUMBERVALUE(B256)&gt;13,_xlfn.NUMBERVALUE(B256)&lt;=26),"Q2", AND(_xlfn.NUMBERVALUE(B256)&gt;26,_xlfn.NUMBERVALUE(B256)&lt;=39),"Q3",_xlfn.NUMBERVALUE(B256)&gt;39,"Q4")</f>
        <v>Q4</v>
      </c>
      <c r="D256" s="448">
        <f t="shared" si="165"/>
        <v>45612</v>
      </c>
      <c r="E256" s="448">
        <f t="shared" si="146"/>
        <v>45618</v>
      </c>
      <c r="F256" s="97">
        <v>202443</v>
      </c>
      <c r="G256" s="429">
        <v>9021</v>
      </c>
      <c r="H256" s="429">
        <v>6224</v>
      </c>
      <c r="I256" s="429"/>
      <c r="J256" s="429"/>
      <c r="K256" s="429">
        <v>8805</v>
      </c>
      <c r="L256" s="429">
        <v>8623</v>
      </c>
      <c r="M256" s="429"/>
      <c r="N256" s="429"/>
      <c r="O256" s="429">
        <v>6044</v>
      </c>
      <c r="P256" s="429">
        <v>8397</v>
      </c>
      <c r="Q256" s="429"/>
      <c r="R256" s="429"/>
      <c r="S256" s="429"/>
      <c r="T256" s="429"/>
      <c r="U256" s="429"/>
      <c r="V256" s="429"/>
      <c r="W256" s="429"/>
      <c r="X256" s="429"/>
      <c r="Y256" s="449">
        <f t="shared" si="193"/>
        <v>14134.200000000004</v>
      </c>
      <c r="Z256" s="449">
        <f t="shared" si="166"/>
        <v>47114</v>
      </c>
      <c r="AA256" s="214">
        <f>'Overall Metrics'!N257</f>
        <v>61248.200000000004</v>
      </c>
      <c r="AB256" s="429">
        <v>60103</v>
      </c>
      <c r="AC256" s="429">
        <v>67997</v>
      </c>
      <c r="AD256" s="429">
        <v>92052</v>
      </c>
      <c r="AE256" s="429">
        <v>56422</v>
      </c>
      <c r="AF256" s="429">
        <v>86198</v>
      </c>
      <c r="AG256" s="429">
        <v>91338</v>
      </c>
      <c r="AH256" s="429">
        <v>67811</v>
      </c>
      <c r="AI256" s="429">
        <v>66286</v>
      </c>
      <c r="AJ256" s="429">
        <v>85601</v>
      </c>
      <c r="AK256" s="429">
        <v>57709</v>
      </c>
      <c r="AL256" s="429">
        <v>75792</v>
      </c>
      <c r="AM256" s="429">
        <v>72154</v>
      </c>
      <c r="AN256" s="429">
        <v>62579</v>
      </c>
      <c r="AO256" s="429">
        <v>90786</v>
      </c>
      <c r="AP256" s="429">
        <v>77751</v>
      </c>
      <c r="AQ256" s="429">
        <v>74622</v>
      </c>
      <c r="AR256" s="219">
        <f t="shared" si="147"/>
        <v>1185201</v>
      </c>
      <c r="AS256" s="220">
        <f t="shared" si="148"/>
        <v>6.6625651258175367</v>
      </c>
      <c r="AT256" s="472">
        <f t="shared" si="149"/>
        <v>10.924967866323907</v>
      </c>
      <c r="AU256" s="472" t="str">
        <f t="shared" si="150"/>
        <v>-</v>
      </c>
      <c r="AV256" s="472" t="str">
        <f t="shared" si="151"/>
        <v>-</v>
      </c>
      <c r="AW256" s="472">
        <f t="shared" si="152"/>
        <v>9.7896649630891535</v>
      </c>
      <c r="AX256" s="472">
        <f t="shared" si="153"/>
        <v>10.592369245042329</v>
      </c>
      <c r="AY256" s="472">
        <f t="shared" si="194"/>
        <v>11.219556585043017</v>
      </c>
      <c r="AZ256" s="472">
        <f t="shared" ref="AZ256:AZ287" si="202">IFERROR(AI256/P256,"-")</f>
        <v>7.8940097653924024</v>
      </c>
      <c r="BA256" s="472" t="str">
        <f t="shared" ref="BA256:BA287" si="203">IFERROR(AJ256/Q256,"-")</f>
        <v>-</v>
      </c>
      <c r="BB256" s="472" t="str">
        <f t="shared" si="195"/>
        <v>-</v>
      </c>
      <c r="BC256" s="472" t="str">
        <f t="shared" si="196"/>
        <v>-</v>
      </c>
      <c r="BD256" s="472" t="str">
        <f t="shared" si="197"/>
        <v>-</v>
      </c>
      <c r="BE256" s="472" t="str">
        <f t="shared" si="198"/>
        <v>-</v>
      </c>
      <c r="BF256" s="472" t="str">
        <f t="shared" si="199"/>
        <v>-</v>
      </c>
      <c r="BG256" s="472" t="str">
        <f t="shared" si="200"/>
        <v>-</v>
      </c>
      <c r="BH256" s="472" t="str">
        <f t="shared" si="201"/>
        <v>-</v>
      </c>
      <c r="BI256" s="221">
        <f t="shared" si="154"/>
        <v>25.156025809738082</v>
      </c>
      <c r="BJ256" s="692">
        <f>SUM('MAE - Audience Level Data'!O18,'MAE - Audience Level Data'!P18)</f>
        <v>115164</v>
      </c>
      <c r="BK256" s="692">
        <f>SUM('MAE - Audience Level Data'!M18,'MAE - Audience Level Data'!N18,'MAE - Audience Level Data'!Q18,'MAE - Audience Level Data'!R18)</f>
        <v>325951</v>
      </c>
      <c r="BL256" s="429">
        <v>79953</v>
      </c>
      <c r="BM256" s="429">
        <v>76163</v>
      </c>
      <c r="BN256" s="214">
        <f t="shared" si="155"/>
        <v>597231</v>
      </c>
      <c r="BO256" s="742">
        <f>SUM('MAE - Audience Level Data'!U18:V18)</f>
        <v>131214</v>
      </c>
      <c r="BP256" s="742">
        <f>SUM('MAE - Audience Level Data'!S18:T18,'MAE - Audience Level Data'!W18:X18)</f>
        <v>294428</v>
      </c>
      <c r="BQ256" s="429">
        <v>80885</v>
      </c>
      <c r="BR256" s="429">
        <v>67316</v>
      </c>
      <c r="BS256" s="228">
        <f t="shared" si="156"/>
        <v>573843</v>
      </c>
      <c r="BT256" s="407">
        <f t="shared" si="185"/>
        <v>1.1393664686881317</v>
      </c>
      <c r="BU256" s="529">
        <f t="shared" si="186"/>
        <v>0.90328914468739163</v>
      </c>
      <c r="BV256" s="529">
        <f t="shared" si="188"/>
        <v>1.0116568483984341</v>
      </c>
      <c r="BW256" s="529">
        <f t="shared" si="189"/>
        <v>0.88384123524546043</v>
      </c>
      <c r="BX256" s="221">
        <f t="shared" si="190"/>
        <v>0.96083927324603047</v>
      </c>
      <c r="BY256" s="730">
        <f>SUM('MAE - Audience Level Data'!I18:J18)</f>
        <v>145850</v>
      </c>
      <c r="BZ256" s="692">
        <f>SUM('MAE - Audience Level Data'!G18:H18,'MAE - Audience Level Data'!K18:L18)</f>
        <v>268955</v>
      </c>
      <c r="CA256" s="693">
        <f t="shared" si="192"/>
        <v>414805</v>
      </c>
      <c r="CB256" s="407">
        <f t="shared" si="191"/>
        <v>0.89965032567706549</v>
      </c>
      <c r="CC256" s="529">
        <f t="shared" si="163"/>
        <v>1.0947110111356919</v>
      </c>
      <c r="CD256" s="221">
        <f t="shared" si="187"/>
        <v>1.3834042501898483</v>
      </c>
    </row>
    <row r="257" spans="1:82" ht="16.350000000000001" customHeight="1">
      <c r="A257" s="175">
        <f t="shared" si="144"/>
        <v>2025</v>
      </c>
      <c r="B257" s="454" t="str">
        <f t="shared" si="145"/>
        <v>44</v>
      </c>
      <c r="C257" s="454" t="str">
        <f t="array" ref="C257">_xlfn.IFS(_xlfn.NUMBERVALUE(B257)&lt;=13,"Q1",AND(_xlfn.NUMBERVALUE(B257)&gt;13,_xlfn.NUMBERVALUE(B257)&lt;=26),"Q2", AND(_xlfn.NUMBERVALUE(B257)&gt;26,_xlfn.NUMBERVALUE(B257)&lt;=39),"Q3",_xlfn.NUMBERVALUE(B257)&gt;39,"Q4")</f>
        <v>Q4</v>
      </c>
      <c r="D257" s="448">
        <f t="shared" si="165"/>
        <v>45619</v>
      </c>
      <c r="E257" s="448">
        <f t="shared" si="146"/>
        <v>45625</v>
      </c>
      <c r="F257" s="97">
        <v>202444</v>
      </c>
      <c r="G257" s="429">
        <v>13179</v>
      </c>
      <c r="H257" s="429">
        <v>11730</v>
      </c>
      <c r="I257" s="429"/>
      <c r="J257" s="429"/>
      <c r="K257" s="429">
        <v>7600</v>
      </c>
      <c r="L257" s="429">
        <v>8331</v>
      </c>
      <c r="M257" s="429"/>
      <c r="N257" s="429"/>
      <c r="O257" s="429">
        <v>8548</v>
      </c>
      <c r="P257" s="429">
        <v>8830</v>
      </c>
      <c r="Q257" s="429"/>
      <c r="R257" s="429"/>
      <c r="S257" s="429"/>
      <c r="T257" s="429"/>
      <c r="U257" s="429"/>
      <c r="V257" s="429"/>
      <c r="W257" s="429"/>
      <c r="X257" s="429"/>
      <c r="Y257" s="449">
        <f t="shared" si="193"/>
        <v>17465.400000000009</v>
      </c>
      <c r="Z257" s="449">
        <f t="shared" si="166"/>
        <v>58218</v>
      </c>
      <c r="AA257" s="214">
        <f>'Overall Metrics'!N258</f>
        <v>75683.400000000009</v>
      </c>
      <c r="AB257" s="429">
        <v>75790</v>
      </c>
      <c r="AC257" s="429">
        <v>68465</v>
      </c>
      <c r="AD257" s="429">
        <v>60498</v>
      </c>
      <c r="AE257" s="429">
        <v>77802</v>
      </c>
      <c r="AF257" s="429">
        <v>81412</v>
      </c>
      <c r="AG257" s="429">
        <v>98471</v>
      </c>
      <c r="AH257" s="429">
        <v>86307</v>
      </c>
      <c r="AI257" s="429">
        <v>50898</v>
      </c>
      <c r="AJ257" s="429">
        <v>79041</v>
      </c>
      <c r="AK257" s="429">
        <v>54205</v>
      </c>
      <c r="AL257" s="429">
        <v>54317</v>
      </c>
      <c r="AM257" s="429">
        <v>52474</v>
      </c>
      <c r="AN257" s="429">
        <v>69153</v>
      </c>
      <c r="AO257" s="429">
        <v>80671</v>
      </c>
      <c r="AP257" s="429">
        <v>55704</v>
      </c>
      <c r="AQ257" s="429">
        <v>95925</v>
      </c>
      <c r="AR257" s="219">
        <f t="shared" si="147"/>
        <v>1141133</v>
      </c>
      <c r="AS257" s="220">
        <f t="shared" si="148"/>
        <v>5.7508156916306241</v>
      </c>
      <c r="AT257" s="472">
        <f t="shared" si="149"/>
        <v>5.8367433930093773</v>
      </c>
      <c r="AU257" s="472" t="str">
        <f t="shared" si="150"/>
        <v>-</v>
      </c>
      <c r="AV257" s="472" t="str">
        <f t="shared" si="151"/>
        <v>-</v>
      </c>
      <c r="AW257" s="472">
        <f t="shared" si="152"/>
        <v>10.712105263157895</v>
      </c>
      <c r="AX257" s="472">
        <f t="shared" si="153"/>
        <v>11.819829552274637</v>
      </c>
      <c r="AY257" s="472">
        <f t="shared" si="194"/>
        <v>10.096747777257837</v>
      </c>
      <c r="AZ257" s="472">
        <f t="shared" si="202"/>
        <v>5.7642129105322759</v>
      </c>
      <c r="BA257" s="472" t="str">
        <f t="shared" si="203"/>
        <v>-</v>
      </c>
      <c r="BB257" s="472" t="str">
        <f t="shared" si="195"/>
        <v>-</v>
      </c>
      <c r="BC257" s="472" t="str">
        <f t="shared" si="196"/>
        <v>-</v>
      </c>
      <c r="BD257" s="472" t="str">
        <f t="shared" si="197"/>
        <v>-</v>
      </c>
      <c r="BE257" s="472" t="str">
        <f t="shared" si="198"/>
        <v>-</v>
      </c>
      <c r="BF257" s="472" t="str">
        <f t="shared" si="199"/>
        <v>-</v>
      </c>
      <c r="BG257" s="472" t="str">
        <f t="shared" si="200"/>
        <v>-</v>
      </c>
      <c r="BH257" s="472" t="str">
        <f t="shared" si="201"/>
        <v>-</v>
      </c>
      <c r="BI257" s="221">
        <f t="shared" si="154"/>
        <v>19.601034044453606</v>
      </c>
      <c r="BJ257" s="692">
        <f>SUM('MAE - Audience Level Data'!O19,'MAE - Audience Level Data'!P19)</f>
        <v>131205</v>
      </c>
      <c r="BK257" s="692">
        <f>SUM('MAE - Audience Level Data'!M19,'MAE - Audience Level Data'!N19,'MAE - Audience Level Data'!Q19,'MAE - Audience Level Data'!R19)</f>
        <v>358428</v>
      </c>
      <c r="BL257" s="429">
        <v>86711</v>
      </c>
      <c r="BM257" s="429">
        <v>96434</v>
      </c>
      <c r="BN257" s="214">
        <f t="shared" si="155"/>
        <v>672778</v>
      </c>
      <c r="BO257" s="742">
        <f>SUM('MAE - Audience Level Data'!U19:V19)</f>
        <v>159200</v>
      </c>
      <c r="BP257" s="742">
        <f>SUM('MAE - Audience Level Data'!S19:T19,'MAE - Audience Level Data'!W19:X19)</f>
        <v>313221</v>
      </c>
      <c r="BQ257" s="429">
        <v>98344</v>
      </c>
      <c r="BR257" s="429">
        <v>87782</v>
      </c>
      <c r="BS257" s="228">
        <f t="shared" si="156"/>
        <v>658547</v>
      </c>
      <c r="BT257" s="407">
        <f t="shared" si="185"/>
        <v>1.2133683929728287</v>
      </c>
      <c r="BU257" s="529">
        <f t="shared" si="186"/>
        <v>0.87387425089557735</v>
      </c>
      <c r="BV257" s="529">
        <f t="shared" si="188"/>
        <v>1.134158295948611</v>
      </c>
      <c r="BW257" s="529">
        <f t="shared" si="189"/>
        <v>0.91028060642511976</v>
      </c>
      <c r="BX257" s="221">
        <f t="shared" si="190"/>
        <v>0.97884740583074947</v>
      </c>
      <c r="BY257" s="730">
        <f>SUM('MAE - Audience Level Data'!I19:J19)</f>
        <v>132684</v>
      </c>
      <c r="BZ257" s="692">
        <f>SUM('MAE - Audience Level Data'!G19:H19,'MAE - Audience Level Data'!K19:L19)</f>
        <v>333913</v>
      </c>
      <c r="CA257" s="693">
        <f t="shared" si="192"/>
        <v>466597</v>
      </c>
      <c r="CB257" s="407">
        <f t="shared" si="191"/>
        <v>1.1998432365620573</v>
      </c>
      <c r="CC257" s="529">
        <f t="shared" si="163"/>
        <v>0.93803176276455247</v>
      </c>
      <c r="CD257" s="221">
        <f t="shared" si="187"/>
        <v>1.4113828421528642</v>
      </c>
    </row>
    <row r="258" spans="1:82" ht="16.350000000000001" customHeight="1">
      <c r="A258" s="175">
        <f t="shared" si="144"/>
        <v>2025</v>
      </c>
      <c r="B258" s="454" t="str">
        <f t="shared" si="145"/>
        <v>45</v>
      </c>
      <c r="C258" s="454" t="str">
        <f t="array" ref="C258">_xlfn.IFS(_xlfn.NUMBERVALUE(B258)&lt;=13,"Q1",AND(_xlfn.NUMBERVALUE(B258)&gt;13,_xlfn.NUMBERVALUE(B258)&lt;=26),"Q2", AND(_xlfn.NUMBERVALUE(B258)&gt;26,_xlfn.NUMBERVALUE(B258)&lt;=39),"Q3",_xlfn.NUMBERVALUE(B258)&gt;39,"Q4")</f>
        <v>Q4</v>
      </c>
      <c r="D258" s="448">
        <f t="shared" si="165"/>
        <v>45626</v>
      </c>
      <c r="E258" s="448">
        <f t="shared" si="146"/>
        <v>45632</v>
      </c>
      <c r="F258" s="97">
        <v>202445</v>
      </c>
      <c r="G258" s="429">
        <v>13482</v>
      </c>
      <c r="H258" s="429">
        <v>7401</v>
      </c>
      <c r="I258" s="429"/>
      <c r="J258" s="429"/>
      <c r="K258" s="429">
        <v>6779</v>
      </c>
      <c r="L258" s="429">
        <v>6896</v>
      </c>
      <c r="M258" s="429"/>
      <c r="N258" s="429"/>
      <c r="O258" s="429">
        <v>5433</v>
      </c>
      <c r="P258" s="429">
        <v>9657</v>
      </c>
      <c r="Q258" s="429"/>
      <c r="R258" s="429"/>
      <c r="S258" s="429"/>
      <c r="T258" s="429"/>
      <c r="U258" s="429"/>
      <c r="V258" s="429"/>
      <c r="W258" s="429"/>
      <c r="X258" s="429"/>
      <c r="Y258" s="449">
        <f t="shared" si="193"/>
        <v>14894.400000000001</v>
      </c>
      <c r="Z258" s="449">
        <f t="shared" si="166"/>
        <v>49648</v>
      </c>
      <c r="AA258" s="214">
        <f>'Overall Metrics'!N259</f>
        <v>64542.400000000001</v>
      </c>
      <c r="AB258" s="429">
        <v>88681</v>
      </c>
      <c r="AC258" s="429">
        <v>98161</v>
      </c>
      <c r="AD258" s="429">
        <v>83747</v>
      </c>
      <c r="AE258" s="429">
        <v>77656</v>
      </c>
      <c r="AF258" s="429">
        <v>80832</v>
      </c>
      <c r="AG258" s="429">
        <v>76987</v>
      </c>
      <c r="AH258" s="429">
        <v>63318</v>
      </c>
      <c r="AI258" s="429">
        <v>62583</v>
      </c>
      <c r="AJ258" s="429">
        <v>82072</v>
      </c>
      <c r="AK258" s="429">
        <v>92361</v>
      </c>
      <c r="AL258" s="429">
        <v>93825</v>
      </c>
      <c r="AM258" s="429">
        <v>53083</v>
      </c>
      <c r="AN258" s="429">
        <v>53769</v>
      </c>
      <c r="AO258" s="429">
        <v>84136</v>
      </c>
      <c r="AP258" s="429">
        <v>60776</v>
      </c>
      <c r="AQ258" s="429">
        <v>83789</v>
      </c>
      <c r="AR258" s="219">
        <f t="shared" si="147"/>
        <v>1235776</v>
      </c>
      <c r="AS258" s="220">
        <f t="shared" si="148"/>
        <v>6.5777332739949559</v>
      </c>
      <c r="AT258" s="472">
        <f t="shared" si="149"/>
        <v>13.263207674638563</v>
      </c>
      <c r="AU258" s="472" t="str">
        <f t="shared" si="150"/>
        <v>-</v>
      </c>
      <c r="AV258" s="472" t="str">
        <f t="shared" si="151"/>
        <v>-</v>
      </c>
      <c r="AW258" s="472">
        <f t="shared" si="152"/>
        <v>11.923882578551408</v>
      </c>
      <c r="AX258" s="472">
        <f t="shared" si="153"/>
        <v>11.164008120649651</v>
      </c>
      <c r="AY258" s="472">
        <f t="shared" si="194"/>
        <v>11.654334621755936</v>
      </c>
      <c r="AZ258" s="472">
        <f t="shared" si="202"/>
        <v>6.4805840323081698</v>
      </c>
      <c r="BA258" s="472" t="str">
        <f t="shared" si="203"/>
        <v>-</v>
      </c>
      <c r="BB258" s="472" t="str">
        <f t="shared" si="195"/>
        <v>-</v>
      </c>
      <c r="BC258" s="472" t="str">
        <f t="shared" si="196"/>
        <v>-</v>
      </c>
      <c r="BD258" s="472" t="str">
        <f t="shared" si="197"/>
        <v>-</v>
      </c>
      <c r="BE258" s="472" t="str">
        <f t="shared" si="198"/>
        <v>-</v>
      </c>
      <c r="BF258" s="472" t="str">
        <f t="shared" si="199"/>
        <v>-</v>
      </c>
      <c r="BG258" s="472" t="str">
        <f t="shared" si="200"/>
        <v>-</v>
      </c>
      <c r="BH258" s="472" t="str">
        <f t="shared" si="201"/>
        <v>-</v>
      </c>
      <c r="BI258" s="221">
        <f t="shared" si="154"/>
        <v>24.890750886239122</v>
      </c>
      <c r="BJ258" s="692">
        <f>SUM('MAE - Audience Level Data'!O20,'MAE - Audience Level Data'!P20)</f>
        <v>133483</v>
      </c>
      <c r="BK258" s="692">
        <f>SUM('MAE - Audience Level Data'!M20,'MAE - Audience Level Data'!N20,'MAE - Audience Level Data'!Q20,'MAE - Audience Level Data'!R20)</f>
        <v>288544</v>
      </c>
      <c r="BL258" s="429">
        <v>70401</v>
      </c>
      <c r="BM258" s="429">
        <v>94482</v>
      </c>
      <c r="BN258" s="214">
        <f t="shared" si="155"/>
        <v>586910</v>
      </c>
      <c r="BO258" s="742">
        <f>SUM('MAE - Audience Level Data'!U20:V20)</f>
        <v>151569</v>
      </c>
      <c r="BP258" s="742">
        <f>SUM('MAE - Audience Level Data'!S20:T20,'MAE - Audience Level Data'!W20:X20)</f>
        <v>301679</v>
      </c>
      <c r="BQ258" s="429">
        <v>82124</v>
      </c>
      <c r="BR258" s="429">
        <v>79794</v>
      </c>
      <c r="BS258" s="228">
        <f t="shared" si="156"/>
        <v>615166</v>
      </c>
      <c r="BT258" s="407">
        <f t="shared" si="185"/>
        <v>1.1354929092094124</v>
      </c>
      <c r="BU258" s="529">
        <f t="shared" si="186"/>
        <v>1.0455216535433072</v>
      </c>
      <c r="BV258" s="529">
        <f t="shared" si="188"/>
        <v>1.1665175210579395</v>
      </c>
      <c r="BW258" s="529">
        <f t="shared" si="189"/>
        <v>0.84454181748904555</v>
      </c>
      <c r="BX258" s="221">
        <f t="shared" si="190"/>
        <v>1.0481436676832905</v>
      </c>
      <c r="BY258" s="730">
        <f>SUM('MAE - Audience Level Data'!I20:J20)</f>
        <v>143632</v>
      </c>
      <c r="BZ258" s="692">
        <f>SUM('MAE - Audience Level Data'!G20:H20,'MAE - Audience Level Data'!K20:L20)</f>
        <v>325175</v>
      </c>
      <c r="CA258" s="693">
        <f t="shared" si="192"/>
        <v>468807</v>
      </c>
      <c r="CB258" s="407">
        <f t="shared" si="191"/>
        <v>1.0552592736994542</v>
      </c>
      <c r="CC258" s="529">
        <f t="shared" si="163"/>
        <v>0.92774352271853622</v>
      </c>
      <c r="CD258" s="221">
        <f t="shared" si="187"/>
        <v>1.3121945704735638</v>
      </c>
    </row>
    <row r="259" spans="1:82" ht="16.350000000000001" customHeight="1">
      <c r="A259" s="175">
        <f t="shared" si="144"/>
        <v>2025</v>
      </c>
      <c r="B259" s="454" t="str">
        <f t="shared" si="145"/>
        <v>46</v>
      </c>
      <c r="C259" s="454" t="str">
        <f t="array" ref="C259">_xlfn.IFS(_xlfn.NUMBERVALUE(B259)&lt;=13,"Q1",AND(_xlfn.NUMBERVALUE(B259)&gt;13,_xlfn.NUMBERVALUE(B259)&lt;=26),"Q2", AND(_xlfn.NUMBERVALUE(B259)&gt;26,_xlfn.NUMBERVALUE(B259)&lt;=39),"Q3",_xlfn.NUMBERVALUE(B259)&gt;39,"Q4")</f>
        <v>Q4</v>
      </c>
      <c r="D259" s="448">
        <f t="shared" si="165"/>
        <v>45633</v>
      </c>
      <c r="E259" s="448">
        <f t="shared" si="146"/>
        <v>45639</v>
      </c>
      <c r="F259" s="97">
        <v>202446</v>
      </c>
      <c r="G259" s="429">
        <v>6933</v>
      </c>
      <c r="H259" s="429">
        <v>5814</v>
      </c>
      <c r="I259" s="429"/>
      <c r="J259" s="429"/>
      <c r="K259" s="429">
        <v>9117</v>
      </c>
      <c r="L259" s="429">
        <v>6100</v>
      </c>
      <c r="M259" s="429"/>
      <c r="N259" s="429"/>
      <c r="O259" s="429">
        <v>7050</v>
      </c>
      <c r="P259" s="429">
        <v>5730</v>
      </c>
      <c r="Q259" s="429"/>
      <c r="R259" s="429"/>
      <c r="S259" s="429"/>
      <c r="T259" s="429"/>
      <c r="U259" s="429"/>
      <c r="V259" s="429"/>
      <c r="W259" s="429"/>
      <c r="X259" s="429"/>
      <c r="Y259" s="449">
        <f t="shared" si="193"/>
        <v>12223.199999999997</v>
      </c>
      <c r="Z259" s="449">
        <f t="shared" si="166"/>
        <v>40744</v>
      </c>
      <c r="AA259" s="214">
        <f>'Overall Metrics'!N260</f>
        <v>52967.199999999997</v>
      </c>
      <c r="AB259" s="429">
        <v>78476</v>
      </c>
      <c r="AC259" s="429">
        <v>94790</v>
      </c>
      <c r="AD259" s="429">
        <v>91710</v>
      </c>
      <c r="AE259" s="429">
        <v>78026</v>
      </c>
      <c r="AF259" s="429">
        <v>86486</v>
      </c>
      <c r="AG259" s="429">
        <v>69624</v>
      </c>
      <c r="AH259" s="429">
        <v>82440</v>
      </c>
      <c r="AI259" s="429">
        <v>86950</v>
      </c>
      <c r="AJ259" s="429">
        <v>86718</v>
      </c>
      <c r="AK259" s="429">
        <v>74531</v>
      </c>
      <c r="AL259" s="429">
        <v>66965</v>
      </c>
      <c r="AM259" s="429">
        <v>99690</v>
      </c>
      <c r="AN259" s="429">
        <v>90805</v>
      </c>
      <c r="AO259" s="429">
        <v>76808</v>
      </c>
      <c r="AP259" s="429">
        <v>87167</v>
      </c>
      <c r="AQ259" s="429">
        <v>65939</v>
      </c>
      <c r="AR259" s="219">
        <f t="shared" si="147"/>
        <v>1317125</v>
      </c>
      <c r="AS259" s="220">
        <f t="shared" si="148"/>
        <v>11.319198038367229</v>
      </c>
      <c r="AT259" s="472">
        <f t="shared" si="149"/>
        <v>16.30374957000344</v>
      </c>
      <c r="AU259" s="472" t="str">
        <f t="shared" si="150"/>
        <v>-</v>
      </c>
      <c r="AV259" s="472" t="str">
        <f t="shared" si="151"/>
        <v>-</v>
      </c>
      <c r="AW259" s="472">
        <f t="shared" si="152"/>
        <v>9.48623450696501</v>
      </c>
      <c r="AX259" s="472">
        <f t="shared" si="153"/>
        <v>11.413770491803279</v>
      </c>
      <c r="AY259" s="472">
        <f t="shared" si="194"/>
        <v>11.693617021276596</v>
      </c>
      <c r="AZ259" s="472">
        <f t="shared" si="202"/>
        <v>15.174520069808027</v>
      </c>
      <c r="BA259" s="472" t="str">
        <f t="shared" si="203"/>
        <v>-</v>
      </c>
      <c r="BB259" s="472" t="str">
        <f t="shared" si="195"/>
        <v>-</v>
      </c>
      <c r="BC259" s="472" t="str">
        <f t="shared" si="196"/>
        <v>-</v>
      </c>
      <c r="BD259" s="472" t="str">
        <f t="shared" si="197"/>
        <v>-</v>
      </c>
      <c r="BE259" s="472" t="str">
        <f t="shared" si="198"/>
        <v>-</v>
      </c>
      <c r="BF259" s="472" t="str">
        <f t="shared" si="199"/>
        <v>-</v>
      </c>
      <c r="BG259" s="472" t="str">
        <f t="shared" si="200"/>
        <v>-</v>
      </c>
      <c r="BH259" s="472" t="str">
        <f t="shared" si="201"/>
        <v>-</v>
      </c>
      <c r="BI259" s="221">
        <f t="shared" si="154"/>
        <v>32.326845670528179</v>
      </c>
      <c r="BJ259" s="692">
        <f>SUM('MAE - Audience Level Data'!O21,'MAE - Audience Level Data'!P21)</f>
        <v>136860</v>
      </c>
      <c r="BK259" s="692">
        <f>SUM('MAE - Audience Level Data'!M21,'MAE - Audience Level Data'!N21,'MAE - Audience Level Data'!Q21,'MAE - Audience Level Data'!R21)</f>
        <v>314669</v>
      </c>
      <c r="BL259" s="429">
        <v>64999</v>
      </c>
      <c r="BM259" s="429">
        <v>73503</v>
      </c>
      <c r="BN259" s="214">
        <f t="shared" si="155"/>
        <v>590031</v>
      </c>
      <c r="BO259" s="742">
        <f>SUM('MAE - Audience Level Data'!U21:V21)</f>
        <v>153347</v>
      </c>
      <c r="BP259" s="742">
        <f>SUM('MAE - Audience Level Data'!S21:T21,'MAE - Audience Level Data'!W21:X21)</f>
        <v>257313</v>
      </c>
      <c r="BQ259" s="429">
        <v>96415</v>
      </c>
      <c r="BR259" s="429">
        <v>86161</v>
      </c>
      <c r="BS259" s="228">
        <f t="shared" si="156"/>
        <v>593236</v>
      </c>
      <c r="BT259" s="407">
        <f t="shared" si="185"/>
        <v>1.1204661698085634</v>
      </c>
      <c r="BU259" s="529">
        <f t="shared" si="186"/>
        <v>0.81772592787977205</v>
      </c>
      <c r="BV259" s="529">
        <f t="shared" si="188"/>
        <v>1.4833305127771197</v>
      </c>
      <c r="BW259" s="529">
        <f t="shared" si="189"/>
        <v>1.1722106580683782</v>
      </c>
      <c r="BX259" s="221">
        <f t="shared" si="190"/>
        <v>1.0054319179839704</v>
      </c>
      <c r="BY259" s="730">
        <f>SUM('MAE - Audience Level Data'!I21:J21)</f>
        <v>147451</v>
      </c>
      <c r="BZ259" s="692">
        <f>SUM('MAE - Audience Level Data'!G21:H21,'MAE - Audience Level Data'!K21:L21)</f>
        <v>286077</v>
      </c>
      <c r="CA259" s="693">
        <f t="shared" si="192"/>
        <v>433528</v>
      </c>
      <c r="CB259" s="407">
        <f t="shared" si="191"/>
        <v>1.0399861648954567</v>
      </c>
      <c r="CC259" s="529">
        <f t="shared" si="163"/>
        <v>0.89945364359945046</v>
      </c>
      <c r="CD259" s="221">
        <f t="shared" si="187"/>
        <v>1.3683914303113063</v>
      </c>
    </row>
    <row r="260" spans="1:82" ht="16.350000000000001" customHeight="1">
      <c r="A260" s="175">
        <f t="shared" si="144"/>
        <v>2025</v>
      </c>
      <c r="B260" s="454" t="str">
        <f t="shared" si="145"/>
        <v>47</v>
      </c>
      <c r="C260" s="454" t="str">
        <f t="array" ref="C260">_xlfn.IFS(_xlfn.NUMBERVALUE(B260)&lt;=13,"Q1",AND(_xlfn.NUMBERVALUE(B260)&gt;13,_xlfn.NUMBERVALUE(B260)&lt;=26),"Q2", AND(_xlfn.NUMBERVALUE(B260)&gt;26,_xlfn.NUMBERVALUE(B260)&lt;=39),"Q3",_xlfn.NUMBERVALUE(B260)&gt;39,"Q4")</f>
        <v>Q4</v>
      </c>
      <c r="D260" s="448">
        <f t="shared" si="165"/>
        <v>45640</v>
      </c>
      <c r="E260" s="448">
        <f t="shared" si="146"/>
        <v>45646</v>
      </c>
      <c r="F260" s="97">
        <v>202447</v>
      </c>
      <c r="G260" s="429">
        <v>11895</v>
      </c>
      <c r="H260" s="429">
        <v>7490</v>
      </c>
      <c r="I260" s="429"/>
      <c r="J260" s="429"/>
      <c r="K260" s="429">
        <v>8163</v>
      </c>
      <c r="L260" s="429">
        <v>9029</v>
      </c>
      <c r="M260" s="429"/>
      <c r="N260" s="429"/>
      <c r="O260" s="429">
        <v>8356</v>
      </c>
      <c r="P260" s="429">
        <v>5480</v>
      </c>
      <c r="Q260" s="429"/>
      <c r="R260" s="429"/>
      <c r="S260" s="429"/>
      <c r="T260" s="429"/>
      <c r="U260" s="429"/>
      <c r="V260" s="429"/>
      <c r="W260" s="429"/>
      <c r="X260" s="429"/>
      <c r="Y260" s="449">
        <f t="shared" si="193"/>
        <v>15123.900000000009</v>
      </c>
      <c r="Z260" s="449">
        <f t="shared" si="166"/>
        <v>50413</v>
      </c>
      <c r="AA260" s="214">
        <f>'Overall Metrics'!N261</f>
        <v>65536.900000000009</v>
      </c>
      <c r="AB260" s="429">
        <v>55846</v>
      </c>
      <c r="AC260" s="429">
        <v>67655</v>
      </c>
      <c r="AD260" s="429">
        <v>80456</v>
      </c>
      <c r="AE260" s="429">
        <v>53403</v>
      </c>
      <c r="AF260" s="429">
        <v>80580</v>
      </c>
      <c r="AG260" s="429">
        <v>97805</v>
      </c>
      <c r="AH260" s="429">
        <v>75506</v>
      </c>
      <c r="AI260" s="429">
        <v>56050</v>
      </c>
      <c r="AJ260" s="429">
        <v>98604</v>
      </c>
      <c r="AK260" s="429">
        <v>93598</v>
      </c>
      <c r="AL260" s="429">
        <v>98717</v>
      </c>
      <c r="AM260" s="429">
        <v>77152</v>
      </c>
      <c r="AN260" s="429">
        <v>50192</v>
      </c>
      <c r="AO260" s="429">
        <v>69919</v>
      </c>
      <c r="AP260" s="429">
        <v>88914</v>
      </c>
      <c r="AQ260" s="429">
        <v>93779</v>
      </c>
      <c r="AR260" s="219">
        <f t="shared" si="147"/>
        <v>1238176</v>
      </c>
      <c r="AS260" s="220">
        <f t="shared" si="148"/>
        <v>4.6949138293400585</v>
      </c>
      <c r="AT260" s="472">
        <f t="shared" si="149"/>
        <v>9.0327102803738324</v>
      </c>
      <c r="AU260" s="472" t="str">
        <f t="shared" si="150"/>
        <v>-</v>
      </c>
      <c r="AV260" s="472" t="str">
        <f t="shared" si="151"/>
        <v>-</v>
      </c>
      <c r="AW260" s="472">
        <f t="shared" si="152"/>
        <v>9.8713708195516361</v>
      </c>
      <c r="AX260" s="472">
        <f t="shared" si="153"/>
        <v>10.832318086166795</v>
      </c>
      <c r="AY260" s="472">
        <f t="shared" si="194"/>
        <v>9.0361416945907127</v>
      </c>
      <c r="AZ260" s="472">
        <f t="shared" si="202"/>
        <v>10.228102189781023</v>
      </c>
      <c r="BA260" s="472" t="str">
        <f t="shared" si="203"/>
        <v>-</v>
      </c>
      <c r="BB260" s="472" t="str">
        <f t="shared" si="195"/>
        <v>-</v>
      </c>
      <c r="BC260" s="472" t="str">
        <f t="shared" si="196"/>
        <v>-</v>
      </c>
      <c r="BD260" s="472" t="str">
        <f t="shared" si="197"/>
        <v>-</v>
      </c>
      <c r="BE260" s="472" t="str">
        <f t="shared" si="198"/>
        <v>-</v>
      </c>
      <c r="BF260" s="472" t="str">
        <f t="shared" si="199"/>
        <v>-</v>
      </c>
      <c r="BG260" s="472" t="str">
        <f t="shared" si="200"/>
        <v>-</v>
      </c>
      <c r="BH260" s="472" t="str">
        <f t="shared" si="201"/>
        <v>-</v>
      </c>
      <c r="BI260" s="221">
        <f t="shared" si="154"/>
        <v>24.560649038938369</v>
      </c>
      <c r="BJ260" s="692">
        <f>SUM('MAE - Audience Level Data'!O22,'MAE - Audience Level Data'!P22)</f>
        <v>140990</v>
      </c>
      <c r="BK260" s="692">
        <f>SUM('MAE - Audience Level Data'!M22,'MAE - Audience Level Data'!N22,'MAE - Audience Level Data'!Q22,'MAE - Audience Level Data'!R22)</f>
        <v>298627</v>
      </c>
      <c r="BL260" s="429">
        <v>70499</v>
      </c>
      <c r="BM260" s="429">
        <v>87856</v>
      </c>
      <c r="BN260" s="214">
        <f t="shared" si="155"/>
        <v>597972</v>
      </c>
      <c r="BO260" s="742">
        <f>SUM('MAE - Audience Level Data'!U22:V22)</f>
        <v>194029</v>
      </c>
      <c r="BP260" s="742">
        <f>SUM('MAE - Audience Level Data'!S22:T22,'MAE - Audience Level Data'!W22:X22)</f>
        <v>324378</v>
      </c>
      <c r="BQ260" s="429">
        <v>59291</v>
      </c>
      <c r="BR260" s="429">
        <v>57595</v>
      </c>
      <c r="BS260" s="228">
        <f t="shared" si="156"/>
        <v>635293</v>
      </c>
      <c r="BT260" s="407">
        <f t="shared" si="185"/>
        <v>1.3761898006950848</v>
      </c>
      <c r="BU260" s="529">
        <f t="shared" si="186"/>
        <v>1.0862313186684391</v>
      </c>
      <c r="BV260" s="529">
        <f t="shared" si="188"/>
        <v>0.84101902154640495</v>
      </c>
      <c r="BW260" s="529">
        <f t="shared" si="189"/>
        <v>0.65556137315607355</v>
      </c>
      <c r="BX260" s="221">
        <f t="shared" si="190"/>
        <v>1.0624126213267511</v>
      </c>
      <c r="BY260" s="730">
        <f>SUM('MAE - Audience Level Data'!I22:J22)</f>
        <v>175614</v>
      </c>
      <c r="BZ260" s="692">
        <f>SUM('MAE - Audience Level Data'!G22:H22,'MAE - Audience Level Data'!K22:L22)</f>
        <v>241339</v>
      </c>
      <c r="CA260" s="693">
        <f t="shared" si="192"/>
        <v>416953</v>
      </c>
      <c r="CB260" s="407">
        <f t="shared" si="191"/>
        <v>1.1048606603118203</v>
      </c>
      <c r="CC260" s="529">
        <f t="shared" si="163"/>
        <v>1.3440761750069405</v>
      </c>
      <c r="CD260" s="221">
        <f t="shared" si="187"/>
        <v>1.5236561434981881</v>
      </c>
    </row>
    <row r="261" spans="1:82" ht="16.350000000000001" customHeight="1">
      <c r="A261" s="175">
        <f t="shared" si="144"/>
        <v>2025</v>
      </c>
      <c r="B261" s="454" t="str">
        <f t="shared" si="145"/>
        <v>48</v>
      </c>
      <c r="C261" s="454" t="str">
        <f t="array" ref="C261">_xlfn.IFS(_xlfn.NUMBERVALUE(B261)&lt;=13,"Q1",AND(_xlfn.NUMBERVALUE(B261)&gt;13,_xlfn.NUMBERVALUE(B261)&lt;=26),"Q2", AND(_xlfn.NUMBERVALUE(B261)&gt;26,_xlfn.NUMBERVALUE(B261)&lt;=39),"Q3",_xlfn.NUMBERVALUE(B261)&gt;39,"Q4")</f>
        <v>Q4</v>
      </c>
      <c r="D261" s="448">
        <f t="shared" si="165"/>
        <v>45647</v>
      </c>
      <c r="E261" s="448">
        <f t="shared" si="146"/>
        <v>45653</v>
      </c>
      <c r="F261" s="97">
        <v>202448</v>
      </c>
      <c r="G261" s="429">
        <v>10197</v>
      </c>
      <c r="H261" s="429">
        <v>6424</v>
      </c>
      <c r="I261" s="429"/>
      <c r="J261" s="429"/>
      <c r="K261" s="429">
        <v>5271</v>
      </c>
      <c r="L261" s="429">
        <v>8550</v>
      </c>
      <c r="M261" s="429"/>
      <c r="N261" s="429"/>
      <c r="O261" s="429">
        <v>9254</v>
      </c>
      <c r="P261" s="429">
        <v>8437</v>
      </c>
      <c r="Q261" s="429"/>
      <c r="R261" s="429"/>
      <c r="S261" s="429"/>
      <c r="T261" s="429"/>
      <c r="U261" s="429"/>
      <c r="V261" s="429"/>
      <c r="W261" s="429"/>
      <c r="X261" s="429"/>
      <c r="Y261" s="449">
        <f t="shared" si="193"/>
        <v>14439.900000000009</v>
      </c>
      <c r="Z261" s="449">
        <f t="shared" si="166"/>
        <v>48133</v>
      </c>
      <c r="AA261" s="214">
        <f>'Overall Metrics'!N262</f>
        <v>62572.900000000009</v>
      </c>
      <c r="AB261" s="429">
        <v>72392</v>
      </c>
      <c r="AC261" s="429">
        <v>84684</v>
      </c>
      <c r="AD261" s="429">
        <v>71530</v>
      </c>
      <c r="AE261" s="429">
        <v>64201</v>
      </c>
      <c r="AF261" s="429">
        <v>90086</v>
      </c>
      <c r="AG261" s="429">
        <v>55838</v>
      </c>
      <c r="AH261" s="429">
        <v>69456</v>
      </c>
      <c r="AI261" s="429">
        <v>68669</v>
      </c>
      <c r="AJ261" s="429">
        <v>60745</v>
      </c>
      <c r="AK261" s="429">
        <v>95247</v>
      </c>
      <c r="AL261" s="429">
        <v>65286</v>
      </c>
      <c r="AM261" s="429">
        <v>88110</v>
      </c>
      <c r="AN261" s="429">
        <v>82937</v>
      </c>
      <c r="AO261" s="429">
        <v>60290</v>
      </c>
      <c r="AP261" s="429">
        <v>65085</v>
      </c>
      <c r="AQ261" s="429">
        <v>87680</v>
      </c>
      <c r="AR261" s="219">
        <f t="shared" si="147"/>
        <v>1182236</v>
      </c>
      <c r="AS261" s="220">
        <f t="shared" si="148"/>
        <v>7.0993429440031379</v>
      </c>
      <c r="AT261" s="472">
        <f t="shared" si="149"/>
        <v>13.182440846824408</v>
      </c>
      <c r="AU261" s="472" t="str">
        <f t="shared" si="150"/>
        <v>-</v>
      </c>
      <c r="AV261" s="472" t="str">
        <f t="shared" si="151"/>
        <v>-</v>
      </c>
      <c r="AW261" s="472">
        <f t="shared" si="152"/>
        <v>17.090874596850693</v>
      </c>
      <c r="AX261" s="472">
        <f t="shared" si="153"/>
        <v>6.5307602339181283</v>
      </c>
      <c r="AY261" s="472">
        <f t="shared" si="194"/>
        <v>7.5055111303220228</v>
      </c>
      <c r="AZ261" s="472">
        <f t="shared" si="202"/>
        <v>8.13903046106436</v>
      </c>
      <c r="BA261" s="472" t="str">
        <f t="shared" si="203"/>
        <v>-</v>
      </c>
      <c r="BB261" s="472" t="str">
        <f t="shared" si="195"/>
        <v>-</v>
      </c>
      <c r="BC261" s="472" t="str">
        <f t="shared" si="196"/>
        <v>-</v>
      </c>
      <c r="BD261" s="472" t="str">
        <f t="shared" si="197"/>
        <v>-</v>
      </c>
      <c r="BE261" s="472" t="str">
        <f t="shared" si="198"/>
        <v>-</v>
      </c>
      <c r="BF261" s="472" t="str">
        <f t="shared" si="199"/>
        <v>-</v>
      </c>
      <c r="BG261" s="472" t="str">
        <f t="shared" si="200"/>
        <v>-</v>
      </c>
      <c r="BH261" s="472" t="str">
        <f t="shared" si="201"/>
        <v>-</v>
      </c>
      <c r="BI261" s="221">
        <f t="shared" si="154"/>
        <v>24.561859846674839</v>
      </c>
      <c r="BJ261" s="692">
        <f>SUM('MAE - Audience Level Data'!O23,'MAE - Audience Level Data'!P23)</f>
        <v>150890</v>
      </c>
      <c r="BK261" s="692">
        <f>SUM('MAE - Audience Level Data'!M23,'MAE - Audience Level Data'!N23,'MAE - Audience Level Data'!Q23,'MAE - Audience Level Data'!R23)</f>
        <v>299070</v>
      </c>
      <c r="BL261" s="429">
        <v>59642</v>
      </c>
      <c r="BM261" s="429">
        <v>89612</v>
      </c>
      <c r="BN261" s="214">
        <f t="shared" si="155"/>
        <v>599214</v>
      </c>
      <c r="BO261" s="742">
        <f>SUM('MAE - Audience Level Data'!U23:V23)</f>
        <v>118033</v>
      </c>
      <c r="BP261" s="742">
        <f>SUM('MAE - Audience Level Data'!S23:T23,'MAE - Audience Level Data'!W23:X23)</f>
        <v>294137</v>
      </c>
      <c r="BQ261" s="429">
        <v>81244</v>
      </c>
      <c r="BR261" s="429">
        <v>84341</v>
      </c>
      <c r="BS261" s="228">
        <f t="shared" si="156"/>
        <v>577755</v>
      </c>
      <c r="BT261" s="407">
        <f t="shared" si="185"/>
        <v>0.78224534429054282</v>
      </c>
      <c r="BU261" s="529">
        <f t="shared" si="186"/>
        <v>0.9835055338215134</v>
      </c>
      <c r="BV261" s="529">
        <f t="shared" si="188"/>
        <v>1.3621944267462527</v>
      </c>
      <c r="BW261" s="529">
        <f t="shared" si="189"/>
        <v>0.94117975271169041</v>
      </c>
      <c r="BX261" s="221">
        <f t="shared" si="190"/>
        <v>0.9641880863931751</v>
      </c>
      <c r="BY261" s="730">
        <f>SUM('MAE - Audience Level Data'!I23:J23)</f>
        <v>144575</v>
      </c>
      <c r="BZ261" s="692">
        <f>SUM('MAE - Audience Level Data'!G23:H23,'MAE - Audience Level Data'!K23:L23)</f>
        <v>262810</v>
      </c>
      <c r="CA261" s="693">
        <f t="shared" si="192"/>
        <v>407385</v>
      </c>
      <c r="CB261" s="407">
        <f t="shared" si="191"/>
        <v>0.8164136261455992</v>
      </c>
      <c r="CC261" s="529">
        <f t="shared" si="163"/>
        <v>1.1192001826414519</v>
      </c>
      <c r="CD261" s="221">
        <f t="shared" si="187"/>
        <v>1.4182039103059758</v>
      </c>
    </row>
    <row r="262" spans="1:82" ht="16.350000000000001" customHeight="1">
      <c r="A262" s="175">
        <f t="shared" ref="A262:A318" si="204">LEFT(F262,4)+1</f>
        <v>2025</v>
      </c>
      <c r="B262" s="454" t="str">
        <f t="shared" ref="B262:B318" si="205">RIGHT(F262,2)</f>
        <v>49</v>
      </c>
      <c r="C262" s="454" t="str">
        <f t="array" ref="C262">_xlfn.IFS(_xlfn.NUMBERVALUE(B262)&lt;=13,"Q1",AND(_xlfn.NUMBERVALUE(B262)&gt;13,_xlfn.NUMBERVALUE(B262)&lt;=26),"Q2", AND(_xlfn.NUMBERVALUE(B262)&gt;26,_xlfn.NUMBERVALUE(B262)&lt;=39),"Q3",_xlfn.NUMBERVALUE(B262)&gt;39,"Q4")</f>
        <v>Q4</v>
      </c>
      <c r="D262" s="448">
        <f t="shared" si="165"/>
        <v>45654</v>
      </c>
      <c r="E262" s="448">
        <f t="shared" ref="E262:E318" si="206">D262+6</f>
        <v>45660</v>
      </c>
      <c r="F262" s="97">
        <v>202449</v>
      </c>
      <c r="G262" s="429">
        <v>13129</v>
      </c>
      <c r="H262" s="429">
        <v>7852</v>
      </c>
      <c r="I262" s="429"/>
      <c r="J262" s="429"/>
      <c r="K262" s="429">
        <v>6787</v>
      </c>
      <c r="L262" s="429">
        <v>8400</v>
      </c>
      <c r="M262" s="429"/>
      <c r="N262" s="429"/>
      <c r="O262" s="429">
        <v>9771</v>
      </c>
      <c r="P262" s="429">
        <v>5665</v>
      </c>
      <c r="Q262" s="429"/>
      <c r="R262" s="429"/>
      <c r="S262" s="429"/>
      <c r="T262" s="429"/>
      <c r="U262" s="429"/>
      <c r="V262" s="429"/>
      <c r="W262" s="429"/>
      <c r="X262" s="429"/>
      <c r="Y262" s="449">
        <f t="shared" si="193"/>
        <v>15481.199999999997</v>
      </c>
      <c r="Z262" s="449">
        <f t="shared" si="166"/>
        <v>51604</v>
      </c>
      <c r="AA262" s="214">
        <f>'Overall Metrics'!N263</f>
        <v>67085.2</v>
      </c>
      <c r="AB262" s="429">
        <v>59771</v>
      </c>
      <c r="AC262" s="429">
        <v>85746</v>
      </c>
      <c r="AD262" s="429">
        <v>76839</v>
      </c>
      <c r="AE262" s="429">
        <v>98389</v>
      </c>
      <c r="AF262" s="429">
        <v>68066</v>
      </c>
      <c r="AG262" s="429">
        <v>83828</v>
      </c>
      <c r="AH262" s="429">
        <v>88103</v>
      </c>
      <c r="AI262" s="429">
        <v>97083</v>
      </c>
      <c r="AJ262" s="429">
        <v>67161</v>
      </c>
      <c r="AK262" s="429">
        <v>88635</v>
      </c>
      <c r="AL262" s="429">
        <v>87398</v>
      </c>
      <c r="AM262" s="429">
        <v>73171</v>
      </c>
      <c r="AN262" s="429">
        <v>54656</v>
      </c>
      <c r="AO262" s="429">
        <v>82059</v>
      </c>
      <c r="AP262" s="429">
        <v>81060</v>
      </c>
      <c r="AQ262" s="429">
        <v>76769</v>
      </c>
      <c r="AR262" s="219">
        <f t="shared" ref="AR262:AR318" si="207">SUM(AB262:AQ262)</f>
        <v>1268734</v>
      </c>
      <c r="AS262" s="220">
        <f t="shared" ref="AS262:AS318" si="208">IFERROR(AB262/G262,"-")</f>
        <v>4.5525934953157137</v>
      </c>
      <c r="AT262" s="472">
        <f t="shared" ref="AT262:AT318" si="209">IFERROR(AC262/H262,"-")</f>
        <v>10.920275089149261</v>
      </c>
      <c r="AU262" s="472" t="str">
        <f t="shared" ref="AU262:AU318" si="210">IFERROR(AD262/I262,"-")</f>
        <v>-</v>
      </c>
      <c r="AV262" s="472" t="str">
        <f t="shared" ref="AV262:AV318" si="211">IFERROR(AE262/J262,"-")</f>
        <v>-</v>
      </c>
      <c r="AW262" s="472">
        <f t="shared" ref="AW262:AW318" si="212">IFERROR(AF262/K262,"-")</f>
        <v>10.028878738765286</v>
      </c>
      <c r="AX262" s="472">
        <f t="shared" ref="AX262:AX318" si="213">IFERROR(AG262/L262,"-")</f>
        <v>9.9795238095238101</v>
      </c>
      <c r="AY262" s="472">
        <f t="shared" si="194"/>
        <v>9.0167843618872165</v>
      </c>
      <c r="AZ262" s="472">
        <f t="shared" si="202"/>
        <v>17.137334510150044</v>
      </c>
      <c r="BA262" s="472" t="str">
        <f t="shared" si="203"/>
        <v>-</v>
      </c>
      <c r="BB262" s="472" t="str">
        <f t="shared" si="195"/>
        <v>-</v>
      </c>
      <c r="BC262" s="472" t="str">
        <f t="shared" si="196"/>
        <v>-</v>
      </c>
      <c r="BD262" s="472" t="str">
        <f t="shared" si="197"/>
        <v>-</v>
      </c>
      <c r="BE262" s="472" t="str">
        <f t="shared" si="198"/>
        <v>-</v>
      </c>
      <c r="BF262" s="472" t="str">
        <f t="shared" si="199"/>
        <v>-</v>
      </c>
      <c r="BG262" s="472" t="str">
        <f t="shared" si="200"/>
        <v>-</v>
      </c>
      <c r="BH262" s="472" t="str">
        <f t="shared" si="201"/>
        <v>-</v>
      </c>
      <c r="BI262" s="221">
        <f t="shared" ref="BI262:BI318" si="214">IFERROR(AR262/Z262,"-")</f>
        <v>24.585962328501665</v>
      </c>
      <c r="BJ262" s="692">
        <f>SUM('MAE - Audience Level Data'!O24,'MAE - Audience Level Data'!P24)</f>
        <v>154703</v>
      </c>
      <c r="BK262" s="692">
        <f>SUM('MAE - Audience Level Data'!M24,'MAE - Audience Level Data'!N24,'MAE - Audience Level Data'!Q24,'MAE - Audience Level Data'!R24)</f>
        <v>307252</v>
      </c>
      <c r="BL262" s="429">
        <v>56680</v>
      </c>
      <c r="BM262" s="429">
        <v>96294</v>
      </c>
      <c r="BN262" s="214">
        <f t="shared" ref="BN262:BN318" si="215">SUM(BJ262:BM262)</f>
        <v>614929</v>
      </c>
      <c r="BO262" s="742">
        <f>SUM('MAE - Audience Level Data'!U24:V24)</f>
        <v>190746</v>
      </c>
      <c r="BP262" s="742">
        <f>SUM('MAE - Audience Level Data'!S24:T24,'MAE - Audience Level Data'!W24:X24)</f>
        <v>294118</v>
      </c>
      <c r="BQ262" s="429">
        <v>98617</v>
      </c>
      <c r="BR262" s="429">
        <v>62052</v>
      </c>
      <c r="BS262" s="228">
        <f t="shared" ref="BS262:BS318" si="216">SUM(BO262:BR262)</f>
        <v>645533</v>
      </c>
      <c r="BT262" s="407">
        <f t="shared" si="185"/>
        <v>1.2329819072674737</v>
      </c>
      <c r="BU262" s="529">
        <f t="shared" si="186"/>
        <v>0.95725332951453534</v>
      </c>
      <c r="BV262" s="529">
        <f t="shared" si="188"/>
        <v>1.7398906139731827</v>
      </c>
      <c r="BW262" s="529">
        <f t="shared" si="189"/>
        <v>0.64440152034394671</v>
      </c>
      <c r="BX262" s="221">
        <f t="shared" si="190"/>
        <v>1.0497683472400878</v>
      </c>
      <c r="BY262" s="730">
        <f>SUM('MAE - Audience Level Data'!I24:J24)</f>
        <v>142814</v>
      </c>
      <c r="BZ262" s="692">
        <f>SUM('MAE - Audience Level Data'!G24:H24,'MAE - Audience Level Data'!K24:L24)</f>
        <v>241232</v>
      </c>
      <c r="CA262" s="693">
        <f t="shared" si="192"/>
        <v>384046</v>
      </c>
      <c r="CB262" s="407">
        <f t="shared" si="191"/>
        <v>1.3356253588583753</v>
      </c>
      <c r="CC262" s="529">
        <f t="shared" ref="CC262:CC318" si="217">IFERROR(BP262/BZ262,"-")</f>
        <v>1.2192329375870532</v>
      </c>
      <c r="CD262" s="221">
        <f t="shared" si="187"/>
        <v>1.6808741661155173</v>
      </c>
    </row>
    <row r="263" spans="1:82" ht="16.350000000000001" customHeight="1">
      <c r="A263" s="175">
        <f t="shared" si="204"/>
        <v>2025</v>
      </c>
      <c r="B263" s="454" t="str">
        <f t="shared" si="205"/>
        <v>50</v>
      </c>
      <c r="C263" s="454" t="str">
        <f t="array" ref="C263">_xlfn.IFS(_xlfn.NUMBERVALUE(B263)&lt;=13,"Q1",AND(_xlfn.NUMBERVALUE(B263)&gt;13,_xlfn.NUMBERVALUE(B263)&lt;=26),"Q2", AND(_xlfn.NUMBERVALUE(B263)&gt;26,_xlfn.NUMBERVALUE(B263)&lt;=39),"Q3",_xlfn.NUMBERVALUE(B263)&gt;39,"Q4")</f>
        <v>Q4</v>
      </c>
      <c r="D263" s="448">
        <f t="shared" ref="D263:D318" si="218">E262+1</f>
        <v>45661</v>
      </c>
      <c r="E263" s="448">
        <f t="shared" si="206"/>
        <v>45667</v>
      </c>
      <c r="F263" s="97">
        <v>202450</v>
      </c>
      <c r="G263" s="429">
        <v>8998</v>
      </c>
      <c r="H263" s="429">
        <v>6160</v>
      </c>
      <c r="I263" s="429"/>
      <c r="J263" s="429"/>
      <c r="K263" s="429">
        <v>9141</v>
      </c>
      <c r="L263" s="429">
        <v>6243</v>
      </c>
      <c r="M263" s="429"/>
      <c r="N263" s="429"/>
      <c r="O263" s="429">
        <v>6643</v>
      </c>
      <c r="P263" s="429">
        <v>6956</v>
      </c>
      <c r="Q263" s="429"/>
      <c r="R263" s="429"/>
      <c r="S263" s="429"/>
      <c r="T263" s="429"/>
      <c r="U263" s="429"/>
      <c r="V263" s="429"/>
      <c r="W263" s="429"/>
      <c r="X263" s="429"/>
      <c r="Y263" s="449">
        <f t="shared" si="193"/>
        <v>13242.300000000003</v>
      </c>
      <c r="Z263" s="449">
        <f t="shared" ref="Z263:Z271" si="219">IFERROR(SUM(G263:M263,O263:X263),0)</f>
        <v>44141</v>
      </c>
      <c r="AA263" s="214">
        <f>'Overall Metrics'!N264</f>
        <v>57383.3</v>
      </c>
      <c r="AB263" s="429">
        <v>94075</v>
      </c>
      <c r="AC263" s="429">
        <v>92985</v>
      </c>
      <c r="AD263" s="429">
        <v>85707</v>
      </c>
      <c r="AE263" s="429">
        <v>87558</v>
      </c>
      <c r="AF263" s="429">
        <v>53978</v>
      </c>
      <c r="AG263" s="429">
        <v>88577</v>
      </c>
      <c r="AH263" s="429">
        <v>86554</v>
      </c>
      <c r="AI263" s="429">
        <v>56486</v>
      </c>
      <c r="AJ263" s="429">
        <v>71054</v>
      </c>
      <c r="AK263" s="429">
        <v>60683</v>
      </c>
      <c r="AL263" s="429">
        <v>50316</v>
      </c>
      <c r="AM263" s="429">
        <v>68750</v>
      </c>
      <c r="AN263" s="429">
        <v>70353</v>
      </c>
      <c r="AO263" s="429">
        <v>97297</v>
      </c>
      <c r="AP263" s="429">
        <v>54077</v>
      </c>
      <c r="AQ263" s="429">
        <v>99813</v>
      </c>
      <c r="AR263" s="219">
        <f t="shared" si="207"/>
        <v>1218263</v>
      </c>
      <c r="AS263" s="220">
        <f t="shared" si="208"/>
        <v>10.455101133585242</v>
      </c>
      <c r="AT263" s="472">
        <f t="shared" si="209"/>
        <v>15.094967532467532</v>
      </c>
      <c r="AU263" s="472" t="str">
        <f t="shared" si="210"/>
        <v>-</v>
      </c>
      <c r="AV263" s="472" t="str">
        <f t="shared" si="211"/>
        <v>-</v>
      </c>
      <c r="AW263" s="472">
        <f t="shared" si="212"/>
        <v>5.9050432119024174</v>
      </c>
      <c r="AX263" s="472">
        <f t="shared" si="213"/>
        <v>14.188210796091623</v>
      </c>
      <c r="AY263" s="472">
        <f t="shared" si="194"/>
        <v>13.029354207436398</v>
      </c>
      <c r="AZ263" s="472">
        <f t="shared" si="202"/>
        <v>8.1204715353651515</v>
      </c>
      <c r="BA263" s="472" t="str">
        <f t="shared" si="203"/>
        <v>-</v>
      </c>
      <c r="BB263" s="472" t="str">
        <f t="shared" si="195"/>
        <v>-</v>
      </c>
      <c r="BC263" s="472" t="str">
        <f t="shared" si="196"/>
        <v>-</v>
      </c>
      <c r="BD263" s="472" t="str">
        <f t="shared" si="197"/>
        <v>-</v>
      </c>
      <c r="BE263" s="472" t="str">
        <f t="shared" si="198"/>
        <v>-</v>
      </c>
      <c r="BF263" s="472" t="str">
        <f t="shared" si="199"/>
        <v>-</v>
      </c>
      <c r="BG263" s="472" t="str">
        <f t="shared" si="200"/>
        <v>-</v>
      </c>
      <c r="BH263" s="472" t="str">
        <f t="shared" si="201"/>
        <v>-</v>
      </c>
      <c r="BI263" s="221">
        <f t="shared" si="214"/>
        <v>27.599352076300946</v>
      </c>
      <c r="BJ263" s="692">
        <f>SUM('MAE - Audience Level Data'!O25,'MAE - Audience Level Data'!P25)</f>
        <v>159435</v>
      </c>
      <c r="BK263" s="692">
        <f>SUM('MAE - Audience Level Data'!M25,'MAE - Audience Level Data'!N25,'MAE - Audience Level Data'!Q25,'MAE - Audience Level Data'!R25)</f>
        <v>257476</v>
      </c>
      <c r="BL263" s="429">
        <v>54631</v>
      </c>
      <c r="BM263" s="429">
        <v>55577</v>
      </c>
      <c r="BN263" s="214">
        <f t="shared" si="215"/>
        <v>527119</v>
      </c>
      <c r="BO263" s="742">
        <f>SUM('MAE - Audience Level Data'!U25:V25)</f>
        <v>131779</v>
      </c>
      <c r="BP263" s="742">
        <f>SUM('MAE - Audience Level Data'!S25:T25,'MAE - Audience Level Data'!W25:X25)</f>
        <v>345500</v>
      </c>
      <c r="BQ263" s="429">
        <v>95555</v>
      </c>
      <c r="BR263" s="429">
        <v>59829</v>
      </c>
      <c r="BS263" s="228">
        <f t="shared" si="216"/>
        <v>632663</v>
      </c>
      <c r="BT263" s="407">
        <f t="shared" si="185"/>
        <v>0.82653746040706244</v>
      </c>
      <c r="BU263" s="529">
        <f t="shared" si="186"/>
        <v>1.3418726405567898</v>
      </c>
      <c r="BV263" s="529">
        <f t="shared" si="188"/>
        <v>1.7490984971902399</v>
      </c>
      <c r="BW263" s="529">
        <f t="shared" si="189"/>
        <v>1.0765064685031578</v>
      </c>
      <c r="BX263" s="221">
        <f t="shared" si="190"/>
        <v>1.2002280320003642</v>
      </c>
      <c r="BY263" s="730">
        <f>SUM('MAE - Audience Level Data'!I25:J25)</f>
        <v>131518</v>
      </c>
      <c r="BZ263" s="692">
        <f>SUM('MAE - Audience Level Data'!G25:H25,'MAE - Audience Level Data'!K25:L25)</f>
        <v>295015</v>
      </c>
      <c r="CA263" s="693">
        <f t="shared" si="192"/>
        <v>426533</v>
      </c>
      <c r="CB263" s="407">
        <f t="shared" si="191"/>
        <v>1.0019845192293071</v>
      </c>
      <c r="CC263" s="529">
        <f t="shared" si="217"/>
        <v>1.1711268918529567</v>
      </c>
      <c r="CD263" s="221">
        <f t="shared" si="187"/>
        <v>1.4832685864868604</v>
      </c>
    </row>
    <row r="264" spans="1:82" ht="16.350000000000001" customHeight="1">
      <c r="A264" s="175">
        <f t="shared" si="204"/>
        <v>2025</v>
      </c>
      <c r="B264" s="454" t="str">
        <f t="shared" si="205"/>
        <v>51</v>
      </c>
      <c r="C264" s="454" t="str">
        <f t="array" ref="C264">_xlfn.IFS(_xlfn.NUMBERVALUE(B264)&lt;=13,"Q1",AND(_xlfn.NUMBERVALUE(B264)&gt;13,_xlfn.NUMBERVALUE(B264)&lt;=26),"Q2", AND(_xlfn.NUMBERVALUE(B264)&gt;26,_xlfn.NUMBERVALUE(B264)&lt;=39),"Q3",_xlfn.NUMBERVALUE(B264)&gt;39,"Q4")</f>
        <v>Q4</v>
      </c>
      <c r="D264" s="448">
        <f t="shared" si="218"/>
        <v>45668</v>
      </c>
      <c r="E264" s="448">
        <f t="shared" si="206"/>
        <v>45674</v>
      </c>
      <c r="F264" s="97">
        <v>202451</v>
      </c>
      <c r="G264" s="429">
        <v>12585</v>
      </c>
      <c r="H264" s="429">
        <v>13886</v>
      </c>
      <c r="I264" s="429"/>
      <c r="J264" s="429"/>
      <c r="K264" s="429">
        <v>6683</v>
      </c>
      <c r="L264" s="429">
        <v>7275</v>
      </c>
      <c r="M264" s="429"/>
      <c r="N264" s="429"/>
      <c r="O264" s="429">
        <v>6447</v>
      </c>
      <c r="P264" s="429">
        <v>7175</v>
      </c>
      <c r="Q264" s="429"/>
      <c r="R264" s="429"/>
      <c r="S264" s="429"/>
      <c r="T264" s="429"/>
      <c r="U264" s="429"/>
      <c r="V264" s="429"/>
      <c r="W264" s="429"/>
      <c r="X264" s="429"/>
      <c r="Y264" s="449">
        <f t="shared" si="193"/>
        <v>16215.300000000003</v>
      </c>
      <c r="Z264" s="449">
        <f t="shared" si="219"/>
        <v>54051</v>
      </c>
      <c r="AA264" s="214">
        <f>'Overall Metrics'!N265</f>
        <v>70266.3</v>
      </c>
      <c r="AB264" s="429">
        <v>53727</v>
      </c>
      <c r="AC264" s="429">
        <v>86634</v>
      </c>
      <c r="AD264" s="429">
        <v>64995</v>
      </c>
      <c r="AE264" s="429">
        <v>75440</v>
      </c>
      <c r="AF264" s="429">
        <v>65799</v>
      </c>
      <c r="AG264" s="429">
        <v>55456</v>
      </c>
      <c r="AH264" s="429">
        <v>58527</v>
      </c>
      <c r="AI264" s="429">
        <v>95938</v>
      </c>
      <c r="AJ264" s="429">
        <v>72432</v>
      </c>
      <c r="AK264" s="429">
        <v>71838</v>
      </c>
      <c r="AL264" s="429">
        <v>65710</v>
      </c>
      <c r="AM264" s="429">
        <v>97552</v>
      </c>
      <c r="AN264" s="429">
        <v>91150</v>
      </c>
      <c r="AO264" s="429">
        <v>88239</v>
      </c>
      <c r="AP264" s="429">
        <v>99656</v>
      </c>
      <c r="AQ264" s="429">
        <v>81976</v>
      </c>
      <c r="AR264" s="219">
        <f t="shared" si="207"/>
        <v>1225069</v>
      </c>
      <c r="AS264" s="220">
        <f t="shared" si="208"/>
        <v>4.2691299165673424</v>
      </c>
      <c r="AT264" s="472">
        <f t="shared" si="209"/>
        <v>6.2389457007057469</v>
      </c>
      <c r="AU264" s="472" t="str">
        <f t="shared" si="210"/>
        <v>-</v>
      </c>
      <c r="AV264" s="472" t="str">
        <f t="shared" si="211"/>
        <v>-</v>
      </c>
      <c r="AW264" s="472">
        <f t="shared" si="212"/>
        <v>9.8457279664821193</v>
      </c>
      <c r="AX264" s="472">
        <f t="shared" si="213"/>
        <v>7.6228178694158073</v>
      </c>
      <c r="AY264" s="472">
        <f t="shared" si="194"/>
        <v>9.0781758957654723</v>
      </c>
      <c r="AZ264" s="472">
        <f t="shared" si="202"/>
        <v>13.371149825783972</v>
      </c>
      <c r="BA264" s="472" t="str">
        <f t="shared" si="203"/>
        <v>-</v>
      </c>
      <c r="BB264" s="472" t="str">
        <f t="shared" si="195"/>
        <v>-</v>
      </c>
      <c r="BC264" s="472" t="str">
        <f t="shared" si="196"/>
        <v>-</v>
      </c>
      <c r="BD264" s="472" t="str">
        <f t="shared" si="197"/>
        <v>-</v>
      </c>
      <c r="BE264" s="472" t="str">
        <f t="shared" si="198"/>
        <v>-</v>
      </c>
      <c r="BF264" s="472" t="str">
        <f t="shared" si="199"/>
        <v>-</v>
      </c>
      <c r="BG264" s="472" t="str">
        <f t="shared" si="200"/>
        <v>-</v>
      </c>
      <c r="BH264" s="472" t="str">
        <f t="shared" si="201"/>
        <v>-</v>
      </c>
      <c r="BI264" s="221">
        <f t="shared" si="214"/>
        <v>22.665057075724778</v>
      </c>
      <c r="BJ264" s="692">
        <f>SUM('MAE - Audience Level Data'!O26,'MAE - Audience Level Data'!P26)</f>
        <v>132534</v>
      </c>
      <c r="BK264" s="692">
        <f>SUM('MAE - Audience Level Data'!M26,'MAE - Audience Level Data'!N26,'MAE - Audience Level Data'!Q26,'MAE - Audience Level Data'!R26)</f>
        <v>291289</v>
      </c>
      <c r="BL264" s="429">
        <v>65550</v>
      </c>
      <c r="BM264" s="429">
        <v>95211</v>
      </c>
      <c r="BN264" s="214">
        <f t="shared" si="215"/>
        <v>584584</v>
      </c>
      <c r="BO264" s="742">
        <f>SUM('MAE - Audience Level Data'!U26:V26)</f>
        <v>130852</v>
      </c>
      <c r="BP264" s="742">
        <f>SUM('MAE - Audience Level Data'!S26:T26,'MAE - Audience Level Data'!W26:X26)</f>
        <v>292610</v>
      </c>
      <c r="BQ264" s="429">
        <v>56306</v>
      </c>
      <c r="BR264" s="429">
        <v>50959</v>
      </c>
      <c r="BS264" s="228">
        <f t="shared" si="216"/>
        <v>530727</v>
      </c>
      <c r="BT264" s="407">
        <f t="shared" si="185"/>
        <v>0.98730891695715817</v>
      </c>
      <c r="BU264" s="529">
        <f t="shared" si="186"/>
        <v>1.0045350150537782</v>
      </c>
      <c r="BV264" s="529">
        <f t="shared" si="188"/>
        <v>0.85897787948131199</v>
      </c>
      <c r="BW264" s="529">
        <f t="shared" si="189"/>
        <v>0.53522177059373388</v>
      </c>
      <c r="BX264" s="221">
        <f t="shared" si="190"/>
        <v>0.90787123835069039</v>
      </c>
      <c r="BY264" s="730">
        <f>SUM('MAE - Audience Level Data'!I26:J26)</f>
        <v>189008</v>
      </c>
      <c r="BZ264" s="692">
        <f>SUM('MAE - Audience Level Data'!G26:H26,'MAE - Audience Level Data'!K26:L26)</f>
        <v>289261</v>
      </c>
      <c r="CA264" s="693">
        <f t="shared" si="192"/>
        <v>478269</v>
      </c>
      <c r="CB264" s="407">
        <f t="shared" si="191"/>
        <v>0.69230932024041314</v>
      </c>
      <c r="CC264" s="529">
        <f t="shared" si="217"/>
        <v>1.0115777792374361</v>
      </c>
      <c r="CD264" s="221">
        <f t="shared" si="187"/>
        <v>1.109683044479153</v>
      </c>
    </row>
    <row r="265" spans="1:82" ht="16.350000000000001" customHeight="1">
      <c r="A265" s="175">
        <f t="shared" si="204"/>
        <v>2025</v>
      </c>
      <c r="B265" s="454" t="str">
        <f t="shared" si="205"/>
        <v>52</v>
      </c>
      <c r="C265" s="454" t="str">
        <f t="array" ref="C265">_xlfn.IFS(_xlfn.NUMBERVALUE(B265)&lt;=13,"Q1",AND(_xlfn.NUMBERVALUE(B265)&gt;13,_xlfn.NUMBERVALUE(B265)&lt;=26),"Q2", AND(_xlfn.NUMBERVALUE(B265)&gt;26,_xlfn.NUMBERVALUE(B265)&lt;=39),"Q3",_xlfn.NUMBERVALUE(B265)&gt;39,"Q4")</f>
        <v>Q4</v>
      </c>
      <c r="D265" s="448">
        <f t="shared" si="218"/>
        <v>45675</v>
      </c>
      <c r="E265" s="448">
        <f t="shared" si="206"/>
        <v>45681</v>
      </c>
      <c r="F265" s="97">
        <v>202452</v>
      </c>
      <c r="G265" s="429">
        <v>8191</v>
      </c>
      <c r="H265" s="429">
        <v>11048</v>
      </c>
      <c r="I265" s="429"/>
      <c r="J265" s="429"/>
      <c r="K265" s="429">
        <v>6960</v>
      </c>
      <c r="L265" s="429">
        <v>9492</v>
      </c>
      <c r="M265" s="429"/>
      <c r="N265" s="429"/>
      <c r="O265" s="429">
        <v>5186</v>
      </c>
      <c r="P265" s="429">
        <v>7618</v>
      </c>
      <c r="Q265" s="429"/>
      <c r="R265" s="429"/>
      <c r="S265" s="429"/>
      <c r="T265" s="429"/>
      <c r="U265" s="429"/>
      <c r="V265" s="429"/>
      <c r="W265" s="429"/>
      <c r="X265" s="429"/>
      <c r="Y265" s="449">
        <f t="shared" si="193"/>
        <v>14548.5</v>
      </c>
      <c r="Z265" s="449">
        <f t="shared" si="219"/>
        <v>48495</v>
      </c>
      <c r="AA265" s="214">
        <f>'Overall Metrics'!N266</f>
        <v>63043.5</v>
      </c>
      <c r="AB265" s="429">
        <v>63963</v>
      </c>
      <c r="AC265" s="429">
        <v>89547</v>
      </c>
      <c r="AD265" s="429">
        <v>89512</v>
      </c>
      <c r="AE265" s="429">
        <v>79628</v>
      </c>
      <c r="AF265" s="429">
        <v>74195</v>
      </c>
      <c r="AG265" s="429">
        <v>82486</v>
      </c>
      <c r="AH265" s="429">
        <v>64110</v>
      </c>
      <c r="AI265" s="429">
        <v>92307</v>
      </c>
      <c r="AJ265" s="429">
        <v>64742</v>
      </c>
      <c r="AK265" s="429">
        <v>93380</v>
      </c>
      <c r="AL265" s="429">
        <v>84599</v>
      </c>
      <c r="AM265" s="429">
        <v>53097</v>
      </c>
      <c r="AN265" s="429">
        <v>52697</v>
      </c>
      <c r="AO265" s="429">
        <v>75952</v>
      </c>
      <c r="AP265" s="429">
        <v>52676</v>
      </c>
      <c r="AQ265" s="429">
        <v>70100</v>
      </c>
      <c r="AR265" s="219">
        <f t="shared" si="207"/>
        <v>1182991</v>
      </c>
      <c r="AS265" s="220">
        <f t="shared" si="208"/>
        <v>7.8089366377731659</v>
      </c>
      <c r="AT265" s="472">
        <f t="shared" si="209"/>
        <v>8.1052679217958001</v>
      </c>
      <c r="AU265" s="472" t="str">
        <f t="shared" si="210"/>
        <v>-</v>
      </c>
      <c r="AV265" s="472" t="str">
        <f t="shared" si="211"/>
        <v>-</v>
      </c>
      <c r="AW265" s="472">
        <f t="shared" si="212"/>
        <v>10.660201149425287</v>
      </c>
      <c r="AX265" s="472">
        <f t="shared" si="213"/>
        <v>8.6900547829751371</v>
      </c>
      <c r="AY265" s="472">
        <f t="shared" si="194"/>
        <v>12.36212880833012</v>
      </c>
      <c r="AZ265" s="472">
        <f t="shared" si="202"/>
        <v>12.116959831976898</v>
      </c>
      <c r="BA265" s="472" t="str">
        <f t="shared" si="203"/>
        <v>-</v>
      </c>
      <c r="BB265" s="472" t="str">
        <f t="shared" si="195"/>
        <v>-</v>
      </c>
      <c r="BC265" s="472" t="str">
        <f t="shared" si="196"/>
        <v>-</v>
      </c>
      <c r="BD265" s="472" t="str">
        <f t="shared" si="197"/>
        <v>-</v>
      </c>
      <c r="BE265" s="472" t="str">
        <f t="shared" si="198"/>
        <v>-</v>
      </c>
      <c r="BF265" s="472" t="str">
        <f t="shared" si="199"/>
        <v>-</v>
      </c>
      <c r="BG265" s="472" t="str">
        <f t="shared" si="200"/>
        <v>-</v>
      </c>
      <c r="BH265" s="472" t="str">
        <f t="shared" si="201"/>
        <v>-</v>
      </c>
      <c r="BI265" s="221">
        <f t="shared" si="214"/>
        <v>24.394081864109701</v>
      </c>
      <c r="BJ265" s="692">
        <f>SUM('MAE - Audience Level Data'!O27,'MAE - Audience Level Data'!P27)</f>
        <v>168033</v>
      </c>
      <c r="BK265" s="692">
        <f>SUM('MAE - Audience Level Data'!M27,'MAE - Audience Level Data'!N27,'MAE - Audience Level Data'!Q27,'MAE - Audience Level Data'!R27)</f>
        <v>326841</v>
      </c>
      <c r="BL265" s="429">
        <v>60539</v>
      </c>
      <c r="BM265" s="429">
        <v>88015</v>
      </c>
      <c r="BN265" s="214">
        <f t="shared" si="215"/>
        <v>643428</v>
      </c>
      <c r="BO265" s="742">
        <f>SUM('MAE - Audience Level Data'!U27:V27)</f>
        <v>148896</v>
      </c>
      <c r="BP265" s="742">
        <f>SUM('MAE - Audience Level Data'!S27:T27,'MAE - Audience Level Data'!W27:X27)</f>
        <v>263903</v>
      </c>
      <c r="BQ265" s="429">
        <v>85879</v>
      </c>
      <c r="BR265" s="429">
        <v>98559</v>
      </c>
      <c r="BS265" s="228">
        <f t="shared" si="216"/>
        <v>597237</v>
      </c>
      <c r="BT265" s="407">
        <f t="shared" ref="BT265:BT296" si="220">IFERROR(BO265/BJ265,"-")</f>
        <v>0.88611165663887448</v>
      </c>
      <c r="BU265" s="529">
        <f t="shared" si="186"/>
        <v>0.80743541966889099</v>
      </c>
      <c r="BV265" s="529">
        <f t="shared" si="188"/>
        <v>1.4185731511917936</v>
      </c>
      <c r="BW265" s="529">
        <f t="shared" si="189"/>
        <v>1.1197977617451571</v>
      </c>
      <c r="BX265" s="221">
        <f t="shared" si="190"/>
        <v>0.9282110818926127</v>
      </c>
      <c r="BY265" s="730">
        <f>SUM('MAE - Audience Level Data'!I27:J27)</f>
        <v>162711</v>
      </c>
      <c r="BZ265" s="692">
        <f>SUM('MAE - Audience Level Data'!G27:H27,'MAE - Audience Level Data'!K27:L27)</f>
        <v>278808</v>
      </c>
      <c r="CA265" s="693">
        <f t="shared" si="192"/>
        <v>441519</v>
      </c>
      <c r="CB265" s="407">
        <f t="shared" si="191"/>
        <v>0.91509486144145136</v>
      </c>
      <c r="CC265" s="529">
        <f t="shared" si="217"/>
        <v>0.94654027144127861</v>
      </c>
      <c r="CD265" s="221">
        <f t="shared" si="187"/>
        <v>1.3526869738335157</v>
      </c>
    </row>
    <row r="266" spans="1:82" ht="17.100000000000001" customHeight="1">
      <c r="A266" s="175">
        <f t="shared" si="204"/>
        <v>2025</v>
      </c>
      <c r="B266" s="454" t="str">
        <f t="shared" si="205"/>
        <v>53</v>
      </c>
      <c r="C266" s="454" t="str">
        <f t="array" ref="C266">_xlfn.IFS(_xlfn.NUMBERVALUE(B266)&lt;=13,"Q1",AND(_xlfn.NUMBERVALUE(B266)&gt;13,_xlfn.NUMBERVALUE(B266)&lt;=26),"Q2", AND(_xlfn.NUMBERVALUE(B266)&gt;26,_xlfn.NUMBERVALUE(B266)&lt;=39),"Q3",_xlfn.NUMBERVALUE(B266)&gt;39,"Q4")</f>
        <v>Q4</v>
      </c>
      <c r="D266" s="448">
        <f t="shared" si="218"/>
        <v>45682</v>
      </c>
      <c r="E266" s="448">
        <f t="shared" si="206"/>
        <v>45688</v>
      </c>
      <c r="F266" s="97">
        <v>202453</v>
      </c>
      <c r="G266" s="429">
        <v>6495</v>
      </c>
      <c r="H266" s="429">
        <v>9238</v>
      </c>
      <c r="I266" s="429"/>
      <c r="J266" s="429"/>
      <c r="K266" s="429">
        <v>7788</v>
      </c>
      <c r="L266" s="429">
        <v>8029</v>
      </c>
      <c r="M266" s="429"/>
      <c r="N266" s="429"/>
      <c r="O266" s="429">
        <v>5464</v>
      </c>
      <c r="P266" s="429">
        <v>5290</v>
      </c>
      <c r="Q266" s="429"/>
      <c r="R266" s="429"/>
      <c r="S266" s="429"/>
      <c r="T266" s="429"/>
      <c r="U266" s="429"/>
      <c r="V266" s="429"/>
      <c r="W266" s="429"/>
      <c r="X266" s="429"/>
      <c r="Y266" s="449">
        <f t="shared" si="193"/>
        <v>12691.199999999997</v>
      </c>
      <c r="Z266" s="449">
        <f t="shared" si="219"/>
        <v>42304</v>
      </c>
      <c r="AA266" s="214">
        <f>'Overall Metrics'!N267</f>
        <v>54995.199999999997</v>
      </c>
      <c r="AB266" s="429">
        <v>70802</v>
      </c>
      <c r="AC266" s="429">
        <v>54545</v>
      </c>
      <c r="AD266" s="429">
        <v>97325</v>
      </c>
      <c r="AE266" s="429">
        <v>62305</v>
      </c>
      <c r="AF266" s="429">
        <v>62397</v>
      </c>
      <c r="AG266" s="429">
        <v>89733</v>
      </c>
      <c r="AH266" s="429">
        <v>96710</v>
      </c>
      <c r="AI266" s="429">
        <v>65568</v>
      </c>
      <c r="AJ266" s="429">
        <v>62206</v>
      </c>
      <c r="AK266" s="429">
        <v>82485</v>
      </c>
      <c r="AL266" s="429">
        <v>93618</v>
      </c>
      <c r="AM266" s="429">
        <v>56679</v>
      </c>
      <c r="AN266" s="429">
        <v>96033</v>
      </c>
      <c r="AO266" s="429">
        <v>68672</v>
      </c>
      <c r="AP266" s="429">
        <v>54993</v>
      </c>
      <c r="AQ266" s="429">
        <v>86859</v>
      </c>
      <c r="AR266" s="219">
        <f t="shared" si="207"/>
        <v>1200930</v>
      </c>
      <c r="AS266" s="220">
        <f t="shared" si="208"/>
        <v>10.901000769822941</v>
      </c>
      <c r="AT266" s="472">
        <f t="shared" si="209"/>
        <v>5.9044165403767046</v>
      </c>
      <c r="AU266" s="472" t="str">
        <f t="shared" si="210"/>
        <v>-</v>
      </c>
      <c r="AV266" s="472" t="str">
        <f t="shared" si="211"/>
        <v>-</v>
      </c>
      <c r="AW266" s="472">
        <f t="shared" si="212"/>
        <v>8.0119414483821263</v>
      </c>
      <c r="AX266" s="472">
        <f t="shared" si="213"/>
        <v>11.176111595466434</v>
      </c>
      <c r="AY266" s="472">
        <f t="shared" si="194"/>
        <v>17.699487554904831</v>
      </c>
      <c r="AZ266" s="472">
        <f t="shared" si="202"/>
        <v>12.394706994328923</v>
      </c>
      <c r="BA266" s="472" t="str">
        <f t="shared" si="203"/>
        <v>-</v>
      </c>
      <c r="BB266" s="472" t="str">
        <f t="shared" si="195"/>
        <v>-</v>
      </c>
      <c r="BC266" s="472" t="str">
        <f t="shared" si="196"/>
        <v>-</v>
      </c>
      <c r="BD266" s="472" t="str">
        <f t="shared" si="197"/>
        <v>-</v>
      </c>
      <c r="BE266" s="472" t="str">
        <f t="shared" si="198"/>
        <v>-</v>
      </c>
      <c r="BF266" s="472" t="str">
        <f t="shared" si="199"/>
        <v>-</v>
      </c>
      <c r="BG266" s="472" t="str">
        <f t="shared" si="200"/>
        <v>-</v>
      </c>
      <c r="BH266" s="472" t="str">
        <f t="shared" si="201"/>
        <v>-</v>
      </c>
      <c r="BI266" s="221">
        <f t="shared" si="214"/>
        <v>28.388095688350983</v>
      </c>
      <c r="BJ266" s="692">
        <f>SUM('MAE - Audience Level Data'!O28,'MAE - Audience Level Data'!P28)</f>
        <v>133609</v>
      </c>
      <c r="BK266" s="692">
        <f>SUM('MAE - Audience Level Data'!M28,'MAE - Audience Level Data'!N28,'MAE - Audience Level Data'!Q28,'MAE - Audience Level Data'!R28)</f>
        <v>303291</v>
      </c>
      <c r="BL266" s="429">
        <v>66586</v>
      </c>
      <c r="BM266" s="429">
        <v>52125</v>
      </c>
      <c r="BN266" s="214">
        <f t="shared" si="215"/>
        <v>555611</v>
      </c>
      <c r="BO266" s="742">
        <f>SUM('MAE - Audience Level Data'!U28:V28)</f>
        <v>142074</v>
      </c>
      <c r="BP266" s="742">
        <f>SUM('MAE - Audience Level Data'!S28:T28,'MAE - Audience Level Data'!W28:X28)</f>
        <v>375787</v>
      </c>
      <c r="BQ266" s="429">
        <v>65842</v>
      </c>
      <c r="BR266" s="429">
        <v>87504</v>
      </c>
      <c r="BS266" s="228">
        <f t="shared" si="216"/>
        <v>671207</v>
      </c>
      <c r="BT266" s="407">
        <f t="shared" si="220"/>
        <v>1.0633565104147176</v>
      </c>
      <c r="BU266" s="529">
        <f t="shared" ref="BU266:BU297" si="221">IFERROR(BP266/BK266,"-")</f>
        <v>1.2390311614917686</v>
      </c>
      <c r="BV266" s="529">
        <f t="shared" si="188"/>
        <v>0.98882648004084939</v>
      </c>
      <c r="BW266" s="529">
        <f t="shared" si="189"/>
        <v>1.6787338129496403</v>
      </c>
      <c r="BX266" s="221">
        <f t="shared" si="190"/>
        <v>1.2080520364067666</v>
      </c>
      <c r="BY266" s="730">
        <f>SUM('MAE - Audience Level Data'!I28:J28)</f>
        <v>134310</v>
      </c>
      <c r="BZ266" s="692">
        <f>SUM('MAE - Audience Level Data'!G28:H28,'MAE - Audience Level Data'!K28:L28)</f>
        <v>265023</v>
      </c>
      <c r="CA266" s="693">
        <f t="shared" si="192"/>
        <v>399333</v>
      </c>
      <c r="CB266" s="407">
        <f t="shared" si="191"/>
        <v>1.0578065668974761</v>
      </c>
      <c r="CC266" s="529">
        <f t="shared" si="217"/>
        <v>1.4179410843587161</v>
      </c>
      <c r="CD266" s="221">
        <f t="shared" si="187"/>
        <v>1.6808202677965507</v>
      </c>
    </row>
    <row r="267" spans="1:82" ht="15.75" customHeight="1">
      <c r="A267" s="175">
        <f t="shared" si="204"/>
        <v>2026</v>
      </c>
      <c r="B267" s="454" t="str">
        <f t="shared" si="205"/>
        <v>01</v>
      </c>
      <c r="C267" s="454" t="str">
        <f t="array" ref="C267">_xlfn.IFS(_xlfn.NUMBERVALUE(B267)&lt;=13,"Q1",AND(_xlfn.NUMBERVALUE(B267)&gt;13,_xlfn.NUMBERVALUE(B267)&lt;=26),"Q2", AND(_xlfn.NUMBERVALUE(B267)&gt;26,_xlfn.NUMBERVALUE(B267)&lt;=39),"Q3",_xlfn.NUMBERVALUE(B267)&gt;39,"Q4")</f>
        <v>Q1</v>
      </c>
      <c r="D267" s="448">
        <f t="shared" si="218"/>
        <v>45689</v>
      </c>
      <c r="E267" s="448">
        <f t="shared" si="206"/>
        <v>45695</v>
      </c>
      <c r="F267" s="97">
        <v>202501</v>
      </c>
      <c r="G267" s="429">
        <v>7520</v>
      </c>
      <c r="H267" s="429">
        <v>11022</v>
      </c>
      <c r="I267" s="429"/>
      <c r="J267" s="429"/>
      <c r="K267" s="429">
        <v>7964</v>
      </c>
      <c r="L267" s="429">
        <v>7143</v>
      </c>
      <c r="M267" s="429"/>
      <c r="N267" s="429"/>
      <c r="O267" s="429">
        <v>6728</v>
      </c>
      <c r="P267" s="429">
        <v>9393</v>
      </c>
      <c r="Q267" s="429"/>
      <c r="R267" s="429"/>
      <c r="S267" s="429"/>
      <c r="T267" s="429"/>
      <c r="U267" s="429"/>
      <c r="V267" s="429"/>
      <c r="W267" s="429"/>
      <c r="X267" s="429"/>
      <c r="Y267" s="449">
        <f t="shared" si="193"/>
        <v>14931</v>
      </c>
      <c r="Z267" s="449">
        <f t="shared" si="219"/>
        <v>49770</v>
      </c>
      <c r="AA267" s="214">
        <f>'Overall Metrics'!N268</f>
        <v>64701</v>
      </c>
      <c r="AB267" s="429">
        <v>57904</v>
      </c>
      <c r="AC267" s="429">
        <v>63276</v>
      </c>
      <c r="AD267" s="429">
        <v>51879</v>
      </c>
      <c r="AE267" s="429">
        <v>79253</v>
      </c>
      <c r="AF267" s="429">
        <v>58338</v>
      </c>
      <c r="AG267" s="429">
        <v>72544</v>
      </c>
      <c r="AH267" s="429">
        <v>74712</v>
      </c>
      <c r="AI267" s="429">
        <v>56065</v>
      </c>
      <c r="AJ267" s="429">
        <v>95335</v>
      </c>
      <c r="AK267" s="429">
        <v>70622</v>
      </c>
      <c r="AL267" s="429">
        <v>71734</v>
      </c>
      <c r="AM267" s="429">
        <v>55909</v>
      </c>
      <c r="AN267" s="429">
        <v>97002</v>
      </c>
      <c r="AO267" s="429">
        <v>92897</v>
      </c>
      <c r="AP267" s="429">
        <v>63899</v>
      </c>
      <c r="AQ267" s="429">
        <v>62940</v>
      </c>
      <c r="AR267" s="230">
        <f t="shared" si="207"/>
        <v>1124309</v>
      </c>
      <c r="AS267" s="220">
        <f t="shared" si="208"/>
        <v>7.7</v>
      </c>
      <c r="AT267" s="472">
        <f t="shared" si="209"/>
        <v>5.7408818726183997</v>
      </c>
      <c r="AU267" s="472" t="str">
        <f t="shared" si="210"/>
        <v>-</v>
      </c>
      <c r="AV267" s="472" t="str">
        <f t="shared" si="211"/>
        <v>-</v>
      </c>
      <c r="AW267" s="472">
        <f t="shared" si="212"/>
        <v>7.3252134605725763</v>
      </c>
      <c r="AX267" s="472">
        <f t="shared" si="213"/>
        <v>10.155956880862382</v>
      </c>
      <c r="AY267" s="472">
        <f t="shared" si="194"/>
        <v>11.104637336504162</v>
      </c>
      <c r="AZ267" s="472">
        <f t="shared" si="202"/>
        <v>5.9688065580751619</v>
      </c>
      <c r="BA267" s="472" t="str">
        <f t="shared" si="203"/>
        <v>-</v>
      </c>
      <c r="BB267" s="472" t="str">
        <f t="shared" si="195"/>
        <v>-</v>
      </c>
      <c r="BC267" s="472" t="str">
        <f t="shared" si="196"/>
        <v>-</v>
      </c>
      <c r="BD267" s="472" t="str">
        <f t="shared" si="197"/>
        <v>-</v>
      </c>
      <c r="BE267" s="472" t="str">
        <f t="shared" si="198"/>
        <v>-</v>
      </c>
      <c r="BF267" s="472" t="str">
        <f t="shared" si="199"/>
        <v>-</v>
      </c>
      <c r="BG267" s="472" t="str">
        <f t="shared" si="200"/>
        <v>-</v>
      </c>
      <c r="BH267" s="472" t="str">
        <f t="shared" si="201"/>
        <v>-</v>
      </c>
      <c r="BI267" s="221">
        <f t="shared" si="214"/>
        <v>22.590094434398232</v>
      </c>
      <c r="BJ267" s="692">
        <f>SUM('MAE - Audience Level Data'!O29,'MAE - Audience Level Data'!P29)</f>
        <v>146850</v>
      </c>
      <c r="BK267" s="692">
        <f>SUM('MAE - Audience Level Data'!M29,'MAE - Audience Level Data'!N29,'MAE - Audience Level Data'!Q29,'MAE - Audience Level Data'!R29)</f>
        <v>310644</v>
      </c>
      <c r="BL267" s="429">
        <v>63925</v>
      </c>
      <c r="BM267" s="429">
        <v>88443</v>
      </c>
      <c r="BN267" s="214">
        <f t="shared" si="215"/>
        <v>609862</v>
      </c>
      <c r="BO267" s="742">
        <f>SUM('MAE - Audience Level Data'!U29:V29)</f>
        <v>175367</v>
      </c>
      <c r="BP267" s="742">
        <f>SUM('MAE - Audience Level Data'!S29:T29,'MAE - Audience Level Data'!W29:X29)</f>
        <v>357464</v>
      </c>
      <c r="BQ267" s="429">
        <v>55429</v>
      </c>
      <c r="BR267" s="429">
        <v>90541</v>
      </c>
      <c r="BS267" s="820">
        <f t="shared" si="216"/>
        <v>678801</v>
      </c>
      <c r="BT267" s="407">
        <f t="shared" si="220"/>
        <v>1.1941913517194416</v>
      </c>
      <c r="BU267" s="529">
        <f t="shared" si="221"/>
        <v>1.1507191511827044</v>
      </c>
      <c r="BV267" s="529">
        <f t="shared" si="188"/>
        <v>0.86709425107547911</v>
      </c>
      <c r="BW267" s="529">
        <f t="shared" si="189"/>
        <v>1.0237214929389551</v>
      </c>
      <c r="BX267" s="221">
        <f t="shared" si="190"/>
        <v>1.1130403271559794</v>
      </c>
      <c r="BY267" s="730">
        <f>SUM('MAE - Audience Level Data'!I29:J29)</f>
        <v>170335</v>
      </c>
      <c r="BZ267" s="692">
        <f>SUM('MAE - Audience Level Data'!G29:H29,'MAE - Audience Level Data'!K29:L29)</f>
        <v>266769</v>
      </c>
      <c r="CA267" s="693">
        <f t="shared" si="192"/>
        <v>437104</v>
      </c>
      <c r="CB267" s="407">
        <f t="shared" si="191"/>
        <v>1.0295417853054276</v>
      </c>
      <c r="CC267" s="529">
        <f t="shared" si="217"/>
        <v>1.3399757842927777</v>
      </c>
      <c r="CD267" s="221">
        <f t="shared" si="187"/>
        <v>1.5529507851678319</v>
      </c>
    </row>
    <row r="268" spans="1:82" ht="15.75" customHeight="1">
      <c r="A268" s="175">
        <f t="shared" si="204"/>
        <v>2026</v>
      </c>
      <c r="B268" s="454" t="str">
        <f t="shared" si="205"/>
        <v>02</v>
      </c>
      <c r="C268" s="454" t="str">
        <f t="array" ref="C268">_xlfn.IFS(_xlfn.NUMBERVALUE(B268)&lt;=13,"Q1",AND(_xlfn.NUMBERVALUE(B268)&gt;13,_xlfn.NUMBERVALUE(B268)&lt;=26),"Q2", AND(_xlfn.NUMBERVALUE(B268)&gt;26,_xlfn.NUMBERVALUE(B268)&lt;=39),"Q3",_xlfn.NUMBERVALUE(B268)&gt;39,"Q4")</f>
        <v>Q1</v>
      </c>
      <c r="D268" s="448">
        <f t="shared" si="218"/>
        <v>45696</v>
      </c>
      <c r="E268" s="448">
        <f t="shared" si="206"/>
        <v>45702</v>
      </c>
      <c r="F268" s="97">
        <v>202502</v>
      </c>
      <c r="G268" s="429">
        <v>13377</v>
      </c>
      <c r="H268" s="429">
        <v>8709</v>
      </c>
      <c r="I268" s="429"/>
      <c r="J268" s="429"/>
      <c r="K268" s="429">
        <v>7572</v>
      </c>
      <c r="L268" s="429">
        <v>7262</v>
      </c>
      <c r="M268" s="429"/>
      <c r="N268" s="429"/>
      <c r="O268" s="429">
        <v>7961</v>
      </c>
      <c r="P268" s="429">
        <v>5048</v>
      </c>
      <c r="Q268" s="429"/>
      <c r="R268" s="429"/>
      <c r="S268" s="429"/>
      <c r="T268" s="429"/>
      <c r="U268" s="429"/>
      <c r="V268" s="429"/>
      <c r="W268" s="429"/>
      <c r="X268" s="429"/>
      <c r="Y268" s="449">
        <f t="shared" si="193"/>
        <v>14978.699999999997</v>
      </c>
      <c r="Z268" s="449">
        <f t="shared" si="219"/>
        <v>49929</v>
      </c>
      <c r="AA268" s="214">
        <f>'Overall Metrics'!N269</f>
        <v>64907.7</v>
      </c>
      <c r="AB268" s="429">
        <v>71361</v>
      </c>
      <c r="AC268" s="429">
        <v>69041</v>
      </c>
      <c r="AD268" s="429">
        <v>77164</v>
      </c>
      <c r="AE268" s="429">
        <v>60686</v>
      </c>
      <c r="AF268" s="429">
        <v>87987</v>
      </c>
      <c r="AG268" s="429">
        <v>54647</v>
      </c>
      <c r="AH268" s="429">
        <v>82889</v>
      </c>
      <c r="AI268" s="429">
        <v>73001</v>
      </c>
      <c r="AJ268" s="429">
        <v>51815</v>
      </c>
      <c r="AK268" s="429">
        <v>77177</v>
      </c>
      <c r="AL268" s="429">
        <v>61776</v>
      </c>
      <c r="AM268" s="429">
        <v>54894</v>
      </c>
      <c r="AN268" s="429">
        <v>91304</v>
      </c>
      <c r="AO268" s="429">
        <v>85704</v>
      </c>
      <c r="AP268" s="429">
        <v>95966</v>
      </c>
      <c r="AQ268" s="429">
        <v>78147</v>
      </c>
      <c r="AR268" s="219">
        <f t="shared" si="207"/>
        <v>1173559</v>
      </c>
      <c r="AS268" s="220">
        <f t="shared" si="208"/>
        <v>5.3346041713388654</v>
      </c>
      <c r="AT268" s="472">
        <f t="shared" si="209"/>
        <v>7.9275462165575838</v>
      </c>
      <c r="AU268" s="472" t="str">
        <f t="shared" si="210"/>
        <v>-</v>
      </c>
      <c r="AV268" s="472" t="str">
        <f t="shared" si="211"/>
        <v>-</v>
      </c>
      <c r="AW268" s="472">
        <f t="shared" si="212"/>
        <v>11.620047543581617</v>
      </c>
      <c r="AX268" s="472">
        <f t="shared" si="213"/>
        <v>7.5250619664004406</v>
      </c>
      <c r="AY268" s="472">
        <f t="shared" si="194"/>
        <v>10.411882929280241</v>
      </c>
      <c r="AZ268" s="472">
        <f t="shared" si="202"/>
        <v>14.461370839936608</v>
      </c>
      <c r="BA268" s="472" t="str">
        <f t="shared" si="203"/>
        <v>-</v>
      </c>
      <c r="BB268" s="472" t="str">
        <f t="shared" si="195"/>
        <v>-</v>
      </c>
      <c r="BC268" s="472" t="str">
        <f t="shared" si="196"/>
        <v>-</v>
      </c>
      <c r="BD268" s="472" t="str">
        <f t="shared" si="197"/>
        <v>-</v>
      </c>
      <c r="BE268" s="472" t="str">
        <f t="shared" si="198"/>
        <v>-</v>
      </c>
      <c r="BF268" s="472" t="str">
        <f t="shared" si="199"/>
        <v>-</v>
      </c>
      <c r="BG268" s="472" t="str">
        <f t="shared" si="200"/>
        <v>-</v>
      </c>
      <c r="BH268" s="472" t="str">
        <f t="shared" si="201"/>
        <v>-</v>
      </c>
      <c r="BI268" s="221">
        <f t="shared" si="214"/>
        <v>23.504556470187666</v>
      </c>
      <c r="BJ268" s="692">
        <f>SUM('MAE - Audience Level Data'!O30,'MAE - Audience Level Data'!P30)</f>
        <v>158338</v>
      </c>
      <c r="BK268" s="692">
        <f>SUM('MAE - Audience Level Data'!M30,'MAE - Audience Level Data'!N30,'MAE - Audience Level Data'!Q30,'MAE - Audience Level Data'!R30)</f>
        <v>277770</v>
      </c>
      <c r="BL268" s="429">
        <v>94756</v>
      </c>
      <c r="BM268" s="429">
        <v>63257</v>
      </c>
      <c r="BN268" s="214">
        <f t="shared" si="215"/>
        <v>594121</v>
      </c>
      <c r="BO268" s="742">
        <f>SUM('MAE - Audience Level Data'!U30:V30)</f>
        <v>179678</v>
      </c>
      <c r="BP268" s="742">
        <f>SUM('MAE - Audience Level Data'!S30:S30,'MAE - Audience Level Data'!W30:X30)</f>
        <v>173342</v>
      </c>
      <c r="BQ268" s="429">
        <v>78707</v>
      </c>
      <c r="BR268" s="429">
        <v>59601</v>
      </c>
      <c r="BS268" s="228">
        <f t="shared" si="216"/>
        <v>491328</v>
      </c>
      <c r="BT268" s="407">
        <f t="shared" si="220"/>
        <v>1.1347749750533669</v>
      </c>
      <c r="BU268" s="529">
        <f t="shared" si="221"/>
        <v>0.62404867336285419</v>
      </c>
      <c r="BV268" s="529">
        <f t="shared" si="188"/>
        <v>0.83062813964287219</v>
      </c>
      <c r="BW268" s="529">
        <f t="shared" si="189"/>
        <v>0.94220402485100463</v>
      </c>
      <c r="BX268" s="221">
        <f t="shared" si="190"/>
        <v>0.82698305564018104</v>
      </c>
      <c r="BY268" s="730">
        <f>SUM('MAE - Audience Level Data'!I30:J30)</f>
        <v>161288</v>
      </c>
      <c r="BZ268" s="692">
        <f>SUM('MAE - Audience Level Data'!G30:H30,'MAE - Audience Level Data'!K30:L30)</f>
        <v>324430</v>
      </c>
      <c r="CA268" s="693">
        <f t="shared" si="192"/>
        <v>485718</v>
      </c>
      <c r="CB268" s="407">
        <f t="shared" si="191"/>
        <v>1.1140196418828432</v>
      </c>
      <c r="CC268" s="529">
        <f t="shared" si="217"/>
        <v>0.53429707486977163</v>
      </c>
      <c r="CD268" s="221">
        <f t="shared" si="187"/>
        <v>1.011549911677146</v>
      </c>
    </row>
    <row r="269" spans="1:82" ht="15.75" customHeight="1">
      <c r="A269" s="175">
        <f t="shared" si="204"/>
        <v>2026</v>
      </c>
      <c r="B269" s="454" t="str">
        <f t="shared" si="205"/>
        <v>03</v>
      </c>
      <c r="C269" s="454" t="str">
        <f t="array" ref="C269">_xlfn.IFS(_xlfn.NUMBERVALUE(B269)&lt;=13,"Q1",AND(_xlfn.NUMBERVALUE(B269)&gt;13,_xlfn.NUMBERVALUE(B269)&lt;=26),"Q2", AND(_xlfn.NUMBERVALUE(B269)&gt;26,_xlfn.NUMBERVALUE(B269)&lt;=39),"Q3",_xlfn.NUMBERVALUE(B269)&gt;39,"Q4")</f>
        <v>Q1</v>
      </c>
      <c r="D269" s="448">
        <f t="shared" si="218"/>
        <v>45703</v>
      </c>
      <c r="E269" s="448">
        <f t="shared" si="206"/>
        <v>45709</v>
      </c>
      <c r="F269" s="97">
        <v>202503</v>
      </c>
      <c r="G269" s="429">
        <v>10159</v>
      </c>
      <c r="H269" s="429">
        <v>10046</v>
      </c>
      <c r="I269" s="429"/>
      <c r="J269" s="429"/>
      <c r="K269" s="429">
        <v>5350</v>
      </c>
      <c r="L269" s="429">
        <v>7716</v>
      </c>
      <c r="M269" s="429"/>
      <c r="N269" s="429"/>
      <c r="O269" s="429">
        <v>9673</v>
      </c>
      <c r="P269" s="429">
        <v>7000</v>
      </c>
      <c r="Q269" s="429"/>
      <c r="R269" s="429"/>
      <c r="S269" s="429"/>
      <c r="T269" s="429"/>
      <c r="U269" s="429"/>
      <c r="V269" s="429"/>
      <c r="W269" s="429"/>
      <c r="X269" s="429"/>
      <c r="Y269" s="449">
        <f t="shared" si="193"/>
        <v>14983.200000000004</v>
      </c>
      <c r="Z269" s="449">
        <f t="shared" si="219"/>
        <v>49944</v>
      </c>
      <c r="AA269" s="214">
        <f>'Overall Metrics'!N270</f>
        <v>64927.200000000004</v>
      </c>
      <c r="AB269" s="429">
        <v>55199</v>
      </c>
      <c r="AC269" s="429">
        <v>69624</v>
      </c>
      <c r="AD269" s="429">
        <v>60730</v>
      </c>
      <c r="AE269" s="429">
        <v>74708</v>
      </c>
      <c r="AF269" s="429">
        <v>74695</v>
      </c>
      <c r="AG269" s="429">
        <v>60363</v>
      </c>
      <c r="AH269" s="429">
        <v>64615</v>
      </c>
      <c r="AI269" s="429">
        <v>91616</v>
      </c>
      <c r="AJ269" s="429">
        <v>75588</v>
      </c>
      <c r="AK269" s="429">
        <v>79011</v>
      </c>
      <c r="AL269" s="429">
        <v>77271</v>
      </c>
      <c r="AM269" s="429">
        <v>57589</v>
      </c>
      <c r="AN269" s="429">
        <v>87589</v>
      </c>
      <c r="AO269" s="429">
        <v>62279</v>
      </c>
      <c r="AP269" s="429">
        <v>89908</v>
      </c>
      <c r="AQ269" s="429">
        <v>88312</v>
      </c>
      <c r="AR269" s="219">
        <f t="shared" si="207"/>
        <v>1169097</v>
      </c>
      <c r="AS269" s="220">
        <f t="shared" si="208"/>
        <v>5.433507234964071</v>
      </c>
      <c r="AT269" s="472">
        <f t="shared" si="209"/>
        <v>6.9305196097949429</v>
      </c>
      <c r="AU269" s="472" t="str">
        <f t="shared" si="210"/>
        <v>-</v>
      </c>
      <c r="AV269" s="472" t="str">
        <f t="shared" si="211"/>
        <v>-</v>
      </c>
      <c r="AW269" s="472">
        <f t="shared" si="212"/>
        <v>13.961682242990655</v>
      </c>
      <c r="AX269" s="472">
        <f t="shared" si="213"/>
        <v>7.8230948678071544</v>
      </c>
      <c r="AY269" s="472">
        <f t="shared" si="194"/>
        <v>6.6799338364519798</v>
      </c>
      <c r="AZ269" s="472">
        <f t="shared" si="202"/>
        <v>13.087999999999999</v>
      </c>
      <c r="BA269" s="472" t="str">
        <f t="shared" si="203"/>
        <v>-</v>
      </c>
      <c r="BB269" s="472" t="str">
        <f t="shared" si="195"/>
        <v>-</v>
      </c>
      <c r="BC269" s="472" t="str">
        <f t="shared" si="196"/>
        <v>-</v>
      </c>
      <c r="BD269" s="472" t="str">
        <f t="shared" si="197"/>
        <v>-</v>
      </c>
      <c r="BE269" s="472" t="str">
        <f t="shared" si="198"/>
        <v>-</v>
      </c>
      <c r="BF269" s="472" t="str">
        <f t="shared" si="199"/>
        <v>-</v>
      </c>
      <c r="BG269" s="472" t="str">
        <f t="shared" si="200"/>
        <v>-</v>
      </c>
      <c r="BH269" s="472" t="str">
        <f t="shared" si="201"/>
        <v>-</v>
      </c>
      <c r="BI269" s="221">
        <f t="shared" si="214"/>
        <v>23.408157135992312</v>
      </c>
      <c r="BJ269" s="692">
        <f>SUM('MAE - Audience Level Data'!O31,'MAE - Audience Level Data'!P31)</f>
        <v>119173</v>
      </c>
      <c r="BK269" s="692">
        <f>SUM('MAE - Audience Level Data'!M31,'MAE - Audience Level Data'!N31,'MAE - Audience Level Data'!Q31,'MAE - Audience Level Data'!R31)</f>
        <v>312241</v>
      </c>
      <c r="BL269" s="429">
        <v>84550</v>
      </c>
      <c r="BM269" s="429">
        <v>75993</v>
      </c>
      <c r="BN269" s="214">
        <f t="shared" si="215"/>
        <v>591957</v>
      </c>
      <c r="BO269" s="742">
        <f>SUM('MAE - Audience Level Data'!U31:V31)</f>
        <v>123620</v>
      </c>
      <c r="BP269" s="742">
        <f>SUM('MAE - Audience Level Data'!S31:T31,'MAE - Audience Level Data'!W31:X31)</f>
        <v>311262</v>
      </c>
      <c r="BQ269" s="429">
        <v>99995</v>
      </c>
      <c r="BR269" s="429">
        <v>69850</v>
      </c>
      <c r="BS269" s="228">
        <f t="shared" si="216"/>
        <v>604727</v>
      </c>
      <c r="BT269" s="407">
        <f t="shared" si="220"/>
        <v>1.0373154993161202</v>
      </c>
      <c r="BU269" s="529">
        <f t="shared" si="221"/>
        <v>0.99686460138162514</v>
      </c>
      <c r="BV269" s="529">
        <f t="shared" si="188"/>
        <v>1.1826729745712596</v>
      </c>
      <c r="BW269" s="529">
        <f t="shared" si="189"/>
        <v>0.91916360717434498</v>
      </c>
      <c r="BX269" s="221">
        <f t="shared" si="190"/>
        <v>1.0215725128683333</v>
      </c>
      <c r="BY269" s="730">
        <f>SUM('MAE - Audience Level Data'!I31:J31)</f>
        <v>171588</v>
      </c>
      <c r="BZ269" s="692">
        <f>SUM('MAE - Audience Level Data'!G31:H31,'MAE - Audience Level Data'!K31:L31)</f>
        <v>265771</v>
      </c>
      <c r="CA269" s="693">
        <f t="shared" si="192"/>
        <v>437359</v>
      </c>
      <c r="CB269" s="407">
        <f t="shared" si="191"/>
        <v>0.7204466512809754</v>
      </c>
      <c r="CC269" s="529">
        <f t="shared" si="217"/>
        <v>1.1711661543208252</v>
      </c>
      <c r="CD269" s="221">
        <f t="shared" si="187"/>
        <v>1.3826787604690882</v>
      </c>
    </row>
    <row r="270" spans="1:82" ht="15.75" customHeight="1">
      <c r="A270" s="175">
        <f t="shared" si="204"/>
        <v>2026</v>
      </c>
      <c r="B270" s="454" t="str">
        <f t="shared" si="205"/>
        <v>04</v>
      </c>
      <c r="C270" s="454" t="str">
        <f t="array" ref="C270">_xlfn.IFS(_xlfn.NUMBERVALUE(B270)&lt;=13,"Q1",AND(_xlfn.NUMBERVALUE(B270)&gt;13,_xlfn.NUMBERVALUE(B270)&lt;=26),"Q2", AND(_xlfn.NUMBERVALUE(B270)&gt;26,_xlfn.NUMBERVALUE(B270)&lt;=39),"Q3",_xlfn.NUMBERVALUE(B270)&gt;39,"Q4")</f>
        <v>Q1</v>
      </c>
      <c r="D270" s="448">
        <f t="shared" si="218"/>
        <v>45710</v>
      </c>
      <c r="E270" s="448">
        <f t="shared" si="206"/>
        <v>45716</v>
      </c>
      <c r="F270" s="97">
        <v>202504</v>
      </c>
      <c r="G270" s="429">
        <v>10111</v>
      </c>
      <c r="H270" s="429">
        <v>14175</v>
      </c>
      <c r="I270" s="429"/>
      <c r="J270" s="429"/>
      <c r="K270" s="429">
        <v>9365</v>
      </c>
      <c r="L270" s="429">
        <v>6909</v>
      </c>
      <c r="M270" s="429"/>
      <c r="N270" s="429"/>
      <c r="O270" s="429">
        <v>6492</v>
      </c>
      <c r="P270" s="429">
        <v>5013</v>
      </c>
      <c r="Q270" s="429"/>
      <c r="R270" s="429"/>
      <c r="S270" s="429"/>
      <c r="T270" s="429"/>
      <c r="U270" s="429"/>
      <c r="V270" s="429"/>
      <c r="W270" s="429"/>
      <c r="X270" s="429"/>
      <c r="Y270" s="449">
        <f t="shared" si="193"/>
        <v>15619.5</v>
      </c>
      <c r="Z270" s="449">
        <f t="shared" si="219"/>
        <v>52065</v>
      </c>
      <c r="AA270" s="214">
        <f>'Overall Metrics'!N271</f>
        <v>67684.5</v>
      </c>
      <c r="AB270" s="429">
        <v>91647</v>
      </c>
      <c r="AC270" s="429">
        <v>53992</v>
      </c>
      <c r="AD270" s="429">
        <v>92849</v>
      </c>
      <c r="AE270" s="429">
        <v>64490</v>
      </c>
      <c r="AF270" s="429">
        <v>80033</v>
      </c>
      <c r="AG270" s="429">
        <v>75902</v>
      </c>
      <c r="AH270" s="429">
        <v>80287</v>
      </c>
      <c r="AI270" s="429">
        <v>78317</v>
      </c>
      <c r="AJ270" s="429">
        <v>75667</v>
      </c>
      <c r="AK270" s="429">
        <v>64595</v>
      </c>
      <c r="AL270" s="429">
        <v>92155</v>
      </c>
      <c r="AM270" s="429">
        <v>98655</v>
      </c>
      <c r="AN270" s="429">
        <v>70289</v>
      </c>
      <c r="AO270" s="429">
        <v>82613</v>
      </c>
      <c r="AP270" s="429">
        <v>95462</v>
      </c>
      <c r="AQ270" s="429">
        <v>82179</v>
      </c>
      <c r="AR270" s="219">
        <f t="shared" si="207"/>
        <v>1279132</v>
      </c>
      <c r="AS270" s="220">
        <f t="shared" si="208"/>
        <v>9.064088616358422</v>
      </c>
      <c r="AT270" s="472">
        <f t="shared" si="209"/>
        <v>3.8089594356261025</v>
      </c>
      <c r="AU270" s="472" t="str">
        <f t="shared" si="210"/>
        <v>-</v>
      </c>
      <c r="AV270" s="472" t="str">
        <f t="shared" si="211"/>
        <v>-</v>
      </c>
      <c r="AW270" s="472">
        <f t="shared" si="212"/>
        <v>8.5459690336358776</v>
      </c>
      <c r="AX270" s="472">
        <f t="shared" si="213"/>
        <v>10.985960341583441</v>
      </c>
      <c r="AY270" s="472">
        <f t="shared" si="194"/>
        <v>12.367067159581023</v>
      </c>
      <c r="AZ270" s="472">
        <f t="shared" si="202"/>
        <v>15.622780769998005</v>
      </c>
      <c r="BA270" s="472" t="str">
        <f t="shared" si="203"/>
        <v>-</v>
      </c>
      <c r="BB270" s="472" t="str">
        <f t="shared" si="195"/>
        <v>-</v>
      </c>
      <c r="BC270" s="472" t="str">
        <f t="shared" si="196"/>
        <v>-</v>
      </c>
      <c r="BD270" s="472" t="str">
        <f t="shared" si="197"/>
        <v>-</v>
      </c>
      <c r="BE270" s="472" t="str">
        <f t="shared" si="198"/>
        <v>-</v>
      </c>
      <c r="BF270" s="472" t="str">
        <f t="shared" si="199"/>
        <v>-</v>
      </c>
      <c r="BG270" s="472" t="str">
        <f t="shared" si="200"/>
        <v>-</v>
      </c>
      <c r="BH270" s="472" t="str">
        <f t="shared" si="201"/>
        <v>-</v>
      </c>
      <c r="BI270" s="221">
        <f t="shared" si="214"/>
        <v>24.567982329780083</v>
      </c>
      <c r="BJ270" s="692">
        <f>SUM('MAE - Audience Level Data'!O32,'MAE - Audience Level Data'!P32)</f>
        <v>144507</v>
      </c>
      <c r="BK270" s="692">
        <f>SUM('MAE - Audience Level Data'!M32,'MAE - Audience Level Data'!N32,'MAE - Audience Level Data'!Q32,'MAE - Audience Level Data'!R32)</f>
        <v>301252</v>
      </c>
      <c r="BL270" s="429">
        <v>52252</v>
      </c>
      <c r="BM270" s="429">
        <v>58818</v>
      </c>
      <c r="BN270" s="214">
        <f t="shared" si="215"/>
        <v>556829</v>
      </c>
      <c r="BO270" s="742">
        <f>SUM('MAE - Audience Level Data'!U32:V32)</f>
        <v>192845</v>
      </c>
      <c r="BP270" s="742">
        <f>SUM('MAE - Audience Level Data'!S32:T32,'MAE - Audience Level Data'!W32:X32)</f>
        <v>282616</v>
      </c>
      <c r="BQ270" s="429">
        <v>64062</v>
      </c>
      <c r="BR270" s="429">
        <v>71840</v>
      </c>
      <c r="BS270" s="228">
        <f t="shared" si="216"/>
        <v>611363</v>
      </c>
      <c r="BT270" s="407">
        <f t="shared" si="220"/>
        <v>1.3345028268526784</v>
      </c>
      <c r="BU270" s="529">
        <f t="shared" si="221"/>
        <v>0.93813817003704536</v>
      </c>
      <c r="BV270" s="529">
        <f t="shared" si="188"/>
        <v>1.2260200566485493</v>
      </c>
      <c r="BW270" s="529">
        <f t="shared" si="189"/>
        <v>1.2213948111122446</v>
      </c>
      <c r="BX270" s="221">
        <f t="shared" si="190"/>
        <v>1.0979367094745425</v>
      </c>
      <c r="BY270" s="730">
        <f>SUM('MAE - Audience Level Data'!I32:J32)</f>
        <v>173537</v>
      </c>
      <c r="BZ270" s="692">
        <f>SUM('MAE - Audience Level Data'!G32:H32,'MAE - Audience Level Data'!K32:L32)</f>
        <v>308858</v>
      </c>
      <c r="CA270" s="693">
        <f t="shared" si="192"/>
        <v>482395</v>
      </c>
      <c r="CB270" s="407">
        <f t="shared" si="191"/>
        <v>1.1112615753412818</v>
      </c>
      <c r="CC270" s="529">
        <f t="shared" si="217"/>
        <v>0.91503538843092946</v>
      </c>
      <c r="CD270" s="221">
        <f t="shared" si="187"/>
        <v>1.2673493713657895</v>
      </c>
    </row>
    <row r="271" spans="1:82" ht="15.75" customHeight="1">
      <c r="A271" s="175">
        <f t="shared" si="204"/>
        <v>2026</v>
      </c>
      <c r="B271" s="454" t="str">
        <f t="shared" si="205"/>
        <v>05</v>
      </c>
      <c r="C271" s="454" t="str">
        <f t="array" ref="C271">_xlfn.IFS(_xlfn.NUMBERVALUE(B271)&lt;=13,"Q1",AND(_xlfn.NUMBERVALUE(B271)&gt;13,_xlfn.NUMBERVALUE(B271)&lt;=26),"Q2", AND(_xlfn.NUMBERVALUE(B271)&gt;26,_xlfn.NUMBERVALUE(B271)&lt;=39),"Q3",_xlfn.NUMBERVALUE(B271)&gt;39,"Q4")</f>
        <v>Q1</v>
      </c>
      <c r="D271" s="448">
        <f t="shared" si="218"/>
        <v>45717</v>
      </c>
      <c r="E271" s="448">
        <f t="shared" si="206"/>
        <v>45723</v>
      </c>
      <c r="F271" s="97">
        <v>202505</v>
      </c>
      <c r="G271" s="429">
        <v>9410</v>
      </c>
      <c r="H271" s="429">
        <v>10818</v>
      </c>
      <c r="I271" s="429"/>
      <c r="J271" s="429"/>
      <c r="K271" s="429">
        <v>8631</v>
      </c>
      <c r="L271" s="429">
        <v>7635</v>
      </c>
      <c r="M271" s="429"/>
      <c r="N271" s="429"/>
      <c r="O271" s="429">
        <v>6128</v>
      </c>
      <c r="P271" s="429">
        <v>8388</v>
      </c>
      <c r="Q271" s="429"/>
      <c r="R271" s="429"/>
      <c r="S271" s="429"/>
      <c r="T271" s="429"/>
      <c r="U271" s="429"/>
      <c r="V271" s="429"/>
      <c r="W271" s="429"/>
      <c r="X271" s="429">
        <v>7788</v>
      </c>
      <c r="Y271" s="449">
        <f t="shared" si="193"/>
        <v>17639.399999999994</v>
      </c>
      <c r="Z271" s="449">
        <f t="shared" si="219"/>
        <v>58798</v>
      </c>
      <c r="AA271" s="214">
        <f>'Overall Metrics'!N272</f>
        <v>76437.399999999994</v>
      </c>
      <c r="AB271" s="429">
        <v>76740</v>
      </c>
      <c r="AC271" s="429">
        <v>52436</v>
      </c>
      <c r="AD271" s="429">
        <v>99601</v>
      </c>
      <c r="AE271" s="429">
        <v>63067</v>
      </c>
      <c r="AF271" s="429">
        <v>75422</v>
      </c>
      <c r="AG271" s="429">
        <v>88917</v>
      </c>
      <c r="AH271" s="429">
        <v>66390</v>
      </c>
      <c r="AI271" s="429">
        <v>54403</v>
      </c>
      <c r="AJ271" s="429">
        <v>65791</v>
      </c>
      <c r="AK271" s="429">
        <v>97346</v>
      </c>
      <c r="AL271" s="429">
        <v>99132</v>
      </c>
      <c r="AM271" s="429">
        <v>68758</v>
      </c>
      <c r="AN271" s="429">
        <v>78980</v>
      </c>
      <c r="AO271" s="429">
        <v>65908</v>
      </c>
      <c r="AP271" s="429">
        <v>90362</v>
      </c>
      <c r="AQ271" s="429">
        <v>61008</v>
      </c>
      <c r="AR271" s="219">
        <f t="shared" si="207"/>
        <v>1204261</v>
      </c>
      <c r="AS271" s="220">
        <f t="shared" si="208"/>
        <v>8.1551540913921361</v>
      </c>
      <c r="AT271" s="472">
        <f t="shared" si="209"/>
        <v>4.8471066740617488</v>
      </c>
      <c r="AU271" s="472" t="str">
        <f t="shared" si="210"/>
        <v>-</v>
      </c>
      <c r="AV271" s="472" t="str">
        <f t="shared" si="211"/>
        <v>-</v>
      </c>
      <c r="AW271" s="472">
        <f t="shared" si="212"/>
        <v>8.7385007530992933</v>
      </c>
      <c r="AX271" s="472">
        <f t="shared" si="213"/>
        <v>11.645972495088408</v>
      </c>
      <c r="AY271" s="472">
        <f t="shared" si="194"/>
        <v>10.8338772845953</v>
      </c>
      <c r="AZ271" s="472">
        <f t="shared" si="202"/>
        <v>6.4858130662851696</v>
      </c>
      <c r="BA271" s="472" t="str">
        <f t="shared" si="203"/>
        <v>-</v>
      </c>
      <c r="BB271" s="472" t="str">
        <f t="shared" si="195"/>
        <v>-</v>
      </c>
      <c r="BC271" s="472" t="str">
        <f t="shared" si="196"/>
        <v>-</v>
      </c>
      <c r="BD271" s="472" t="str">
        <f t="shared" si="197"/>
        <v>-</v>
      </c>
      <c r="BE271" s="472" t="str">
        <f t="shared" si="198"/>
        <v>-</v>
      </c>
      <c r="BF271" s="472" t="str">
        <f t="shared" si="199"/>
        <v>-</v>
      </c>
      <c r="BG271" s="472" t="str">
        <f t="shared" si="200"/>
        <v>-</v>
      </c>
      <c r="BH271" s="472">
        <f t="shared" si="201"/>
        <v>7.8335901386748841</v>
      </c>
      <c r="BI271" s="221">
        <f t="shared" si="214"/>
        <v>20.481325895438619</v>
      </c>
      <c r="BJ271" s="692">
        <f>SUM('MAE - Audience Level Data'!O33,'MAE - Audience Level Data'!P33)</f>
        <v>137457</v>
      </c>
      <c r="BK271" s="692">
        <f>SUM('MAE - Audience Level Data'!M33,'MAE - Audience Level Data'!N33,'MAE - Audience Level Data'!Q33,'MAE - Audience Level Data'!R33)</f>
        <v>300631</v>
      </c>
      <c r="BL271" s="429">
        <v>53408</v>
      </c>
      <c r="BM271" s="429">
        <v>74715</v>
      </c>
      <c r="BN271" s="214">
        <f t="shared" si="215"/>
        <v>566211</v>
      </c>
      <c r="BO271" s="742">
        <f>SUM('MAE - Audience Level Data'!U33:V33)</f>
        <v>154177</v>
      </c>
      <c r="BP271" s="742">
        <f>SUM('MAE - Audience Level Data'!S33:T33,'MAE - Audience Level Data'!W33:X33)</f>
        <v>282495</v>
      </c>
      <c r="BQ271" s="429">
        <v>61084</v>
      </c>
      <c r="BR271" s="429">
        <v>56017</v>
      </c>
      <c r="BS271" s="228">
        <f t="shared" si="216"/>
        <v>553773</v>
      </c>
      <c r="BT271" s="407">
        <f t="shared" si="220"/>
        <v>1.1216380395323629</v>
      </c>
      <c r="BU271" s="529">
        <f t="shared" si="221"/>
        <v>0.93967355329290725</v>
      </c>
      <c r="BV271" s="529">
        <f t="shared" si="188"/>
        <v>1.1437237866986218</v>
      </c>
      <c r="BW271" s="529">
        <f t="shared" si="189"/>
        <v>0.74974235427959579</v>
      </c>
      <c r="BX271" s="221">
        <f t="shared" si="190"/>
        <v>0.97803292412192633</v>
      </c>
      <c r="BY271" s="730">
        <f>SUM('MAE - Audience Level Data'!I33:J33)</f>
        <v>154295</v>
      </c>
      <c r="BZ271" s="692">
        <f>SUM('MAE - Audience Level Data'!G33:H33,'MAE - Audience Level Data'!K33:L33)</f>
        <v>311009</v>
      </c>
      <c r="CA271" s="693">
        <f t="shared" si="192"/>
        <v>465304</v>
      </c>
      <c r="CB271" s="407">
        <f t="shared" si="191"/>
        <v>0.99923523121293623</v>
      </c>
      <c r="CC271" s="529">
        <f t="shared" si="217"/>
        <v>0.9083177657238215</v>
      </c>
      <c r="CD271" s="221">
        <f t="shared" si="187"/>
        <v>1.1901316128810413</v>
      </c>
    </row>
    <row r="272" spans="1:82" ht="15.75" customHeight="1">
      <c r="A272" s="175">
        <f t="shared" si="204"/>
        <v>2026</v>
      </c>
      <c r="B272" s="454" t="str">
        <f t="shared" si="205"/>
        <v>06</v>
      </c>
      <c r="C272" s="454" t="str">
        <f t="array" ref="C272">_xlfn.IFS(_xlfn.NUMBERVALUE(B272)&lt;=13,"Q1",AND(_xlfn.NUMBERVALUE(B272)&gt;13,_xlfn.NUMBERVALUE(B272)&lt;=26),"Q2", AND(_xlfn.NUMBERVALUE(B272)&gt;26,_xlfn.NUMBERVALUE(B272)&lt;=39),"Q3",_xlfn.NUMBERVALUE(B272)&gt;39,"Q4")</f>
        <v>Q1</v>
      </c>
      <c r="D272" s="448">
        <f t="shared" si="218"/>
        <v>45724</v>
      </c>
      <c r="E272" s="448">
        <f t="shared" si="206"/>
        <v>45730</v>
      </c>
      <c r="F272" s="97">
        <v>202506</v>
      </c>
      <c r="G272" s="429">
        <v>13482</v>
      </c>
      <c r="H272" s="429">
        <v>7401</v>
      </c>
      <c r="I272" s="429"/>
      <c r="J272" s="429"/>
      <c r="K272" s="429">
        <v>6779</v>
      </c>
      <c r="L272" s="429">
        <v>6896</v>
      </c>
      <c r="M272" s="429"/>
      <c r="N272" s="429"/>
      <c r="O272" s="429">
        <v>5433</v>
      </c>
      <c r="P272" s="429">
        <v>9657</v>
      </c>
      <c r="Q272" s="429"/>
      <c r="R272" s="429"/>
      <c r="S272" s="429"/>
      <c r="T272" s="429"/>
      <c r="U272" s="429"/>
      <c r="V272" s="429"/>
      <c r="W272" s="429"/>
      <c r="X272" s="429">
        <v>7964</v>
      </c>
      <c r="Y272" s="449">
        <f t="shared" si="193"/>
        <v>14894.400000000001</v>
      </c>
      <c r="Z272" s="449">
        <f>SUM('Overall Metrics'!AU273,'Overall Metrics'!AT273)</f>
        <v>49648</v>
      </c>
      <c r="AA272" s="214">
        <f>'Overall Metrics'!N273</f>
        <v>64542.400000000001</v>
      </c>
      <c r="AB272" s="429">
        <v>88681</v>
      </c>
      <c r="AC272" s="429">
        <v>98161</v>
      </c>
      <c r="AD272" s="429">
        <v>83747</v>
      </c>
      <c r="AE272" s="429">
        <v>77656</v>
      </c>
      <c r="AF272" s="429">
        <v>80832</v>
      </c>
      <c r="AG272" s="429">
        <v>76987</v>
      </c>
      <c r="AH272" s="429">
        <v>63318</v>
      </c>
      <c r="AI272" s="429">
        <v>62583</v>
      </c>
      <c r="AJ272" s="429">
        <v>82072</v>
      </c>
      <c r="AK272" s="429">
        <v>92361</v>
      </c>
      <c r="AL272" s="429">
        <v>93825</v>
      </c>
      <c r="AM272" s="429">
        <v>53083</v>
      </c>
      <c r="AN272" s="429">
        <v>53769</v>
      </c>
      <c r="AO272" s="429">
        <v>84136</v>
      </c>
      <c r="AP272" s="429">
        <v>60776</v>
      </c>
      <c r="AQ272" s="429">
        <v>83789</v>
      </c>
      <c r="AR272" s="219">
        <f t="shared" si="207"/>
        <v>1235776</v>
      </c>
      <c r="AS272" s="220">
        <f t="shared" si="208"/>
        <v>6.5777332739949559</v>
      </c>
      <c r="AT272" s="472">
        <f t="shared" si="209"/>
        <v>13.263207674638563</v>
      </c>
      <c r="AU272" s="472" t="str">
        <f t="shared" si="210"/>
        <v>-</v>
      </c>
      <c r="AV272" s="472" t="str">
        <f t="shared" si="211"/>
        <v>-</v>
      </c>
      <c r="AW272" s="472">
        <f t="shared" si="212"/>
        <v>11.923882578551408</v>
      </c>
      <c r="AX272" s="472">
        <f t="shared" si="213"/>
        <v>11.164008120649651</v>
      </c>
      <c r="AY272" s="472">
        <f t="shared" si="194"/>
        <v>11.654334621755936</v>
      </c>
      <c r="AZ272" s="472">
        <f t="shared" si="202"/>
        <v>6.4805840323081698</v>
      </c>
      <c r="BA272" s="472" t="str">
        <f t="shared" si="203"/>
        <v>-</v>
      </c>
      <c r="BB272" s="472" t="str">
        <f t="shared" si="195"/>
        <v>-</v>
      </c>
      <c r="BC272" s="472" t="str">
        <f t="shared" si="196"/>
        <v>-</v>
      </c>
      <c r="BD272" s="472" t="str">
        <f t="shared" si="197"/>
        <v>-</v>
      </c>
      <c r="BE272" s="472" t="str">
        <f t="shared" si="198"/>
        <v>-</v>
      </c>
      <c r="BF272" s="472" t="str">
        <f t="shared" si="199"/>
        <v>-</v>
      </c>
      <c r="BG272" s="472" t="str">
        <f t="shared" si="200"/>
        <v>-</v>
      </c>
      <c r="BH272" s="472">
        <f t="shared" si="201"/>
        <v>10.520969362129582</v>
      </c>
      <c r="BI272" s="221">
        <f t="shared" si="214"/>
        <v>24.890750886239122</v>
      </c>
      <c r="BJ272" s="692">
        <f>SUM('MAE - Audience Level Data'!O34,'MAE - Audience Level Data'!P34)</f>
        <v>133483</v>
      </c>
      <c r="BK272" s="692">
        <f>SUM('MAE - Audience Level Data'!M34,'MAE - Audience Level Data'!N34,'MAE - Audience Level Data'!Q34,'MAE - Audience Level Data'!R34)</f>
        <v>288544</v>
      </c>
      <c r="BL272" s="429">
        <v>70401</v>
      </c>
      <c r="BM272" s="429">
        <v>94482</v>
      </c>
      <c r="BN272" s="214">
        <f t="shared" si="215"/>
        <v>586910</v>
      </c>
      <c r="BO272" s="742">
        <f>SUM('MAE - Audience Level Data'!U34:V34)</f>
        <v>151569</v>
      </c>
      <c r="BP272" s="742">
        <f>SUM('MAE - Audience Level Data'!S34:T34,'MAE - Audience Level Data'!W34:X34)</f>
        <v>301679</v>
      </c>
      <c r="BQ272" s="429">
        <v>82124</v>
      </c>
      <c r="BR272" s="429">
        <v>79794</v>
      </c>
      <c r="BS272" s="228">
        <f t="shared" si="216"/>
        <v>615166</v>
      </c>
      <c r="BT272" s="407">
        <f t="shared" si="220"/>
        <v>1.1354929092094124</v>
      </c>
      <c r="BU272" s="529">
        <f t="shared" si="221"/>
        <v>1.0455216535433072</v>
      </c>
      <c r="BV272" s="529">
        <f t="shared" si="188"/>
        <v>1.1665175210579395</v>
      </c>
      <c r="BW272" s="529">
        <f t="shared" si="189"/>
        <v>0.84454181748904555</v>
      </c>
      <c r="BX272" s="221">
        <f t="shared" si="190"/>
        <v>1.0481436676832905</v>
      </c>
      <c r="BY272" s="730">
        <f>SUM('MAE - Audience Level Data'!I34:J34)</f>
        <v>143632</v>
      </c>
      <c r="BZ272" s="692">
        <f>SUM('MAE - Audience Level Data'!G34:H34,'MAE - Audience Level Data'!K34:L34)</f>
        <v>325175</v>
      </c>
      <c r="CA272" s="693">
        <f t="shared" si="192"/>
        <v>468807</v>
      </c>
      <c r="CB272" s="407">
        <f t="shared" si="191"/>
        <v>1.0552592736994542</v>
      </c>
      <c r="CC272" s="529">
        <f t="shared" si="217"/>
        <v>0.92774352271853622</v>
      </c>
      <c r="CD272" s="221">
        <f t="shared" si="187"/>
        <v>1.3121945704735638</v>
      </c>
    </row>
    <row r="273" spans="1:82" ht="15.75" customHeight="1">
      <c r="A273" s="175">
        <f t="shared" si="204"/>
        <v>2026</v>
      </c>
      <c r="B273" s="454" t="str">
        <f t="shared" si="205"/>
        <v>07</v>
      </c>
      <c r="C273" s="454" t="str">
        <f t="array" ref="C273">_xlfn.IFS(_xlfn.NUMBERVALUE(B273)&lt;=13,"Q1",AND(_xlfn.NUMBERVALUE(B273)&gt;13,_xlfn.NUMBERVALUE(B273)&lt;=26),"Q2", AND(_xlfn.NUMBERVALUE(B273)&gt;26,_xlfn.NUMBERVALUE(B273)&lt;=39),"Q3",_xlfn.NUMBERVALUE(B273)&gt;39,"Q4")</f>
        <v>Q1</v>
      </c>
      <c r="D273" s="448">
        <f t="shared" si="218"/>
        <v>45731</v>
      </c>
      <c r="E273" s="448">
        <f t="shared" si="206"/>
        <v>45737</v>
      </c>
      <c r="F273" s="97">
        <v>202507</v>
      </c>
      <c r="G273" s="429"/>
      <c r="H273" s="429"/>
      <c r="I273" s="429"/>
      <c r="J273" s="429"/>
      <c r="K273" s="429"/>
      <c r="L273" s="429"/>
      <c r="M273" s="429"/>
      <c r="N273" s="429"/>
      <c r="O273" s="429"/>
      <c r="P273" s="429"/>
      <c r="Q273" s="429"/>
      <c r="R273" s="429"/>
      <c r="S273" s="429"/>
      <c r="T273" s="429"/>
      <c r="U273" s="429"/>
      <c r="V273" s="429"/>
      <c r="W273" s="429"/>
      <c r="X273" s="429"/>
      <c r="Y273" s="449"/>
      <c r="Z273" s="449">
        <f>SUM('Overall Metrics'!AU274,'Overall Metrics'!AT274)</f>
        <v>0</v>
      </c>
      <c r="AA273" s="214">
        <f t="shared" ref="AA273:AA318" si="222">SUM(Z273, Y273)</f>
        <v>0</v>
      </c>
      <c r="AB273" s="429"/>
      <c r="AC273" s="429"/>
      <c r="AD273" s="429"/>
      <c r="AE273" s="429"/>
      <c r="AF273" s="429"/>
      <c r="AG273" s="429"/>
      <c r="AH273" s="429"/>
      <c r="AI273" s="429"/>
      <c r="AJ273" s="429"/>
      <c r="AK273" s="429"/>
      <c r="AL273" s="429"/>
      <c r="AM273" s="429"/>
      <c r="AN273" s="429"/>
      <c r="AO273" s="429"/>
      <c r="AP273" s="429"/>
      <c r="AQ273" s="429"/>
      <c r="AR273" s="219">
        <f t="shared" si="207"/>
        <v>0</v>
      </c>
      <c r="AS273" s="220" t="str">
        <f t="shared" si="208"/>
        <v>-</v>
      </c>
      <c r="AT273" s="472" t="str">
        <f t="shared" si="209"/>
        <v>-</v>
      </c>
      <c r="AU273" s="472" t="str">
        <f t="shared" si="210"/>
        <v>-</v>
      </c>
      <c r="AV273" s="472" t="str">
        <f t="shared" si="211"/>
        <v>-</v>
      </c>
      <c r="AW273" s="472" t="str">
        <f t="shared" si="212"/>
        <v>-</v>
      </c>
      <c r="AX273" s="472" t="str">
        <f t="shared" si="213"/>
        <v>-</v>
      </c>
      <c r="AY273" s="472" t="str">
        <f t="shared" si="194"/>
        <v>-</v>
      </c>
      <c r="AZ273" s="472" t="str">
        <f t="shared" si="202"/>
        <v>-</v>
      </c>
      <c r="BA273" s="472" t="str">
        <f t="shared" si="203"/>
        <v>-</v>
      </c>
      <c r="BB273" s="472" t="str">
        <f t="shared" si="195"/>
        <v>-</v>
      </c>
      <c r="BC273" s="472" t="str">
        <f t="shared" si="196"/>
        <v>-</v>
      </c>
      <c r="BD273" s="472" t="str">
        <f t="shared" si="197"/>
        <v>-</v>
      </c>
      <c r="BE273" s="472" t="str">
        <f t="shared" si="198"/>
        <v>-</v>
      </c>
      <c r="BF273" s="472" t="str">
        <f t="shared" si="199"/>
        <v>-</v>
      </c>
      <c r="BG273" s="472" t="str">
        <f t="shared" si="200"/>
        <v>-</v>
      </c>
      <c r="BH273" s="472" t="str">
        <f t="shared" si="201"/>
        <v>-</v>
      </c>
      <c r="BI273" s="221" t="str">
        <f t="shared" si="214"/>
        <v>-</v>
      </c>
      <c r="BJ273" s="692">
        <f>SUM('MAE - Audience Level Data'!O35,'MAE - Audience Level Data'!P35)</f>
        <v>0</v>
      </c>
      <c r="BK273" s="692">
        <f>SUM('MAE - Audience Level Data'!M35,'MAE - Audience Level Data'!N35,'MAE - Audience Level Data'!Q35,'MAE - Audience Level Data'!R35)</f>
        <v>0</v>
      </c>
      <c r="BL273" s="429"/>
      <c r="BM273" s="429"/>
      <c r="BN273" s="214">
        <f t="shared" si="215"/>
        <v>0</v>
      </c>
      <c r="BO273" s="742">
        <f>SUM('MAE - Audience Level Data'!U35:V35)</f>
        <v>0</v>
      </c>
      <c r="BP273" s="742">
        <f>SUM('MAE - Audience Level Data'!S35:T35,'MAE - Audience Level Data'!W35:X35)</f>
        <v>0</v>
      </c>
      <c r="BQ273" s="429"/>
      <c r="BR273" s="429"/>
      <c r="BS273" s="228">
        <f t="shared" si="216"/>
        <v>0</v>
      </c>
      <c r="BT273" s="407" t="str">
        <f t="shared" si="220"/>
        <v>-</v>
      </c>
      <c r="BU273" s="529" t="str">
        <f t="shared" si="221"/>
        <v>-</v>
      </c>
      <c r="BV273" s="529" t="str">
        <f t="shared" si="188"/>
        <v>-</v>
      </c>
      <c r="BW273" s="529" t="str">
        <f t="shared" si="189"/>
        <v>-</v>
      </c>
      <c r="BX273" s="221" t="str">
        <f t="shared" si="190"/>
        <v>-</v>
      </c>
      <c r="BY273" s="730">
        <f>SUM('MAE - Audience Level Data'!I35:J35)</f>
        <v>0</v>
      </c>
      <c r="BZ273" s="692">
        <f>SUM('MAE - Audience Level Data'!G35:H35,'MAE - Audience Level Data'!K35:L35)</f>
        <v>0</v>
      </c>
      <c r="CA273" s="693">
        <f t="shared" si="192"/>
        <v>0</v>
      </c>
      <c r="CB273" s="407" t="str">
        <f t="shared" si="191"/>
        <v>-</v>
      </c>
      <c r="CC273" s="529" t="str">
        <f t="shared" si="217"/>
        <v>-</v>
      </c>
      <c r="CD273" s="221" t="str">
        <f t="shared" si="187"/>
        <v>-</v>
      </c>
    </row>
    <row r="274" spans="1:82" ht="15.75" customHeight="1">
      <c r="A274" s="175">
        <f t="shared" si="204"/>
        <v>2026</v>
      </c>
      <c r="B274" s="454" t="str">
        <f t="shared" si="205"/>
        <v>08</v>
      </c>
      <c r="C274" s="454" t="str">
        <f t="array" ref="C274">_xlfn.IFS(_xlfn.NUMBERVALUE(B274)&lt;=13,"Q1",AND(_xlfn.NUMBERVALUE(B274)&gt;13,_xlfn.NUMBERVALUE(B274)&lt;=26),"Q2", AND(_xlfn.NUMBERVALUE(B274)&gt;26,_xlfn.NUMBERVALUE(B274)&lt;=39),"Q3",_xlfn.NUMBERVALUE(B274)&gt;39,"Q4")</f>
        <v>Q1</v>
      </c>
      <c r="D274" s="448">
        <f t="shared" si="218"/>
        <v>45738</v>
      </c>
      <c r="E274" s="448">
        <f t="shared" si="206"/>
        <v>45744</v>
      </c>
      <c r="F274" s="97">
        <v>202508</v>
      </c>
      <c r="G274" s="103"/>
      <c r="H274" s="429"/>
      <c r="I274" s="429"/>
      <c r="J274" s="429"/>
      <c r="K274" s="429"/>
      <c r="L274" s="429"/>
      <c r="M274" s="429"/>
      <c r="N274" s="429"/>
      <c r="O274" s="429"/>
      <c r="P274" s="429"/>
      <c r="Q274" s="429"/>
      <c r="R274" s="429"/>
      <c r="S274" s="429"/>
      <c r="T274" s="429"/>
      <c r="U274" s="429"/>
      <c r="V274" s="429"/>
      <c r="W274" s="429"/>
      <c r="X274" s="429"/>
      <c r="Y274" s="449"/>
      <c r="Z274" s="449">
        <f>SUM('Overall Metrics'!AU275,'Overall Metrics'!AT275)</f>
        <v>0</v>
      </c>
      <c r="AA274" s="214">
        <f t="shared" si="222"/>
        <v>0</v>
      </c>
      <c r="AB274" s="446"/>
      <c r="AC274" s="446"/>
      <c r="AD274" s="446"/>
      <c r="AE274" s="446"/>
      <c r="AF274" s="446"/>
      <c r="AG274" s="446"/>
      <c r="AH274" s="446"/>
      <c r="AI274" s="446"/>
      <c r="AJ274" s="446"/>
      <c r="AK274" s="446"/>
      <c r="AL274" s="446"/>
      <c r="AM274" s="446"/>
      <c r="AN274" s="446"/>
      <c r="AO274" s="446"/>
      <c r="AP274" s="446"/>
      <c r="AQ274" s="446"/>
      <c r="AR274" s="219">
        <f t="shared" si="207"/>
        <v>0</v>
      </c>
      <c r="AS274" s="220" t="str">
        <f t="shared" si="208"/>
        <v>-</v>
      </c>
      <c r="AT274" s="472" t="str">
        <f t="shared" si="209"/>
        <v>-</v>
      </c>
      <c r="AU274" s="472" t="str">
        <f t="shared" si="210"/>
        <v>-</v>
      </c>
      <c r="AV274" s="472" t="str">
        <f t="shared" si="211"/>
        <v>-</v>
      </c>
      <c r="AW274" s="472" t="str">
        <f t="shared" si="212"/>
        <v>-</v>
      </c>
      <c r="AX274" s="472" t="str">
        <f t="shared" si="213"/>
        <v>-</v>
      </c>
      <c r="AY274" s="472" t="str">
        <f t="shared" si="194"/>
        <v>-</v>
      </c>
      <c r="AZ274" s="472" t="str">
        <f t="shared" si="202"/>
        <v>-</v>
      </c>
      <c r="BA274" s="472" t="str">
        <f t="shared" si="203"/>
        <v>-</v>
      </c>
      <c r="BB274" s="472" t="str">
        <f t="shared" si="195"/>
        <v>-</v>
      </c>
      <c r="BC274" s="472" t="str">
        <f t="shared" si="196"/>
        <v>-</v>
      </c>
      <c r="BD274" s="472" t="str">
        <f t="shared" si="197"/>
        <v>-</v>
      </c>
      <c r="BE274" s="472" t="str">
        <f t="shared" si="198"/>
        <v>-</v>
      </c>
      <c r="BF274" s="472" t="str">
        <f t="shared" si="199"/>
        <v>-</v>
      </c>
      <c r="BG274" s="472" t="str">
        <f t="shared" si="200"/>
        <v>-</v>
      </c>
      <c r="BH274" s="472" t="str">
        <f t="shared" si="201"/>
        <v>-</v>
      </c>
      <c r="BI274" s="221" t="str">
        <f t="shared" si="214"/>
        <v>-</v>
      </c>
      <c r="BJ274" s="692">
        <f>SUM('MAE - Audience Level Data'!O36,'MAE - Audience Level Data'!P36)</f>
        <v>0</v>
      </c>
      <c r="BK274" s="692">
        <f>SUM('MAE - Audience Level Data'!M36,'MAE - Audience Level Data'!N36,'MAE - Audience Level Data'!Q36,'MAE - Audience Level Data'!R36)</f>
        <v>0</v>
      </c>
      <c r="BL274" s="89"/>
      <c r="BM274" s="89"/>
      <c r="BN274" s="214">
        <f t="shared" si="215"/>
        <v>0</v>
      </c>
      <c r="BO274" s="742">
        <f>SUM('MAE - Audience Level Data'!U36:V36)</f>
        <v>0</v>
      </c>
      <c r="BP274" s="742">
        <f>SUM('MAE - Audience Level Data'!S36:T36,'MAE - Audience Level Data'!W36:X36)</f>
        <v>0</v>
      </c>
      <c r="BQ274" s="667"/>
      <c r="BR274" s="667"/>
      <c r="BS274" s="228">
        <f t="shared" si="216"/>
        <v>0</v>
      </c>
      <c r="BT274" s="407" t="str">
        <f t="shared" si="220"/>
        <v>-</v>
      </c>
      <c r="BU274" s="529" t="str">
        <f t="shared" si="221"/>
        <v>-</v>
      </c>
      <c r="BV274" s="529" t="str">
        <f t="shared" si="188"/>
        <v>-</v>
      </c>
      <c r="BW274" s="529" t="str">
        <f t="shared" si="189"/>
        <v>-</v>
      </c>
      <c r="BX274" s="221" t="str">
        <f t="shared" si="190"/>
        <v>-</v>
      </c>
      <c r="BY274" s="730">
        <f>SUM('MAE - Audience Level Data'!I36:J36)</f>
        <v>0</v>
      </c>
      <c r="BZ274" s="692">
        <f>SUM('MAE - Audience Level Data'!G36:H36,'MAE - Audience Level Data'!K36:L36)</f>
        <v>0</v>
      </c>
      <c r="CA274" s="693">
        <f t="shared" si="192"/>
        <v>0</v>
      </c>
      <c r="CB274" s="407" t="str">
        <f t="shared" si="191"/>
        <v>-</v>
      </c>
      <c r="CC274" s="529" t="str">
        <f t="shared" si="217"/>
        <v>-</v>
      </c>
      <c r="CD274" s="221" t="str">
        <f t="shared" si="187"/>
        <v>-</v>
      </c>
    </row>
    <row r="275" spans="1:82" ht="15.75" customHeight="1">
      <c r="A275" s="175">
        <f t="shared" si="204"/>
        <v>2026</v>
      </c>
      <c r="B275" s="454" t="str">
        <f t="shared" si="205"/>
        <v>09</v>
      </c>
      <c r="C275" s="454" t="str">
        <f t="array" ref="C275">_xlfn.IFS(_xlfn.NUMBERVALUE(B275)&lt;=13,"Q1",AND(_xlfn.NUMBERVALUE(B275)&gt;13,_xlfn.NUMBERVALUE(B275)&lt;=26),"Q2", AND(_xlfn.NUMBERVALUE(B275)&gt;26,_xlfn.NUMBERVALUE(B275)&lt;=39),"Q3",_xlfn.NUMBERVALUE(B275)&gt;39,"Q4")</f>
        <v>Q1</v>
      </c>
      <c r="D275" s="448">
        <f t="shared" si="218"/>
        <v>45745</v>
      </c>
      <c r="E275" s="448">
        <f t="shared" si="206"/>
        <v>45751</v>
      </c>
      <c r="F275" s="97">
        <v>202509</v>
      </c>
      <c r="G275" s="103"/>
      <c r="H275" s="429"/>
      <c r="I275" s="429"/>
      <c r="J275" s="429"/>
      <c r="K275" s="429"/>
      <c r="L275" s="429"/>
      <c r="M275" s="429"/>
      <c r="N275" s="429"/>
      <c r="O275" s="429"/>
      <c r="P275" s="429"/>
      <c r="Q275" s="429"/>
      <c r="R275" s="429"/>
      <c r="S275" s="429"/>
      <c r="T275" s="429"/>
      <c r="U275" s="429"/>
      <c r="V275" s="429"/>
      <c r="W275" s="429"/>
      <c r="X275" s="429"/>
      <c r="Y275" s="449"/>
      <c r="Z275" s="449">
        <f>SUM('Overall Metrics'!AU276,'Overall Metrics'!AT276)</f>
        <v>0</v>
      </c>
      <c r="AA275" s="214">
        <f t="shared" si="222"/>
        <v>0</v>
      </c>
      <c r="AB275" s="446"/>
      <c r="AC275" s="446"/>
      <c r="AD275" s="446"/>
      <c r="AE275" s="446"/>
      <c r="AF275" s="446"/>
      <c r="AG275" s="446"/>
      <c r="AH275" s="446"/>
      <c r="AI275" s="446"/>
      <c r="AJ275" s="446"/>
      <c r="AK275" s="446"/>
      <c r="AL275" s="446"/>
      <c r="AM275" s="446"/>
      <c r="AN275" s="446"/>
      <c r="AO275" s="446"/>
      <c r="AP275" s="446"/>
      <c r="AQ275" s="446"/>
      <c r="AR275" s="219">
        <f t="shared" si="207"/>
        <v>0</v>
      </c>
      <c r="AS275" s="220" t="str">
        <f t="shared" si="208"/>
        <v>-</v>
      </c>
      <c r="AT275" s="472" t="str">
        <f t="shared" si="209"/>
        <v>-</v>
      </c>
      <c r="AU275" s="472" t="str">
        <f t="shared" si="210"/>
        <v>-</v>
      </c>
      <c r="AV275" s="472" t="str">
        <f t="shared" si="211"/>
        <v>-</v>
      </c>
      <c r="AW275" s="472" t="str">
        <f t="shared" si="212"/>
        <v>-</v>
      </c>
      <c r="AX275" s="472" t="str">
        <f t="shared" si="213"/>
        <v>-</v>
      </c>
      <c r="AY275" s="472" t="str">
        <f t="shared" si="194"/>
        <v>-</v>
      </c>
      <c r="AZ275" s="472" t="str">
        <f t="shared" si="202"/>
        <v>-</v>
      </c>
      <c r="BA275" s="472" t="str">
        <f t="shared" si="203"/>
        <v>-</v>
      </c>
      <c r="BB275" s="472" t="str">
        <f t="shared" si="195"/>
        <v>-</v>
      </c>
      <c r="BC275" s="472" t="str">
        <f t="shared" si="196"/>
        <v>-</v>
      </c>
      <c r="BD275" s="472" t="str">
        <f t="shared" si="197"/>
        <v>-</v>
      </c>
      <c r="BE275" s="472" t="str">
        <f t="shared" si="198"/>
        <v>-</v>
      </c>
      <c r="BF275" s="472" t="str">
        <f t="shared" si="199"/>
        <v>-</v>
      </c>
      <c r="BG275" s="472" t="str">
        <f t="shared" si="200"/>
        <v>-</v>
      </c>
      <c r="BH275" s="472" t="str">
        <f t="shared" si="201"/>
        <v>-</v>
      </c>
      <c r="BI275" s="221" t="str">
        <f t="shared" si="214"/>
        <v>-</v>
      </c>
      <c r="BJ275" s="692">
        <f>SUM('MAE - Audience Level Data'!O37,'MAE - Audience Level Data'!P37)</f>
        <v>0</v>
      </c>
      <c r="BK275" s="692">
        <f>SUM('MAE - Audience Level Data'!M37,'MAE - Audience Level Data'!N37,'MAE - Audience Level Data'!Q37,'MAE - Audience Level Data'!R37)</f>
        <v>0</v>
      </c>
      <c r="BL275" s="89"/>
      <c r="BM275" s="89"/>
      <c r="BN275" s="214">
        <f t="shared" si="215"/>
        <v>0</v>
      </c>
      <c r="BO275" s="742">
        <f>SUM('MAE - Audience Level Data'!U37:V37)</f>
        <v>0</v>
      </c>
      <c r="BP275" s="742">
        <f>SUM('MAE - Audience Level Data'!S37:T37,'MAE - Audience Level Data'!W37:X37)</f>
        <v>0</v>
      </c>
      <c r="BQ275" s="667"/>
      <c r="BR275" s="667"/>
      <c r="BS275" s="228">
        <f t="shared" si="216"/>
        <v>0</v>
      </c>
      <c r="BT275" s="407" t="str">
        <f t="shared" si="220"/>
        <v>-</v>
      </c>
      <c r="BU275" s="529" t="str">
        <f t="shared" si="221"/>
        <v>-</v>
      </c>
      <c r="BV275" s="529" t="str">
        <f t="shared" si="188"/>
        <v>-</v>
      </c>
      <c r="BW275" s="529" t="str">
        <f t="shared" si="189"/>
        <v>-</v>
      </c>
      <c r="BX275" s="221" t="str">
        <f t="shared" si="190"/>
        <v>-</v>
      </c>
      <c r="BY275" s="730">
        <f>SUM('MAE - Audience Level Data'!I37:J37)</f>
        <v>0</v>
      </c>
      <c r="BZ275" s="692">
        <f>SUM('MAE - Audience Level Data'!G37:H37,'MAE - Audience Level Data'!K37:L37)</f>
        <v>0</v>
      </c>
      <c r="CA275" s="693">
        <f t="shared" si="192"/>
        <v>0</v>
      </c>
      <c r="CB275" s="407" t="str">
        <f t="shared" si="191"/>
        <v>-</v>
      </c>
      <c r="CC275" s="529" t="str">
        <f t="shared" si="217"/>
        <v>-</v>
      </c>
      <c r="CD275" s="221" t="str">
        <f t="shared" si="187"/>
        <v>-</v>
      </c>
    </row>
    <row r="276" spans="1:82" ht="15.75" customHeight="1">
      <c r="A276" s="175">
        <f t="shared" si="204"/>
        <v>2026</v>
      </c>
      <c r="B276" s="454" t="str">
        <f t="shared" si="205"/>
        <v>10</v>
      </c>
      <c r="C276" s="454" t="str">
        <f t="array" ref="C276">_xlfn.IFS(_xlfn.NUMBERVALUE(B276)&lt;=13,"Q1",AND(_xlfn.NUMBERVALUE(B276)&gt;13,_xlfn.NUMBERVALUE(B276)&lt;=26),"Q2", AND(_xlfn.NUMBERVALUE(B276)&gt;26,_xlfn.NUMBERVALUE(B276)&lt;=39),"Q3",_xlfn.NUMBERVALUE(B276)&gt;39,"Q4")</f>
        <v>Q1</v>
      </c>
      <c r="D276" s="448">
        <f t="shared" si="218"/>
        <v>45752</v>
      </c>
      <c r="E276" s="448">
        <f t="shared" si="206"/>
        <v>45758</v>
      </c>
      <c r="F276" s="97">
        <v>202510</v>
      </c>
      <c r="G276" s="103"/>
      <c r="H276" s="429"/>
      <c r="I276" s="429"/>
      <c r="J276" s="429"/>
      <c r="K276" s="429"/>
      <c r="L276" s="429"/>
      <c r="M276" s="429"/>
      <c r="N276" s="429"/>
      <c r="O276" s="429"/>
      <c r="P276" s="429"/>
      <c r="Q276" s="429"/>
      <c r="R276" s="429"/>
      <c r="S276" s="429"/>
      <c r="T276" s="429"/>
      <c r="U276" s="429"/>
      <c r="V276" s="429"/>
      <c r="W276" s="429"/>
      <c r="X276" s="429"/>
      <c r="Y276" s="449"/>
      <c r="Z276" s="449">
        <f>SUM('Overall Metrics'!AU277,'Overall Metrics'!AT277)</f>
        <v>0</v>
      </c>
      <c r="AA276" s="214">
        <f t="shared" si="222"/>
        <v>0</v>
      </c>
      <c r="AB276" s="446"/>
      <c r="AC276" s="446"/>
      <c r="AD276" s="446"/>
      <c r="AE276" s="446"/>
      <c r="AF276" s="446"/>
      <c r="AG276" s="446"/>
      <c r="AH276" s="446"/>
      <c r="AI276" s="446"/>
      <c r="AJ276" s="446"/>
      <c r="AK276" s="446"/>
      <c r="AL276" s="446"/>
      <c r="AM276" s="446"/>
      <c r="AN276" s="446"/>
      <c r="AO276" s="446"/>
      <c r="AP276" s="446"/>
      <c r="AQ276" s="446"/>
      <c r="AR276" s="219">
        <f t="shared" si="207"/>
        <v>0</v>
      </c>
      <c r="AS276" s="220" t="str">
        <f t="shared" si="208"/>
        <v>-</v>
      </c>
      <c r="AT276" s="472" t="str">
        <f t="shared" si="209"/>
        <v>-</v>
      </c>
      <c r="AU276" s="472" t="str">
        <f t="shared" si="210"/>
        <v>-</v>
      </c>
      <c r="AV276" s="472" t="str">
        <f t="shared" si="211"/>
        <v>-</v>
      </c>
      <c r="AW276" s="472" t="str">
        <f t="shared" si="212"/>
        <v>-</v>
      </c>
      <c r="AX276" s="472" t="str">
        <f t="shared" si="213"/>
        <v>-</v>
      </c>
      <c r="AY276" s="472" t="str">
        <f t="shared" si="194"/>
        <v>-</v>
      </c>
      <c r="AZ276" s="472" t="str">
        <f t="shared" si="202"/>
        <v>-</v>
      </c>
      <c r="BA276" s="472" t="str">
        <f t="shared" si="203"/>
        <v>-</v>
      </c>
      <c r="BB276" s="472" t="str">
        <f t="shared" si="195"/>
        <v>-</v>
      </c>
      <c r="BC276" s="472" t="str">
        <f t="shared" si="196"/>
        <v>-</v>
      </c>
      <c r="BD276" s="472" t="str">
        <f t="shared" si="197"/>
        <v>-</v>
      </c>
      <c r="BE276" s="472" t="str">
        <f t="shared" si="198"/>
        <v>-</v>
      </c>
      <c r="BF276" s="472" t="str">
        <f t="shared" si="199"/>
        <v>-</v>
      </c>
      <c r="BG276" s="472" t="str">
        <f t="shared" si="200"/>
        <v>-</v>
      </c>
      <c r="BH276" s="472" t="str">
        <f t="shared" si="201"/>
        <v>-</v>
      </c>
      <c r="BI276" s="221" t="str">
        <f t="shared" si="214"/>
        <v>-</v>
      </c>
      <c r="BJ276" s="692">
        <f>SUM('MAE - Audience Level Data'!O38,'MAE - Audience Level Data'!P38)</f>
        <v>0</v>
      </c>
      <c r="BK276" s="692">
        <f>SUM('MAE - Audience Level Data'!M38,'MAE - Audience Level Data'!N38,'MAE - Audience Level Data'!Q38,'MAE - Audience Level Data'!R38)</f>
        <v>0</v>
      </c>
      <c r="BL276" s="89"/>
      <c r="BM276" s="89"/>
      <c r="BN276" s="214">
        <f t="shared" si="215"/>
        <v>0</v>
      </c>
      <c r="BO276" s="742">
        <f>SUM('MAE - Audience Level Data'!U38:V38)</f>
        <v>0</v>
      </c>
      <c r="BP276" s="742">
        <f>SUM('MAE - Audience Level Data'!S38:T38,'MAE - Audience Level Data'!W38:X38)</f>
        <v>0</v>
      </c>
      <c r="BQ276" s="667"/>
      <c r="BR276" s="667"/>
      <c r="BS276" s="228">
        <f t="shared" si="216"/>
        <v>0</v>
      </c>
      <c r="BT276" s="407" t="str">
        <f t="shared" si="220"/>
        <v>-</v>
      </c>
      <c r="BU276" s="529" t="str">
        <f t="shared" si="221"/>
        <v>-</v>
      </c>
      <c r="BV276" s="529" t="str">
        <f t="shared" si="188"/>
        <v>-</v>
      </c>
      <c r="BW276" s="529" t="str">
        <f t="shared" si="189"/>
        <v>-</v>
      </c>
      <c r="BX276" s="221" t="str">
        <f t="shared" si="190"/>
        <v>-</v>
      </c>
      <c r="BY276" s="730">
        <f>SUM('MAE - Audience Level Data'!I38:J38)</f>
        <v>0</v>
      </c>
      <c r="BZ276" s="692">
        <f>SUM('MAE - Audience Level Data'!G38:H38,'MAE - Audience Level Data'!K38:L38)</f>
        <v>0</v>
      </c>
      <c r="CA276" s="693">
        <f t="shared" si="192"/>
        <v>0</v>
      </c>
      <c r="CB276" s="407" t="str">
        <f t="shared" si="191"/>
        <v>-</v>
      </c>
      <c r="CC276" s="529" t="str">
        <f t="shared" si="217"/>
        <v>-</v>
      </c>
      <c r="CD276" s="221" t="str">
        <f t="shared" si="187"/>
        <v>-</v>
      </c>
    </row>
    <row r="277" spans="1:82" ht="15.75" customHeight="1">
      <c r="A277" s="175">
        <f t="shared" si="204"/>
        <v>2026</v>
      </c>
      <c r="B277" s="454" t="str">
        <f t="shared" si="205"/>
        <v>11</v>
      </c>
      <c r="C277" s="454" t="str">
        <f t="array" ref="C277">_xlfn.IFS(_xlfn.NUMBERVALUE(B277)&lt;=13,"Q1",AND(_xlfn.NUMBERVALUE(B277)&gt;13,_xlfn.NUMBERVALUE(B277)&lt;=26),"Q2", AND(_xlfn.NUMBERVALUE(B277)&gt;26,_xlfn.NUMBERVALUE(B277)&lt;=39),"Q3",_xlfn.NUMBERVALUE(B277)&gt;39,"Q4")</f>
        <v>Q1</v>
      </c>
      <c r="D277" s="448">
        <f t="shared" si="218"/>
        <v>45759</v>
      </c>
      <c r="E277" s="448">
        <f t="shared" si="206"/>
        <v>45765</v>
      </c>
      <c r="F277" s="97">
        <v>202511</v>
      </c>
      <c r="G277" s="103"/>
      <c r="H277" s="429"/>
      <c r="I277" s="429"/>
      <c r="J277" s="429"/>
      <c r="K277" s="429"/>
      <c r="L277" s="429"/>
      <c r="M277" s="429"/>
      <c r="N277" s="429"/>
      <c r="O277" s="429"/>
      <c r="P277" s="429"/>
      <c r="Q277" s="429"/>
      <c r="R277" s="429"/>
      <c r="S277" s="429"/>
      <c r="T277" s="429"/>
      <c r="U277" s="429"/>
      <c r="V277" s="429"/>
      <c r="W277" s="429"/>
      <c r="X277" s="429"/>
      <c r="Y277" s="449"/>
      <c r="Z277" s="449">
        <f>SUM('Overall Metrics'!AU278,'Overall Metrics'!AT278)</f>
        <v>0</v>
      </c>
      <c r="AA277" s="214">
        <f t="shared" si="222"/>
        <v>0</v>
      </c>
      <c r="AB277" s="446"/>
      <c r="AC277" s="446"/>
      <c r="AD277" s="446"/>
      <c r="AE277" s="446"/>
      <c r="AF277" s="446"/>
      <c r="AG277" s="446"/>
      <c r="AH277" s="446"/>
      <c r="AI277" s="446"/>
      <c r="AJ277" s="446"/>
      <c r="AK277" s="446"/>
      <c r="AL277" s="446"/>
      <c r="AM277" s="446"/>
      <c r="AN277" s="446"/>
      <c r="AO277" s="446"/>
      <c r="AP277" s="446"/>
      <c r="AQ277" s="446"/>
      <c r="AR277" s="219">
        <f t="shared" si="207"/>
        <v>0</v>
      </c>
      <c r="AS277" s="220" t="str">
        <f t="shared" si="208"/>
        <v>-</v>
      </c>
      <c r="AT277" s="472" t="str">
        <f t="shared" si="209"/>
        <v>-</v>
      </c>
      <c r="AU277" s="472" t="str">
        <f t="shared" si="210"/>
        <v>-</v>
      </c>
      <c r="AV277" s="472" t="str">
        <f t="shared" si="211"/>
        <v>-</v>
      </c>
      <c r="AW277" s="472" t="str">
        <f t="shared" si="212"/>
        <v>-</v>
      </c>
      <c r="AX277" s="472" t="str">
        <f t="shared" si="213"/>
        <v>-</v>
      </c>
      <c r="AY277" s="472" t="str">
        <f t="shared" si="194"/>
        <v>-</v>
      </c>
      <c r="AZ277" s="472" t="str">
        <f t="shared" si="202"/>
        <v>-</v>
      </c>
      <c r="BA277" s="472" t="str">
        <f t="shared" si="203"/>
        <v>-</v>
      </c>
      <c r="BB277" s="472" t="str">
        <f t="shared" si="195"/>
        <v>-</v>
      </c>
      <c r="BC277" s="472" t="str">
        <f t="shared" si="196"/>
        <v>-</v>
      </c>
      <c r="BD277" s="472" t="str">
        <f t="shared" si="197"/>
        <v>-</v>
      </c>
      <c r="BE277" s="472" t="str">
        <f t="shared" si="198"/>
        <v>-</v>
      </c>
      <c r="BF277" s="472" t="str">
        <f t="shared" si="199"/>
        <v>-</v>
      </c>
      <c r="BG277" s="472" t="str">
        <f t="shared" si="200"/>
        <v>-</v>
      </c>
      <c r="BH277" s="472" t="str">
        <f t="shared" si="201"/>
        <v>-</v>
      </c>
      <c r="BI277" s="221" t="str">
        <f t="shared" si="214"/>
        <v>-</v>
      </c>
      <c r="BJ277" s="692">
        <f>SUM('MAE - Audience Level Data'!O39,'MAE - Audience Level Data'!P39)</f>
        <v>0</v>
      </c>
      <c r="BK277" s="692">
        <f>SUM('MAE - Audience Level Data'!M39,'MAE - Audience Level Data'!N39,'MAE - Audience Level Data'!Q39,'MAE - Audience Level Data'!R39)</f>
        <v>0</v>
      </c>
      <c r="BL277" s="89"/>
      <c r="BM277" s="89"/>
      <c r="BN277" s="214">
        <f t="shared" si="215"/>
        <v>0</v>
      </c>
      <c r="BO277" s="742">
        <f>SUM('MAE - Audience Level Data'!U39:V39)</f>
        <v>0</v>
      </c>
      <c r="BP277" s="742">
        <f>SUM('MAE - Audience Level Data'!S39:T39,'MAE - Audience Level Data'!W39:X39)</f>
        <v>0</v>
      </c>
      <c r="BQ277" s="667"/>
      <c r="BR277" s="667"/>
      <c r="BS277" s="228">
        <f t="shared" si="216"/>
        <v>0</v>
      </c>
      <c r="BT277" s="407" t="str">
        <f t="shared" si="220"/>
        <v>-</v>
      </c>
      <c r="BU277" s="529" t="str">
        <f t="shared" si="221"/>
        <v>-</v>
      </c>
      <c r="BV277" s="529" t="str">
        <f t="shared" si="188"/>
        <v>-</v>
      </c>
      <c r="BW277" s="529" t="str">
        <f t="shared" si="189"/>
        <v>-</v>
      </c>
      <c r="BX277" s="221" t="str">
        <f t="shared" si="190"/>
        <v>-</v>
      </c>
      <c r="BY277" s="730">
        <f>SUM('MAE - Audience Level Data'!I39:J39)</f>
        <v>0</v>
      </c>
      <c r="BZ277" s="692">
        <f>SUM('MAE - Audience Level Data'!G39:H39,'MAE - Audience Level Data'!K39:L39)</f>
        <v>0</v>
      </c>
      <c r="CA277" s="693">
        <f t="shared" si="192"/>
        <v>0</v>
      </c>
      <c r="CB277" s="407" t="str">
        <f t="shared" si="191"/>
        <v>-</v>
      </c>
      <c r="CC277" s="529" t="str">
        <f t="shared" si="217"/>
        <v>-</v>
      </c>
      <c r="CD277" s="221" t="str">
        <f t="shared" ref="CD277:CD308" si="223">IFERROR(BS277/CA277,"-")</f>
        <v>-</v>
      </c>
    </row>
    <row r="278" spans="1:82" ht="15.75" customHeight="1">
      <c r="A278" s="175">
        <f t="shared" si="204"/>
        <v>2026</v>
      </c>
      <c r="B278" s="454" t="str">
        <f t="shared" si="205"/>
        <v>12</v>
      </c>
      <c r="C278" s="454" t="str">
        <f t="array" ref="C278">_xlfn.IFS(_xlfn.NUMBERVALUE(B278)&lt;=13,"Q1",AND(_xlfn.NUMBERVALUE(B278)&gt;13,_xlfn.NUMBERVALUE(B278)&lt;=26),"Q2", AND(_xlfn.NUMBERVALUE(B278)&gt;26,_xlfn.NUMBERVALUE(B278)&lt;=39),"Q3",_xlfn.NUMBERVALUE(B278)&gt;39,"Q4")</f>
        <v>Q1</v>
      </c>
      <c r="D278" s="448">
        <f t="shared" si="218"/>
        <v>45766</v>
      </c>
      <c r="E278" s="448">
        <f t="shared" si="206"/>
        <v>45772</v>
      </c>
      <c r="F278" s="97">
        <v>202512</v>
      </c>
      <c r="G278" s="103"/>
      <c r="H278" s="429"/>
      <c r="I278" s="429"/>
      <c r="J278" s="429"/>
      <c r="K278" s="429"/>
      <c r="L278" s="429"/>
      <c r="M278" s="429"/>
      <c r="N278" s="429"/>
      <c r="O278" s="429"/>
      <c r="P278" s="429"/>
      <c r="Q278" s="429"/>
      <c r="R278" s="429"/>
      <c r="S278" s="429"/>
      <c r="T278" s="429"/>
      <c r="U278" s="429"/>
      <c r="V278" s="429"/>
      <c r="W278" s="429"/>
      <c r="X278" s="429"/>
      <c r="Y278" s="449"/>
      <c r="Z278" s="449">
        <f>SUM('Overall Metrics'!AU279,'Overall Metrics'!AT279)</f>
        <v>0</v>
      </c>
      <c r="AA278" s="214">
        <f t="shared" si="222"/>
        <v>0</v>
      </c>
      <c r="AB278" s="446"/>
      <c r="AC278" s="446"/>
      <c r="AD278" s="446"/>
      <c r="AE278" s="446"/>
      <c r="AF278" s="446"/>
      <c r="AG278" s="446"/>
      <c r="AH278" s="446"/>
      <c r="AI278" s="446"/>
      <c r="AJ278" s="446"/>
      <c r="AK278" s="446"/>
      <c r="AL278" s="446"/>
      <c r="AM278" s="446"/>
      <c r="AN278" s="446"/>
      <c r="AO278" s="446"/>
      <c r="AP278" s="446"/>
      <c r="AQ278" s="446"/>
      <c r="AR278" s="219">
        <f t="shared" si="207"/>
        <v>0</v>
      </c>
      <c r="AS278" s="220" t="str">
        <f t="shared" si="208"/>
        <v>-</v>
      </c>
      <c r="AT278" s="472" t="str">
        <f t="shared" si="209"/>
        <v>-</v>
      </c>
      <c r="AU278" s="472" t="str">
        <f t="shared" si="210"/>
        <v>-</v>
      </c>
      <c r="AV278" s="472" t="str">
        <f t="shared" si="211"/>
        <v>-</v>
      </c>
      <c r="AW278" s="472" t="str">
        <f t="shared" si="212"/>
        <v>-</v>
      </c>
      <c r="AX278" s="472" t="str">
        <f t="shared" si="213"/>
        <v>-</v>
      </c>
      <c r="AY278" s="472" t="str">
        <f t="shared" si="194"/>
        <v>-</v>
      </c>
      <c r="AZ278" s="472" t="str">
        <f t="shared" si="202"/>
        <v>-</v>
      </c>
      <c r="BA278" s="472" t="str">
        <f t="shared" si="203"/>
        <v>-</v>
      </c>
      <c r="BB278" s="472" t="str">
        <f t="shared" si="195"/>
        <v>-</v>
      </c>
      <c r="BC278" s="472" t="str">
        <f t="shared" si="196"/>
        <v>-</v>
      </c>
      <c r="BD278" s="472" t="str">
        <f t="shared" si="197"/>
        <v>-</v>
      </c>
      <c r="BE278" s="472" t="str">
        <f t="shared" si="198"/>
        <v>-</v>
      </c>
      <c r="BF278" s="472" t="str">
        <f t="shared" si="199"/>
        <v>-</v>
      </c>
      <c r="BG278" s="472" t="str">
        <f t="shared" si="200"/>
        <v>-</v>
      </c>
      <c r="BH278" s="472" t="str">
        <f t="shared" si="201"/>
        <v>-</v>
      </c>
      <c r="BI278" s="221" t="str">
        <f t="shared" si="214"/>
        <v>-</v>
      </c>
      <c r="BJ278" s="692">
        <f>SUM('MAE - Audience Level Data'!O40,'MAE - Audience Level Data'!P40)</f>
        <v>0</v>
      </c>
      <c r="BK278" s="692">
        <f>SUM('MAE - Audience Level Data'!M40,'MAE - Audience Level Data'!N40,'MAE - Audience Level Data'!Q40,'MAE - Audience Level Data'!R40)</f>
        <v>0</v>
      </c>
      <c r="BL278" s="89"/>
      <c r="BM278" s="89"/>
      <c r="BN278" s="214">
        <f t="shared" si="215"/>
        <v>0</v>
      </c>
      <c r="BO278" s="742">
        <f>SUM('MAE - Audience Level Data'!U40:V40)</f>
        <v>0</v>
      </c>
      <c r="BP278" s="742">
        <f>SUM('MAE - Audience Level Data'!S40:T40,'MAE - Audience Level Data'!W40:X40)</f>
        <v>0</v>
      </c>
      <c r="BQ278" s="667"/>
      <c r="BR278" s="667"/>
      <c r="BS278" s="228">
        <f t="shared" si="216"/>
        <v>0</v>
      </c>
      <c r="BT278" s="407" t="str">
        <f t="shared" si="220"/>
        <v>-</v>
      </c>
      <c r="BU278" s="529" t="str">
        <f t="shared" si="221"/>
        <v>-</v>
      </c>
      <c r="BV278" s="529" t="str">
        <f t="shared" si="188"/>
        <v>-</v>
      </c>
      <c r="BW278" s="529" t="str">
        <f t="shared" si="189"/>
        <v>-</v>
      </c>
      <c r="BX278" s="221" t="str">
        <f t="shared" si="190"/>
        <v>-</v>
      </c>
      <c r="BY278" s="730">
        <f>SUM('MAE - Audience Level Data'!I40:J40)</f>
        <v>0</v>
      </c>
      <c r="BZ278" s="692">
        <f>SUM('MAE - Audience Level Data'!G40:H40,'MAE - Audience Level Data'!K40:L40)</f>
        <v>0</v>
      </c>
      <c r="CA278" s="693">
        <f t="shared" si="192"/>
        <v>0</v>
      </c>
      <c r="CB278" s="407" t="str">
        <f t="shared" si="191"/>
        <v>-</v>
      </c>
      <c r="CC278" s="529" t="str">
        <f t="shared" si="217"/>
        <v>-</v>
      </c>
      <c r="CD278" s="221" t="str">
        <f t="shared" si="223"/>
        <v>-</v>
      </c>
    </row>
    <row r="279" spans="1:82" ht="15.75" customHeight="1">
      <c r="A279" s="175">
        <f t="shared" si="204"/>
        <v>2026</v>
      </c>
      <c r="B279" s="454" t="str">
        <f t="shared" si="205"/>
        <v>13</v>
      </c>
      <c r="C279" s="454" t="str">
        <f t="array" ref="C279">_xlfn.IFS(_xlfn.NUMBERVALUE(B279)&lt;=13,"Q1",AND(_xlfn.NUMBERVALUE(B279)&gt;13,_xlfn.NUMBERVALUE(B279)&lt;=26),"Q2", AND(_xlfn.NUMBERVALUE(B279)&gt;26,_xlfn.NUMBERVALUE(B279)&lt;=39),"Q3",_xlfn.NUMBERVALUE(B279)&gt;39,"Q4")</f>
        <v>Q1</v>
      </c>
      <c r="D279" s="448">
        <f t="shared" si="218"/>
        <v>45773</v>
      </c>
      <c r="E279" s="448">
        <f t="shared" si="206"/>
        <v>45779</v>
      </c>
      <c r="F279" s="97">
        <v>202513</v>
      </c>
      <c r="G279" s="103"/>
      <c r="H279" s="429"/>
      <c r="I279" s="429"/>
      <c r="J279" s="429"/>
      <c r="K279" s="429"/>
      <c r="L279" s="429"/>
      <c r="M279" s="429"/>
      <c r="N279" s="429"/>
      <c r="O279" s="429"/>
      <c r="P279" s="429"/>
      <c r="Q279" s="429"/>
      <c r="R279" s="429"/>
      <c r="S279" s="429"/>
      <c r="T279" s="429"/>
      <c r="U279" s="429"/>
      <c r="V279" s="429"/>
      <c r="W279" s="429"/>
      <c r="X279" s="429"/>
      <c r="Y279" s="449"/>
      <c r="Z279" s="449">
        <f>SUM('Overall Metrics'!AU280,'Overall Metrics'!AT280)</f>
        <v>0</v>
      </c>
      <c r="AA279" s="214">
        <f t="shared" si="222"/>
        <v>0</v>
      </c>
      <c r="AB279" s="446"/>
      <c r="AC279" s="446"/>
      <c r="AD279" s="446"/>
      <c r="AE279" s="446"/>
      <c r="AF279" s="446"/>
      <c r="AG279" s="446"/>
      <c r="AH279" s="446"/>
      <c r="AI279" s="446"/>
      <c r="AJ279" s="446"/>
      <c r="AK279" s="446"/>
      <c r="AL279" s="446"/>
      <c r="AM279" s="446"/>
      <c r="AN279" s="446"/>
      <c r="AO279" s="446"/>
      <c r="AP279" s="446"/>
      <c r="AQ279" s="446"/>
      <c r="AR279" s="219">
        <f t="shared" si="207"/>
        <v>0</v>
      </c>
      <c r="AS279" s="220" t="str">
        <f t="shared" si="208"/>
        <v>-</v>
      </c>
      <c r="AT279" s="472" t="str">
        <f t="shared" si="209"/>
        <v>-</v>
      </c>
      <c r="AU279" s="472" t="str">
        <f t="shared" si="210"/>
        <v>-</v>
      </c>
      <c r="AV279" s="472" t="str">
        <f t="shared" si="211"/>
        <v>-</v>
      </c>
      <c r="AW279" s="472" t="str">
        <f t="shared" si="212"/>
        <v>-</v>
      </c>
      <c r="AX279" s="472" t="str">
        <f t="shared" si="213"/>
        <v>-</v>
      </c>
      <c r="AY279" s="472" t="str">
        <f t="shared" si="194"/>
        <v>-</v>
      </c>
      <c r="AZ279" s="472" t="str">
        <f t="shared" si="202"/>
        <v>-</v>
      </c>
      <c r="BA279" s="472" t="str">
        <f t="shared" si="203"/>
        <v>-</v>
      </c>
      <c r="BB279" s="472" t="str">
        <f t="shared" si="195"/>
        <v>-</v>
      </c>
      <c r="BC279" s="472" t="str">
        <f t="shared" si="196"/>
        <v>-</v>
      </c>
      <c r="BD279" s="472" t="str">
        <f t="shared" si="197"/>
        <v>-</v>
      </c>
      <c r="BE279" s="472" t="str">
        <f t="shared" si="198"/>
        <v>-</v>
      </c>
      <c r="BF279" s="472" t="str">
        <f t="shared" si="199"/>
        <v>-</v>
      </c>
      <c r="BG279" s="472" t="str">
        <f t="shared" si="200"/>
        <v>-</v>
      </c>
      <c r="BH279" s="472" t="str">
        <f t="shared" si="201"/>
        <v>-</v>
      </c>
      <c r="BI279" s="221" t="str">
        <f t="shared" si="214"/>
        <v>-</v>
      </c>
      <c r="BJ279" s="692">
        <f>SUM('MAE - Audience Level Data'!O41,'MAE - Audience Level Data'!P41)</f>
        <v>0</v>
      </c>
      <c r="BK279" s="692">
        <f>SUM('MAE - Audience Level Data'!M41,'MAE - Audience Level Data'!N41,'MAE - Audience Level Data'!Q41,'MAE - Audience Level Data'!R41)</f>
        <v>0</v>
      </c>
      <c r="BL279" s="89"/>
      <c r="BM279" s="89"/>
      <c r="BN279" s="214">
        <f t="shared" si="215"/>
        <v>0</v>
      </c>
      <c r="BO279" s="742">
        <f>SUM('MAE - Audience Level Data'!U41:V41)</f>
        <v>0</v>
      </c>
      <c r="BP279" s="742">
        <f>SUM('MAE - Audience Level Data'!S41:T41,'MAE - Audience Level Data'!W41:X41)</f>
        <v>0</v>
      </c>
      <c r="BQ279" s="667"/>
      <c r="BR279" s="667"/>
      <c r="BS279" s="228">
        <f t="shared" si="216"/>
        <v>0</v>
      </c>
      <c r="BT279" s="407" t="str">
        <f t="shared" si="220"/>
        <v>-</v>
      </c>
      <c r="BU279" s="529" t="str">
        <f t="shared" si="221"/>
        <v>-</v>
      </c>
      <c r="BV279" s="529" t="str">
        <f t="shared" ref="BV279:BV310" si="224">IFERROR(BQ279/BL279,"-")</f>
        <v>-</v>
      </c>
      <c r="BW279" s="529" t="str">
        <f t="shared" ref="BW279:BW310" si="225">IFERROR(BR279/BM279,"-")</f>
        <v>-</v>
      </c>
      <c r="BX279" s="221" t="str">
        <f t="shared" ref="BX279:BX310" si="226">IFERROR(BS279/BN279,"-")</f>
        <v>-</v>
      </c>
      <c r="BY279" s="730">
        <f>SUM('MAE - Audience Level Data'!I41:J41)</f>
        <v>0</v>
      </c>
      <c r="BZ279" s="692">
        <f>SUM('MAE - Audience Level Data'!G41:H41,'MAE - Audience Level Data'!K41:L41)</f>
        <v>0</v>
      </c>
      <c r="CA279" s="693">
        <f t="shared" si="192"/>
        <v>0</v>
      </c>
      <c r="CB279" s="407" t="str">
        <f t="shared" si="191"/>
        <v>-</v>
      </c>
      <c r="CC279" s="529" t="str">
        <f t="shared" si="217"/>
        <v>-</v>
      </c>
      <c r="CD279" s="221" t="str">
        <f t="shared" si="223"/>
        <v>-</v>
      </c>
    </row>
    <row r="280" spans="1:82" ht="15.75" customHeight="1">
      <c r="A280" s="175">
        <f t="shared" si="204"/>
        <v>2026</v>
      </c>
      <c r="B280" s="454" t="str">
        <f t="shared" si="205"/>
        <v>14</v>
      </c>
      <c r="C280" s="454" t="str">
        <f t="array" ref="C280">_xlfn.IFS(_xlfn.NUMBERVALUE(B280)&lt;=13,"Q1",AND(_xlfn.NUMBERVALUE(B280)&gt;13,_xlfn.NUMBERVALUE(B280)&lt;=26),"Q2", AND(_xlfn.NUMBERVALUE(B280)&gt;26,_xlfn.NUMBERVALUE(B280)&lt;=39),"Q3",_xlfn.NUMBERVALUE(B280)&gt;39,"Q4")</f>
        <v>Q2</v>
      </c>
      <c r="D280" s="448">
        <f t="shared" si="218"/>
        <v>45780</v>
      </c>
      <c r="E280" s="448">
        <f t="shared" si="206"/>
        <v>45786</v>
      </c>
      <c r="F280" s="97">
        <v>202514</v>
      </c>
      <c r="G280" s="103"/>
      <c r="H280" s="429"/>
      <c r="I280" s="429"/>
      <c r="J280" s="429"/>
      <c r="K280" s="429"/>
      <c r="L280" s="429"/>
      <c r="M280" s="429"/>
      <c r="N280" s="429"/>
      <c r="O280" s="429"/>
      <c r="P280" s="429"/>
      <c r="Q280" s="429"/>
      <c r="R280" s="429"/>
      <c r="S280" s="429"/>
      <c r="T280" s="429"/>
      <c r="U280" s="429"/>
      <c r="V280" s="429"/>
      <c r="W280" s="429"/>
      <c r="X280" s="429"/>
      <c r="Y280" s="449"/>
      <c r="Z280" s="449">
        <f>SUM('Overall Metrics'!AU281,'Overall Metrics'!AT281)</f>
        <v>0</v>
      </c>
      <c r="AA280" s="214">
        <f t="shared" si="222"/>
        <v>0</v>
      </c>
      <c r="AB280" s="446"/>
      <c r="AC280" s="446"/>
      <c r="AD280" s="446"/>
      <c r="AE280" s="446"/>
      <c r="AF280" s="446"/>
      <c r="AG280" s="446"/>
      <c r="AH280" s="446"/>
      <c r="AI280" s="446"/>
      <c r="AJ280" s="446"/>
      <c r="AK280" s="446"/>
      <c r="AL280" s="446"/>
      <c r="AM280" s="446"/>
      <c r="AN280" s="446"/>
      <c r="AO280" s="446"/>
      <c r="AP280" s="446"/>
      <c r="AQ280" s="446"/>
      <c r="AR280" s="219">
        <f t="shared" si="207"/>
        <v>0</v>
      </c>
      <c r="AS280" s="220" t="str">
        <f t="shared" si="208"/>
        <v>-</v>
      </c>
      <c r="AT280" s="472" t="str">
        <f t="shared" si="209"/>
        <v>-</v>
      </c>
      <c r="AU280" s="472" t="str">
        <f t="shared" si="210"/>
        <v>-</v>
      </c>
      <c r="AV280" s="472" t="str">
        <f t="shared" si="211"/>
        <v>-</v>
      </c>
      <c r="AW280" s="472" t="str">
        <f t="shared" si="212"/>
        <v>-</v>
      </c>
      <c r="AX280" s="472" t="str">
        <f t="shared" si="213"/>
        <v>-</v>
      </c>
      <c r="AY280" s="472" t="str">
        <f t="shared" si="194"/>
        <v>-</v>
      </c>
      <c r="AZ280" s="472" t="str">
        <f t="shared" si="202"/>
        <v>-</v>
      </c>
      <c r="BA280" s="472" t="str">
        <f t="shared" si="203"/>
        <v>-</v>
      </c>
      <c r="BB280" s="472" t="str">
        <f t="shared" si="195"/>
        <v>-</v>
      </c>
      <c r="BC280" s="472" t="str">
        <f t="shared" si="196"/>
        <v>-</v>
      </c>
      <c r="BD280" s="472" t="str">
        <f t="shared" si="197"/>
        <v>-</v>
      </c>
      <c r="BE280" s="472" t="str">
        <f t="shared" si="198"/>
        <v>-</v>
      </c>
      <c r="BF280" s="472" t="str">
        <f t="shared" si="199"/>
        <v>-</v>
      </c>
      <c r="BG280" s="472" t="str">
        <f t="shared" si="200"/>
        <v>-</v>
      </c>
      <c r="BH280" s="472" t="str">
        <f t="shared" si="201"/>
        <v>-</v>
      </c>
      <c r="BI280" s="221" t="str">
        <f t="shared" si="214"/>
        <v>-</v>
      </c>
      <c r="BJ280" s="692">
        <f>SUM('MAE - Audience Level Data'!O42,'MAE - Audience Level Data'!P42)</f>
        <v>0</v>
      </c>
      <c r="BK280" s="692">
        <f>SUM('MAE - Audience Level Data'!M42,'MAE - Audience Level Data'!N42,'MAE - Audience Level Data'!Q42,'MAE - Audience Level Data'!R42)</f>
        <v>0</v>
      </c>
      <c r="BL280" s="89"/>
      <c r="BM280" s="89"/>
      <c r="BN280" s="214">
        <f t="shared" si="215"/>
        <v>0</v>
      </c>
      <c r="BO280" s="742">
        <f>SUM('MAE - Audience Level Data'!U42:V42)</f>
        <v>0</v>
      </c>
      <c r="BP280" s="742">
        <f>SUM('MAE - Audience Level Data'!S42:T42,'MAE - Audience Level Data'!W42:X42)</f>
        <v>0</v>
      </c>
      <c r="BQ280" s="667"/>
      <c r="BR280" s="667"/>
      <c r="BS280" s="228">
        <f t="shared" si="216"/>
        <v>0</v>
      </c>
      <c r="BT280" s="407" t="str">
        <f t="shared" si="220"/>
        <v>-</v>
      </c>
      <c r="BU280" s="529" t="str">
        <f t="shared" si="221"/>
        <v>-</v>
      </c>
      <c r="BV280" s="529" t="str">
        <f t="shared" si="224"/>
        <v>-</v>
      </c>
      <c r="BW280" s="529" t="str">
        <f t="shared" si="225"/>
        <v>-</v>
      </c>
      <c r="BX280" s="221" t="str">
        <f t="shared" si="226"/>
        <v>-</v>
      </c>
      <c r="BY280" s="730">
        <f>SUM('MAE - Audience Level Data'!I42:J42)</f>
        <v>0</v>
      </c>
      <c r="BZ280" s="692">
        <f>SUM('MAE - Audience Level Data'!G42:H42,'MAE - Audience Level Data'!K42:L42)</f>
        <v>0</v>
      </c>
      <c r="CA280" s="693">
        <f t="shared" si="192"/>
        <v>0</v>
      </c>
      <c r="CB280" s="407" t="str">
        <f t="shared" ref="CB280:CB311" si="227">IFERROR(BO280/BY280,"-")</f>
        <v>-</v>
      </c>
      <c r="CC280" s="529" t="str">
        <f t="shared" si="217"/>
        <v>-</v>
      </c>
      <c r="CD280" s="221" t="str">
        <f t="shared" si="223"/>
        <v>-</v>
      </c>
    </row>
    <row r="281" spans="1:82" ht="15.75" customHeight="1">
      <c r="A281" s="175">
        <f t="shared" si="204"/>
        <v>2026</v>
      </c>
      <c r="B281" s="454" t="str">
        <f t="shared" si="205"/>
        <v>15</v>
      </c>
      <c r="C281" s="454" t="str">
        <f t="array" ref="C281">_xlfn.IFS(_xlfn.NUMBERVALUE(B281)&lt;=13,"Q1",AND(_xlfn.NUMBERVALUE(B281)&gt;13,_xlfn.NUMBERVALUE(B281)&lt;=26),"Q2", AND(_xlfn.NUMBERVALUE(B281)&gt;26,_xlfn.NUMBERVALUE(B281)&lt;=39),"Q3",_xlfn.NUMBERVALUE(B281)&gt;39,"Q4")</f>
        <v>Q2</v>
      </c>
      <c r="D281" s="448">
        <f t="shared" si="218"/>
        <v>45787</v>
      </c>
      <c r="E281" s="448">
        <f t="shared" si="206"/>
        <v>45793</v>
      </c>
      <c r="F281" s="97">
        <v>202515</v>
      </c>
      <c r="G281" s="103"/>
      <c r="H281" s="429"/>
      <c r="I281" s="429"/>
      <c r="J281" s="429"/>
      <c r="K281" s="429"/>
      <c r="L281" s="429"/>
      <c r="M281" s="429"/>
      <c r="N281" s="429"/>
      <c r="O281" s="429"/>
      <c r="P281" s="429"/>
      <c r="Q281" s="429"/>
      <c r="R281" s="429"/>
      <c r="S281" s="429"/>
      <c r="T281" s="429"/>
      <c r="U281" s="429"/>
      <c r="V281" s="429"/>
      <c r="W281" s="429"/>
      <c r="X281" s="429"/>
      <c r="Y281" s="449"/>
      <c r="Z281" s="449">
        <f>SUM('Overall Metrics'!AU282,'Overall Metrics'!AT282)</f>
        <v>0</v>
      </c>
      <c r="AA281" s="214">
        <f t="shared" si="222"/>
        <v>0</v>
      </c>
      <c r="AB281" s="446"/>
      <c r="AC281" s="446"/>
      <c r="AD281" s="446"/>
      <c r="AE281" s="446"/>
      <c r="AF281" s="446"/>
      <c r="AG281" s="446"/>
      <c r="AH281" s="446"/>
      <c r="AI281" s="446"/>
      <c r="AJ281" s="446"/>
      <c r="AK281" s="446"/>
      <c r="AL281" s="446"/>
      <c r="AM281" s="446"/>
      <c r="AN281" s="446"/>
      <c r="AO281" s="446"/>
      <c r="AP281" s="446"/>
      <c r="AQ281" s="446"/>
      <c r="AR281" s="219">
        <f t="shared" si="207"/>
        <v>0</v>
      </c>
      <c r="AS281" s="220" t="str">
        <f t="shared" si="208"/>
        <v>-</v>
      </c>
      <c r="AT281" s="472" t="str">
        <f t="shared" si="209"/>
        <v>-</v>
      </c>
      <c r="AU281" s="472" t="str">
        <f t="shared" si="210"/>
        <v>-</v>
      </c>
      <c r="AV281" s="472" t="str">
        <f t="shared" si="211"/>
        <v>-</v>
      </c>
      <c r="AW281" s="472" t="str">
        <f t="shared" si="212"/>
        <v>-</v>
      </c>
      <c r="AX281" s="472" t="str">
        <f t="shared" si="213"/>
        <v>-</v>
      </c>
      <c r="AY281" s="472" t="str">
        <f t="shared" si="194"/>
        <v>-</v>
      </c>
      <c r="AZ281" s="472" t="str">
        <f t="shared" si="202"/>
        <v>-</v>
      </c>
      <c r="BA281" s="472" t="str">
        <f t="shared" si="203"/>
        <v>-</v>
      </c>
      <c r="BB281" s="472" t="str">
        <f t="shared" si="195"/>
        <v>-</v>
      </c>
      <c r="BC281" s="472" t="str">
        <f t="shared" si="196"/>
        <v>-</v>
      </c>
      <c r="BD281" s="472" t="str">
        <f t="shared" si="197"/>
        <v>-</v>
      </c>
      <c r="BE281" s="472" t="str">
        <f t="shared" si="198"/>
        <v>-</v>
      </c>
      <c r="BF281" s="472" t="str">
        <f t="shared" si="199"/>
        <v>-</v>
      </c>
      <c r="BG281" s="472" t="str">
        <f t="shared" si="200"/>
        <v>-</v>
      </c>
      <c r="BH281" s="472" t="str">
        <f t="shared" si="201"/>
        <v>-</v>
      </c>
      <c r="BI281" s="221" t="str">
        <f t="shared" si="214"/>
        <v>-</v>
      </c>
      <c r="BJ281" s="692">
        <f>SUM('MAE - Audience Level Data'!O43,'MAE - Audience Level Data'!P43)</f>
        <v>0</v>
      </c>
      <c r="BK281" s="692">
        <f>SUM('MAE - Audience Level Data'!M43,'MAE - Audience Level Data'!N43,'MAE - Audience Level Data'!Q43,'MAE - Audience Level Data'!R43)</f>
        <v>0</v>
      </c>
      <c r="BL281" s="89"/>
      <c r="BM281" s="89"/>
      <c r="BN281" s="214">
        <f t="shared" si="215"/>
        <v>0</v>
      </c>
      <c r="BO281" s="742">
        <f>SUM('MAE - Audience Level Data'!U43:V43)</f>
        <v>0</v>
      </c>
      <c r="BP281" s="742">
        <f>SUM('MAE - Audience Level Data'!S43:T43,'MAE - Audience Level Data'!W43:X43)</f>
        <v>0</v>
      </c>
      <c r="BQ281" s="667"/>
      <c r="BR281" s="667"/>
      <c r="BS281" s="228">
        <f t="shared" si="216"/>
        <v>0</v>
      </c>
      <c r="BT281" s="407" t="str">
        <f t="shared" si="220"/>
        <v>-</v>
      </c>
      <c r="BU281" s="529" t="str">
        <f t="shared" si="221"/>
        <v>-</v>
      </c>
      <c r="BV281" s="529" t="str">
        <f t="shared" si="224"/>
        <v>-</v>
      </c>
      <c r="BW281" s="529" t="str">
        <f t="shared" si="225"/>
        <v>-</v>
      </c>
      <c r="BX281" s="221" t="str">
        <f t="shared" si="226"/>
        <v>-</v>
      </c>
      <c r="BY281" s="730">
        <f>SUM('MAE - Audience Level Data'!I43:J43)</f>
        <v>0</v>
      </c>
      <c r="BZ281" s="692">
        <f>SUM('MAE - Audience Level Data'!G43:H43,'MAE - Audience Level Data'!K43:L43)</f>
        <v>0</v>
      </c>
      <c r="CA281" s="693">
        <f t="shared" ref="CA281:CA312" si="228">SUM(BY281:BZ281)</f>
        <v>0</v>
      </c>
      <c r="CB281" s="407" t="str">
        <f t="shared" si="227"/>
        <v>-</v>
      </c>
      <c r="CC281" s="529" t="str">
        <f t="shared" si="217"/>
        <v>-</v>
      </c>
      <c r="CD281" s="221" t="str">
        <f t="shared" si="223"/>
        <v>-</v>
      </c>
    </row>
    <row r="282" spans="1:82" ht="15.75" customHeight="1">
      <c r="A282" s="175">
        <f t="shared" si="204"/>
        <v>2026</v>
      </c>
      <c r="B282" s="454" t="str">
        <f t="shared" si="205"/>
        <v>16</v>
      </c>
      <c r="C282" s="454" t="str">
        <f t="array" ref="C282">_xlfn.IFS(_xlfn.NUMBERVALUE(B282)&lt;=13,"Q1",AND(_xlfn.NUMBERVALUE(B282)&gt;13,_xlfn.NUMBERVALUE(B282)&lt;=26),"Q2", AND(_xlfn.NUMBERVALUE(B282)&gt;26,_xlfn.NUMBERVALUE(B282)&lt;=39),"Q3",_xlfn.NUMBERVALUE(B282)&gt;39,"Q4")</f>
        <v>Q2</v>
      </c>
      <c r="D282" s="448">
        <f t="shared" si="218"/>
        <v>45794</v>
      </c>
      <c r="E282" s="448">
        <f t="shared" si="206"/>
        <v>45800</v>
      </c>
      <c r="F282" s="97">
        <v>202516</v>
      </c>
      <c r="G282" s="103"/>
      <c r="H282" s="429"/>
      <c r="I282" s="429"/>
      <c r="J282" s="429"/>
      <c r="K282" s="429"/>
      <c r="L282" s="429"/>
      <c r="M282" s="429"/>
      <c r="N282" s="429"/>
      <c r="O282" s="429"/>
      <c r="P282" s="429"/>
      <c r="Q282" s="429"/>
      <c r="R282" s="429"/>
      <c r="S282" s="429"/>
      <c r="T282" s="429"/>
      <c r="U282" s="429"/>
      <c r="V282" s="429"/>
      <c r="W282" s="429"/>
      <c r="X282" s="429"/>
      <c r="Y282" s="449"/>
      <c r="Z282" s="449">
        <f>SUM('Overall Metrics'!AU283,'Overall Metrics'!AT283)</f>
        <v>0</v>
      </c>
      <c r="AA282" s="214">
        <f t="shared" si="222"/>
        <v>0</v>
      </c>
      <c r="AB282" s="446"/>
      <c r="AC282" s="446"/>
      <c r="AD282" s="446"/>
      <c r="AE282" s="446"/>
      <c r="AF282" s="446"/>
      <c r="AG282" s="446"/>
      <c r="AH282" s="446"/>
      <c r="AI282" s="446"/>
      <c r="AJ282" s="446"/>
      <c r="AK282" s="446"/>
      <c r="AL282" s="446"/>
      <c r="AM282" s="446"/>
      <c r="AN282" s="446"/>
      <c r="AO282" s="446"/>
      <c r="AP282" s="446"/>
      <c r="AQ282" s="446"/>
      <c r="AR282" s="219">
        <f t="shared" si="207"/>
        <v>0</v>
      </c>
      <c r="AS282" s="220" t="str">
        <f t="shared" si="208"/>
        <v>-</v>
      </c>
      <c r="AT282" s="472" t="str">
        <f t="shared" si="209"/>
        <v>-</v>
      </c>
      <c r="AU282" s="472" t="str">
        <f t="shared" si="210"/>
        <v>-</v>
      </c>
      <c r="AV282" s="472" t="str">
        <f t="shared" si="211"/>
        <v>-</v>
      </c>
      <c r="AW282" s="472" t="str">
        <f t="shared" si="212"/>
        <v>-</v>
      </c>
      <c r="AX282" s="472" t="str">
        <f t="shared" si="213"/>
        <v>-</v>
      </c>
      <c r="AY282" s="472" t="str">
        <f t="shared" si="194"/>
        <v>-</v>
      </c>
      <c r="AZ282" s="472" t="str">
        <f t="shared" si="202"/>
        <v>-</v>
      </c>
      <c r="BA282" s="472" t="str">
        <f t="shared" si="203"/>
        <v>-</v>
      </c>
      <c r="BB282" s="472" t="str">
        <f t="shared" si="195"/>
        <v>-</v>
      </c>
      <c r="BC282" s="472" t="str">
        <f t="shared" si="196"/>
        <v>-</v>
      </c>
      <c r="BD282" s="472" t="str">
        <f t="shared" si="197"/>
        <v>-</v>
      </c>
      <c r="BE282" s="472" t="str">
        <f t="shared" si="198"/>
        <v>-</v>
      </c>
      <c r="BF282" s="472" t="str">
        <f t="shared" si="199"/>
        <v>-</v>
      </c>
      <c r="BG282" s="472" t="str">
        <f t="shared" si="200"/>
        <v>-</v>
      </c>
      <c r="BH282" s="472" t="str">
        <f t="shared" si="201"/>
        <v>-</v>
      </c>
      <c r="BI282" s="221" t="str">
        <f t="shared" si="214"/>
        <v>-</v>
      </c>
      <c r="BJ282" s="692">
        <f>SUM('MAE - Audience Level Data'!O44,'MAE - Audience Level Data'!P44)</f>
        <v>0</v>
      </c>
      <c r="BK282" s="692">
        <f>SUM('MAE - Audience Level Data'!M44,'MAE - Audience Level Data'!N44,'MAE - Audience Level Data'!Q44,'MAE - Audience Level Data'!R44)</f>
        <v>0</v>
      </c>
      <c r="BL282" s="89"/>
      <c r="BM282" s="89"/>
      <c r="BN282" s="214">
        <f t="shared" si="215"/>
        <v>0</v>
      </c>
      <c r="BO282" s="742">
        <f>SUM('MAE - Audience Level Data'!U44:V44)</f>
        <v>0</v>
      </c>
      <c r="BP282" s="742">
        <f>SUM('MAE - Audience Level Data'!S44:T44,'MAE - Audience Level Data'!W44:X44)</f>
        <v>0</v>
      </c>
      <c r="BQ282" s="667"/>
      <c r="BR282" s="667"/>
      <c r="BS282" s="228">
        <f t="shared" si="216"/>
        <v>0</v>
      </c>
      <c r="BT282" s="407" t="str">
        <f t="shared" si="220"/>
        <v>-</v>
      </c>
      <c r="BU282" s="529" t="str">
        <f t="shared" si="221"/>
        <v>-</v>
      </c>
      <c r="BV282" s="529" t="str">
        <f t="shared" si="224"/>
        <v>-</v>
      </c>
      <c r="BW282" s="529" t="str">
        <f t="shared" si="225"/>
        <v>-</v>
      </c>
      <c r="BX282" s="221" t="str">
        <f t="shared" si="226"/>
        <v>-</v>
      </c>
      <c r="BY282" s="730">
        <f>SUM('MAE - Audience Level Data'!I44:J44)</f>
        <v>0</v>
      </c>
      <c r="BZ282" s="692">
        <f>SUM('MAE - Audience Level Data'!G44:H44,'MAE - Audience Level Data'!K44:L44)</f>
        <v>0</v>
      </c>
      <c r="CA282" s="693">
        <f t="shared" si="228"/>
        <v>0</v>
      </c>
      <c r="CB282" s="407" t="str">
        <f t="shared" si="227"/>
        <v>-</v>
      </c>
      <c r="CC282" s="529" t="str">
        <f t="shared" si="217"/>
        <v>-</v>
      </c>
      <c r="CD282" s="221" t="str">
        <f t="shared" si="223"/>
        <v>-</v>
      </c>
    </row>
    <row r="283" spans="1:82" ht="15.75" customHeight="1">
      <c r="A283" s="175">
        <f t="shared" si="204"/>
        <v>2026</v>
      </c>
      <c r="B283" s="454" t="str">
        <f t="shared" si="205"/>
        <v>17</v>
      </c>
      <c r="C283" s="454" t="str">
        <f t="array" ref="C283">_xlfn.IFS(_xlfn.NUMBERVALUE(B283)&lt;=13,"Q1",AND(_xlfn.NUMBERVALUE(B283)&gt;13,_xlfn.NUMBERVALUE(B283)&lt;=26),"Q2", AND(_xlfn.NUMBERVALUE(B283)&gt;26,_xlfn.NUMBERVALUE(B283)&lt;=39),"Q3",_xlfn.NUMBERVALUE(B283)&gt;39,"Q4")</f>
        <v>Q2</v>
      </c>
      <c r="D283" s="448">
        <f t="shared" si="218"/>
        <v>45801</v>
      </c>
      <c r="E283" s="448">
        <f t="shared" si="206"/>
        <v>45807</v>
      </c>
      <c r="F283" s="97">
        <v>202517</v>
      </c>
      <c r="G283" s="103"/>
      <c r="H283" s="429"/>
      <c r="I283" s="429"/>
      <c r="J283" s="429"/>
      <c r="K283" s="429"/>
      <c r="L283" s="429"/>
      <c r="M283" s="429"/>
      <c r="N283" s="429"/>
      <c r="O283" s="429"/>
      <c r="P283" s="429"/>
      <c r="Q283" s="429"/>
      <c r="R283" s="429"/>
      <c r="S283" s="429"/>
      <c r="T283" s="429"/>
      <c r="U283" s="429"/>
      <c r="V283" s="429"/>
      <c r="W283" s="429"/>
      <c r="X283" s="429"/>
      <c r="Y283" s="449"/>
      <c r="Z283" s="449">
        <f>SUM('Overall Metrics'!AU284,'Overall Metrics'!AT284)</f>
        <v>0</v>
      </c>
      <c r="AA283" s="214">
        <f t="shared" si="222"/>
        <v>0</v>
      </c>
      <c r="AB283" s="446"/>
      <c r="AC283" s="446"/>
      <c r="AD283" s="446"/>
      <c r="AE283" s="446"/>
      <c r="AF283" s="446"/>
      <c r="AG283" s="446"/>
      <c r="AH283" s="446"/>
      <c r="AI283" s="446"/>
      <c r="AJ283" s="446"/>
      <c r="AK283" s="446"/>
      <c r="AL283" s="446"/>
      <c r="AM283" s="446"/>
      <c r="AN283" s="446"/>
      <c r="AO283" s="446"/>
      <c r="AP283" s="446"/>
      <c r="AQ283" s="446"/>
      <c r="AR283" s="219">
        <f t="shared" si="207"/>
        <v>0</v>
      </c>
      <c r="AS283" s="220" t="str">
        <f t="shared" si="208"/>
        <v>-</v>
      </c>
      <c r="AT283" s="472" t="str">
        <f t="shared" si="209"/>
        <v>-</v>
      </c>
      <c r="AU283" s="472" t="str">
        <f t="shared" si="210"/>
        <v>-</v>
      </c>
      <c r="AV283" s="472" t="str">
        <f t="shared" si="211"/>
        <v>-</v>
      </c>
      <c r="AW283" s="472" t="str">
        <f t="shared" si="212"/>
        <v>-</v>
      </c>
      <c r="AX283" s="472" t="str">
        <f t="shared" si="213"/>
        <v>-</v>
      </c>
      <c r="AY283" s="472" t="str">
        <f t="shared" si="194"/>
        <v>-</v>
      </c>
      <c r="AZ283" s="472" t="str">
        <f t="shared" si="202"/>
        <v>-</v>
      </c>
      <c r="BA283" s="472" t="str">
        <f t="shared" si="203"/>
        <v>-</v>
      </c>
      <c r="BB283" s="472" t="str">
        <f t="shared" si="195"/>
        <v>-</v>
      </c>
      <c r="BC283" s="472" t="str">
        <f t="shared" si="196"/>
        <v>-</v>
      </c>
      <c r="BD283" s="472" t="str">
        <f t="shared" si="197"/>
        <v>-</v>
      </c>
      <c r="BE283" s="472" t="str">
        <f t="shared" si="198"/>
        <v>-</v>
      </c>
      <c r="BF283" s="472" t="str">
        <f t="shared" si="199"/>
        <v>-</v>
      </c>
      <c r="BG283" s="472" t="str">
        <f t="shared" si="200"/>
        <v>-</v>
      </c>
      <c r="BH283" s="472" t="str">
        <f t="shared" si="201"/>
        <v>-</v>
      </c>
      <c r="BI283" s="221" t="str">
        <f t="shared" si="214"/>
        <v>-</v>
      </c>
      <c r="BJ283" s="692">
        <f>SUM('MAE - Audience Level Data'!O45,'MAE - Audience Level Data'!P45)</f>
        <v>0</v>
      </c>
      <c r="BK283" s="692">
        <f>SUM('MAE - Audience Level Data'!M45,'MAE - Audience Level Data'!N45,'MAE - Audience Level Data'!Q45,'MAE - Audience Level Data'!R45)</f>
        <v>0</v>
      </c>
      <c r="BL283" s="89"/>
      <c r="BM283" s="89"/>
      <c r="BN283" s="214">
        <f t="shared" si="215"/>
        <v>0</v>
      </c>
      <c r="BO283" s="742">
        <f>SUM('MAE - Audience Level Data'!U45:V45)</f>
        <v>0</v>
      </c>
      <c r="BP283" s="742">
        <f>SUM('MAE - Audience Level Data'!S45:T45,'MAE - Audience Level Data'!W45:X45)</f>
        <v>0</v>
      </c>
      <c r="BQ283" s="667"/>
      <c r="BR283" s="667"/>
      <c r="BS283" s="228">
        <f t="shared" si="216"/>
        <v>0</v>
      </c>
      <c r="BT283" s="407" t="str">
        <f t="shared" si="220"/>
        <v>-</v>
      </c>
      <c r="BU283" s="529" t="str">
        <f t="shared" si="221"/>
        <v>-</v>
      </c>
      <c r="BV283" s="529" t="str">
        <f t="shared" si="224"/>
        <v>-</v>
      </c>
      <c r="BW283" s="529" t="str">
        <f t="shared" si="225"/>
        <v>-</v>
      </c>
      <c r="BX283" s="221" t="str">
        <f t="shared" si="226"/>
        <v>-</v>
      </c>
      <c r="BY283" s="730">
        <f>SUM('MAE - Audience Level Data'!I45:J45)</f>
        <v>0</v>
      </c>
      <c r="BZ283" s="692">
        <f>SUM('MAE - Audience Level Data'!G45:H45,'MAE - Audience Level Data'!K45:L45)</f>
        <v>0</v>
      </c>
      <c r="CA283" s="693">
        <f t="shared" si="228"/>
        <v>0</v>
      </c>
      <c r="CB283" s="407" t="str">
        <f t="shared" si="227"/>
        <v>-</v>
      </c>
      <c r="CC283" s="529" t="str">
        <f t="shared" si="217"/>
        <v>-</v>
      </c>
      <c r="CD283" s="221" t="str">
        <f t="shared" si="223"/>
        <v>-</v>
      </c>
    </row>
    <row r="284" spans="1:82" ht="15.75" customHeight="1">
      <c r="A284" s="175">
        <f t="shared" si="204"/>
        <v>2026</v>
      </c>
      <c r="B284" s="454" t="str">
        <f t="shared" si="205"/>
        <v>18</v>
      </c>
      <c r="C284" s="454" t="str">
        <f t="array" ref="C284">_xlfn.IFS(_xlfn.NUMBERVALUE(B284)&lt;=13,"Q1",AND(_xlfn.NUMBERVALUE(B284)&gt;13,_xlfn.NUMBERVALUE(B284)&lt;=26),"Q2", AND(_xlfn.NUMBERVALUE(B284)&gt;26,_xlfn.NUMBERVALUE(B284)&lt;=39),"Q3",_xlfn.NUMBERVALUE(B284)&gt;39,"Q4")</f>
        <v>Q2</v>
      </c>
      <c r="D284" s="448">
        <f t="shared" si="218"/>
        <v>45808</v>
      </c>
      <c r="E284" s="448">
        <f t="shared" si="206"/>
        <v>45814</v>
      </c>
      <c r="F284" s="97">
        <v>202518</v>
      </c>
      <c r="G284" s="103"/>
      <c r="H284" s="429"/>
      <c r="I284" s="429"/>
      <c r="J284" s="429"/>
      <c r="K284" s="429"/>
      <c r="L284" s="429"/>
      <c r="M284" s="429"/>
      <c r="N284" s="429"/>
      <c r="O284" s="429"/>
      <c r="P284" s="429"/>
      <c r="Q284" s="429"/>
      <c r="R284" s="429"/>
      <c r="S284" s="429"/>
      <c r="T284" s="429"/>
      <c r="U284" s="429"/>
      <c r="V284" s="429"/>
      <c r="W284" s="429"/>
      <c r="X284" s="429"/>
      <c r="Y284" s="449"/>
      <c r="Z284" s="449">
        <f>SUM('Overall Metrics'!AU285,'Overall Metrics'!AT285)</f>
        <v>0</v>
      </c>
      <c r="AA284" s="214">
        <f t="shared" si="222"/>
        <v>0</v>
      </c>
      <c r="AB284" s="446"/>
      <c r="AC284" s="446"/>
      <c r="AD284" s="446"/>
      <c r="AE284" s="446"/>
      <c r="AF284" s="446"/>
      <c r="AG284" s="446"/>
      <c r="AH284" s="446"/>
      <c r="AI284" s="446"/>
      <c r="AJ284" s="446"/>
      <c r="AK284" s="446"/>
      <c r="AL284" s="446"/>
      <c r="AM284" s="446"/>
      <c r="AN284" s="446"/>
      <c r="AO284" s="446"/>
      <c r="AP284" s="446"/>
      <c r="AQ284" s="446"/>
      <c r="AR284" s="219">
        <f t="shared" si="207"/>
        <v>0</v>
      </c>
      <c r="AS284" s="220" t="str">
        <f t="shared" si="208"/>
        <v>-</v>
      </c>
      <c r="AT284" s="472" t="str">
        <f t="shared" si="209"/>
        <v>-</v>
      </c>
      <c r="AU284" s="472" t="str">
        <f t="shared" si="210"/>
        <v>-</v>
      </c>
      <c r="AV284" s="472" t="str">
        <f t="shared" si="211"/>
        <v>-</v>
      </c>
      <c r="AW284" s="472" t="str">
        <f t="shared" si="212"/>
        <v>-</v>
      </c>
      <c r="AX284" s="472" t="str">
        <f t="shared" si="213"/>
        <v>-</v>
      </c>
      <c r="AY284" s="472" t="str">
        <f t="shared" si="194"/>
        <v>-</v>
      </c>
      <c r="AZ284" s="472" t="str">
        <f t="shared" si="202"/>
        <v>-</v>
      </c>
      <c r="BA284" s="472" t="str">
        <f t="shared" si="203"/>
        <v>-</v>
      </c>
      <c r="BB284" s="472" t="str">
        <f t="shared" si="195"/>
        <v>-</v>
      </c>
      <c r="BC284" s="472" t="str">
        <f t="shared" si="196"/>
        <v>-</v>
      </c>
      <c r="BD284" s="472" t="str">
        <f t="shared" si="197"/>
        <v>-</v>
      </c>
      <c r="BE284" s="472" t="str">
        <f t="shared" si="198"/>
        <v>-</v>
      </c>
      <c r="BF284" s="472" t="str">
        <f t="shared" si="199"/>
        <v>-</v>
      </c>
      <c r="BG284" s="472" t="str">
        <f t="shared" si="200"/>
        <v>-</v>
      </c>
      <c r="BH284" s="472" t="str">
        <f t="shared" si="201"/>
        <v>-</v>
      </c>
      <c r="BI284" s="221" t="str">
        <f t="shared" si="214"/>
        <v>-</v>
      </c>
      <c r="BJ284" s="692">
        <f>SUM('MAE - Audience Level Data'!O46,'MAE - Audience Level Data'!P46)</f>
        <v>0</v>
      </c>
      <c r="BK284" s="692">
        <f>SUM('MAE - Audience Level Data'!M46,'MAE - Audience Level Data'!N46,'MAE - Audience Level Data'!Q46,'MAE - Audience Level Data'!R46)</f>
        <v>0</v>
      </c>
      <c r="BL284" s="89"/>
      <c r="BM284" s="89"/>
      <c r="BN284" s="214">
        <f t="shared" si="215"/>
        <v>0</v>
      </c>
      <c r="BO284" s="742">
        <f>SUM('MAE - Audience Level Data'!U46:V46)</f>
        <v>0</v>
      </c>
      <c r="BP284" s="742">
        <f>SUM('MAE - Audience Level Data'!S46:T46,'MAE - Audience Level Data'!W46:X46)</f>
        <v>0</v>
      </c>
      <c r="BQ284" s="667"/>
      <c r="BR284" s="667"/>
      <c r="BS284" s="228">
        <f t="shared" si="216"/>
        <v>0</v>
      </c>
      <c r="BT284" s="407" t="str">
        <f t="shared" si="220"/>
        <v>-</v>
      </c>
      <c r="BU284" s="529" t="str">
        <f t="shared" si="221"/>
        <v>-</v>
      </c>
      <c r="BV284" s="529" t="str">
        <f t="shared" si="224"/>
        <v>-</v>
      </c>
      <c r="BW284" s="529" t="str">
        <f t="shared" si="225"/>
        <v>-</v>
      </c>
      <c r="BX284" s="221" t="str">
        <f t="shared" si="226"/>
        <v>-</v>
      </c>
      <c r="BY284" s="730">
        <f>SUM('MAE - Audience Level Data'!I46:J46)</f>
        <v>0</v>
      </c>
      <c r="BZ284" s="692">
        <f>SUM('MAE - Audience Level Data'!G46:H46,'MAE - Audience Level Data'!K46:L46)</f>
        <v>0</v>
      </c>
      <c r="CA284" s="693">
        <f t="shared" si="228"/>
        <v>0</v>
      </c>
      <c r="CB284" s="407" t="str">
        <f t="shared" si="227"/>
        <v>-</v>
      </c>
      <c r="CC284" s="529" t="str">
        <f t="shared" si="217"/>
        <v>-</v>
      </c>
      <c r="CD284" s="221" t="str">
        <f t="shared" si="223"/>
        <v>-</v>
      </c>
    </row>
    <row r="285" spans="1:82" ht="15.75" customHeight="1">
      <c r="A285" s="175">
        <f t="shared" si="204"/>
        <v>2026</v>
      </c>
      <c r="B285" s="454" t="str">
        <f t="shared" si="205"/>
        <v>19</v>
      </c>
      <c r="C285" s="454" t="str">
        <f t="array" ref="C285">_xlfn.IFS(_xlfn.NUMBERVALUE(B285)&lt;=13,"Q1",AND(_xlfn.NUMBERVALUE(B285)&gt;13,_xlfn.NUMBERVALUE(B285)&lt;=26),"Q2", AND(_xlfn.NUMBERVALUE(B285)&gt;26,_xlfn.NUMBERVALUE(B285)&lt;=39),"Q3",_xlfn.NUMBERVALUE(B285)&gt;39,"Q4")</f>
        <v>Q2</v>
      </c>
      <c r="D285" s="448">
        <f t="shared" si="218"/>
        <v>45815</v>
      </c>
      <c r="E285" s="448">
        <f t="shared" si="206"/>
        <v>45821</v>
      </c>
      <c r="F285" s="97">
        <v>202519</v>
      </c>
      <c r="G285" s="103"/>
      <c r="H285" s="429"/>
      <c r="I285" s="429"/>
      <c r="J285" s="429"/>
      <c r="K285" s="429"/>
      <c r="L285" s="429"/>
      <c r="M285" s="429"/>
      <c r="N285" s="429"/>
      <c r="O285" s="429"/>
      <c r="P285" s="429"/>
      <c r="Q285" s="429"/>
      <c r="R285" s="429"/>
      <c r="S285" s="429"/>
      <c r="T285" s="429"/>
      <c r="U285" s="429"/>
      <c r="V285" s="429"/>
      <c r="W285" s="429"/>
      <c r="X285" s="429"/>
      <c r="Y285" s="449"/>
      <c r="Z285" s="449">
        <f>SUM('Overall Metrics'!AU286,'Overall Metrics'!AT286)</f>
        <v>0</v>
      </c>
      <c r="AA285" s="214">
        <f t="shared" si="222"/>
        <v>0</v>
      </c>
      <c r="AB285" s="446"/>
      <c r="AC285" s="446"/>
      <c r="AD285" s="446"/>
      <c r="AE285" s="446"/>
      <c r="AF285" s="446"/>
      <c r="AG285" s="446"/>
      <c r="AH285" s="446"/>
      <c r="AI285" s="446"/>
      <c r="AJ285" s="446"/>
      <c r="AK285" s="446"/>
      <c r="AL285" s="446"/>
      <c r="AM285" s="446"/>
      <c r="AN285" s="446"/>
      <c r="AO285" s="446"/>
      <c r="AP285" s="446"/>
      <c r="AQ285" s="446"/>
      <c r="AR285" s="219">
        <f t="shared" si="207"/>
        <v>0</v>
      </c>
      <c r="AS285" s="220" t="str">
        <f t="shared" si="208"/>
        <v>-</v>
      </c>
      <c r="AT285" s="472" t="str">
        <f t="shared" si="209"/>
        <v>-</v>
      </c>
      <c r="AU285" s="472" t="str">
        <f t="shared" si="210"/>
        <v>-</v>
      </c>
      <c r="AV285" s="472" t="str">
        <f t="shared" si="211"/>
        <v>-</v>
      </c>
      <c r="AW285" s="472" t="str">
        <f t="shared" si="212"/>
        <v>-</v>
      </c>
      <c r="AX285" s="472" t="str">
        <f t="shared" si="213"/>
        <v>-</v>
      </c>
      <c r="AY285" s="472" t="str">
        <f t="shared" ref="AY285:AY318" si="229">IFERROR(AH285/O285,"-")</f>
        <v>-</v>
      </c>
      <c r="AZ285" s="472" t="str">
        <f t="shared" si="202"/>
        <v>-</v>
      </c>
      <c r="BA285" s="472" t="str">
        <f t="shared" si="203"/>
        <v>-</v>
      </c>
      <c r="BB285" s="472" t="str">
        <f t="shared" ref="BB285:BB318" si="230">IFERROR(AK285/R285,"-")</f>
        <v>-</v>
      </c>
      <c r="BC285" s="472" t="str">
        <f t="shared" ref="BC285:BC318" si="231">IFERROR(AL285/S285,"-")</f>
        <v>-</v>
      </c>
      <c r="BD285" s="472" t="str">
        <f t="shared" ref="BD285:BD318" si="232">IFERROR(AM285/T285,"-")</f>
        <v>-</v>
      </c>
      <c r="BE285" s="472" t="str">
        <f t="shared" ref="BE285:BE318" si="233">IFERROR(AN285/U285,"-")</f>
        <v>-</v>
      </c>
      <c r="BF285" s="472" t="str">
        <f t="shared" ref="BF285:BF318" si="234">IFERROR(AO285/V285,"-")</f>
        <v>-</v>
      </c>
      <c r="BG285" s="472" t="str">
        <f t="shared" ref="BG285:BG318" si="235">IFERROR(AP285/W285,"-")</f>
        <v>-</v>
      </c>
      <c r="BH285" s="472" t="str">
        <f t="shared" ref="BH285:BH318" si="236">IFERROR(AQ285/X285,"-")</f>
        <v>-</v>
      </c>
      <c r="BI285" s="221" t="str">
        <f t="shared" si="214"/>
        <v>-</v>
      </c>
      <c r="BJ285" s="692">
        <f>SUM('MAE - Audience Level Data'!O47,'MAE - Audience Level Data'!P47)</f>
        <v>0</v>
      </c>
      <c r="BK285" s="692">
        <f>SUM('MAE - Audience Level Data'!M47,'MAE - Audience Level Data'!N47,'MAE - Audience Level Data'!Q47,'MAE - Audience Level Data'!R47)</f>
        <v>0</v>
      </c>
      <c r="BL285" s="89"/>
      <c r="BM285" s="89"/>
      <c r="BN285" s="214">
        <f t="shared" si="215"/>
        <v>0</v>
      </c>
      <c r="BO285" s="742">
        <f>SUM('MAE - Audience Level Data'!U47:V47)</f>
        <v>0</v>
      </c>
      <c r="BP285" s="742">
        <f>SUM('MAE - Audience Level Data'!S47:T47,'MAE - Audience Level Data'!W47:X47)</f>
        <v>0</v>
      </c>
      <c r="BQ285" s="667"/>
      <c r="BR285" s="667"/>
      <c r="BS285" s="228">
        <f t="shared" si="216"/>
        <v>0</v>
      </c>
      <c r="BT285" s="407" t="str">
        <f t="shared" si="220"/>
        <v>-</v>
      </c>
      <c r="BU285" s="529" t="str">
        <f t="shared" si="221"/>
        <v>-</v>
      </c>
      <c r="BV285" s="529" t="str">
        <f t="shared" si="224"/>
        <v>-</v>
      </c>
      <c r="BW285" s="529" t="str">
        <f t="shared" si="225"/>
        <v>-</v>
      </c>
      <c r="BX285" s="221" t="str">
        <f t="shared" si="226"/>
        <v>-</v>
      </c>
      <c r="BY285" s="730">
        <f>SUM('MAE - Audience Level Data'!I47:J47)</f>
        <v>0</v>
      </c>
      <c r="BZ285" s="692">
        <f>SUM('MAE - Audience Level Data'!G47:H47,'MAE - Audience Level Data'!K47:L47)</f>
        <v>0</v>
      </c>
      <c r="CA285" s="693">
        <f t="shared" si="228"/>
        <v>0</v>
      </c>
      <c r="CB285" s="407" t="str">
        <f t="shared" si="227"/>
        <v>-</v>
      </c>
      <c r="CC285" s="529" t="str">
        <f t="shared" si="217"/>
        <v>-</v>
      </c>
      <c r="CD285" s="221" t="str">
        <f t="shared" si="223"/>
        <v>-</v>
      </c>
    </row>
    <row r="286" spans="1:82" ht="15.75" customHeight="1">
      <c r="A286" s="175">
        <f t="shared" si="204"/>
        <v>2026</v>
      </c>
      <c r="B286" s="454" t="str">
        <f t="shared" si="205"/>
        <v>20</v>
      </c>
      <c r="C286" s="454" t="str">
        <f t="array" ref="C286">_xlfn.IFS(_xlfn.NUMBERVALUE(B286)&lt;=13,"Q1",AND(_xlfn.NUMBERVALUE(B286)&gt;13,_xlfn.NUMBERVALUE(B286)&lt;=26),"Q2", AND(_xlfn.NUMBERVALUE(B286)&gt;26,_xlfn.NUMBERVALUE(B286)&lt;=39),"Q3",_xlfn.NUMBERVALUE(B286)&gt;39,"Q4")</f>
        <v>Q2</v>
      </c>
      <c r="D286" s="448">
        <f t="shared" si="218"/>
        <v>45822</v>
      </c>
      <c r="E286" s="448">
        <f t="shared" si="206"/>
        <v>45828</v>
      </c>
      <c r="F286" s="97">
        <v>202520</v>
      </c>
      <c r="G286" s="103"/>
      <c r="H286" s="429"/>
      <c r="I286" s="429"/>
      <c r="J286" s="429"/>
      <c r="K286" s="429"/>
      <c r="L286" s="429"/>
      <c r="M286" s="429"/>
      <c r="N286" s="429"/>
      <c r="O286" s="429"/>
      <c r="P286" s="429"/>
      <c r="Q286" s="429"/>
      <c r="R286" s="429"/>
      <c r="S286" s="429"/>
      <c r="T286" s="429"/>
      <c r="U286" s="429"/>
      <c r="V286" s="429"/>
      <c r="W286" s="429"/>
      <c r="X286" s="429"/>
      <c r="Y286" s="449"/>
      <c r="Z286" s="449">
        <f>SUM('Overall Metrics'!AU287,'Overall Metrics'!AT287)</f>
        <v>0</v>
      </c>
      <c r="AA286" s="214">
        <f t="shared" si="222"/>
        <v>0</v>
      </c>
      <c r="AB286" s="446"/>
      <c r="AC286" s="446"/>
      <c r="AD286" s="446"/>
      <c r="AE286" s="446"/>
      <c r="AF286" s="446"/>
      <c r="AG286" s="446"/>
      <c r="AH286" s="446"/>
      <c r="AI286" s="446"/>
      <c r="AJ286" s="446"/>
      <c r="AK286" s="446"/>
      <c r="AL286" s="446"/>
      <c r="AM286" s="446"/>
      <c r="AN286" s="446"/>
      <c r="AO286" s="446"/>
      <c r="AP286" s="446"/>
      <c r="AQ286" s="446"/>
      <c r="AR286" s="219">
        <f t="shared" si="207"/>
        <v>0</v>
      </c>
      <c r="AS286" s="220" t="str">
        <f t="shared" si="208"/>
        <v>-</v>
      </c>
      <c r="AT286" s="472" t="str">
        <f t="shared" si="209"/>
        <v>-</v>
      </c>
      <c r="AU286" s="472" t="str">
        <f t="shared" si="210"/>
        <v>-</v>
      </c>
      <c r="AV286" s="472" t="str">
        <f t="shared" si="211"/>
        <v>-</v>
      </c>
      <c r="AW286" s="472" t="str">
        <f t="shared" si="212"/>
        <v>-</v>
      </c>
      <c r="AX286" s="472" t="str">
        <f t="shared" si="213"/>
        <v>-</v>
      </c>
      <c r="AY286" s="472" t="str">
        <f t="shared" si="229"/>
        <v>-</v>
      </c>
      <c r="AZ286" s="472" t="str">
        <f t="shared" si="202"/>
        <v>-</v>
      </c>
      <c r="BA286" s="472" t="str">
        <f t="shared" si="203"/>
        <v>-</v>
      </c>
      <c r="BB286" s="472" t="str">
        <f t="shared" si="230"/>
        <v>-</v>
      </c>
      <c r="BC286" s="472" t="str">
        <f t="shared" si="231"/>
        <v>-</v>
      </c>
      <c r="BD286" s="472" t="str">
        <f t="shared" si="232"/>
        <v>-</v>
      </c>
      <c r="BE286" s="472" t="str">
        <f t="shared" si="233"/>
        <v>-</v>
      </c>
      <c r="BF286" s="472" t="str">
        <f t="shared" si="234"/>
        <v>-</v>
      </c>
      <c r="BG286" s="472" t="str">
        <f t="shared" si="235"/>
        <v>-</v>
      </c>
      <c r="BH286" s="472" t="str">
        <f t="shared" si="236"/>
        <v>-</v>
      </c>
      <c r="BI286" s="221" t="str">
        <f t="shared" si="214"/>
        <v>-</v>
      </c>
      <c r="BJ286" s="692">
        <f>SUM('MAE - Audience Level Data'!O48,'MAE - Audience Level Data'!P48)</f>
        <v>0</v>
      </c>
      <c r="BK286" s="692">
        <f>SUM('MAE - Audience Level Data'!M48,'MAE - Audience Level Data'!N48,'MAE - Audience Level Data'!Q48,'MAE - Audience Level Data'!R48)</f>
        <v>0</v>
      </c>
      <c r="BL286" s="89"/>
      <c r="BM286" s="89"/>
      <c r="BN286" s="214">
        <f t="shared" si="215"/>
        <v>0</v>
      </c>
      <c r="BO286" s="742">
        <f>SUM('MAE - Audience Level Data'!U48:V48)</f>
        <v>0</v>
      </c>
      <c r="BP286" s="742">
        <f>SUM('MAE - Audience Level Data'!S48:T48,'MAE - Audience Level Data'!W48:X48)</f>
        <v>0</v>
      </c>
      <c r="BQ286" s="667"/>
      <c r="BR286" s="667"/>
      <c r="BS286" s="228">
        <f t="shared" si="216"/>
        <v>0</v>
      </c>
      <c r="BT286" s="407" t="str">
        <f t="shared" si="220"/>
        <v>-</v>
      </c>
      <c r="BU286" s="529" t="str">
        <f t="shared" si="221"/>
        <v>-</v>
      </c>
      <c r="BV286" s="529" t="str">
        <f t="shared" si="224"/>
        <v>-</v>
      </c>
      <c r="BW286" s="529" t="str">
        <f t="shared" si="225"/>
        <v>-</v>
      </c>
      <c r="BX286" s="221" t="str">
        <f t="shared" si="226"/>
        <v>-</v>
      </c>
      <c r="BY286" s="730">
        <f>SUM('MAE - Audience Level Data'!I48:J48)</f>
        <v>0</v>
      </c>
      <c r="BZ286" s="692">
        <f>SUM('MAE - Audience Level Data'!G48:H48,'MAE - Audience Level Data'!K48:L48)</f>
        <v>0</v>
      </c>
      <c r="CA286" s="693">
        <f t="shared" si="228"/>
        <v>0</v>
      </c>
      <c r="CB286" s="407" t="str">
        <f t="shared" si="227"/>
        <v>-</v>
      </c>
      <c r="CC286" s="529" t="str">
        <f t="shared" si="217"/>
        <v>-</v>
      </c>
      <c r="CD286" s="221" t="str">
        <f t="shared" si="223"/>
        <v>-</v>
      </c>
    </row>
    <row r="287" spans="1:82" ht="15.75" customHeight="1">
      <c r="A287" s="175">
        <f t="shared" si="204"/>
        <v>2026</v>
      </c>
      <c r="B287" s="454" t="str">
        <f t="shared" si="205"/>
        <v>21</v>
      </c>
      <c r="C287" s="454" t="str">
        <f t="array" ref="C287">_xlfn.IFS(_xlfn.NUMBERVALUE(B287)&lt;=13,"Q1",AND(_xlfn.NUMBERVALUE(B287)&gt;13,_xlfn.NUMBERVALUE(B287)&lt;=26),"Q2", AND(_xlfn.NUMBERVALUE(B287)&gt;26,_xlfn.NUMBERVALUE(B287)&lt;=39),"Q3",_xlfn.NUMBERVALUE(B287)&gt;39,"Q4")</f>
        <v>Q2</v>
      </c>
      <c r="D287" s="448">
        <f t="shared" si="218"/>
        <v>45829</v>
      </c>
      <c r="E287" s="448">
        <f t="shared" si="206"/>
        <v>45835</v>
      </c>
      <c r="F287" s="97">
        <v>202521</v>
      </c>
      <c r="G287" s="103"/>
      <c r="H287" s="429"/>
      <c r="I287" s="429"/>
      <c r="J287" s="429"/>
      <c r="K287" s="429"/>
      <c r="L287" s="429"/>
      <c r="M287" s="429"/>
      <c r="N287" s="429"/>
      <c r="O287" s="429"/>
      <c r="P287" s="429"/>
      <c r="Q287" s="429"/>
      <c r="R287" s="429"/>
      <c r="S287" s="429"/>
      <c r="T287" s="429"/>
      <c r="U287" s="429"/>
      <c r="V287" s="429"/>
      <c r="W287" s="429"/>
      <c r="X287" s="429"/>
      <c r="Y287" s="449"/>
      <c r="Z287" s="449">
        <f>SUM('Overall Metrics'!AU288,'Overall Metrics'!AT288)</f>
        <v>0</v>
      </c>
      <c r="AA287" s="214">
        <f t="shared" si="222"/>
        <v>0</v>
      </c>
      <c r="AB287" s="446"/>
      <c r="AC287" s="446"/>
      <c r="AD287" s="446"/>
      <c r="AE287" s="446"/>
      <c r="AF287" s="446"/>
      <c r="AG287" s="446"/>
      <c r="AH287" s="446"/>
      <c r="AI287" s="446"/>
      <c r="AJ287" s="446"/>
      <c r="AK287" s="446"/>
      <c r="AL287" s="446"/>
      <c r="AM287" s="446"/>
      <c r="AN287" s="446"/>
      <c r="AO287" s="446"/>
      <c r="AP287" s="446"/>
      <c r="AQ287" s="446"/>
      <c r="AR287" s="219">
        <f t="shared" si="207"/>
        <v>0</v>
      </c>
      <c r="AS287" s="220" t="str">
        <f t="shared" si="208"/>
        <v>-</v>
      </c>
      <c r="AT287" s="472" t="str">
        <f t="shared" si="209"/>
        <v>-</v>
      </c>
      <c r="AU287" s="472" t="str">
        <f t="shared" si="210"/>
        <v>-</v>
      </c>
      <c r="AV287" s="472" t="str">
        <f t="shared" si="211"/>
        <v>-</v>
      </c>
      <c r="AW287" s="472" t="str">
        <f t="shared" si="212"/>
        <v>-</v>
      </c>
      <c r="AX287" s="472" t="str">
        <f t="shared" si="213"/>
        <v>-</v>
      </c>
      <c r="AY287" s="472" t="str">
        <f t="shared" si="229"/>
        <v>-</v>
      </c>
      <c r="AZ287" s="472" t="str">
        <f t="shared" si="202"/>
        <v>-</v>
      </c>
      <c r="BA287" s="472" t="str">
        <f t="shared" si="203"/>
        <v>-</v>
      </c>
      <c r="BB287" s="472" t="str">
        <f t="shared" si="230"/>
        <v>-</v>
      </c>
      <c r="BC287" s="472" t="str">
        <f t="shared" si="231"/>
        <v>-</v>
      </c>
      <c r="BD287" s="472" t="str">
        <f t="shared" si="232"/>
        <v>-</v>
      </c>
      <c r="BE287" s="472" t="str">
        <f t="shared" si="233"/>
        <v>-</v>
      </c>
      <c r="BF287" s="472" t="str">
        <f t="shared" si="234"/>
        <v>-</v>
      </c>
      <c r="BG287" s="472" t="str">
        <f t="shared" si="235"/>
        <v>-</v>
      </c>
      <c r="BH287" s="472" t="str">
        <f t="shared" si="236"/>
        <v>-</v>
      </c>
      <c r="BI287" s="221" t="str">
        <f t="shared" si="214"/>
        <v>-</v>
      </c>
      <c r="BJ287" s="692">
        <f>SUM('MAE - Audience Level Data'!O49,'MAE - Audience Level Data'!P49)</f>
        <v>0</v>
      </c>
      <c r="BK287" s="692">
        <f>SUM('MAE - Audience Level Data'!M49,'MAE - Audience Level Data'!N49,'MAE - Audience Level Data'!Q49,'MAE - Audience Level Data'!R49)</f>
        <v>0</v>
      </c>
      <c r="BL287" s="89"/>
      <c r="BM287" s="89"/>
      <c r="BN287" s="214">
        <f t="shared" si="215"/>
        <v>0</v>
      </c>
      <c r="BO287" s="742">
        <f>SUM('MAE - Audience Level Data'!U49:V49)</f>
        <v>0</v>
      </c>
      <c r="BP287" s="742">
        <f>SUM('MAE - Audience Level Data'!S49:T49,'MAE - Audience Level Data'!W49:X49)</f>
        <v>0</v>
      </c>
      <c r="BQ287" s="667"/>
      <c r="BR287" s="667"/>
      <c r="BS287" s="228">
        <f t="shared" si="216"/>
        <v>0</v>
      </c>
      <c r="BT287" s="407" t="str">
        <f t="shared" si="220"/>
        <v>-</v>
      </c>
      <c r="BU287" s="529" t="str">
        <f t="shared" si="221"/>
        <v>-</v>
      </c>
      <c r="BV287" s="529" t="str">
        <f t="shared" si="224"/>
        <v>-</v>
      </c>
      <c r="BW287" s="529" t="str">
        <f t="shared" si="225"/>
        <v>-</v>
      </c>
      <c r="BX287" s="221" t="str">
        <f t="shared" si="226"/>
        <v>-</v>
      </c>
      <c r="BY287" s="730">
        <f>SUM('MAE - Audience Level Data'!I49:J49)</f>
        <v>0</v>
      </c>
      <c r="BZ287" s="692">
        <f>SUM('MAE - Audience Level Data'!G49:H49,'MAE - Audience Level Data'!K49:L49)</f>
        <v>0</v>
      </c>
      <c r="CA287" s="693">
        <f t="shared" si="228"/>
        <v>0</v>
      </c>
      <c r="CB287" s="407" t="str">
        <f t="shared" si="227"/>
        <v>-</v>
      </c>
      <c r="CC287" s="529" t="str">
        <f t="shared" si="217"/>
        <v>-</v>
      </c>
      <c r="CD287" s="221" t="str">
        <f t="shared" si="223"/>
        <v>-</v>
      </c>
    </row>
    <row r="288" spans="1:82" ht="15.75" customHeight="1">
      <c r="A288" s="175">
        <f t="shared" si="204"/>
        <v>2026</v>
      </c>
      <c r="B288" s="454" t="str">
        <f t="shared" si="205"/>
        <v>22</v>
      </c>
      <c r="C288" s="454" t="str">
        <f t="array" ref="C288">_xlfn.IFS(_xlfn.NUMBERVALUE(B288)&lt;=13,"Q1",AND(_xlfn.NUMBERVALUE(B288)&gt;13,_xlfn.NUMBERVALUE(B288)&lt;=26),"Q2", AND(_xlfn.NUMBERVALUE(B288)&gt;26,_xlfn.NUMBERVALUE(B288)&lt;=39),"Q3",_xlfn.NUMBERVALUE(B288)&gt;39,"Q4")</f>
        <v>Q2</v>
      </c>
      <c r="D288" s="448">
        <f t="shared" si="218"/>
        <v>45836</v>
      </c>
      <c r="E288" s="448">
        <f t="shared" si="206"/>
        <v>45842</v>
      </c>
      <c r="F288" s="97">
        <v>202522</v>
      </c>
      <c r="G288" s="103"/>
      <c r="H288" s="429"/>
      <c r="I288" s="429"/>
      <c r="J288" s="429"/>
      <c r="K288" s="429"/>
      <c r="L288" s="429"/>
      <c r="M288" s="429"/>
      <c r="N288" s="429"/>
      <c r="O288" s="429"/>
      <c r="P288" s="429"/>
      <c r="Q288" s="429"/>
      <c r="R288" s="429"/>
      <c r="S288" s="429"/>
      <c r="T288" s="429"/>
      <c r="U288" s="429"/>
      <c r="V288" s="429"/>
      <c r="W288" s="429"/>
      <c r="X288" s="429"/>
      <c r="Y288" s="449"/>
      <c r="Z288" s="449">
        <f>SUM('Overall Metrics'!AU289,'Overall Metrics'!AT289)</f>
        <v>0</v>
      </c>
      <c r="AA288" s="214">
        <f t="shared" si="222"/>
        <v>0</v>
      </c>
      <c r="AB288" s="446"/>
      <c r="AC288" s="446"/>
      <c r="AD288" s="446"/>
      <c r="AE288" s="446"/>
      <c r="AF288" s="446"/>
      <c r="AG288" s="446"/>
      <c r="AH288" s="446"/>
      <c r="AI288" s="446"/>
      <c r="AJ288" s="446"/>
      <c r="AK288" s="446"/>
      <c r="AL288" s="446"/>
      <c r="AM288" s="446"/>
      <c r="AN288" s="446"/>
      <c r="AO288" s="446"/>
      <c r="AP288" s="446"/>
      <c r="AQ288" s="446"/>
      <c r="AR288" s="219">
        <f t="shared" si="207"/>
        <v>0</v>
      </c>
      <c r="AS288" s="220" t="str">
        <f t="shared" si="208"/>
        <v>-</v>
      </c>
      <c r="AT288" s="472" t="str">
        <f t="shared" si="209"/>
        <v>-</v>
      </c>
      <c r="AU288" s="472" t="str">
        <f t="shared" si="210"/>
        <v>-</v>
      </c>
      <c r="AV288" s="472" t="str">
        <f t="shared" si="211"/>
        <v>-</v>
      </c>
      <c r="AW288" s="472" t="str">
        <f t="shared" si="212"/>
        <v>-</v>
      </c>
      <c r="AX288" s="472" t="str">
        <f t="shared" si="213"/>
        <v>-</v>
      </c>
      <c r="AY288" s="472" t="str">
        <f t="shared" si="229"/>
        <v>-</v>
      </c>
      <c r="AZ288" s="472" t="str">
        <f t="shared" ref="AZ288:AZ318" si="237">IFERROR(AI288/P288,"-")</f>
        <v>-</v>
      </c>
      <c r="BA288" s="472" t="str">
        <f t="shared" ref="BA288:BA318" si="238">IFERROR(AJ288/Q288,"-")</f>
        <v>-</v>
      </c>
      <c r="BB288" s="472" t="str">
        <f t="shared" si="230"/>
        <v>-</v>
      </c>
      <c r="BC288" s="472" t="str">
        <f t="shared" si="231"/>
        <v>-</v>
      </c>
      <c r="BD288" s="472" t="str">
        <f t="shared" si="232"/>
        <v>-</v>
      </c>
      <c r="BE288" s="472" t="str">
        <f t="shared" si="233"/>
        <v>-</v>
      </c>
      <c r="BF288" s="472" t="str">
        <f t="shared" si="234"/>
        <v>-</v>
      </c>
      <c r="BG288" s="472" t="str">
        <f t="shared" si="235"/>
        <v>-</v>
      </c>
      <c r="BH288" s="472" t="str">
        <f t="shared" si="236"/>
        <v>-</v>
      </c>
      <c r="BI288" s="221" t="str">
        <f t="shared" si="214"/>
        <v>-</v>
      </c>
      <c r="BJ288" s="692">
        <f>SUM('MAE - Audience Level Data'!O50,'MAE - Audience Level Data'!P50)</f>
        <v>0</v>
      </c>
      <c r="BK288" s="692">
        <f>SUM('MAE - Audience Level Data'!M50,'MAE - Audience Level Data'!N50,'MAE - Audience Level Data'!Q50,'MAE - Audience Level Data'!R50)</f>
        <v>0</v>
      </c>
      <c r="BL288" s="89"/>
      <c r="BM288" s="89"/>
      <c r="BN288" s="214">
        <f t="shared" si="215"/>
        <v>0</v>
      </c>
      <c r="BO288" s="742">
        <f>SUM('MAE - Audience Level Data'!U50:V50)</f>
        <v>0</v>
      </c>
      <c r="BP288" s="742">
        <f>SUM('MAE - Audience Level Data'!S50:T50,'MAE - Audience Level Data'!W50:X50)</f>
        <v>0</v>
      </c>
      <c r="BQ288" s="667"/>
      <c r="BR288" s="667"/>
      <c r="BS288" s="228">
        <f t="shared" si="216"/>
        <v>0</v>
      </c>
      <c r="BT288" s="407" t="str">
        <f t="shared" si="220"/>
        <v>-</v>
      </c>
      <c r="BU288" s="529" t="str">
        <f t="shared" si="221"/>
        <v>-</v>
      </c>
      <c r="BV288" s="529" t="str">
        <f t="shared" si="224"/>
        <v>-</v>
      </c>
      <c r="BW288" s="529" t="str">
        <f t="shared" si="225"/>
        <v>-</v>
      </c>
      <c r="BX288" s="221" t="str">
        <f t="shared" si="226"/>
        <v>-</v>
      </c>
      <c r="BY288" s="730">
        <f>SUM('MAE - Audience Level Data'!I50:J50)</f>
        <v>0</v>
      </c>
      <c r="BZ288" s="692">
        <f>SUM('MAE - Audience Level Data'!G50:H50,'MAE - Audience Level Data'!K50:L50)</f>
        <v>0</v>
      </c>
      <c r="CA288" s="693">
        <f t="shared" si="228"/>
        <v>0</v>
      </c>
      <c r="CB288" s="407" t="str">
        <f t="shared" si="227"/>
        <v>-</v>
      </c>
      <c r="CC288" s="529" t="str">
        <f t="shared" si="217"/>
        <v>-</v>
      </c>
      <c r="CD288" s="221" t="str">
        <f t="shared" si="223"/>
        <v>-</v>
      </c>
    </row>
    <row r="289" spans="1:82" ht="15.75" customHeight="1">
      <c r="A289" s="175">
        <f t="shared" si="204"/>
        <v>2026</v>
      </c>
      <c r="B289" s="454" t="str">
        <f t="shared" si="205"/>
        <v>23</v>
      </c>
      <c r="C289" s="454" t="str">
        <f t="array" ref="C289">_xlfn.IFS(_xlfn.NUMBERVALUE(B289)&lt;=13,"Q1",AND(_xlfn.NUMBERVALUE(B289)&gt;13,_xlfn.NUMBERVALUE(B289)&lt;=26),"Q2", AND(_xlfn.NUMBERVALUE(B289)&gt;26,_xlfn.NUMBERVALUE(B289)&lt;=39),"Q3",_xlfn.NUMBERVALUE(B289)&gt;39,"Q4")</f>
        <v>Q2</v>
      </c>
      <c r="D289" s="448">
        <f t="shared" si="218"/>
        <v>45843</v>
      </c>
      <c r="E289" s="448">
        <f t="shared" si="206"/>
        <v>45849</v>
      </c>
      <c r="F289" s="97">
        <v>202523</v>
      </c>
      <c r="G289" s="103"/>
      <c r="H289" s="429"/>
      <c r="I289" s="429"/>
      <c r="J289" s="429"/>
      <c r="K289" s="429"/>
      <c r="L289" s="429"/>
      <c r="M289" s="429"/>
      <c r="N289" s="429"/>
      <c r="O289" s="429"/>
      <c r="P289" s="429"/>
      <c r="Q289" s="429"/>
      <c r="R289" s="429"/>
      <c r="S289" s="429"/>
      <c r="T289" s="429"/>
      <c r="U289" s="429"/>
      <c r="V289" s="429"/>
      <c r="W289" s="429"/>
      <c r="X289" s="429"/>
      <c r="Y289" s="449"/>
      <c r="Z289" s="449">
        <f>SUM('Overall Metrics'!AU290,'Overall Metrics'!AT290)</f>
        <v>0</v>
      </c>
      <c r="AA289" s="214">
        <f t="shared" si="222"/>
        <v>0</v>
      </c>
      <c r="AB289" s="446"/>
      <c r="AC289" s="446"/>
      <c r="AD289" s="446"/>
      <c r="AE289" s="446"/>
      <c r="AF289" s="446"/>
      <c r="AG289" s="446"/>
      <c r="AH289" s="446"/>
      <c r="AI289" s="446"/>
      <c r="AJ289" s="446"/>
      <c r="AK289" s="446"/>
      <c r="AL289" s="446"/>
      <c r="AM289" s="446"/>
      <c r="AN289" s="446"/>
      <c r="AO289" s="446"/>
      <c r="AP289" s="446"/>
      <c r="AQ289" s="446"/>
      <c r="AR289" s="219">
        <f t="shared" si="207"/>
        <v>0</v>
      </c>
      <c r="AS289" s="220" t="str">
        <f t="shared" si="208"/>
        <v>-</v>
      </c>
      <c r="AT289" s="472" t="str">
        <f t="shared" si="209"/>
        <v>-</v>
      </c>
      <c r="AU289" s="472" t="str">
        <f t="shared" si="210"/>
        <v>-</v>
      </c>
      <c r="AV289" s="472" t="str">
        <f t="shared" si="211"/>
        <v>-</v>
      </c>
      <c r="AW289" s="472" t="str">
        <f t="shared" si="212"/>
        <v>-</v>
      </c>
      <c r="AX289" s="472" t="str">
        <f t="shared" si="213"/>
        <v>-</v>
      </c>
      <c r="AY289" s="472" t="str">
        <f t="shared" si="229"/>
        <v>-</v>
      </c>
      <c r="AZ289" s="472" t="str">
        <f t="shared" si="237"/>
        <v>-</v>
      </c>
      <c r="BA289" s="472" t="str">
        <f t="shared" si="238"/>
        <v>-</v>
      </c>
      <c r="BB289" s="472" t="str">
        <f t="shared" si="230"/>
        <v>-</v>
      </c>
      <c r="BC289" s="472" t="str">
        <f t="shared" si="231"/>
        <v>-</v>
      </c>
      <c r="BD289" s="472" t="str">
        <f t="shared" si="232"/>
        <v>-</v>
      </c>
      <c r="BE289" s="472" t="str">
        <f t="shared" si="233"/>
        <v>-</v>
      </c>
      <c r="BF289" s="472" t="str">
        <f t="shared" si="234"/>
        <v>-</v>
      </c>
      <c r="BG289" s="472" t="str">
        <f t="shared" si="235"/>
        <v>-</v>
      </c>
      <c r="BH289" s="472" t="str">
        <f t="shared" si="236"/>
        <v>-</v>
      </c>
      <c r="BI289" s="221" t="str">
        <f t="shared" si="214"/>
        <v>-</v>
      </c>
      <c r="BJ289" s="692">
        <f>SUM('MAE - Audience Level Data'!O51,'MAE - Audience Level Data'!P51)</f>
        <v>0</v>
      </c>
      <c r="BK289" s="692">
        <f>SUM('MAE - Audience Level Data'!M51,'MAE - Audience Level Data'!N51,'MAE - Audience Level Data'!Q51,'MAE - Audience Level Data'!R51)</f>
        <v>0</v>
      </c>
      <c r="BL289" s="89"/>
      <c r="BM289" s="89"/>
      <c r="BN289" s="214">
        <f t="shared" si="215"/>
        <v>0</v>
      </c>
      <c r="BO289" s="742">
        <f>SUM('MAE - Audience Level Data'!U51:V51)</f>
        <v>0</v>
      </c>
      <c r="BP289" s="742">
        <f>SUM('MAE - Audience Level Data'!S51:T51,'MAE - Audience Level Data'!W51:X51)</f>
        <v>0</v>
      </c>
      <c r="BQ289" s="667"/>
      <c r="BR289" s="667"/>
      <c r="BS289" s="228">
        <f t="shared" si="216"/>
        <v>0</v>
      </c>
      <c r="BT289" s="407" t="str">
        <f t="shared" si="220"/>
        <v>-</v>
      </c>
      <c r="BU289" s="529" t="str">
        <f t="shared" si="221"/>
        <v>-</v>
      </c>
      <c r="BV289" s="529" t="str">
        <f t="shared" si="224"/>
        <v>-</v>
      </c>
      <c r="BW289" s="529" t="str">
        <f t="shared" si="225"/>
        <v>-</v>
      </c>
      <c r="BX289" s="221" t="str">
        <f t="shared" si="226"/>
        <v>-</v>
      </c>
      <c r="BY289" s="730">
        <f>SUM('MAE - Audience Level Data'!I51:J51)</f>
        <v>0</v>
      </c>
      <c r="BZ289" s="692">
        <f>SUM('MAE - Audience Level Data'!G51:H51,'MAE - Audience Level Data'!K51:L51)</f>
        <v>0</v>
      </c>
      <c r="CA289" s="693">
        <f t="shared" si="228"/>
        <v>0</v>
      </c>
      <c r="CB289" s="407" t="str">
        <f t="shared" si="227"/>
        <v>-</v>
      </c>
      <c r="CC289" s="529" t="str">
        <f t="shared" si="217"/>
        <v>-</v>
      </c>
      <c r="CD289" s="221" t="str">
        <f t="shared" si="223"/>
        <v>-</v>
      </c>
    </row>
    <row r="290" spans="1:82" ht="15.75" customHeight="1">
      <c r="A290" s="175">
        <f t="shared" si="204"/>
        <v>2026</v>
      </c>
      <c r="B290" s="454" t="str">
        <f t="shared" si="205"/>
        <v>24</v>
      </c>
      <c r="C290" s="454" t="str">
        <f t="array" ref="C290">_xlfn.IFS(_xlfn.NUMBERVALUE(B290)&lt;=13,"Q1",AND(_xlfn.NUMBERVALUE(B290)&gt;13,_xlfn.NUMBERVALUE(B290)&lt;=26),"Q2", AND(_xlfn.NUMBERVALUE(B290)&gt;26,_xlfn.NUMBERVALUE(B290)&lt;=39),"Q3",_xlfn.NUMBERVALUE(B290)&gt;39,"Q4")</f>
        <v>Q2</v>
      </c>
      <c r="D290" s="448">
        <f t="shared" si="218"/>
        <v>45850</v>
      </c>
      <c r="E290" s="448">
        <f t="shared" si="206"/>
        <v>45856</v>
      </c>
      <c r="F290" s="97">
        <v>202524</v>
      </c>
      <c r="G290" s="103"/>
      <c r="H290" s="429"/>
      <c r="I290" s="429"/>
      <c r="J290" s="429"/>
      <c r="K290" s="429"/>
      <c r="L290" s="429"/>
      <c r="M290" s="429"/>
      <c r="N290" s="429"/>
      <c r="O290" s="429"/>
      <c r="P290" s="429"/>
      <c r="Q290" s="429"/>
      <c r="R290" s="429"/>
      <c r="S290" s="429"/>
      <c r="T290" s="429"/>
      <c r="U290" s="429"/>
      <c r="V290" s="429"/>
      <c r="W290" s="429"/>
      <c r="X290" s="429"/>
      <c r="Y290" s="449"/>
      <c r="Z290" s="449">
        <f>SUM('Overall Metrics'!AU291,'Overall Metrics'!AT291)</f>
        <v>0</v>
      </c>
      <c r="AA290" s="214">
        <f t="shared" si="222"/>
        <v>0</v>
      </c>
      <c r="AB290" s="446"/>
      <c r="AC290" s="446"/>
      <c r="AD290" s="446"/>
      <c r="AE290" s="446"/>
      <c r="AF290" s="446"/>
      <c r="AG290" s="446"/>
      <c r="AH290" s="446"/>
      <c r="AI290" s="446"/>
      <c r="AJ290" s="446"/>
      <c r="AK290" s="446"/>
      <c r="AL290" s="446"/>
      <c r="AM290" s="446"/>
      <c r="AN290" s="446"/>
      <c r="AO290" s="446"/>
      <c r="AP290" s="446"/>
      <c r="AQ290" s="446"/>
      <c r="AR290" s="219">
        <f t="shared" si="207"/>
        <v>0</v>
      </c>
      <c r="AS290" s="220" t="str">
        <f t="shared" si="208"/>
        <v>-</v>
      </c>
      <c r="AT290" s="472" t="str">
        <f t="shared" si="209"/>
        <v>-</v>
      </c>
      <c r="AU290" s="472" t="str">
        <f t="shared" si="210"/>
        <v>-</v>
      </c>
      <c r="AV290" s="472" t="str">
        <f t="shared" si="211"/>
        <v>-</v>
      </c>
      <c r="AW290" s="472" t="str">
        <f t="shared" si="212"/>
        <v>-</v>
      </c>
      <c r="AX290" s="472" t="str">
        <f t="shared" si="213"/>
        <v>-</v>
      </c>
      <c r="AY290" s="472" t="str">
        <f t="shared" si="229"/>
        <v>-</v>
      </c>
      <c r="AZ290" s="472" t="str">
        <f t="shared" si="237"/>
        <v>-</v>
      </c>
      <c r="BA290" s="472" t="str">
        <f t="shared" si="238"/>
        <v>-</v>
      </c>
      <c r="BB290" s="472" t="str">
        <f t="shared" si="230"/>
        <v>-</v>
      </c>
      <c r="BC290" s="472" t="str">
        <f t="shared" si="231"/>
        <v>-</v>
      </c>
      <c r="BD290" s="472" t="str">
        <f t="shared" si="232"/>
        <v>-</v>
      </c>
      <c r="BE290" s="472" t="str">
        <f t="shared" si="233"/>
        <v>-</v>
      </c>
      <c r="BF290" s="472" t="str">
        <f t="shared" si="234"/>
        <v>-</v>
      </c>
      <c r="BG290" s="472" t="str">
        <f t="shared" si="235"/>
        <v>-</v>
      </c>
      <c r="BH290" s="472" t="str">
        <f t="shared" si="236"/>
        <v>-</v>
      </c>
      <c r="BI290" s="221" t="str">
        <f t="shared" si="214"/>
        <v>-</v>
      </c>
      <c r="BJ290" s="692">
        <f>SUM('MAE - Audience Level Data'!O52,'MAE - Audience Level Data'!P52)</f>
        <v>0</v>
      </c>
      <c r="BK290" s="692">
        <f>SUM('MAE - Audience Level Data'!M52,'MAE - Audience Level Data'!N52,'MAE - Audience Level Data'!Q52,'MAE - Audience Level Data'!R52)</f>
        <v>0</v>
      </c>
      <c r="BL290" s="89"/>
      <c r="BM290" s="89"/>
      <c r="BN290" s="214">
        <f t="shared" si="215"/>
        <v>0</v>
      </c>
      <c r="BO290" s="742">
        <f>SUM('MAE - Audience Level Data'!U52:V52)</f>
        <v>0</v>
      </c>
      <c r="BP290" s="742">
        <f>SUM('MAE - Audience Level Data'!S52:T52,'MAE - Audience Level Data'!W52:X52)</f>
        <v>0</v>
      </c>
      <c r="BQ290" s="667"/>
      <c r="BR290" s="667"/>
      <c r="BS290" s="228">
        <f t="shared" si="216"/>
        <v>0</v>
      </c>
      <c r="BT290" s="407" t="str">
        <f t="shared" si="220"/>
        <v>-</v>
      </c>
      <c r="BU290" s="529" t="str">
        <f t="shared" si="221"/>
        <v>-</v>
      </c>
      <c r="BV290" s="529" t="str">
        <f t="shared" si="224"/>
        <v>-</v>
      </c>
      <c r="BW290" s="529" t="str">
        <f t="shared" si="225"/>
        <v>-</v>
      </c>
      <c r="BX290" s="221" t="str">
        <f t="shared" si="226"/>
        <v>-</v>
      </c>
      <c r="BY290" s="730">
        <f>SUM('MAE - Audience Level Data'!I52:J52)</f>
        <v>0</v>
      </c>
      <c r="BZ290" s="692">
        <f>SUM('MAE - Audience Level Data'!G52:H52,'MAE - Audience Level Data'!K52:L52)</f>
        <v>0</v>
      </c>
      <c r="CA290" s="693">
        <f t="shared" si="228"/>
        <v>0</v>
      </c>
      <c r="CB290" s="407" t="str">
        <f t="shared" si="227"/>
        <v>-</v>
      </c>
      <c r="CC290" s="529" t="str">
        <f t="shared" si="217"/>
        <v>-</v>
      </c>
      <c r="CD290" s="221" t="str">
        <f t="shared" si="223"/>
        <v>-</v>
      </c>
    </row>
    <row r="291" spans="1:82" ht="15.75" customHeight="1">
      <c r="A291" s="175">
        <f t="shared" si="204"/>
        <v>2026</v>
      </c>
      <c r="B291" s="454" t="str">
        <f t="shared" si="205"/>
        <v>25</v>
      </c>
      <c r="C291" s="454" t="str">
        <f t="array" ref="C291">_xlfn.IFS(_xlfn.NUMBERVALUE(B291)&lt;=13,"Q1",AND(_xlfn.NUMBERVALUE(B291)&gt;13,_xlfn.NUMBERVALUE(B291)&lt;=26),"Q2", AND(_xlfn.NUMBERVALUE(B291)&gt;26,_xlfn.NUMBERVALUE(B291)&lt;=39),"Q3",_xlfn.NUMBERVALUE(B291)&gt;39,"Q4")</f>
        <v>Q2</v>
      </c>
      <c r="D291" s="448">
        <f t="shared" si="218"/>
        <v>45857</v>
      </c>
      <c r="E291" s="448">
        <f t="shared" si="206"/>
        <v>45863</v>
      </c>
      <c r="F291" s="97">
        <v>202525</v>
      </c>
      <c r="G291" s="103"/>
      <c r="H291" s="429"/>
      <c r="I291" s="429"/>
      <c r="J291" s="429"/>
      <c r="K291" s="429"/>
      <c r="L291" s="429"/>
      <c r="M291" s="429"/>
      <c r="N291" s="429"/>
      <c r="O291" s="429"/>
      <c r="P291" s="429"/>
      <c r="Q291" s="429"/>
      <c r="R291" s="429"/>
      <c r="S291" s="429"/>
      <c r="T291" s="429"/>
      <c r="U291" s="429"/>
      <c r="V291" s="429"/>
      <c r="W291" s="429"/>
      <c r="X291" s="429"/>
      <c r="Y291" s="449"/>
      <c r="Z291" s="449">
        <f>SUM('Overall Metrics'!AU292,'Overall Metrics'!AT292)</f>
        <v>0</v>
      </c>
      <c r="AA291" s="214">
        <f t="shared" si="222"/>
        <v>0</v>
      </c>
      <c r="AB291" s="446"/>
      <c r="AC291" s="446"/>
      <c r="AD291" s="446"/>
      <c r="AE291" s="446"/>
      <c r="AF291" s="446"/>
      <c r="AG291" s="446"/>
      <c r="AH291" s="446"/>
      <c r="AI291" s="446"/>
      <c r="AJ291" s="446"/>
      <c r="AK291" s="446"/>
      <c r="AL291" s="446"/>
      <c r="AM291" s="446"/>
      <c r="AN291" s="446"/>
      <c r="AO291" s="446"/>
      <c r="AP291" s="446"/>
      <c r="AQ291" s="446"/>
      <c r="AR291" s="219">
        <f t="shared" si="207"/>
        <v>0</v>
      </c>
      <c r="AS291" s="220" t="str">
        <f t="shared" si="208"/>
        <v>-</v>
      </c>
      <c r="AT291" s="472" t="str">
        <f t="shared" si="209"/>
        <v>-</v>
      </c>
      <c r="AU291" s="472" t="str">
        <f t="shared" si="210"/>
        <v>-</v>
      </c>
      <c r="AV291" s="472" t="str">
        <f t="shared" si="211"/>
        <v>-</v>
      </c>
      <c r="AW291" s="472" t="str">
        <f t="shared" si="212"/>
        <v>-</v>
      </c>
      <c r="AX291" s="472" t="str">
        <f t="shared" si="213"/>
        <v>-</v>
      </c>
      <c r="AY291" s="472" t="str">
        <f t="shared" si="229"/>
        <v>-</v>
      </c>
      <c r="AZ291" s="472" t="str">
        <f t="shared" si="237"/>
        <v>-</v>
      </c>
      <c r="BA291" s="472" t="str">
        <f t="shared" si="238"/>
        <v>-</v>
      </c>
      <c r="BB291" s="472" t="str">
        <f t="shared" si="230"/>
        <v>-</v>
      </c>
      <c r="BC291" s="472" t="str">
        <f t="shared" si="231"/>
        <v>-</v>
      </c>
      <c r="BD291" s="472" t="str">
        <f t="shared" si="232"/>
        <v>-</v>
      </c>
      <c r="BE291" s="472" t="str">
        <f t="shared" si="233"/>
        <v>-</v>
      </c>
      <c r="BF291" s="472" t="str">
        <f t="shared" si="234"/>
        <v>-</v>
      </c>
      <c r="BG291" s="472" t="str">
        <f t="shared" si="235"/>
        <v>-</v>
      </c>
      <c r="BH291" s="472" t="str">
        <f t="shared" si="236"/>
        <v>-</v>
      </c>
      <c r="BI291" s="221" t="str">
        <f t="shared" si="214"/>
        <v>-</v>
      </c>
      <c r="BJ291" s="692">
        <f>SUM('MAE - Audience Level Data'!O53,'MAE - Audience Level Data'!P53)</f>
        <v>0</v>
      </c>
      <c r="BK291" s="692">
        <f>SUM('MAE - Audience Level Data'!M53,'MAE - Audience Level Data'!N53,'MAE - Audience Level Data'!Q53,'MAE - Audience Level Data'!R53)</f>
        <v>0</v>
      </c>
      <c r="BL291" s="89"/>
      <c r="BM291" s="89"/>
      <c r="BN291" s="214">
        <f t="shared" si="215"/>
        <v>0</v>
      </c>
      <c r="BO291" s="742">
        <f>SUM('MAE - Audience Level Data'!U53:V53)</f>
        <v>0</v>
      </c>
      <c r="BP291" s="742">
        <f>SUM('MAE - Audience Level Data'!S53:T53,'MAE - Audience Level Data'!W53:X53)</f>
        <v>0</v>
      </c>
      <c r="BQ291" s="667"/>
      <c r="BR291" s="667"/>
      <c r="BS291" s="228">
        <f t="shared" si="216"/>
        <v>0</v>
      </c>
      <c r="BT291" s="407" t="str">
        <f t="shared" si="220"/>
        <v>-</v>
      </c>
      <c r="BU291" s="529" t="str">
        <f t="shared" si="221"/>
        <v>-</v>
      </c>
      <c r="BV291" s="529" t="str">
        <f t="shared" si="224"/>
        <v>-</v>
      </c>
      <c r="BW291" s="529" t="str">
        <f t="shared" si="225"/>
        <v>-</v>
      </c>
      <c r="BX291" s="221" t="str">
        <f t="shared" si="226"/>
        <v>-</v>
      </c>
      <c r="BY291" s="730">
        <f>SUM('MAE - Audience Level Data'!I53:J53)</f>
        <v>0</v>
      </c>
      <c r="BZ291" s="692">
        <f>SUM('MAE - Audience Level Data'!G53:H53,'MAE - Audience Level Data'!K53:L53)</f>
        <v>0</v>
      </c>
      <c r="CA291" s="693">
        <f t="shared" si="228"/>
        <v>0</v>
      </c>
      <c r="CB291" s="407" t="str">
        <f t="shared" si="227"/>
        <v>-</v>
      </c>
      <c r="CC291" s="529" t="str">
        <f t="shared" si="217"/>
        <v>-</v>
      </c>
      <c r="CD291" s="221" t="str">
        <f t="shared" si="223"/>
        <v>-</v>
      </c>
    </row>
    <row r="292" spans="1:82" ht="15.75" customHeight="1">
      <c r="A292" s="175">
        <f t="shared" si="204"/>
        <v>2026</v>
      </c>
      <c r="B292" s="454" t="str">
        <f t="shared" si="205"/>
        <v>26</v>
      </c>
      <c r="C292" s="454" t="str">
        <f t="array" ref="C292">_xlfn.IFS(_xlfn.NUMBERVALUE(B292)&lt;=13,"Q1",AND(_xlfn.NUMBERVALUE(B292)&gt;13,_xlfn.NUMBERVALUE(B292)&lt;=26),"Q2", AND(_xlfn.NUMBERVALUE(B292)&gt;26,_xlfn.NUMBERVALUE(B292)&lt;=39),"Q3",_xlfn.NUMBERVALUE(B292)&gt;39,"Q4")</f>
        <v>Q2</v>
      </c>
      <c r="D292" s="448">
        <f t="shared" si="218"/>
        <v>45864</v>
      </c>
      <c r="E292" s="448">
        <f t="shared" si="206"/>
        <v>45870</v>
      </c>
      <c r="F292" s="97">
        <v>202526</v>
      </c>
      <c r="G292" s="103"/>
      <c r="H292" s="429"/>
      <c r="I292" s="429"/>
      <c r="J292" s="429"/>
      <c r="K292" s="429"/>
      <c r="L292" s="429"/>
      <c r="M292" s="429"/>
      <c r="N292" s="429"/>
      <c r="O292" s="429"/>
      <c r="P292" s="429"/>
      <c r="Q292" s="429"/>
      <c r="R292" s="429"/>
      <c r="S292" s="429"/>
      <c r="T292" s="429"/>
      <c r="U292" s="429"/>
      <c r="V292" s="429"/>
      <c r="W292" s="429"/>
      <c r="X292" s="429"/>
      <c r="Y292" s="449"/>
      <c r="Z292" s="449">
        <f>SUM('Overall Metrics'!AU293,'Overall Metrics'!AT293)</f>
        <v>0</v>
      </c>
      <c r="AA292" s="214">
        <f t="shared" si="222"/>
        <v>0</v>
      </c>
      <c r="AB292" s="446"/>
      <c r="AC292" s="446"/>
      <c r="AD292" s="446"/>
      <c r="AE292" s="446"/>
      <c r="AF292" s="446"/>
      <c r="AG292" s="446"/>
      <c r="AH292" s="446"/>
      <c r="AI292" s="446"/>
      <c r="AJ292" s="446"/>
      <c r="AK292" s="446"/>
      <c r="AL292" s="446"/>
      <c r="AM292" s="446"/>
      <c r="AN292" s="446"/>
      <c r="AO292" s="446"/>
      <c r="AP292" s="446"/>
      <c r="AQ292" s="446"/>
      <c r="AR292" s="219">
        <f t="shared" si="207"/>
        <v>0</v>
      </c>
      <c r="AS292" s="220" t="str">
        <f t="shared" si="208"/>
        <v>-</v>
      </c>
      <c r="AT292" s="472" t="str">
        <f t="shared" si="209"/>
        <v>-</v>
      </c>
      <c r="AU292" s="472" t="str">
        <f t="shared" si="210"/>
        <v>-</v>
      </c>
      <c r="AV292" s="472" t="str">
        <f t="shared" si="211"/>
        <v>-</v>
      </c>
      <c r="AW292" s="472" t="str">
        <f t="shared" si="212"/>
        <v>-</v>
      </c>
      <c r="AX292" s="472" t="str">
        <f t="shared" si="213"/>
        <v>-</v>
      </c>
      <c r="AY292" s="472" t="str">
        <f t="shared" si="229"/>
        <v>-</v>
      </c>
      <c r="AZ292" s="472" t="str">
        <f t="shared" si="237"/>
        <v>-</v>
      </c>
      <c r="BA292" s="472" t="str">
        <f t="shared" si="238"/>
        <v>-</v>
      </c>
      <c r="BB292" s="472" t="str">
        <f t="shared" si="230"/>
        <v>-</v>
      </c>
      <c r="BC292" s="472" t="str">
        <f t="shared" si="231"/>
        <v>-</v>
      </c>
      <c r="BD292" s="472" t="str">
        <f t="shared" si="232"/>
        <v>-</v>
      </c>
      <c r="BE292" s="472" t="str">
        <f t="shared" si="233"/>
        <v>-</v>
      </c>
      <c r="BF292" s="472" t="str">
        <f t="shared" si="234"/>
        <v>-</v>
      </c>
      <c r="BG292" s="472" t="str">
        <f t="shared" si="235"/>
        <v>-</v>
      </c>
      <c r="BH292" s="472" t="str">
        <f t="shared" si="236"/>
        <v>-</v>
      </c>
      <c r="BI292" s="221" t="str">
        <f t="shared" si="214"/>
        <v>-</v>
      </c>
      <c r="BJ292" s="692">
        <f>SUM('MAE - Audience Level Data'!O54,'MAE - Audience Level Data'!P54)</f>
        <v>0</v>
      </c>
      <c r="BK292" s="692">
        <f>SUM('MAE - Audience Level Data'!M54,'MAE - Audience Level Data'!N54,'MAE - Audience Level Data'!Q54,'MAE - Audience Level Data'!R54)</f>
        <v>0</v>
      </c>
      <c r="BL292" s="89"/>
      <c r="BM292" s="89"/>
      <c r="BN292" s="214">
        <f t="shared" si="215"/>
        <v>0</v>
      </c>
      <c r="BO292" s="742">
        <f>SUM('MAE - Audience Level Data'!U54:V54)</f>
        <v>0</v>
      </c>
      <c r="BP292" s="742">
        <f>SUM('MAE - Audience Level Data'!S54:T54,'MAE - Audience Level Data'!W54:X54)</f>
        <v>0</v>
      </c>
      <c r="BQ292" s="667"/>
      <c r="BR292" s="667"/>
      <c r="BS292" s="228">
        <f t="shared" si="216"/>
        <v>0</v>
      </c>
      <c r="BT292" s="407" t="str">
        <f t="shared" si="220"/>
        <v>-</v>
      </c>
      <c r="BU292" s="529" t="str">
        <f t="shared" si="221"/>
        <v>-</v>
      </c>
      <c r="BV292" s="529" t="str">
        <f t="shared" si="224"/>
        <v>-</v>
      </c>
      <c r="BW292" s="529" t="str">
        <f t="shared" si="225"/>
        <v>-</v>
      </c>
      <c r="BX292" s="221" t="str">
        <f t="shared" si="226"/>
        <v>-</v>
      </c>
      <c r="BY292" s="730">
        <f>SUM('MAE - Audience Level Data'!I54:J54)</f>
        <v>0</v>
      </c>
      <c r="BZ292" s="692">
        <f>SUM('MAE - Audience Level Data'!G54:H54,'MAE - Audience Level Data'!K54:L54)</f>
        <v>0</v>
      </c>
      <c r="CA292" s="693">
        <f t="shared" si="228"/>
        <v>0</v>
      </c>
      <c r="CB292" s="407" t="str">
        <f t="shared" si="227"/>
        <v>-</v>
      </c>
      <c r="CC292" s="529" t="str">
        <f t="shared" si="217"/>
        <v>-</v>
      </c>
      <c r="CD292" s="221" t="str">
        <f t="shared" si="223"/>
        <v>-</v>
      </c>
    </row>
    <row r="293" spans="1:82" ht="15.75" customHeight="1">
      <c r="A293" s="175">
        <f t="shared" si="204"/>
        <v>2026</v>
      </c>
      <c r="B293" s="454" t="str">
        <f t="shared" si="205"/>
        <v>27</v>
      </c>
      <c r="C293" s="454" t="str">
        <f t="array" ref="C293">_xlfn.IFS(_xlfn.NUMBERVALUE(B293)&lt;=13,"Q1",AND(_xlfn.NUMBERVALUE(B293)&gt;13,_xlfn.NUMBERVALUE(B293)&lt;=26),"Q2", AND(_xlfn.NUMBERVALUE(B293)&gt;26,_xlfn.NUMBERVALUE(B293)&lt;=39),"Q3",_xlfn.NUMBERVALUE(B293)&gt;39,"Q4")</f>
        <v>Q3</v>
      </c>
      <c r="D293" s="448">
        <f t="shared" si="218"/>
        <v>45871</v>
      </c>
      <c r="E293" s="448">
        <f t="shared" si="206"/>
        <v>45877</v>
      </c>
      <c r="F293" s="97">
        <v>202527</v>
      </c>
      <c r="G293" s="103"/>
      <c r="H293" s="429"/>
      <c r="I293" s="429"/>
      <c r="J293" s="429"/>
      <c r="K293" s="429"/>
      <c r="L293" s="429"/>
      <c r="M293" s="429"/>
      <c r="N293" s="429"/>
      <c r="O293" s="429"/>
      <c r="P293" s="429"/>
      <c r="Q293" s="429"/>
      <c r="R293" s="429"/>
      <c r="S293" s="429"/>
      <c r="T293" s="429"/>
      <c r="U293" s="429"/>
      <c r="V293" s="429"/>
      <c r="W293" s="429"/>
      <c r="X293" s="429"/>
      <c r="Y293" s="449"/>
      <c r="Z293" s="449">
        <f>SUM('Overall Metrics'!AU294,'Overall Metrics'!AT294)</f>
        <v>0</v>
      </c>
      <c r="AA293" s="214">
        <f t="shared" si="222"/>
        <v>0</v>
      </c>
      <c r="AB293" s="446"/>
      <c r="AC293" s="446"/>
      <c r="AD293" s="446"/>
      <c r="AE293" s="446"/>
      <c r="AF293" s="446"/>
      <c r="AG293" s="446"/>
      <c r="AH293" s="446"/>
      <c r="AI293" s="446"/>
      <c r="AJ293" s="446"/>
      <c r="AK293" s="446"/>
      <c r="AL293" s="446"/>
      <c r="AM293" s="446"/>
      <c r="AN293" s="446"/>
      <c r="AO293" s="446"/>
      <c r="AP293" s="446"/>
      <c r="AQ293" s="446"/>
      <c r="AR293" s="219">
        <f t="shared" si="207"/>
        <v>0</v>
      </c>
      <c r="AS293" s="220" t="str">
        <f t="shared" si="208"/>
        <v>-</v>
      </c>
      <c r="AT293" s="472" t="str">
        <f t="shared" si="209"/>
        <v>-</v>
      </c>
      <c r="AU293" s="472" t="str">
        <f t="shared" si="210"/>
        <v>-</v>
      </c>
      <c r="AV293" s="472" t="str">
        <f t="shared" si="211"/>
        <v>-</v>
      </c>
      <c r="AW293" s="472" t="str">
        <f t="shared" si="212"/>
        <v>-</v>
      </c>
      <c r="AX293" s="472" t="str">
        <f t="shared" si="213"/>
        <v>-</v>
      </c>
      <c r="AY293" s="472" t="str">
        <f t="shared" si="229"/>
        <v>-</v>
      </c>
      <c r="AZ293" s="472" t="str">
        <f t="shared" si="237"/>
        <v>-</v>
      </c>
      <c r="BA293" s="472" t="str">
        <f t="shared" si="238"/>
        <v>-</v>
      </c>
      <c r="BB293" s="472" t="str">
        <f t="shared" si="230"/>
        <v>-</v>
      </c>
      <c r="BC293" s="472" t="str">
        <f t="shared" si="231"/>
        <v>-</v>
      </c>
      <c r="BD293" s="472" t="str">
        <f t="shared" si="232"/>
        <v>-</v>
      </c>
      <c r="BE293" s="472" t="str">
        <f t="shared" si="233"/>
        <v>-</v>
      </c>
      <c r="BF293" s="472" t="str">
        <f t="shared" si="234"/>
        <v>-</v>
      </c>
      <c r="BG293" s="472" t="str">
        <f t="shared" si="235"/>
        <v>-</v>
      </c>
      <c r="BH293" s="472" t="str">
        <f t="shared" si="236"/>
        <v>-</v>
      </c>
      <c r="BI293" s="221" t="str">
        <f t="shared" si="214"/>
        <v>-</v>
      </c>
      <c r="BJ293" s="692">
        <f>SUM('MAE - Audience Level Data'!O55,'MAE - Audience Level Data'!P55)</f>
        <v>0</v>
      </c>
      <c r="BK293" s="692">
        <f>SUM('MAE - Audience Level Data'!M55,'MAE - Audience Level Data'!N55,'MAE - Audience Level Data'!Q55,'MAE - Audience Level Data'!R55)</f>
        <v>0</v>
      </c>
      <c r="BL293" s="89"/>
      <c r="BM293" s="89"/>
      <c r="BN293" s="214">
        <f t="shared" si="215"/>
        <v>0</v>
      </c>
      <c r="BO293" s="742">
        <f>SUM('MAE - Audience Level Data'!U55:V55)</f>
        <v>0</v>
      </c>
      <c r="BP293" s="742">
        <f>SUM('MAE - Audience Level Data'!S55:T55,'MAE - Audience Level Data'!W55:X55)</f>
        <v>0</v>
      </c>
      <c r="BQ293" s="667"/>
      <c r="BR293" s="667"/>
      <c r="BS293" s="228">
        <f t="shared" si="216"/>
        <v>0</v>
      </c>
      <c r="BT293" s="407" t="str">
        <f t="shared" si="220"/>
        <v>-</v>
      </c>
      <c r="BU293" s="529" t="str">
        <f t="shared" si="221"/>
        <v>-</v>
      </c>
      <c r="BV293" s="529" t="str">
        <f t="shared" si="224"/>
        <v>-</v>
      </c>
      <c r="BW293" s="529" t="str">
        <f t="shared" si="225"/>
        <v>-</v>
      </c>
      <c r="BX293" s="221" t="str">
        <f t="shared" si="226"/>
        <v>-</v>
      </c>
      <c r="BY293" s="730">
        <f>SUM('MAE - Audience Level Data'!I55:J55)</f>
        <v>0</v>
      </c>
      <c r="BZ293" s="692">
        <f>SUM('MAE - Audience Level Data'!G55:H55,'MAE - Audience Level Data'!K55:L55)</f>
        <v>0</v>
      </c>
      <c r="CA293" s="693">
        <f t="shared" si="228"/>
        <v>0</v>
      </c>
      <c r="CB293" s="407" t="str">
        <f t="shared" si="227"/>
        <v>-</v>
      </c>
      <c r="CC293" s="529" t="str">
        <f t="shared" si="217"/>
        <v>-</v>
      </c>
      <c r="CD293" s="221" t="str">
        <f t="shared" si="223"/>
        <v>-</v>
      </c>
    </row>
    <row r="294" spans="1:82" ht="15.75" customHeight="1">
      <c r="A294" s="175">
        <f t="shared" si="204"/>
        <v>2026</v>
      </c>
      <c r="B294" s="454" t="str">
        <f t="shared" si="205"/>
        <v>28</v>
      </c>
      <c r="C294" s="454" t="str">
        <f t="array" ref="C294">_xlfn.IFS(_xlfn.NUMBERVALUE(B294)&lt;=13,"Q1",AND(_xlfn.NUMBERVALUE(B294)&gt;13,_xlfn.NUMBERVALUE(B294)&lt;=26),"Q2", AND(_xlfn.NUMBERVALUE(B294)&gt;26,_xlfn.NUMBERVALUE(B294)&lt;=39),"Q3",_xlfn.NUMBERVALUE(B294)&gt;39,"Q4")</f>
        <v>Q3</v>
      </c>
      <c r="D294" s="448">
        <f t="shared" si="218"/>
        <v>45878</v>
      </c>
      <c r="E294" s="448">
        <f t="shared" si="206"/>
        <v>45884</v>
      </c>
      <c r="F294" s="97">
        <v>202528</v>
      </c>
      <c r="G294" s="103"/>
      <c r="H294" s="429"/>
      <c r="I294" s="429"/>
      <c r="J294" s="429"/>
      <c r="K294" s="429"/>
      <c r="L294" s="429"/>
      <c r="M294" s="429"/>
      <c r="N294" s="429"/>
      <c r="O294" s="429"/>
      <c r="P294" s="429"/>
      <c r="Q294" s="429"/>
      <c r="R294" s="429"/>
      <c r="S294" s="429"/>
      <c r="T294" s="429"/>
      <c r="U294" s="429"/>
      <c r="V294" s="429"/>
      <c r="W294" s="429"/>
      <c r="X294" s="429"/>
      <c r="Y294" s="449"/>
      <c r="Z294" s="449">
        <f>SUM('Overall Metrics'!AU295,'Overall Metrics'!AT295)</f>
        <v>0</v>
      </c>
      <c r="AA294" s="214">
        <f t="shared" si="222"/>
        <v>0</v>
      </c>
      <c r="AB294" s="446"/>
      <c r="AC294" s="446"/>
      <c r="AD294" s="446"/>
      <c r="AE294" s="446"/>
      <c r="AF294" s="446"/>
      <c r="AG294" s="446"/>
      <c r="AH294" s="446"/>
      <c r="AI294" s="446"/>
      <c r="AJ294" s="446"/>
      <c r="AK294" s="446"/>
      <c r="AL294" s="446"/>
      <c r="AM294" s="446"/>
      <c r="AN294" s="446"/>
      <c r="AO294" s="446"/>
      <c r="AP294" s="446"/>
      <c r="AQ294" s="446"/>
      <c r="AR294" s="219">
        <f t="shared" si="207"/>
        <v>0</v>
      </c>
      <c r="AS294" s="220" t="str">
        <f t="shared" si="208"/>
        <v>-</v>
      </c>
      <c r="AT294" s="472" t="str">
        <f t="shared" si="209"/>
        <v>-</v>
      </c>
      <c r="AU294" s="472" t="str">
        <f t="shared" si="210"/>
        <v>-</v>
      </c>
      <c r="AV294" s="472" t="str">
        <f t="shared" si="211"/>
        <v>-</v>
      </c>
      <c r="AW294" s="472" t="str">
        <f t="shared" si="212"/>
        <v>-</v>
      </c>
      <c r="AX294" s="472" t="str">
        <f t="shared" si="213"/>
        <v>-</v>
      </c>
      <c r="AY294" s="472" t="str">
        <f t="shared" si="229"/>
        <v>-</v>
      </c>
      <c r="AZ294" s="472" t="str">
        <f t="shared" si="237"/>
        <v>-</v>
      </c>
      <c r="BA294" s="472" t="str">
        <f t="shared" si="238"/>
        <v>-</v>
      </c>
      <c r="BB294" s="472" t="str">
        <f t="shared" si="230"/>
        <v>-</v>
      </c>
      <c r="BC294" s="472" t="str">
        <f t="shared" si="231"/>
        <v>-</v>
      </c>
      <c r="BD294" s="472" t="str">
        <f t="shared" si="232"/>
        <v>-</v>
      </c>
      <c r="BE294" s="472" t="str">
        <f t="shared" si="233"/>
        <v>-</v>
      </c>
      <c r="BF294" s="472" t="str">
        <f t="shared" si="234"/>
        <v>-</v>
      </c>
      <c r="BG294" s="472" t="str">
        <f t="shared" si="235"/>
        <v>-</v>
      </c>
      <c r="BH294" s="472" t="str">
        <f t="shared" si="236"/>
        <v>-</v>
      </c>
      <c r="BI294" s="221" t="str">
        <f t="shared" si="214"/>
        <v>-</v>
      </c>
      <c r="BJ294" s="692">
        <f>SUM('MAE - Audience Level Data'!O56,'MAE - Audience Level Data'!P56)</f>
        <v>0</v>
      </c>
      <c r="BK294" s="692">
        <f>SUM('MAE - Audience Level Data'!M56,'MAE - Audience Level Data'!N56,'MAE - Audience Level Data'!Q56,'MAE - Audience Level Data'!R56)</f>
        <v>0</v>
      </c>
      <c r="BL294" s="89"/>
      <c r="BM294" s="89"/>
      <c r="BN294" s="214">
        <f t="shared" si="215"/>
        <v>0</v>
      </c>
      <c r="BO294" s="742">
        <f>SUM('MAE - Audience Level Data'!U56:V56)</f>
        <v>0</v>
      </c>
      <c r="BP294" s="742">
        <f>SUM('MAE - Audience Level Data'!S56:T56,'MAE - Audience Level Data'!W56:X56)</f>
        <v>0</v>
      </c>
      <c r="BQ294" s="667"/>
      <c r="BR294" s="667"/>
      <c r="BS294" s="228">
        <f t="shared" si="216"/>
        <v>0</v>
      </c>
      <c r="BT294" s="407" t="str">
        <f t="shared" si="220"/>
        <v>-</v>
      </c>
      <c r="BU294" s="529" t="str">
        <f t="shared" si="221"/>
        <v>-</v>
      </c>
      <c r="BV294" s="529" t="str">
        <f t="shared" si="224"/>
        <v>-</v>
      </c>
      <c r="BW294" s="529" t="str">
        <f t="shared" si="225"/>
        <v>-</v>
      </c>
      <c r="BX294" s="221" t="str">
        <f t="shared" si="226"/>
        <v>-</v>
      </c>
      <c r="BY294" s="730">
        <f>SUM('MAE - Audience Level Data'!I56:J56)</f>
        <v>0</v>
      </c>
      <c r="BZ294" s="692">
        <f>SUM('MAE - Audience Level Data'!G56:H56,'MAE - Audience Level Data'!K56:L56)</f>
        <v>0</v>
      </c>
      <c r="CA294" s="693">
        <f t="shared" si="228"/>
        <v>0</v>
      </c>
      <c r="CB294" s="407" t="str">
        <f t="shared" si="227"/>
        <v>-</v>
      </c>
      <c r="CC294" s="529" t="str">
        <f t="shared" si="217"/>
        <v>-</v>
      </c>
      <c r="CD294" s="221" t="str">
        <f t="shared" si="223"/>
        <v>-</v>
      </c>
    </row>
    <row r="295" spans="1:82" ht="15.75" customHeight="1">
      <c r="A295" s="175">
        <f t="shared" si="204"/>
        <v>2026</v>
      </c>
      <c r="B295" s="454" t="str">
        <f t="shared" si="205"/>
        <v>29</v>
      </c>
      <c r="C295" s="454" t="str">
        <f t="array" ref="C295">_xlfn.IFS(_xlfn.NUMBERVALUE(B295)&lt;=13,"Q1",AND(_xlfn.NUMBERVALUE(B295)&gt;13,_xlfn.NUMBERVALUE(B295)&lt;=26),"Q2", AND(_xlfn.NUMBERVALUE(B295)&gt;26,_xlfn.NUMBERVALUE(B295)&lt;=39),"Q3",_xlfn.NUMBERVALUE(B295)&gt;39,"Q4")</f>
        <v>Q3</v>
      </c>
      <c r="D295" s="448">
        <f t="shared" si="218"/>
        <v>45885</v>
      </c>
      <c r="E295" s="448">
        <f t="shared" si="206"/>
        <v>45891</v>
      </c>
      <c r="F295" s="97">
        <v>202529</v>
      </c>
      <c r="G295" s="103"/>
      <c r="H295" s="429"/>
      <c r="I295" s="429"/>
      <c r="J295" s="429"/>
      <c r="K295" s="429"/>
      <c r="L295" s="429"/>
      <c r="M295" s="429"/>
      <c r="N295" s="429"/>
      <c r="O295" s="429"/>
      <c r="P295" s="429"/>
      <c r="Q295" s="429"/>
      <c r="R295" s="429"/>
      <c r="S295" s="429"/>
      <c r="T295" s="429"/>
      <c r="U295" s="429"/>
      <c r="V295" s="429"/>
      <c r="W295" s="429"/>
      <c r="X295" s="429"/>
      <c r="Y295" s="449"/>
      <c r="Z295" s="449">
        <f>SUM('Overall Metrics'!AU296,'Overall Metrics'!AT296)</f>
        <v>0</v>
      </c>
      <c r="AA295" s="214">
        <f t="shared" si="222"/>
        <v>0</v>
      </c>
      <c r="AB295" s="446"/>
      <c r="AC295" s="446"/>
      <c r="AD295" s="446"/>
      <c r="AE295" s="446"/>
      <c r="AF295" s="446"/>
      <c r="AG295" s="446"/>
      <c r="AH295" s="446"/>
      <c r="AI295" s="446"/>
      <c r="AJ295" s="446"/>
      <c r="AK295" s="446"/>
      <c r="AL295" s="446"/>
      <c r="AM295" s="446"/>
      <c r="AN295" s="446"/>
      <c r="AO295" s="446"/>
      <c r="AP295" s="446"/>
      <c r="AQ295" s="446"/>
      <c r="AR295" s="219">
        <f t="shared" si="207"/>
        <v>0</v>
      </c>
      <c r="AS295" s="220" t="str">
        <f t="shared" si="208"/>
        <v>-</v>
      </c>
      <c r="AT295" s="472" t="str">
        <f t="shared" si="209"/>
        <v>-</v>
      </c>
      <c r="AU295" s="472" t="str">
        <f t="shared" si="210"/>
        <v>-</v>
      </c>
      <c r="AV295" s="472" t="str">
        <f t="shared" si="211"/>
        <v>-</v>
      </c>
      <c r="AW295" s="472" t="str">
        <f t="shared" si="212"/>
        <v>-</v>
      </c>
      <c r="AX295" s="472" t="str">
        <f t="shared" si="213"/>
        <v>-</v>
      </c>
      <c r="AY295" s="472" t="str">
        <f t="shared" si="229"/>
        <v>-</v>
      </c>
      <c r="AZ295" s="472" t="str">
        <f t="shared" si="237"/>
        <v>-</v>
      </c>
      <c r="BA295" s="472" t="str">
        <f t="shared" si="238"/>
        <v>-</v>
      </c>
      <c r="BB295" s="472" t="str">
        <f t="shared" si="230"/>
        <v>-</v>
      </c>
      <c r="BC295" s="472" t="str">
        <f t="shared" si="231"/>
        <v>-</v>
      </c>
      <c r="BD295" s="472" t="str">
        <f t="shared" si="232"/>
        <v>-</v>
      </c>
      <c r="BE295" s="472" t="str">
        <f t="shared" si="233"/>
        <v>-</v>
      </c>
      <c r="BF295" s="472" t="str">
        <f t="shared" si="234"/>
        <v>-</v>
      </c>
      <c r="BG295" s="472" t="str">
        <f t="shared" si="235"/>
        <v>-</v>
      </c>
      <c r="BH295" s="472" t="str">
        <f t="shared" si="236"/>
        <v>-</v>
      </c>
      <c r="BI295" s="221" t="str">
        <f t="shared" si="214"/>
        <v>-</v>
      </c>
      <c r="BJ295" s="692">
        <f>SUM('MAE - Audience Level Data'!O57,'MAE - Audience Level Data'!P57)</f>
        <v>0</v>
      </c>
      <c r="BK295" s="692">
        <f>SUM('MAE - Audience Level Data'!M57,'MAE - Audience Level Data'!N57,'MAE - Audience Level Data'!Q57,'MAE - Audience Level Data'!R57)</f>
        <v>0</v>
      </c>
      <c r="BL295" s="89"/>
      <c r="BM295" s="89"/>
      <c r="BN295" s="214">
        <f t="shared" si="215"/>
        <v>0</v>
      </c>
      <c r="BO295" s="742">
        <f>SUM('MAE - Audience Level Data'!U57:V57)</f>
        <v>0</v>
      </c>
      <c r="BP295" s="742">
        <f>SUM('MAE - Audience Level Data'!S57:T57,'MAE - Audience Level Data'!W57:X57)</f>
        <v>0</v>
      </c>
      <c r="BQ295" s="667"/>
      <c r="BR295" s="667"/>
      <c r="BS295" s="228">
        <f t="shared" si="216"/>
        <v>0</v>
      </c>
      <c r="BT295" s="407" t="str">
        <f t="shared" si="220"/>
        <v>-</v>
      </c>
      <c r="BU295" s="529" t="str">
        <f t="shared" si="221"/>
        <v>-</v>
      </c>
      <c r="BV295" s="529" t="str">
        <f t="shared" si="224"/>
        <v>-</v>
      </c>
      <c r="BW295" s="529" t="str">
        <f t="shared" si="225"/>
        <v>-</v>
      </c>
      <c r="BX295" s="221" t="str">
        <f t="shared" si="226"/>
        <v>-</v>
      </c>
      <c r="BY295" s="730">
        <f>SUM('MAE - Audience Level Data'!I57:J57)</f>
        <v>0</v>
      </c>
      <c r="BZ295" s="692">
        <f>SUM('MAE - Audience Level Data'!G57:H57,'MAE - Audience Level Data'!K57:L57)</f>
        <v>0</v>
      </c>
      <c r="CA295" s="693">
        <f t="shared" si="228"/>
        <v>0</v>
      </c>
      <c r="CB295" s="407" t="str">
        <f t="shared" si="227"/>
        <v>-</v>
      </c>
      <c r="CC295" s="529" t="str">
        <f t="shared" si="217"/>
        <v>-</v>
      </c>
      <c r="CD295" s="221" t="str">
        <f t="shared" si="223"/>
        <v>-</v>
      </c>
    </row>
    <row r="296" spans="1:82" ht="15.75" customHeight="1">
      <c r="A296" s="175">
        <f t="shared" si="204"/>
        <v>2026</v>
      </c>
      <c r="B296" s="454" t="str">
        <f t="shared" si="205"/>
        <v>30</v>
      </c>
      <c r="C296" s="454" t="str">
        <f t="array" ref="C296">_xlfn.IFS(_xlfn.NUMBERVALUE(B296)&lt;=13,"Q1",AND(_xlfn.NUMBERVALUE(B296)&gt;13,_xlfn.NUMBERVALUE(B296)&lt;=26),"Q2", AND(_xlfn.NUMBERVALUE(B296)&gt;26,_xlfn.NUMBERVALUE(B296)&lt;=39),"Q3",_xlfn.NUMBERVALUE(B296)&gt;39,"Q4")</f>
        <v>Q3</v>
      </c>
      <c r="D296" s="448">
        <f t="shared" si="218"/>
        <v>45892</v>
      </c>
      <c r="E296" s="448">
        <f t="shared" si="206"/>
        <v>45898</v>
      </c>
      <c r="F296" s="97">
        <v>202530</v>
      </c>
      <c r="G296" s="103"/>
      <c r="H296" s="429"/>
      <c r="I296" s="429"/>
      <c r="J296" s="429"/>
      <c r="K296" s="429"/>
      <c r="L296" s="429"/>
      <c r="M296" s="429"/>
      <c r="N296" s="429"/>
      <c r="O296" s="429"/>
      <c r="P296" s="429"/>
      <c r="Q296" s="429"/>
      <c r="R296" s="429"/>
      <c r="S296" s="429"/>
      <c r="T296" s="429"/>
      <c r="U296" s="429"/>
      <c r="V296" s="429"/>
      <c r="W296" s="429"/>
      <c r="X296" s="429"/>
      <c r="Y296" s="449"/>
      <c r="Z296" s="449">
        <f>SUM('Overall Metrics'!AU297,'Overall Metrics'!AT297)</f>
        <v>0</v>
      </c>
      <c r="AA296" s="214">
        <f t="shared" si="222"/>
        <v>0</v>
      </c>
      <c r="AB296" s="446"/>
      <c r="AC296" s="446"/>
      <c r="AD296" s="446"/>
      <c r="AE296" s="446"/>
      <c r="AF296" s="446"/>
      <c r="AG296" s="446"/>
      <c r="AH296" s="446"/>
      <c r="AI296" s="446"/>
      <c r="AJ296" s="446"/>
      <c r="AK296" s="446"/>
      <c r="AL296" s="446"/>
      <c r="AM296" s="446"/>
      <c r="AN296" s="446"/>
      <c r="AO296" s="446"/>
      <c r="AP296" s="446"/>
      <c r="AQ296" s="446"/>
      <c r="AR296" s="219">
        <f t="shared" si="207"/>
        <v>0</v>
      </c>
      <c r="AS296" s="220" t="str">
        <f t="shared" si="208"/>
        <v>-</v>
      </c>
      <c r="AT296" s="472" t="str">
        <f t="shared" si="209"/>
        <v>-</v>
      </c>
      <c r="AU296" s="472" t="str">
        <f t="shared" si="210"/>
        <v>-</v>
      </c>
      <c r="AV296" s="472" t="str">
        <f t="shared" si="211"/>
        <v>-</v>
      </c>
      <c r="AW296" s="472" t="str">
        <f t="shared" si="212"/>
        <v>-</v>
      </c>
      <c r="AX296" s="472" t="str">
        <f t="shared" si="213"/>
        <v>-</v>
      </c>
      <c r="AY296" s="472" t="str">
        <f t="shared" si="229"/>
        <v>-</v>
      </c>
      <c r="AZ296" s="472" t="str">
        <f t="shared" si="237"/>
        <v>-</v>
      </c>
      <c r="BA296" s="472" t="str">
        <f t="shared" si="238"/>
        <v>-</v>
      </c>
      <c r="BB296" s="472" t="str">
        <f t="shared" si="230"/>
        <v>-</v>
      </c>
      <c r="BC296" s="472" t="str">
        <f t="shared" si="231"/>
        <v>-</v>
      </c>
      <c r="BD296" s="472" t="str">
        <f t="shared" si="232"/>
        <v>-</v>
      </c>
      <c r="BE296" s="472" t="str">
        <f t="shared" si="233"/>
        <v>-</v>
      </c>
      <c r="BF296" s="472" t="str">
        <f t="shared" si="234"/>
        <v>-</v>
      </c>
      <c r="BG296" s="472" t="str">
        <f t="shared" si="235"/>
        <v>-</v>
      </c>
      <c r="BH296" s="472" t="str">
        <f t="shared" si="236"/>
        <v>-</v>
      </c>
      <c r="BI296" s="221" t="str">
        <f t="shared" si="214"/>
        <v>-</v>
      </c>
      <c r="BJ296" s="692">
        <f>SUM('MAE - Audience Level Data'!O58,'MAE - Audience Level Data'!P58)</f>
        <v>0</v>
      </c>
      <c r="BK296" s="692">
        <f>SUM('MAE - Audience Level Data'!M58,'MAE - Audience Level Data'!N58,'MAE - Audience Level Data'!Q58,'MAE - Audience Level Data'!R58)</f>
        <v>0</v>
      </c>
      <c r="BL296" s="89"/>
      <c r="BM296" s="89"/>
      <c r="BN296" s="214">
        <f t="shared" si="215"/>
        <v>0</v>
      </c>
      <c r="BO296" s="742">
        <f>SUM('MAE - Audience Level Data'!U58:V58)</f>
        <v>0</v>
      </c>
      <c r="BP296" s="742">
        <f>SUM('MAE - Audience Level Data'!S58:T58,'MAE - Audience Level Data'!W58:X58)</f>
        <v>0</v>
      </c>
      <c r="BQ296" s="667"/>
      <c r="BR296" s="667"/>
      <c r="BS296" s="228">
        <f t="shared" si="216"/>
        <v>0</v>
      </c>
      <c r="BT296" s="407" t="str">
        <f t="shared" si="220"/>
        <v>-</v>
      </c>
      <c r="BU296" s="529" t="str">
        <f t="shared" si="221"/>
        <v>-</v>
      </c>
      <c r="BV296" s="529" t="str">
        <f t="shared" si="224"/>
        <v>-</v>
      </c>
      <c r="BW296" s="529" t="str">
        <f t="shared" si="225"/>
        <v>-</v>
      </c>
      <c r="BX296" s="221" t="str">
        <f t="shared" si="226"/>
        <v>-</v>
      </c>
      <c r="BY296" s="730">
        <f>SUM('MAE - Audience Level Data'!I58:J58)</f>
        <v>0</v>
      </c>
      <c r="BZ296" s="692">
        <f>SUM('MAE - Audience Level Data'!G58:H58,'MAE - Audience Level Data'!K58:L58)</f>
        <v>0</v>
      </c>
      <c r="CA296" s="693">
        <f t="shared" si="228"/>
        <v>0</v>
      </c>
      <c r="CB296" s="407" t="str">
        <f t="shared" si="227"/>
        <v>-</v>
      </c>
      <c r="CC296" s="529" t="str">
        <f t="shared" si="217"/>
        <v>-</v>
      </c>
      <c r="CD296" s="221" t="str">
        <f t="shared" si="223"/>
        <v>-</v>
      </c>
    </row>
    <row r="297" spans="1:82" ht="15.75" customHeight="1">
      <c r="A297" s="175">
        <f t="shared" si="204"/>
        <v>2026</v>
      </c>
      <c r="B297" s="454" t="str">
        <f t="shared" si="205"/>
        <v>31</v>
      </c>
      <c r="C297" s="454" t="str">
        <f t="array" ref="C297">_xlfn.IFS(_xlfn.NUMBERVALUE(B297)&lt;=13,"Q1",AND(_xlfn.NUMBERVALUE(B297)&gt;13,_xlfn.NUMBERVALUE(B297)&lt;=26),"Q2", AND(_xlfn.NUMBERVALUE(B297)&gt;26,_xlfn.NUMBERVALUE(B297)&lt;=39),"Q3",_xlfn.NUMBERVALUE(B297)&gt;39,"Q4")</f>
        <v>Q3</v>
      </c>
      <c r="D297" s="448">
        <f t="shared" si="218"/>
        <v>45899</v>
      </c>
      <c r="E297" s="448">
        <f t="shared" si="206"/>
        <v>45905</v>
      </c>
      <c r="F297" s="97">
        <v>202531</v>
      </c>
      <c r="G297" s="103"/>
      <c r="H297" s="429"/>
      <c r="I297" s="429"/>
      <c r="J297" s="429"/>
      <c r="K297" s="429"/>
      <c r="L297" s="429"/>
      <c r="M297" s="429"/>
      <c r="N297" s="429"/>
      <c r="O297" s="429"/>
      <c r="P297" s="429"/>
      <c r="Q297" s="429"/>
      <c r="R297" s="429"/>
      <c r="S297" s="429"/>
      <c r="T297" s="429"/>
      <c r="U297" s="429"/>
      <c r="V297" s="429"/>
      <c r="W297" s="429"/>
      <c r="X297" s="429"/>
      <c r="Y297" s="449"/>
      <c r="Z297" s="449">
        <f>SUM('Overall Metrics'!AU298,'Overall Metrics'!AT298)</f>
        <v>0</v>
      </c>
      <c r="AA297" s="214">
        <f t="shared" si="222"/>
        <v>0</v>
      </c>
      <c r="AB297" s="446"/>
      <c r="AC297" s="446"/>
      <c r="AD297" s="446"/>
      <c r="AE297" s="446"/>
      <c r="AF297" s="446"/>
      <c r="AG297" s="446"/>
      <c r="AH297" s="446"/>
      <c r="AI297" s="446"/>
      <c r="AJ297" s="446"/>
      <c r="AK297" s="446"/>
      <c r="AL297" s="446"/>
      <c r="AM297" s="446"/>
      <c r="AN297" s="446"/>
      <c r="AO297" s="446"/>
      <c r="AP297" s="446"/>
      <c r="AQ297" s="446"/>
      <c r="AR297" s="219">
        <f t="shared" si="207"/>
        <v>0</v>
      </c>
      <c r="AS297" s="220" t="str">
        <f t="shared" si="208"/>
        <v>-</v>
      </c>
      <c r="AT297" s="472" t="str">
        <f t="shared" si="209"/>
        <v>-</v>
      </c>
      <c r="AU297" s="472" t="str">
        <f t="shared" si="210"/>
        <v>-</v>
      </c>
      <c r="AV297" s="472" t="str">
        <f t="shared" si="211"/>
        <v>-</v>
      </c>
      <c r="AW297" s="472" t="str">
        <f t="shared" si="212"/>
        <v>-</v>
      </c>
      <c r="AX297" s="472" t="str">
        <f t="shared" si="213"/>
        <v>-</v>
      </c>
      <c r="AY297" s="472" t="str">
        <f t="shared" si="229"/>
        <v>-</v>
      </c>
      <c r="AZ297" s="472" t="str">
        <f t="shared" si="237"/>
        <v>-</v>
      </c>
      <c r="BA297" s="472" t="str">
        <f t="shared" si="238"/>
        <v>-</v>
      </c>
      <c r="BB297" s="472" t="str">
        <f t="shared" si="230"/>
        <v>-</v>
      </c>
      <c r="BC297" s="472" t="str">
        <f t="shared" si="231"/>
        <v>-</v>
      </c>
      <c r="BD297" s="472" t="str">
        <f t="shared" si="232"/>
        <v>-</v>
      </c>
      <c r="BE297" s="472" t="str">
        <f t="shared" si="233"/>
        <v>-</v>
      </c>
      <c r="BF297" s="472" t="str">
        <f t="shared" si="234"/>
        <v>-</v>
      </c>
      <c r="BG297" s="472" t="str">
        <f t="shared" si="235"/>
        <v>-</v>
      </c>
      <c r="BH297" s="472" t="str">
        <f t="shared" si="236"/>
        <v>-</v>
      </c>
      <c r="BI297" s="221" t="str">
        <f t="shared" si="214"/>
        <v>-</v>
      </c>
      <c r="BJ297" s="692">
        <f>SUM('MAE - Audience Level Data'!O59,'MAE - Audience Level Data'!P59)</f>
        <v>0</v>
      </c>
      <c r="BK297" s="692">
        <f>SUM('MAE - Audience Level Data'!M59,'MAE - Audience Level Data'!N59,'MAE - Audience Level Data'!Q59,'MAE - Audience Level Data'!R59)</f>
        <v>0</v>
      </c>
      <c r="BL297" s="89"/>
      <c r="BM297" s="89"/>
      <c r="BN297" s="214">
        <f t="shared" si="215"/>
        <v>0</v>
      </c>
      <c r="BO297" s="742">
        <f>SUM('MAE - Audience Level Data'!U59:V59)</f>
        <v>0</v>
      </c>
      <c r="BP297" s="742">
        <f>SUM('MAE - Audience Level Data'!S59:T59,'MAE - Audience Level Data'!W59:X59)</f>
        <v>0</v>
      </c>
      <c r="BQ297" s="667"/>
      <c r="BR297" s="667"/>
      <c r="BS297" s="228">
        <f t="shared" si="216"/>
        <v>0</v>
      </c>
      <c r="BT297" s="407" t="str">
        <f t="shared" ref="BT297:BT318" si="239">IFERROR(BO297/BJ297,"-")</f>
        <v>-</v>
      </c>
      <c r="BU297" s="529" t="str">
        <f t="shared" si="221"/>
        <v>-</v>
      </c>
      <c r="BV297" s="529" t="str">
        <f t="shared" si="224"/>
        <v>-</v>
      </c>
      <c r="BW297" s="529" t="str">
        <f t="shared" si="225"/>
        <v>-</v>
      </c>
      <c r="BX297" s="221" t="str">
        <f t="shared" si="226"/>
        <v>-</v>
      </c>
      <c r="BY297" s="730">
        <f>SUM('MAE - Audience Level Data'!I59:J59)</f>
        <v>0</v>
      </c>
      <c r="BZ297" s="692">
        <f>SUM('MAE - Audience Level Data'!G59:H59,'MAE - Audience Level Data'!K59:L59)</f>
        <v>0</v>
      </c>
      <c r="CA297" s="693">
        <f t="shared" si="228"/>
        <v>0</v>
      </c>
      <c r="CB297" s="407" t="str">
        <f t="shared" si="227"/>
        <v>-</v>
      </c>
      <c r="CC297" s="529" t="str">
        <f t="shared" si="217"/>
        <v>-</v>
      </c>
      <c r="CD297" s="221" t="str">
        <f t="shared" si="223"/>
        <v>-</v>
      </c>
    </row>
    <row r="298" spans="1:82" ht="15.75" customHeight="1">
      <c r="A298" s="175">
        <f t="shared" si="204"/>
        <v>2026</v>
      </c>
      <c r="B298" s="454" t="str">
        <f t="shared" si="205"/>
        <v>32</v>
      </c>
      <c r="C298" s="454" t="str">
        <f t="array" ref="C298">_xlfn.IFS(_xlfn.NUMBERVALUE(B298)&lt;=13,"Q1",AND(_xlfn.NUMBERVALUE(B298)&gt;13,_xlfn.NUMBERVALUE(B298)&lt;=26),"Q2", AND(_xlfn.NUMBERVALUE(B298)&gt;26,_xlfn.NUMBERVALUE(B298)&lt;=39),"Q3",_xlfn.NUMBERVALUE(B298)&gt;39,"Q4")</f>
        <v>Q3</v>
      </c>
      <c r="D298" s="448">
        <f t="shared" si="218"/>
        <v>45906</v>
      </c>
      <c r="E298" s="448">
        <f t="shared" si="206"/>
        <v>45912</v>
      </c>
      <c r="F298" s="97">
        <v>202532</v>
      </c>
      <c r="G298" s="103"/>
      <c r="H298" s="429"/>
      <c r="I298" s="429"/>
      <c r="J298" s="429"/>
      <c r="K298" s="429"/>
      <c r="L298" s="429"/>
      <c r="M298" s="429"/>
      <c r="N298" s="429"/>
      <c r="O298" s="429"/>
      <c r="P298" s="429"/>
      <c r="Q298" s="429"/>
      <c r="R298" s="429"/>
      <c r="S298" s="429"/>
      <c r="T298" s="429"/>
      <c r="U298" s="429"/>
      <c r="V298" s="429"/>
      <c r="W298" s="429"/>
      <c r="X298" s="429"/>
      <c r="Y298" s="449"/>
      <c r="Z298" s="449">
        <f>SUM('Overall Metrics'!AU299,'Overall Metrics'!AT299)</f>
        <v>0</v>
      </c>
      <c r="AA298" s="214">
        <f t="shared" si="222"/>
        <v>0</v>
      </c>
      <c r="AB298" s="446"/>
      <c r="AC298" s="446"/>
      <c r="AD298" s="446"/>
      <c r="AE298" s="446"/>
      <c r="AF298" s="446"/>
      <c r="AG298" s="446"/>
      <c r="AH298" s="446"/>
      <c r="AI298" s="446"/>
      <c r="AJ298" s="446"/>
      <c r="AK298" s="446"/>
      <c r="AL298" s="446"/>
      <c r="AM298" s="446"/>
      <c r="AN298" s="446"/>
      <c r="AO298" s="446"/>
      <c r="AP298" s="446"/>
      <c r="AQ298" s="446"/>
      <c r="AR298" s="219">
        <f t="shared" si="207"/>
        <v>0</v>
      </c>
      <c r="AS298" s="220" t="str">
        <f t="shared" si="208"/>
        <v>-</v>
      </c>
      <c r="AT298" s="472" t="str">
        <f t="shared" si="209"/>
        <v>-</v>
      </c>
      <c r="AU298" s="472" t="str">
        <f t="shared" si="210"/>
        <v>-</v>
      </c>
      <c r="AV298" s="472" t="str">
        <f t="shared" si="211"/>
        <v>-</v>
      </c>
      <c r="AW298" s="472" t="str">
        <f t="shared" si="212"/>
        <v>-</v>
      </c>
      <c r="AX298" s="472" t="str">
        <f t="shared" si="213"/>
        <v>-</v>
      </c>
      <c r="AY298" s="472" t="str">
        <f t="shared" si="229"/>
        <v>-</v>
      </c>
      <c r="AZ298" s="472" t="str">
        <f t="shared" si="237"/>
        <v>-</v>
      </c>
      <c r="BA298" s="472" t="str">
        <f t="shared" si="238"/>
        <v>-</v>
      </c>
      <c r="BB298" s="472" t="str">
        <f t="shared" si="230"/>
        <v>-</v>
      </c>
      <c r="BC298" s="472" t="str">
        <f t="shared" si="231"/>
        <v>-</v>
      </c>
      <c r="BD298" s="472" t="str">
        <f t="shared" si="232"/>
        <v>-</v>
      </c>
      <c r="BE298" s="472" t="str">
        <f t="shared" si="233"/>
        <v>-</v>
      </c>
      <c r="BF298" s="472" t="str">
        <f t="shared" si="234"/>
        <v>-</v>
      </c>
      <c r="BG298" s="472" t="str">
        <f t="shared" si="235"/>
        <v>-</v>
      </c>
      <c r="BH298" s="472" t="str">
        <f t="shared" si="236"/>
        <v>-</v>
      </c>
      <c r="BI298" s="221" t="str">
        <f t="shared" si="214"/>
        <v>-</v>
      </c>
      <c r="BJ298" s="692">
        <f>SUM('MAE - Audience Level Data'!O60,'MAE - Audience Level Data'!P60)</f>
        <v>0</v>
      </c>
      <c r="BK298" s="692">
        <f>SUM('MAE - Audience Level Data'!M60,'MAE - Audience Level Data'!N60,'MAE - Audience Level Data'!Q60,'MAE - Audience Level Data'!R60)</f>
        <v>0</v>
      </c>
      <c r="BL298" s="89"/>
      <c r="BM298" s="89"/>
      <c r="BN298" s="214">
        <f t="shared" si="215"/>
        <v>0</v>
      </c>
      <c r="BO298" s="742">
        <f>SUM('MAE - Audience Level Data'!U60:V60)</f>
        <v>0</v>
      </c>
      <c r="BP298" s="742">
        <f>SUM('MAE - Audience Level Data'!S60:T60,'MAE - Audience Level Data'!W60:X60)</f>
        <v>0</v>
      </c>
      <c r="BQ298" s="667"/>
      <c r="BR298" s="667"/>
      <c r="BS298" s="228">
        <f t="shared" si="216"/>
        <v>0</v>
      </c>
      <c r="BT298" s="407" t="str">
        <f t="shared" si="239"/>
        <v>-</v>
      </c>
      <c r="BU298" s="529" t="str">
        <f t="shared" ref="BU298:BU318" si="240">IFERROR(BP298/BK298,"-")</f>
        <v>-</v>
      </c>
      <c r="BV298" s="529" t="str">
        <f t="shared" si="224"/>
        <v>-</v>
      </c>
      <c r="BW298" s="529" t="str">
        <f t="shared" si="225"/>
        <v>-</v>
      </c>
      <c r="BX298" s="221" t="str">
        <f t="shared" si="226"/>
        <v>-</v>
      </c>
      <c r="BY298" s="730">
        <f>SUM('MAE - Audience Level Data'!I60:J60)</f>
        <v>0</v>
      </c>
      <c r="BZ298" s="692">
        <f>SUM('MAE - Audience Level Data'!G60:H60,'MAE - Audience Level Data'!K60:L60)</f>
        <v>0</v>
      </c>
      <c r="CA298" s="693">
        <f t="shared" si="228"/>
        <v>0</v>
      </c>
      <c r="CB298" s="407" t="str">
        <f t="shared" si="227"/>
        <v>-</v>
      </c>
      <c r="CC298" s="529" t="str">
        <f t="shared" si="217"/>
        <v>-</v>
      </c>
      <c r="CD298" s="221" t="str">
        <f t="shared" si="223"/>
        <v>-</v>
      </c>
    </row>
    <row r="299" spans="1:82" ht="15.75" customHeight="1">
      <c r="A299" s="175">
        <f t="shared" si="204"/>
        <v>2026</v>
      </c>
      <c r="B299" s="454" t="str">
        <f t="shared" si="205"/>
        <v>33</v>
      </c>
      <c r="C299" s="454" t="str">
        <f t="array" ref="C299">_xlfn.IFS(_xlfn.NUMBERVALUE(B299)&lt;=13,"Q1",AND(_xlfn.NUMBERVALUE(B299)&gt;13,_xlfn.NUMBERVALUE(B299)&lt;=26),"Q2", AND(_xlfn.NUMBERVALUE(B299)&gt;26,_xlfn.NUMBERVALUE(B299)&lt;=39),"Q3",_xlfn.NUMBERVALUE(B299)&gt;39,"Q4")</f>
        <v>Q3</v>
      </c>
      <c r="D299" s="448">
        <f t="shared" si="218"/>
        <v>45913</v>
      </c>
      <c r="E299" s="448">
        <f t="shared" si="206"/>
        <v>45919</v>
      </c>
      <c r="F299" s="97">
        <v>202533</v>
      </c>
      <c r="G299" s="103"/>
      <c r="H299" s="429"/>
      <c r="I299" s="429"/>
      <c r="J299" s="429"/>
      <c r="K299" s="429"/>
      <c r="L299" s="429"/>
      <c r="M299" s="429"/>
      <c r="N299" s="429"/>
      <c r="O299" s="429"/>
      <c r="P299" s="429"/>
      <c r="Q299" s="429"/>
      <c r="R299" s="429"/>
      <c r="S299" s="429"/>
      <c r="T299" s="429"/>
      <c r="U299" s="429"/>
      <c r="V299" s="429"/>
      <c r="W299" s="429"/>
      <c r="X299" s="429"/>
      <c r="Y299" s="449"/>
      <c r="Z299" s="449">
        <f>SUM('Overall Metrics'!AU300,'Overall Metrics'!AT300)</f>
        <v>0</v>
      </c>
      <c r="AA299" s="214">
        <f t="shared" si="222"/>
        <v>0</v>
      </c>
      <c r="AB299" s="446"/>
      <c r="AC299" s="446"/>
      <c r="AD299" s="446"/>
      <c r="AE299" s="446"/>
      <c r="AF299" s="446"/>
      <c r="AG299" s="446"/>
      <c r="AH299" s="446"/>
      <c r="AI299" s="446"/>
      <c r="AJ299" s="446"/>
      <c r="AK299" s="446"/>
      <c r="AL299" s="446"/>
      <c r="AM299" s="446"/>
      <c r="AN299" s="446"/>
      <c r="AO299" s="446"/>
      <c r="AP299" s="446"/>
      <c r="AQ299" s="446"/>
      <c r="AR299" s="219">
        <f t="shared" si="207"/>
        <v>0</v>
      </c>
      <c r="AS299" s="220" t="str">
        <f t="shared" si="208"/>
        <v>-</v>
      </c>
      <c r="AT299" s="472" t="str">
        <f t="shared" si="209"/>
        <v>-</v>
      </c>
      <c r="AU299" s="472" t="str">
        <f t="shared" si="210"/>
        <v>-</v>
      </c>
      <c r="AV299" s="472" t="str">
        <f t="shared" si="211"/>
        <v>-</v>
      </c>
      <c r="AW299" s="472" t="str">
        <f t="shared" si="212"/>
        <v>-</v>
      </c>
      <c r="AX299" s="472" t="str">
        <f t="shared" si="213"/>
        <v>-</v>
      </c>
      <c r="AY299" s="472" t="str">
        <f t="shared" si="229"/>
        <v>-</v>
      </c>
      <c r="AZ299" s="472" t="str">
        <f t="shared" si="237"/>
        <v>-</v>
      </c>
      <c r="BA299" s="472" t="str">
        <f t="shared" si="238"/>
        <v>-</v>
      </c>
      <c r="BB299" s="472" t="str">
        <f t="shared" si="230"/>
        <v>-</v>
      </c>
      <c r="BC299" s="472" t="str">
        <f t="shared" si="231"/>
        <v>-</v>
      </c>
      <c r="BD299" s="472" t="str">
        <f t="shared" si="232"/>
        <v>-</v>
      </c>
      <c r="BE299" s="472" t="str">
        <f t="shared" si="233"/>
        <v>-</v>
      </c>
      <c r="BF299" s="472" t="str">
        <f t="shared" si="234"/>
        <v>-</v>
      </c>
      <c r="BG299" s="472" t="str">
        <f t="shared" si="235"/>
        <v>-</v>
      </c>
      <c r="BH299" s="472" t="str">
        <f t="shared" si="236"/>
        <v>-</v>
      </c>
      <c r="BI299" s="221" t="str">
        <f t="shared" si="214"/>
        <v>-</v>
      </c>
      <c r="BJ299" s="692">
        <f>SUM('MAE - Audience Level Data'!O61,'MAE - Audience Level Data'!P61)</f>
        <v>0</v>
      </c>
      <c r="BK299" s="692">
        <f>SUM('MAE - Audience Level Data'!M61,'MAE - Audience Level Data'!N61,'MAE - Audience Level Data'!Q61,'MAE - Audience Level Data'!R61)</f>
        <v>0</v>
      </c>
      <c r="BL299" s="89"/>
      <c r="BM299" s="89"/>
      <c r="BN299" s="214">
        <f t="shared" si="215"/>
        <v>0</v>
      </c>
      <c r="BO299" s="742">
        <f>SUM('MAE - Audience Level Data'!U61:V61)</f>
        <v>0</v>
      </c>
      <c r="BP299" s="742">
        <f>SUM('MAE - Audience Level Data'!S61:T61,'MAE - Audience Level Data'!W61:X61)</f>
        <v>0</v>
      </c>
      <c r="BQ299" s="667"/>
      <c r="BR299" s="667"/>
      <c r="BS299" s="228">
        <f t="shared" si="216"/>
        <v>0</v>
      </c>
      <c r="BT299" s="407" t="str">
        <f t="shared" si="239"/>
        <v>-</v>
      </c>
      <c r="BU299" s="529" t="str">
        <f t="shared" si="240"/>
        <v>-</v>
      </c>
      <c r="BV299" s="529" t="str">
        <f t="shared" si="224"/>
        <v>-</v>
      </c>
      <c r="BW299" s="529" t="str">
        <f t="shared" si="225"/>
        <v>-</v>
      </c>
      <c r="BX299" s="221" t="str">
        <f t="shared" si="226"/>
        <v>-</v>
      </c>
      <c r="BY299" s="730">
        <f>SUM('MAE - Audience Level Data'!I61:J61)</f>
        <v>0</v>
      </c>
      <c r="BZ299" s="692">
        <f>SUM('MAE - Audience Level Data'!G61:H61,'MAE - Audience Level Data'!K61:L61)</f>
        <v>0</v>
      </c>
      <c r="CA299" s="693">
        <f t="shared" si="228"/>
        <v>0</v>
      </c>
      <c r="CB299" s="407" t="str">
        <f t="shared" si="227"/>
        <v>-</v>
      </c>
      <c r="CC299" s="529" t="str">
        <f t="shared" si="217"/>
        <v>-</v>
      </c>
      <c r="CD299" s="221" t="str">
        <f t="shared" si="223"/>
        <v>-</v>
      </c>
    </row>
    <row r="300" spans="1:82" ht="15.75" customHeight="1">
      <c r="A300" s="175">
        <f t="shared" si="204"/>
        <v>2026</v>
      </c>
      <c r="B300" s="454" t="str">
        <f t="shared" si="205"/>
        <v>34</v>
      </c>
      <c r="C300" s="454" t="str">
        <f t="array" ref="C300">_xlfn.IFS(_xlfn.NUMBERVALUE(B300)&lt;=13,"Q1",AND(_xlfn.NUMBERVALUE(B300)&gt;13,_xlfn.NUMBERVALUE(B300)&lt;=26),"Q2", AND(_xlfn.NUMBERVALUE(B300)&gt;26,_xlfn.NUMBERVALUE(B300)&lt;=39),"Q3",_xlfn.NUMBERVALUE(B300)&gt;39,"Q4")</f>
        <v>Q3</v>
      </c>
      <c r="D300" s="448">
        <f t="shared" si="218"/>
        <v>45920</v>
      </c>
      <c r="E300" s="448">
        <f t="shared" si="206"/>
        <v>45926</v>
      </c>
      <c r="F300" s="97">
        <v>202534</v>
      </c>
      <c r="G300" s="103"/>
      <c r="H300" s="429"/>
      <c r="I300" s="429"/>
      <c r="J300" s="429"/>
      <c r="K300" s="429"/>
      <c r="L300" s="429"/>
      <c r="M300" s="429"/>
      <c r="N300" s="429"/>
      <c r="O300" s="429"/>
      <c r="P300" s="429"/>
      <c r="Q300" s="429"/>
      <c r="R300" s="429"/>
      <c r="S300" s="429"/>
      <c r="T300" s="429"/>
      <c r="U300" s="429"/>
      <c r="V300" s="429"/>
      <c r="W300" s="429"/>
      <c r="X300" s="429"/>
      <c r="Y300" s="449"/>
      <c r="Z300" s="449">
        <f>SUM('Overall Metrics'!AU301,'Overall Metrics'!AT301)</f>
        <v>0</v>
      </c>
      <c r="AA300" s="214">
        <f t="shared" si="222"/>
        <v>0</v>
      </c>
      <c r="AB300" s="446"/>
      <c r="AC300" s="446"/>
      <c r="AD300" s="446"/>
      <c r="AE300" s="446"/>
      <c r="AF300" s="446"/>
      <c r="AG300" s="446"/>
      <c r="AH300" s="446"/>
      <c r="AI300" s="446"/>
      <c r="AJ300" s="446"/>
      <c r="AK300" s="446"/>
      <c r="AL300" s="446"/>
      <c r="AM300" s="446"/>
      <c r="AN300" s="446"/>
      <c r="AO300" s="446"/>
      <c r="AP300" s="446"/>
      <c r="AQ300" s="446"/>
      <c r="AR300" s="219">
        <f t="shared" si="207"/>
        <v>0</v>
      </c>
      <c r="AS300" s="220" t="str">
        <f t="shared" si="208"/>
        <v>-</v>
      </c>
      <c r="AT300" s="472" t="str">
        <f t="shared" si="209"/>
        <v>-</v>
      </c>
      <c r="AU300" s="472" t="str">
        <f t="shared" si="210"/>
        <v>-</v>
      </c>
      <c r="AV300" s="472" t="str">
        <f t="shared" si="211"/>
        <v>-</v>
      </c>
      <c r="AW300" s="472" t="str">
        <f t="shared" si="212"/>
        <v>-</v>
      </c>
      <c r="AX300" s="472" t="str">
        <f t="shared" si="213"/>
        <v>-</v>
      </c>
      <c r="AY300" s="472" t="str">
        <f t="shared" si="229"/>
        <v>-</v>
      </c>
      <c r="AZ300" s="472" t="str">
        <f t="shared" si="237"/>
        <v>-</v>
      </c>
      <c r="BA300" s="472" t="str">
        <f t="shared" si="238"/>
        <v>-</v>
      </c>
      <c r="BB300" s="472" t="str">
        <f t="shared" si="230"/>
        <v>-</v>
      </c>
      <c r="BC300" s="472" t="str">
        <f t="shared" si="231"/>
        <v>-</v>
      </c>
      <c r="BD300" s="472" t="str">
        <f t="shared" si="232"/>
        <v>-</v>
      </c>
      <c r="BE300" s="472" t="str">
        <f t="shared" si="233"/>
        <v>-</v>
      </c>
      <c r="BF300" s="472" t="str">
        <f t="shared" si="234"/>
        <v>-</v>
      </c>
      <c r="BG300" s="472" t="str">
        <f t="shared" si="235"/>
        <v>-</v>
      </c>
      <c r="BH300" s="472" t="str">
        <f t="shared" si="236"/>
        <v>-</v>
      </c>
      <c r="BI300" s="221" t="str">
        <f t="shared" si="214"/>
        <v>-</v>
      </c>
      <c r="BJ300" s="692">
        <f>SUM('MAE - Audience Level Data'!O62,'MAE - Audience Level Data'!P62)</f>
        <v>0</v>
      </c>
      <c r="BK300" s="692">
        <f>SUM('MAE - Audience Level Data'!M62,'MAE - Audience Level Data'!N62,'MAE - Audience Level Data'!Q62,'MAE - Audience Level Data'!R62)</f>
        <v>0</v>
      </c>
      <c r="BL300" s="89"/>
      <c r="BM300" s="89"/>
      <c r="BN300" s="214">
        <f t="shared" si="215"/>
        <v>0</v>
      </c>
      <c r="BO300" s="742">
        <f>SUM('MAE - Audience Level Data'!U62:V62)</f>
        <v>0</v>
      </c>
      <c r="BP300" s="742">
        <f>SUM('MAE - Audience Level Data'!S62:T62,'MAE - Audience Level Data'!W62:X62)</f>
        <v>0</v>
      </c>
      <c r="BQ300" s="667"/>
      <c r="BR300" s="667"/>
      <c r="BS300" s="228">
        <f t="shared" si="216"/>
        <v>0</v>
      </c>
      <c r="BT300" s="407" t="str">
        <f t="shared" si="239"/>
        <v>-</v>
      </c>
      <c r="BU300" s="529" t="str">
        <f t="shared" si="240"/>
        <v>-</v>
      </c>
      <c r="BV300" s="529" t="str">
        <f t="shared" si="224"/>
        <v>-</v>
      </c>
      <c r="BW300" s="529" t="str">
        <f t="shared" si="225"/>
        <v>-</v>
      </c>
      <c r="BX300" s="221" t="str">
        <f t="shared" si="226"/>
        <v>-</v>
      </c>
      <c r="BY300" s="730">
        <f>SUM('MAE - Audience Level Data'!I62:J62)</f>
        <v>0</v>
      </c>
      <c r="BZ300" s="692">
        <f>SUM('MAE - Audience Level Data'!G62:H62,'MAE - Audience Level Data'!K62:L62)</f>
        <v>0</v>
      </c>
      <c r="CA300" s="693">
        <f t="shared" si="228"/>
        <v>0</v>
      </c>
      <c r="CB300" s="407" t="str">
        <f t="shared" si="227"/>
        <v>-</v>
      </c>
      <c r="CC300" s="529" t="str">
        <f t="shared" si="217"/>
        <v>-</v>
      </c>
      <c r="CD300" s="221" t="str">
        <f t="shared" si="223"/>
        <v>-</v>
      </c>
    </row>
    <row r="301" spans="1:82" ht="15.75" customHeight="1">
      <c r="A301" s="175">
        <f t="shared" si="204"/>
        <v>2026</v>
      </c>
      <c r="B301" s="454" t="str">
        <f t="shared" si="205"/>
        <v>35</v>
      </c>
      <c r="C301" s="454" t="str">
        <f t="array" ref="C301">_xlfn.IFS(_xlfn.NUMBERVALUE(B301)&lt;=13,"Q1",AND(_xlfn.NUMBERVALUE(B301)&gt;13,_xlfn.NUMBERVALUE(B301)&lt;=26),"Q2", AND(_xlfn.NUMBERVALUE(B301)&gt;26,_xlfn.NUMBERVALUE(B301)&lt;=39),"Q3",_xlfn.NUMBERVALUE(B301)&gt;39,"Q4")</f>
        <v>Q3</v>
      </c>
      <c r="D301" s="448">
        <f t="shared" si="218"/>
        <v>45927</v>
      </c>
      <c r="E301" s="448">
        <f t="shared" si="206"/>
        <v>45933</v>
      </c>
      <c r="F301" s="97">
        <v>202535</v>
      </c>
      <c r="G301" s="103"/>
      <c r="H301" s="429"/>
      <c r="I301" s="429"/>
      <c r="J301" s="429"/>
      <c r="K301" s="429"/>
      <c r="L301" s="429"/>
      <c r="M301" s="429"/>
      <c r="N301" s="429"/>
      <c r="O301" s="429"/>
      <c r="P301" s="429"/>
      <c r="Q301" s="429"/>
      <c r="R301" s="429"/>
      <c r="S301" s="429"/>
      <c r="T301" s="429"/>
      <c r="U301" s="429"/>
      <c r="V301" s="429"/>
      <c r="W301" s="429"/>
      <c r="X301" s="429"/>
      <c r="Y301" s="449"/>
      <c r="Z301" s="449">
        <f>SUM('Overall Metrics'!AU302,'Overall Metrics'!AT302)</f>
        <v>0</v>
      </c>
      <c r="AA301" s="214">
        <f t="shared" si="222"/>
        <v>0</v>
      </c>
      <c r="AB301" s="446"/>
      <c r="AC301" s="446"/>
      <c r="AD301" s="446"/>
      <c r="AE301" s="446"/>
      <c r="AF301" s="446"/>
      <c r="AG301" s="446"/>
      <c r="AH301" s="446"/>
      <c r="AI301" s="446"/>
      <c r="AJ301" s="446"/>
      <c r="AK301" s="446"/>
      <c r="AL301" s="446"/>
      <c r="AM301" s="446"/>
      <c r="AN301" s="446"/>
      <c r="AO301" s="446"/>
      <c r="AP301" s="446"/>
      <c r="AQ301" s="446"/>
      <c r="AR301" s="219">
        <f t="shared" si="207"/>
        <v>0</v>
      </c>
      <c r="AS301" s="220" t="str">
        <f t="shared" si="208"/>
        <v>-</v>
      </c>
      <c r="AT301" s="472" t="str">
        <f t="shared" si="209"/>
        <v>-</v>
      </c>
      <c r="AU301" s="472" t="str">
        <f t="shared" si="210"/>
        <v>-</v>
      </c>
      <c r="AV301" s="472" t="str">
        <f t="shared" si="211"/>
        <v>-</v>
      </c>
      <c r="AW301" s="472" t="str">
        <f t="shared" si="212"/>
        <v>-</v>
      </c>
      <c r="AX301" s="472" t="str">
        <f t="shared" si="213"/>
        <v>-</v>
      </c>
      <c r="AY301" s="472" t="str">
        <f t="shared" si="229"/>
        <v>-</v>
      </c>
      <c r="AZ301" s="472" t="str">
        <f t="shared" si="237"/>
        <v>-</v>
      </c>
      <c r="BA301" s="472" t="str">
        <f t="shared" si="238"/>
        <v>-</v>
      </c>
      <c r="BB301" s="472" t="str">
        <f t="shared" si="230"/>
        <v>-</v>
      </c>
      <c r="BC301" s="472" t="str">
        <f t="shared" si="231"/>
        <v>-</v>
      </c>
      <c r="BD301" s="472" t="str">
        <f t="shared" si="232"/>
        <v>-</v>
      </c>
      <c r="BE301" s="472" t="str">
        <f t="shared" si="233"/>
        <v>-</v>
      </c>
      <c r="BF301" s="472" t="str">
        <f t="shared" si="234"/>
        <v>-</v>
      </c>
      <c r="BG301" s="472" t="str">
        <f t="shared" si="235"/>
        <v>-</v>
      </c>
      <c r="BH301" s="472" t="str">
        <f t="shared" si="236"/>
        <v>-</v>
      </c>
      <c r="BI301" s="221" t="str">
        <f t="shared" si="214"/>
        <v>-</v>
      </c>
      <c r="BJ301" s="692">
        <f>SUM('MAE - Audience Level Data'!O63,'MAE - Audience Level Data'!P63)</f>
        <v>0</v>
      </c>
      <c r="BK301" s="692">
        <f>SUM('MAE - Audience Level Data'!M63,'MAE - Audience Level Data'!N63,'MAE - Audience Level Data'!Q63,'MAE - Audience Level Data'!R63)</f>
        <v>0</v>
      </c>
      <c r="BL301" s="89"/>
      <c r="BM301" s="89"/>
      <c r="BN301" s="214">
        <f t="shared" si="215"/>
        <v>0</v>
      </c>
      <c r="BO301" s="742">
        <f>SUM('MAE - Audience Level Data'!U63:V63)</f>
        <v>0</v>
      </c>
      <c r="BP301" s="742">
        <f>SUM('MAE - Audience Level Data'!S63:T63,'MAE - Audience Level Data'!W63:X63)</f>
        <v>0</v>
      </c>
      <c r="BQ301" s="667"/>
      <c r="BR301" s="667"/>
      <c r="BS301" s="228">
        <f t="shared" si="216"/>
        <v>0</v>
      </c>
      <c r="BT301" s="407" t="str">
        <f t="shared" si="239"/>
        <v>-</v>
      </c>
      <c r="BU301" s="529" t="str">
        <f t="shared" si="240"/>
        <v>-</v>
      </c>
      <c r="BV301" s="529" t="str">
        <f t="shared" si="224"/>
        <v>-</v>
      </c>
      <c r="BW301" s="529" t="str">
        <f t="shared" si="225"/>
        <v>-</v>
      </c>
      <c r="BX301" s="221" t="str">
        <f t="shared" si="226"/>
        <v>-</v>
      </c>
      <c r="BY301" s="730">
        <f>SUM('MAE - Audience Level Data'!I63:J63)</f>
        <v>0</v>
      </c>
      <c r="BZ301" s="692">
        <f>SUM('MAE - Audience Level Data'!G63:H63,'MAE - Audience Level Data'!K63:L63)</f>
        <v>0</v>
      </c>
      <c r="CA301" s="693">
        <f t="shared" si="228"/>
        <v>0</v>
      </c>
      <c r="CB301" s="407" t="str">
        <f t="shared" si="227"/>
        <v>-</v>
      </c>
      <c r="CC301" s="529" t="str">
        <f t="shared" si="217"/>
        <v>-</v>
      </c>
      <c r="CD301" s="221" t="str">
        <f t="shared" si="223"/>
        <v>-</v>
      </c>
    </row>
    <row r="302" spans="1:82" ht="15.75" customHeight="1">
      <c r="A302" s="175">
        <f t="shared" si="204"/>
        <v>2026</v>
      </c>
      <c r="B302" s="454" t="str">
        <f t="shared" si="205"/>
        <v>36</v>
      </c>
      <c r="C302" s="454" t="str">
        <f t="array" ref="C302">_xlfn.IFS(_xlfn.NUMBERVALUE(B302)&lt;=13,"Q1",AND(_xlfn.NUMBERVALUE(B302)&gt;13,_xlfn.NUMBERVALUE(B302)&lt;=26),"Q2", AND(_xlfn.NUMBERVALUE(B302)&gt;26,_xlfn.NUMBERVALUE(B302)&lt;=39),"Q3",_xlfn.NUMBERVALUE(B302)&gt;39,"Q4")</f>
        <v>Q3</v>
      </c>
      <c r="D302" s="448">
        <f t="shared" si="218"/>
        <v>45934</v>
      </c>
      <c r="E302" s="448">
        <f t="shared" si="206"/>
        <v>45940</v>
      </c>
      <c r="F302" s="97">
        <v>202536</v>
      </c>
      <c r="G302" s="103"/>
      <c r="H302" s="429"/>
      <c r="I302" s="429"/>
      <c r="J302" s="429"/>
      <c r="K302" s="429"/>
      <c r="L302" s="429"/>
      <c r="M302" s="429"/>
      <c r="N302" s="429"/>
      <c r="O302" s="429"/>
      <c r="P302" s="429"/>
      <c r="Q302" s="429"/>
      <c r="R302" s="429"/>
      <c r="S302" s="429"/>
      <c r="T302" s="429"/>
      <c r="U302" s="429"/>
      <c r="V302" s="429"/>
      <c r="W302" s="429"/>
      <c r="X302" s="429"/>
      <c r="Y302" s="449"/>
      <c r="Z302" s="449">
        <f>SUM('Overall Metrics'!AU303,'Overall Metrics'!AT303)</f>
        <v>0</v>
      </c>
      <c r="AA302" s="214">
        <f t="shared" si="222"/>
        <v>0</v>
      </c>
      <c r="AB302" s="446"/>
      <c r="AC302" s="446"/>
      <c r="AD302" s="446"/>
      <c r="AE302" s="446"/>
      <c r="AF302" s="446"/>
      <c r="AG302" s="446"/>
      <c r="AH302" s="446"/>
      <c r="AI302" s="446"/>
      <c r="AJ302" s="446"/>
      <c r="AK302" s="446"/>
      <c r="AL302" s="446"/>
      <c r="AM302" s="446"/>
      <c r="AN302" s="446"/>
      <c r="AO302" s="446"/>
      <c r="AP302" s="446"/>
      <c r="AQ302" s="446"/>
      <c r="AR302" s="219">
        <f t="shared" si="207"/>
        <v>0</v>
      </c>
      <c r="AS302" s="220" t="str">
        <f t="shared" si="208"/>
        <v>-</v>
      </c>
      <c r="AT302" s="472" t="str">
        <f t="shared" si="209"/>
        <v>-</v>
      </c>
      <c r="AU302" s="472" t="str">
        <f t="shared" si="210"/>
        <v>-</v>
      </c>
      <c r="AV302" s="472" t="str">
        <f t="shared" si="211"/>
        <v>-</v>
      </c>
      <c r="AW302" s="472" t="str">
        <f t="shared" si="212"/>
        <v>-</v>
      </c>
      <c r="AX302" s="472" t="str">
        <f t="shared" si="213"/>
        <v>-</v>
      </c>
      <c r="AY302" s="472" t="str">
        <f t="shared" si="229"/>
        <v>-</v>
      </c>
      <c r="AZ302" s="472" t="str">
        <f t="shared" si="237"/>
        <v>-</v>
      </c>
      <c r="BA302" s="472" t="str">
        <f t="shared" si="238"/>
        <v>-</v>
      </c>
      <c r="BB302" s="472" t="str">
        <f t="shared" si="230"/>
        <v>-</v>
      </c>
      <c r="BC302" s="472" t="str">
        <f t="shared" si="231"/>
        <v>-</v>
      </c>
      <c r="BD302" s="472" t="str">
        <f t="shared" si="232"/>
        <v>-</v>
      </c>
      <c r="BE302" s="472" t="str">
        <f t="shared" si="233"/>
        <v>-</v>
      </c>
      <c r="BF302" s="472" t="str">
        <f t="shared" si="234"/>
        <v>-</v>
      </c>
      <c r="BG302" s="472" t="str">
        <f t="shared" si="235"/>
        <v>-</v>
      </c>
      <c r="BH302" s="472" t="str">
        <f t="shared" si="236"/>
        <v>-</v>
      </c>
      <c r="BI302" s="221" t="str">
        <f t="shared" si="214"/>
        <v>-</v>
      </c>
      <c r="BJ302" s="692">
        <f>SUM('MAE - Audience Level Data'!O64,'MAE - Audience Level Data'!P64)</f>
        <v>0</v>
      </c>
      <c r="BK302" s="692">
        <f>SUM('MAE - Audience Level Data'!M64,'MAE - Audience Level Data'!N64,'MAE - Audience Level Data'!Q64,'MAE - Audience Level Data'!R64)</f>
        <v>0</v>
      </c>
      <c r="BL302" s="89"/>
      <c r="BM302" s="89"/>
      <c r="BN302" s="214">
        <f t="shared" si="215"/>
        <v>0</v>
      </c>
      <c r="BO302" s="742">
        <f>SUM('MAE - Audience Level Data'!U64:V64)</f>
        <v>0</v>
      </c>
      <c r="BP302" s="742">
        <f>SUM('MAE - Audience Level Data'!S64:T64,'MAE - Audience Level Data'!W64:X64)</f>
        <v>0</v>
      </c>
      <c r="BQ302" s="667"/>
      <c r="BR302" s="667"/>
      <c r="BS302" s="228">
        <f t="shared" si="216"/>
        <v>0</v>
      </c>
      <c r="BT302" s="407" t="str">
        <f t="shared" si="239"/>
        <v>-</v>
      </c>
      <c r="BU302" s="529" t="str">
        <f t="shared" si="240"/>
        <v>-</v>
      </c>
      <c r="BV302" s="529" t="str">
        <f t="shared" si="224"/>
        <v>-</v>
      </c>
      <c r="BW302" s="529" t="str">
        <f t="shared" si="225"/>
        <v>-</v>
      </c>
      <c r="BX302" s="221" t="str">
        <f t="shared" si="226"/>
        <v>-</v>
      </c>
      <c r="BY302" s="730">
        <f>SUM('MAE - Audience Level Data'!I64:J64)</f>
        <v>0</v>
      </c>
      <c r="BZ302" s="692">
        <f>SUM('MAE - Audience Level Data'!G64:H64,'MAE - Audience Level Data'!K64:L64)</f>
        <v>0</v>
      </c>
      <c r="CA302" s="693">
        <f t="shared" si="228"/>
        <v>0</v>
      </c>
      <c r="CB302" s="407" t="str">
        <f t="shared" si="227"/>
        <v>-</v>
      </c>
      <c r="CC302" s="529" t="str">
        <f t="shared" si="217"/>
        <v>-</v>
      </c>
      <c r="CD302" s="221" t="str">
        <f t="shared" si="223"/>
        <v>-</v>
      </c>
    </row>
    <row r="303" spans="1:82" ht="15.75" customHeight="1">
      <c r="A303" s="175">
        <f t="shared" si="204"/>
        <v>2026</v>
      </c>
      <c r="B303" s="454" t="str">
        <f t="shared" si="205"/>
        <v>37</v>
      </c>
      <c r="C303" s="454" t="str">
        <f t="array" ref="C303">_xlfn.IFS(_xlfn.NUMBERVALUE(B303)&lt;=13,"Q1",AND(_xlfn.NUMBERVALUE(B303)&gt;13,_xlfn.NUMBERVALUE(B303)&lt;=26),"Q2", AND(_xlfn.NUMBERVALUE(B303)&gt;26,_xlfn.NUMBERVALUE(B303)&lt;=39),"Q3",_xlfn.NUMBERVALUE(B303)&gt;39,"Q4")</f>
        <v>Q3</v>
      </c>
      <c r="D303" s="448">
        <f t="shared" si="218"/>
        <v>45941</v>
      </c>
      <c r="E303" s="448">
        <f t="shared" si="206"/>
        <v>45947</v>
      </c>
      <c r="F303" s="97">
        <v>202537</v>
      </c>
      <c r="G303" s="103"/>
      <c r="H303" s="429"/>
      <c r="I303" s="429"/>
      <c r="J303" s="429"/>
      <c r="K303" s="429"/>
      <c r="L303" s="429"/>
      <c r="M303" s="429"/>
      <c r="N303" s="429"/>
      <c r="O303" s="429"/>
      <c r="P303" s="429"/>
      <c r="Q303" s="429"/>
      <c r="R303" s="429"/>
      <c r="S303" s="429"/>
      <c r="T303" s="429"/>
      <c r="U303" s="429"/>
      <c r="V303" s="429"/>
      <c r="W303" s="429"/>
      <c r="X303" s="429"/>
      <c r="Y303" s="449"/>
      <c r="Z303" s="449">
        <f>SUM('Overall Metrics'!AU304,'Overall Metrics'!AT304)</f>
        <v>0</v>
      </c>
      <c r="AA303" s="214">
        <f t="shared" si="222"/>
        <v>0</v>
      </c>
      <c r="AB303" s="446"/>
      <c r="AC303" s="446"/>
      <c r="AD303" s="446"/>
      <c r="AE303" s="446"/>
      <c r="AF303" s="446"/>
      <c r="AG303" s="446"/>
      <c r="AH303" s="446"/>
      <c r="AI303" s="446"/>
      <c r="AJ303" s="446"/>
      <c r="AK303" s="446"/>
      <c r="AL303" s="446"/>
      <c r="AM303" s="446"/>
      <c r="AN303" s="446"/>
      <c r="AO303" s="446"/>
      <c r="AP303" s="446"/>
      <c r="AQ303" s="446"/>
      <c r="AR303" s="219">
        <f t="shared" si="207"/>
        <v>0</v>
      </c>
      <c r="AS303" s="220" t="str">
        <f t="shared" si="208"/>
        <v>-</v>
      </c>
      <c r="AT303" s="472" t="str">
        <f t="shared" si="209"/>
        <v>-</v>
      </c>
      <c r="AU303" s="472" t="str">
        <f t="shared" si="210"/>
        <v>-</v>
      </c>
      <c r="AV303" s="472" t="str">
        <f t="shared" si="211"/>
        <v>-</v>
      </c>
      <c r="AW303" s="472" t="str">
        <f t="shared" si="212"/>
        <v>-</v>
      </c>
      <c r="AX303" s="472" t="str">
        <f t="shared" si="213"/>
        <v>-</v>
      </c>
      <c r="AY303" s="472" t="str">
        <f t="shared" si="229"/>
        <v>-</v>
      </c>
      <c r="AZ303" s="472" t="str">
        <f t="shared" si="237"/>
        <v>-</v>
      </c>
      <c r="BA303" s="472" t="str">
        <f t="shared" si="238"/>
        <v>-</v>
      </c>
      <c r="BB303" s="472" t="str">
        <f t="shared" si="230"/>
        <v>-</v>
      </c>
      <c r="BC303" s="472" t="str">
        <f t="shared" si="231"/>
        <v>-</v>
      </c>
      <c r="BD303" s="472" t="str">
        <f t="shared" si="232"/>
        <v>-</v>
      </c>
      <c r="BE303" s="472" t="str">
        <f t="shared" si="233"/>
        <v>-</v>
      </c>
      <c r="BF303" s="472" t="str">
        <f t="shared" si="234"/>
        <v>-</v>
      </c>
      <c r="BG303" s="472" t="str">
        <f t="shared" si="235"/>
        <v>-</v>
      </c>
      <c r="BH303" s="472" t="str">
        <f t="shared" si="236"/>
        <v>-</v>
      </c>
      <c r="BI303" s="221" t="str">
        <f t="shared" si="214"/>
        <v>-</v>
      </c>
      <c r="BJ303" s="692">
        <f>SUM('MAE - Audience Level Data'!O65,'MAE - Audience Level Data'!P65)</f>
        <v>0</v>
      </c>
      <c r="BK303" s="692">
        <f>SUM('MAE - Audience Level Data'!M65,'MAE - Audience Level Data'!N65,'MAE - Audience Level Data'!Q65,'MAE - Audience Level Data'!R65)</f>
        <v>0</v>
      </c>
      <c r="BL303" s="89"/>
      <c r="BM303" s="89"/>
      <c r="BN303" s="214">
        <f t="shared" si="215"/>
        <v>0</v>
      </c>
      <c r="BO303" s="742">
        <f>SUM('MAE - Audience Level Data'!U65:V65)</f>
        <v>0</v>
      </c>
      <c r="BP303" s="742">
        <f>SUM('MAE - Audience Level Data'!S65:T65,'MAE - Audience Level Data'!W65:X65)</f>
        <v>0</v>
      </c>
      <c r="BQ303" s="667"/>
      <c r="BR303" s="667"/>
      <c r="BS303" s="228">
        <f t="shared" si="216"/>
        <v>0</v>
      </c>
      <c r="BT303" s="407" t="str">
        <f t="shared" si="239"/>
        <v>-</v>
      </c>
      <c r="BU303" s="529" t="str">
        <f t="shared" si="240"/>
        <v>-</v>
      </c>
      <c r="BV303" s="529" t="str">
        <f t="shared" si="224"/>
        <v>-</v>
      </c>
      <c r="BW303" s="529" t="str">
        <f t="shared" si="225"/>
        <v>-</v>
      </c>
      <c r="BX303" s="221" t="str">
        <f t="shared" si="226"/>
        <v>-</v>
      </c>
      <c r="BY303" s="730">
        <f>SUM('MAE - Audience Level Data'!I65:J65)</f>
        <v>0</v>
      </c>
      <c r="BZ303" s="692">
        <f>SUM('MAE - Audience Level Data'!G65:H65,'MAE - Audience Level Data'!K65:L65)</f>
        <v>0</v>
      </c>
      <c r="CA303" s="693">
        <f t="shared" si="228"/>
        <v>0</v>
      </c>
      <c r="CB303" s="407" t="str">
        <f t="shared" si="227"/>
        <v>-</v>
      </c>
      <c r="CC303" s="529" t="str">
        <f t="shared" si="217"/>
        <v>-</v>
      </c>
      <c r="CD303" s="221" t="str">
        <f t="shared" si="223"/>
        <v>-</v>
      </c>
    </row>
    <row r="304" spans="1:82" ht="15.75" customHeight="1">
      <c r="A304" s="175">
        <f t="shared" si="204"/>
        <v>2026</v>
      </c>
      <c r="B304" s="454" t="str">
        <f t="shared" si="205"/>
        <v>38</v>
      </c>
      <c r="C304" s="454" t="str">
        <f t="array" ref="C304">_xlfn.IFS(_xlfn.NUMBERVALUE(B304)&lt;=13,"Q1",AND(_xlfn.NUMBERVALUE(B304)&gt;13,_xlfn.NUMBERVALUE(B304)&lt;=26),"Q2", AND(_xlfn.NUMBERVALUE(B304)&gt;26,_xlfn.NUMBERVALUE(B304)&lt;=39),"Q3",_xlfn.NUMBERVALUE(B304)&gt;39,"Q4")</f>
        <v>Q3</v>
      </c>
      <c r="D304" s="448">
        <f t="shared" si="218"/>
        <v>45948</v>
      </c>
      <c r="E304" s="448">
        <f t="shared" si="206"/>
        <v>45954</v>
      </c>
      <c r="F304" s="97">
        <v>202538</v>
      </c>
      <c r="G304" s="103"/>
      <c r="H304" s="429"/>
      <c r="I304" s="429"/>
      <c r="J304" s="429"/>
      <c r="K304" s="429"/>
      <c r="L304" s="429"/>
      <c r="M304" s="429"/>
      <c r="N304" s="429"/>
      <c r="O304" s="429"/>
      <c r="P304" s="429"/>
      <c r="Q304" s="429"/>
      <c r="R304" s="429"/>
      <c r="S304" s="429"/>
      <c r="T304" s="429"/>
      <c r="U304" s="429"/>
      <c r="V304" s="429"/>
      <c r="W304" s="429"/>
      <c r="X304" s="429"/>
      <c r="Y304" s="449"/>
      <c r="Z304" s="449">
        <f>SUM('Overall Metrics'!AU305,'Overall Metrics'!AT305)</f>
        <v>0</v>
      </c>
      <c r="AA304" s="214">
        <f t="shared" si="222"/>
        <v>0</v>
      </c>
      <c r="AB304" s="446"/>
      <c r="AC304" s="446"/>
      <c r="AD304" s="446"/>
      <c r="AE304" s="446"/>
      <c r="AF304" s="446"/>
      <c r="AG304" s="446"/>
      <c r="AH304" s="446"/>
      <c r="AI304" s="446"/>
      <c r="AJ304" s="446"/>
      <c r="AK304" s="446"/>
      <c r="AL304" s="446"/>
      <c r="AM304" s="446"/>
      <c r="AN304" s="446"/>
      <c r="AO304" s="446"/>
      <c r="AP304" s="446"/>
      <c r="AQ304" s="446"/>
      <c r="AR304" s="219">
        <f t="shared" si="207"/>
        <v>0</v>
      </c>
      <c r="AS304" s="220" t="str">
        <f t="shared" si="208"/>
        <v>-</v>
      </c>
      <c r="AT304" s="472" t="str">
        <f t="shared" si="209"/>
        <v>-</v>
      </c>
      <c r="AU304" s="472" t="str">
        <f t="shared" si="210"/>
        <v>-</v>
      </c>
      <c r="AV304" s="472" t="str">
        <f t="shared" si="211"/>
        <v>-</v>
      </c>
      <c r="AW304" s="472" t="str">
        <f t="shared" si="212"/>
        <v>-</v>
      </c>
      <c r="AX304" s="472" t="str">
        <f t="shared" si="213"/>
        <v>-</v>
      </c>
      <c r="AY304" s="472" t="str">
        <f t="shared" si="229"/>
        <v>-</v>
      </c>
      <c r="AZ304" s="472" t="str">
        <f t="shared" si="237"/>
        <v>-</v>
      </c>
      <c r="BA304" s="472" t="str">
        <f t="shared" si="238"/>
        <v>-</v>
      </c>
      <c r="BB304" s="472" t="str">
        <f t="shared" si="230"/>
        <v>-</v>
      </c>
      <c r="BC304" s="472" t="str">
        <f t="shared" si="231"/>
        <v>-</v>
      </c>
      <c r="BD304" s="472" t="str">
        <f t="shared" si="232"/>
        <v>-</v>
      </c>
      <c r="BE304" s="472" t="str">
        <f t="shared" si="233"/>
        <v>-</v>
      </c>
      <c r="BF304" s="472" t="str">
        <f t="shared" si="234"/>
        <v>-</v>
      </c>
      <c r="BG304" s="472" t="str">
        <f t="shared" si="235"/>
        <v>-</v>
      </c>
      <c r="BH304" s="472" t="str">
        <f t="shared" si="236"/>
        <v>-</v>
      </c>
      <c r="BI304" s="221" t="str">
        <f t="shared" si="214"/>
        <v>-</v>
      </c>
      <c r="BJ304" s="692">
        <f>SUM('MAE - Audience Level Data'!O66,'MAE - Audience Level Data'!P66)</f>
        <v>0</v>
      </c>
      <c r="BK304" s="692">
        <f>SUM('MAE - Audience Level Data'!M66,'MAE - Audience Level Data'!N66,'MAE - Audience Level Data'!Q66,'MAE - Audience Level Data'!R66)</f>
        <v>0</v>
      </c>
      <c r="BL304" s="89"/>
      <c r="BM304" s="89"/>
      <c r="BN304" s="214">
        <f t="shared" si="215"/>
        <v>0</v>
      </c>
      <c r="BO304" s="742">
        <f>SUM('MAE - Audience Level Data'!U66:V66)</f>
        <v>0</v>
      </c>
      <c r="BP304" s="742">
        <f>SUM('MAE - Audience Level Data'!S66:T66,'MAE - Audience Level Data'!W66:X66)</f>
        <v>0</v>
      </c>
      <c r="BQ304" s="667"/>
      <c r="BR304" s="667"/>
      <c r="BS304" s="228">
        <f t="shared" si="216"/>
        <v>0</v>
      </c>
      <c r="BT304" s="407" t="str">
        <f t="shared" si="239"/>
        <v>-</v>
      </c>
      <c r="BU304" s="529" t="str">
        <f t="shared" si="240"/>
        <v>-</v>
      </c>
      <c r="BV304" s="529" t="str">
        <f t="shared" si="224"/>
        <v>-</v>
      </c>
      <c r="BW304" s="529" t="str">
        <f t="shared" si="225"/>
        <v>-</v>
      </c>
      <c r="BX304" s="221" t="str">
        <f t="shared" si="226"/>
        <v>-</v>
      </c>
      <c r="BY304" s="730">
        <f>SUM('MAE - Audience Level Data'!I66:J66)</f>
        <v>0</v>
      </c>
      <c r="BZ304" s="692">
        <f>SUM('MAE - Audience Level Data'!G66:H66,'MAE - Audience Level Data'!K66:L66)</f>
        <v>0</v>
      </c>
      <c r="CA304" s="693">
        <f t="shared" si="228"/>
        <v>0</v>
      </c>
      <c r="CB304" s="407" t="str">
        <f t="shared" si="227"/>
        <v>-</v>
      </c>
      <c r="CC304" s="529" t="str">
        <f t="shared" si="217"/>
        <v>-</v>
      </c>
      <c r="CD304" s="221" t="str">
        <f t="shared" si="223"/>
        <v>-</v>
      </c>
    </row>
    <row r="305" spans="1:82" ht="15.75" customHeight="1">
      <c r="A305" s="175">
        <f t="shared" si="204"/>
        <v>2026</v>
      </c>
      <c r="B305" s="454" t="str">
        <f t="shared" si="205"/>
        <v>39</v>
      </c>
      <c r="C305" s="454" t="str">
        <f t="array" ref="C305">_xlfn.IFS(_xlfn.NUMBERVALUE(B305)&lt;=13,"Q1",AND(_xlfn.NUMBERVALUE(B305)&gt;13,_xlfn.NUMBERVALUE(B305)&lt;=26),"Q2", AND(_xlfn.NUMBERVALUE(B305)&gt;26,_xlfn.NUMBERVALUE(B305)&lt;=39),"Q3",_xlfn.NUMBERVALUE(B305)&gt;39,"Q4")</f>
        <v>Q3</v>
      </c>
      <c r="D305" s="448">
        <f t="shared" si="218"/>
        <v>45955</v>
      </c>
      <c r="E305" s="448">
        <f t="shared" si="206"/>
        <v>45961</v>
      </c>
      <c r="F305" s="97">
        <v>202539</v>
      </c>
      <c r="G305" s="103"/>
      <c r="H305" s="429"/>
      <c r="I305" s="429"/>
      <c r="J305" s="429"/>
      <c r="K305" s="429"/>
      <c r="L305" s="429"/>
      <c r="M305" s="429"/>
      <c r="N305" s="429"/>
      <c r="O305" s="429"/>
      <c r="P305" s="429"/>
      <c r="Q305" s="429"/>
      <c r="R305" s="429"/>
      <c r="S305" s="429"/>
      <c r="T305" s="429"/>
      <c r="U305" s="429"/>
      <c r="V305" s="429"/>
      <c r="W305" s="429"/>
      <c r="X305" s="429"/>
      <c r="Y305" s="449"/>
      <c r="Z305" s="449">
        <f>SUM('Overall Metrics'!AU306,'Overall Metrics'!AT306)</f>
        <v>0</v>
      </c>
      <c r="AA305" s="214">
        <f t="shared" si="222"/>
        <v>0</v>
      </c>
      <c r="AB305" s="446"/>
      <c r="AC305" s="446"/>
      <c r="AD305" s="446"/>
      <c r="AE305" s="446"/>
      <c r="AF305" s="446"/>
      <c r="AG305" s="446"/>
      <c r="AH305" s="446"/>
      <c r="AI305" s="446"/>
      <c r="AJ305" s="446"/>
      <c r="AK305" s="446"/>
      <c r="AL305" s="446"/>
      <c r="AM305" s="446"/>
      <c r="AN305" s="446"/>
      <c r="AO305" s="446"/>
      <c r="AP305" s="446"/>
      <c r="AQ305" s="446"/>
      <c r="AR305" s="219">
        <f t="shared" si="207"/>
        <v>0</v>
      </c>
      <c r="AS305" s="220" t="str">
        <f t="shared" si="208"/>
        <v>-</v>
      </c>
      <c r="AT305" s="472" t="str">
        <f t="shared" si="209"/>
        <v>-</v>
      </c>
      <c r="AU305" s="472" t="str">
        <f t="shared" si="210"/>
        <v>-</v>
      </c>
      <c r="AV305" s="472" t="str">
        <f t="shared" si="211"/>
        <v>-</v>
      </c>
      <c r="AW305" s="472" t="str">
        <f t="shared" si="212"/>
        <v>-</v>
      </c>
      <c r="AX305" s="472" t="str">
        <f t="shared" si="213"/>
        <v>-</v>
      </c>
      <c r="AY305" s="472" t="str">
        <f t="shared" si="229"/>
        <v>-</v>
      </c>
      <c r="AZ305" s="472" t="str">
        <f t="shared" si="237"/>
        <v>-</v>
      </c>
      <c r="BA305" s="472" t="str">
        <f t="shared" si="238"/>
        <v>-</v>
      </c>
      <c r="BB305" s="472" t="str">
        <f t="shared" si="230"/>
        <v>-</v>
      </c>
      <c r="BC305" s="472" t="str">
        <f t="shared" si="231"/>
        <v>-</v>
      </c>
      <c r="BD305" s="472" t="str">
        <f t="shared" si="232"/>
        <v>-</v>
      </c>
      <c r="BE305" s="472" t="str">
        <f t="shared" si="233"/>
        <v>-</v>
      </c>
      <c r="BF305" s="472" t="str">
        <f t="shared" si="234"/>
        <v>-</v>
      </c>
      <c r="BG305" s="472" t="str">
        <f t="shared" si="235"/>
        <v>-</v>
      </c>
      <c r="BH305" s="472" t="str">
        <f t="shared" si="236"/>
        <v>-</v>
      </c>
      <c r="BI305" s="221" t="str">
        <f t="shared" si="214"/>
        <v>-</v>
      </c>
      <c r="BJ305" s="692">
        <f>SUM('MAE - Audience Level Data'!O67,'MAE - Audience Level Data'!P67)</f>
        <v>0</v>
      </c>
      <c r="BK305" s="692">
        <f>SUM('MAE - Audience Level Data'!M67,'MAE - Audience Level Data'!N67,'MAE - Audience Level Data'!Q67,'MAE - Audience Level Data'!R67)</f>
        <v>0</v>
      </c>
      <c r="BL305" s="89"/>
      <c r="BM305" s="89"/>
      <c r="BN305" s="214">
        <f t="shared" si="215"/>
        <v>0</v>
      </c>
      <c r="BO305" s="742">
        <f>SUM('MAE - Audience Level Data'!U67:V67)</f>
        <v>0</v>
      </c>
      <c r="BP305" s="742">
        <f>SUM('MAE - Audience Level Data'!S67:T67,'MAE - Audience Level Data'!W67:X67)</f>
        <v>0</v>
      </c>
      <c r="BQ305" s="667"/>
      <c r="BR305" s="667"/>
      <c r="BS305" s="228">
        <f t="shared" si="216"/>
        <v>0</v>
      </c>
      <c r="BT305" s="407" t="str">
        <f t="shared" si="239"/>
        <v>-</v>
      </c>
      <c r="BU305" s="529" t="str">
        <f t="shared" si="240"/>
        <v>-</v>
      </c>
      <c r="BV305" s="529" t="str">
        <f t="shared" si="224"/>
        <v>-</v>
      </c>
      <c r="BW305" s="529" t="str">
        <f t="shared" si="225"/>
        <v>-</v>
      </c>
      <c r="BX305" s="221" t="str">
        <f t="shared" si="226"/>
        <v>-</v>
      </c>
      <c r="BY305" s="730">
        <f>SUM('MAE - Audience Level Data'!I67:J67)</f>
        <v>0</v>
      </c>
      <c r="BZ305" s="692">
        <f>SUM('MAE - Audience Level Data'!G67:H67,'MAE - Audience Level Data'!K67:L67)</f>
        <v>0</v>
      </c>
      <c r="CA305" s="693">
        <f t="shared" si="228"/>
        <v>0</v>
      </c>
      <c r="CB305" s="407" t="str">
        <f t="shared" si="227"/>
        <v>-</v>
      </c>
      <c r="CC305" s="529" t="str">
        <f t="shared" si="217"/>
        <v>-</v>
      </c>
      <c r="CD305" s="221" t="str">
        <f t="shared" si="223"/>
        <v>-</v>
      </c>
    </row>
    <row r="306" spans="1:82" ht="15.75" customHeight="1">
      <c r="A306" s="175">
        <f t="shared" si="204"/>
        <v>2026</v>
      </c>
      <c r="B306" s="454" t="str">
        <f t="shared" si="205"/>
        <v>40</v>
      </c>
      <c r="C306" s="454" t="str">
        <f t="array" ref="C306">_xlfn.IFS(_xlfn.NUMBERVALUE(B306)&lt;=13,"Q1",AND(_xlfn.NUMBERVALUE(B306)&gt;13,_xlfn.NUMBERVALUE(B306)&lt;=26),"Q2", AND(_xlfn.NUMBERVALUE(B306)&gt;26,_xlfn.NUMBERVALUE(B306)&lt;=39),"Q3",_xlfn.NUMBERVALUE(B306)&gt;39,"Q4")</f>
        <v>Q4</v>
      </c>
      <c r="D306" s="448">
        <f t="shared" si="218"/>
        <v>45962</v>
      </c>
      <c r="E306" s="448">
        <f t="shared" si="206"/>
        <v>45968</v>
      </c>
      <c r="F306" s="97">
        <v>202540</v>
      </c>
      <c r="G306" s="103"/>
      <c r="H306" s="429"/>
      <c r="I306" s="429"/>
      <c r="J306" s="429"/>
      <c r="K306" s="429"/>
      <c r="L306" s="429"/>
      <c r="M306" s="429"/>
      <c r="N306" s="429"/>
      <c r="O306" s="429"/>
      <c r="P306" s="429"/>
      <c r="Q306" s="429"/>
      <c r="R306" s="429"/>
      <c r="S306" s="429"/>
      <c r="T306" s="429"/>
      <c r="U306" s="429"/>
      <c r="V306" s="429"/>
      <c r="W306" s="429"/>
      <c r="X306" s="429"/>
      <c r="Y306" s="449"/>
      <c r="Z306" s="449">
        <f>SUM('Overall Metrics'!AU307,'Overall Metrics'!AT307)</f>
        <v>0</v>
      </c>
      <c r="AA306" s="214">
        <f t="shared" si="222"/>
        <v>0</v>
      </c>
      <c r="AB306" s="446"/>
      <c r="AC306" s="446"/>
      <c r="AD306" s="446"/>
      <c r="AE306" s="446"/>
      <c r="AF306" s="446"/>
      <c r="AG306" s="446"/>
      <c r="AH306" s="446"/>
      <c r="AI306" s="446"/>
      <c r="AJ306" s="446"/>
      <c r="AK306" s="446"/>
      <c r="AL306" s="446"/>
      <c r="AM306" s="446"/>
      <c r="AN306" s="446"/>
      <c r="AO306" s="446"/>
      <c r="AP306" s="446"/>
      <c r="AQ306" s="446"/>
      <c r="AR306" s="219">
        <f t="shared" si="207"/>
        <v>0</v>
      </c>
      <c r="AS306" s="220" t="str">
        <f t="shared" si="208"/>
        <v>-</v>
      </c>
      <c r="AT306" s="472" t="str">
        <f t="shared" si="209"/>
        <v>-</v>
      </c>
      <c r="AU306" s="472" t="str">
        <f t="shared" si="210"/>
        <v>-</v>
      </c>
      <c r="AV306" s="472" t="str">
        <f t="shared" si="211"/>
        <v>-</v>
      </c>
      <c r="AW306" s="472" t="str">
        <f t="shared" si="212"/>
        <v>-</v>
      </c>
      <c r="AX306" s="472" t="str">
        <f t="shared" si="213"/>
        <v>-</v>
      </c>
      <c r="AY306" s="472" t="str">
        <f t="shared" si="229"/>
        <v>-</v>
      </c>
      <c r="AZ306" s="472" t="str">
        <f t="shared" si="237"/>
        <v>-</v>
      </c>
      <c r="BA306" s="472" t="str">
        <f t="shared" si="238"/>
        <v>-</v>
      </c>
      <c r="BB306" s="472" t="str">
        <f t="shared" si="230"/>
        <v>-</v>
      </c>
      <c r="BC306" s="472" t="str">
        <f t="shared" si="231"/>
        <v>-</v>
      </c>
      <c r="BD306" s="472" t="str">
        <f t="shared" si="232"/>
        <v>-</v>
      </c>
      <c r="BE306" s="472" t="str">
        <f t="shared" si="233"/>
        <v>-</v>
      </c>
      <c r="BF306" s="472" t="str">
        <f t="shared" si="234"/>
        <v>-</v>
      </c>
      <c r="BG306" s="472" t="str">
        <f t="shared" si="235"/>
        <v>-</v>
      </c>
      <c r="BH306" s="472" t="str">
        <f t="shared" si="236"/>
        <v>-</v>
      </c>
      <c r="BI306" s="221" t="str">
        <f t="shared" si="214"/>
        <v>-</v>
      </c>
      <c r="BJ306" s="692">
        <f>SUM('MAE - Audience Level Data'!O68,'MAE - Audience Level Data'!P68)</f>
        <v>0</v>
      </c>
      <c r="BK306" s="692">
        <f>SUM('MAE - Audience Level Data'!M68,'MAE - Audience Level Data'!N68,'MAE - Audience Level Data'!Q68,'MAE - Audience Level Data'!R68)</f>
        <v>0</v>
      </c>
      <c r="BL306" s="89"/>
      <c r="BM306" s="89"/>
      <c r="BN306" s="214">
        <f t="shared" si="215"/>
        <v>0</v>
      </c>
      <c r="BO306" s="742">
        <f>SUM('MAE - Audience Level Data'!U68:V68)</f>
        <v>0</v>
      </c>
      <c r="BP306" s="742">
        <f>SUM('MAE - Audience Level Data'!S68:T68,'MAE - Audience Level Data'!W68:X68)</f>
        <v>0</v>
      </c>
      <c r="BQ306" s="667"/>
      <c r="BR306" s="667"/>
      <c r="BS306" s="228">
        <f t="shared" si="216"/>
        <v>0</v>
      </c>
      <c r="BT306" s="407" t="str">
        <f t="shared" si="239"/>
        <v>-</v>
      </c>
      <c r="BU306" s="529" t="str">
        <f t="shared" si="240"/>
        <v>-</v>
      </c>
      <c r="BV306" s="529" t="str">
        <f t="shared" si="224"/>
        <v>-</v>
      </c>
      <c r="BW306" s="529" t="str">
        <f t="shared" si="225"/>
        <v>-</v>
      </c>
      <c r="BX306" s="221" t="str">
        <f t="shared" si="226"/>
        <v>-</v>
      </c>
      <c r="BY306" s="730">
        <f>SUM('MAE - Audience Level Data'!I68:J68)</f>
        <v>0</v>
      </c>
      <c r="BZ306" s="692">
        <f>SUM('MAE - Audience Level Data'!G68:H68,'MAE - Audience Level Data'!K68:L68)</f>
        <v>0</v>
      </c>
      <c r="CA306" s="693">
        <f t="shared" si="228"/>
        <v>0</v>
      </c>
      <c r="CB306" s="407" t="str">
        <f t="shared" si="227"/>
        <v>-</v>
      </c>
      <c r="CC306" s="529" t="str">
        <f t="shared" si="217"/>
        <v>-</v>
      </c>
      <c r="CD306" s="221" t="str">
        <f t="shared" si="223"/>
        <v>-</v>
      </c>
    </row>
    <row r="307" spans="1:82" ht="15.75" customHeight="1">
      <c r="A307" s="175">
        <f t="shared" si="204"/>
        <v>2026</v>
      </c>
      <c r="B307" s="454" t="str">
        <f t="shared" si="205"/>
        <v>41</v>
      </c>
      <c r="C307" s="454" t="str">
        <f t="array" ref="C307">_xlfn.IFS(_xlfn.NUMBERVALUE(B307)&lt;=13,"Q1",AND(_xlfn.NUMBERVALUE(B307)&gt;13,_xlfn.NUMBERVALUE(B307)&lt;=26),"Q2", AND(_xlfn.NUMBERVALUE(B307)&gt;26,_xlfn.NUMBERVALUE(B307)&lt;=39),"Q3",_xlfn.NUMBERVALUE(B307)&gt;39,"Q4")</f>
        <v>Q4</v>
      </c>
      <c r="D307" s="448">
        <f t="shared" si="218"/>
        <v>45969</v>
      </c>
      <c r="E307" s="448">
        <f t="shared" si="206"/>
        <v>45975</v>
      </c>
      <c r="F307" s="97">
        <v>202541</v>
      </c>
      <c r="G307" s="103"/>
      <c r="H307" s="429"/>
      <c r="I307" s="429"/>
      <c r="J307" s="429"/>
      <c r="K307" s="429"/>
      <c r="L307" s="429"/>
      <c r="M307" s="429"/>
      <c r="N307" s="429"/>
      <c r="O307" s="429"/>
      <c r="P307" s="429"/>
      <c r="Q307" s="429"/>
      <c r="R307" s="429"/>
      <c r="S307" s="429"/>
      <c r="T307" s="429"/>
      <c r="U307" s="429"/>
      <c r="V307" s="429"/>
      <c r="W307" s="429"/>
      <c r="X307" s="429"/>
      <c r="Y307" s="449"/>
      <c r="Z307" s="449">
        <f>SUM('Overall Metrics'!AU308,'Overall Metrics'!AT308)</f>
        <v>0</v>
      </c>
      <c r="AA307" s="214">
        <f t="shared" si="222"/>
        <v>0</v>
      </c>
      <c r="AB307" s="446"/>
      <c r="AC307" s="446"/>
      <c r="AD307" s="446"/>
      <c r="AE307" s="446"/>
      <c r="AF307" s="446"/>
      <c r="AG307" s="446"/>
      <c r="AH307" s="446"/>
      <c r="AI307" s="446"/>
      <c r="AJ307" s="446"/>
      <c r="AK307" s="446"/>
      <c r="AL307" s="446"/>
      <c r="AM307" s="446"/>
      <c r="AN307" s="446"/>
      <c r="AO307" s="446"/>
      <c r="AP307" s="446"/>
      <c r="AQ307" s="446"/>
      <c r="AR307" s="219">
        <f t="shared" si="207"/>
        <v>0</v>
      </c>
      <c r="AS307" s="220" t="str">
        <f t="shared" si="208"/>
        <v>-</v>
      </c>
      <c r="AT307" s="472" t="str">
        <f t="shared" si="209"/>
        <v>-</v>
      </c>
      <c r="AU307" s="472" t="str">
        <f t="shared" si="210"/>
        <v>-</v>
      </c>
      <c r="AV307" s="472" t="str">
        <f t="shared" si="211"/>
        <v>-</v>
      </c>
      <c r="AW307" s="472" t="str">
        <f t="shared" si="212"/>
        <v>-</v>
      </c>
      <c r="AX307" s="472" t="str">
        <f t="shared" si="213"/>
        <v>-</v>
      </c>
      <c r="AY307" s="472" t="str">
        <f t="shared" si="229"/>
        <v>-</v>
      </c>
      <c r="AZ307" s="472" t="str">
        <f t="shared" si="237"/>
        <v>-</v>
      </c>
      <c r="BA307" s="472" t="str">
        <f t="shared" si="238"/>
        <v>-</v>
      </c>
      <c r="BB307" s="472" t="str">
        <f t="shared" si="230"/>
        <v>-</v>
      </c>
      <c r="BC307" s="472" t="str">
        <f t="shared" si="231"/>
        <v>-</v>
      </c>
      <c r="BD307" s="472" t="str">
        <f t="shared" si="232"/>
        <v>-</v>
      </c>
      <c r="BE307" s="472" t="str">
        <f t="shared" si="233"/>
        <v>-</v>
      </c>
      <c r="BF307" s="472" t="str">
        <f t="shared" si="234"/>
        <v>-</v>
      </c>
      <c r="BG307" s="472" t="str">
        <f t="shared" si="235"/>
        <v>-</v>
      </c>
      <c r="BH307" s="472" t="str">
        <f t="shared" si="236"/>
        <v>-</v>
      </c>
      <c r="BI307" s="221" t="str">
        <f t="shared" si="214"/>
        <v>-</v>
      </c>
      <c r="BJ307" s="692">
        <f>SUM('MAE - Audience Level Data'!O69,'MAE - Audience Level Data'!P69)</f>
        <v>0</v>
      </c>
      <c r="BK307" s="692">
        <f>SUM('MAE - Audience Level Data'!M69,'MAE - Audience Level Data'!N69,'MAE - Audience Level Data'!Q69,'MAE - Audience Level Data'!R69)</f>
        <v>0</v>
      </c>
      <c r="BL307" s="89"/>
      <c r="BM307" s="89"/>
      <c r="BN307" s="214">
        <f t="shared" si="215"/>
        <v>0</v>
      </c>
      <c r="BO307" s="742">
        <f>SUM('MAE - Audience Level Data'!U69:V69)</f>
        <v>0</v>
      </c>
      <c r="BP307" s="742">
        <f>SUM('MAE - Audience Level Data'!S69:T69,'MAE - Audience Level Data'!W69:X69)</f>
        <v>0</v>
      </c>
      <c r="BQ307" s="667"/>
      <c r="BR307" s="667"/>
      <c r="BS307" s="228">
        <f t="shared" si="216"/>
        <v>0</v>
      </c>
      <c r="BT307" s="407" t="str">
        <f t="shared" si="239"/>
        <v>-</v>
      </c>
      <c r="BU307" s="529" t="str">
        <f t="shared" si="240"/>
        <v>-</v>
      </c>
      <c r="BV307" s="529" t="str">
        <f t="shared" si="224"/>
        <v>-</v>
      </c>
      <c r="BW307" s="529" t="str">
        <f t="shared" si="225"/>
        <v>-</v>
      </c>
      <c r="BX307" s="221" t="str">
        <f t="shared" si="226"/>
        <v>-</v>
      </c>
      <c r="BY307" s="730">
        <f>SUM('MAE - Audience Level Data'!I69:J69)</f>
        <v>0</v>
      </c>
      <c r="BZ307" s="692">
        <f>SUM('MAE - Audience Level Data'!G69:H69,'MAE - Audience Level Data'!K69:L69)</f>
        <v>0</v>
      </c>
      <c r="CA307" s="693">
        <f t="shared" si="228"/>
        <v>0</v>
      </c>
      <c r="CB307" s="407" t="str">
        <f t="shared" si="227"/>
        <v>-</v>
      </c>
      <c r="CC307" s="529" t="str">
        <f t="shared" si="217"/>
        <v>-</v>
      </c>
      <c r="CD307" s="221" t="str">
        <f t="shared" si="223"/>
        <v>-</v>
      </c>
    </row>
    <row r="308" spans="1:82" ht="15.75" customHeight="1">
      <c r="A308" s="175">
        <f t="shared" si="204"/>
        <v>2026</v>
      </c>
      <c r="B308" s="454" t="str">
        <f t="shared" si="205"/>
        <v>42</v>
      </c>
      <c r="C308" s="454" t="str">
        <f t="array" ref="C308">_xlfn.IFS(_xlfn.NUMBERVALUE(B308)&lt;=13,"Q1",AND(_xlfn.NUMBERVALUE(B308)&gt;13,_xlfn.NUMBERVALUE(B308)&lt;=26),"Q2", AND(_xlfn.NUMBERVALUE(B308)&gt;26,_xlfn.NUMBERVALUE(B308)&lt;=39),"Q3",_xlfn.NUMBERVALUE(B308)&gt;39,"Q4")</f>
        <v>Q4</v>
      </c>
      <c r="D308" s="448">
        <f t="shared" si="218"/>
        <v>45976</v>
      </c>
      <c r="E308" s="448">
        <f t="shared" si="206"/>
        <v>45982</v>
      </c>
      <c r="F308" s="97">
        <v>202542</v>
      </c>
      <c r="G308" s="103"/>
      <c r="H308" s="429"/>
      <c r="I308" s="429"/>
      <c r="J308" s="429"/>
      <c r="K308" s="429"/>
      <c r="L308" s="429"/>
      <c r="M308" s="429"/>
      <c r="N308" s="429"/>
      <c r="O308" s="429"/>
      <c r="P308" s="429"/>
      <c r="Q308" s="429"/>
      <c r="R308" s="429"/>
      <c r="S308" s="429"/>
      <c r="T308" s="429"/>
      <c r="U308" s="429"/>
      <c r="V308" s="429"/>
      <c r="W308" s="429"/>
      <c r="X308" s="429"/>
      <c r="Y308" s="449"/>
      <c r="Z308" s="449">
        <f>SUM('Overall Metrics'!AU309,'Overall Metrics'!AT309)</f>
        <v>0</v>
      </c>
      <c r="AA308" s="214">
        <f t="shared" si="222"/>
        <v>0</v>
      </c>
      <c r="AB308" s="446"/>
      <c r="AC308" s="446"/>
      <c r="AD308" s="446"/>
      <c r="AE308" s="446"/>
      <c r="AF308" s="446"/>
      <c r="AG308" s="446"/>
      <c r="AH308" s="446"/>
      <c r="AI308" s="446"/>
      <c r="AJ308" s="446"/>
      <c r="AK308" s="446"/>
      <c r="AL308" s="446"/>
      <c r="AM308" s="446"/>
      <c r="AN308" s="446"/>
      <c r="AO308" s="446"/>
      <c r="AP308" s="446"/>
      <c r="AQ308" s="446"/>
      <c r="AR308" s="219">
        <f t="shared" si="207"/>
        <v>0</v>
      </c>
      <c r="AS308" s="220" t="str">
        <f t="shared" si="208"/>
        <v>-</v>
      </c>
      <c r="AT308" s="472" t="str">
        <f t="shared" si="209"/>
        <v>-</v>
      </c>
      <c r="AU308" s="472" t="str">
        <f t="shared" si="210"/>
        <v>-</v>
      </c>
      <c r="AV308" s="472" t="str">
        <f t="shared" si="211"/>
        <v>-</v>
      </c>
      <c r="AW308" s="472" t="str">
        <f t="shared" si="212"/>
        <v>-</v>
      </c>
      <c r="AX308" s="472" t="str">
        <f t="shared" si="213"/>
        <v>-</v>
      </c>
      <c r="AY308" s="472" t="str">
        <f t="shared" si="229"/>
        <v>-</v>
      </c>
      <c r="AZ308" s="472" t="str">
        <f t="shared" si="237"/>
        <v>-</v>
      </c>
      <c r="BA308" s="472" t="str">
        <f t="shared" si="238"/>
        <v>-</v>
      </c>
      <c r="BB308" s="472" t="str">
        <f t="shared" si="230"/>
        <v>-</v>
      </c>
      <c r="BC308" s="472" t="str">
        <f t="shared" si="231"/>
        <v>-</v>
      </c>
      <c r="BD308" s="472" t="str">
        <f t="shared" si="232"/>
        <v>-</v>
      </c>
      <c r="BE308" s="472" t="str">
        <f t="shared" si="233"/>
        <v>-</v>
      </c>
      <c r="BF308" s="472" t="str">
        <f t="shared" si="234"/>
        <v>-</v>
      </c>
      <c r="BG308" s="472" t="str">
        <f t="shared" si="235"/>
        <v>-</v>
      </c>
      <c r="BH308" s="472" t="str">
        <f t="shared" si="236"/>
        <v>-</v>
      </c>
      <c r="BI308" s="221" t="str">
        <f t="shared" si="214"/>
        <v>-</v>
      </c>
      <c r="BJ308" s="692">
        <f>SUM('MAE - Audience Level Data'!O70,'MAE - Audience Level Data'!P70)</f>
        <v>0</v>
      </c>
      <c r="BK308" s="692">
        <f>SUM('MAE - Audience Level Data'!M70,'MAE - Audience Level Data'!N70,'MAE - Audience Level Data'!Q70,'MAE - Audience Level Data'!R70)</f>
        <v>0</v>
      </c>
      <c r="BL308" s="89"/>
      <c r="BM308" s="89"/>
      <c r="BN308" s="214">
        <f t="shared" si="215"/>
        <v>0</v>
      </c>
      <c r="BO308" s="742">
        <f>SUM('MAE - Audience Level Data'!U70:V70)</f>
        <v>0</v>
      </c>
      <c r="BP308" s="742">
        <f>SUM('MAE - Audience Level Data'!S70:T70,'MAE - Audience Level Data'!W70:X70)</f>
        <v>0</v>
      </c>
      <c r="BQ308" s="667"/>
      <c r="BR308" s="667"/>
      <c r="BS308" s="228">
        <f t="shared" si="216"/>
        <v>0</v>
      </c>
      <c r="BT308" s="407" t="str">
        <f t="shared" si="239"/>
        <v>-</v>
      </c>
      <c r="BU308" s="529" t="str">
        <f t="shared" si="240"/>
        <v>-</v>
      </c>
      <c r="BV308" s="529" t="str">
        <f t="shared" si="224"/>
        <v>-</v>
      </c>
      <c r="BW308" s="529" t="str">
        <f t="shared" si="225"/>
        <v>-</v>
      </c>
      <c r="BX308" s="221" t="str">
        <f t="shared" si="226"/>
        <v>-</v>
      </c>
      <c r="BY308" s="730">
        <f>SUM('MAE - Audience Level Data'!I70:J70)</f>
        <v>0</v>
      </c>
      <c r="BZ308" s="692">
        <f>SUM('MAE - Audience Level Data'!G70:H70,'MAE - Audience Level Data'!K70:L70)</f>
        <v>0</v>
      </c>
      <c r="CA308" s="693">
        <f t="shared" si="228"/>
        <v>0</v>
      </c>
      <c r="CB308" s="407" t="str">
        <f t="shared" si="227"/>
        <v>-</v>
      </c>
      <c r="CC308" s="529" t="str">
        <f t="shared" si="217"/>
        <v>-</v>
      </c>
      <c r="CD308" s="221" t="str">
        <f t="shared" si="223"/>
        <v>-</v>
      </c>
    </row>
    <row r="309" spans="1:82" ht="15.75" customHeight="1">
      <c r="A309" s="175">
        <f t="shared" si="204"/>
        <v>2026</v>
      </c>
      <c r="B309" s="454" t="str">
        <f t="shared" si="205"/>
        <v>43</v>
      </c>
      <c r="C309" s="454" t="str">
        <f t="array" ref="C309">_xlfn.IFS(_xlfn.NUMBERVALUE(B309)&lt;=13,"Q1",AND(_xlfn.NUMBERVALUE(B309)&gt;13,_xlfn.NUMBERVALUE(B309)&lt;=26),"Q2", AND(_xlfn.NUMBERVALUE(B309)&gt;26,_xlfn.NUMBERVALUE(B309)&lt;=39),"Q3",_xlfn.NUMBERVALUE(B309)&gt;39,"Q4")</f>
        <v>Q4</v>
      </c>
      <c r="D309" s="448">
        <f t="shared" si="218"/>
        <v>45983</v>
      </c>
      <c r="E309" s="448">
        <f t="shared" si="206"/>
        <v>45989</v>
      </c>
      <c r="F309" s="97">
        <v>202543</v>
      </c>
      <c r="G309" s="103"/>
      <c r="H309" s="429"/>
      <c r="I309" s="429"/>
      <c r="J309" s="429"/>
      <c r="K309" s="429"/>
      <c r="L309" s="429"/>
      <c r="M309" s="429"/>
      <c r="N309" s="429"/>
      <c r="O309" s="429"/>
      <c r="P309" s="429"/>
      <c r="Q309" s="429"/>
      <c r="R309" s="429"/>
      <c r="S309" s="429"/>
      <c r="T309" s="429"/>
      <c r="U309" s="429"/>
      <c r="V309" s="429"/>
      <c r="W309" s="429"/>
      <c r="X309" s="429"/>
      <c r="Y309" s="449"/>
      <c r="Z309" s="449">
        <f>SUM('Overall Metrics'!AU310,'Overall Metrics'!AT310)</f>
        <v>0</v>
      </c>
      <c r="AA309" s="214">
        <f t="shared" si="222"/>
        <v>0</v>
      </c>
      <c r="AB309" s="446"/>
      <c r="AC309" s="446"/>
      <c r="AD309" s="446"/>
      <c r="AE309" s="446"/>
      <c r="AF309" s="446"/>
      <c r="AG309" s="446"/>
      <c r="AH309" s="446"/>
      <c r="AI309" s="446"/>
      <c r="AJ309" s="446"/>
      <c r="AK309" s="446"/>
      <c r="AL309" s="446"/>
      <c r="AM309" s="446"/>
      <c r="AN309" s="446"/>
      <c r="AO309" s="446"/>
      <c r="AP309" s="446"/>
      <c r="AQ309" s="446"/>
      <c r="AR309" s="219">
        <f t="shared" si="207"/>
        <v>0</v>
      </c>
      <c r="AS309" s="220" t="str">
        <f t="shared" si="208"/>
        <v>-</v>
      </c>
      <c r="AT309" s="472" t="str">
        <f t="shared" si="209"/>
        <v>-</v>
      </c>
      <c r="AU309" s="472" t="str">
        <f t="shared" si="210"/>
        <v>-</v>
      </c>
      <c r="AV309" s="472" t="str">
        <f t="shared" si="211"/>
        <v>-</v>
      </c>
      <c r="AW309" s="472" t="str">
        <f t="shared" si="212"/>
        <v>-</v>
      </c>
      <c r="AX309" s="472" t="str">
        <f t="shared" si="213"/>
        <v>-</v>
      </c>
      <c r="AY309" s="472" t="str">
        <f t="shared" si="229"/>
        <v>-</v>
      </c>
      <c r="AZ309" s="472" t="str">
        <f t="shared" si="237"/>
        <v>-</v>
      </c>
      <c r="BA309" s="472" t="str">
        <f t="shared" si="238"/>
        <v>-</v>
      </c>
      <c r="BB309" s="472" t="str">
        <f t="shared" si="230"/>
        <v>-</v>
      </c>
      <c r="BC309" s="472" t="str">
        <f t="shared" si="231"/>
        <v>-</v>
      </c>
      <c r="BD309" s="472" t="str">
        <f t="shared" si="232"/>
        <v>-</v>
      </c>
      <c r="BE309" s="472" t="str">
        <f t="shared" si="233"/>
        <v>-</v>
      </c>
      <c r="BF309" s="472" t="str">
        <f t="shared" si="234"/>
        <v>-</v>
      </c>
      <c r="BG309" s="472" t="str">
        <f t="shared" si="235"/>
        <v>-</v>
      </c>
      <c r="BH309" s="472" t="str">
        <f t="shared" si="236"/>
        <v>-</v>
      </c>
      <c r="BI309" s="221" t="str">
        <f t="shared" si="214"/>
        <v>-</v>
      </c>
      <c r="BJ309" s="692">
        <f>SUM('MAE - Audience Level Data'!O71,'MAE - Audience Level Data'!P71)</f>
        <v>0</v>
      </c>
      <c r="BK309" s="692">
        <f>SUM('MAE - Audience Level Data'!M71,'MAE - Audience Level Data'!N71,'MAE - Audience Level Data'!Q71,'MAE - Audience Level Data'!R71)</f>
        <v>0</v>
      </c>
      <c r="BL309" s="89"/>
      <c r="BM309" s="89"/>
      <c r="BN309" s="214">
        <f t="shared" si="215"/>
        <v>0</v>
      </c>
      <c r="BO309" s="742">
        <f>SUM('MAE - Audience Level Data'!U71:V71)</f>
        <v>0</v>
      </c>
      <c r="BP309" s="742">
        <f>SUM('MAE - Audience Level Data'!S71:T71,'MAE - Audience Level Data'!W71:X71)</f>
        <v>0</v>
      </c>
      <c r="BQ309" s="667"/>
      <c r="BR309" s="667"/>
      <c r="BS309" s="228">
        <f t="shared" si="216"/>
        <v>0</v>
      </c>
      <c r="BT309" s="407" t="str">
        <f t="shared" si="239"/>
        <v>-</v>
      </c>
      <c r="BU309" s="529" t="str">
        <f t="shared" si="240"/>
        <v>-</v>
      </c>
      <c r="BV309" s="529" t="str">
        <f t="shared" si="224"/>
        <v>-</v>
      </c>
      <c r="BW309" s="529" t="str">
        <f t="shared" si="225"/>
        <v>-</v>
      </c>
      <c r="BX309" s="221" t="str">
        <f t="shared" si="226"/>
        <v>-</v>
      </c>
      <c r="BY309" s="730">
        <f>SUM('MAE - Audience Level Data'!I71:J71)</f>
        <v>0</v>
      </c>
      <c r="BZ309" s="692">
        <f>SUM('MAE - Audience Level Data'!G71:H71,'MAE - Audience Level Data'!K71:L71)</f>
        <v>0</v>
      </c>
      <c r="CA309" s="693">
        <f t="shared" si="228"/>
        <v>0</v>
      </c>
      <c r="CB309" s="407" t="str">
        <f t="shared" si="227"/>
        <v>-</v>
      </c>
      <c r="CC309" s="529" t="str">
        <f t="shared" si="217"/>
        <v>-</v>
      </c>
      <c r="CD309" s="221" t="str">
        <f t="shared" ref="CD309:CD318" si="241">IFERROR(BS309/CA309,"-")</f>
        <v>-</v>
      </c>
    </row>
    <row r="310" spans="1:82" ht="15.75" customHeight="1">
      <c r="A310" s="175">
        <f t="shared" si="204"/>
        <v>2026</v>
      </c>
      <c r="B310" s="454" t="str">
        <f t="shared" si="205"/>
        <v>44</v>
      </c>
      <c r="C310" s="454" t="str">
        <f t="array" ref="C310">_xlfn.IFS(_xlfn.NUMBERVALUE(B310)&lt;=13,"Q1",AND(_xlfn.NUMBERVALUE(B310)&gt;13,_xlfn.NUMBERVALUE(B310)&lt;=26),"Q2", AND(_xlfn.NUMBERVALUE(B310)&gt;26,_xlfn.NUMBERVALUE(B310)&lt;=39),"Q3",_xlfn.NUMBERVALUE(B310)&gt;39,"Q4")</f>
        <v>Q4</v>
      </c>
      <c r="D310" s="448">
        <f t="shared" si="218"/>
        <v>45990</v>
      </c>
      <c r="E310" s="448">
        <f t="shared" si="206"/>
        <v>45996</v>
      </c>
      <c r="F310" s="97">
        <v>202544</v>
      </c>
      <c r="G310" s="103"/>
      <c r="H310" s="429"/>
      <c r="I310" s="429"/>
      <c r="J310" s="429"/>
      <c r="K310" s="429"/>
      <c r="L310" s="429"/>
      <c r="M310" s="429"/>
      <c r="N310" s="429"/>
      <c r="O310" s="429"/>
      <c r="P310" s="429"/>
      <c r="Q310" s="429"/>
      <c r="R310" s="429"/>
      <c r="S310" s="429"/>
      <c r="T310" s="429"/>
      <c r="U310" s="429"/>
      <c r="V310" s="429"/>
      <c r="W310" s="429"/>
      <c r="X310" s="429"/>
      <c r="Y310" s="449"/>
      <c r="Z310" s="449">
        <f>SUM('Overall Metrics'!AU311,'Overall Metrics'!AT311)</f>
        <v>0</v>
      </c>
      <c r="AA310" s="214">
        <f t="shared" si="222"/>
        <v>0</v>
      </c>
      <c r="AB310" s="446"/>
      <c r="AC310" s="446"/>
      <c r="AD310" s="446"/>
      <c r="AE310" s="446"/>
      <c r="AF310" s="446"/>
      <c r="AG310" s="446"/>
      <c r="AH310" s="446"/>
      <c r="AI310" s="446"/>
      <c r="AJ310" s="446"/>
      <c r="AK310" s="446"/>
      <c r="AL310" s="446"/>
      <c r="AM310" s="446"/>
      <c r="AN310" s="446"/>
      <c r="AO310" s="446"/>
      <c r="AP310" s="446"/>
      <c r="AQ310" s="446"/>
      <c r="AR310" s="219">
        <f t="shared" si="207"/>
        <v>0</v>
      </c>
      <c r="AS310" s="220" t="str">
        <f t="shared" si="208"/>
        <v>-</v>
      </c>
      <c r="AT310" s="472" t="str">
        <f t="shared" si="209"/>
        <v>-</v>
      </c>
      <c r="AU310" s="472" t="str">
        <f t="shared" si="210"/>
        <v>-</v>
      </c>
      <c r="AV310" s="472" t="str">
        <f t="shared" si="211"/>
        <v>-</v>
      </c>
      <c r="AW310" s="472" t="str">
        <f t="shared" si="212"/>
        <v>-</v>
      </c>
      <c r="AX310" s="472" t="str">
        <f t="shared" si="213"/>
        <v>-</v>
      </c>
      <c r="AY310" s="472" t="str">
        <f t="shared" si="229"/>
        <v>-</v>
      </c>
      <c r="AZ310" s="472" t="str">
        <f t="shared" si="237"/>
        <v>-</v>
      </c>
      <c r="BA310" s="472" t="str">
        <f t="shared" si="238"/>
        <v>-</v>
      </c>
      <c r="BB310" s="472" t="str">
        <f t="shared" si="230"/>
        <v>-</v>
      </c>
      <c r="BC310" s="472" t="str">
        <f t="shared" si="231"/>
        <v>-</v>
      </c>
      <c r="BD310" s="472" t="str">
        <f t="shared" si="232"/>
        <v>-</v>
      </c>
      <c r="BE310" s="472" t="str">
        <f t="shared" si="233"/>
        <v>-</v>
      </c>
      <c r="BF310" s="472" t="str">
        <f t="shared" si="234"/>
        <v>-</v>
      </c>
      <c r="BG310" s="472" t="str">
        <f t="shared" si="235"/>
        <v>-</v>
      </c>
      <c r="BH310" s="472" t="str">
        <f t="shared" si="236"/>
        <v>-</v>
      </c>
      <c r="BI310" s="221" t="str">
        <f t="shared" si="214"/>
        <v>-</v>
      </c>
      <c r="BJ310" s="692">
        <f>SUM('MAE - Audience Level Data'!O72,'MAE - Audience Level Data'!P72)</f>
        <v>0</v>
      </c>
      <c r="BK310" s="692">
        <f>SUM('MAE - Audience Level Data'!M72,'MAE - Audience Level Data'!N72,'MAE - Audience Level Data'!Q72,'MAE - Audience Level Data'!R72)</f>
        <v>0</v>
      </c>
      <c r="BL310" s="89"/>
      <c r="BM310" s="89"/>
      <c r="BN310" s="214">
        <f t="shared" si="215"/>
        <v>0</v>
      </c>
      <c r="BO310" s="742">
        <f>SUM('MAE - Audience Level Data'!U72:V72)</f>
        <v>0</v>
      </c>
      <c r="BP310" s="742">
        <f>SUM('MAE - Audience Level Data'!S72:T72,'MAE - Audience Level Data'!W72:X72)</f>
        <v>0</v>
      </c>
      <c r="BQ310" s="667"/>
      <c r="BR310" s="667"/>
      <c r="BS310" s="228">
        <f t="shared" si="216"/>
        <v>0</v>
      </c>
      <c r="BT310" s="407" t="str">
        <f t="shared" si="239"/>
        <v>-</v>
      </c>
      <c r="BU310" s="529" t="str">
        <f t="shared" si="240"/>
        <v>-</v>
      </c>
      <c r="BV310" s="529" t="str">
        <f t="shared" si="224"/>
        <v>-</v>
      </c>
      <c r="BW310" s="529" t="str">
        <f t="shared" si="225"/>
        <v>-</v>
      </c>
      <c r="BX310" s="221" t="str">
        <f t="shared" si="226"/>
        <v>-</v>
      </c>
      <c r="BY310" s="730">
        <f>SUM('MAE - Audience Level Data'!I72:J72)</f>
        <v>0</v>
      </c>
      <c r="BZ310" s="692">
        <f>SUM('MAE - Audience Level Data'!G72:H72,'MAE - Audience Level Data'!K72:L72)</f>
        <v>0</v>
      </c>
      <c r="CA310" s="693">
        <f t="shared" si="228"/>
        <v>0</v>
      </c>
      <c r="CB310" s="407" t="str">
        <f t="shared" si="227"/>
        <v>-</v>
      </c>
      <c r="CC310" s="529" t="str">
        <f t="shared" si="217"/>
        <v>-</v>
      </c>
      <c r="CD310" s="221" t="str">
        <f t="shared" si="241"/>
        <v>-</v>
      </c>
    </row>
    <row r="311" spans="1:82" ht="15.75" customHeight="1">
      <c r="A311" s="175">
        <f t="shared" si="204"/>
        <v>2026</v>
      </c>
      <c r="B311" s="454" t="str">
        <f t="shared" si="205"/>
        <v>45</v>
      </c>
      <c r="C311" s="454" t="str">
        <f t="array" ref="C311">_xlfn.IFS(_xlfn.NUMBERVALUE(B311)&lt;=13,"Q1",AND(_xlfn.NUMBERVALUE(B311)&gt;13,_xlfn.NUMBERVALUE(B311)&lt;=26),"Q2", AND(_xlfn.NUMBERVALUE(B311)&gt;26,_xlfn.NUMBERVALUE(B311)&lt;=39),"Q3",_xlfn.NUMBERVALUE(B311)&gt;39,"Q4")</f>
        <v>Q4</v>
      </c>
      <c r="D311" s="448">
        <f t="shared" si="218"/>
        <v>45997</v>
      </c>
      <c r="E311" s="448">
        <f t="shared" si="206"/>
        <v>46003</v>
      </c>
      <c r="F311" s="97">
        <v>202545</v>
      </c>
      <c r="G311" s="103"/>
      <c r="H311" s="429"/>
      <c r="I311" s="429"/>
      <c r="J311" s="429"/>
      <c r="K311" s="429"/>
      <c r="L311" s="429"/>
      <c r="M311" s="429"/>
      <c r="N311" s="429"/>
      <c r="O311" s="429"/>
      <c r="P311" s="429"/>
      <c r="Q311" s="429"/>
      <c r="R311" s="429"/>
      <c r="S311" s="429"/>
      <c r="T311" s="429"/>
      <c r="U311" s="429"/>
      <c r="V311" s="429"/>
      <c r="W311" s="429"/>
      <c r="X311" s="429"/>
      <c r="Y311" s="449"/>
      <c r="Z311" s="449">
        <f>SUM('Overall Metrics'!AU312,'Overall Metrics'!AT312)</f>
        <v>0</v>
      </c>
      <c r="AA311" s="214">
        <f t="shared" si="222"/>
        <v>0</v>
      </c>
      <c r="AB311" s="446"/>
      <c r="AC311" s="446"/>
      <c r="AD311" s="446"/>
      <c r="AE311" s="446"/>
      <c r="AF311" s="446"/>
      <c r="AG311" s="446"/>
      <c r="AH311" s="446"/>
      <c r="AI311" s="446"/>
      <c r="AJ311" s="446"/>
      <c r="AK311" s="446"/>
      <c r="AL311" s="446"/>
      <c r="AM311" s="446"/>
      <c r="AN311" s="446"/>
      <c r="AO311" s="446"/>
      <c r="AP311" s="446"/>
      <c r="AQ311" s="446"/>
      <c r="AR311" s="219">
        <f t="shared" si="207"/>
        <v>0</v>
      </c>
      <c r="AS311" s="220" t="str">
        <f t="shared" si="208"/>
        <v>-</v>
      </c>
      <c r="AT311" s="472" t="str">
        <f t="shared" si="209"/>
        <v>-</v>
      </c>
      <c r="AU311" s="472" t="str">
        <f t="shared" si="210"/>
        <v>-</v>
      </c>
      <c r="AV311" s="472" t="str">
        <f t="shared" si="211"/>
        <v>-</v>
      </c>
      <c r="AW311" s="472" t="str">
        <f t="shared" si="212"/>
        <v>-</v>
      </c>
      <c r="AX311" s="472" t="str">
        <f t="shared" si="213"/>
        <v>-</v>
      </c>
      <c r="AY311" s="472" t="str">
        <f t="shared" si="229"/>
        <v>-</v>
      </c>
      <c r="AZ311" s="472" t="str">
        <f t="shared" si="237"/>
        <v>-</v>
      </c>
      <c r="BA311" s="472" t="str">
        <f t="shared" si="238"/>
        <v>-</v>
      </c>
      <c r="BB311" s="472" t="str">
        <f t="shared" si="230"/>
        <v>-</v>
      </c>
      <c r="BC311" s="472" t="str">
        <f t="shared" si="231"/>
        <v>-</v>
      </c>
      <c r="BD311" s="472" t="str">
        <f t="shared" si="232"/>
        <v>-</v>
      </c>
      <c r="BE311" s="472" t="str">
        <f t="shared" si="233"/>
        <v>-</v>
      </c>
      <c r="BF311" s="472" t="str">
        <f t="shared" si="234"/>
        <v>-</v>
      </c>
      <c r="BG311" s="472" t="str">
        <f t="shared" si="235"/>
        <v>-</v>
      </c>
      <c r="BH311" s="472" t="str">
        <f t="shared" si="236"/>
        <v>-</v>
      </c>
      <c r="BI311" s="221" t="str">
        <f t="shared" si="214"/>
        <v>-</v>
      </c>
      <c r="BJ311" s="692">
        <f>SUM('MAE - Audience Level Data'!O73,'MAE - Audience Level Data'!P73)</f>
        <v>0</v>
      </c>
      <c r="BK311" s="692">
        <f>SUM('MAE - Audience Level Data'!M73,'MAE - Audience Level Data'!N73,'MAE - Audience Level Data'!Q73,'MAE - Audience Level Data'!R73)</f>
        <v>0</v>
      </c>
      <c r="BL311" s="89"/>
      <c r="BM311" s="89"/>
      <c r="BN311" s="214">
        <f t="shared" si="215"/>
        <v>0</v>
      </c>
      <c r="BO311" s="742">
        <f>SUM('MAE - Audience Level Data'!U73:V73)</f>
        <v>0</v>
      </c>
      <c r="BP311" s="742">
        <f>SUM('MAE - Audience Level Data'!S73:T73,'MAE - Audience Level Data'!W73:X73)</f>
        <v>0</v>
      </c>
      <c r="BQ311" s="667"/>
      <c r="BR311" s="667"/>
      <c r="BS311" s="228">
        <f t="shared" si="216"/>
        <v>0</v>
      </c>
      <c r="BT311" s="407" t="str">
        <f t="shared" si="239"/>
        <v>-</v>
      </c>
      <c r="BU311" s="529" t="str">
        <f t="shared" si="240"/>
        <v>-</v>
      </c>
      <c r="BV311" s="529" t="str">
        <f t="shared" ref="BV311:BV318" si="242">IFERROR(BQ311/BL311,"-")</f>
        <v>-</v>
      </c>
      <c r="BW311" s="529" t="str">
        <f t="shared" ref="BW311:BW318" si="243">IFERROR(BR311/BM311,"-")</f>
        <v>-</v>
      </c>
      <c r="BX311" s="221" t="str">
        <f t="shared" ref="BX311:BX318" si="244">IFERROR(BS311/BN311,"-")</f>
        <v>-</v>
      </c>
      <c r="BY311" s="730">
        <f>SUM('MAE - Audience Level Data'!I73:J73)</f>
        <v>0</v>
      </c>
      <c r="BZ311" s="692">
        <f>SUM('MAE - Audience Level Data'!G73:H73,'MAE - Audience Level Data'!K73:L73)</f>
        <v>0</v>
      </c>
      <c r="CA311" s="693">
        <f t="shared" si="228"/>
        <v>0</v>
      </c>
      <c r="CB311" s="407" t="str">
        <f t="shared" si="227"/>
        <v>-</v>
      </c>
      <c r="CC311" s="529" t="str">
        <f t="shared" si="217"/>
        <v>-</v>
      </c>
      <c r="CD311" s="221" t="str">
        <f t="shared" si="241"/>
        <v>-</v>
      </c>
    </row>
    <row r="312" spans="1:82" ht="15.75" customHeight="1">
      <c r="A312" s="175">
        <f t="shared" si="204"/>
        <v>2026</v>
      </c>
      <c r="B312" s="454" t="str">
        <f t="shared" si="205"/>
        <v>46</v>
      </c>
      <c r="C312" s="454" t="str">
        <f t="array" ref="C312">_xlfn.IFS(_xlfn.NUMBERVALUE(B312)&lt;=13,"Q1",AND(_xlfn.NUMBERVALUE(B312)&gt;13,_xlfn.NUMBERVALUE(B312)&lt;=26),"Q2", AND(_xlfn.NUMBERVALUE(B312)&gt;26,_xlfn.NUMBERVALUE(B312)&lt;=39),"Q3",_xlfn.NUMBERVALUE(B312)&gt;39,"Q4")</f>
        <v>Q4</v>
      </c>
      <c r="D312" s="448">
        <f t="shared" si="218"/>
        <v>46004</v>
      </c>
      <c r="E312" s="448">
        <f t="shared" si="206"/>
        <v>46010</v>
      </c>
      <c r="F312" s="97">
        <v>202546</v>
      </c>
      <c r="G312" s="103"/>
      <c r="H312" s="429"/>
      <c r="I312" s="429"/>
      <c r="J312" s="429"/>
      <c r="K312" s="429"/>
      <c r="L312" s="429"/>
      <c r="M312" s="429"/>
      <c r="N312" s="429"/>
      <c r="O312" s="429"/>
      <c r="P312" s="429"/>
      <c r="Q312" s="429"/>
      <c r="R312" s="429"/>
      <c r="S312" s="429"/>
      <c r="T312" s="429"/>
      <c r="U312" s="429"/>
      <c r="V312" s="429"/>
      <c r="W312" s="429"/>
      <c r="X312" s="429"/>
      <c r="Y312" s="449"/>
      <c r="Z312" s="449">
        <f>SUM('Overall Metrics'!AU313,'Overall Metrics'!AT313)</f>
        <v>0</v>
      </c>
      <c r="AA312" s="214">
        <f t="shared" si="222"/>
        <v>0</v>
      </c>
      <c r="AB312" s="446"/>
      <c r="AC312" s="446"/>
      <c r="AD312" s="446"/>
      <c r="AE312" s="446"/>
      <c r="AF312" s="446"/>
      <c r="AG312" s="446"/>
      <c r="AH312" s="446"/>
      <c r="AI312" s="446"/>
      <c r="AJ312" s="446"/>
      <c r="AK312" s="446"/>
      <c r="AL312" s="446"/>
      <c r="AM312" s="446"/>
      <c r="AN312" s="446"/>
      <c r="AO312" s="446"/>
      <c r="AP312" s="446"/>
      <c r="AQ312" s="446"/>
      <c r="AR312" s="219">
        <f t="shared" si="207"/>
        <v>0</v>
      </c>
      <c r="AS312" s="220" t="str">
        <f t="shared" si="208"/>
        <v>-</v>
      </c>
      <c r="AT312" s="472" t="str">
        <f t="shared" si="209"/>
        <v>-</v>
      </c>
      <c r="AU312" s="472" t="str">
        <f t="shared" si="210"/>
        <v>-</v>
      </c>
      <c r="AV312" s="472" t="str">
        <f t="shared" si="211"/>
        <v>-</v>
      </c>
      <c r="AW312" s="472" t="str">
        <f t="shared" si="212"/>
        <v>-</v>
      </c>
      <c r="AX312" s="472" t="str">
        <f t="shared" si="213"/>
        <v>-</v>
      </c>
      <c r="AY312" s="472" t="str">
        <f t="shared" si="229"/>
        <v>-</v>
      </c>
      <c r="AZ312" s="472" t="str">
        <f t="shared" si="237"/>
        <v>-</v>
      </c>
      <c r="BA312" s="472" t="str">
        <f t="shared" si="238"/>
        <v>-</v>
      </c>
      <c r="BB312" s="472" t="str">
        <f t="shared" si="230"/>
        <v>-</v>
      </c>
      <c r="BC312" s="472" t="str">
        <f t="shared" si="231"/>
        <v>-</v>
      </c>
      <c r="BD312" s="472" t="str">
        <f t="shared" si="232"/>
        <v>-</v>
      </c>
      <c r="BE312" s="472" t="str">
        <f t="shared" si="233"/>
        <v>-</v>
      </c>
      <c r="BF312" s="472" t="str">
        <f t="shared" si="234"/>
        <v>-</v>
      </c>
      <c r="BG312" s="472" t="str">
        <f t="shared" si="235"/>
        <v>-</v>
      </c>
      <c r="BH312" s="472" t="str">
        <f t="shared" si="236"/>
        <v>-</v>
      </c>
      <c r="BI312" s="221" t="str">
        <f t="shared" si="214"/>
        <v>-</v>
      </c>
      <c r="BJ312" s="692">
        <f>SUM('MAE - Audience Level Data'!O74,'MAE - Audience Level Data'!P74)</f>
        <v>0</v>
      </c>
      <c r="BK312" s="692">
        <f>SUM('MAE - Audience Level Data'!M74,'MAE - Audience Level Data'!N74,'MAE - Audience Level Data'!Q74,'MAE - Audience Level Data'!R74)</f>
        <v>0</v>
      </c>
      <c r="BL312" s="89"/>
      <c r="BM312" s="89"/>
      <c r="BN312" s="214">
        <f t="shared" si="215"/>
        <v>0</v>
      </c>
      <c r="BO312" s="742">
        <f>SUM('MAE - Audience Level Data'!U74:V74)</f>
        <v>0</v>
      </c>
      <c r="BP312" s="742">
        <f>SUM('MAE - Audience Level Data'!S74:T74,'MAE - Audience Level Data'!W74:X74)</f>
        <v>0</v>
      </c>
      <c r="BQ312" s="667"/>
      <c r="BR312" s="667"/>
      <c r="BS312" s="228">
        <f t="shared" si="216"/>
        <v>0</v>
      </c>
      <c r="BT312" s="407" t="str">
        <f t="shared" si="239"/>
        <v>-</v>
      </c>
      <c r="BU312" s="529" t="str">
        <f t="shared" si="240"/>
        <v>-</v>
      </c>
      <c r="BV312" s="529" t="str">
        <f t="shared" si="242"/>
        <v>-</v>
      </c>
      <c r="BW312" s="529" t="str">
        <f t="shared" si="243"/>
        <v>-</v>
      </c>
      <c r="BX312" s="221" t="str">
        <f t="shared" si="244"/>
        <v>-</v>
      </c>
      <c r="BY312" s="730">
        <f>SUM('MAE - Audience Level Data'!I74:J74)</f>
        <v>0</v>
      </c>
      <c r="BZ312" s="692">
        <f>SUM('MAE - Audience Level Data'!G74:H74,'MAE - Audience Level Data'!K74:L74)</f>
        <v>0</v>
      </c>
      <c r="CA312" s="693">
        <f t="shared" si="228"/>
        <v>0</v>
      </c>
      <c r="CB312" s="407" t="str">
        <f t="shared" ref="CB312:CB318" si="245">IFERROR(BO312/BY312,"-")</f>
        <v>-</v>
      </c>
      <c r="CC312" s="529" t="str">
        <f t="shared" si="217"/>
        <v>-</v>
      </c>
      <c r="CD312" s="221" t="str">
        <f t="shared" si="241"/>
        <v>-</v>
      </c>
    </row>
    <row r="313" spans="1:82" ht="15.75" customHeight="1">
      <c r="A313" s="175">
        <f t="shared" si="204"/>
        <v>2026</v>
      </c>
      <c r="B313" s="454" t="str">
        <f t="shared" si="205"/>
        <v>47</v>
      </c>
      <c r="C313" s="454" t="str">
        <f t="array" ref="C313">_xlfn.IFS(_xlfn.NUMBERVALUE(B313)&lt;=13,"Q1",AND(_xlfn.NUMBERVALUE(B313)&gt;13,_xlfn.NUMBERVALUE(B313)&lt;=26),"Q2", AND(_xlfn.NUMBERVALUE(B313)&gt;26,_xlfn.NUMBERVALUE(B313)&lt;=39),"Q3",_xlfn.NUMBERVALUE(B313)&gt;39,"Q4")</f>
        <v>Q4</v>
      </c>
      <c r="D313" s="448">
        <f t="shared" si="218"/>
        <v>46011</v>
      </c>
      <c r="E313" s="448">
        <f t="shared" si="206"/>
        <v>46017</v>
      </c>
      <c r="F313" s="97">
        <v>202547</v>
      </c>
      <c r="G313" s="103"/>
      <c r="H313" s="429"/>
      <c r="I313" s="429"/>
      <c r="J313" s="429"/>
      <c r="K313" s="429"/>
      <c r="L313" s="429"/>
      <c r="M313" s="429"/>
      <c r="N313" s="429"/>
      <c r="O313" s="429"/>
      <c r="P313" s="429"/>
      <c r="Q313" s="429"/>
      <c r="R313" s="429"/>
      <c r="S313" s="429"/>
      <c r="T313" s="429"/>
      <c r="U313" s="429"/>
      <c r="V313" s="429"/>
      <c r="W313" s="429"/>
      <c r="X313" s="429"/>
      <c r="Y313" s="449"/>
      <c r="Z313" s="449">
        <f>SUM('Overall Metrics'!AU314,'Overall Metrics'!AT314)</f>
        <v>0</v>
      </c>
      <c r="AA313" s="214">
        <f t="shared" si="222"/>
        <v>0</v>
      </c>
      <c r="AB313" s="446"/>
      <c r="AC313" s="446"/>
      <c r="AD313" s="446"/>
      <c r="AE313" s="446"/>
      <c r="AF313" s="446"/>
      <c r="AG313" s="446"/>
      <c r="AH313" s="446"/>
      <c r="AI313" s="446"/>
      <c r="AJ313" s="446"/>
      <c r="AK313" s="446"/>
      <c r="AL313" s="446"/>
      <c r="AM313" s="446"/>
      <c r="AN313" s="446"/>
      <c r="AO313" s="446"/>
      <c r="AP313" s="446"/>
      <c r="AQ313" s="446"/>
      <c r="AR313" s="219">
        <f t="shared" si="207"/>
        <v>0</v>
      </c>
      <c r="AS313" s="220" t="str">
        <f t="shared" si="208"/>
        <v>-</v>
      </c>
      <c r="AT313" s="472" t="str">
        <f t="shared" si="209"/>
        <v>-</v>
      </c>
      <c r="AU313" s="472" t="str">
        <f t="shared" si="210"/>
        <v>-</v>
      </c>
      <c r="AV313" s="472" t="str">
        <f t="shared" si="211"/>
        <v>-</v>
      </c>
      <c r="AW313" s="472" t="str">
        <f t="shared" si="212"/>
        <v>-</v>
      </c>
      <c r="AX313" s="472" t="str">
        <f t="shared" si="213"/>
        <v>-</v>
      </c>
      <c r="AY313" s="472" t="str">
        <f t="shared" si="229"/>
        <v>-</v>
      </c>
      <c r="AZ313" s="472" t="str">
        <f t="shared" si="237"/>
        <v>-</v>
      </c>
      <c r="BA313" s="472" t="str">
        <f t="shared" si="238"/>
        <v>-</v>
      </c>
      <c r="BB313" s="472" t="str">
        <f t="shared" si="230"/>
        <v>-</v>
      </c>
      <c r="BC313" s="472" t="str">
        <f t="shared" si="231"/>
        <v>-</v>
      </c>
      <c r="BD313" s="472" t="str">
        <f t="shared" si="232"/>
        <v>-</v>
      </c>
      <c r="BE313" s="472" t="str">
        <f t="shared" si="233"/>
        <v>-</v>
      </c>
      <c r="BF313" s="472" t="str">
        <f t="shared" si="234"/>
        <v>-</v>
      </c>
      <c r="BG313" s="472" t="str">
        <f t="shared" si="235"/>
        <v>-</v>
      </c>
      <c r="BH313" s="472" t="str">
        <f t="shared" si="236"/>
        <v>-</v>
      </c>
      <c r="BI313" s="221" t="str">
        <f t="shared" si="214"/>
        <v>-</v>
      </c>
      <c r="BJ313" s="692">
        <f>SUM('MAE - Audience Level Data'!O75,'MAE - Audience Level Data'!P75)</f>
        <v>0</v>
      </c>
      <c r="BK313" s="692">
        <f>SUM('MAE - Audience Level Data'!M75,'MAE - Audience Level Data'!N75,'MAE - Audience Level Data'!Q75,'MAE - Audience Level Data'!R75)</f>
        <v>0</v>
      </c>
      <c r="BL313" s="89"/>
      <c r="BM313" s="89"/>
      <c r="BN313" s="214">
        <f t="shared" si="215"/>
        <v>0</v>
      </c>
      <c r="BO313" s="742">
        <f>SUM('MAE - Audience Level Data'!U75:V75)</f>
        <v>0</v>
      </c>
      <c r="BP313" s="742">
        <f>SUM('MAE - Audience Level Data'!S75:T75,'MAE - Audience Level Data'!W75:X75)</f>
        <v>0</v>
      </c>
      <c r="BQ313" s="667"/>
      <c r="BR313" s="667"/>
      <c r="BS313" s="228">
        <f t="shared" si="216"/>
        <v>0</v>
      </c>
      <c r="BT313" s="407" t="str">
        <f t="shared" si="239"/>
        <v>-</v>
      </c>
      <c r="BU313" s="529" t="str">
        <f t="shared" si="240"/>
        <v>-</v>
      </c>
      <c r="BV313" s="529" t="str">
        <f t="shared" si="242"/>
        <v>-</v>
      </c>
      <c r="BW313" s="529" t="str">
        <f t="shared" si="243"/>
        <v>-</v>
      </c>
      <c r="BX313" s="221" t="str">
        <f t="shared" si="244"/>
        <v>-</v>
      </c>
      <c r="BY313" s="730">
        <f>SUM('MAE - Audience Level Data'!I75:J75)</f>
        <v>0</v>
      </c>
      <c r="BZ313" s="692">
        <f>SUM('MAE - Audience Level Data'!G75:H75,'MAE - Audience Level Data'!K75:L75)</f>
        <v>0</v>
      </c>
      <c r="CA313" s="693">
        <f t="shared" ref="CA313:CA318" si="246">SUM(BY313:BZ313)</f>
        <v>0</v>
      </c>
      <c r="CB313" s="407" t="str">
        <f t="shared" si="245"/>
        <v>-</v>
      </c>
      <c r="CC313" s="529" t="str">
        <f t="shared" si="217"/>
        <v>-</v>
      </c>
      <c r="CD313" s="221" t="str">
        <f t="shared" si="241"/>
        <v>-</v>
      </c>
    </row>
    <row r="314" spans="1:82" ht="15.75" customHeight="1">
      <c r="A314" s="175">
        <f t="shared" si="204"/>
        <v>2026</v>
      </c>
      <c r="B314" s="454" t="str">
        <f t="shared" si="205"/>
        <v>48</v>
      </c>
      <c r="C314" s="454" t="str">
        <f t="array" ref="C314">_xlfn.IFS(_xlfn.NUMBERVALUE(B314)&lt;=13,"Q1",AND(_xlfn.NUMBERVALUE(B314)&gt;13,_xlfn.NUMBERVALUE(B314)&lt;=26),"Q2", AND(_xlfn.NUMBERVALUE(B314)&gt;26,_xlfn.NUMBERVALUE(B314)&lt;=39),"Q3",_xlfn.NUMBERVALUE(B314)&gt;39,"Q4")</f>
        <v>Q4</v>
      </c>
      <c r="D314" s="448">
        <f t="shared" si="218"/>
        <v>46018</v>
      </c>
      <c r="E314" s="448">
        <f t="shared" si="206"/>
        <v>46024</v>
      </c>
      <c r="F314" s="97">
        <v>202548</v>
      </c>
      <c r="G314" s="103"/>
      <c r="H314" s="429"/>
      <c r="I314" s="429"/>
      <c r="J314" s="429"/>
      <c r="K314" s="429"/>
      <c r="L314" s="429"/>
      <c r="M314" s="429"/>
      <c r="N314" s="429"/>
      <c r="O314" s="429"/>
      <c r="P314" s="429"/>
      <c r="Q314" s="429"/>
      <c r="R314" s="429"/>
      <c r="S314" s="429"/>
      <c r="T314" s="429"/>
      <c r="U314" s="429"/>
      <c r="V314" s="429"/>
      <c r="W314" s="429"/>
      <c r="X314" s="429"/>
      <c r="Y314" s="449"/>
      <c r="Z314" s="449">
        <f>SUM('Overall Metrics'!AU315,'Overall Metrics'!AT315)</f>
        <v>0</v>
      </c>
      <c r="AA314" s="214">
        <f t="shared" si="222"/>
        <v>0</v>
      </c>
      <c r="AB314" s="446"/>
      <c r="AC314" s="446"/>
      <c r="AD314" s="446"/>
      <c r="AE314" s="446"/>
      <c r="AF314" s="446"/>
      <c r="AG314" s="446"/>
      <c r="AH314" s="446"/>
      <c r="AI314" s="446"/>
      <c r="AJ314" s="446"/>
      <c r="AK314" s="446"/>
      <c r="AL314" s="446"/>
      <c r="AM314" s="446"/>
      <c r="AN314" s="446"/>
      <c r="AO314" s="446"/>
      <c r="AP314" s="446"/>
      <c r="AQ314" s="446"/>
      <c r="AR314" s="219">
        <f t="shared" si="207"/>
        <v>0</v>
      </c>
      <c r="AS314" s="220" t="str">
        <f t="shared" si="208"/>
        <v>-</v>
      </c>
      <c r="AT314" s="472" t="str">
        <f t="shared" si="209"/>
        <v>-</v>
      </c>
      <c r="AU314" s="472" t="str">
        <f t="shared" si="210"/>
        <v>-</v>
      </c>
      <c r="AV314" s="472" t="str">
        <f t="shared" si="211"/>
        <v>-</v>
      </c>
      <c r="AW314" s="472" t="str">
        <f t="shared" si="212"/>
        <v>-</v>
      </c>
      <c r="AX314" s="472" t="str">
        <f t="shared" si="213"/>
        <v>-</v>
      </c>
      <c r="AY314" s="472" t="str">
        <f t="shared" si="229"/>
        <v>-</v>
      </c>
      <c r="AZ314" s="472" t="str">
        <f t="shared" si="237"/>
        <v>-</v>
      </c>
      <c r="BA314" s="472" t="str">
        <f t="shared" si="238"/>
        <v>-</v>
      </c>
      <c r="BB314" s="472" t="str">
        <f t="shared" si="230"/>
        <v>-</v>
      </c>
      <c r="BC314" s="472" t="str">
        <f t="shared" si="231"/>
        <v>-</v>
      </c>
      <c r="BD314" s="472" t="str">
        <f t="shared" si="232"/>
        <v>-</v>
      </c>
      <c r="BE314" s="472" t="str">
        <f t="shared" si="233"/>
        <v>-</v>
      </c>
      <c r="BF314" s="472" t="str">
        <f t="shared" si="234"/>
        <v>-</v>
      </c>
      <c r="BG314" s="472" t="str">
        <f t="shared" si="235"/>
        <v>-</v>
      </c>
      <c r="BH314" s="472" t="str">
        <f t="shared" si="236"/>
        <v>-</v>
      </c>
      <c r="BI314" s="221" t="str">
        <f t="shared" si="214"/>
        <v>-</v>
      </c>
      <c r="BJ314" s="692">
        <f>SUM('MAE - Audience Level Data'!O76,'MAE - Audience Level Data'!P76)</f>
        <v>0</v>
      </c>
      <c r="BK314" s="692">
        <f>SUM('MAE - Audience Level Data'!M76,'MAE - Audience Level Data'!N76,'MAE - Audience Level Data'!Q76,'MAE - Audience Level Data'!R76)</f>
        <v>0</v>
      </c>
      <c r="BL314" s="89"/>
      <c r="BM314" s="89"/>
      <c r="BN314" s="214">
        <f t="shared" si="215"/>
        <v>0</v>
      </c>
      <c r="BO314" s="742">
        <f>SUM('MAE - Audience Level Data'!U76:V76)</f>
        <v>0</v>
      </c>
      <c r="BP314" s="742">
        <f>SUM('MAE - Audience Level Data'!S76:T76,'MAE - Audience Level Data'!W76:X76)</f>
        <v>0</v>
      </c>
      <c r="BQ314" s="667"/>
      <c r="BR314" s="667"/>
      <c r="BS314" s="228">
        <f t="shared" si="216"/>
        <v>0</v>
      </c>
      <c r="BT314" s="407" t="str">
        <f t="shared" si="239"/>
        <v>-</v>
      </c>
      <c r="BU314" s="529" t="str">
        <f t="shared" si="240"/>
        <v>-</v>
      </c>
      <c r="BV314" s="529" t="str">
        <f t="shared" si="242"/>
        <v>-</v>
      </c>
      <c r="BW314" s="529" t="str">
        <f t="shared" si="243"/>
        <v>-</v>
      </c>
      <c r="BX314" s="221" t="str">
        <f t="shared" si="244"/>
        <v>-</v>
      </c>
      <c r="BY314" s="730">
        <f>SUM('MAE - Audience Level Data'!I76:J76)</f>
        <v>0</v>
      </c>
      <c r="BZ314" s="692">
        <f>SUM('MAE - Audience Level Data'!G76:H76,'MAE - Audience Level Data'!K76:L76)</f>
        <v>0</v>
      </c>
      <c r="CA314" s="693">
        <f t="shared" si="246"/>
        <v>0</v>
      </c>
      <c r="CB314" s="407" t="str">
        <f t="shared" si="245"/>
        <v>-</v>
      </c>
      <c r="CC314" s="529" t="str">
        <f t="shared" si="217"/>
        <v>-</v>
      </c>
      <c r="CD314" s="221" t="str">
        <f t="shared" si="241"/>
        <v>-</v>
      </c>
    </row>
    <row r="315" spans="1:82" ht="15.75" customHeight="1">
      <c r="A315" s="175">
        <f t="shared" si="204"/>
        <v>2026</v>
      </c>
      <c r="B315" s="454" t="str">
        <f t="shared" si="205"/>
        <v>49</v>
      </c>
      <c r="C315" s="454" t="str">
        <f t="array" ref="C315">_xlfn.IFS(_xlfn.NUMBERVALUE(B315)&lt;=13,"Q1",AND(_xlfn.NUMBERVALUE(B315)&gt;13,_xlfn.NUMBERVALUE(B315)&lt;=26),"Q2", AND(_xlfn.NUMBERVALUE(B315)&gt;26,_xlfn.NUMBERVALUE(B315)&lt;=39),"Q3",_xlfn.NUMBERVALUE(B315)&gt;39,"Q4")</f>
        <v>Q4</v>
      </c>
      <c r="D315" s="448">
        <f t="shared" si="218"/>
        <v>46025</v>
      </c>
      <c r="E315" s="448">
        <f t="shared" si="206"/>
        <v>46031</v>
      </c>
      <c r="F315" s="97">
        <v>202549</v>
      </c>
      <c r="G315" s="103"/>
      <c r="H315" s="429"/>
      <c r="I315" s="429"/>
      <c r="J315" s="429"/>
      <c r="K315" s="429"/>
      <c r="L315" s="429"/>
      <c r="M315" s="429"/>
      <c r="N315" s="429"/>
      <c r="O315" s="429"/>
      <c r="P315" s="429"/>
      <c r="Q315" s="429"/>
      <c r="R315" s="429"/>
      <c r="S315" s="429"/>
      <c r="T315" s="429"/>
      <c r="U315" s="429"/>
      <c r="V315" s="429"/>
      <c r="W315" s="429"/>
      <c r="X315" s="429"/>
      <c r="Y315" s="449"/>
      <c r="Z315" s="449">
        <f>SUM('Overall Metrics'!AU316,'Overall Metrics'!AT316)</f>
        <v>0</v>
      </c>
      <c r="AA315" s="214">
        <f t="shared" si="222"/>
        <v>0</v>
      </c>
      <c r="AB315" s="446"/>
      <c r="AC315" s="446"/>
      <c r="AD315" s="446"/>
      <c r="AE315" s="446"/>
      <c r="AF315" s="446"/>
      <c r="AG315" s="446"/>
      <c r="AH315" s="446"/>
      <c r="AI315" s="446"/>
      <c r="AJ315" s="446"/>
      <c r="AK315" s="446"/>
      <c r="AL315" s="446"/>
      <c r="AM315" s="446"/>
      <c r="AN315" s="446"/>
      <c r="AO315" s="446"/>
      <c r="AP315" s="446"/>
      <c r="AQ315" s="446"/>
      <c r="AR315" s="219">
        <f t="shared" si="207"/>
        <v>0</v>
      </c>
      <c r="AS315" s="220" t="str">
        <f t="shared" si="208"/>
        <v>-</v>
      </c>
      <c r="AT315" s="472" t="str">
        <f t="shared" si="209"/>
        <v>-</v>
      </c>
      <c r="AU315" s="472" t="str">
        <f t="shared" si="210"/>
        <v>-</v>
      </c>
      <c r="AV315" s="472" t="str">
        <f t="shared" si="211"/>
        <v>-</v>
      </c>
      <c r="AW315" s="472" t="str">
        <f t="shared" si="212"/>
        <v>-</v>
      </c>
      <c r="AX315" s="472" t="str">
        <f t="shared" si="213"/>
        <v>-</v>
      </c>
      <c r="AY315" s="472" t="str">
        <f t="shared" si="229"/>
        <v>-</v>
      </c>
      <c r="AZ315" s="472" t="str">
        <f t="shared" si="237"/>
        <v>-</v>
      </c>
      <c r="BA315" s="472" t="str">
        <f t="shared" si="238"/>
        <v>-</v>
      </c>
      <c r="BB315" s="472" t="str">
        <f t="shared" si="230"/>
        <v>-</v>
      </c>
      <c r="BC315" s="472" t="str">
        <f t="shared" si="231"/>
        <v>-</v>
      </c>
      <c r="BD315" s="472" t="str">
        <f t="shared" si="232"/>
        <v>-</v>
      </c>
      <c r="BE315" s="472" t="str">
        <f t="shared" si="233"/>
        <v>-</v>
      </c>
      <c r="BF315" s="472" t="str">
        <f t="shared" si="234"/>
        <v>-</v>
      </c>
      <c r="BG315" s="472" t="str">
        <f t="shared" si="235"/>
        <v>-</v>
      </c>
      <c r="BH315" s="472" t="str">
        <f t="shared" si="236"/>
        <v>-</v>
      </c>
      <c r="BI315" s="221" t="str">
        <f t="shared" si="214"/>
        <v>-</v>
      </c>
      <c r="BJ315" s="692">
        <f>SUM('MAE - Audience Level Data'!O77,'MAE - Audience Level Data'!P77)</f>
        <v>0</v>
      </c>
      <c r="BK315" s="692">
        <f>SUM('MAE - Audience Level Data'!M77,'MAE - Audience Level Data'!N77,'MAE - Audience Level Data'!Q77,'MAE - Audience Level Data'!R77)</f>
        <v>0</v>
      </c>
      <c r="BL315" s="89"/>
      <c r="BM315" s="89"/>
      <c r="BN315" s="214">
        <f t="shared" si="215"/>
        <v>0</v>
      </c>
      <c r="BO315" s="742">
        <f>SUM('MAE - Audience Level Data'!U77:V77)</f>
        <v>0</v>
      </c>
      <c r="BP315" s="742">
        <f>SUM('MAE - Audience Level Data'!S77:T77,'MAE - Audience Level Data'!W77:X77)</f>
        <v>0</v>
      </c>
      <c r="BQ315" s="667"/>
      <c r="BR315" s="667"/>
      <c r="BS315" s="228">
        <f t="shared" si="216"/>
        <v>0</v>
      </c>
      <c r="BT315" s="407" t="str">
        <f t="shared" si="239"/>
        <v>-</v>
      </c>
      <c r="BU315" s="529" t="str">
        <f t="shared" si="240"/>
        <v>-</v>
      </c>
      <c r="BV315" s="529" t="str">
        <f t="shared" si="242"/>
        <v>-</v>
      </c>
      <c r="BW315" s="529" t="str">
        <f t="shared" si="243"/>
        <v>-</v>
      </c>
      <c r="BX315" s="221" t="str">
        <f t="shared" si="244"/>
        <v>-</v>
      </c>
      <c r="BY315" s="730">
        <f>SUM('MAE - Audience Level Data'!I77:J77)</f>
        <v>0</v>
      </c>
      <c r="BZ315" s="692">
        <f>SUM('MAE - Audience Level Data'!G77:H77,'MAE - Audience Level Data'!K77:L77)</f>
        <v>0</v>
      </c>
      <c r="CA315" s="693">
        <f t="shared" si="246"/>
        <v>0</v>
      </c>
      <c r="CB315" s="407" t="str">
        <f t="shared" si="245"/>
        <v>-</v>
      </c>
      <c r="CC315" s="529" t="str">
        <f t="shared" si="217"/>
        <v>-</v>
      </c>
      <c r="CD315" s="221" t="str">
        <f t="shared" si="241"/>
        <v>-</v>
      </c>
    </row>
    <row r="316" spans="1:82" ht="15.75" customHeight="1">
      <c r="A316" s="175">
        <f t="shared" si="204"/>
        <v>2026</v>
      </c>
      <c r="B316" s="454" t="str">
        <f t="shared" si="205"/>
        <v>50</v>
      </c>
      <c r="C316" s="454" t="str">
        <f t="array" ref="C316">_xlfn.IFS(_xlfn.NUMBERVALUE(B316)&lt;=13,"Q1",AND(_xlfn.NUMBERVALUE(B316)&gt;13,_xlfn.NUMBERVALUE(B316)&lt;=26),"Q2", AND(_xlfn.NUMBERVALUE(B316)&gt;26,_xlfn.NUMBERVALUE(B316)&lt;=39),"Q3",_xlfn.NUMBERVALUE(B316)&gt;39,"Q4")</f>
        <v>Q4</v>
      </c>
      <c r="D316" s="448">
        <f t="shared" si="218"/>
        <v>46032</v>
      </c>
      <c r="E316" s="448">
        <f t="shared" si="206"/>
        <v>46038</v>
      </c>
      <c r="F316" s="97">
        <v>202550</v>
      </c>
      <c r="G316" s="103"/>
      <c r="H316" s="429"/>
      <c r="I316" s="429"/>
      <c r="J316" s="429"/>
      <c r="K316" s="429"/>
      <c r="L316" s="429"/>
      <c r="M316" s="429"/>
      <c r="N316" s="429"/>
      <c r="O316" s="429"/>
      <c r="P316" s="429"/>
      <c r="Q316" s="429"/>
      <c r="R316" s="429"/>
      <c r="S316" s="429"/>
      <c r="T316" s="429"/>
      <c r="U316" s="429"/>
      <c r="V316" s="429"/>
      <c r="W316" s="429"/>
      <c r="X316" s="429"/>
      <c r="Y316" s="449"/>
      <c r="Z316" s="449">
        <f>SUM('Overall Metrics'!AU317,'Overall Metrics'!AT317)</f>
        <v>0</v>
      </c>
      <c r="AA316" s="214">
        <f t="shared" si="222"/>
        <v>0</v>
      </c>
      <c r="AB316" s="446"/>
      <c r="AC316" s="446"/>
      <c r="AD316" s="446"/>
      <c r="AE316" s="446"/>
      <c r="AF316" s="446"/>
      <c r="AG316" s="446"/>
      <c r="AH316" s="446"/>
      <c r="AI316" s="446"/>
      <c r="AJ316" s="446"/>
      <c r="AK316" s="446"/>
      <c r="AL316" s="446"/>
      <c r="AM316" s="446"/>
      <c r="AN316" s="446"/>
      <c r="AO316" s="446"/>
      <c r="AP316" s="446"/>
      <c r="AQ316" s="446"/>
      <c r="AR316" s="219">
        <f t="shared" si="207"/>
        <v>0</v>
      </c>
      <c r="AS316" s="220" t="str">
        <f t="shared" si="208"/>
        <v>-</v>
      </c>
      <c r="AT316" s="472" t="str">
        <f t="shared" si="209"/>
        <v>-</v>
      </c>
      <c r="AU316" s="472" t="str">
        <f t="shared" si="210"/>
        <v>-</v>
      </c>
      <c r="AV316" s="472" t="str">
        <f t="shared" si="211"/>
        <v>-</v>
      </c>
      <c r="AW316" s="472" t="str">
        <f t="shared" si="212"/>
        <v>-</v>
      </c>
      <c r="AX316" s="472" t="str">
        <f t="shared" si="213"/>
        <v>-</v>
      </c>
      <c r="AY316" s="472" t="str">
        <f t="shared" si="229"/>
        <v>-</v>
      </c>
      <c r="AZ316" s="472" t="str">
        <f t="shared" si="237"/>
        <v>-</v>
      </c>
      <c r="BA316" s="472" t="str">
        <f t="shared" si="238"/>
        <v>-</v>
      </c>
      <c r="BB316" s="472" t="str">
        <f t="shared" si="230"/>
        <v>-</v>
      </c>
      <c r="BC316" s="472" t="str">
        <f t="shared" si="231"/>
        <v>-</v>
      </c>
      <c r="BD316" s="472" t="str">
        <f t="shared" si="232"/>
        <v>-</v>
      </c>
      <c r="BE316" s="472" t="str">
        <f t="shared" si="233"/>
        <v>-</v>
      </c>
      <c r="BF316" s="472" t="str">
        <f t="shared" si="234"/>
        <v>-</v>
      </c>
      <c r="BG316" s="472" t="str">
        <f t="shared" si="235"/>
        <v>-</v>
      </c>
      <c r="BH316" s="472" t="str">
        <f t="shared" si="236"/>
        <v>-</v>
      </c>
      <c r="BI316" s="221" t="str">
        <f t="shared" si="214"/>
        <v>-</v>
      </c>
      <c r="BJ316" s="692">
        <f>SUM('MAE - Audience Level Data'!O78,'MAE - Audience Level Data'!P78)</f>
        <v>0</v>
      </c>
      <c r="BK316" s="692">
        <f>SUM('MAE - Audience Level Data'!M78,'MAE - Audience Level Data'!N78,'MAE - Audience Level Data'!Q78,'MAE - Audience Level Data'!R78)</f>
        <v>0</v>
      </c>
      <c r="BL316" s="89"/>
      <c r="BM316" s="89"/>
      <c r="BN316" s="214">
        <f t="shared" si="215"/>
        <v>0</v>
      </c>
      <c r="BO316" s="742">
        <f>SUM('MAE - Audience Level Data'!U78:V78)</f>
        <v>0</v>
      </c>
      <c r="BP316" s="742">
        <f>SUM('MAE - Audience Level Data'!S78:T78,'MAE - Audience Level Data'!W78:X78)</f>
        <v>0</v>
      </c>
      <c r="BQ316" s="667"/>
      <c r="BR316" s="667"/>
      <c r="BS316" s="228">
        <f t="shared" si="216"/>
        <v>0</v>
      </c>
      <c r="BT316" s="407" t="str">
        <f t="shared" si="239"/>
        <v>-</v>
      </c>
      <c r="BU316" s="529" t="str">
        <f t="shared" si="240"/>
        <v>-</v>
      </c>
      <c r="BV316" s="529" t="str">
        <f t="shared" si="242"/>
        <v>-</v>
      </c>
      <c r="BW316" s="529" t="str">
        <f t="shared" si="243"/>
        <v>-</v>
      </c>
      <c r="BX316" s="221" t="str">
        <f t="shared" si="244"/>
        <v>-</v>
      </c>
      <c r="BY316" s="730">
        <f>SUM('MAE - Audience Level Data'!I78:J78)</f>
        <v>0</v>
      </c>
      <c r="BZ316" s="692">
        <f>SUM('MAE - Audience Level Data'!G78:H78,'MAE - Audience Level Data'!K78:L78)</f>
        <v>0</v>
      </c>
      <c r="CA316" s="693">
        <f t="shared" si="246"/>
        <v>0</v>
      </c>
      <c r="CB316" s="407" t="str">
        <f t="shared" si="245"/>
        <v>-</v>
      </c>
      <c r="CC316" s="529" t="str">
        <f t="shared" si="217"/>
        <v>-</v>
      </c>
      <c r="CD316" s="221" t="str">
        <f t="shared" si="241"/>
        <v>-</v>
      </c>
    </row>
    <row r="317" spans="1:82" ht="15.75" customHeight="1">
      <c r="A317" s="175">
        <f t="shared" si="204"/>
        <v>2026</v>
      </c>
      <c r="B317" s="454" t="str">
        <f t="shared" si="205"/>
        <v>51</v>
      </c>
      <c r="C317" s="454" t="str">
        <f t="array" ref="C317">_xlfn.IFS(_xlfn.NUMBERVALUE(B317)&lt;=13,"Q1",AND(_xlfn.NUMBERVALUE(B317)&gt;13,_xlfn.NUMBERVALUE(B317)&lt;=26),"Q2", AND(_xlfn.NUMBERVALUE(B317)&gt;26,_xlfn.NUMBERVALUE(B317)&lt;=39),"Q3",_xlfn.NUMBERVALUE(B317)&gt;39,"Q4")</f>
        <v>Q4</v>
      </c>
      <c r="D317" s="448">
        <f t="shared" si="218"/>
        <v>46039</v>
      </c>
      <c r="E317" s="448">
        <f t="shared" si="206"/>
        <v>46045</v>
      </c>
      <c r="F317" s="97">
        <v>202551</v>
      </c>
      <c r="G317" s="103"/>
      <c r="H317" s="429"/>
      <c r="I317" s="429"/>
      <c r="J317" s="429"/>
      <c r="K317" s="429"/>
      <c r="L317" s="429"/>
      <c r="M317" s="429"/>
      <c r="N317" s="429"/>
      <c r="O317" s="429"/>
      <c r="P317" s="429"/>
      <c r="Q317" s="429"/>
      <c r="R317" s="429"/>
      <c r="S317" s="429"/>
      <c r="T317" s="429"/>
      <c r="U317" s="429"/>
      <c r="V317" s="429"/>
      <c r="W317" s="429"/>
      <c r="X317" s="429"/>
      <c r="Y317" s="449"/>
      <c r="Z317" s="449">
        <f>SUM('Overall Metrics'!AU318,'Overall Metrics'!AT318)</f>
        <v>0</v>
      </c>
      <c r="AA317" s="214">
        <f t="shared" si="222"/>
        <v>0</v>
      </c>
      <c r="AB317" s="446"/>
      <c r="AC317" s="446"/>
      <c r="AD317" s="446"/>
      <c r="AE317" s="446"/>
      <c r="AF317" s="446"/>
      <c r="AG317" s="446"/>
      <c r="AH317" s="446"/>
      <c r="AI317" s="446"/>
      <c r="AJ317" s="446"/>
      <c r="AK317" s="446"/>
      <c r="AL317" s="446"/>
      <c r="AM317" s="446"/>
      <c r="AN317" s="446"/>
      <c r="AO317" s="446"/>
      <c r="AP317" s="446"/>
      <c r="AQ317" s="446"/>
      <c r="AR317" s="219">
        <f t="shared" si="207"/>
        <v>0</v>
      </c>
      <c r="AS317" s="220" t="str">
        <f t="shared" si="208"/>
        <v>-</v>
      </c>
      <c r="AT317" s="472" t="str">
        <f t="shared" si="209"/>
        <v>-</v>
      </c>
      <c r="AU317" s="472" t="str">
        <f t="shared" si="210"/>
        <v>-</v>
      </c>
      <c r="AV317" s="472" t="str">
        <f t="shared" si="211"/>
        <v>-</v>
      </c>
      <c r="AW317" s="472" t="str">
        <f t="shared" si="212"/>
        <v>-</v>
      </c>
      <c r="AX317" s="472" t="str">
        <f t="shared" si="213"/>
        <v>-</v>
      </c>
      <c r="AY317" s="472" t="str">
        <f t="shared" si="229"/>
        <v>-</v>
      </c>
      <c r="AZ317" s="472" t="str">
        <f t="shared" si="237"/>
        <v>-</v>
      </c>
      <c r="BA317" s="472" t="str">
        <f t="shared" si="238"/>
        <v>-</v>
      </c>
      <c r="BB317" s="472" t="str">
        <f t="shared" si="230"/>
        <v>-</v>
      </c>
      <c r="BC317" s="472" t="str">
        <f t="shared" si="231"/>
        <v>-</v>
      </c>
      <c r="BD317" s="472" t="str">
        <f t="shared" si="232"/>
        <v>-</v>
      </c>
      <c r="BE317" s="472" t="str">
        <f t="shared" si="233"/>
        <v>-</v>
      </c>
      <c r="BF317" s="472" t="str">
        <f t="shared" si="234"/>
        <v>-</v>
      </c>
      <c r="BG317" s="472" t="str">
        <f t="shared" si="235"/>
        <v>-</v>
      </c>
      <c r="BH317" s="472" t="str">
        <f t="shared" si="236"/>
        <v>-</v>
      </c>
      <c r="BI317" s="221" t="str">
        <f t="shared" si="214"/>
        <v>-</v>
      </c>
      <c r="BJ317" s="692">
        <f>SUM('MAE - Audience Level Data'!O79,'MAE - Audience Level Data'!P79)</f>
        <v>0</v>
      </c>
      <c r="BK317" s="692">
        <f>SUM('MAE - Audience Level Data'!M79,'MAE - Audience Level Data'!N79,'MAE - Audience Level Data'!Q79,'MAE - Audience Level Data'!R79)</f>
        <v>0</v>
      </c>
      <c r="BL317" s="89"/>
      <c r="BM317" s="89"/>
      <c r="BN317" s="214">
        <f t="shared" si="215"/>
        <v>0</v>
      </c>
      <c r="BO317" s="742">
        <f>SUM('MAE - Audience Level Data'!U79:V79)</f>
        <v>0</v>
      </c>
      <c r="BP317" s="742">
        <f>SUM('MAE - Audience Level Data'!S79:T79,'MAE - Audience Level Data'!W79:X79)</f>
        <v>0</v>
      </c>
      <c r="BQ317" s="667"/>
      <c r="BR317" s="667"/>
      <c r="BS317" s="228">
        <f t="shared" si="216"/>
        <v>0</v>
      </c>
      <c r="BT317" s="407" t="str">
        <f t="shared" si="239"/>
        <v>-</v>
      </c>
      <c r="BU317" s="529" t="str">
        <f t="shared" si="240"/>
        <v>-</v>
      </c>
      <c r="BV317" s="529" t="str">
        <f t="shared" si="242"/>
        <v>-</v>
      </c>
      <c r="BW317" s="529" t="str">
        <f t="shared" si="243"/>
        <v>-</v>
      </c>
      <c r="BX317" s="221" t="str">
        <f t="shared" si="244"/>
        <v>-</v>
      </c>
      <c r="BY317" s="730">
        <f>SUM('MAE - Audience Level Data'!I79:J79)</f>
        <v>0</v>
      </c>
      <c r="BZ317" s="692">
        <f>SUM('MAE - Audience Level Data'!G79:H79,'MAE - Audience Level Data'!K79:L79)</f>
        <v>0</v>
      </c>
      <c r="CA317" s="693">
        <f t="shared" si="246"/>
        <v>0</v>
      </c>
      <c r="CB317" s="407" t="str">
        <f t="shared" si="245"/>
        <v>-</v>
      </c>
      <c r="CC317" s="529" t="str">
        <f t="shared" si="217"/>
        <v>-</v>
      </c>
      <c r="CD317" s="221" t="str">
        <f t="shared" si="241"/>
        <v>-</v>
      </c>
    </row>
    <row r="318" spans="1:82" ht="16.5" customHeight="1" thickBot="1">
      <c r="A318" s="176">
        <f t="shared" si="204"/>
        <v>2026</v>
      </c>
      <c r="B318" s="177" t="str">
        <f t="shared" si="205"/>
        <v>52</v>
      </c>
      <c r="C318" s="177" t="str">
        <f t="array" ref="C318">_xlfn.IFS(_xlfn.NUMBERVALUE(B318)&lt;=13,"Q1",AND(_xlfn.NUMBERVALUE(B318)&gt;13,_xlfn.NUMBERVALUE(B318)&lt;=26),"Q2", AND(_xlfn.NUMBERVALUE(B318)&gt;26,_xlfn.NUMBERVALUE(B318)&lt;=39),"Q3",_xlfn.NUMBERVALUE(B318)&gt;39,"Q4")</f>
        <v>Q4</v>
      </c>
      <c r="D318" s="178">
        <f t="shared" si="218"/>
        <v>46046</v>
      </c>
      <c r="E318" s="178">
        <f t="shared" si="206"/>
        <v>46052</v>
      </c>
      <c r="F318" s="98">
        <v>202552</v>
      </c>
      <c r="G318" s="104"/>
      <c r="H318" s="105"/>
      <c r="I318" s="105"/>
      <c r="J318" s="105"/>
      <c r="K318" s="105"/>
      <c r="L318" s="105"/>
      <c r="M318" s="105"/>
      <c r="N318" s="105"/>
      <c r="O318" s="105"/>
      <c r="P318" s="105"/>
      <c r="Q318" s="105"/>
      <c r="R318" s="105"/>
      <c r="S318" s="105"/>
      <c r="T318" s="105"/>
      <c r="U318" s="105"/>
      <c r="V318" s="105"/>
      <c r="W318" s="105"/>
      <c r="X318" s="105"/>
      <c r="Y318" s="449"/>
      <c r="Z318" s="449">
        <f>SUM('Overall Metrics'!AU319,'Overall Metrics'!AT319)</f>
        <v>0</v>
      </c>
      <c r="AA318" s="214">
        <f t="shared" si="222"/>
        <v>0</v>
      </c>
      <c r="AB318" s="793"/>
      <c r="AC318" s="794"/>
      <c r="AD318" s="794"/>
      <c r="AE318" s="794"/>
      <c r="AF318" s="794"/>
      <c r="AG318" s="794"/>
      <c r="AH318" s="794"/>
      <c r="AI318" s="794"/>
      <c r="AJ318" s="794"/>
      <c r="AK318" s="794"/>
      <c r="AL318" s="794"/>
      <c r="AM318" s="794"/>
      <c r="AN318" s="794"/>
      <c r="AO318" s="794"/>
      <c r="AP318" s="794"/>
      <c r="AQ318" s="794"/>
      <c r="AR318" s="412">
        <f t="shared" si="207"/>
        <v>0</v>
      </c>
      <c r="AS318" s="222" t="str">
        <f t="shared" si="208"/>
        <v>-</v>
      </c>
      <c r="AT318" s="185" t="str">
        <f t="shared" si="209"/>
        <v>-</v>
      </c>
      <c r="AU318" s="185" t="str">
        <f t="shared" si="210"/>
        <v>-</v>
      </c>
      <c r="AV318" s="185" t="str">
        <f t="shared" si="211"/>
        <v>-</v>
      </c>
      <c r="AW318" s="185" t="str">
        <f t="shared" si="212"/>
        <v>-</v>
      </c>
      <c r="AX318" s="185" t="str">
        <f t="shared" si="213"/>
        <v>-</v>
      </c>
      <c r="AY318" s="185" t="str">
        <f t="shared" si="229"/>
        <v>-</v>
      </c>
      <c r="AZ318" s="185" t="str">
        <f t="shared" si="237"/>
        <v>-</v>
      </c>
      <c r="BA318" s="185" t="str">
        <f t="shared" si="238"/>
        <v>-</v>
      </c>
      <c r="BB318" s="185" t="str">
        <f t="shared" si="230"/>
        <v>-</v>
      </c>
      <c r="BC318" s="185" t="str">
        <f t="shared" si="231"/>
        <v>-</v>
      </c>
      <c r="BD318" s="185" t="str">
        <f t="shared" si="232"/>
        <v>-</v>
      </c>
      <c r="BE318" s="185" t="str">
        <f t="shared" si="233"/>
        <v>-</v>
      </c>
      <c r="BF318" s="185" t="str">
        <f t="shared" si="234"/>
        <v>-</v>
      </c>
      <c r="BG318" s="185" t="str">
        <f t="shared" si="235"/>
        <v>-</v>
      </c>
      <c r="BH318" s="185" t="str">
        <f t="shared" si="236"/>
        <v>-</v>
      </c>
      <c r="BI318" s="223" t="str">
        <f t="shared" si="214"/>
        <v>-</v>
      </c>
      <c r="BJ318" s="751">
        <f>SUM('MAE - Audience Level Data'!O80,'MAE - Audience Level Data'!P80)</f>
        <v>0</v>
      </c>
      <c r="BK318" s="751">
        <f>SUM('MAE - Audience Level Data'!M80,'MAE - Audience Level Data'!N80,'MAE - Audience Level Data'!Q80,'MAE - Audience Level Data'!R80)</f>
        <v>0</v>
      </c>
      <c r="BL318" s="418"/>
      <c r="BM318" s="418"/>
      <c r="BN318" s="215">
        <f t="shared" si="215"/>
        <v>0</v>
      </c>
      <c r="BO318" s="753">
        <f>SUM('MAE - Audience Level Data'!U80:V80)</f>
        <v>0</v>
      </c>
      <c r="BP318" s="753">
        <f>SUM('MAE - Audience Level Data'!S80:T80,'MAE - Audience Level Data'!W80:X80)</f>
        <v>0</v>
      </c>
      <c r="BQ318" s="668"/>
      <c r="BR318" s="668"/>
      <c r="BS318" s="231">
        <f t="shared" si="216"/>
        <v>0</v>
      </c>
      <c r="BT318" s="408" t="str">
        <f t="shared" si="239"/>
        <v>-</v>
      </c>
      <c r="BU318" s="409" t="str">
        <f t="shared" si="240"/>
        <v>-</v>
      </c>
      <c r="BV318" s="409" t="str">
        <f t="shared" si="242"/>
        <v>-</v>
      </c>
      <c r="BW318" s="409" t="str">
        <f t="shared" si="243"/>
        <v>-</v>
      </c>
      <c r="BX318" s="223" t="str">
        <f t="shared" si="244"/>
        <v>-</v>
      </c>
      <c r="BY318" s="750">
        <f>SUM('MAE - Audience Level Data'!I80:J80)</f>
        <v>0</v>
      </c>
      <c r="BZ318" s="751">
        <f>SUM('MAE - Audience Level Data'!G80:H80,'MAE - Audience Level Data'!K80:L80)</f>
        <v>0</v>
      </c>
      <c r="CA318" s="752">
        <f t="shared" si="246"/>
        <v>0</v>
      </c>
      <c r="CB318" s="408" t="str">
        <f t="shared" si="245"/>
        <v>-</v>
      </c>
      <c r="CC318" s="409" t="str">
        <f t="shared" si="217"/>
        <v>-</v>
      </c>
      <c r="CD318" s="223" t="str">
        <f t="shared" si="241"/>
        <v>-</v>
      </c>
    </row>
  </sheetData>
  <mergeCells count="3">
    <mergeCell ref="E1:E3"/>
    <mergeCell ref="D1:D3"/>
    <mergeCell ref="A1:C3"/>
  </mergeCells>
  <conditionalFormatting sqref="G1:CD1 BY3:CD3 G3:BX4 CB4:CD4">
    <cfRule type="cellIs" dxfId="92" priority="1" operator="between">
      <formula>-0.1</formula>
      <formula>0</formula>
    </cfRule>
    <cfRule type="cellIs" dxfId="91" priority="2" operator="between">
      <formula>0</formula>
      <formula>0.1</formula>
    </cfRule>
    <cfRule type="cellIs" dxfId="90" priority="3" operator="lessThanOrEqual">
      <formula>-0.1</formula>
    </cfRule>
    <cfRule type="cellIs" dxfId="89" priority="4" operator="greaterThanOrEqual">
      <formula>0.1</formula>
    </cfRule>
  </conditionalFormatting>
  <conditionalFormatting sqref="G1:CD1">
    <cfRule type="cellIs" dxfId="88" priority="5" operator="greaterThanOrEqual">
      <formula>0.1</formula>
    </cfRule>
  </conditionalFormatting>
  <pageMargins left="0.7" right="0.7" top="0.75" bottom="0.75" header="0.3" footer="0.3"/>
  <pageSetup orientation="portrait"/>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1:AW80"/>
  <sheetViews>
    <sheetView showGridLines="0" zoomScale="70" zoomScaleNormal="70" workbookViewId="0">
      <pane xSplit="6" ySplit="7" topLeftCell="W13" activePane="bottomRight" state="frozen"/>
      <selection pane="topRight" activeCell="G1" sqref="G1"/>
      <selection pane="bottomLeft" activeCell="A8" sqref="A8"/>
      <selection pane="bottomRight" activeCell="H35" sqref="H35"/>
    </sheetView>
  </sheetViews>
  <sheetFormatPr defaultRowHeight="15"/>
  <cols>
    <col min="1" max="1" width="7.42578125" bestFit="1" customWidth="1"/>
    <col min="2" max="2" width="7" bestFit="1" customWidth="1"/>
    <col min="3" max="3" width="8" bestFit="1" customWidth="1"/>
    <col min="4" max="4" width="12.42578125" bestFit="1" customWidth="1"/>
    <col min="5" max="5" width="12.5703125" bestFit="1" customWidth="1"/>
    <col min="6" max="6" width="20.5703125" bestFit="1" customWidth="1"/>
    <col min="7" max="7" width="13" bestFit="1" customWidth="1"/>
    <col min="8" max="12" width="14.42578125" customWidth="1"/>
    <col min="13" max="13" width="15.42578125" bestFit="1" customWidth="1"/>
    <col min="14" max="18" width="14.42578125" customWidth="1"/>
    <col min="19" max="30" width="14.5703125" customWidth="1"/>
  </cols>
  <sheetData>
    <row r="1" spans="1:49" ht="16.350000000000001" customHeight="1" thickBot="1">
      <c r="A1" s="979">
        <f>VLOOKUP(E1,E8:F80,2,FALSE)</f>
        <v>202505</v>
      </c>
      <c r="B1" s="980"/>
      <c r="C1" s="980"/>
      <c r="D1" s="976">
        <f>E1-6</f>
        <v>45717</v>
      </c>
      <c r="E1" s="976">
        <f>'Overall Metrics'!E1</f>
        <v>45723</v>
      </c>
      <c r="F1" s="94" t="s">
        <v>162</v>
      </c>
      <c r="G1" s="169">
        <f>VLOOKUP($A$1,$F$7:G$80,COLUMNS($F$7:G7),FALSE)/VLOOKUP($A$1-1,$F$7:G$80,COLUMNS($F$7:G7),FALSE)-1</f>
        <v>-5.0949448846021372E-2</v>
      </c>
      <c r="H1" s="169">
        <f>VLOOKUP($A$1,$F$7:H$80,COLUMNS($F$7:H7),FALSE)/VLOOKUP($A$1-1,$F$7:H$80,COLUMNS($F$7:H7),FALSE)-1</f>
        <v>0.11938430311231385</v>
      </c>
      <c r="I1" s="169">
        <f>VLOOKUP($A$1,$F$7:I$80,COLUMNS($F$7:I7),FALSE)/VLOOKUP($A$1-1,$F$7:I$80,COLUMNS($F$7:I7),FALSE)-1</f>
        <v>-9.1135627641473205E-2</v>
      </c>
      <c r="J1" s="169">
        <f>VLOOKUP($A$1,$F$7:J$80,COLUMNS($F$7:J7),FALSE)/VLOOKUP($A$1-1,$F$7:J$80,COLUMNS($F$7:J7),FALSE)-1</f>
        <v>-0.13269935227190022</v>
      </c>
      <c r="K1" s="169">
        <f>VLOOKUP($A$1,$F$7:K$80,COLUMNS($F$7:K7),FALSE)/VLOOKUP($A$1-1,$F$7:K$80,COLUMNS($F$7:K7),FALSE)-1</f>
        <v>0.18977032592432641</v>
      </c>
      <c r="L1" s="169">
        <f>VLOOKUP($A$1,$F$7:L$80,COLUMNS($F$7:L7),FALSE)/VLOOKUP($A$1-1,$F$7:L$80,COLUMNS($F$7:L7),FALSE)-1</f>
        <v>-0.13560335177315752</v>
      </c>
      <c r="M1" s="169">
        <f>VLOOKUP($A$1,$F$7:M$80,COLUMNS($F$7:M7),FALSE)/VLOOKUP($A$1-1,$F$7:M$80,COLUMNS($F$7:M7),FALSE)-1</f>
        <v>-0.37595796429718686</v>
      </c>
      <c r="N1" s="169">
        <f>VLOOKUP($A$1,$F$7:N$80,COLUMNS($F$7:N7),FALSE)/VLOOKUP($A$1-1,$F$7:N$80,COLUMNS($F$7:N7),FALSE)-1</f>
        <v>5.5875871645485464E-2</v>
      </c>
      <c r="O1" s="169">
        <f>VLOOKUP($A$1,$F$7:O$80,COLUMNS($F$7:O7),FALSE)/VLOOKUP($A$1-1,$F$7:O$80,COLUMNS($F$7:O7),FALSE)-1</f>
        <v>5.576123223182039E-2</v>
      </c>
      <c r="P1" s="169">
        <f>VLOOKUP($A$1,$F$7:P$80,COLUMNS($F$7:P7),FALSE)/VLOOKUP($A$1-1,$F$7:P$80,COLUMNS($F$7:P7),FALSE)-1</f>
        <v>-0.13579307721567135</v>
      </c>
      <c r="Q1" s="169">
        <f>VLOOKUP($A$1,$F$7:Q$80,COLUMNS($F$7:Q7),FALSE)/VLOOKUP($A$1-1,$F$7:Q$80,COLUMNS($F$7:Q7),FALSE)-1</f>
        <v>0.27074463115465219</v>
      </c>
      <c r="R1" s="169">
        <f>VLOOKUP($A$1,$F$7:R$80,COLUMNS($F$7:R7),FALSE)/VLOOKUP($A$1-1,$F$7:R$80,COLUMNS($F$7:R7),FALSE)-1</f>
        <v>0.11194469970237697</v>
      </c>
      <c r="S1" s="169">
        <f>VLOOKUP($A$1,$F$7:S$80,COLUMNS($F$7:S7),FALSE)/VLOOKUP($A$1-1,$F$7:S$80,COLUMNS($F$7:S7),FALSE)-1</f>
        <v>0.19872205259529196</v>
      </c>
      <c r="T1" s="169">
        <f>VLOOKUP($A$1,$F$7:T$80,COLUMNS($F$7:T7),FALSE)/VLOOKUP($A$1-1,$F$7:T$80,COLUMNS($F$7:T7),FALSE)-1</f>
        <v>-7.0924409960180235E-3</v>
      </c>
      <c r="U1" s="169">
        <f>VLOOKUP($A$1,$F$7:U$80,COLUMNS($F$7:U7),FALSE)/VLOOKUP($A$1-1,$F$7:U$80,COLUMNS($F$7:U7),FALSE)-1</f>
        <v>-0.2980868404554371</v>
      </c>
      <c r="V1" s="169">
        <f>VLOOKUP($A$1,$F$7:V$80,COLUMNS($F$7:V7),FALSE)/VLOOKUP($A$1-1,$F$7:V$80,COLUMNS($F$7:V7),FALSE)-1</f>
        <v>-9.7806303285755347E-2</v>
      </c>
      <c r="W1" s="169">
        <f>VLOOKUP($A$1,$F$7:W$80,COLUMNS($F$7:W7),FALSE)/VLOOKUP($A$1-1,$F$7:W$80,COLUMNS($F$7:W7),FALSE)-1</f>
        <v>3.614768543060598E-2</v>
      </c>
      <c r="X1" s="169">
        <f>VLOOKUP($A$1,$F$7:X$80,COLUMNS($F$7:X7),FALSE)/VLOOKUP($A$1-1,$F$7:X$80,COLUMNS($F$7:X7),FALSE)-1</f>
        <v>-0.25136148436003392</v>
      </c>
      <c r="Y1" s="169">
        <f>VLOOKUP($A$1,$F$7:Y$80,COLUMNS($F$7:Y7),FALSE)/VLOOKUP($A$1-1,$F$7:Y$80,COLUMNS($F$7:Y7),FALSE)-1</f>
        <v>0.8996724565756824</v>
      </c>
      <c r="Z1" s="169">
        <f>VLOOKUP($A$1,$F$7:Z$80,COLUMNS($F$7:Z7),FALSE)/VLOOKUP($A$1-1,$F$7:Z$80,COLUMNS($F$7:Z7),FALSE)-1</f>
        <v>0.39640230639091256</v>
      </c>
      <c r="AA1" s="169">
        <f>VLOOKUP($A$1,$F$7:AA$80,COLUMNS($F$7:AA7),FALSE)/VLOOKUP($A$1-1,$F$7:AA$80,COLUMNS($F$7:AA7),FALSE)-1</f>
        <v>-0.25119938317436752</v>
      </c>
      <c r="AB1" s="169">
        <f>VLOOKUP($A$1,$F$7:AB$80,COLUMNS($F$7:AB7),FALSE)/VLOOKUP($A$1-1,$F$7:AB$80,COLUMNS($F$7:AB7),FALSE)-1</f>
        <v>-0.34782176797165598</v>
      </c>
      <c r="AC1" s="169">
        <f>VLOOKUP($A$1,$F$7:AC$80,COLUMNS($F$7:AC7),FALSE)/VLOOKUP($A$1-1,$F$7:AC$80,COLUMNS($F$7:AC7),FALSE)-1</f>
        <v>-0.18084104721260963</v>
      </c>
      <c r="AD1" s="169">
        <f>VLOOKUP($A$1,$F$7:AD$80,COLUMNS($F$7:AD7),FALSE)/VLOOKUP($A$1-1,$F$7:AD$80,COLUMNS($F$7:AD7),FALSE)-1</f>
        <v>8.8797905899724805E-2</v>
      </c>
      <c r="AE1" s="169">
        <f>VLOOKUP($A$1,$F$7:AE$80,COLUMNS($F$7:AE7),FALSE)/VLOOKUP($A$1-1,$F$7:AE$80,COLUMNS($F$7:AE7),FALSE)-1</f>
        <v>0.26307502918335635</v>
      </c>
      <c r="AF1" s="169">
        <f>VLOOKUP($A$1,$F$7:AF$80,COLUMNS($F$7:AF7),FALSE)/VLOOKUP($A$1-1,$F$7:AF$80,COLUMNS($F$7:AF7),FALSE)-1</f>
        <v>-0.1129877770812745</v>
      </c>
      <c r="AG1" s="169">
        <f>VLOOKUP($A$1,$F$7:AG$80,COLUMNS($F$7:AG7),FALSE)/VLOOKUP($A$1-1,$F$7:AG$80,COLUMNS($F$7:AG7),FALSE)-1</f>
        <v>-0.22770307551710944</v>
      </c>
      <c r="AH1" s="169">
        <f>VLOOKUP($A$1,$F$7:AH$80,COLUMNS($F$7:AH7),FALSE)/VLOOKUP($A$1-1,$F$7:AH$80,COLUMNS($F$7:AH7),FALSE)-1</f>
        <v>4.023178015322304E-2</v>
      </c>
      <c r="AI1" s="169">
        <f>VLOOKUP($A$1,$F$7:AI$80,COLUMNS($F$7:AI7),FALSE)/VLOOKUP($A$1-1,$F$7:AI$80,COLUMNS($F$7:AI7),FALSE)-1</f>
        <v>-0.12911957639754701</v>
      </c>
      <c r="AJ1" s="169">
        <f>VLOOKUP($A$1,$F$7:AJ$80,COLUMNS($F$7:AJ7),FALSE)/VLOOKUP($A$1-1,$F$7:AJ$80,COLUMNS($F$7:AJ7),FALSE)-1</f>
        <v>-0.13391784063986578</v>
      </c>
      <c r="AK1" s="169">
        <f>VLOOKUP($A$1,$F$7:AK$80,COLUMNS($F$7:AK7),FALSE)/VLOOKUP($A$1-1,$F$7:AK$80,COLUMNS($F$7:AK7),FALSE)-1</f>
        <v>0.92089952922042939</v>
      </c>
      <c r="AL1" s="169">
        <f>VLOOKUP($A$1,$F$7:AL$80,COLUMNS($F$7:AL7),FALSE)/VLOOKUP($A$1-1,$F$7:AL$80,COLUMNS($F$7:AL7),FALSE)-1</f>
        <v>-5.9636093912604715E-2</v>
      </c>
      <c r="AM1" s="169">
        <f>VLOOKUP($A$1,$F$7:AM$80,COLUMNS($F$7:AM7),FALSE)/VLOOKUP($A$1-1,$F$7:AM$80,COLUMNS($F$7:AM7),FALSE)-1</f>
        <v>-0.33515918361507036</v>
      </c>
      <c r="AN1" s="169">
        <f>VLOOKUP($A$1,$F$7:AN$80,COLUMNS($F$7:AN7),FALSE)/VLOOKUP($A$1-1,$F$7:AN$80,COLUMNS($F$7:AN7),FALSE)-1</f>
        <v>4.395564641802352E-2</v>
      </c>
      <c r="AO1" s="169">
        <f>VLOOKUP($A$1,$F$7:AO$80,COLUMNS($F$7:AO7),FALSE)/VLOOKUP($A$1-1,$F$7:AO$80,COLUMNS($F$7:AO7),FALSE)-1</f>
        <v>-0.18461376107556837</v>
      </c>
      <c r="AP1" s="169">
        <f>VLOOKUP($A$1,$F$7:AP$80,COLUMNS($F$7:AP7),FALSE)/VLOOKUP($A$1-1,$F$7:AP$80,COLUMNS($F$7:AP7),FALSE)-1</f>
        <v>-0.32673044276361352</v>
      </c>
      <c r="AQ1" s="169">
        <f>VLOOKUP($A$1,$F$7:AQ$80,COLUMNS($F$7:AQ7),FALSE)/VLOOKUP($A$1-1,$F$7:AQ$80,COLUMNS($F$7:AQ7),FALSE)-1</f>
        <v>0.58474806771327703</v>
      </c>
      <c r="AR1" s="169">
        <f>VLOOKUP($A$1,$F$7:AR$80,COLUMNS($F$7:AR7),FALSE)/VLOOKUP($A$1-1,$F$7:AR$80,COLUMNS($F$7:AR7),FALSE)-1</f>
        <v>0.40637695194071166</v>
      </c>
      <c r="AS1" s="169">
        <f>VLOOKUP($A$1,$F$7:AS$80,COLUMNS($F$7:AS7),FALSE)/VLOOKUP($A$1-1,$F$7:AS$80,COLUMNS($F$7:AS7),FALSE)-1</f>
        <v>6.6799513078644512E-2</v>
      </c>
      <c r="AT1" s="169">
        <f>VLOOKUP($A$1,$F$7:AT$80,COLUMNS($F$7:AT7),FALSE)/VLOOKUP($A$1-1,$F$7:AT$80,COLUMNS($F$7:AT7),FALSE)-1</f>
        <v>-0.27711949839202754</v>
      </c>
      <c r="AU1" s="169">
        <f>VLOOKUP($A$1,$F$7:AU$80,COLUMNS($F$7:AU7),FALSE)/VLOOKUP($A$1-1,$F$7:AU$80,COLUMNS($F$7:AU7),FALSE)-1</f>
        <v>-0.20941873025855251</v>
      </c>
      <c r="AV1" s="169">
        <f>VLOOKUP($A$1,$F$7:AV$80,COLUMNS($F$7:AV7),FALSE)/VLOOKUP($A$1-1,$F$7:AV$80,COLUMNS($F$7:AV7),FALSE)-1</f>
        <v>0.45437067844282208</v>
      </c>
    </row>
    <row r="2" spans="1:49" ht="15.6" customHeight="1">
      <c r="A2" s="981"/>
      <c r="B2" s="1002"/>
      <c r="C2" s="1002"/>
      <c r="D2" s="1002"/>
      <c r="E2" s="1002"/>
      <c r="F2" s="95" t="s">
        <v>163</v>
      </c>
      <c r="G2" s="169" t="str">
        <f>IFERROR(VLOOKUP(($A$1),$F$6:G80,COLUMNS($F$6:G80),FALSE)/VLOOKUP(($A$1-99),$F$6:G80,COLUMNS($F$6:G80),FALSE)-1,"NA")</f>
        <v>NA</v>
      </c>
      <c r="H2" s="169" t="str">
        <f>IFERROR(VLOOKUP(($A$1),$F$6:H80,COLUMNS($F$6:H80),FALSE)/VLOOKUP(($A$1-99),$F$6:H80,COLUMNS($F$6:H80),FALSE)-1,"NA")</f>
        <v>NA</v>
      </c>
      <c r="I2" s="169" t="str">
        <f>IFERROR(VLOOKUP(($A$1),$F$6:I80,COLUMNS($F$6:I80),FALSE)/VLOOKUP(($A$1-99),$F$6:I80,COLUMNS($F$6:I80),FALSE)-1,"NA")</f>
        <v>NA</v>
      </c>
      <c r="J2" s="169" t="str">
        <f>IFERROR(VLOOKUP(($A$1),$F$6:J80,COLUMNS($F$6:J80),FALSE)/VLOOKUP(($A$1-99),$F$6:J80,COLUMNS($F$6:J80),FALSE)-1,"NA")</f>
        <v>NA</v>
      </c>
      <c r="K2" s="169" t="str">
        <f>IFERROR(VLOOKUP(($A$1),$F$6:K80,COLUMNS($F$6:K80),FALSE)/VLOOKUP(($A$1-99),$F$6:K80,COLUMNS($F$6:K80),FALSE)-1,"NA")</f>
        <v>NA</v>
      </c>
      <c r="L2" s="169" t="str">
        <f>IFERROR(VLOOKUP(($A$1),$F$6:L80,COLUMNS($F$6:L80),FALSE)/VLOOKUP(($A$1-99),$F$6:L80,COLUMNS($F$6:L80),FALSE)-1,"NA")</f>
        <v>NA</v>
      </c>
      <c r="M2" s="169" t="str">
        <f>IFERROR(VLOOKUP(($A$1),$F$6:M80,COLUMNS($F$6:M80),FALSE)/VLOOKUP(($A$1-99),$F$6:M80,COLUMNS($F$6:M80),FALSE)-1,"NA")</f>
        <v>NA</v>
      </c>
      <c r="N2" s="169" t="str">
        <f>IFERROR(VLOOKUP(($A$1),$F$6:N80,COLUMNS($F$6:N80),FALSE)/VLOOKUP(($A$1-99),$F$6:N80,COLUMNS($F$6:N80),FALSE)-1,"NA")</f>
        <v>NA</v>
      </c>
      <c r="O2" s="169" t="str">
        <f>IFERROR(VLOOKUP(($A$1),$F$6:O80,COLUMNS($F$6:O80),FALSE)/VLOOKUP(($A$1-99),$F$6:O80,COLUMNS($F$6:O80),FALSE)-1,"NA")</f>
        <v>NA</v>
      </c>
      <c r="P2" s="169" t="str">
        <f>IFERROR(VLOOKUP(($A$1),$F$6:P80,COLUMNS($F$6:P80),FALSE)/VLOOKUP(($A$1-99),$F$6:P80,COLUMNS($F$6:P80),FALSE)-1,"NA")</f>
        <v>NA</v>
      </c>
      <c r="Q2" s="169" t="str">
        <f>IFERROR(VLOOKUP(($A$1),$F$6:Q80,COLUMNS($F$6:Q80),FALSE)/VLOOKUP(($A$1-99),$F$6:Q80,COLUMNS($F$6:Q80),FALSE)-1,"NA")</f>
        <v>NA</v>
      </c>
      <c r="R2" s="169" t="str">
        <f>IFERROR(VLOOKUP(($A$1),$F$6:R80,COLUMNS($F$6:R80),FALSE)/VLOOKUP(($A$1-99),$F$6:R80,COLUMNS($F$6:R80),FALSE)-1,"NA")</f>
        <v>NA</v>
      </c>
      <c r="S2" s="169" t="str">
        <f>IFERROR(VLOOKUP(($A$1),$F$6:S80,COLUMNS($F$6:S80),FALSE)/VLOOKUP(($A$1-99),$F$6:S80,COLUMNS($F$6:S80),FALSE)-1,"NA")</f>
        <v>NA</v>
      </c>
      <c r="T2" s="169" t="str">
        <f>IFERROR(VLOOKUP(($A$1),$F$6:T80,COLUMNS($F$6:T80),FALSE)/VLOOKUP(($A$1-99),$F$6:T80,COLUMNS($F$6:T80),FALSE)-1,"NA")</f>
        <v>NA</v>
      </c>
      <c r="U2" s="169" t="str">
        <f>IFERROR(VLOOKUP(($A$1),$F$6:U80,COLUMNS($F$6:U80),FALSE)/VLOOKUP(($A$1-99),$F$6:U80,COLUMNS($F$6:U80),FALSE)-1,"NA")</f>
        <v>NA</v>
      </c>
      <c r="V2" s="169" t="str">
        <f>IFERROR(VLOOKUP(($A$1),$F$6:V80,COLUMNS($F$6:V80),FALSE)/VLOOKUP(($A$1-99),$F$6:V80,COLUMNS($F$6:V80),FALSE)-1,"NA")</f>
        <v>NA</v>
      </c>
      <c r="W2" s="169" t="str">
        <f>IFERROR(VLOOKUP(($A$1),$F$6:W80,COLUMNS($F$6:W80),FALSE)/VLOOKUP(($A$1-99),$F$6:W80,COLUMNS($F$6:W80),FALSE)-1,"NA")</f>
        <v>NA</v>
      </c>
      <c r="X2" s="169" t="str">
        <f>IFERROR(VLOOKUP(($A$1),$F$6:X80,COLUMNS($F$6:X80),FALSE)/VLOOKUP(($A$1-99),$F$6:X80,COLUMNS($F$6:X80),FALSE)-1,"NA")</f>
        <v>NA</v>
      </c>
      <c r="Y2" s="169" t="str">
        <f>IFERROR(VLOOKUP(($A$1),$F$6:Y80,COLUMNS($F$6:Y80),FALSE)/VLOOKUP(($A$1-99),$F$6:Y80,COLUMNS($F$6:Y80),FALSE)-1,"NA")</f>
        <v>NA</v>
      </c>
      <c r="Z2" s="169" t="str">
        <f>IFERROR(VLOOKUP(($A$1),$F$6:Z80,COLUMNS($F$6:Z80),FALSE)/VLOOKUP(($A$1-99),$F$6:Z80,COLUMNS($F$6:Z80),FALSE)-1,"NA")</f>
        <v>NA</v>
      </c>
      <c r="AA2" s="169" t="str">
        <f>IFERROR(VLOOKUP(($A$1),$F$6:AA80,COLUMNS($F$6:AA80),FALSE)/VLOOKUP(($A$1-99),$F$6:AA80,COLUMNS($F$6:AA80),FALSE)-1,"NA")</f>
        <v>NA</v>
      </c>
      <c r="AB2" s="169" t="str">
        <f>IFERROR(VLOOKUP(($A$1),$F$6:AB80,COLUMNS($F$6:AB80),FALSE)/VLOOKUP(($A$1-99),$F$6:AB80,COLUMNS($F$6:AB80),FALSE)-1,"NA")</f>
        <v>NA</v>
      </c>
      <c r="AC2" s="169" t="str">
        <f>IFERROR(VLOOKUP(($A$1),$F$6:AC80,COLUMNS($F$6:AC80),FALSE)/VLOOKUP(($A$1-99),$F$6:AC80,COLUMNS($F$6:AC80),FALSE)-1,"NA")</f>
        <v>NA</v>
      </c>
      <c r="AD2" s="169" t="str">
        <f>IFERROR(VLOOKUP(($A$1),$F$6:AD80,COLUMNS($F$6:AD80),FALSE)/VLOOKUP(($A$1-99),$F$6:AD80,COLUMNS($F$6:AD80),FALSE)-1,"NA")</f>
        <v>NA</v>
      </c>
      <c r="AE2" s="169" t="str">
        <f>IFERROR(VLOOKUP(($A$1),$F$6:AE80,COLUMNS($F$6:AE80),FALSE)/VLOOKUP(($A$1-99),$F$6:AE80,COLUMNS($F$6:AE80),FALSE)-1,"NA")</f>
        <v>NA</v>
      </c>
      <c r="AF2" s="169" t="str">
        <f>IFERROR(VLOOKUP(($A$1),$F$6:AF80,COLUMNS($F$6:AF80),FALSE)/VLOOKUP(($A$1-99),$F$6:AF80,COLUMNS($F$6:AF80),FALSE)-1,"NA")</f>
        <v>NA</v>
      </c>
      <c r="AG2" s="169" t="str">
        <f>IFERROR(VLOOKUP(($A$1),$F$6:AG80,COLUMNS($F$6:AG80),FALSE)/VLOOKUP(($A$1-99),$F$6:AG80,COLUMNS($F$6:AG80),FALSE)-1,"NA")</f>
        <v>NA</v>
      </c>
      <c r="AH2" s="169" t="str">
        <f>IFERROR(VLOOKUP(($A$1),$F$6:AH80,COLUMNS($F$6:AH80),FALSE)/VLOOKUP(($A$1-99),$F$6:AH80,COLUMNS($F$6:AH80),FALSE)-1,"NA")</f>
        <v>NA</v>
      </c>
      <c r="AI2" s="169" t="str">
        <f>IFERROR(VLOOKUP(($A$1),$F$6:AI80,COLUMNS($F$6:AI80),FALSE)/VLOOKUP(($A$1-99),$F$6:AI80,COLUMNS($F$6:AI80),FALSE)-1,"NA")</f>
        <v>NA</v>
      </c>
      <c r="AJ2" s="169" t="str">
        <f>IFERROR(VLOOKUP(($A$1),$F$6:AJ80,COLUMNS($F$6:AJ80),FALSE)/VLOOKUP(($A$1-99),$F$6:AJ80,COLUMNS($F$6:AJ80),FALSE)-1,"NA")</f>
        <v>NA</v>
      </c>
      <c r="AK2" s="169" t="str">
        <f>IFERROR(VLOOKUP(($A$1),$F$6:AK80,COLUMNS($F$6:AK80),FALSE)/VLOOKUP(($A$1-99),$F$6:AK80,COLUMNS($F$6:AK80),FALSE)-1,"NA")</f>
        <v>NA</v>
      </c>
      <c r="AL2" s="169" t="str">
        <f>IFERROR(VLOOKUP(($A$1),$F$6:AL80,COLUMNS($F$6:AL80),FALSE)/VLOOKUP(($A$1-99),$F$6:AL80,COLUMNS($F$6:AL80),FALSE)-1,"NA")</f>
        <v>NA</v>
      </c>
      <c r="AM2" s="169" t="str">
        <f>IFERROR(VLOOKUP(($A$1),$F$6:AM80,COLUMNS($F$6:AM80),FALSE)/VLOOKUP(($A$1-99),$F$6:AM80,COLUMNS($F$6:AM80),FALSE)-1,"NA")</f>
        <v>NA</v>
      </c>
      <c r="AN2" s="169" t="str">
        <f>IFERROR(VLOOKUP(($A$1),$F$6:AN80,COLUMNS($F$6:AN80),FALSE)/VLOOKUP(($A$1-99),$F$6:AN80,COLUMNS($F$6:AN80),FALSE)-1,"NA")</f>
        <v>NA</v>
      </c>
      <c r="AO2" s="169" t="str">
        <f>IFERROR(VLOOKUP(($A$1),$F$6:AO80,COLUMNS($F$6:AO80),FALSE)/VLOOKUP(($A$1-99),$F$6:AO80,COLUMNS($F$6:AO80),FALSE)-1,"NA")</f>
        <v>NA</v>
      </c>
      <c r="AP2" s="169" t="str">
        <f>IFERROR(VLOOKUP(($A$1),$F$6:AP80,COLUMNS($F$6:AP80),FALSE)/VLOOKUP(($A$1-99),$F$6:AP80,COLUMNS($F$6:AP80),FALSE)-1,"NA")</f>
        <v>NA</v>
      </c>
      <c r="AQ2" s="169" t="str">
        <f>IFERROR(VLOOKUP(($A$1),$F$6:AQ80,COLUMNS($F$6:AQ80),FALSE)/VLOOKUP(($A$1-99),$F$6:AQ80,COLUMNS($F$6:AQ80),FALSE)-1,"NA")</f>
        <v>NA</v>
      </c>
      <c r="AR2" s="169" t="str">
        <f>IFERROR(VLOOKUP(($A$1),$F$6:AR80,COLUMNS($F$6:AR80),FALSE)/VLOOKUP(($A$1-99),$F$6:AR80,COLUMNS($F$6:AR80),FALSE)-1,"NA")</f>
        <v>NA</v>
      </c>
      <c r="AS2" s="169" t="str">
        <f>IFERROR(VLOOKUP(($A$1),$F$6:AS80,COLUMNS($F$6:AS80),FALSE)/VLOOKUP(($A$1-99),$F$6:AS80,COLUMNS($F$6:AS80),FALSE)-1,"NA")</f>
        <v>NA</v>
      </c>
      <c r="AT2" s="169" t="str">
        <f>IFERROR(VLOOKUP(($A$1),$F$6:AT80,COLUMNS($F$6:AT80),FALSE)/VLOOKUP(($A$1-99),$F$6:AT80,COLUMNS($F$6:AT80),FALSE)-1,"NA")</f>
        <v>NA</v>
      </c>
      <c r="AU2" s="169" t="str">
        <f>IFERROR(VLOOKUP(($A$1),$F$6:AU80,COLUMNS($F$6:AU80),FALSE)/VLOOKUP(($A$1-99),$F$6:AU80,COLUMNS($F$6:AU80),FALSE)-1,"NA")</f>
        <v>NA</v>
      </c>
      <c r="AV2" s="169" t="str">
        <f>IFERROR(VLOOKUP(($A$1),$F$6:AV80,COLUMNS($F$6:AV80),FALSE)/VLOOKUP(($A$1-99),$F$6:AV80,COLUMNS($F$6:AV80),FALSE)-1,"NA")</f>
        <v>NA</v>
      </c>
    </row>
    <row r="3" spans="1:49" ht="15.6" customHeight="1">
      <c r="A3" s="981"/>
      <c r="B3" s="1002"/>
      <c r="C3" s="1002"/>
      <c r="D3" s="1002"/>
      <c r="E3" s="1002"/>
      <c r="F3" s="95" t="s">
        <v>164</v>
      </c>
      <c r="G3" s="995" t="s">
        <v>310</v>
      </c>
      <c r="H3" s="986"/>
      <c r="I3" s="986"/>
      <c r="J3" s="986"/>
      <c r="K3" s="986"/>
      <c r="L3" s="986"/>
      <c r="M3" s="989" t="s">
        <v>310</v>
      </c>
      <c r="N3" s="986"/>
      <c r="O3" s="986"/>
      <c r="P3" s="986"/>
      <c r="Q3" s="986"/>
      <c r="R3" s="986"/>
      <c r="S3" s="989" t="s">
        <v>311</v>
      </c>
      <c r="T3" s="986"/>
      <c r="U3" s="986"/>
      <c r="V3" s="986"/>
      <c r="W3" s="986"/>
      <c r="X3" s="986"/>
      <c r="Y3" s="989" t="s">
        <v>310</v>
      </c>
      <c r="Z3" s="986"/>
      <c r="AA3" s="986"/>
      <c r="AB3" s="986"/>
      <c r="AC3" s="986"/>
      <c r="AD3" s="986"/>
      <c r="AE3" s="989" t="s">
        <v>312</v>
      </c>
      <c r="AF3" s="986"/>
      <c r="AG3" s="986"/>
      <c r="AH3" s="986"/>
      <c r="AI3" s="986"/>
      <c r="AJ3" s="986"/>
      <c r="AK3" s="989" t="s">
        <v>312</v>
      </c>
      <c r="AL3" s="986"/>
      <c r="AM3" s="986"/>
      <c r="AN3" s="986"/>
      <c r="AO3" s="986"/>
      <c r="AP3" s="986"/>
      <c r="AQ3" s="989" t="s">
        <v>312</v>
      </c>
      <c r="AR3" s="986"/>
      <c r="AS3" s="986"/>
      <c r="AT3" s="986"/>
      <c r="AU3" s="986"/>
      <c r="AV3" s="986"/>
    </row>
    <row r="4" spans="1:49" ht="16.350000000000001" customHeight="1" thickBot="1">
      <c r="A4" s="982"/>
      <c r="B4" s="978"/>
      <c r="C4" s="978"/>
      <c r="D4" s="978"/>
      <c r="E4" s="978"/>
      <c r="F4" s="96" t="s">
        <v>174</v>
      </c>
      <c r="G4" s="537"/>
      <c r="H4" s="537"/>
      <c r="I4" s="537"/>
      <c r="J4" s="537"/>
      <c r="K4" s="537"/>
      <c r="L4" s="537"/>
    </row>
    <row r="5" spans="1:49" ht="17.850000000000001" customHeight="1">
      <c r="F5" s="537"/>
      <c r="G5" s="1001" t="s">
        <v>313</v>
      </c>
      <c r="H5" s="993"/>
      <c r="I5" s="993"/>
      <c r="J5" s="993"/>
      <c r="K5" s="993"/>
      <c r="L5" s="993"/>
      <c r="M5" s="1001" t="s">
        <v>314</v>
      </c>
      <c r="N5" s="993"/>
      <c r="O5" s="993"/>
      <c r="P5" s="993"/>
      <c r="Q5" s="993"/>
      <c r="R5" s="993"/>
      <c r="S5" s="992" t="s">
        <v>315</v>
      </c>
      <c r="T5" s="993"/>
      <c r="U5" s="993"/>
      <c r="V5" s="993"/>
      <c r="W5" s="993"/>
      <c r="X5" s="994"/>
      <c r="Y5" s="992" t="s">
        <v>316</v>
      </c>
      <c r="Z5" s="993"/>
      <c r="AA5" s="993"/>
      <c r="AB5" s="993"/>
      <c r="AC5" s="993"/>
      <c r="AD5" s="994"/>
      <c r="AE5" s="992" t="s">
        <v>317</v>
      </c>
      <c r="AF5" s="993"/>
      <c r="AG5" s="993"/>
      <c r="AH5" s="993"/>
      <c r="AI5" s="993"/>
      <c r="AJ5" s="994"/>
      <c r="AK5" s="992" t="s">
        <v>318</v>
      </c>
      <c r="AL5" s="993"/>
      <c r="AM5" s="993"/>
      <c r="AN5" s="993"/>
      <c r="AO5" s="993"/>
      <c r="AP5" s="994"/>
      <c r="AQ5" s="992" t="s">
        <v>319</v>
      </c>
      <c r="AR5" s="993"/>
      <c r="AS5" s="993"/>
      <c r="AT5" s="993"/>
      <c r="AU5" s="993"/>
      <c r="AV5" s="994"/>
    </row>
    <row r="6" spans="1:49" ht="17.850000000000001" customHeight="1" thickBot="1">
      <c r="A6" s="78"/>
      <c r="B6" s="78"/>
      <c r="C6" s="78"/>
      <c r="D6" s="78"/>
      <c r="E6" s="78"/>
      <c r="F6" s="78"/>
      <c r="G6" s="998" t="s">
        <v>320</v>
      </c>
      <c r="H6" s="991"/>
      <c r="I6" s="990" t="s">
        <v>321</v>
      </c>
      <c r="J6" s="991"/>
      <c r="K6" s="1003" t="s">
        <v>322</v>
      </c>
      <c r="L6" s="1004"/>
      <c r="M6" s="998" t="s">
        <v>320</v>
      </c>
      <c r="N6" s="991"/>
      <c r="O6" s="990" t="s">
        <v>321</v>
      </c>
      <c r="P6" s="991"/>
      <c r="Q6" s="1003" t="s">
        <v>322</v>
      </c>
      <c r="R6" s="1004"/>
      <c r="S6" s="998" t="s">
        <v>320</v>
      </c>
      <c r="T6" s="991"/>
      <c r="U6" s="990" t="s">
        <v>321</v>
      </c>
      <c r="V6" s="991"/>
      <c r="W6" s="996" t="s">
        <v>322</v>
      </c>
      <c r="X6" s="997"/>
      <c r="Y6" s="998" t="s">
        <v>320</v>
      </c>
      <c r="Z6" s="991"/>
      <c r="AA6" s="990" t="s">
        <v>321</v>
      </c>
      <c r="AB6" s="991"/>
      <c r="AC6" s="996" t="s">
        <v>322</v>
      </c>
      <c r="AD6" s="997"/>
      <c r="AE6" s="998" t="s">
        <v>320</v>
      </c>
      <c r="AF6" s="991"/>
      <c r="AG6" s="990" t="s">
        <v>321</v>
      </c>
      <c r="AH6" s="991"/>
      <c r="AI6" s="999" t="s">
        <v>322</v>
      </c>
      <c r="AJ6" s="1000"/>
      <c r="AK6" s="998" t="s">
        <v>320</v>
      </c>
      <c r="AL6" s="991"/>
      <c r="AM6" s="990" t="s">
        <v>321</v>
      </c>
      <c r="AN6" s="991"/>
      <c r="AO6" s="999" t="s">
        <v>322</v>
      </c>
      <c r="AP6" s="1000"/>
      <c r="AQ6" s="998" t="s">
        <v>320</v>
      </c>
      <c r="AR6" s="991"/>
      <c r="AS6" s="990" t="s">
        <v>321</v>
      </c>
      <c r="AT6" s="991"/>
      <c r="AU6" s="999" t="s">
        <v>322</v>
      </c>
      <c r="AV6" s="1000"/>
    </row>
    <row r="7" spans="1:49" ht="47.1" customHeight="1" thickBot="1">
      <c r="A7" s="81" t="s">
        <v>41</v>
      </c>
      <c r="B7" s="82" t="s">
        <v>44</v>
      </c>
      <c r="C7" s="82" t="s">
        <v>177</v>
      </c>
      <c r="D7" s="82" t="s">
        <v>323</v>
      </c>
      <c r="E7" s="82" t="s">
        <v>48</v>
      </c>
      <c r="F7" s="82" t="s">
        <v>178</v>
      </c>
      <c r="G7" s="700" t="s">
        <v>324</v>
      </c>
      <c r="H7" s="702" t="s">
        <v>325</v>
      </c>
      <c r="I7" s="701" t="s">
        <v>324</v>
      </c>
      <c r="J7" s="702" t="s">
        <v>325</v>
      </c>
      <c r="K7" s="701" t="s">
        <v>324</v>
      </c>
      <c r="L7" s="701" t="s">
        <v>325</v>
      </c>
      <c r="M7" s="700" t="s">
        <v>324</v>
      </c>
      <c r="N7" s="702" t="s">
        <v>325</v>
      </c>
      <c r="O7" s="701" t="s">
        <v>324</v>
      </c>
      <c r="P7" s="702" t="s">
        <v>325</v>
      </c>
      <c r="Q7" s="701" t="s">
        <v>324</v>
      </c>
      <c r="R7" s="701" t="s">
        <v>325</v>
      </c>
      <c r="S7" s="700" t="s">
        <v>324</v>
      </c>
      <c r="T7" s="702" t="s">
        <v>325</v>
      </c>
      <c r="U7" s="701" t="s">
        <v>324</v>
      </c>
      <c r="V7" s="702" t="s">
        <v>325</v>
      </c>
      <c r="W7" s="701" t="s">
        <v>324</v>
      </c>
      <c r="X7" s="721" t="s">
        <v>325</v>
      </c>
      <c r="Y7" s="700" t="s">
        <v>324</v>
      </c>
      <c r="Z7" s="702" t="s">
        <v>325</v>
      </c>
      <c r="AA7" s="701" t="s">
        <v>324</v>
      </c>
      <c r="AB7" s="702" t="s">
        <v>325</v>
      </c>
      <c r="AC7" s="701" t="s">
        <v>324</v>
      </c>
      <c r="AD7" s="721" t="s">
        <v>325</v>
      </c>
      <c r="AE7" s="715" t="s">
        <v>324</v>
      </c>
      <c r="AF7" s="716" t="s">
        <v>325</v>
      </c>
      <c r="AG7" s="717" t="s">
        <v>324</v>
      </c>
      <c r="AH7" s="716" t="s">
        <v>325</v>
      </c>
      <c r="AI7" s="717" t="s">
        <v>324</v>
      </c>
      <c r="AJ7" s="718" t="s">
        <v>325</v>
      </c>
      <c r="AK7" s="715" t="s">
        <v>324</v>
      </c>
      <c r="AL7" s="716" t="s">
        <v>325</v>
      </c>
      <c r="AM7" s="717" t="s">
        <v>324</v>
      </c>
      <c r="AN7" s="716" t="s">
        <v>325</v>
      </c>
      <c r="AO7" s="717" t="s">
        <v>324</v>
      </c>
      <c r="AP7" s="718" t="s">
        <v>325</v>
      </c>
      <c r="AQ7" s="723" t="s">
        <v>324</v>
      </c>
      <c r="AR7" s="724" t="s">
        <v>325</v>
      </c>
      <c r="AS7" s="725" t="s">
        <v>324</v>
      </c>
      <c r="AT7" s="724" t="s">
        <v>325</v>
      </c>
      <c r="AU7" s="725" t="s">
        <v>324</v>
      </c>
      <c r="AV7" s="726" t="s">
        <v>325</v>
      </c>
    </row>
    <row r="8" spans="1:49" ht="17.100000000000001" customHeight="1">
      <c r="A8" s="175">
        <f t="shared" ref="A8:A39" si="0">LEFT(F8,4)+1</f>
        <v>2025</v>
      </c>
      <c r="B8" s="454" t="str">
        <f t="shared" ref="B8:B39" si="1">RIGHT(F8,2)</f>
        <v>33</v>
      </c>
      <c r="C8" s="454" t="str">
        <f t="array" ref="C8">_xlfn.IFS(_xlfn.NUMBERVALUE(B8)&lt;=13,"Q1",AND(_xlfn.NUMBERVALUE(B8)&gt;13,_xlfn.NUMBERVALUE(B8)&lt;=26),"Q2", AND(_xlfn.NUMBERVALUE(B8)&gt;26,_xlfn.NUMBERVALUE(B8)&lt;=39),"Q3",_xlfn.NUMBERVALUE(B8)&gt;39,"Q4")</f>
        <v>Q3</v>
      </c>
      <c r="D8" s="448">
        <v>45542</v>
      </c>
      <c r="E8" s="448">
        <v>45548</v>
      </c>
      <c r="F8" s="695">
        <v>202433</v>
      </c>
      <c r="G8" s="865">
        <v>72590</v>
      </c>
      <c r="H8" s="661">
        <v>84410</v>
      </c>
      <c r="I8" s="867">
        <v>72566</v>
      </c>
      <c r="J8" s="868">
        <v>72034</v>
      </c>
      <c r="K8" s="661">
        <v>52637</v>
      </c>
      <c r="L8" s="866">
        <v>56554</v>
      </c>
      <c r="M8" s="697">
        <v>52751</v>
      </c>
      <c r="N8" s="866">
        <v>71962</v>
      </c>
      <c r="O8" s="867">
        <v>73656</v>
      </c>
      <c r="P8" s="868">
        <v>82567</v>
      </c>
      <c r="Q8" s="661">
        <v>66586</v>
      </c>
      <c r="R8" s="866">
        <v>72947</v>
      </c>
      <c r="S8" s="697">
        <v>92886</v>
      </c>
      <c r="T8" s="661">
        <v>75650</v>
      </c>
      <c r="U8" s="867">
        <v>91433</v>
      </c>
      <c r="V8" s="868">
        <v>76441</v>
      </c>
      <c r="W8" s="661">
        <v>70572</v>
      </c>
      <c r="X8" s="661">
        <v>98697</v>
      </c>
      <c r="Y8" s="697">
        <v>59563</v>
      </c>
      <c r="Z8" s="661">
        <v>57018</v>
      </c>
      <c r="AA8" s="867">
        <v>51399</v>
      </c>
      <c r="AB8" s="868">
        <v>67869</v>
      </c>
      <c r="AC8" s="661">
        <v>63682</v>
      </c>
      <c r="AD8" s="661">
        <v>92604</v>
      </c>
      <c r="AE8" s="707">
        <f t="shared" ref="AE8:AE39" si="2">IFERROR(S8/G8,"")</f>
        <v>1.2795977407356385</v>
      </c>
      <c r="AF8" s="708">
        <f t="shared" ref="AF8:AF39" si="3">IFERROR(T8/H8,"")</f>
        <v>0.89622082691624216</v>
      </c>
      <c r="AG8" s="709">
        <f t="shared" ref="AG8:AG39" si="4">IFERROR(U8/I8,"")</f>
        <v>1.2599977951106578</v>
      </c>
      <c r="AH8" s="708">
        <f t="shared" ref="AH8:AH39" si="5">IFERROR(V8/J8,"")</f>
        <v>1.0611794430407864</v>
      </c>
      <c r="AI8" s="709">
        <f t="shared" ref="AI8:AI39" si="6">IFERROR(W8/K8,"")</f>
        <v>1.3407299048198036</v>
      </c>
      <c r="AJ8" s="709">
        <f t="shared" ref="AJ8:AJ39" si="7">IFERROR(X8/L8,"")</f>
        <v>1.7451815963503907</v>
      </c>
      <c r="AK8" s="707">
        <f t="shared" ref="AK8:AK39" si="8">IFERROR(S8/M8,"")</f>
        <v>1.7608386570870695</v>
      </c>
      <c r="AL8" s="708">
        <f t="shared" ref="AL8:AL39" si="9">IFERROR(T8/N8,"")</f>
        <v>1.0512492704482921</v>
      </c>
      <c r="AM8" s="709">
        <f t="shared" ref="AM8:AM39" si="10">IFERROR(U8/O8,"")</f>
        <v>1.2413516889323342</v>
      </c>
      <c r="AN8" s="708">
        <f t="shared" ref="AN8:AN39" si="11">IFERROR(V8/P8,"")</f>
        <v>0.92580570930274808</v>
      </c>
      <c r="AO8" s="709">
        <f t="shared" ref="AO8:AO39" si="12">IFERROR(W8/Q8,"")</f>
        <v>1.059862433544589</v>
      </c>
      <c r="AP8" s="710">
        <f t="shared" ref="AP8:AP39" si="13">IFERROR(X8/R8,"")</f>
        <v>1.3529960108023633</v>
      </c>
      <c r="AQ8" s="713"/>
      <c r="AR8" s="712"/>
      <c r="AS8" s="713"/>
      <c r="AT8" s="712"/>
      <c r="AU8" s="713"/>
      <c r="AV8" s="714"/>
    </row>
    <row r="9" spans="1:49" ht="17.100000000000001" customHeight="1">
      <c r="A9" s="175">
        <f t="shared" si="0"/>
        <v>2025</v>
      </c>
      <c r="B9" s="454" t="str">
        <f t="shared" si="1"/>
        <v>34</v>
      </c>
      <c r="C9" s="454" t="str">
        <f t="array" ref="C9">_xlfn.IFS(_xlfn.NUMBERVALUE(B9)&lt;=13,"Q1",AND(_xlfn.NUMBERVALUE(B9)&gt;13,_xlfn.NUMBERVALUE(B9)&lt;=26),"Q2", AND(_xlfn.NUMBERVALUE(B9)&gt;26,_xlfn.NUMBERVALUE(B9)&lt;=39),"Q3",_xlfn.NUMBERVALUE(B9)&gt;39,"Q4")</f>
        <v>Q3</v>
      </c>
      <c r="D9" s="448">
        <f t="shared" ref="D9:D40" si="14">E8+1</f>
        <v>45549</v>
      </c>
      <c r="E9" s="448">
        <f t="shared" ref="E9:E40" si="15">D9+6</f>
        <v>45555</v>
      </c>
      <c r="F9" s="695">
        <v>202434</v>
      </c>
      <c r="G9" s="697">
        <v>76034</v>
      </c>
      <c r="H9" s="661">
        <v>71590</v>
      </c>
      <c r="I9" s="869">
        <v>77407</v>
      </c>
      <c r="J9" s="703">
        <v>67711</v>
      </c>
      <c r="K9" s="661">
        <v>72642</v>
      </c>
      <c r="L9" s="661">
        <v>95448</v>
      </c>
      <c r="M9" s="697">
        <v>69576</v>
      </c>
      <c r="N9" s="661">
        <v>58151</v>
      </c>
      <c r="O9" s="869">
        <v>54343</v>
      </c>
      <c r="P9" s="703">
        <v>99183</v>
      </c>
      <c r="Q9" s="661">
        <v>86543</v>
      </c>
      <c r="R9" s="661">
        <v>58384</v>
      </c>
      <c r="S9" s="697">
        <v>90135</v>
      </c>
      <c r="T9" s="661">
        <v>94498</v>
      </c>
      <c r="U9" s="869">
        <v>75404</v>
      </c>
      <c r="V9" s="703">
        <v>67427</v>
      </c>
      <c r="W9" s="661">
        <v>72186</v>
      </c>
      <c r="X9" s="661">
        <v>63172</v>
      </c>
      <c r="Y9" s="697">
        <v>51368</v>
      </c>
      <c r="Z9" s="661">
        <v>57344</v>
      </c>
      <c r="AA9" s="869">
        <v>50000</v>
      </c>
      <c r="AB9" s="703">
        <v>63928</v>
      </c>
      <c r="AC9" s="661">
        <v>56494</v>
      </c>
      <c r="AD9" s="661">
        <v>87062</v>
      </c>
      <c r="AE9" s="711">
        <f t="shared" si="2"/>
        <v>1.1854565062998133</v>
      </c>
      <c r="AF9" s="712">
        <f t="shared" si="3"/>
        <v>1.3199888252549239</v>
      </c>
      <c r="AG9" s="713">
        <f t="shared" si="4"/>
        <v>0.97412378725438264</v>
      </c>
      <c r="AH9" s="712">
        <f t="shared" si="5"/>
        <v>0.99580570365228693</v>
      </c>
      <c r="AI9" s="713">
        <f t="shared" si="6"/>
        <v>0.99372263979515985</v>
      </c>
      <c r="AJ9" s="713">
        <f t="shared" si="7"/>
        <v>0.66184728857597852</v>
      </c>
      <c r="AK9" s="711">
        <f t="shared" si="8"/>
        <v>1.2954898240772681</v>
      </c>
      <c r="AL9" s="712">
        <f t="shared" si="9"/>
        <v>1.6250451410981754</v>
      </c>
      <c r="AM9" s="713">
        <f t="shared" si="10"/>
        <v>1.387556815045176</v>
      </c>
      <c r="AN9" s="712">
        <f t="shared" si="11"/>
        <v>0.67982416341510132</v>
      </c>
      <c r="AO9" s="713">
        <f t="shared" si="12"/>
        <v>0.83410558912910349</v>
      </c>
      <c r="AP9" s="714">
        <f t="shared" si="13"/>
        <v>1.0820087695258975</v>
      </c>
      <c r="AQ9" s="713"/>
      <c r="AR9" s="712"/>
      <c r="AS9" s="713"/>
      <c r="AT9" s="712"/>
      <c r="AU9" s="713"/>
      <c r="AV9" s="714"/>
    </row>
    <row r="10" spans="1:49" ht="17.100000000000001" customHeight="1">
      <c r="A10" s="175">
        <f t="shared" si="0"/>
        <v>2025</v>
      </c>
      <c r="B10" s="454" t="str">
        <f t="shared" si="1"/>
        <v>35</v>
      </c>
      <c r="C10" s="454" t="str">
        <f t="array" ref="C10">_xlfn.IFS(_xlfn.NUMBERVALUE(B10)&lt;=13,"Q1",AND(_xlfn.NUMBERVALUE(B10)&gt;13,_xlfn.NUMBERVALUE(B10)&lt;=26),"Q2", AND(_xlfn.NUMBERVALUE(B10)&gt;26,_xlfn.NUMBERVALUE(B10)&lt;=39),"Q3",_xlfn.NUMBERVALUE(B10)&gt;39,"Q4")</f>
        <v>Q3</v>
      </c>
      <c r="D10" s="448">
        <f t="shared" si="14"/>
        <v>45556</v>
      </c>
      <c r="E10" s="448">
        <f t="shared" si="15"/>
        <v>45562</v>
      </c>
      <c r="F10" s="695">
        <v>202435</v>
      </c>
      <c r="G10" s="697">
        <v>99238</v>
      </c>
      <c r="H10" s="661">
        <v>92054</v>
      </c>
      <c r="I10" s="869">
        <v>59760</v>
      </c>
      <c r="J10" s="703">
        <v>55954</v>
      </c>
      <c r="K10" s="661">
        <v>63134</v>
      </c>
      <c r="L10" s="661">
        <v>76072</v>
      </c>
      <c r="M10" s="697">
        <v>96886</v>
      </c>
      <c r="N10" s="661">
        <v>65102</v>
      </c>
      <c r="O10" s="869">
        <v>81427</v>
      </c>
      <c r="P10" s="703">
        <v>93550</v>
      </c>
      <c r="Q10" s="661">
        <v>93071</v>
      </c>
      <c r="R10" s="661">
        <v>71224</v>
      </c>
      <c r="S10" s="697">
        <v>79441</v>
      </c>
      <c r="T10" s="661">
        <v>54014</v>
      </c>
      <c r="U10" s="869">
        <v>54416</v>
      </c>
      <c r="V10" s="703">
        <v>83534</v>
      </c>
      <c r="W10" s="661">
        <v>51044</v>
      </c>
      <c r="X10" s="661">
        <v>51157</v>
      </c>
      <c r="Y10" s="697">
        <v>98152</v>
      </c>
      <c r="Z10" s="661">
        <v>90192</v>
      </c>
      <c r="AA10" s="869">
        <v>72012</v>
      </c>
      <c r="AB10" s="703">
        <v>51058</v>
      </c>
      <c r="AC10" s="661">
        <v>67790</v>
      </c>
      <c r="AD10" s="661">
        <v>74282</v>
      </c>
      <c r="AE10" s="711">
        <f t="shared" si="2"/>
        <v>0.8005098853261855</v>
      </c>
      <c r="AF10" s="712">
        <f t="shared" si="3"/>
        <v>0.58676429052512658</v>
      </c>
      <c r="AG10" s="713">
        <f t="shared" si="4"/>
        <v>0.91057563587684065</v>
      </c>
      <c r="AH10" s="712">
        <f t="shared" si="5"/>
        <v>1.4929048861564858</v>
      </c>
      <c r="AI10" s="713">
        <f t="shared" si="6"/>
        <v>0.80850255013146644</v>
      </c>
      <c r="AJ10" s="713">
        <f t="shared" si="7"/>
        <v>0.67248133347355132</v>
      </c>
      <c r="AK10" s="711">
        <f t="shared" si="8"/>
        <v>0.81994302582416445</v>
      </c>
      <c r="AL10" s="712">
        <f t="shared" si="9"/>
        <v>0.8296826518386532</v>
      </c>
      <c r="AM10" s="713">
        <f t="shared" si="10"/>
        <v>0.66827956328981786</v>
      </c>
      <c r="AN10" s="712">
        <f t="shared" si="11"/>
        <v>0.8929342597541422</v>
      </c>
      <c r="AO10" s="713">
        <f t="shared" si="12"/>
        <v>0.54844151239376393</v>
      </c>
      <c r="AP10" s="714">
        <f t="shared" si="13"/>
        <v>0.71825508255644166</v>
      </c>
      <c r="AQ10" s="713"/>
      <c r="AR10" s="712"/>
      <c r="AS10" s="713"/>
      <c r="AT10" s="712"/>
      <c r="AU10" s="713"/>
      <c r="AV10" s="714"/>
      <c r="AW10" s="719"/>
    </row>
    <row r="11" spans="1:49" ht="17.100000000000001" customHeight="1">
      <c r="A11" s="175">
        <f t="shared" si="0"/>
        <v>2025</v>
      </c>
      <c r="B11" s="454" t="str">
        <f t="shared" si="1"/>
        <v>36</v>
      </c>
      <c r="C11" s="454" t="str">
        <f t="array" ref="C11">_xlfn.IFS(_xlfn.NUMBERVALUE(B11)&lt;=13,"Q1",AND(_xlfn.NUMBERVALUE(B11)&gt;13,_xlfn.NUMBERVALUE(B11)&lt;=26),"Q2", AND(_xlfn.NUMBERVALUE(B11)&gt;26,_xlfn.NUMBERVALUE(B11)&lt;=39),"Q3",_xlfn.NUMBERVALUE(B11)&gt;39,"Q4")</f>
        <v>Q3</v>
      </c>
      <c r="D11" s="448">
        <f t="shared" si="14"/>
        <v>45563</v>
      </c>
      <c r="E11" s="448">
        <f t="shared" si="15"/>
        <v>45569</v>
      </c>
      <c r="F11" s="695">
        <v>202436</v>
      </c>
      <c r="G11" s="697">
        <v>76784</v>
      </c>
      <c r="H11" s="661">
        <v>53981</v>
      </c>
      <c r="I11" s="869">
        <v>56500</v>
      </c>
      <c r="J11" s="703">
        <v>95060</v>
      </c>
      <c r="K11" s="661">
        <v>73376</v>
      </c>
      <c r="L11" s="661">
        <v>80578</v>
      </c>
      <c r="M11" s="697">
        <v>63664</v>
      </c>
      <c r="N11" s="661">
        <v>65248</v>
      </c>
      <c r="O11" s="869">
        <v>89741</v>
      </c>
      <c r="P11" s="703">
        <v>87704</v>
      </c>
      <c r="Q11" s="661">
        <v>93345</v>
      </c>
      <c r="R11" s="661">
        <v>70201</v>
      </c>
      <c r="S11" s="697">
        <v>81474</v>
      </c>
      <c r="T11" s="661">
        <v>73939</v>
      </c>
      <c r="U11" s="869">
        <v>98449</v>
      </c>
      <c r="V11" s="703">
        <v>52666</v>
      </c>
      <c r="W11" s="661">
        <v>82710</v>
      </c>
      <c r="X11" s="661">
        <v>92362</v>
      </c>
      <c r="Y11" s="697">
        <v>80584</v>
      </c>
      <c r="Z11" s="661">
        <v>50785</v>
      </c>
      <c r="AA11" s="869">
        <v>83053</v>
      </c>
      <c r="AB11" s="703">
        <v>81881</v>
      </c>
      <c r="AC11" s="661">
        <v>87231</v>
      </c>
      <c r="AD11" s="661">
        <v>62930</v>
      </c>
      <c r="AE11" s="711">
        <f t="shared" si="2"/>
        <v>1.0610804334236299</v>
      </c>
      <c r="AF11" s="712">
        <f t="shared" si="3"/>
        <v>1.3697226802022935</v>
      </c>
      <c r="AG11" s="713">
        <f t="shared" si="4"/>
        <v>1.7424601769911505</v>
      </c>
      <c r="AH11" s="712">
        <f t="shared" si="5"/>
        <v>0.55402903429412997</v>
      </c>
      <c r="AI11" s="713">
        <f t="shared" si="6"/>
        <v>1.1272078063672046</v>
      </c>
      <c r="AJ11" s="713">
        <f t="shared" si="7"/>
        <v>1.1462433914964383</v>
      </c>
      <c r="AK11" s="711">
        <f t="shared" si="8"/>
        <v>1.2797499371701433</v>
      </c>
      <c r="AL11" s="712">
        <f t="shared" si="9"/>
        <v>1.1331994850416871</v>
      </c>
      <c r="AM11" s="713">
        <f t="shared" si="10"/>
        <v>1.09703480014709</v>
      </c>
      <c r="AN11" s="712">
        <f t="shared" si="11"/>
        <v>0.60049712669889632</v>
      </c>
      <c r="AO11" s="713">
        <f t="shared" si="12"/>
        <v>0.88606781295195247</v>
      </c>
      <c r="AP11" s="714">
        <f t="shared" si="13"/>
        <v>1.3156792638281507</v>
      </c>
      <c r="AQ11" s="713"/>
      <c r="AR11" s="712"/>
      <c r="AS11" s="713"/>
      <c r="AT11" s="712"/>
      <c r="AU11" s="713"/>
      <c r="AV11" s="714"/>
      <c r="AW11" s="719"/>
    </row>
    <row r="12" spans="1:49" ht="17.100000000000001" customHeight="1">
      <c r="A12" s="175">
        <f t="shared" si="0"/>
        <v>2025</v>
      </c>
      <c r="B12" s="454" t="str">
        <f t="shared" si="1"/>
        <v>37</v>
      </c>
      <c r="C12" s="454" t="str">
        <f t="array" ref="C12">_xlfn.IFS(_xlfn.NUMBERVALUE(B12)&lt;=13,"Q1",AND(_xlfn.NUMBERVALUE(B12)&gt;13,_xlfn.NUMBERVALUE(B12)&lt;=26),"Q2", AND(_xlfn.NUMBERVALUE(B12)&gt;26,_xlfn.NUMBERVALUE(B12)&lt;=39),"Q3",_xlfn.NUMBERVALUE(B12)&gt;39,"Q4")</f>
        <v>Q3</v>
      </c>
      <c r="D12" s="448">
        <f t="shared" si="14"/>
        <v>45570</v>
      </c>
      <c r="E12" s="448">
        <f t="shared" si="15"/>
        <v>45576</v>
      </c>
      <c r="F12" s="695">
        <v>202437</v>
      </c>
      <c r="G12" s="697">
        <v>95225</v>
      </c>
      <c r="H12" s="661">
        <v>67520</v>
      </c>
      <c r="I12" s="869">
        <v>57507</v>
      </c>
      <c r="J12" s="703">
        <v>63053</v>
      </c>
      <c r="K12" s="661">
        <v>59107</v>
      </c>
      <c r="L12" s="661">
        <v>81254</v>
      </c>
      <c r="M12" s="697">
        <v>75560</v>
      </c>
      <c r="N12" s="661">
        <v>57214</v>
      </c>
      <c r="O12" s="869">
        <v>55602</v>
      </c>
      <c r="P12" s="703">
        <v>67773</v>
      </c>
      <c r="Q12" s="661">
        <v>93884</v>
      </c>
      <c r="R12" s="661">
        <v>76886</v>
      </c>
      <c r="S12" s="697">
        <v>60508</v>
      </c>
      <c r="T12" s="661">
        <v>64461</v>
      </c>
      <c r="U12" s="869">
        <v>69631</v>
      </c>
      <c r="V12" s="703">
        <v>61213</v>
      </c>
      <c r="W12" s="661">
        <v>65660</v>
      </c>
      <c r="X12" s="661">
        <v>51368</v>
      </c>
      <c r="Y12" s="697">
        <v>95407</v>
      </c>
      <c r="Z12" s="661">
        <v>79733</v>
      </c>
      <c r="AA12" s="869">
        <v>84653</v>
      </c>
      <c r="AB12" s="703">
        <v>55115</v>
      </c>
      <c r="AC12" s="661">
        <v>67732</v>
      </c>
      <c r="AD12" s="661">
        <v>58064</v>
      </c>
      <c r="AE12" s="711">
        <f t="shared" si="2"/>
        <v>0.63542137043843527</v>
      </c>
      <c r="AF12" s="712">
        <f t="shared" si="3"/>
        <v>0.95469490521327016</v>
      </c>
      <c r="AG12" s="713">
        <f t="shared" si="4"/>
        <v>1.2108265080772775</v>
      </c>
      <c r="AH12" s="712">
        <f t="shared" si="5"/>
        <v>0.97081820056143242</v>
      </c>
      <c r="AI12" s="713">
        <f t="shared" si="6"/>
        <v>1.1108667332126483</v>
      </c>
      <c r="AJ12" s="713">
        <f t="shared" si="7"/>
        <v>0.63219041524109587</v>
      </c>
      <c r="AK12" s="711">
        <f t="shared" si="8"/>
        <v>0.80079407093700372</v>
      </c>
      <c r="AL12" s="712">
        <f t="shared" si="9"/>
        <v>1.1266648023211103</v>
      </c>
      <c r="AM12" s="713">
        <f t="shared" si="10"/>
        <v>1.252311067947196</v>
      </c>
      <c r="AN12" s="712">
        <f t="shared" si="11"/>
        <v>0.9032062915910466</v>
      </c>
      <c r="AO12" s="713">
        <f t="shared" si="12"/>
        <v>0.69937369519832981</v>
      </c>
      <c r="AP12" s="714">
        <f t="shared" si="13"/>
        <v>0.66810602710506461</v>
      </c>
      <c r="AQ12" s="713"/>
      <c r="AR12" s="712"/>
      <c r="AS12" s="713"/>
      <c r="AT12" s="712"/>
      <c r="AU12" s="713"/>
      <c r="AV12" s="714"/>
    </row>
    <row r="13" spans="1:49" ht="17.100000000000001" customHeight="1">
      <c r="A13" s="175">
        <f t="shared" si="0"/>
        <v>2025</v>
      </c>
      <c r="B13" s="454" t="str">
        <f t="shared" si="1"/>
        <v>38</v>
      </c>
      <c r="C13" s="454" t="str">
        <f t="array" ref="C13">_xlfn.IFS(_xlfn.NUMBERVALUE(B13)&lt;=13,"Q1",AND(_xlfn.NUMBERVALUE(B13)&gt;13,_xlfn.NUMBERVALUE(B13)&lt;=26),"Q2", AND(_xlfn.NUMBERVALUE(B13)&gt;26,_xlfn.NUMBERVALUE(B13)&lt;=39),"Q3",_xlfn.NUMBERVALUE(B13)&gt;39,"Q4")</f>
        <v>Q3</v>
      </c>
      <c r="D13" s="448">
        <f t="shared" si="14"/>
        <v>45577</v>
      </c>
      <c r="E13" s="448">
        <f t="shared" si="15"/>
        <v>45583</v>
      </c>
      <c r="F13" s="695">
        <v>202438</v>
      </c>
      <c r="G13" s="697">
        <v>55561</v>
      </c>
      <c r="H13" s="661">
        <v>97225</v>
      </c>
      <c r="I13" s="869">
        <v>59073</v>
      </c>
      <c r="J13" s="703">
        <v>91409</v>
      </c>
      <c r="K13" s="661">
        <v>78768</v>
      </c>
      <c r="L13" s="661">
        <v>89061</v>
      </c>
      <c r="M13" s="697">
        <v>86585</v>
      </c>
      <c r="N13" s="661">
        <v>93591</v>
      </c>
      <c r="O13" s="869">
        <v>84488</v>
      </c>
      <c r="P13" s="703">
        <v>70169</v>
      </c>
      <c r="Q13" s="661">
        <v>95338</v>
      </c>
      <c r="R13" s="661">
        <v>83169</v>
      </c>
      <c r="S13" s="697">
        <v>99501</v>
      </c>
      <c r="T13" s="661">
        <v>52765</v>
      </c>
      <c r="U13" s="869">
        <v>79495</v>
      </c>
      <c r="V13" s="703">
        <v>95966</v>
      </c>
      <c r="W13" s="661">
        <v>95929</v>
      </c>
      <c r="X13" s="661">
        <v>63200</v>
      </c>
      <c r="Y13" s="697">
        <v>65316</v>
      </c>
      <c r="Z13" s="661">
        <v>81899</v>
      </c>
      <c r="AA13" s="869">
        <v>68142</v>
      </c>
      <c r="AB13" s="703">
        <v>96611</v>
      </c>
      <c r="AC13" s="661">
        <v>67296</v>
      </c>
      <c r="AD13" s="661">
        <v>68511</v>
      </c>
      <c r="AE13" s="711">
        <f t="shared" si="2"/>
        <v>1.7908424974352513</v>
      </c>
      <c r="AF13" s="712">
        <f t="shared" si="3"/>
        <v>0.54271020827976346</v>
      </c>
      <c r="AG13" s="713">
        <f t="shared" si="4"/>
        <v>1.3457078529954463</v>
      </c>
      <c r="AH13" s="712">
        <f t="shared" si="5"/>
        <v>1.049852859127657</v>
      </c>
      <c r="AI13" s="713">
        <f t="shared" si="6"/>
        <v>1.2178676619947186</v>
      </c>
      <c r="AJ13" s="713">
        <f t="shared" si="7"/>
        <v>0.70962598668328447</v>
      </c>
      <c r="AK13" s="711">
        <f t="shared" si="8"/>
        <v>1.1491713345267656</v>
      </c>
      <c r="AL13" s="712">
        <f t="shared" si="9"/>
        <v>0.56378284236732168</v>
      </c>
      <c r="AM13" s="713">
        <f t="shared" si="10"/>
        <v>0.94090285010889119</v>
      </c>
      <c r="AN13" s="712">
        <f t="shared" si="11"/>
        <v>1.3676409810600123</v>
      </c>
      <c r="AO13" s="713">
        <f t="shared" si="12"/>
        <v>1.0061989972518828</v>
      </c>
      <c r="AP13" s="714">
        <f t="shared" si="13"/>
        <v>0.75989851988120571</v>
      </c>
      <c r="AQ13" s="713">
        <f t="shared" ref="AQ13:AQ44" si="16">IFERROR(Y13/S13," ")</f>
        <v>0.65643561371242498</v>
      </c>
      <c r="AR13" s="712">
        <f t="shared" ref="AR13:AR44" si="17">IFERROR(Z13/T13," ")</f>
        <v>1.5521463091064152</v>
      </c>
      <c r="AS13" s="713">
        <f t="shared" ref="AS13:AS44" si="18">IFERROR(AA13/U13," ")</f>
        <v>0.85718598654003397</v>
      </c>
      <c r="AT13" s="712">
        <f t="shared" ref="AT13:AT44" si="19">IFERROR(AB13/V13," ")</f>
        <v>1.0067211304003501</v>
      </c>
      <c r="AU13" s="722">
        <f t="shared" ref="AU13:AU44" si="20">IFERROR(AC13/W13," ")</f>
        <v>0.70151883163589734</v>
      </c>
      <c r="AV13" s="714">
        <f t="shared" ref="AV13:AV44" si="21">IFERROR(AD13/X13," ")</f>
        <v>1.0840348101265822</v>
      </c>
    </row>
    <row r="14" spans="1:49" ht="17.100000000000001" customHeight="1">
      <c r="A14" s="175">
        <f t="shared" si="0"/>
        <v>2025</v>
      </c>
      <c r="B14" s="454" t="str">
        <f t="shared" si="1"/>
        <v>39</v>
      </c>
      <c r="C14" s="454" t="str">
        <f t="array" ref="C14">_xlfn.IFS(_xlfn.NUMBERVALUE(B14)&lt;=13,"Q1",AND(_xlfn.NUMBERVALUE(B14)&gt;13,_xlfn.NUMBERVALUE(B14)&lt;=26),"Q2", AND(_xlfn.NUMBERVALUE(B14)&gt;26,_xlfn.NUMBERVALUE(B14)&lt;=39),"Q3",_xlfn.NUMBERVALUE(B14)&gt;39,"Q4")</f>
        <v>Q3</v>
      </c>
      <c r="D14" s="448">
        <f t="shared" si="14"/>
        <v>45584</v>
      </c>
      <c r="E14" s="448">
        <f t="shared" si="15"/>
        <v>45590</v>
      </c>
      <c r="F14" s="695">
        <v>202439</v>
      </c>
      <c r="G14" s="697">
        <v>72570</v>
      </c>
      <c r="H14" s="661">
        <v>67852</v>
      </c>
      <c r="I14" s="869">
        <v>70832</v>
      </c>
      <c r="J14" s="703">
        <v>74221</v>
      </c>
      <c r="K14" s="661">
        <v>56277</v>
      </c>
      <c r="L14" s="661">
        <v>94367</v>
      </c>
      <c r="M14" s="697">
        <v>60503</v>
      </c>
      <c r="N14" s="661">
        <v>86931</v>
      </c>
      <c r="O14" s="869">
        <v>70310</v>
      </c>
      <c r="P14" s="703">
        <v>92828</v>
      </c>
      <c r="Q14" s="661">
        <v>54122</v>
      </c>
      <c r="R14" s="661">
        <v>84369</v>
      </c>
      <c r="S14" s="697">
        <v>63528</v>
      </c>
      <c r="T14" s="661">
        <v>87459</v>
      </c>
      <c r="U14" s="869">
        <v>66442</v>
      </c>
      <c r="V14" s="703">
        <v>98674</v>
      </c>
      <c r="W14" s="661">
        <v>98417</v>
      </c>
      <c r="X14" s="661">
        <v>91311</v>
      </c>
      <c r="Y14" s="697">
        <v>75739</v>
      </c>
      <c r="Z14" s="661">
        <v>76240</v>
      </c>
      <c r="AA14" s="869">
        <v>94698</v>
      </c>
      <c r="AB14" s="703">
        <v>70520</v>
      </c>
      <c r="AC14" s="661">
        <v>64366</v>
      </c>
      <c r="AD14" s="661">
        <v>80996</v>
      </c>
      <c r="AE14" s="711">
        <f t="shared" si="2"/>
        <v>0.87540305911533689</v>
      </c>
      <c r="AF14" s="712">
        <f t="shared" si="3"/>
        <v>1.2889671638271532</v>
      </c>
      <c r="AG14" s="713">
        <f t="shared" si="4"/>
        <v>0.93802236277388751</v>
      </c>
      <c r="AH14" s="712">
        <f t="shared" si="5"/>
        <v>1.3294620120990017</v>
      </c>
      <c r="AI14" s="713">
        <f t="shared" si="6"/>
        <v>1.7487961334115181</v>
      </c>
      <c r="AJ14" s="713">
        <f t="shared" si="7"/>
        <v>0.96761579789545071</v>
      </c>
      <c r="AK14" s="711">
        <f t="shared" si="8"/>
        <v>1.0499975207840933</v>
      </c>
      <c r="AL14" s="712">
        <f t="shared" si="9"/>
        <v>1.0060737826552093</v>
      </c>
      <c r="AM14" s="713">
        <f t="shared" si="10"/>
        <v>0.94498648840847677</v>
      </c>
      <c r="AN14" s="712">
        <f t="shared" si="11"/>
        <v>1.0629766880682552</v>
      </c>
      <c r="AO14" s="713">
        <f t="shared" si="12"/>
        <v>1.8184287350800044</v>
      </c>
      <c r="AP14" s="714">
        <f t="shared" si="13"/>
        <v>1.0822814066778081</v>
      </c>
      <c r="AQ14" s="713">
        <f t="shared" si="16"/>
        <v>1.1922144566175545</v>
      </c>
      <c r="AR14" s="712">
        <f t="shared" si="17"/>
        <v>0.871722750088613</v>
      </c>
      <c r="AS14" s="713">
        <f t="shared" si="18"/>
        <v>1.4252731705848709</v>
      </c>
      <c r="AT14" s="712">
        <f t="shared" si="19"/>
        <v>0.71467661187344189</v>
      </c>
      <c r="AU14" s="722">
        <f t="shared" si="20"/>
        <v>0.65401302620482238</v>
      </c>
      <c r="AV14" s="714">
        <f t="shared" si="21"/>
        <v>0.8870344208255303</v>
      </c>
    </row>
    <row r="15" spans="1:49" ht="17.100000000000001" customHeight="1">
      <c r="A15" s="175">
        <f t="shared" si="0"/>
        <v>2025</v>
      </c>
      <c r="B15" s="454" t="str">
        <f t="shared" si="1"/>
        <v>40</v>
      </c>
      <c r="C15" s="454" t="str">
        <f t="array" ref="C15">_xlfn.IFS(_xlfn.NUMBERVALUE(B15)&lt;=13,"Q1",AND(_xlfn.NUMBERVALUE(B15)&gt;13,_xlfn.NUMBERVALUE(B15)&lt;=26),"Q2", AND(_xlfn.NUMBERVALUE(B15)&gt;26,_xlfn.NUMBERVALUE(B15)&lt;=39),"Q3",_xlfn.NUMBERVALUE(B15)&gt;39,"Q4")</f>
        <v>Q4</v>
      </c>
      <c r="D15" s="448">
        <f t="shared" si="14"/>
        <v>45591</v>
      </c>
      <c r="E15" s="448">
        <f t="shared" si="15"/>
        <v>45597</v>
      </c>
      <c r="F15" s="695">
        <v>202440</v>
      </c>
      <c r="G15" s="697">
        <v>84721</v>
      </c>
      <c r="H15" s="661">
        <v>82058</v>
      </c>
      <c r="I15" s="869">
        <v>98076</v>
      </c>
      <c r="J15" s="703">
        <v>50500</v>
      </c>
      <c r="K15" s="661">
        <v>87966</v>
      </c>
      <c r="L15" s="661">
        <v>81987</v>
      </c>
      <c r="M15" s="697">
        <v>79039</v>
      </c>
      <c r="N15" s="661">
        <v>59968</v>
      </c>
      <c r="O15" s="869">
        <v>52833</v>
      </c>
      <c r="P15" s="703">
        <v>60830</v>
      </c>
      <c r="Q15" s="661">
        <v>51650</v>
      </c>
      <c r="R15" s="661">
        <v>70437</v>
      </c>
      <c r="S15" s="697">
        <v>95369</v>
      </c>
      <c r="T15" s="661">
        <v>61318</v>
      </c>
      <c r="U15" s="869">
        <v>92356</v>
      </c>
      <c r="V15" s="703">
        <v>56282</v>
      </c>
      <c r="W15" s="661">
        <v>50603</v>
      </c>
      <c r="X15" s="661">
        <v>58258</v>
      </c>
      <c r="Y15" s="697">
        <v>97506</v>
      </c>
      <c r="Z15" s="661">
        <v>69824</v>
      </c>
      <c r="AA15" s="869">
        <v>69128</v>
      </c>
      <c r="AB15" s="703">
        <v>78660</v>
      </c>
      <c r="AC15" s="661">
        <v>68785</v>
      </c>
      <c r="AD15" s="661">
        <v>84176</v>
      </c>
      <c r="AE15" s="711">
        <f t="shared" si="2"/>
        <v>1.1256831246090107</v>
      </c>
      <c r="AF15" s="712">
        <f t="shared" si="3"/>
        <v>0.74725194374710568</v>
      </c>
      <c r="AG15" s="713">
        <f t="shared" si="4"/>
        <v>0.94167788245850159</v>
      </c>
      <c r="AH15" s="712">
        <f t="shared" si="5"/>
        <v>1.1144950495049506</v>
      </c>
      <c r="AI15" s="713">
        <f t="shared" si="6"/>
        <v>0.57525634904394884</v>
      </c>
      <c r="AJ15" s="713">
        <f t="shared" si="7"/>
        <v>0.71057606693744135</v>
      </c>
      <c r="AK15" s="711">
        <f t="shared" si="8"/>
        <v>1.2066068649653969</v>
      </c>
      <c r="AL15" s="712">
        <f t="shared" si="9"/>
        <v>1.0225120064034152</v>
      </c>
      <c r="AM15" s="713">
        <f t="shared" si="10"/>
        <v>1.7480741203414532</v>
      </c>
      <c r="AN15" s="712">
        <f t="shared" si="11"/>
        <v>0.92523425941147464</v>
      </c>
      <c r="AO15" s="713">
        <f t="shared" si="12"/>
        <v>0.97972894482091</v>
      </c>
      <c r="AP15" s="714">
        <f t="shared" si="13"/>
        <v>0.82709371495094908</v>
      </c>
      <c r="AQ15" s="713">
        <f t="shared" si="16"/>
        <v>1.0224077006155039</v>
      </c>
      <c r="AR15" s="712">
        <f t="shared" si="17"/>
        <v>1.1387194624743142</v>
      </c>
      <c r="AS15" s="713">
        <f t="shared" si="18"/>
        <v>0.74849495430724589</v>
      </c>
      <c r="AT15" s="712">
        <f t="shared" si="19"/>
        <v>1.3976049180910415</v>
      </c>
      <c r="AU15" s="722">
        <f t="shared" si="20"/>
        <v>1.359306760468747</v>
      </c>
      <c r="AV15" s="714">
        <f t="shared" si="21"/>
        <v>1.4448831061828418</v>
      </c>
      <c r="AW15" s="719"/>
    </row>
    <row r="16" spans="1:49" ht="17.100000000000001" customHeight="1">
      <c r="A16" s="175">
        <f t="shared" si="0"/>
        <v>2025</v>
      </c>
      <c r="B16" s="454" t="str">
        <f t="shared" si="1"/>
        <v>41</v>
      </c>
      <c r="C16" s="454" t="str">
        <f t="array" ref="C16">_xlfn.IFS(_xlfn.NUMBERVALUE(B16)&lt;=13,"Q1",AND(_xlfn.NUMBERVALUE(B16)&gt;13,_xlfn.NUMBERVALUE(B16)&lt;=26),"Q2", AND(_xlfn.NUMBERVALUE(B16)&gt;26,_xlfn.NUMBERVALUE(B16)&lt;=39),"Q3",_xlfn.NUMBERVALUE(B16)&gt;39,"Q4")</f>
        <v>Q4</v>
      </c>
      <c r="D16" s="448">
        <f t="shared" si="14"/>
        <v>45598</v>
      </c>
      <c r="E16" s="448">
        <f t="shared" si="15"/>
        <v>45604</v>
      </c>
      <c r="F16" s="695">
        <v>202441</v>
      </c>
      <c r="G16" s="697">
        <v>82237</v>
      </c>
      <c r="H16" s="661">
        <v>60460</v>
      </c>
      <c r="I16" s="869">
        <v>83815</v>
      </c>
      <c r="J16" s="703">
        <v>60976</v>
      </c>
      <c r="K16" s="661">
        <v>53946</v>
      </c>
      <c r="L16" s="661">
        <v>92584</v>
      </c>
      <c r="M16" s="697">
        <v>58167</v>
      </c>
      <c r="N16" s="661">
        <v>72976</v>
      </c>
      <c r="O16" s="869">
        <v>80516</v>
      </c>
      <c r="P16" s="703">
        <v>72789</v>
      </c>
      <c r="Q16" s="661">
        <v>66888</v>
      </c>
      <c r="R16" s="661">
        <v>51343</v>
      </c>
      <c r="S16" s="697">
        <v>79590</v>
      </c>
      <c r="T16" s="661">
        <v>94847</v>
      </c>
      <c r="U16" s="869">
        <v>80874</v>
      </c>
      <c r="V16" s="703">
        <v>89781</v>
      </c>
      <c r="W16" s="661">
        <v>69829</v>
      </c>
      <c r="X16" s="661">
        <v>79117</v>
      </c>
      <c r="Y16" s="697">
        <v>83610</v>
      </c>
      <c r="Z16" s="661">
        <v>62608</v>
      </c>
      <c r="AA16" s="869">
        <v>60389</v>
      </c>
      <c r="AB16" s="703">
        <v>58437</v>
      </c>
      <c r="AC16" s="661">
        <v>73892</v>
      </c>
      <c r="AD16" s="661">
        <v>99371</v>
      </c>
      <c r="AE16" s="711">
        <f t="shared" si="2"/>
        <v>0.96781254179991971</v>
      </c>
      <c r="AF16" s="712">
        <f t="shared" si="3"/>
        <v>1.5687562024478994</v>
      </c>
      <c r="AG16" s="713">
        <f t="shared" si="4"/>
        <v>0.96491081548648805</v>
      </c>
      <c r="AH16" s="712">
        <f t="shared" si="5"/>
        <v>1.4723989766465495</v>
      </c>
      <c r="AI16" s="713">
        <f t="shared" si="6"/>
        <v>1.2944240536833129</v>
      </c>
      <c r="AJ16" s="713">
        <f t="shared" si="7"/>
        <v>0.85454290158126678</v>
      </c>
      <c r="AK16" s="711">
        <f t="shared" si="8"/>
        <v>1.3683016143173965</v>
      </c>
      <c r="AL16" s="712">
        <f t="shared" si="9"/>
        <v>1.2997012716509537</v>
      </c>
      <c r="AM16" s="713">
        <f t="shared" si="10"/>
        <v>1.004446321228079</v>
      </c>
      <c r="AN16" s="712">
        <f t="shared" si="11"/>
        <v>1.2334418662160491</v>
      </c>
      <c r="AO16" s="713">
        <f t="shared" si="12"/>
        <v>1.0439690228441574</v>
      </c>
      <c r="AP16" s="714">
        <f t="shared" si="13"/>
        <v>1.5409500808289349</v>
      </c>
      <c r="AQ16" s="713">
        <f t="shared" si="16"/>
        <v>1.0505088578967208</v>
      </c>
      <c r="AR16" s="712">
        <f t="shared" si="17"/>
        <v>0.66009467879848593</v>
      </c>
      <c r="AS16" s="713">
        <f t="shared" si="18"/>
        <v>0.74670475059969832</v>
      </c>
      <c r="AT16" s="712">
        <f t="shared" si="19"/>
        <v>0.6508838172887359</v>
      </c>
      <c r="AU16" s="722">
        <f t="shared" si="20"/>
        <v>1.0581849947729454</v>
      </c>
      <c r="AV16" s="714">
        <f t="shared" si="21"/>
        <v>1.2560006066964116</v>
      </c>
      <c r="AW16" s="719"/>
    </row>
    <row r="17" spans="1:49" ht="17.100000000000001" customHeight="1">
      <c r="A17" s="175">
        <f t="shared" si="0"/>
        <v>2025</v>
      </c>
      <c r="B17" s="454" t="str">
        <f t="shared" si="1"/>
        <v>42</v>
      </c>
      <c r="C17" s="454" t="str">
        <f t="array" ref="C17">_xlfn.IFS(_xlfn.NUMBERVALUE(B17)&lt;=13,"Q1",AND(_xlfn.NUMBERVALUE(B17)&gt;13,_xlfn.NUMBERVALUE(B17)&lt;=26),"Q2", AND(_xlfn.NUMBERVALUE(B17)&gt;26,_xlfn.NUMBERVALUE(B17)&lt;=39),"Q3",_xlfn.NUMBERVALUE(B17)&gt;39,"Q4")</f>
        <v>Q4</v>
      </c>
      <c r="D17" s="448">
        <f t="shared" si="14"/>
        <v>45605</v>
      </c>
      <c r="E17" s="448">
        <f t="shared" si="15"/>
        <v>45611</v>
      </c>
      <c r="F17" s="695">
        <v>202442</v>
      </c>
      <c r="G17" s="697">
        <v>74614</v>
      </c>
      <c r="H17" s="661">
        <v>62124</v>
      </c>
      <c r="I17" s="869">
        <v>69442</v>
      </c>
      <c r="J17" s="703">
        <v>64625</v>
      </c>
      <c r="K17" s="661">
        <v>85603</v>
      </c>
      <c r="L17" s="661">
        <v>70280</v>
      </c>
      <c r="M17" s="697">
        <v>96442</v>
      </c>
      <c r="N17" s="661">
        <v>69563</v>
      </c>
      <c r="O17" s="869">
        <v>62237</v>
      </c>
      <c r="P17" s="703">
        <v>91643</v>
      </c>
      <c r="Q17" s="661">
        <v>84882</v>
      </c>
      <c r="R17" s="661">
        <v>70613</v>
      </c>
      <c r="S17" s="697">
        <v>73469</v>
      </c>
      <c r="T17" s="661">
        <v>84653</v>
      </c>
      <c r="U17" s="869">
        <v>53555</v>
      </c>
      <c r="V17" s="703">
        <v>69552</v>
      </c>
      <c r="W17" s="661">
        <v>84711</v>
      </c>
      <c r="X17" s="661">
        <v>66450</v>
      </c>
      <c r="Y17" s="697">
        <v>71615</v>
      </c>
      <c r="Z17" s="661">
        <v>87294</v>
      </c>
      <c r="AA17" s="869">
        <v>72901</v>
      </c>
      <c r="AB17" s="703">
        <v>87926</v>
      </c>
      <c r="AC17" s="661">
        <v>90166</v>
      </c>
      <c r="AD17" s="661">
        <v>80153</v>
      </c>
      <c r="AE17" s="711">
        <f t="shared" si="2"/>
        <v>0.98465435441070037</v>
      </c>
      <c r="AF17" s="712">
        <f t="shared" si="3"/>
        <v>1.3626456763891572</v>
      </c>
      <c r="AG17" s="713">
        <f t="shared" si="4"/>
        <v>0.77121914691397142</v>
      </c>
      <c r="AH17" s="712">
        <f t="shared" si="5"/>
        <v>1.0762398452611219</v>
      </c>
      <c r="AI17" s="713">
        <f t="shared" si="6"/>
        <v>0.98957980444610583</v>
      </c>
      <c r="AJ17" s="713">
        <f t="shared" si="7"/>
        <v>0.94550369948776325</v>
      </c>
      <c r="AK17" s="711">
        <f t="shared" si="8"/>
        <v>0.76179465378154743</v>
      </c>
      <c r="AL17" s="712">
        <f t="shared" si="9"/>
        <v>1.2169256645055562</v>
      </c>
      <c r="AM17" s="713">
        <f t="shared" si="10"/>
        <v>0.86050098815816956</v>
      </c>
      <c r="AN17" s="712">
        <f t="shared" si="11"/>
        <v>0.75894503671857094</v>
      </c>
      <c r="AO17" s="713">
        <f t="shared" si="12"/>
        <v>0.99798543860889233</v>
      </c>
      <c r="AP17" s="714">
        <f t="shared" si="13"/>
        <v>0.94104485009842376</v>
      </c>
      <c r="AQ17" s="713">
        <f t="shared" si="16"/>
        <v>0.97476486681457486</v>
      </c>
      <c r="AR17" s="712">
        <f t="shared" si="17"/>
        <v>1.0311979492752767</v>
      </c>
      <c r="AS17" s="713">
        <f t="shared" si="18"/>
        <v>1.361236112407805</v>
      </c>
      <c r="AT17" s="712">
        <f t="shared" si="19"/>
        <v>1.2641764435242697</v>
      </c>
      <c r="AU17" s="722">
        <f t="shared" si="20"/>
        <v>1.0643954149992327</v>
      </c>
      <c r="AV17" s="714">
        <f t="shared" si="21"/>
        <v>1.2062151993980437</v>
      </c>
      <c r="AW17" s="719"/>
    </row>
    <row r="18" spans="1:49" ht="17.100000000000001" customHeight="1">
      <c r="A18" s="175">
        <f t="shared" si="0"/>
        <v>2025</v>
      </c>
      <c r="B18" s="454" t="str">
        <f t="shared" si="1"/>
        <v>43</v>
      </c>
      <c r="C18" s="454" t="str">
        <f t="array" ref="C18">_xlfn.IFS(_xlfn.NUMBERVALUE(B18)&lt;=13,"Q1",AND(_xlfn.NUMBERVALUE(B18)&gt;13,_xlfn.NUMBERVALUE(B18)&lt;=26),"Q2", AND(_xlfn.NUMBERVALUE(B18)&gt;26,_xlfn.NUMBERVALUE(B18)&lt;=39),"Q3",_xlfn.NUMBERVALUE(B18)&gt;39,"Q4")</f>
        <v>Q4</v>
      </c>
      <c r="D18" s="448">
        <f t="shared" si="14"/>
        <v>45612</v>
      </c>
      <c r="E18" s="448">
        <f t="shared" si="15"/>
        <v>45618</v>
      </c>
      <c r="F18" s="695">
        <v>202443</v>
      </c>
      <c r="G18" s="697">
        <v>57714</v>
      </c>
      <c r="H18" s="661">
        <v>61875</v>
      </c>
      <c r="I18" s="869">
        <v>76605</v>
      </c>
      <c r="J18" s="703">
        <v>69245</v>
      </c>
      <c r="K18" s="661">
        <v>56145</v>
      </c>
      <c r="L18" s="661">
        <v>93221</v>
      </c>
      <c r="M18" s="697">
        <v>69451</v>
      </c>
      <c r="N18" s="661">
        <v>85240</v>
      </c>
      <c r="O18" s="869">
        <v>53761</v>
      </c>
      <c r="P18" s="703">
        <v>61403</v>
      </c>
      <c r="Q18" s="661">
        <v>83363</v>
      </c>
      <c r="R18" s="661">
        <v>87897</v>
      </c>
      <c r="S18" s="697">
        <v>96559</v>
      </c>
      <c r="T18" s="661">
        <v>51277</v>
      </c>
      <c r="U18" s="869">
        <v>70516</v>
      </c>
      <c r="V18" s="703">
        <v>60698</v>
      </c>
      <c r="W18" s="661">
        <v>67110</v>
      </c>
      <c r="X18" s="661">
        <v>79482</v>
      </c>
      <c r="Y18" s="697">
        <v>84051</v>
      </c>
      <c r="Z18" s="661">
        <v>83370</v>
      </c>
      <c r="AA18" s="869">
        <v>93151</v>
      </c>
      <c r="AB18" s="703">
        <v>53718</v>
      </c>
      <c r="AC18" s="661">
        <v>65811</v>
      </c>
      <c r="AD18" s="661">
        <v>50277</v>
      </c>
      <c r="AE18" s="711">
        <f t="shared" si="2"/>
        <v>1.6730602626745676</v>
      </c>
      <c r="AF18" s="712">
        <f t="shared" si="3"/>
        <v>0.82871919191919197</v>
      </c>
      <c r="AG18" s="713">
        <f t="shared" si="4"/>
        <v>0.92051432674107436</v>
      </c>
      <c r="AH18" s="712">
        <f t="shared" si="5"/>
        <v>0.87656870532168385</v>
      </c>
      <c r="AI18" s="713">
        <f t="shared" si="6"/>
        <v>1.1952978893935347</v>
      </c>
      <c r="AJ18" s="713">
        <f t="shared" si="7"/>
        <v>0.85261904506495323</v>
      </c>
      <c r="AK18" s="711">
        <f t="shared" si="8"/>
        <v>1.3903183539473873</v>
      </c>
      <c r="AL18" s="712">
        <f t="shared" si="9"/>
        <v>0.60156030032848429</v>
      </c>
      <c r="AM18" s="713">
        <f t="shared" si="10"/>
        <v>1.3116571492345752</v>
      </c>
      <c r="AN18" s="712">
        <f t="shared" si="11"/>
        <v>0.98851847629594647</v>
      </c>
      <c r="AO18" s="713">
        <f t="shared" si="12"/>
        <v>0.80503340810671398</v>
      </c>
      <c r="AP18" s="714">
        <f t="shared" si="13"/>
        <v>0.90426294412778596</v>
      </c>
      <c r="AQ18" s="713">
        <f t="shared" si="16"/>
        <v>0.87046261870980435</v>
      </c>
      <c r="AR18" s="712">
        <f t="shared" si="17"/>
        <v>1.6258751487021472</v>
      </c>
      <c r="AS18" s="713">
        <f t="shared" si="18"/>
        <v>1.3209909807703217</v>
      </c>
      <c r="AT18" s="712">
        <f t="shared" si="19"/>
        <v>0.88500444825200175</v>
      </c>
      <c r="AU18" s="722">
        <f t="shared" si="20"/>
        <v>0.98064371926687532</v>
      </c>
      <c r="AV18" s="714">
        <f t="shared" si="21"/>
        <v>0.6325583150902091</v>
      </c>
    </row>
    <row r="19" spans="1:49" ht="17.100000000000001" customHeight="1">
      <c r="A19" s="175">
        <f t="shared" si="0"/>
        <v>2025</v>
      </c>
      <c r="B19" s="454" t="str">
        <f t="shared" si="1"/>
        <v>44</v>
      </c>
      <c r="C19" s="454" t="str">
        <f t="array" ref="C19">_xlfn.IFS(_xlfn.NUMBERVALUE(B19)&lt;=13,"Q1",AND(_xlfn.NUMBERVALUE(B19)&gt;13,_xlfn.NUMBERVALUE(B19)&lt;=26),"Q2", AND(_xlfn.NUMBERVALUE(B19)&gt;26,_xlfn.NUMBERVALUE(B19)&lt;=39),"Q3",_xlfn.NUMBERVALUE(B19)&gt;39,"Q4")</f>
        <v>Q4</v>
      </c>
      <c r="D19" s="448">
        <f t="shared" si="14"/>
        <v>45619</v>
      </c>
      <c r="E19" s="448">
        <f t="shared" si="15"/>
        <v>45625</v>
      </c>
      <c r="F19" s="695">
        <v>202444</v>
      </c>
      <c r="G19" s="697">
        <v>78973</v>
      </c>
      <c r="H19" s="661">
        <v>62574</v>
      </c>
      <c r="I19" s="869">
        <v>59955</v>
      </c>
      <c r="J19" s="703">
        <v>72729</v>
      </c>
      <c r="K19" s="661">
        <v>92632</v>
      </c>
      <c r="L19" s="661">
        <v>99734</v>
      </c>
      <c r="M19" s="697">
        <v>98454</v>
      </c>
      <c r="N19" s="661">
        <v>87003</v>
      </c>
      <c r="O19" s="869">
        <v>67323</v>
      </c>
      <c r="P19" s="703">
        <v>63882</v>
      </c>
      <c r="Q19" s="661">
        <v>99123</v>
      </c>
      <c r="R19" s="661">
        <v>73848</v>
      </c>
      <c r="S19" s="697">
        <v>89058</v>
      </c>
      <c r="T19" s="661">
        <v>80852</v>
      </c>
      <c r="U19" s="869">
        <v>61217</v>
      </c>
      <c r="V19" s="703">
        <v>97983</v>
      </c>
      <c r="W19" s="661">
        <v>86369</v>
      </c>
      <c r="X19" s="661">
        <v>56942</v>
      </c>
      <c r="Y19" s="697">
        <v>94612</v>
      </c>
      <c r="Z19" s="661">
        <v>83860</v>
      </c>
      <c r="AA19" s="869">
        <v>67486</v>
      </c>
      <c r="AB19" s="703">
        <v>89921</v>
      </c>
      <c r="AC19" s="661">
        <v>95591</v>
      </c>
      <c r="AD19" s="661">
        <v>87597</v>
      </c>
      <c r="AE19" s="711">
        <f t="shared" si="2"/>
        <v>1.1277018727919668</v>
      </c>
      <c r="AF19" s="712">
        <f t="shared" si="3"/>
        <v>1.292102151053153</v>
      </c>
      <c r="AG19" s="713">
        <f t="shared" si="4"/>
        <v>1.0210491201734635</v>
      </c>
      <c r="AH19" s="712">
        <f t="shared" si="5"/>
        <v>1.3472342531864869</v>
      </c>
      <c r="AI19" s="713">
        <f t="shared" si="6"/>
        <v>0.93238837550738407</v>
      </c>
      <c r="AJ19" s="713">
        <f t="shared" si="7"/>
        <v>0.57093869693384403</v>
      </c>
      <c r="AK19" s="711">
        <f t="shared" si="8"/>
        <v>0.90456456822475473</v>
      </c>
      <c r="AL19" s="712">
        <f t="shared" si="9"/>
        <v>0.92930128846131743</v>
      </c>
      <c r="AM19" s="713">
        <f t="shared" si="10"/>
        <v>0.90930291282325504</v>
      </c>
      <c r="AN19" s="712">
        <f t="shared" si="11"/>
        <v>1.5338123415046492</v>
      </c>
      <c r="AO19" s="713">
        <f t="shared" si="12"/>
        <v>0.87133157793852078</v>
      </c>
      <c r="AP19" s="714">
        <f t="shared" si="13"/>
        <v>0.771070306575669</v>
      </c>
      <c r="AQ19" s="713">
        <f t="shared" si="16"/>
        <v>1.0623638527701049</v>
      </c>
      <c r="AR19" s="712">
        <f t="shared" si="17"/>
        <v>1.0372037797457081</v>
      </c>
      <c r="AS19" s="713">
        <f t="shared" si="18"/>
        <v>1.1024061943577765</v>
      </c>
      <c r="AT19" s="712">
        <f t="shared" si="19"/>
        <v>0.91772042088933792</v>
      </c>
      <c r="AU19" s="722">
        <f t="shared" si="20"/>
        <v>1.1067744213780408</v>
      </c>
      <c r="AV19" s="714">
        <f t="shared" si="21"/>
        <v>1.5383548171823962</v>
      </c>
    </row>
    <row r="20" spans="1:49" ht="17.100000000000001" customHeight="1">
      <c r="A20" s="175">
        <f t="shared" si="0"/>
        <v>2025</v>
      </c>
      <c r="B20" s="454" t="str">
        <f t="shared" si="1"/>
        <v>45</v>
      </c>
      <c r="C20" s="454" t="str">
        <f t="array" ref="C20">_xlfn.IFS(_xlfn.NUMBERVALUE(B20)&lt;=13,"Q1",AND(_xlfn.NUMBERVALUE(B20)&gt;13,_xlfn.NUMBERVALUE(B20)&lt;=26),"Q2", AND(_xlfn.NUMBERVALUE(B20)&gt;26,_xlfn.NUMBERVALUE(B20)&lt;=39),"Q3",_xlfn.NUMBERVALUE(B20)&gt;39,"Q4")</f>
        <v>Q4</v>
      </c>
      <c r="D20" s="448">
        <f t="shared" si="14"/>
        <v>45626</v>
      </c>
      <c r="E20" s="448">
        <f t="shared" si="15"/>
        <v>45632</v>
      </c>
      <c r="F20" s="695">
        <v>202445</v>
      </c>
      <c r="G20" s="697">
        <v>99690</v>
      </c>
      <c r="H20" s="661">
        <v>64366</v>
      </c>
      <c r="I20" s="869">
        <v>56348</v>
      </c>
      <c r="J20" s="703">
        <v>87284</v>
      </c>
      <c r="K20" s="661">
        <v>86419</v>
      </c>
      <c r="L20" s="661">
        <v>74700</v>
      </c>
      <c r="M20" s="697">
        <v>76583</v>
      </c>
      <c r="N20" s="661">
        <v>73558</v>
      </c>
      <c r="O20" s="869">
        <v>62913</v>
      </c>
      <c r="P20" s="703">
        <v>70570</v>
      </c>
      <c r="Q20" s="661">
        <v>77491</v>
      </c>
      <c r="R20" s="661">
        <v>60912</v>
      </c>
      <c r="S20" s="697">
        <v>83109</v>
      </c>
      <c r="T20" s="661">
        <v>95923</v>
      </c>
      <c r="U20" s="869">
        <v>76551</v>
      </c>
      <c r="V20" s="703">
        <v>75018</v>
      </c>
      <c r="W20" s="661">
        <v>51781</v>
      </c>
      <c r="X20" s="661">
        <v>70866</v>
      </c>
      <c r="Y20" s="697">
        <v>68679</v>
      </c>
      <c r="Z20" s="661">
        <v>89261</v>
      </c>
      <c r="AA20" s="869">
        <v>82099</v>
      </c>
      <c r="AB20" s="703">
        <v>82523</v>
      </c>
      <c r="AC20" s="661">
        <v>65523</v>
      </c>
      <c r="AD20" s="661">
        <v>63650</v>
      </c>
      <c r="AE20" s="711">
        <f t="shared" si="2"/>
        <v>0.83367439061089377</v>
      </c>
      <c r="AF20" s="712">
        <f t="shared" si="3"/>
        <v>1.4902743684553956</v>
      </c>
      <c r="AG20" s="713">
        <f t="shared" si="4"/>
        <v>1.3585397884574431</v>
      </c>
      <c r="AH20" s="712">
        <f t="shared" si="5"/>
        <v>0.85947023509463361</v>
      </c>
      <c r="AI20" s="713">
        <f t="shared" si="6"/>
        <v>0.59918536432960345</v>
      </c>
      <c r="AJ20" s="713">
        <f t="shared" si="7"/>
        <v>0.94867469879518074</v>
      </c>
      <c r="AK20" s="711">
        <f t="shared" si="8"/>
        <v>1.0852147343405194</v>
      </c>
      <c r="AL20" s="712">
        <f t="shared" si="9"/>
        <v>1.3040457869980151</v>
      </c>
      <c r="AM20" s="713">
        <f t="shared" si="10"/>
        <v>1.2167755471842068</v>
      </c>
      <c r="AN20" s="712">
        <f t="shared" si="11"/>
        <v>1.0630296159841293</v>
      </c>
      <c r="AO20" s="713">
        <f t="shared" si="12"/>
        <v>0.66821953517182642</v>
      </c>
      <c r="AP20" s="714">
        <f t="shared" si="13"/>
        <v>1.1634160756501182</v>
      </c>
      <c r="AQ20" s="713">
        <f t="shared" si="16"/>
        <v>0.82637259502580951</v>
      </c>
      <c r="AR20" s="712">
        <f t="shared" si="17"/>
        <v>0.93054846074455555</v>
      </c>
      <c r="AS20" s="713">
        <f t="shared" si="18"/>
        <v>1.0724745594440308</v>
      </c>
      <c r="AT20" s="712">
        <f t="shared" si="19"/>
        <v>1.1000426564291237</v>
      </c>
      <c r="AU20" s="722">
        <f t="shared" si="20"/>
        <v>1.2653869179814989</v>
      </c>
      <c r="AV20" s="714">
        <f t="shared" si="21"/>
        <v>0.89817401857025936</v>
      </c>
      <c r="AW20" s="719"/>
    </row>
    <row r="21" spans="1:49" ht="17.100000000000001" customHeight="1">
      <c r="A21" s="175">
        <f t="shared" si="0"/>
        <v>2025</v>
      </c>
      <c r="B21" s="454" t="str">
        <f t="shared" si="1"/>
        <v>46</v>
      </c>
      <c r="C21" s="454" t="str">
        <f t="array" ref="C21">_xlfn.IFS(_xlfn.NUMBERVALUE(B21)&lt;=13,"Q1",AND(_xlfn.NUMBERVALUE(B21)&gt;13,_xlfn.NUMBERVALUE(B21)&lt;=26),"Q2", AND(_xlfn.NUMBERVALUE(B21)&gt;26,_xlfn.NUMBERVALUE(B21)&lt;=39),"Q3",_xlfn.NUMBERVALUE(B21)&gt;39,"Q4")</f>
        <v>Q4</v>
      </c>
      <c r="D21" s="448">
        <f t="shared" si="14"/>
        <v>45633</v>
      </c>
      <c r="E21" s="448">
        <f t="shared" si="15"/>
        <v>45639</v>
      </c>
      <c r="F21" s="695">
        <v>202446</v>
      </c>
      <c r="G21" s="697">
        <v>68430</v>
      </c>
      <c r="H21" s="661">
        <v>97517</v>
      </c>
      <c r="I21" s="869">
        <v>78392</v>
      </c>
      <c r="J21" s="703">
        <v>69059</v>
      </c>
      <c r="K21" s="661">
        <v>68952</v>
      </c>
      <c r="L21" s="661">
        <v>51178</v>
      </c>
      <c r="M21" s="697">
        <v>88424</v>
      </c>
      <c r="N21" s="661">
        <v>79037</v>
      </c>
      <c r="O21" s="869">
        <v>78689</v>
      </c>
      <c r="P21" s="703">
        <v>58171</v>
      </c>
      <c r="Q21" s="661">
        <v>87323</v>
      </c>
      <c r="R21" s="661">
        <v>59885</v>
      </c>
      <c r="S21" s="697">
        <v>67911</v>
      </c>
      <c r="T21" s="661">
        <v>85703</v>
      </c>
      <c r="U21" s="869">
        <v>85393</v>
      </c>
      <c r="V21" s="703">
        <v>67954</v>
      </c>
      <c r="W21" s="661">
        <v>50105</v>
      </c>
      <c r="X21" s="661">
        <v>53594</v>
      </c>
      <c r="Y21" s="697">
        <v>82128</v>
      </c>
      <c r="Z21" s="661">
        <v>78506</v>
      </c>
      <c r="AA21" s="869">
        <v>77766</v>
      </c>
      <c r="AB21" s="703">
        <v>52585</v>
      </c>
      <c r="AC21" s="661">
        <v>59280</v>
      </c>
      <c r="AD21" s="661">
        <v>69350</v>
      </c>
      <c r="AE21" s="711">
        <f t="shared" si="2"/>
        <v>0.99241560718982902</v>
      </c>
      <c r="AF21" s="712">
        <f t="shared" si="3"/>
        <v>0.87885189249054008</v>
      </c>
      <c r="AG21" s="713">
        <f t="shared" si="4"/>
        <v>1.089307582406368</v>
      </c>
      <c r="AH21" s="712">
        <f t="shared" si="5"/>
        <v>0.98399918909917605</v>
      </c>
      <c r="AI21" s="713">
        <f t="shared" si="6"/>
        <v>0.72666492632555979</v>
      </c>
      <c r="AJ21" s="713">
        <f t="shared" si="7"/>
        <v>1.0472077845949432</v>
      </c>
      <c r="AK21" s="711">
        <f t="shared" si="8"/>
        <v>0.76801547091287437</v>
      </c>
      <c r="AL21" s="712">
        <f t="shared" si="9"/>
        <v>1.0843402457077065</v>
      </c>
      <c r="AM21" s="713">
        <f t="shared" si="10"/>
        <v>1.0851961519399154</v>
      </c>
      <c r="AN21" s="712">
        <f t="shared" si="11"/>
        <v>1.1681765828333706</v>
      </c>
      <c r="AO21" s="713">
        <f t="shared" si="12"/>
        <v>0.57378926514205875</v>
      </c>
      <c r="AP21" s="714">
        <f t="shared" si="13"/>
        <v>0.89494865158219916</v>
      </c>
      <c r="AQ21" s="713">
        <f t="shared" si="16"/>
        <v>1.2093475283827362</v>
      </c>
      <c r="AR21" s="712">
        <f t="shared" si="17"/>
        <v>0.91602394315251512</v>
      </c>
      <c r="AS21" s="713">
        <f t="shared" si="18"/>
        <v>0.91068354548967712</v>
      </c>
      <c r="AT21" s="712">
        <f t="shared" si="19"/>
        <v>0.77383229831945144</v>
      </c>
      <c r="AU21" s="722">
        <f t="shared" si="20"/>
        <v>1.1831154575391678</v>
      </c>
      <c r="AV21" s="714">
        <f t="shared" si="21"/>
        <v>1.2939881329999627</v>
      </c>
    </row>
    <row r="22" spans="1:49" ht="17.100000000000001" customHeight="1">
      <c r="A22" s="175">
        <f t="shared" si="0"/>
        <v>2025</v>
      </c>
      <c r="B22" s="454" t="str">
        <f t="shared" si="1"/>
        <v>47</v>
      </c>
      <c r="C22" s="454" t="str">
        <f t="array" ref="C22">_xlfn.IFS(_xlfn.NUMBERVALUE(B22)&lt;=13,"Q1",AND(_xlfn.NUMBERVALUE(B22)&gt;13,_xlfn.NUMBERVALUE(B22)&lt;=26),"Q2", AND(_xlfn.NUMBERVALUE(B22)&gt;26,_xlfn.NUMBERVALUE(B22)&lt;=39),"Q3",_xlfn.NUMBERVALUE(B22)&gt;39,"Q4")</f>
        <v>Q4</v>
      </c>
      <c r="D22" s="448">
        <f t="shared" si="14"/>
        <v>45640</v>
      </c>
      <c r="E22" s="448">
        <f t="shared" si="15"/>
        <v>45646</v>
      </c>
      <c r="F22" s="695">
        <v>202447</v>
      </c>
      <c r="G22" s="697">
        <v>71511</v>
      </c>
      <c r="H22" s="661">
        <v>61508</v>
      </c>
      <c r="I22" s="869">
        <v>96148</v>
      </c>
      <c r="J22" s="703">
        <v>79466</v>
      </c>
      <c r="K22" s="661">
        <v>50380</v>
      </c>
      <c r="L22" s="661">
        <v>57940</v>
      </c>
      <c r="M22" s="697">
        <v>94333</v>
      </c>
      <c r="N22" s="661">
        <v>64246</v>
      </c>
      <c r="O22" s="869">
        <v>56667</v>
      </c>
      <c r="P22" s="703">
        <v>84323</v>
      </c>
      <c r="Q22" s="661">
        <v>78637</v>
      </c>
      <c r="R22" s="661">
        <v>61411</v>
      </c>
      <c r="S22" s="697">
        <v>72314</v>
      </c>
      <c r="T22" s="661">
        <v>84759</v>
      </c>
      <c r="U22" s="869">
        <v>98293</v>
      </c>
      <c r="V22" s="703">
        <v>95736</v>
      </c>
      <c r="W22" s="661">
        <v>95221</v>
      </c>
      <c r="X22" s="661">
        <v>72084</v>
      </c>
      <c r="Y22" s="697">
        <v>75031</v>
      </c>
      <c r="Z22" s="661">
        <v>79818</v>
      </c>
      <c r="AA22" s="869">
        <v>54900</v>
      </c>
      <c r="AB22" s="703">
        <v>68607</v>
      </c>
      <c r="AC22" s="661">
        <v>64711</v>
      </c>
      <c r="AD22" s="661">
        <v>87740</v>
      </c>
      <c r="AE22" s="711">
        <f t="shared" si="2"/>
        <v>1.0112290416858944</v>
      </c>
      <c r="AF22" s="712">
        <f t="shared" si="3"/>
        <v>1.378015867854588</v>
      </c>
      <c r="AG22" s="713">
        <f t="shared" si="4"/>
        <v>1.0223093564088697</v>
      </c>
      <c r="AH22" s="712">
        <f t="shared" si="5"/>
        <v>1.2047416505172024</v>
      </c>
      <c r="AI22" s="713">
        <f t="shared" si="6"/>
        <v>1.8900555776101629</v>
      </c>
      <c r="AJ22" s="713">
        <f t="shared" si="7"/>
        <v>1.2441146013117017</v>
      </c>
      <c r="AK22" s="711">
        <f t="shared" si="8"/>
        <v>0.76658221407142779</v>
      </c>
      <c r="AL22" s="712">
        <f t="shared" si="9"/>
        <v>1.3192883603648475</v>
      </c>
      <c r="AM22" s="713">
        <f t="shared" si="10"/>
        <v>1.7345721495755908</v>
      </c>
      <c r="AN22" s="712">
        <f t="shared" si="11"/>
        <v>1.1353486000260902</v>
      </c>
      <c r="AO22" s="713">
        <f t="shared" si="12"/>
        <v>1.2108930910385696</v>
      </c>
      <c r="AP22" s="714">
        <f t="shared" si="13"/>
        <v>1.1737962254319259</v>
      </c>
      <c r="AQ22" s="713">
        <f t="shared" si="16"/>
        <v>1.0375722543352601</v>
      </c>
      <c r="AR22" s="712">
        <f t="shared" si="17"/>
        <v>0.94170530563126043</v>
      </c>
      <c r="AS22" s="713">
        <f t="shared" si="18"/>
        <v>0.55853417842572717</v>
      </c>
      <c r="AT22" s="712">
        <f t="shared" si="19"/>
        <v>0.71662697417899224</v>
      </c>
      <c r="AU22" s="722">
        <f t="shared" si="20"/>
        <v>0.67958748595372864</v>
      </c>
      <c r="AV22" s="714">
        <f t="shared" si="21"/>
        <v>1.2171910548804172</v>
      </c>
      <c r="AW22" s="719"/>
    </row>
    <row r="23" spans="1:49" ht="17.100000000000001" customHeight="1">
      <c r="A23" s="175">
        <f t="shared" si="0"/>
        <v>2025</v>
      </c>
      <c r="B23" s="454" t="str">
        <f t="shared" si="1"/>
        <v>48</v>
      </c>
      <c r="C23" s="454" t="str">
        <f t="array" ref="C23">_xlfn.IFS(_xlfn.NUMBERVALUE(B23)&lt;=13,"Q1",AND(_xlfn.NUMBERVALUE(B23)&gt;13,_xlfn.NUMBERVALUE(B23)&lt;=26),"Q2", AND(_xlfn.NUMBERVALUE(B23)&gt;26,_xlfn.NUMBERVALUE(B23)&lt;=39),"Q3",_xlfn.NUMBERVALUE(B23)&gt;39,"Q4")</f>
        <v>Q4</v>
      </c>
      <c r="D23" s="448">
        <f t="shared" si="14"/>
        <v>45647</v>
      </c>
      <c r="E23" s="448">
        <f t="shared" si="15"/>
        <v>45653</v>
      </c>
      <c r="F23" s="695">
        <v>202448</v>
      </c>
      <c r="G23" s="697">
        <v>56240</v>
      </c>
      <c r="H23" s="661">
        <v>58917</v>
      </c>
      <c r="I23" s="869">
        <v>90994</v>
      </c>
      <c r="J23" s="703">
        <v>53581</v>
      </c>
      <c r="K23" s="661">
        <v>85547</v>
      </c>
      <c r="L23" s="661">
        <v>62106</v>
      </c>
      <c r="M23" s="697">
        <v>99580</v>
      </c>
      <c r="N23" s="661">
        <v>68920</v>
      </c>
      <c r="O23" s="869">
        <v>67302</v>
      </c>
      <c r="P23" s="703">
        <v>83588</v>
      </c>
      <c r="Q23" s="661">
        <v>72050</v>
      </c>
      <c r="R23" s="661">
        <v>58520</v>
      </c>
      <c r="S23" s="697">
        <v>83109</v>
      </c>
      <c r="T23" s="661">
        <v>69524</v>
      </c>
      <c r="U23" s="869">
        <v>63933</v>
      </c>
      <c r="V23" s="703">
        <v>54100</v>
      </c>
      <c r="W23" s="661">
        <v>86169</v>
      </c>
      <c r="X23" s="661">
        <v>55335</v>
      </c>
      <c r="Y23" s="697">
        <v>65849</v>
      </c>
      <c r="Z23" s="661">
        <v>98415</v>
      </c>
      <c r="AA23" s="869">
        <v>92082</v>
      </c>
      <c r="AB23" s="703">
        <v>81091</v>
      </c>
      <c r="AC23" s="661">
        <v>52182</v>
      </c>
      <c r="AD23" s="661">
        <v>91793</v>
      </c>
      <c r="AE23" s="711">
        <f t="shared" si="2"/>
        <v>1.4777560455192034</v>
      </c>
      <c r="AF23" s="712">
        <f t="shared" si="3"/>
        <v>1.1800329276779198</v>
      </c>
      <c r="AG23" s="713">
        <f t="shared" si="4"/>
        <v>0.70260676528122734</v>
      </c>
      <c r="AH23" s="712">
        <f t="shared" si="5"/>
        <v>1.0096862693865363</v>
      </c>
      <c r="AI23" s="713">
        <f t="shared" si="6"/>
        <v>1.0072708569558255</v>
      </c>
      <c r="AJ23" s="713">
        <f t="shared" si="7"/>
        <v>0.89097671722538885</v>
      </c>
      <c r="AK23" s="711">
        <f t="shared" si="8"/>
        <v>0.83459530026109663</v>
      </c>
      <c r="AL23" s="712">
        <f t="shared" si="9"/>
        <v>1.0087637840975043</v>
      </c>
      <c r="AM23" s="713">
        <f t="shared" si="10"/>
        <v>0.94994205224213246</v>
      </c>
      <c r="AN23" s="712">
        <f t="shared" si="11"/>
        <v>0.64722208929511416</v>
      </c>
      <c r="AO23" s="713">
        <f t="shared" si="12"/>
        <v>1.1959611380985427</v>
      </c>
      <c r="AP23" s="714">
        <f t="shared" si="13"/>
        <v>0.94557416267942584</v>
      </c>
      <c r="AQ23" s="713">
        <f t="shared" si="16"/>
        <v>0.79232092793800912</v>
      </c>
      <c r="AR23" s="712">
        <f t="shared" si="17"/>
        <v>1.415554340947011</v>
      </c>
      <c r="AS23" s="713">
        <f t="shared" si="18"/>
        <v>1.4402890526019427</v>
      </c>
      <c r="AT23" s="712">
        <f t="shared" si="19"/>
        <v>1.4989094269870611</v>
      </c>
      <c r="AU23" s="722">
        <f t="shared" si="20"/>
        <v>0.60557741183024061</v>
      </c>
      <c r="AV23" s="714">
        <f t="shared" si="21"/>
        <v>1.6588596729014187</v>
      </c>
    </row>
    <row r="24" spans="1:49" ht="17.100000000000001" customHeight="1">
      <c r="A24" s="175">
        <f t="shared" si="0"/>
        <v>2025</v>
      </c>
      <c r="B24" s="454" t="str">
        <f t="shared" si="1"/>
        <v>49</v>
      </c>
      <c r="C24" s="454" t="str">
        <f t="array" ref="C24">_xlfn.IFS(_xlfn.NUMBERVALUE(B24)&lt;=13,"Q1",AND(_xlfn.NUMBERVALUE(B24)&gt;13,_xlfn.NUMBERVALUE(B24)&lt;=26),"Q2", AND(_xlfn.NUMBERVALUE(B24)&gt;26,_xlfn.NUMBERVALUE(B24)&lt;=39),"Q3",_xlfn.NUMBERVALUE(B24)&gt;39,"Q4")</f>
        <v>Q4</v>
      </c>
      <c r="D24" s="448">
        <f t="shared" si="14"/>
        <v>45654</v>
      </c>
      <c r="E24" s="448">
        <f t="shared" si="15"/>
        <v>45660</v>
      </c>
      <c r="F24" s="695">
        <v>202449</v>
      </c>
      <c r="G24" s="697">
        <v>64012</v>
      </c>
      <c r="H24" s="661">
        <v>50330</v>
      </c>
      <c r="I24" s="869">
        <v>61911</v>
      </c>
      <c r="J24" s="703">
        <v>80903</v>
      </c>
      <c r="K24" s="661">
        <v>62710</v>
      </c>
      <c r="L24" s="661">
        <v>64180</v>
      </c>
      <c r="M24" s="697">
        <v>93383</v>
      </c>
      <c r="N24" s="661">
        <v>79731</v>
      </c>
      <c r="O24" s="869">
        <v>67223</v>
      </c>
      <c r="P24" s="703">
        <v>87480</v>
      </c>
      <c r="Q24" s="661">
        <v>74004</v>
      </c>
      <c r="R24" s="661">
        <v>60134</v>
      </c>
      <c r="S24" s="697">
        <v>72069</v>
      </c>
      <c r="T24" s="661">
        <v>54721</v>
      </c>
      <c r="U24" s="869">
        <v>92262</v>
      </c>
      <c r="V24" s="703">
        <v>98484</v>
      </c>
      <c r="W24" s="661">
        <v>87832</v>
      </c>
      <c r="X24" s="661">
        <v>79496</v>
      </c>
      <c r="Y24" s="697">
        <v>69425</v>
      </c>
      <c r="Z24" s="661">
        <v>79867</v>
      </c>
      <c r="AA24" s="869">
        <v>87520</v>
      </c>
      <c r="AB24" s="703">
        <v>71918</v>
      </c>
      <c r="AC24" s="661">
        <v>98723</v>
      </c>
      <c r="AD24" s="661">
        <v>92513</v>
      </c>
      <c r="AE24" s="711">
        <f t="shared" si="2"/>
        <v>1.1258670249328251</v>
      </c>
      <c r="AF24" s="712">
        <f t="shared" si="3"/>
        <v>1.0872441883568449</v>
      </c>
      <c r="AG24" s="713">
        <f t="shared" si="4"/>
        <v>1.4902359839123904</v>
      </c>
      <c r="AH24" s="712">
        <f t="shared" si="5"/>
        <v>1.2173096176903204</v>
      </c>
      <c r="AI24" s="713">
        <f t="shared" si="6"/>
        <v>1.4006059639610908</v>
      </c>
      <c r="AJ24" s="713">
        <f t="shared" si="7"/>
        <v>1.2386413212838892</v>
      </c>
      <c r="AK24" s="711">
        <f t="shared" si="8"/>
        <v>0.77175717207628802</v>
      </c>
      <c r="AL24" s="712">
        <f t="shared" si="9"/>
        <v>0.68632025184683498</v>
      </c>
      <c r="AM24" s="713">
        <f t="shared" si="10"/>
        <v>1.3724766820879759</v>
      </c>
      <c r="AN24" s="712">
        <f t="shared" si="11"/>
        <v>1.1257887517146776</v>
      </c>
      <c r="AO24" s="713">
        <f t="shared" si="12"/>
        <v>1.1868547646073184</v>
      </c>
      <c r="AP24" s="714">
        <f t="shared" si="13"/>
        <v>1.3219809093025576</v>
      </c>
      <c r="AQ24" s="713">
        <f t="shared" si="16"/>
        <v>0.96331293621390612</v>
      </c>
      <c r="AR24" s="712">
        <f t="shared" si="17"/>
        <v>1.4595310758209827</v>
      </c>
      <c r="AS24" s="713">
        <f t="shared" si="18"/>
        <v>0.94860289176475687</v>
      </c>
      <c r="AT24" s="712">
        <f t="shared" si="19"/>
        <v>0.73025059908208445</v>
      </c>
      <c r="AU24" s="722">
        <f t="shared" si="20"/>
        <v>1.1239980872574915</v>
      </c>
      <c r="AV24" s="714">
        <f t="shared" si="21"/>
        <v>1.1637440877528429</v>
      </c>
    </row>
    <row r="25" spans="1:49" ht="17.100000000000001" customHeight="1">
      <c r="A25" s="175">
        <f t="shared" si="0"/>
        <v>2025</v>
      </c>
      <c r="B25" s="454" t="str">
        <f t="shared" si="1"/>
        <v>50</v>
      </c>
      <c r="C25" s="454" t="str">
        <f t="array" ref="C25">_xlfn.IFS(_xlfn.NUMBERVALUE(B25)&lt;=13,"Q1",AND(_xlfn.NUMBERVALUE(B25)&gt;13,_xlfn.NUMBERVALUE(B25)&lt;=26),"Q2", AND(_xlfn.NUMBERVALUE(B25)&gt;26,_xlfn.NUMBERVALUE(B25)&lt;=39),"Q3",_xlfn.NUMBERVALUE(B25)&gt;39,"Q4")</f>
        <v>Q4</v>
      </c>
      <c r="D25" s="448">
        <f t="shared" si="14"/>
        <v>45661</v>
      </c>
      <c r="E25" s="448">
        <f t="shared" si="15"/>
        <v>45667</v>
      </c>
      <c r="F25" s="695">
        <v>202450</v>
      </c>
      <c r="G25" s="697">
        <v>70967</v>
      </c>
      <c r="H25" s="661">
        <v>62756</v>
      </c>
      <c r="I25" s="869">
        <v>60616</v>
      </c>
      <c r="J25" s="703">
        <v>70902</v>
      </c>
      <c r="K25" s="661">
        <v>95472</v>
      </c>
      <c r="L25" s="661">
        <v>65820</v>
      </c>
      <c r="M25" s="697">
        <v>50081</v>
      </c>
      <c r="N25" s="661">
        <v>62381</v>
      </c>
      <c r="O25" s="869">
        <v>80407</v>
      </c>
      <c r="P25" s="703">
        <v>79028</v>
      </c>
      <c r="Q25" s="661">
        <v>50971</v>
      </c>
      <c r="R25" s="661">
        <v>94043</v>
      </c>
      <c r="S25" s="697">
        <v>96785</v>
      </c>
      <c r="T25" s="661">
        <v>84851</v>
      </c>
      <c r="U25" s="869">
        <v>73278</v>
      </c>
      <c r="V25" s="703">
        <v>58501</v>
      </c>
      <c r="W25" s="661">
        <v>64415</v>
      </c>
      <c r="X25" s="661">
        <v>99449</v>
      </c>
      <c r="Y25" s="697">
        <v>55382</v>
      </c>
      <c r="Z25" s="661">
        <v>80793</v>
      </c>
      <c r="AA25" s="869">
        <v>72655</v>
      </c>
      <c r="AB25" s="703">
        <v>54096</v>
      </c>
      <c r="AC25" s="661">
        <v>65749</v>
      </c>
      <c r="AD25" s="661">
        <v>90330</v>
      </c>
      <c r="AE25" s="711">
        <f t="shared" si="2"/>
        <v>1.3638028943029858</v>
      </c>
      <c r="AF25" s="712">
        <f t="shared" si="3"/>
        <v>1.3520778889667919</v>
      </c>
      <c r="AG25" s="713">
        <f t="shared" si="4"/>
        <v>1.2088887422462715</v>
      </c>
      <c r="AH25" s="712">
        <f t="shared" si="5"/>
        <v>0.82509661222532504</v>
      </c>
      <c r="AI25" s="713">
        <f t="shared" si="6"/>
        <v>0.6747004357298475</v>
      </c>
      <c r="AJ25" s="713">
        <f t="shared" si="7"/>
        <v>1.5109237313886357</v>
      </c>
      <c r="AK25" s="711">
        <f t="shared" si="8"/>
        <v>1.9325692378347077</v>
      </c>
      <c r="AL25" s="712">
        <f t="shared" si="9"/>
        <v>1.3602058319039452</v>
      </c>
      <c r="AM25" s="713">
        <f t="shared" si="10"/>
        <v>0.91133856505030653</v>
      </c>
      <c r="AN25" s="712">
        <f t="shared" si="11"/>
        <v>0.74025661790757702</v>
      </c>
      <c r="AO25" s="713">
        <f t="shared" si="12"/>
        <v>1.2637578230758666</v>
      </c>
      <c r="AP25" s="714">
        <f t="shared" si="13"/>
        <v>1.0574843422689622</v>
      </c>
      <c r="AQ25" s="713">
        <f t="shared" si="16"/>
        <v>0.57221676912744746</v>
      </c>
      <c r="AR25" s="712">
        <f t="shared" si="17"/>
        <v>0.95217498909853748</v>
      </c>
      <c r="AS25" s="713">
        <f t="shared" si="18"/>
        <v>0.99149813040748924</v>
      </c>
      <c r="AT25" s="712">
        <f t="shared" si="19"/>
        <v>0.92470214184372912</v>
      </c>
      <c r="AU25" s="722">
        <f t="shared" si="20"/>
        <v>1.0207094620818133</v>
      </c>
      <c r="AV25" s="714">
        <f t="shared" si="21"/>
        <v>0.90830475922332055</v>
      </c>
    </row>
    <row r="26" spans="1:49" ht="17.100000000000001" customHeight="1">
      <c r="A26" s="175">
        <f t="shared" si="0"/>
        <v>2025</v>
      </c>
      <c r="B26" s="454" t="str">
        <f t="shared" si="1"/>
        <v>51</v>
      </c>
      <c r="C26" s="454" t="str">
        <f t="array" ref="C26">_xlfn.IFS(_xlfn.NUMBERVALUE(B26)&lt;=13,"Q1",AND(_xlfn.NUMBERVALUE(B26)&gt;13,_xlfn.NUMBERVALUE(B26)&lt;=26),"Q2", AND(_xlfn.NUMBERVALUE(B26)&gt;26,_xlfn.NUMBERVALUE(B26)&lt;=39),"Q3",_xlfn.NUMBERVALUE(B26)&gt;39,"Q4")</f>
        <v>Q4</v>
      </c>
      <c r="D26" s="448">
        <f t="shared" si="14"/>
        <v>45668</v>
      </c>
      <c r="E26" s="448">
        <f t="shared" si="15"/>
        <v>45674</v>
      </c>
      <c r="F26" s="695">
        <v>202451</v>
      </c>
      <c r="G26" s="697">
        <v>64510</v>
      </c>
      <c r="H26" s="661">
        <v>76626</v>
      </c>
      <c r="I26" s="869">
        <v>97895</v>
      </c>
      <c r="J26" s="703">
        <v>91113</v>
      </c>
      <c r="K26" s="661">
        <v>62716</v>
      </c>
      <c r="L26" s="661">
        <v>85409</v>
      </c>
      <c r="M26" s="697">
        <v>82625</v>
      </c>
      <c r="N26" s="661">
        <v>51699</v>
      </c>
      <c r="O26" s="869">
        <v>53556</v>
      </c>
      <c r="P26" s="703">
        <v>78978</v>
      </c>
      <c r="Q26" s="661">
        <v>59332</v>
      </c>
      <c r="R26" s="661">
        <v>97633</v>
      </c>
      <c r="S26" s="697">
        <v>90035</v>
      </c>
      <c r="T26" s="661">
        <v>53874</v>
      </c>
      <c r="U26" s="869">
        <v>74202</v>
      </c>
      <c r="V26" s="703">
        <v>56650</v>
      </c>
      <c r="W26" s="661">
        <v>69566</v>
      </c>
      <c r="X26" s="661">
        <v>79135</v>
      </c>
      <c r="Y26" s="697">
        <v>67750</v>
      </c>
      <c r="Z26" s="661">
        <v>55665</v>
      </c>
      <c r="AA26" s="869">
        <v>52335</v>
      </c>
      <c r="AB26" s="703">
        <v>74294</v>
      </c>
      <c r="AC26" s="661">
        <v>71591</v>
      </c>
      <c r="AD26" s="661">
        <v>75736</v>
      </c>
      <c r="AE26" s="711">
        <f t="shared" si="2"/>
        <v>1.3956750891334677</v>
      </c>
      <c r="AF26" s="712">
        <f t="shared" si="3"/>
        <v>0.70307728447263329</v>
      </c>
      <c r="AG26" s="713">
        <f t="shared" si="4"/>
        <v>0.75797538178660806</v>
      </c>
      <c r="AH26" s="712">
        <f t="shared" si="5"/>
        <v>0.62175540263189666</v>
      </c>
      <c r="AI26" s="713">
        <f t="shared" si="6"/>
        <v>1.1092225269468716</v>
      </c>
      <c r="AJ26" s="713">
        <f t="shared" si="7"/>
        <v>0.92654169935252728</v>
      </c>
      <c r="AK26" s="711">
        <f t="shared" si="8"/>
        <v>1.0896822995461422</v>
      </c>
      <c r="AL26" s="712">
        <f t="shared" si="9"/>
        <v>1.0420704462368711</v>
      </c>
      <c r="AM26" s="713">
        <f t="shared" si="10"/>
        <v>1.3855030248711628</v>
      </c>
      <c r="AN26" s="712">
        <f t="shared" si="11"/>
        <v>0.71728835878345865</v>
      </c>
      <c r="AO26" s="713">
        <f t="shared" si="12"/>
        <v>1.1724870221802737</v>
      </c>
      <c r="AP26" s="714">
        <f t="shared" si="13"/>
        <v>0.81053537226142802</v>
      </c>
      <c r="AQ26" s="713">
        <f t="shared" si="16"/>
        <v>0.75248514466596328</v>
      </c>
      <c r="AR26" s="712">
        <f t="shared" si="17"/>
        <v>1.0332442365519545</v>
      </c>
      <c r="AS26" s="713">
        <f t="shared" si="18"/>
        <v>0.70530443923344388</v>
      </c>
      <c r="AT26" s="712">
        <f t="shared" si="19"/>
        <v>1.3114563106796115</v>
      </c>
      <c r="AU26" s="722">
        <f t="shared" si="20"/>
        <v>1.0291090475232154</v>
      </c>
      <c r="AV26" s="714">
        <f t="shared" si="21"/>
        <v>0.95704808239085104</v>
      </c>
    </row>
    <row r="27" spans="1:49" ht="17.100000000000001" customHeight="1">
      <c r="A27" s="175">
        <f t="shared" si="0"/>
        <v>2025</v>
      </c>
      <c r="B27" s="454" t="str">
        <f t="shared" si="1"/>
        <v>52</v>
      </c>
      <c r="C27" s="454" t="str">
        <f t="array" ref="C27">_xlfn.IFS(_xlfn.NUMBERVALUE(B27)&lt;=13,"Q1",AND(_xlfn.NUMBERVALUE(B27)&gt;13,_xlfn.NUMBERVALUE(B27)&lt;=26),"Q2", AND(_xlfn.NUMBERVALUE(B27)&gt;26,_xlfn.NUMBERVALUE(B27)&lt;=39),"Q3",_xlfn.NUMBERVALUE(B27)&gt;39,"Q4")</f>
        <v>Q4</v>
      </c>
      <c r="D27" s="448">
        <f t="shared" si="14"/>
        <v>45675</v>
      </c>
      <c r="E27" s="448">
        <f t="shared" si="15"/>
        <v>45681</v>
      </c>
      <c r="F27" s="695">
        <v>202452</v>
      </c>
      <c r="G27" s="697">
        <v>86966</v>
      </c>
      <c r="H27" s="661">
        <v>71508</v>
      </c>
      <c r="I27" s="869">
        <v>63115</v>
      </c>
      <c r="J27" s="703">
        <v>99596</v>
      </c>
      <c r="K27" s="661">
        <v>50981</v>
      </c>
      <c r="L27" s="661">
        <v>69353</v>
      </c>
      <c r="M27" s="697">
        <v>54350</v>
      </c>
      <c r="N27" s="661">
        <v>91373</v>
      </c>
      <c r="O27" s="869">
        <v>98178</v>
      </c>
      <c r="P27" s="703">
        <v>69855</v>
      </c>
      <c r="Q27" s="661">
        <v>93195</v>
      </c>
      <c r="R27" s="661">
        <v>87923</v>
      </c>
      <c r="S27" s="697">
        <v>51700</v>
      </c>
      <c r="T27" s="661">
        <v>74751</v>
      </c>
      <c r="U27" s="869">
        <v>89099</v>
      </c>
      <c r="V27" s="703">
        <v>59797</v>
      </c>
      <c r="W27" s="661">
        <v>75446</v>
      </c>
      <c r="X27" s="661">
        <v>62006</v>
      </c>
      <c r="Y27" s="697">
        <v>91721</v>
      </c>
      <c r="Z27" s="661">
        <v>72183</v>
      </c>
      <c r="AA27" s="869">
        <v>79398</v>
      </c>
      <c r="AB27" s="703">
        <v>99324</v>
      </c>
      <c r="AC27" s="661">
        <v>63837</v>
      </c>
      <c r="AD27" s="661">
        <v>97843</v>
      </c>
      <c r="AE27" s="711">
        <f t="shared" si="2"/>
        <v>0.59448520111307868</v>
      </c>
      <c r="AF27" s="712">
        <f t="shared" si="3"/>
        <v>1.0453515690552106</v>
      </c>
      <c r="AG27" s="713">
        <f t="shared" si="4"/>
        <v>1.4116929414560722</v>
      </c>
      <c r="AH27" s="712">
        <f t="shared" si="5"/>
        <v>0.60039559821679589</v>
      </c>
      <c r="AI27" s="713">
        <f t="shared" si="6"/>
        <v>1.4798846629136344</v>
      </c>
      <c r="AJ27" s="713">
        <f t="shared" si="7"/>
        <v>0.89406370308422134</v>
      </c>
      <c r="AK27" s="711">
        <f t="shared" si="8"/>
        <v>0.95124195032198711</v>
      </c>
      <c r="AL27" s="712">
        <f t="shared" si="9"/>
        <v>0.81808630558261197</v>
      </c>
      <c r="AM27" s="713">
        <f t="shared" si="10"/>
        <v>0.90752510745788262</v>
      </c>
      <c r="AN27" s="712">
        <f t="shared" si="11"/>
        <v>0.85601603321165276</v>
      </c>
      <c r="AO27" s="713">
        <f t="shared" si="12"/>
        <v>0.80954986855517996</v>
      </c>
      <c r="AP27" s="714">
        <f t="shared" si="13"/>
        <v>0.70523071323771935</v>
      </c>
      <c r="AQ27" s="713">
        <f t="shared" si="16"/>
        <v>1.774100580270793</v>
      </c>
      <c r="AR27" s="712">
        <f t="shared" si="17"/>
        <v>0.96564594453585906</v>
      </c>
      <c r="AS27" s="713">
        <f t="shared" si="18"/>
        <v>0.89112111247039805</v>
      </c>
      <c r="AT27" s="712">
        <f t="shared" si="19"/>
        <v>1.661019783601184</v>
      </c>
      <c r="AU27" s="722">
        <f t="shared" si="20"/>
        <v>0.84612835670545816</v>
      </c>
      <c r="AV27" s="714">
        <f t="shared" si="21"/>
        <v>1.5779601974002515</v>
      </c>
      <c r="AW27" s="719"/>
    </row>
    <row r="28" spans="1:49" ht="17.850000000000001" customHeight="1">
      <c r="A28" s="175">
        <f t="shared" si="0"/>
        <v>2025</v>
      </c>
      <c r="B28" s="454" t="str">
        <f t="shared" si="1"/>
        <v>53</v>
      </c>
      <c r="C28" s="454" t="str">
        <f t="array" ref="C28">_xlfn.IFS(_xlfn.NUMBERVALUE(B28)&lt;=13,"Q1",AND(_xlfn.NUMBERVALUE(B28)&gt;13,_xlfn.NUMBERVALUE(B28)&lt;=26),"Q2", AND(_xlfn.NUMBERVALUE(B28)&gt;26,_xlfn.NUMBERVALUE(B28)&lt;=39),"Q3",_xlfn.NUMBERVALUE(B28)&gt;39,"Q4")</f>
        <v>Q4</v>
      </c>
      <c r="D28" s="448">
        <f t="shared" si="14"/>
        <v>45682</v>
      </c>
      <c r="E28" s="448">
        <f t="shared" si="15"/>
        <v>45688</v>
      </c>
      <c r="F28" s="695">
        <v>202453</v>
      </c>
      <c r="G28" s="697">
        <v>67036</v>
      </c>
      <c r="H28" s="661">
        <v>69203</v>
      </c>
      <c r="I28" s="869">
        <v>67146</v>
      </c>
      <c r="J28" s="703">
        <v>67164</v>
      </c>
      <c r="K28" s="661">
        <v>51821</v>
      </c>
      <c r="L28" s="661">
        <v>76963</v>
      </c>
      <c r="M28" s="697">
        <v>74717</v>
      </c>
      <c r="N28" s="661">
        <v>51721</v>
      </c>
      <c r="O28" s="869">
        <v>54480</v>
      </c>
      <c r="P28" s="703">
        <v>79129</v>
      </c>
      <c r="Q28" s="661">
        <v>84980</v>
      </c>
      <c r="R28" s="661">
        <v>91873</v>
      </c>
      <c r="S28" s="697">
        <v>99835</v>
      </c>
      <c r="T28" s="661">
        <v>89004</v>
      </c>
      <c r="U28" s="869">
        <v>65555</v>
      </c>
      <c r="V28" s="703">
        <v>76519</v>
      </c>
      <c r="W28" s="661">
        <v>95961</v>
      </c>
      <c r="X28" s="661">
        <v>90987</v>
      </c>
      <c r="Y28" s="697">
        <v>65047</v>
      </c>
      <c r="Z28" s="661">
        <v>85554</v>
      </c>
      <c r="AA28" s="869">
        <v>77132</v>
      </c>
      <c r="AB28" s="703">
        <v>65523</v>
      </c>
      <c r="AC28" s="661">
        <v>66167</v>
      </c>
      <c r="AD28" s="661">
        <v>68405</v>
      </c>
      <c r="AE28" s="711">
        <f t="shared" si="2"/>
        <v>1.48927441971478</v>
      </c>
      <c r="AF28" s="712">
        <f t="shared" si="3"/>
        <v>1.286129214051414</v>
      </c>
      <c r="AG28" s="713">
        <f t="shared" si="4"/>
        <v>0.97630536442975013</v>
      </c>
      <c r="AH28" s="712">
        <f t="shared" si="5"/>
        <v>1.1392859269846942</v>
      </c>
      <c r="AI28" s="713">
        <f t="shared" si="6"/>
        <v>1.8517782366222189</v>
      </c>
      <c r="AJ28" s="713">
        <f t="shared" si="7"/>
        <v>1.1822174291542689</v>
      </c>
      <c r="AK28" s="711">
        <f t="shared" si="8"/>
        <v>1.3361751676325335</v>
      </c>
      <c r="AL28" s="712">
        <f t="shared" si="9"/>
        <v>1.7208483981361535</v>
      </c>
      <c r="AM28" s="713">
        <f t="shared" si="10"/>
        <v>1.2032856093979443</v>
      </c>
      <c r="AN28" s="712">
        <f t="shared" si="11"/>
        <v>0.9670158854528681</v>
      </c>
      <c r="AO28" s="713">
        <f t="shared" si="12"/>
        <v>1.1292186396799246</v>
      </c>
      <c r="AP28" s="714">
        <f t="shared" si="13"/>
        <v>0.990356252653119</v>
      </c>
      <c r="AQ28" s="713">
        <f t="shared" si="16"/>
        <v>0.65154504933139679</v>
      </c>
      <c r="AR28" s="712">
        <f t="shared" si="17"/>
        <v>0.96123769718214913</v>
      </c>
      <c r="AS28" s="713">
        <f t="shared" si="18"/>
        <v>1.1765998016932346</v>
      </c>
      <c r="AT28" s="712">
        <f t="shared" si="19"/>
        <v>0.85629712881767928</v>
      </c>
      <c r="AU28" s="722">
        <f t="shared" si="20"/>
        <v>0.68951970071174751</v>
      </c>
      <c r="AV28" s="714">
        <f t="shared" si="21"/>
        <v>0.7518106982316155</v>
      </c>
    </row>
    <row r="29" spans="1:49" ht="17.25" customHeight="1">
      <c r="A29" s="175">
        <f t="shared" si="0"/>
        <v>2026</v>
      </c>
      <c r="B29" s="454" t="str">
        <f t="shared" si="1"/>
        <v>01</v>
      </c>
      <c r="C29" s="454" t="str">
        <f t="array" ref="C29">_xlfn.IFS(_xlfn.NUMBERVALUE(B29)&lt;=13,"Q1",AND(_xlfn.NUMBERVALUE(B29)&gt;13,_xlfn.NUMBERVALUE(B29)&lt;=26),"Q2", AND(_xlfn.NUMBERVALUE(B29)&gt;26,_xlfn.NUMBERVALUE(B29)&lt;=39),"Q3",_xlfn.NUMBERVALUE(B29)&gt;39,"Q4")</f>
        <v>Q1</v>
      </c>
      <c r="D29" s="448">
        <f t="shared" si="14"/>
        <v>45689</v>
      </c>
      <c r="E29" s="448">
        <f t="shared" si="15"/>
        <v>45695</v>
      </c>
      <c r="F29" s="695">
        <v>202501</v>
      </c>
      <c r="G29" s="697">
        <v>51805</v>
      </c>
      <c r="H29" s="661">
        <v>60119</v>
      </c>
      <c r="I29" s="869">
        <v>74232</v>
      </c>
      <c r="J29" s="703">
        <v>96103</v>
      </c>
      <c r="K29" s="661">
        <v>75911</v>
      </c>
      <c r="L29" s="661">
        <v>78934</v>
      </c>
      <c r="M29" s="697">
        <v>88773</v>
      </c>
      <c r="N29" s="661">
        <v>50629</v>
      </c>
      <c r="O29" s="869">
        <v>74230</v>
      </c>
      <c r="P29" s="703">
        <v>72620</v>
      </c>
      <c r="Q29" s="661">
        <v>76615</v>
      </c>
      <c r="R29" s="661">
        <v>94627</v>
      </c>
      <c r="S29" s="697">
        <v>80406</v>
      </c>
      <c r="T29" s="661">
        <v>96250</v>
      </c>
      <c r="U29" s="869">
        <v>96494</v>
      </c>
      <c r="V29" s="703">
        <v>78873</v>
      </c>
      <c r="W29" s="661">
        <v>91203</v>
      </c>
      <c r="X29" s="661">
        <v>89605</v>
      </c>
      <c r="Y29" s="697">
        <v>63845</v>
      </c>
      <c r="Z29" s="661">
        <v>62881</v>
      </c>
      <c r="AA29" s="869">
        <v>58333</v>
      </c>
      <c r="AB29" s="703">
        <v>92528</v>
      </c>
      <c r="AC29" s="661">
        <v>51020</v>
      </c>
      <c r="AD29" s="661">
        <v>60411</v>
      </c>
      <c r="AE29" s="711">
        <f t="shared" si="2"/>
        <v>1.5520895666441463</v>
      </c>
      <c r="AF29" s="712">
        <f t="shared" si="3"/>
        <v>1.600991367121875</v>
      </c>
      <c r="AG29" s="713">
        <f t="shared" si="4"/>
        <v>1.2998976182778317</v>
      </c>
      <c r="AH29" s="712">
        <f t="shared" si="5"/>
        <v>0.82071319313653057</v>
      </c>
      <c r="AI29" s="713">
        <f t="shared" si="6"/>
        <v>1.2014464306885695</v>
      </c>
      <c r="AJ29" s="713">
        <f t="shared" si="7"/>
        <v>1.1351888919857096</v>
      </c>
      <c r="AK29" s="711">
        <f t="shared" si="8"/>
        <v>0.90574836943665304</v>
      </c>
      <c r="AL29" s="712">
        <f t="shared" si="9"/>
        <v>1.9010843587667148</v>
      </c>
      <c r="AM29" s="713">
        <f t="shared" si="10"/>
        <v>1.299932641789034</v>
      </c>
      <c r="AN29" s="712">
        <f t="shared" si="11"/>
        <v>1.0861057559900853</v>
      </c>
      <c r="AO29" s="713">
        <f t="shared" si="12"/>
        <v>1.1904065783462769</v>
      </c>
      <c r="AP29" s="714">
        <f t="shared" si="13"/>
        <v>0.94692846650533147</v>
      </c>
      <c r="AQ29" s="713">
        <f t="shared" si="16"/>
        <v>0.79403278362311269</v>
      </c>
      <c r="AR29" s="712">
        <f t="shared" si="17"/>
        <v>0.65330909090909095</v>
      </c>
      <c r="AS29" s="713">
        <f t="shared" si="18"/>
        <v>0.60452463365597864</v>
      </c>
      <c r="AT29" s="712">
        <f t="shared" si="19"/>
        <v>1.1731264184194845</v>
      </c>
      <c r="AU29" s="722">
        <f t="shared" si="20"/>
        <v>0.55941142286986179</v>
      </c>
      <c r="AV29" s="714">
        <f t="shared" si="21"/>
        <v>0.6741922883767647</v>
      </c>
    </row>
    <row r="30" spans="1:49" ht="17.25" customHeight="1">
      <c r="A30" s="175">
        <f t="shared" si="0"/>
        <v>2026</v>
      </c>
      <c r="B30" s="454" t="str">
        <f t="shared" si="1"/>
        <v>02</v>
      </c>
      <c r="C30" s="454" t="str">
        <f t="array" ref="C30">_xlfn.IFS(_xlfn.NUMBERVALUE(B30)&lt;=13,"Q1",AND(_xlfn.NUMBERVALUE(B30)&gt;13,_xlfn.NUMBERVALUE(B30)&lt;=26),"Q2", AND(_xlfn.NUMBERVALUE(B30)&gt;26,_xlfn.NUMBERVALUE(B30)&lt;=39),"Q3",_xlfn.NUMBERVALUE(B30)&gt;39,"Q4")</f>
        <v>Q1</v>
      </c>
      <c r="D30" s="448">
        <f t="shared" si="14"/>
        <v>45696</v>
      </c>
      <c r="E30" s="448">
        <f t="shared" si="15"/>
        <v>45702</v>
      </c>
      <c r="F30" s="695">
        <v>202502</v>
      </c>
      <c r="G30" s="697">
        <v>68487</v>
      </c>
      <c r="H30" s="661">
        <v>72415</v>
      </c>
      <c r="I30" s="869">
        <v>91257</v>
      </c>
      <c r="J30" s="703">
        <v>70031</v>
      </c>
      <c r="K30" s="661">
        <v>88597</v>
      </c>
      <c r="L30" s="661">
        <v>94931</v>
      </c>
      <c r="M30" s="697">
        <v>66077</v>
      </c>
      <c r="N30" s="661">
        <v>63463</v>
      </c>
      <c r="O30" s="869">
        <v>96376</v>
      </c>
      <c r="P30" s="703">
        <v>61962</v>
      </c>
      <c r="Q30" s="661">
        <v>59293</v>
      </c>
      <c r="R30" s="661">
        <v>88937</v>
      </c>
      <c r="S30" s="697">
        <v>69009</v>
      </c>
      <c r="T30" s="661">
        <v>67383</v>
      </c>
      <c r="U30" s="869">
        <v>99743</v>
      </c>
      <c r="V30" s="703">
        <v>79935</v>
      </c>
      <c r="W30" s="661">
        <v>52456</v>
      </c>
      <c r="X30" s="661">
        <v>51877</v>
      </c>
      <c r="Y30" s="697">
        <v>98452</v>
      </c>
      <c r="Z30" s="661">
        <v>64732</v>
      </c>
      <c r="AA30" s="869">
        <v>94132</v>
      </c>
      <c r="AB30" s="703">
        <v>78259</v>
      </c>
      <c r="AC30" s="661">
        <v>68044</v>
      </c>
      <c r="AD30" s="661">
        <v>88299</v>
      </c>
      <c r="AE30" s="711">
        <f t="shared" si="2"/>
        <v>1.0076218844452232</v>
      </c>
      <c r="AF30" s="712">
        <f t="shared" si="3"/>
        <v>0.93051163432990402</v>
      </c>
      <c r="AG30" s="713">
        <f t="shared" si="4"/>
        <v>1.0929901267847946</v>
      </c>
      <c r="AH30" s="712">
        <f t="shared" si="5"/>
        <v>1.1414230840627722</v>
      </c>
      <c r="AI30" s="713">
        <f t="shared" si="6"/>
        <v>0.59207422373218055</v>
      </c>
      <c r="AJ30" s="713">
        <f t="shared" si="7"/>
        <v>0.54647059443174517</v>
      </c>
      <c r="AK30" s="711">
        <f t="shared" si="8"/>
        <v>1.0443724745372822</v>
      </c>
      <c r="AL30" s="712">
        <f t="shared" si="9"/>
        <v>1.0617682744276193</v>
      </c>
      <c r="AM30" s="713">
        <f t="shared" si="10"/>
        <v>1.0349360836722836</v>
      </c>
      <c r="AN30" s="712">
        <f t="shared" si="11"/>
        <v>1.2900648784739033</v>
      </c>
      <c r="AO30" s="713">
        <f t="shared" si="12"/>
        <v>0.88469127890307453</v>
      </c>
      <c r="AP30" s="714">
        <f t="shared" si="13"/>
        <v>0.58330053858349173</v>
      </c>
      <c r="AQ30" s="713">
        <f t="shared" si="16"/>
        <v>1.4266544943413177</v>
      </c>
      <c r="AR30" s="712">
        <f t="shared" si="17"/>
        <v>0.96065773266254095</v>
      </c>
      <c r="AS30" s="713">
        <f t="shared" si="18"/>
        <v>0.94374542574416254</v>
      </c>
      <c r="AT30" s="712">
        <f t="shared" si="19"/>
        <v>0.9790329642834803</v>
      </c>
      <c r="AU30" s="722">
        <f t="shared" si="20"/>
        <v>1.2971633368918714</v>
      </c>
      <c r="AV30" s="714">
        <f t="shared" si="21"/>
        <v>1.7020837750833704</v>
      </c>
    </row>
    <row r="31" spans="1:49" ht="17.25" customHeight="1">
      <c r="A31" s="175">
        <f t="shared" si="0"/>
        <v>2026</v>
      </c>
      <c r="B31" s="454" t="str">
        <f t="shared" si="1"/>
        <v>03</v>
      </c>
      <c r="C31" s="454" t="str">
        <f t="array" ref="C31">_xlfn.IFS(_xlfn.NUMBERVALUE(B31)&lt;=13,"Q1",AND(_xlfn.NUMBERVALUE(B31)&gt;13,_xlfn.NUMBERVALUE(B31)&lt;=26),"Q2", AND(_xlfn.NUMBERVALUE(B31)&gt;26,_xlfn.NUMBERVALUE(B31)&lt;=39),"Q3",_xlfn.NUMBERVALUE(B31)&gt;39,"Q4")</f>
        <v>Q1</v>
      </c>
      <c r="D31" s="448">
        <f t="shared" si="14"/>
        <v>45703</v>
      </c>
      <c r="E31" s="448">
        <f t="shared" si="15"/>
        <v>45709</v>
      </c>
      <c r="F31" s="695">
        <v>202503</v>
      </c>
      <c r="G31" s="697">
        <v>57390</v>
      </c>
      <c r="H31" s="661">
        <v>59564</v>
      </c>
      <c r="I31" s="869">
        <v>96514</v>
      </c>
      <c r="J31" s="703">
        <v>75074</v>
      </c>
      <c r="K31" s="661">
        <v>58881</v>
      </c>
      <c r="L31" s="661">
        <v>89936</v>
      </c>
      <c r="M31" s="697">
        <v>78845</v>
      </c>
      <c r="N31" s="661">
        <v>91718</v>
      </c>
      <c r="O31" s="869">
        <v>53864</v>
      </c>
      <c r="P31" s="703">
        <v>65309</v>
      </c>
      <c r="Q31" s="661">
        <v>88811</v>
      </c>
      <c r="R31" s="661">
        <v>52867</v>
      </c>
      <c r="S31" s="697">
        <v>59396</v>
      </c>
      <c r="T31" s="661">
        <v>85614</v>
      </c>
      <c r="U31" s="869">
        <v>53057</v>
      </c>
      <c r="V31" s="703">
        <v>70563</v>
      </c>
      <c r="W31" s="661">
        <v>88867</v>
      </c>
      <c r="X31" s="661">
        <v>77385</v>
      </c>
      <c r="Y31" s="697">
        <v>84501</v>
      </c>
      <c r="Z31" s="661">
        <v>79249</v>
      </c>
      <c r="AA31" s="869">
        <v>64389</v>
      </c>
      <c r="AB31" s="703">
        <v>59111</v>
      </c>
      <c r="AC31" s="661">
        <v>83819</v>
      </c>
      <c r="AD31" s="661">
        <v>81255</v>
      </c>
      <c r="AE31" s="711">
        <f t="shared" si="2"/>
        <v>1.0349538247081373</v>
      </c>
      <c r="AF31" s="712">
        <f t="shared" si="3"/>
        <v>1.4373447048552817</v>
      </c>
      <c r="AG31" s="713">
        <f t="shared" si="4"/>
        <v>0.54973371738815091</v>
      </c>
      <c r="AH31" s="712">
        <f t="shared" si="5"/>
        <v>0.93991261954871197</v>
      </c>
      <c r="AI31" s="713">
        <f t="shared" si="6"/>
        <v>1.5092644486336848</v>
      </c>
      <c r="AJ31" s="713">
        <f t="shared" si="7"/>
        <v>0.86044520547945202</v>
      </c>
      <c r="AK31" s="711">
        <f t="shared" si="8"/>
        <v>0.75332614623628635</v>
      </c>
      <c r="AL31" s="712">
        <f t="shared" si="9"/>
        <v>0.93344817811116687</v>
      </c>
      <c r="AM31" s="713">
        <f t="shared" si="10"/>
        <v>0.98501782266448834</v>
      </c>
      <c r="AN31" s="712">
        <f t="shared" si="11"/>
        <v>1.0804483302454486</v>
      </c>
      <c r="AO31" s="713">
        <f t="shared" si="12"/>
        <v>1.000630552521647</v>
      </c>
      <c r="AP31" s="714">
        <f t="shared" si="13"/>
        <v>1.463767567669813</v>
      </c>
      <c r="AQ31" s="713">
        <f t="shared" si="16"/>
        <v>1.422671560374436</v>
      </c>
      <c r="AR31" s="712">
        <f t="shared" si="17"/>
        <v>0.92565468264536177</v>
      </c>
      <c r="AS31" s="713">
        <f t="shared" si="18"/>
        <v>1.2135816197674199</v>
      </c>
      <c r="AT31" s="712">
        <f t="shared" si="19"/>
        <v>0.83770531298272466</v>
      </c>
      <c r="AU31" s="722">
        <f t="shared" si="20"/>
        <v>0.94319601201795944</v>
      </c>
      <c r="AV31" s="714">
        <f t="shared" si="21"/>
        <v>1.0500096918007367</v>
      </c>
    </row>
    <row r="32" spans="1:49" ht="17.25" customHeight="1">
      <c r="A32" s="175">
        <f t="shared" si="0"/>
        <v>2026</v>
      </c>
      <c r="B32" s="454" t="str">
        <f t="shared" si="1"/>
        <v>04</v>
      </c>
      <c r="C32" s="454" t="str">
        <f t="array" ref="C32">_xlfn.IFS(_xlfn.NUMBERVALUE(B32)&lt;=13,"Q1",AND(_xlfn.NUMBERVALUE(B32)&gt;13,_xlfn.NUMBERVALUE(B32)&lt;=26),"Q2", AND(_xlfn.NUMBERVALUE(B32)&gt;26,_xlfn.NUMBERVALUE(B32)&lt;=39),"Q3",_xlfn.NUMBERVALUE(B32)&gt;39,"Q4")</f>
        <v>Q1</v>
      </c>
      <c r="D32" s="448">
        <f t="shared" si="14"/>
        <v>45710</v>
      </c>
      <c r="E32" s="448">
        <f t="shared" si="15"/>
        <v>45716</v>
      </c>
      <c r="F32" s="695">
        <v>202504</v>
      </c>
      <c r="G32" s="697">
        <v>92896</v>
      </c>
      <c r="H32" s="661">
        <v>59120</v>
      </c>
      <c r="I32" s="869">
        <v>91095</v>
      </c>
      <c r="J32" s="703">
        <v>82442</v>
      </c>
      <c r="K32" s="661">
        <v>64831</v>
      </c>
      <c r="L32" s="661">
        <v>92011</v>
      </c>
      <c r="M32" s="697">
        <v>87164</v>
      </c>
      <c r="N32" s="661">
        <v>66254</v>
      </c>
      <c r="O32" s="869">
        <v>65637</v>
      </c>
      <c r="P32" s="703">
        <v>78870</v>
      </c>
      <c r="Q32" s="661">
        <v>74923</v>
      </c>
      <c r="R32" s="661">
        <v>72911</v>
      </c>
      <c r="S32" s="697">
        <v>81224</v>
      </c>
      <c r="T32" s="661">
        <v>58513</v>
      </c>
      <c r="U32" s="869">
        <v>98894</v>
      </c>
      <c r="V32" s="703">
        <v>93951</v>
      </c>
      <c r="W32" s="661">
        <v>69797</v>
      </c>
      <c r="X32" s="661">
        <v>73082</v>
      </c>
      <c r="Y32" s="697">
        <v>50375</v>
      </c>
      <c r="Z32" s="661">
        <v>57926</v>
      </c>
      <c r="AA32" s="869">
        <v>70036</v>
      </c>
      <c r="AB32" s="703">
        <v>90601</v>
      </c>
      <c r="AC32" s="661">
        <v>81779</v>
      </c>
      <c r="AD32" s="661">
        <v>74495</v>
      </c>
      <c r="AE32" s="711">
        <f t="shared" si="2"/>
        <v>0.87435411643127803</v>
      </c>
      <c r="AF32" s="712">
        <f t="shared" si="3"/>
        <v>0.98973274695534508</v>
      </c>
      <c r="AG32" s="713">
        <f t="shared" si="4"/>
        <v>1.0856139195345518</v>
      </c>
      <c r="AH32" s="712">
        <f t="shared" si="5"/>
        <v>1.1396011741588026</v>
      </c>
      <c r="AI32" s="713">
        <f t="shared" si="6"/>
        <v>1.0765991578103069</v>
      </c>
      <c r="AJ32" s="713">
        <f t="shared" si="7"/>
        <v>0.79427459760246055</v>
      </c>
      <c r="AK32" s="711">
        <f t="shared" si="8"/>
        <v>0.93185259969712264</v>
      </c>
      <c r="AL32" s="712">
        <f t="shared" si="9"/>
        <v>0.88316177136474783</v>
      </c>
      <c r="AM32" s="713">
        <f t="shared" si="10"/>
        <v>1.5066806831512713</v>
      </c>
      <c r="AN32" s="712">
        <f t="shared" si="11"/>
        <v>1.191213389121339</v>
      </c>
      <c r="AO32" s="713">
        <f t="shared" si="12"/>
        <v>0.93158309197442712</v>
      </c>
      <c r="AP32" s="714">
        <f t="shared" si="13"/>
        <v>1.0023453251224095</v>
      </c>
      <c r="AQ32" s="713">
        <f t="shared" si="16"/>
        <v>0.62019846350832264</v>
      </c>
      <c r="AR32" s="712">
        <f t="shared" si="17"/>
        <v>0.98996804128996974</v>
      </c>
      <c r="AS32" s="713">
        <f t="shared" si="18"/>
        <v>0.70819261026958158</v>
      </c>
      <c r="AT32" s="712">
        <f t="shared" si="19"/>
        <v>0.96434311502804648</v>
      </c>
      <c r="AU32" s="722">
        <f t="shared" si="20"/>
        <v>1.1716692694528419</v>
      </c>
      <c r="AV32" s="714">
        <f t="shared" si="21"/>
        <v>1.0193344462384719</v>
      </c>
    </row>
    <row r="33" spans="1:48" ht="17.25" customHeight="1">
      <c r="A33" s="175">
        <f t="shared" si="0"/>
        <v>2026</v>
      </c>
      <c r="B33" s="454" t="str">
        <f t="shared" si="1"/>
        <v>05</v>
      </c>
      <c r="C33" s="454" t="str">
        <f t="array" ref="C33">_xlfn.IFS(_xlfn.NUMBERVALUE(B33)&lt;=13,"Q1",AND(_xlfn.NUMBERVALUE(B33)&gt;13,_xlfn.NUMBERVALUE(B33)&lt;=26),"Q2", AND(_xlfn.NUMBERVALUE(B33)&gt;26,_xlfn.NUMBERVALUE(B33)&lt;=39),"Q3",_xlfn.NUMBERVALUE(B33)&gt;39,"Q4")</f>
        <v>Q1</v>
      </c>
      <c r="D33" s="448">
        <f t="shared" si="14"/>
        <v>45717</v>
      </c>
      <c r="E33" s="448">
        <f t="shared" si="15"/>
        <v>45723</v>
      </c>
      <c r="F33" s="695">
        <v>202505</v>
      </c>
      <c r="G33" s="697">
        <v>88163</v>
      </c>
      <c r="H33" s="661">
        <v>66178</v>
      </c>
      <c r="I33" s="869">
        <v>82793</v>
      </c>
      <c r="J33" s="703">
        <v>71502</v>
      </c>
      <c r="K33" s="661">
        <v>77134</v>
      </c>
      <c r="L33" s="661">
        <v>79534</v>
      </c>
      <c r="M33" s="697">
        <v>54394</v>
      </c>
      <c r="N33" s="661">
        <v>69956</v>
      </c>
      <c r="O33" s="869">
        <v>69297</v>
      </c>
      <c r="P33" s="703">
        <v>68160</v>
      </c>
      <c r="Q33" s="661">
        <v>95208</v>
      </c>
      <c r="R33" s="661">
        <v>81073</v>
      </c>
      <c r="S33" s="697">
        <v>97365</v>
      </c>
      <c r="T33" s="661">
        <v>58098</v>
      </c>
      <c r="U33" s="869">
        <v>69415</v>
      </c>
      <c r="V33" s="703">
        <v>84762</v>
      </c>
      <c r="W33" s="661">
        <v>72320</v>
      </c>
      <c r="X33" s="661">
        <v>54712</v>
      </c>
      <c r="Y33" s="697">
        <v>95696</v>
      </c>
      <c r="Z33" s="661">
        <v>80888</v>
      </c>
      <c r="AA33" s="869">
        <v>52443</v>
      </c>
      <c r="AB33" s="703">
        <v>59088</v>
      </c>
      <c r="AC33" s="661">
        <v>66990</v>
      </c>
      <c r="AD33" s="661">
        <v>81110</v>
      </c>
      <c r="AE33" s="711">
        <f t="shared" si="2"/>
        <v>1.1043748511280242</v>
      </c>
      <c r="AF33" s="712">
        <f t="shared" si="3"/>
        <v>0.87790504397231706</v>
      </c>
      <c r="AG33" s="713">
        <f t="shared" si="4"/>
        <v>0.83841629123235051</v>
      </c>
      <c r="AH33" s="712">
        <f t="shared" si="5"/>
        <v>1.1854493580599144</v>
      </c>
      <c r="AI33" s="713">
        <f t="shared" si="6"/>
        <v>0.93758913060388416</v>
      </c>
      <c r="AJ33" s="713">
        <f t="shared" si="7"/>
        <v>0.68790705861644075</v>
      </c>
      <c r="AK33" s="711">
        <f t="shared" si="8"/>
        <v>1.7899952200610361</v>
      </c>
      <c r="AL33" s="712">
        <f t="shared" si="9"/>
        <v>0.83049345302761735</v>
      </c>
      <c r="AM33" s="713">
        <f t="shared" si="10"/>
        <v>1.0017028154176948</v>
      </c>
      <c r="AN33" s="712">
        <f t="shared" si="11"/>
        <v>1.2435739436619719</v>
      </c>
      <c r="AO33" s="713">
        <f t="shared" si="12"/>
        <v>0.75960003361062101</v>
      </c>
      <c r="AP33" s="714">
        <f t="shared" si="13"/>
        <v>0.67484859324312652</v>
      </c>
      <c r="AQ33" s="713">
        <f t="shared" si="16"/>
        <v>0.98285831664355772</v>
      </c>
      <c r="AR33" s="712">
        <f t="shared" si="17"/>
        <v>1.3922682364281043</v>
      </c>
      <c r="AS33" s="713">
        <f t="shared" si="18"/>
        <v>0.75549953180148388</v>
      </c>
      <c r="AT33" s="712">
        <f t="shared" si="19"/>
        <v>0.69710483471366891</v>
      </c>
      <c r="AU33" s="722">
        <f t="shared" si="20"/>
        <v>0.92629977876106195</v>
      </c>
      <c r="AV33" s="714">
        <f t="shared" si="21"/>
        <v>1.4824901301359847</v>
      </c>
    </row>
    <row r="34" spans="1:48" ht="17.25" customHeight="1">
      <c r="A34" s="175">
        <f t="shared" si="0"/>
        <v>2026</v>
      </c>
      <c r="B34" s="454" t="str">
        <f t="shared" si="1"/>
        <v>06</v>
      </c>
      <c r="C34" s="454" t="str">
        <f t="array" ref="C34">_xlfn.IFS(_xlfn.NUMBERVALUE(B34)&lt;=13,"Q1",AND(_xlfn.NUMBERVALUE(B34)&gt;13,_xlfn.NUMBERVALUE(B34)&lt;=26),"Q2", AND(_xlfn.NUMBERVALUE(B34)&gt;26,_xlfn.NUMBERVALUE(B34)&lt;=39),"Q3",_xlfn.NUMBERVALUE(B34)&gt;39,"Q4")</f>
        <v>Q1</v>
      </c>
      <c r="D34" s="448">
        <f t="shared" si="14"/>
        <v>45724</v>
      </c>
      <c r="E34" s="448">
        <f t="shared" si="15"/>
        <v>45730</v>
      </c>
      <c r="F34" s="695">
        <v>202506</v>
      </c>
      <c r="G34" s="697">
        <v>99690</v>
      </c>
      <c r="H34" s="661">
        <v>64366</v>
      </c>
      <c r="I34" s="869">
        <v>56348</v>
      </c>
      <c r="J34" s="703">
        <v>87284</v>
      </c>
      <c r="K34" s="661">
        <v>86419</v>
      </c>
      <c r="L34" s="661">
        <v>74700</v>
      </c>
      <c r="M34" s="697">
        <v>76583</v>
      </c>
      <c r="N34" s="661">
        <v>73558</v>
      </c>
      <c r="O34" s="869">
        <v>62913</v>
      </c>
      <c r="P34" s="703">
        <v>70570</v>
      </c>
      <c r="Q34" s="661">
        <v>77491</v>
      </c>
      <c r="R34" s="661">
        <v>60912</v>
      </c>
      <c r="S34" s="697">
        <v>83109</v>
      </c>
      <c r="T34" s="661">
        <v>95923</v>
      </c>
      <c r="U34" s="869">
        <v>76551</v>
      </c>
      <c r="V34" s="703">
        <v>75018</v>
      </c>
      <c r="W34" s="661">
        <v>51781</v>
      </c>
      <c r="X34" s="661">
        <v>70866</v>
      </c>
      <c r="Y34" s="697">
        <v>68679</v>
      </c>
      <c r="Z34" s="661">
        <v>89261</v>
      </c>
      <c r="AA34" s="869">
        <v>82099</v>
      </c>
      <c r="AB34" s="703">
        <v>82523</v>
      </c>
      <c r="AC34" s="661">
        <v>65523</v>
      </c>
      <c r="AD34" s="661">
        <v>63650</v>
      </c>
      <c r="AE34" s="711">
        <f t="shared" si="2"/>
        <v>0.83367439061089377</v>
      </c>
      <c r="AF34" s="712">
        <f t="shared" si="3"/>
        <v>1.4902743684553956</v>
      </c>
      <c r="AG34" s="713">
        <f t="shared" si="4"/>
        <v>1.3585397884574431</v>
      </c>
      <c r="AH34" s="712">
        <f t="shared" si="5"/>
        <v>0.85947023509463361</v>
      </c>
      <c r="AI34" s="713">
        <f t="shared" si="6"/>
        <v>0.59918536432960345</v>
      </c>
      <c r="AJ34" s="713">
        <f t="shared" si="7"/>
        <v>0.94867469879518074</v>
      </c>
      <c r="AK34" s="711">
        <f t="shared" si="8"/>
        <v>1.0852147343405194</v>
      </c>
      <c r="AL34" s="712">
        <f t="shared" si="9"/>
        <v>1.3040457869980151</v>
      </c>
      <c r="AM34" s="713">
        <f t="shared" si="10"/>
        <v>1.2167755471842068</v>
      </c>
      <c r="AN34" s="712">
        <f t="shared" si="11"/>
        <v>1.0630296159841293</v>
      </c>
      <c r="AO34" s="713">
        <f t="shared" si="12"/>
        <v>0.66821953517182642</v>
      </c>
      <c r="AP34" s="714">
        <f t="shared" si="13"/>
        <v>1.1634160756501182</v>
      </c>
      <c r="AQ34" s="713">
        <f t="shared" si="16"/>
        <v>0.82637259502580951</v>
      </c>
      <c r="AR34" s="712">
        <f t="shared" si="17"/>
        <v>0.93054846074455555</v>
      </c>
      <c r="AS34" s="713">
        <f t="shared" si="18"/>
        <v>1.0724745594440308</v>
      </c>
      <c r="AT34" s="712">
        <f t="shared" si="19"/>
        <v>1.1000426564291237</v>
      </c>
      <c r="AU34" s="722">
        <f t="shared" si="20"/>
        <v>1.2653869179814989</v>
      </c>
      <c r="AV34" s="714">
        <f t="shared" si="21"/>
        <v>0.89817401857025936</v>
      </c>
    </row>
    <row r="35" spans="1:48" ht="17.25" customHeight="1">
      <c r="A35" s="175">
        <f t="shared" si="0"/>
        <v>2026</v>
      </c>
      <c r="B35" s="454" t="str">
        <f t="shared" si="1"/>
        <v>07</v>
      </c>
      <c r="C35" s="454" t="str">
        <f t="array" ref="C35">_xlfn.IFS(_xlfn.NUMBERVALUE(B35)&lt;=13,"Q1",AND(_xlfn.NUMBERVALUE(B35)&gt;13,_xlfn.NUMBERVALUE(B35)&lt;=26),"Q2", AND(_xlfn.NUMBERVALUE(B35)&gt;26,_xlfn.NUMBERVALUE(B35)&lt;=39),"Q3",_xlfn.NUMBERVALUE(B35)&gt;39,"Q4")</f>
        <v>Q1</v>
      </c>
      <c r="D35" s="448">
        <f t="shared" si="14"/>
        <v>45731</v>
      </c>
      <c r="E35" s="448">
        <f t="shared" si="15"/>
        <v>45737</v>
      </c>
      <c r="F35" s="695">
        <v>202507</v>
      </c>
      <c r="G35" s="697"/>
      <c r="H35" s="661"/>
      <c r="I35" s="869"/>
      <c r="J35" s="703"/>
      <c r="K35" s="661"/>
      <c r="L35" s="661"/>
      <c r="M35" s="697"/>
      <c r="N35" s="661"/>
      <c r="O35" s="869"/>
      <c r="P35" s="703"/>
      <c r="Q35" s="661"/>
      <c r="R35" s="661"/>
      <c r="S35" s="697"/>
      <c r="T35" s="661"/>
      <c r="U35" s="869"/>
      <c r="V35" s="703"/>
      <c r="W35" s="661"/>
      <c r="X35" s="661"/>
      <c r="Y35" s="697"/>
      <c r="Z35" s="661"/>
      <c r="AA35" s="869"/>
      <c r="AB35" s="703"/>
      <c r="AC35" s="661"/>
      <c r="AD35" s="661"/>
      <c r="AE35" s="711" t="str">
        <f t="shared" si="2"/>
        <v/>
      </c>
      <c r="AF35" s="712" t="str">
        <f t="shared" si="3"/>
        <v/>
      </c>
      <c r="AG35" s="713" t="str">
        <f t="shared" si="4"/>
        <v/>
      </c>
      <c r="AH35" s="712" t="str">
        <f t="shared" si="5"/>
        <v/>
      </c>
      <c r="AI35" s="713" t="str">
        <f t="shared" si="6"/>
        <v/>
      </c>
      <c r="AJ35" s="713" t="str">
        <f t="shared" si="7"/>
        <v/>
      </c>
      <c r="AK35" s="711" t="str">
        <f t="shared" si="8"/>
        <v/>
      </c>
      <c r="AL35" s="712" t="str">
        <f t="shared" si="9"/>
        <v/>
      </c>
      <c r="AM35" s="713" t="str">
        <f t="shared" si="10"/>
        <v/>
      </c>
      <c r="AN35" s="712" t="str">
        <f t="shared" si="11"/>
        <v/>
      </c>
      <c r="AO35" s="713" t="str">
        <f t="shared" si="12"/>
        <v/>
      </c>
      <c r="AP35" s="714" t="str">
        <f t="shared" si="13"/>
        <v/>
      </c>
      <c r="AQ35" s="713" t="str">
        <f t="shared" si="16"/>
        <v xml:space="preserve"> </v>
      </c>
      <c r="AR35" s="712" t="str">
        <f t="shared" si="17"/>
        <v xml:space="preserve"> </v>
      </c>
      <c r="AS35" s="713" t="str">
        <f t="shared" si="18"/>
        <v xml:space="preserve"> </v>
      </c>
      <c r="AT35" s="712" t="str">
        <f t="shared" si="19"/>
        <v xml:space="preserve"> </v>
      </c>
      <c r="AU35" s="722" t="str">
        <f t="shared" si="20"/>
        <v xml:space="preserve"> </v>
      </c>
      <c r="AV35" s="714" t="str">
        <f t="shared" si="21"/>
        <v xml:space="preserve"> </v>
      </c>
    </row>
    <row r="36" spans="1:48" ht="17.25" customHeight="1">
      <c r="A36" s="175">
        <f t="shared" si="0"/>
        <v>2026</v>
      </c>
      <c r="B36" s="454" t="str">
        <f t="shared" si="1"/>
        <v>08</v>
      </c>
      <c r="C36" s="454" t="str">
        <f t="array" ref="C36">_xlfn.IFS(_xlfn.NUMBERVALUE(B36)&lt;=13,"Q1",AND(_xlfn.NUMBERVALUE(B36)&gt;13,_xlfn.NUMBERVALUE(B36)&lt;=26),"Q2", AND(_xlfn.NUMBERVALUE(B36)&gt;26,_xlfn.NUMBERVALUE(B36)&lt;=39),"Q3",_xlfn.NUMBERVALUE(B36)&gt;39,"Q4")</f>
        <v>Q1</v>
      </c>
      <c r="D36" s="448">
        <f t="shared" si="14"/>
        <v>45738</v>
      </c>
      <c r="E36" s="448">
        <f t="shared" si="15"/>
        <v>45744</v>
      </c>
      <c r="F36" s="695">
        <v>202508</v>
      </c>
      <c r="G36" s="697"/>
      <c r="H36" s="661"/>
      <c r="I36" s="869"/>
      <c r="J36" s="703"/>
      <c r="K36" s="661"/>
      <c r="L36" s="698"/>
      <c r="M36" s="697"/>
      <c r="N36" s="661"/>
      <c r="O36" s="870"/>
      <c r="P36" s="703"/>
      <c r="Q36" s="661"/>
      <c r="R36" s="698"/>
      <c r="S36" s="704"/>
      <c r="T36" s="699"/>
      <c r="U36" s="871"/>
      <c r="V36" s="705"/>
      <c r="W36" s="699"/>
      <c r="X36" s="720"/>
      <c r="Y36" s="699"/>
      <c r="Z36" s="699"/>
      <c r="AA36" s="871"/>
      <c r="AB36" s="705"/>
      <c r="AC36" s="699"/>
      <c r="AD36" s="699"/>
      <c r="AE36" s="711" t="str">
        <f t="shared" si="2"/>
        <v/>
      </c>
      <c r="AF36" s="712" t="str">
        <f t="shared" si="3"/>
        <v/>
      </c>
      <c r="AG36" s="713" t="str">
        <f t="shared" si="4"/>
        <v/>
      </c>
      <c r="AH36" s="712" t="str">
        <f t="shared" si="5"/>
        <v/>
      </c>
      <c r="AI36" s="713" t="str">
        <f t="shared" si="6"/>
        <v/>
      </c>
      <c r="AJ36" s="713" t="str">
        <f t="shared" si="7"/>
        <v/>
      </c>
      <c r="AK36" s="711" t="str">
        <f t="shared" si="8"/>
        <v/>
      </c>
      <c r="AL36" s="712" t="str">
        <f t="shared" si="9"/>
        <v/>
      </c>
      <c r="AM36" s="713" t="str">
        <f t="shared" si="10"/>
        <v/>
      </c>
      <c r="AN36" s="712" t="str">
        <f t="shared" si="11"/>
        <v/>
      </c>
      <c r="AO36" s="713" t="str">
        <f t="shared" si="12"/>
        <v/>
      </c>
      <c r="AP36" s="714" t="str">
        <f t="shared" si="13"/>
        <v/>
      </c>
      <c r="AQ36" s="713" t="str">
        <f t="shared" si="16"/>
        <v xml:space="preserve"> </v>
      </c>
      <c r="AR36" s="712" t="str">
        <f t="shared" si="17"/>
        <v xml:space="preserve"> </v>
      </c>
      <c r="AS36" s="713" t="str">
        <f t="shared" si="18"/>
        <v xml:space="preserve"> </v>
      </c>
      <c r="AT36" s="712" t="str">
        <f t="shared" si="19"/>
        <v xml:space="preserve"> </v>
      </c>
      <c r="AU36" s="722" t="str">
        <f t="shared" si="20"/>
        <v xml:space="preserve"> </v>
      </c>
      <c r="AV36" s="714" t="str">
        <f t="shared" si="21"/>
        <v xml:space="preserve"> </v>
      </c>
    </row>
    <row r="37" spans="1:48" ht="17.25" customHeight="1">
      <c r="A37" s="175">
        <f t="shared" si="0"/>
        <v>2026</v>
      </c>
      <c r="B37" s="454" t="str">
        <f t="shared" si="1"/>
        <v>09</v>
      </c>
      <c r="C37" s="454" t="str">
        <f t="array" ref="C37">_xlfn.IFS(_xlfn.NUMBERVALUE(B37)&lt;=13,"Q1",AND(_xlfn.NUMBERVALUE(B37)&gt;13,_xlfn.NUMBERVALUE(B37)&lt;=26),"Q2", AND(_xlfn.NUMBERVALUE(B37)&gt;26,_xlfn.NUMBERVALUE(B37)&lt;=39),"Q3",_xlfn.NUMBERVALUE(B37)&gt;39,"Q4")</f>
        <v>Q1</v>
      </c>
      <c r="D37" s="448">
        <f t="shared" si="14"/>
        <v>45745</v>
      </c>
      <c r="E37" s="448">
        <f t="shared" si="15"/>
        <v>45751</v>
      </c>
      <c r="F37" s="695">
        <v>202509</v>
      </c>
      <c r="G37" s="697"/>
      <c r="H37" s="661"/>
      <c r="I37" s="869"/>
      <c r="J37" s="703"/>
      <c r="K37" s="661"/>
      <c r="L37" s="698"/>
      <c r="M37" s="697"/>
      <c r="N37" s="703"/>
      <c r="O37" s="661"/>
      <c r="P37" s="703"/>
      <c r="Q37" s="661"/>
      <c r="R37" s="698"/>
      <c r="S37" s="704"/>
      <c r="T37" s="699"/>
      <c r="U37" s="871"/>
      <c r="V37" s="705"/>
      <c r="W37" s="699"/>
      <c r="X37" s="720"/>
      <c r="Y37" s="699"/>
      <c r="Z37" s="699"/>
      <c r="AA37" s="871"/>
      <c r="AB37" s="705"/>
      <c r="AC37" s="699"/>
      <c r="AD37" s="699"/>
      <c r="AE37" s="711" t="str">
        <f t="shared" si="2"/>
        <v/>
      </c>
      <c r="AF37" s="712" t="str">
        <f t="shared" si="3"/>
        <v/>
      </c>
      <c r="AG37" s="713" t="str">
        <f t="shared" si="4"/>
        <v/>
      </c>
      <c r="AH37" s="712" t="str">
        <f t="shared" si="5"/>
        <v/>
      </c>
      <c r="AI37" s="713" t="str">
        <f t="shared" si="6"/>
        <v/>
      </c>
      <c r="AJ37" s="713" t="str">
        <f t="shared" si="7"/>
        <v/>
      </c>
      <c r="AK37" s="711" t="str">
        <f t="shared" si="8"/>
        <v/>
      </c>
      <c r="AL37" s="712" t="str">
        <f t="shared" si="9"/>
        <v/>
      </c>
      <c r="AM37" s="713" t="str">
        <f t="shared" si="10"/>
        <v/>
      </c>
      <c r="AN37" s="712" t="str">
        <f t="shared" si="11"/>
        <v/>
      </c>
      <c r="AO37" s="713" t="str">
        <f t="shared" si="12"/>
        <v/>
      </c>
      <c r="AP37" s="714" t="str">
        <f t="shared" si="13"/>
        <v/>
      </c>
      <c r="AQ37" s="713" t="str">
        <f t="shared" si="16"/>
        <v xml:space="preserve"> </v>
      </c>
      <c r="AR37" s="712" t="str">
        <f t="shared" si="17"/>
        <v xml:space="preserve"> </v>
      </c>
      <c r="AS37" s="713" t="str">
        <f t="shared" si="18"/>
        <v xml:space="preserve"> </v>
      </c>
      <c r="AT37" s="712" t="str">
        <f t="shared" si="19"/>
        <v xml:space="preserve"> </v>
      </c>
      <c r="AU37" s="722" t="str">
        <f t="shared" si="20"/>
        <v xml:space="preserve"> </v>
      </c>
      <c r="AV37" s="714" t="str">
        <f t="shared" si="21"/>
        <v xml:space="preserve"> </v>
      </c>
    </row>
    <row r="38" spans="1:48" ht="17.25" customHeight="1">
      <c r="A38" s="175">
        <f t="shared" si="0"/>
        <v>2026</v>
      </c>
      <c r="B38" s="454" t="str">
        <f t="shared" si="1"/>
        <v>10</v>
      </c>
      <c r="C38" s="454" t="str">
        <f t="array" ref="C38">_xlfn.IFS(_xlfn.NUMBERVALUE(B38)&lt;=13,"Q1",AND(_xlfn.NUMBERVALUE(B38)&gt;13,_xlfn.NUMBERVALUE(B38)&lt;=26),"Q2", AND(_xlfn.NUMBERVALUE(B38)&gt;26,_xlfn.NUMBERVALUE(B38)&lt;=39),"Q3",_xlfn.NUMBERVALUE(B38)&gt;39,"Q4")</f>
        <v>Q1</v>
      </c>
      <c r="D38" s="448">
        <f t="shared" si="14"/>
        <v>45752</v>
      </c>
      <c r="E38" s="448">
        <f t="shared" si="15"/>
        <v>45758</v>
      </c>
      <c r="F38" s="695">
        <v>202510</v>
      </c>
      <c r="G38" s="697"/>
      <c r="H38" s="661"/>
      <c r="I38" s="869"/>
      <c r="J38" s="703"/>
      <c r="K38" s="661"/>
      <c r="L38" s="698"/>
      <c r="M38" s="697"/>
      <c r="N38" s="703"/>
      <c r="O38" s="661"/>
      <c r="P38" s="703"/>
      <c r="Q38" s="661"/>
      <c r="R38" s="698"/>
      <c r="S38" s="704"/>
      <c r="T38" s="699"/>
      <c r="U38" s="871"/>
      <c r="V38" s="705"/>
      <c r="W38" s="699"/>
      <c r="X38" s="720"/>
      <c r="Y38" s="699"/>
      <c r="Z38" s="705"/>
      <c r="AA38" s="699"/>
      <c r="AB38" s="705"/>
      <c r="AC38" s="699"/>
      <c r="AD38" s="699"/>
      <c r="AE38" s="711" t="str">
        <f t="shared" si="2"/>
        <v/>
      </c>
      <c r="AF38" s="712" t="str">
        <f t="shared" si="3"/>
        <v/>
      </c>
      <c r="AG38" s="713" t="str">
        <f t="shared" si="4"/>
        <v/>
      </c>
      <c r="AH38" s="712" t="str">
        <f t="shared" si="5"/>
        <v/>
      </c>
      <c r="AI38" s="713" t="str">
        <f t="shared" si="6"/>
        <v/>
      </c>
      <c r="AJ38" s="713" t="str">
        <f t="shared" si="7"/>
        <v/>
      </c>
      <c r="AK38" s="711" t="str">
        <f t="shared" si="8"/>
        <v/>
      </c>
      <c r="AL38" s="712" t="str">
        <f t="shared" si="9"/>
        <v/>
      </c>
      <c r="AM38" s="713" t="str">
        <f t="shared" si="10"/>
        <v/>
      </c>
      <c r="AN38" s="712" t="str">
        <f t="shared" si="11"/>
        <v/>
      </c>
      <c r="AO38" s="713" t="str">
        <f t="shared" si="12"/>
        <v/>
      </c>
      <c r="AP38" s="714" t="str">
        <f t="shared" si="13"/>
        <v/>
      </c>
      <c r="AQ38" s="713" t="str">
        <f t="shared" si="16"/>
        <v xml:space="preserve"> </v>
      </c>
      <c r="AR38" s="712" t="str">
        <f t="shared" si="17"/>
        <v xml:space="preserve"> </v>
      </c>
      <c r="AS38" s="713" t="str">
        <f t="shared" si="18"/>
        <v xml:space="preserve"> </v>
      </c>
      <c r="AT38" s="712" t="str">
        <f t="shared" si="19"/>
        <v xml:space="preserve"> </v>
      </c>
      <c r="AU38" s="722" t="str">
        <f t="shared" si="20"/>
        <v xml:space="preserve"> </v>
      </c>
      <c r="AV38" s="714" t="str">
        <f t="shared" si="21"/>
        <v xml:space="preserve"> </v>
      </c>
    </row>
    <row r="39" spans="1:48" ht="17.25" customHeight="1">
      <c r="A39" s="175">
        <f t="shared" si="0"/>
        <v>2026</v>
      </c>
      <c r="B39" s="454" t="str">
        <f t="shared" si="1"/>
        <v>11</v>
      </c>
      <c r="C39" s="454" t="str">
        <f t="array" ref="C39">_xlfn.IFS(_xlfn.NUMBERVALUE(B39)&lt;=13,"Q1",AND(_xlfn.NUMBERVALUE(B39)&gt;13,_xlfn.NUMBERVALUE(B39)&lt;=26),"Q2", AND(_xlfn.NUMBERVALUE(B39)&gt;26,_xlfn.NUMBERVALUE(B39)&lt;=39),"Q3",_xlfn.NUMBERVALUE(B39)&gt;39,"Q4")</f>
        <v>Q1</v>
      </c>
      <c r="D39" s="448">
        <f t="shared" si="14"/>
        <v>45759</v>
      </c>
      <c r="E39" s="448">
        <f t="shared" si="15"/>
        <v>45765</v>
      </c>
      <c r="F39" s="695">
        <v>202511</v>
      </c>
      <c r="G39" s="697"/>
      <c r="H39" s="703"/>
      <c r="I39" s="661"/>
      <c r="J39" s="703"/>
      <c r="K39" s="661"/>
      <c r="L39" s="698"/>
      <c r="M39" s="697"/>
      <c r="N39" s="703"/>
      <c r="O39" s="661"/>
      <c r="P39" s="703"/>
      <c r="Q39" s="661"/>
      <c r="R39" s="698"/>
      <c r="S39" s="704"/>
      <c r="T39" s="699"/>
      <c r="U39" s="871"/>
      <c r="V39" s="705"/>
      <c r="W39" s="699"/>
      <c r="X39" s="720"/>
      <c r="Y39" s="699"/>
      <c r="Z39" s="705"/>
      <c r="AA39" s="699"/>
      <c r="AB39" s="705"/>
      <c r="AC39" s="699"/>
      <c r="AD39" s="699"/>
      <c r="AE39" s="711" t="str">
        <f t="shared" si="2"/>
        <v/>
      </c>
      <c r="AF39" s="712" t="str">
        <f t="shared" si="3"/>
        <v/>
      </c>
      <c r="AG39" s="713" t="str">
        <f t="shared" si="4"/>
        <v/>
      </c>
      <c r="AH39" s="712" t="str">
        <f t="shared" si="5"/>
        <v/>
      </c>
      <c r="AI39" s="713" t="str">
        <f t="shared" si="6"/>
        <v/>
      </c>
      <c r="AJ39" s="713" t="str">
        <f t="shared" si="7"/>
        <v/>
      </c>
      <c r="AK39" s="711" t="str">
        <f t="shared" si="8"/>
        <v/>
      </c>
      <c r="AL39" s="712" t="str">
        <f t="shared" si="9"/>
        <v/>
      </c>
      <c r="AM39" s="713" t="str">
        <f t="shared" si="10"/>
        <v/>
      </c>
      <c r="AN39" s="712" t="str">
        <f t="shared" si="11"/>
        <v/>
      </c>
      <c r="AO39" s="713" t="str">
        <f t="shared" si="12"/>
        <v/>
      </c>
      <c r="AP39" s="714" t="str">
        <f t="shared" si="13"/>
        <v/>
      </c>
      <c r="AQ39" s="713" t="str">
        <f t="shared" si="16"/>
        <v xml:space="preserve"> </v>
      </c>
      <c r="AR39" s="712" t="str">
        <f t="shared" si="17"/>
        <v xml:space="preserve"> </v>
      </c>
      <c r="AS39" s="713" t="str">
        <f t="shared" si="18"/>
        <v xml:space="preserve"> </v>
      </c>
      <c r="AT39" s="712" t="str">
        <f t="shared" si="19"/>
        <v xml:space="preserve"> </v>
      </c>
      <c r="AU39" s="722" t="str">
        <f t="shared" si="20"/>
        <v xml:space="preserve"> </v>
      </c>
      <c r="AV39" s="714" t="str">
        <f t="shared" si="21"/>
        <v xml:space="preserve"> </v>
      </c>
    </row>
    <row r="40" spans="1:48" ht="17.25" customHeight="1">
      <c r="A40" s="175">
        <f t="shared" ref="A40:A71" si="22">LEFT(F40,4)+1</f>
        <v>2026</v>
      </c>
      <c r="B40" s="454" t="str">
        <f t="shared" ref="B40:B71" si="23">RIGHT(F40,2)</f>
        <v>12</v>
      </c>
      <c r="C40" s="454" t="str">
        <f t="array" ref="C40">_xlfn.IFS(_xlfn.NUMBERVALUE(B40)&lt;=13,"Q1",AND(_xlfn.NUMBERVALUE(B40)&gt;13,_xlfn.NUMBERVALUE(B40)&lt;=26),"Q2", AND(_xlfn.NUMBERVALUE(B40)&gt;26,_xlfn.NUMBERVALUE(B40)&lt;=39),"Q3",_xlfn.NUMBERVALUE(B40)&gt;39,"Q4")</f>
        <v>Q1</v>
      </c>
      <c r="D40" s="448">
        <f t="shared" si="14"/>
        <v>45766</v>
      </c>
      <c r="E40" s="448">
        <f t="shared" si="15"/>
        <v>45772</v>
      </c>
      <c r="F40" s="695">
        <v>202512</v>
      </c>
      <c r="G40" s="697"/>
      <c r="H40" s="703"/>
      <c r="I40" s="661"/>
      <c r="J40" s="703"/>
      <c r="K40" s="661"/>
      <c r="L40" s="698"/>
      <c r="M40" s="697"/>
      <c r="N40" s="703"/>
      <c r="O40" s="661"/>
      <c r="P40" s="703"/>
      <c r="Q40" s="661"/>
      <c r="R40" s="698"/>
      <c r="S40" s="704"/>
      <c r="T40" s="699"/>
      <c r="U40" s="871"/>
      <c r="V40" s="705"/>
      <c r="W40" s="699"/>
      <c r="X40" s="720"/>
      <c r="Y40" s="699"/>
      <c r="Z40" s="705"/>
      <c r="AA40" s="699"/>
      <c r="AB40" s="705"/>
      <c r="AC40" s="699"/>
      <c r="AD40" s="699"/>
      <c r="AE40" s="711" t="str">
        <f t="shared" ref="AE40:AE71" si="24">IFERROR(S40/G40,"")</f>
        <v/>
      </c>
      <c r="AF40" s="712" t="str">
        <f t="shared" ref="AF40:AF71" si="25">IFERROR(T40/H40,"")</f>
        <v/>
      </c>
      <c r="AG40" s="713" t="str">
        <f t="shared" ref="AG40:AG71" si="26">IFERROR(U40/I40,"")</f>
        <v/>
      </c>
      <c r="AH40" s="712" t="str">
        <f t="shared" ref="AH40:AH71" si="27">IFERROR(V40/J40,"")</f>
        <v/>
      </c>
      <c r="AI40" s="713" t="str">
        <f t="shared" ref="AI40:AI71" si="28">IFERROR(W40/K40,"")</f>
        <v/>
      </c>
      <c r="AJ40" s="713" t="str">
        <f t="shared" ref="AJ40:AJ71" si="29">IFERROR(X40/L40,"")</f>
        <v/>
      </c>
      <c r="AK40" s="711" t="str">
        <f t="shared" ref="AK40:AK71" si="30">IFERROR(S40/M40,"")</f>
        <v/>
      </c>
      <c r="AL40" s="712" t="str">
        <f t="shared" ref="AL40:AL71" si="31">IFERROR(T40/N40,"")</f>
        <v/>
      </c>
      <c r="AM40" s="713" t="str">
        <f t="shared" ref="AM40:AM71" si="32">IFERROR(U40/O40,"")</f>
        <v/>
      </c>
      <c r="AN40" s="712" t="str">
        <f t="shared" ref="AN40:AN71" si="33">IFERROR(V40/P40,"")</f>
        <v/>
      </c>
      <c r="AO40" s="713" t="str">
        <f t="shared" ref="AO40:AO71" si="34">IFERROR(W40/Q40,"")</f>
        <v/>
      </c>
      <c r="AP40" s="714" t="str">
        <f t="shared" ref="AP40:AP71" si="35">IFERROR(X40/R40,"")</f>
        <v/>
      </c>
      <c r="AQ40" s="713" t="str">
        <f t="shared" si="16"/>
        <v xml:space="preserve"> </v>
      </c>
      <c r="AR40" s="712" t="str">
        <f t="shared" si="17"/>
        <v xml:space="preserve"> </v>
      </c>
      <c r="AS40" s="713" t="str">
        <f t="shared" si="18"/>
        <v xml:space="preserve"> </v>
      </c>
      <c r="AT40" s="712" t="str">
        <f t="shared" si="19"/>
        <v xml:space="preserve"> </v>
      </c>
      <c r="AU40" s="722" t="str">
        <f t="shared" si="20"/>
        <v xml:space="preserve"> </v>
      </c>
      <c r="AV40" s="714" t="str">
        <f t="shared" si="21"/>
        <v xml:space="preserve"> </v>
      </c>
    </row>
    <row r="41" spans="1:48" ht="17.25" customHeight="1">
      <c r="A41" s="175">
        <f t="shared" si="22"/>
        <v>2026</v>
      </c>
      <c r="B41" s="454" t="str">
        <f t="shared" si="23"/>
        <v>13</v>
      </c>
      <c r="C41" s="454" t="str">
        <f t="array" ref="C41">_xlfn.IFS(_xlfn.NUMBERVALUE(B41)&lt;=13,"Q1",AND(_xlfn.NUMBERVALUE(B41)&gt;13,_xlfn.NUMBERVALUE(B41)&lt;=26),"Q2", AND(_xlfn.NUMBERVALUE(B41)&gt;26,_xlfn.NUMBERVALUE(B41)&lt;=39),"Q3",_xlfn.NUMBERVALUE(B41)&gt;39,"Q4")</f>
        <v>Q1</v>
      </c>
      <c r="D41" s="448">
        <f t="shared" ref="D41:D72" si="36">E40+1</f>
        <v>45773</v>
      </c>
      <c r="E41" s="448">
        <f t="shared" ref="E41:E72" si="37">D41+6</f>
        <v>45779</v>
      </c>
      <c r="F41" s="695">
        <v>202513</v>
      </c>
      <c r="G41" s="697"/>
      <c r="H41" s="703"/>
      <c r="I41" s="661"/>
      <c r="J41" s="703"/>
      <c r="K41" s="661"/>
      <c r="L41" s="698"/>
      <c r="M41" s="697"/>
      <c r="N41" s="703"/>
      <c r="O41" s="661"/>
      <c r="P41" s="703"/>
      <c r="Q41" s="661"/>
      <c r="R41" s="698"/>
      <c r="S41" s="704"/>
      <c r="T41" s="705"/>
      <c r="U41" s="699"/>
      <c r="V41" s="705"/>
      <c r="W41" s="699"/>
      <c r="X41" s="720"/>
      <c r="Y41" s="699"/>
      <c r="Z41" s="705"/>
      <c r="AA41" s="699"/>
      <c r="AB41" s="705"/>
      <c r="AC41" s="699"/>
      <c r="AD41" s="699"/>
      <c r="AE41" s="711" t="str">
        <f t="shared" si="24"/>
        <v/>
      </c>
      <c r="AF41" s="712" t="str">
        <f t="shared" si="25"/>
        <v/>
      </c>
      <c r="AG41" s="713" t="str">
        <f t="shared" si="26"/>
        <v/>
      </c>
      <c r="AH41" s="712" t="str">
        <f t="shared" si="27"/>
        <v/>
      </c>
      <c r="AI41" s="713" t="str">
        <f t="shared" si="28"/>
        <v/>
      </c>
      <c r="AJ41" s="713" t="str">
        <f t="shared" si="29"/>
        <v/>
      </c>
      <c r="AK41" s="711" t="str">
        <f t="shared" si="30"/>
        <v/>
      </c>
      <c r="AL41" s="712" t="str">
        <f t="shared" si="31"/>
        <v/>
      </c>
      <c r="AM41" s="713" t="str">
        <f t="shared" si="32"/>
        <v/>
      </c>
      <c r="AN41" s="712" t="str">
        <f t="shared" si="33"/>
        <v/>
      </c>
      <c r="AO41" s="713" t="str">
        <f t="shared" si="34"/>
        <v/>
      </c>
      <c r="AP41" s="714" t="str">
        <f t="shared" si="35"/>
        <v/>
      </c>
      <c r="AQ41" s="713" t="str">
        <f t="shared" si="16"/>
        <v xml:space="preserve"> </v>
      </c>
      <c r="AR41" s="712" t="str">
        <f t="shared" si="17"/>
        <v xml:space="preserve"> </v>
      </c>
      <c r="AS41" s="713" t="str">
        <f t="shared" si="18"/>
        <v xml:space="preserve"> </v>
      </c>
      <c r="AT41" s="712" t="str">
        <f t="shared" si="19"/>
        <v xml:space="preserve"> </v>
      </c>
      <c r="AU41" s="722" t="str">
        <f t="shared" si="20"/>
        <v xml:space="preserve"> </v>
      </c>
      <c r="AV41" s="714" t="str">
        <f t="shared" si="21"/>
        <v xml:space="preserve"> </v>
      </c>
    </row>
    <row r="42" spans="1:48" ht="17.25" customHeight="1">
      <c r="A42" s="175">
        <f t="shared" si="22"/>
        <v>2026</v>
      </c>
      <c r="B42" s="454" t="str">
        <f t="shared" si="23"/>
        <v>14</v>
      </c>
      <c r="C42" s="454" t="str">
        <f t="array" ref="C42">_xlfn.IFS(_xlfn.NUMBERVALUE(B42)&lt;=13,"Q1",AND(_xlfn.NUMBERVALUE(B42)&gt;13,_xlfn.NUMBERVALUE(B42)&lt;=26),"Q2", AND(_xlfn.NUMBERVALUE(B42)&gt;26,_xlfn.NUMBERVALUE(B42)&lt;=39),"Q3",_xlfn.NUMBERVALUE(B42)&gt;39,"Q4")</f>
        <v>Q2</v>
      </c>
      <c r="D42" s="448">
        <f t="shared" si="36"/>
        <v>45780</v>
      </c>
      <c r="E42" s="448">
        <f t="shared" si="37"/>
        <v>45786</v>
      </c>
      <c r="F42" s="695">
        <v>202514</v>
      </c>
      <c r="G42" s="697"/>
      <c r="H42" s="703"/>
      <c r="I42" s="661"/>
      <c r="J42" s="703"/>
      <c r="K42" s="661"/>
      <c r="L42" s="698"/>
      <c r="M42" s="697"/>
      <c r="N42" s="703"/>
      <c r="O42" s="661"/>
      <c r="P42" s="703"/>
      <c r="Q42" s="661"/>
      <c r="R42" s="698"/>
      <c r="S42" s="704"/>
      <c r="T42" s="705"/>
      <c r="U42" s="699"/>
      <c r="V42" s="705"/>
      <c r="W42" s="699"/>
      <c r="X42" s="720"/>
      <c r="Y42" s="699"/>
      <c r="Z42" s="705"/>
      <c r="AA42" s="699"/>
      <c r="AB42" s="705"/>
      <c r="AC42" s="699"/>
      <c r="AD42" s="699"/>
      <c r="AE42" s="711" t="str">
        <f t="shared" si="24"/>
        <v/>
      </c>
      <c r="AF42" s="712" t="str">
        <f t="shared" si="25"/>
        <v/>
      </c>
      <c r="AG42" s="713" t="str">
        <f t="shared" si="26"/>
        <v/>
      </c>
      <c r="AH42" s="712" t="str">
        <f t="shared" si="27"/>
        <v/>
      </c>
      <c r="AI42" s="713" t="str">
        <f t="shared" si="28"/>
        <v/>
      </c>
      <c r="AJ42" s="713" t="str">
        <f t="shared" si="29"/>
        <v/>
      </c>
      <c r="AK42" s="711" t="str">
        <f t="shared" si="30"/>
        <v/>
      </c>
      <c r="AL42" s="712" t="str">
        <f t="shared" si="31"/>
        <v/>
      </c>
      <c r="AM42" s="713" t="str">
        <f t="shared" si="32"/>
        <v/>
      </c>
      <c r="AN42" s="712" t="str">
        <f t="shared" si="33"/>
        <v/>
      </c>
      <c r="AO42" s="713" t="str">
        <f t="shared" si="34"/>
        <v/>
      </c>
      <c r="AP42" s="714" t="str">
        <f t="shared" si="35"/>
        <v/>
      </c>
      <c r="AQ42" s="713" t="str">
        <f t="shared" si="16"/>
        <v xml:space="preserve"> </v>
      </c>
      <c r="AR42" s="712" t="str">
        <f t="shared" si="17"/>
        <v xml:space="preserve"> </v>
      </c>
      <c r="AS42" s="713" t="str">
        <f t="shared" si="18"/>
        <v xml:space="preserve"> </v>
      </c>
      <c r="AT42" s="712" t="str">
        <f t="shared" si="19"/>
        <v xml:space="preserve"> </v>
      </c>
      <c r="AU42" s="722" t="str">
        <f t="shared" si="20"/>
        <v xml:space="preserve"> </v>
      </c>
      <c r="AV42" s="714" t="str">
        <f t="shared" si="21"/>
        <v xml:space="preserve"> </v>
      </c>
    </row>
    <row r="43" spans="1:48" ht="17.25" customHeight="1">
      <c r="A43" s="175">
        <f t="shared" si="22"/>
        <v>2026</v>
      </c>
      <c r="B43" s="454" t="str">
        <f t="shared" si="23"/>
        <v>15</v>
      </c>
      <c r="C43" s="454" t="str">
        <f t="array" ref="C43">_xlfn.IFS(_xlfn.NUMBERVALUE(B43)&lt;=13,"Q1",AND(_xlfn.NUMBERVALUE(B43)&gt;13,_xlfn.NUMBERVALUE(B43)&lt;=26),"Q2", AND(_xlfn.NUMBERVALUE(B43)&gt;26,_xlfn.NUMBERVALUE(B43)&lt;=39),"Q3",_xlfn.NUMBERVALUE(B43)&gt;39,"Q4")</f>
        <v>Q2</v>
      </c>
      <c r="D43" s="448">
        <f t="shared" si="36"/>
        <v>45787</v>
      </c>
      <c r="E43" s="448">
        <f t="shared" si="37"/>
        <v>45793</v>
      </c>
      <c r="F43" s="695">
        <v>202515</v>
      </c>
      <c r="G43" s="697"/>
      <c r="H43" s="703"/>
      <c r="I43" s="661"/>
      <c r="J43" s="703"/>
      <c r="K43" s="661"/>
      <c r="L43" s="698"/>
      <c r="M43" s="697"/>
      <c r="N43" s="703"/>
      <c r="O43" s="661"/>
      <c r="P43" s="703"/>
      <c r="Q43" s="661"/>
      <c r="R43" s="698"/>
      <c r="S43" s="704"/>
      <c r="T43" s="705"/>
      <c r="U43" s="699"/>
      <c r="V43" s="705"/>
      <c r="W43" s="699"/>
      <c r="X43" s="720"/>
      <c r="Y43" s="699"/>
      <c r="Z43" s="705"/>
      <c r="AA43" s="699"/>
      <c r="AB43" s="705"/>
      <c r="AC43" s="699"/>
      <c r="AD43" s="699"/>
      <c r="AE43" s="711" t="str">
        <f t="shared" si="24"/>
        <v/>
      </c>
      <c r="AF43" s="712" t="str">
        <f t="shared" si="25"/>
        <v/>
      </c>
      <c r="AG43" s="713" t="str">
        <f t="shared" si="26"/>
        <v/>
      </c>
      <c r="AH43" s="712" t="str">
        <f t="shared" si="27"/>
        <v/>
      </c>
      <c r="AI43" s="713" t="str">
        <f t="shared" si="28"/>
        <v/>
      </c>
      <c r="AJ43" s="713" t="str">
        <f t="shared" si="29"/>
        <v/>
      </c>
      <c r="AK43" s="711" t="str">
        <f t="shared" si="30"/>
        <v/>
      </c>
      <c r="AL43" s="712" t="str">
        <f t="shared" si="31"/>
        <v/>
      </c>
      <c r="AM43" s="713" t="str">
        <f t="shared" si="32"/>
        <v/>
      </c>
      <c r="AN43" s="712" t="str">
        <f t="shared" si="33"/>
        <v/>
      </c>
      <c r="AO43" s="713" t="str">
        <f t="shared" si="34"/>
        <v/>
      </c>
      <c r="AP43" s="714" t="str">
        <f t="shared" si="35"/>
        <v/>
      </c>
      <c r="AQ43" s="713" t="str">
        <f t="shared" si="16"/>
        <v xml:space="preserve"> </v>
      </c>
      <c r="AR43" s="712" t="str">
        <f t="shared" si="17"/>
        <v xml:space="preserve"> </v>
      </c>
      <c r="AS43" s="713" t="str">
        <f t="shared" si="18"/>
        <v xml:space="preserve"> </v>
      </c>
      <c r="AT43" s="712" t="str">
        <f t="shared" si="19"/>
        <v xml:space="preserve"> </v>
      </c>
      <c r="AU43" s="722" t="str">
        <f t="shared" si="20"/>
        <v xml:space="preserve"> </v>
      </c>
      <c r="AV43" s="714" t="str">
        <f t="shared" si="21"/>
        <v xml:space="preserve"> </v>
      </c>
    </row>
    <row r="44" spans="1:48" ht="17.25" customHeight="1">
      <c r="A44" s="175">
        <f t="shared" si="22"/>
        <v>2026</v>
      </c>
      <c r="B44" s="454" t="str">
        <f t="shared" si="23"/>
        <v>16</v>
      </c>
      <c r="C44" s="454" t="str">
        <f t="array" ref="C44">_xlfn.IFS(_xlfn.NUMBERVALUE(B44)&lt;=13,"Q1",AND(_xlfn.NUMBERVALUE(B44)&gt;13,_xlfn.NUMBERVALUE(B44)&lt;=26),"Q2", AND(_xlfn.NUMBERVALUE(B44)&gt;26,_xlfn.NUMBERVALUE(B44)&lt;=39),"Q3",_xlfn.NUMBERVALUE(B44)&gt;39,"Q4")</f>
        <v>Q2</v>
      </c>
      <c r="D44" s="448">
        <f t="shared" si="36"/>
        <v>45794</v>
      </c>
      <c r="E44" s="448">
        <f t="shared" si="37"/>
        <v>45800</v>
      </c>
      <c r="F44" s="695">
        <v>202516</v>
      </c>
      <c r="G44" s="697"/>
      <c r="H44" s="703"/>
      <c r="I44" s="661"/>
      <c r="J44" s="703"/>
      <c r="K44" s="661"/>
      <c r="L44" s="698"/>
      <c r="M44" s="697"/>
      <c r="N44" s="703"/>
      <c r="O44" s="661"/>
      <c r="P44" s="703"/>
      <c r="Q44" s="661"/>
      <c r="R44" s="698"/>
      <c r="S44" s="704"/>
      <c r="T44" s="705"/>
      <c r="U44" s="699"/>
      <c r="V44" s="705"/>
      <c r="W44" s="699"/>
      <c r="X44" s="720"/>
      <c r="Y44" s="699"/>
      <c r="Z44" s="705"/>
      <c r="AA44" s="699"/>
      <c r="AB44" s="705"/>
      <c r="AC44" s="699"/>
      <c r="AD44" s="699"/>
      <c r="AE44" s="711" t="str">
        <f t="shared" si="24"/>
        <v/>
      </c>
      <c r="AF44" s="712" t="str">
        <f t="shared" si="25"/>
        <v/>
      </c>
      <c r="AG44" s="713" t="str">
        <f t="shared" si="26"/>
        <v/>
      </c>
      <c r="AH44" s="712" t="str">
        <f t="shared" si="27"/>
        <v/>
      </c>
      <c r="AI44" s="713" t="str">
        <f t="shared" si="28"/>
        <v/>
      </c>
      <c r="AJ44" s="713" t="str">
        <f t="shared" si="29"/>
        <v/>
      </c>
      <c r="AK44" s="711" t="str">
        <f t="shared" si="30"/>
        <v/>
      </c>
      <c r="AL44" s="712" t="str">
        <f t="shared" si="31"/>
        <v/>
      </c>
      <c r="AM44" s="713" t="str">
        <f t="shared" si="32"/>
        <v/>
      </c>
      <c r="AN44" s="712" t="str">
        <f t="shared" si="33"/>
        <v/>
      </c>
      <c r="AO44" s="713" t="str">
        <f t="shared" si="34"/>
        <v/>
      </c>
      <c r="AP44" s="714" t="str">
        <f t="shared" si="35"/>
        <v/>
      </c>
      <c r="AQ44" s="713" t="str">
        <f t="shared" si="16"/>
        <v xml:space="preserve"> </v>
      </c>
      <c r="AR44" s="712" t="str">
        <f t="shared" si="17"/>
        <v xml:space="preserve"> </v>
      </c>
      <c r="AS44" s="713" t="str">
        <f t="shared" si="18"/>
        <v xml:space="preserve"> </v>
      </c>
      <c r="AT44" s="712" t="str">
        <f t="shared" si="19"/>
        <v xml:space="preserve"> </v>
      </c>
      <c r="AU44" s="722" t="str">
        <f t="shared" si="20"/>
        <v xml:space="preserve"> </v>
      </c>
      <c r="AV44" s="714" t="str">
        <f t="shared" si="21"/>
        <v xml:space="preserve"> </v>
      </c>
    </row>
    <row r="45" spans="1:48" ht="17.25" customHeight="1">
      <c r="A45" s="175">
        <f t="shared" si="22"/>
        <v>2026</v>
      </c>
      <c r="B45" s="454" t="str">
        <f t="shared" si="23"/>
        <v>17</v>
      </c>
      <c r="C45" s="454" t="str">
        <f t="array" ref="C45">_xlfn.IFS(_xlfn.NUMBERVALUE(B45)&lt;=13,"Q1",AND(_xlfn.NUMBERVALUE(B45)&gt;13,_xlfn.NUMBERVALUE(B45)&lt;=26),"Q2", AND(_xlfn.NUMBERVALUE(B45)&gt;26,_xlfn.NUMBERVALUE(B45)&lt;=39),"Q3",_xlfn.NUMBERVALUE(B45)&gt;39,"Q4")</f>
        <v>Q2</v>
      </c>
      <c r="D45" s="448">
        <f t="shared" si="36"/>
        <v>45801</v>
      </c>
      <c r="E45" s="448">
        <f t="shared" si="37"/>
        <v>45807</v>
      </c>
      <c r="F45" s="695">
        <v>202517</v>
      </c>
      <c r="G45" s="697"/>
      <c r="H45" s="703"/>
      <c r="I45" s="661"/>
      <c r="J45" s="703"/>
      <c r="K45" s="661"/>
      <c r="L45" s="698"/>
      <c r="M45" s="697"/>
      <c r="N45" s="703"/>
      <c r="O45" s="661"/>
      <c r="P45" s="703"/>
      <c r="Q45" s="661"/>
      <c r="R45" s="698"/>
      <c r="S45" s="704"/>
      <c r="T45" s="705"/>
      <c r="U45" s="699"/>
      <c r="V45" s="705"/>
      <c r="W45" s="699"/>
      <c r="X45" s="720"/>
      <c r="Y45" s="699"/>
      <c r="Z45" s="705"/>
      <c r="AA45" s="699"/>
      <c r="AB45" s="705"/>
      <c r="AC45" s="699"/>
      <c r="AD45" s="699"/>
      <c r="AE45" s="711" t="str">
        <f t="shared" si="24"/>
        <v/>
      </c>
      <c r="AF45" s="712" t="str">
        <f t="shared" si="25"/>
        <v/>
      </c>
      <c r="AG45" s="713" t="str">
        <f t="shared" si="26"/>
        <v/>
      </c>
      <c r="AH45" s="712" t="str">
        <f t="shared" si="27"/>
        <v/>
      </c>
      <c r="AI45" s="713" t="str">
        <f t="shared" si="28"/>
        <v/>
      </c>
      <c r="AJ45" s="713" t="str">
        <f t="shared" si="29"/>
        <v/>
      </c>
      <c r="AK45" s="711" t="str">
        <f t="shared" si="30"/>
        <v/>
      </c>
      <c r="AL45" s="712" t="str">
        <f t="shared" si="31"/>
        <v/>
      </c>
      <c r="AM45" s="713" t="str">
        <f t="shared" si="32"/>
        <v/>
      </c>
      <c r="AN45" s="712" t="str">
        <f t="shared" si="33"/>
        <v/>
      </c>
      <c r="AO45" s="713" t="str">
        <f t="shared" si="34"/>
        <v/>
      </c>
      <c r="AP45" s="714" t="str">
        <f t="shared" si="35"/>
        <v/>
      </c>
      <c r="AQ45" s="713" t="str">
        <f t="shared" ref="AQ45:AQ80" si="38">IFERROR(Y45/S45," ")</f>
        <v xml:space="preserve"> </v>
      </c>
      <c r="AR45" s="712" t="str">
        <f t="shared" ref="AR45:AR80" si="39">IFERROR(Z45/T45," ")</f>
        <v xml:space="preserve"> </v>
      </c>
      <c r="AS45" s="713" t="str">
        <f t="shared" ref="AS45:AS80" si="40">IFERROR(AA45/U45," ")</f>
        <v xml:space="preserve"> </v>
      </c>
      <c r="AT45" s="712" t="str">
        <f t="shared" ref="AT45:AT80" si="41">IFERROR(AB45/V45," ")</f>
        <v xml:space="preserve"> </v>
      </c>
      <c r="AU45" s="722" t="str">
        <f t="shared" ref="AU45:AU80" si="42">IFERROR(AC45/W45," ")</f>
        <v xml:space="preserve"> </v>
      </c>
      <c r="AV45" s="714" t="str">
        <f t="shared" ref="AV45:AV80" si="43">IFERROR(AD45/X45," ")</f>
        <v xml:space="preserve"> </v>
      </c>
    </row>
    <row r="46" spans="1:48" ht="17.25" customHeight="1">
      <c r="A46" s="175">
        <f t="shared" si="22"/>
        <v>2026</v>
      </c>
      <c r="B46" s="454" t="str">
        <f t="shared" si="23"/>
        <v>18</v>
      </c>
      <c r="C46" s="454" t="str">
        <f t="array" ref="C46">_xlfn.IFS(_xlfn.NUMBERVALUE(B46)&lt;=13,"Q1",AND(_xlfn.NUMBERVALUE(B46)&gt;13,_xlfn.NUMBERVALUE(B46)&lt;=26),"Q2", AND(_xlfn.NUMBERVALUE(B46)&gt;26,_xlfn.NUMBERVALUE(B46)&lt;=39),"Q3",_xlfn.NUMBERVALUE(B46)&gt;39,"Q4")</f>
        <v>Q2</v>
      </c>
      <c r="D46" s="448">
        <f t="shared" si="36"/>
        <v>45808</v>
      </c>
      <c r="E46" s="448">
        <f t="shared" si="37"/>
        <v>45814</v>
      </c>
      <c r="F46" s="695">
        <v>202518</v>
      </c>
      <c r="G46" s="697"/>
      <c r="H46" s="703"/>
      <c r="I46" s="661"/>
      <c r="J46" s="703"/>
      <c r="K46" s="661"/>
      <c r="L46" s="698"/>
      <c r="M46" s="697"/>
      <c r="N46" s="703"/>
      <c r="O46" s="661"/>
      <c r="P46" s="703"/>
      <c r="Q46" s="661"/>
      <c r="R46" s="698"/>
      <c r="S46" s="704"/>
      <c r="T46" s="705"/>
      <c r="U46" s="699"/>
      <c r="V46" s="705"/>
      <c r="W46" s="699"/>
      <c r="X46" s="720"/>
      <c r="Y46" s="699"/>
      <c r="Z46" s="705"/>
      <c r="AA46" s="699"/>
      <c r="AB46" s="705"/>
      <c r="AC46" s="699"/>
      <c r="AD46" s="699"/>
      <c r="AE46" s="711" t="str">
        <f t="shared" si="24"/>
        <v/>
      </c>
      <c r="AF46" s="712" t="str">
        <f t="shared" si="25"/>
        <v/>
      </c>
      <c r="AG46" s="713" t="str">
        <f t="shared" si="26"/>
        <v/>
      </c>
      <c r="AH46" s="712" t="str">
        <f t="shared" si="27"/>
        <v/>
      </c>
      <c r="AI46" s="713" t="str">
        <f t="shared" si="28"/>
        <v/>
      </c>
      <c r="AJ46" s="713" t="str">
        <f t="shared" si="29"/>
        <v/>
      </c>
      <c r="AK46" s="711" t="str">
        <f t="shared" si="30"/>
        <v/>
      </c>
      <c r="AL46" s="712" t="str">
        <f t="shared" si="31"/>
        <v/>
      </c>
      <c r="AM46" s="713" t="str">
        <f t="shared" si="32"/>
        <v/>
      </c>
      <c r="AN46" s="712" t="str">
        <f t="shared" si="33"/>
        <v/>
      </c>
      <c r="AO46" s="713" t="str">
        <f t="shared" si="34"/>
        <v/>
      </c>
      <c r="AP46" s="714" t="str">
        <f t="shared" si="35"/>
        <v/>
      </c>
      <c r="AQ46" s="713" t="str">
        <f t="shared" si="38"/>
        <v xml:space="preserve"> </v>
      </c>
      <c r="AR46" s="712" t="str">
        <f t="shared" si="39"/>
        <v xml:space="preserve"> </v>
      </c>
      <c r="AS46" s="713" t="str">
        <f t="shared" si="40"/>
        <v xml:space="preserve"> </v>
      </c>
      <c r="AT46" s="712" t="str">
        <f t="shared" si="41"/>
        <v xml:space="preserve"> </v>
      </c>
      <c r="AU46" s="722" t="str">
        <f t="shared" si="42"/>
        <v xml:space="preserve"> </v>
      </c>
      <c r="AV46" s="714" t="str">
        <f t="shared" si="43"/>
        <v xml:space="preserve"> </v>
      </c>
    </row>
    <row r="47" spans="1:48" ht="17.25" customHeight="1">
      <c r="A47" s="175">
        <f t="shared" si="22"/>
        <v>2026</v>
      </c>
      <c r="B47" s="454" t="str">
        <f t="shared" si="23"/>
        <v>19</v>
      </c>
      <c r="C47" s="454" t="str">
        <f t="array" ref="C47">_xlfn.IFS(_xlfn.NUMBERVALUE(B47)&lt;=13,"Q1",AND(_xlfn.NUMBERVALUE(B47)&gt;13,_xlfn.NUMBERVALUE(B47)&lt;=26),"Q2", AND(_xlfn.NUMBERVALUE(B47)&gt;26,_xlfn.NUMBERVALUE(B47)&lt;=39),"Q3",_xlfn.NUMBERVALUE(B47)&gt;39,"Q4")</f>
        <v>Q2</v>
      </c>
      <c r="D47" s="448">
        <f t="shared" si="36"/>
        <v>45815</v>
      </c>
      <c r="E47" s="448">
        <f t="shared" si="37"/>
        <v>45821</v>
      </c>
      <c r="F47" s="695">
        <v>202519</v>
      </c>
      <c r="G47" s="697"/>
      <c r="H47" s="703"/>
      <c r="I47" s="661"/>
      <c r="J47" s="703"/>
      <c r="K47" s="661"/>
      <c r="L47" s="698"/>
      <c r="M47" s="697"/>
      <c r="N47" s="703"/>
      <c r="O47" s="661"/>
      <c r="P47" s="703"/>
      <c r="Q47" s="661"/>
      <c r="R47" s="698"/>
      <c r="S47" s="704"/>
      <c r="T47" s="705"/>
      <c r="U47" s="699"/>
      <c r="V47" s="705"/>
      <c r="W47" s="699"/>
      <c r="X47" s="720"/>
      <c r="Y47" s="699"/>
      <c r="Z47" s="705"/>
      <c r="AA47" s="699"/>
      <c r="AB47" s="705"/>
      <c r="AC47" s="699"/>
      <c r="AD47" s="699"/>
      <c r="AE47" s="711" t="str">
        <f t="shared" si="24"/>
        <v/>
      </c>
      <c r="AF47" s="712" t="str">
        <f t="shared" si="25"/>
        <v/>
      </c>
      <c r="AG47" s="713" t="str">
        <f t="shared" si="26"/>
        <v/>
      </c>
      <c r="AH47" s="712" t="str">
        <f t="shared" si="27"/>
        <v/>
      </c>
      <c r="AI47" s="713" t="str">
        <f t="shared" si="28"/>
        <v/>
      </c>
      <c r="AJ47" s="713" t="str">
        <f t="shared" si="29"/>
        <v/>
      </c>
      <c r="AK47" s="711" t="str">
        <f t="shared" si="30"/>
        <v/>
      </c>
      <c r="AL47" s="712" t="str">
        <f t="shared" si="31"/>
        <v/>
      </c>
      <c r="AM47" s="713" t="str">
        <f t="shared" si="32"/>
        <v/>
      </c>
      <c r="AN47" s="712" t="str">
        <f t="shared" si="33"/>
        <v/>
      </c>
      <c r="AO47" s="713" t="str">
        <f t="shared" si="34"/>
        <v/>
      </c>
      <c r="AP47" s="714" t="str">
        <f t="shared" si="35"/>
        <v/>
      </c>
      <c r="AQ47" s="713" t="str">
        <f t="shared" si="38"/>
        <v xml:space="preserve"> </v>
      </c>
      <c r="AR47" s="712" t="str">
        <f t="shared" si="39"/>
        <v xml:space="preserve"> </v>
      </c>
      <c r="AS47" s="713" t="str">
        <f t="shared" si="40"/>
        <v xml:space="preserve"> </v>
      </c>
      <c r="AT47" s="712" t="str">
        <f t="shared" si="41"/>
        <v xml:space="preserve"> </v>
      </c>
      <c r="AU47" s="722" t="str">
        <f t="shared" si="42"/>
        <v xml:space="preserve"> </v>
      </c>
      <c r="AV47" s="714" t="str">
        <f t="shared" si="43"/>
        <v xml:space="preserve"> </v>
      </c>
    </row>
    <row r="48" spans="1:48" ht="17.25" customHeight="1">
      <c r="A48" s="175">
        <f t="shared" si="22"/>
        <v>2026</v>
      </c>
      <c r="B48" s="454" t="str">
        <f t="shared" si="23"/>
        <v>20</v>
      </c>
      <c r="C48" s="454" t="str">
        <f t="array" ref="C48">_xlfn.IFS(_xlfn.NUMBERVALUE(B48)&lt;=13,"Q1",AND(_xlfn.NUMBERVALUE(B48)&gt;13,_xlfn.NUMBERVALUE(B48)&lt;=26),"Q2", AND(_xlfn.NUMBERVALUE(B48)&gt;26,_xlfn.NUMBERVALUE(B48)&lt;=39),"Q3",_xlfn.NUMBERVALUE(B48)&gt;39,"Q4")</f>
        <v>Q2</v>
      </c>
      <c r="D48" s="448">
        <f t="shared" si="36"/>
        <v>45822</v>
      </c>
      <c r="E48" s="448">
        <f t="shared" si="37"/>
        <v>45828</v>
      </c>
      <c r="F48" s="695">
        <v>202520</v>
      </c>
      <c r="G48" s="697"/>
      <c r="H48" s="703"/>
      <c r="I48" s="661"/>
      <c r="J48" s="703"/>
      <c r="K48" s="661"/>
      <c r="L48" s="698"/>
      <c r="M48" s="697"/>
      <c r="N48" s="703"/>
      <c r="O48" s="661"/>
      <c r="P48" s="703"/>
      <c r="Q48" s="661"/>
      <c r="R48" s="698"/>
      <c r="S48" s="704"/>
      <c r="T48" s="705"/>
      <c r="U48" s="699"/>
      <c r="V48" s="705"/>
      <c r="W48" s="699"/>
      <c r="X48" s="720"/>
      <c r="Y48" s="699"/>
      <c r="Z48" s="705"/>
      <c r="AA48" s="699"/>
      <c r="AB48" s="705"/>
      <c r="AC48" s="699"/>
      <c r="AD48" s="699"/>
      <c r="AE48" s="711" t="str">
        <f t="shared" si="24"/>
        <v/>
      </c>
      <c r="AF48" s="712" t="str">
        <f t="shared" si="25"/>
        <v/>
      </c>
      <c r="AG48" s="713" t="str">
        <f t="shared" si="26"/>
        <v/>
      </c>
      <c r="AH48" s="712" t="str">
        <f t="shared" si="27"/>
        <v/>
      </c>
      <c r="AI48" s="713" t="str">
        <f t="shared" si="28"/>
        <v/>
      </c>
      <c r="AJ48" s="713" t="str">
        <f t="shared" si="29"/>
        <v/>
      </c>
      <c r="AK48" s="711" t="str">
        <f t="shared" si="30"/>
        <v/>
      </c>
      <c r="AL48" s="712" t="str">
        <f t="shared" si="31"/>
        <v/>
      </c>
      <c r="AM48" s="713" t="str">
        <f t="shared" si="32"/>
        <v/>
      </c>
      <c r="AN48" s="712" t="str">
        <f t="shared" si="33"/>
        <v/>
      </c>
      <c r="AO48" s="713" t="str">
        <f t="shared" si="34"/>
        <v/>
      </c>
      <c r="AP48" s="714" t="str">
        <f t="shared" si="35"/>
        <v/>
      </c>
      <c r="AQ48" s="713" t="str">
        <f t="shared" si="38"/>
        <v xml:space="preserve"> </v>
      </c>
      <c r="AR48" s="712" t="str">
        <f t="shared" si="39"/>
        <v xml:space="preserve"> </v>
      </c>
      <c r="AS48" s="713" t="str">
        <f t="shared" si="40"/>
        <v xml:space="preserve"> </v>
      </c>
      <c r="AT48" s="712" t="str">
        <f t="shared" si="41"/>
        <v xml:space="preserve"> </v>
      </c>
      <c r="AU48" s="722" t="str">
        <f t="shared" si="42"/>
        <v xml:space="preserve"> </v>
      </c>
      <c r="AV48" s="714" t="str">
        <f t="shared" si="43"/>
        <v xml:space="preserve"> </v>
      </c>
    </row>
    <row r="49" spans="1:48" ht="17.25" customHeight="1">
      <c r="A49" s="175">
        <f t="shared" si="22"/>
        <v>2026</v>
      </c>
      <c r="B49" s="454" t="str">
        <f t="shared" si="23"/>
        <v>21</v>
      </c>
      <c r="C49" s="454" t="str">
        <f t="array" ref="C49">_xlfn.IFS(_xlfn.NUMBERVALUE(B49)&lt;=13,"Q1",AND(_xlfn.NUMBERVALUE(B49)&gt;13,_xlfn.NUMBERVALUE(B49)&lt;=26),"Q2", AND(_xlfn.NUMBERVALUE(B49)&gt;26,_xlfn.NUMBERVALUE(B49)&lt;=39),"Q3",_xlfn.NUMBERVALUE(B49)&gt;39,"Q4")</f>
        <v>Q2</v>
      </c>
      <c r="D49" s="448">
        <f t="shared" si="36"/>
        <v>45829</v>
      </c>
      <c r="E49" s="448">
        <f t="shared" si="37"/>
        <v>45835</v>
      </c>
      <c r="F49" s="695">
        <v>202521</v>
      </c>
      <c r="G49" s="697"/>
      <c r="H49" s="703"/>
      <c r="I49" s="661"/>
      <c r="J49" s="703"/>
      <c r="K49" s="661"/>
      <c r="L49" s="698"/>
      <c r="M49" s="697"/>
      <c r="N49" s="703"/>
      <c r="O49" s="661"/>
      <c r="P49" s="703"/>
      <c r="Q49" s="661"/>
      <c r="R49" s="698"/>
      <c r="S49" s="704"/>
      <c r="T49" s="705"/>
      <c r="U49" s="699"/>
      <c r="V49" s="705"/>
      <c r="W49" s="699"/>
      <c r="X49" s="720"/>
      <c r="Y49" s="699"/>
      <c r="Z49" s="705"/>
      <c r="AA49" s="699"/>
      <c r="AB49" s="705"/>
      <c r="AC49" s="699"/>
      <c r="AD49" s="699"/>
      <c r="AE49" s="711" t="str">
        <f t="shared" si="24"/>
        <v/>
      </c>
      <c r="AF49" s="712" t="str">
        <f t="shared" si="25"/>
        <v/>
      </c>
      <c r="AG49" s="713" t="str">
        <f t="shared" si="26"/>
        <v/>
      </c>
      <c r="AH49" s="712" t="str">
        <f t="shared" si="27"/>
        <v/>
      </c>
      <c r="AI49" s="713" t="str">
        <f t="shared" si="28"/>
        <v/>
      </c>
      <c r="AJ49" s="713" t="str">
        <f t="shared" si="29"/>
        <v/>
      </c>
      <c r="AK49" s="711" t="str">
        <f t="shared" si="30"/>
        <v/>
      </c>
      <c r="AL49" s="712" t="str">
        <f t="shared" si="31"/>
        <v/>
      </c>
      <c r="AM49" s="713" t="str">
        <f t="shared" si="32"/>
        <v/>
      </c>
      <c r="AN49" s="712" t="str">
        <f t="shared" si="33"/>
        <v/>
      </c>
      <c r="AO49" s="713" t="str">
        <f t="shared" si="34"/>
        <v/>
      </c>
      <c r="AP49" s="714" t="str">
        <f t="shared" si="35"/>
        <v/>
      </c>
      <c r="AQ49" s="713" t="str">
        <f t="shared" si="38"/>
        <v xml:space="preserve"> </v>
      </c>
      <c r="AR49" s="712" t="str">
        <f t="shared" si="39"/>
        <v xml:space="preserve"> </v>
      </c>
      <c r="AS49" s="713" t="str">
        <f t="shared" si="40"/>
        <v xml:space="preserve"> </v>
      </c>
      <c r="AT49" s="712" t="str">
        <f t="shared" si="41"/>
        <v xml:space="preserve"> </v>
      </c>
      <c r="AU49" s="722" t="str">
        <f t="shared" si="42"/>
        <v xml:space="preserve"> </v>
      </c>
      <c r="AV49" s="714" t="str">
        <f t="shared" si="43"/>
        <v xml:space="preserve"> </v>
      </c>
    </row>
    <row r="50" spans="1:48" ht="17.25" customHeight="1">
      <c r="A50" s="175">
        <f t="shared" si="22"/>
        <v>2026</v>
      </c>
      <c r="B50" s="454" t="str">
        <f t="shared" si="23"/>
        <v>22</v>
      </c>
      <c r="C50" s="454" t="str">
        <f t="array" ref="C50">_xlfn.IFS(_xlfn.NUMBERVALUE(B50)&lt;=13,"Q1",AND(_xlfn.NUMBERVALUE(B50)&gt;13,_xlfn.NUMBERVALUE(B50)&lt;=26),"Q2", AND(_xlfn.NUMBERVALUE(B50)&gt;26,_xlfn.NUMBERVALUE(B50)&lt;=39),"Q3",_xlfn.NUMBERVALUE(B50)&gt;39,"Q4")</f>
        <v>Q2</v>
      </c>
      <c r="D50" s="448">
        <f t="shared" si="36"/>
        <v>45836</v>
      </c>
      <c r="E50" s="448">
        <f t="shared" si="37"/>
        <v>45842</v>
      </c>
      <c r="F50" s="695">
        <v>202522</v>
      </c>
      <c r="G50" s="697"/>
      <c r="H50" s="703"/>
      <c r="I50" s="661"/>
      <c r="J50" s="703"/>
      <c r="K50" s="661"/>
      <c r="L50" s="698"/>
      <c r="M50" s="697"/>
      <c r="N50" s="703"/>
      <c r="O50" s="661"/>
      <c r="P50" s="703"/>
      <c r="Q50" s="661"/>
      <c r="R50" s="698"/>
      <c r="S50" s="704"/>
      <c r="T50" s="705"/>
      <c r="U50" s="699"/>
      <c r="V50" s="705"/>
      <c r="W50" s="699"/>
      <c r="X50" s="720"/>
      <c r="Y50" s="699"/>
      <c r="Z50" s="705"/>
      <c r="AA50" s="699"/>
      <c r="AB50" s="705"/>
      <c r="AC50" s="699"/>
      <c r="AD50" s="699"/>
      <c r="AE50" s="711" t="str">
        <f t="shared" si="24"/>
        <v/>
      </c>
      <c r="AF50" s="712" t="str">
        <f t="shared" si="25"/>
        <v/>
      </c>
      <c r="AG50" s="713" t="str">
        <f t="shared" si="26"/>
        <v/>
      </c>
      <c r="AH50" s="712" t="str">
        <f t="shared" si="27"/>
        <v/>
      </c>
      <c r="AI50" s="713" t="str">
        <f t="shared" si="28"/>
        <v/>
      </c>
      <c r="AJ50" s="713" t="str">
        <f t="shared" si="29"/>
        <v/>
      </c>
      <c r="AK50" s="711" t="str">
        <f t="shared" si="30"/>
        <v/>
      </c>
      <c r="AL50" s="712" t="str">
        <f t="shared" si="31"/>
        <v/>
      </c>
      <c r="AM50" s="713" t="str">
        <f t="shared" si="32"/>
        <v/>
      </c>
      <c r="AN50" s="712" t="str">
        <f t="shared" si="33"/>
        <v/>
      </c>
      <c r="AO50" s="713" t="str">
        <f t="shared" si="34"/>
        <v/>
      </c>
      <c r="AP50" s="714" t="str">
        <f t="shared" si="35"/>
        <v/>
      </c>
      <c r="AQ50" s="713" t="str">
        <f t="shared" si="38"/>
        <v xml:space="preserve"> </v>
      </c>
      <c r="AR50" s="712" t="str">
        <f t="shared" si="39"/>
        <v xml:space="preserve"> </v>
      </c>
      <c r="AS50" s="713" t="str">
        <f t="shared" si="40"/>
        <v xml:space="preserve"> </v>
      </c>
      <c r="AT50" s="712" t="str">
        <f t="shared" si="41"/>
        <v xml:space="preserve"> </v>
      </c>
      <c r="AU50" s="722" t="str">
        <f t="shared" si="42"/>
        <v xml:space="preserve"> </v>
      </c>
      <c r="AV50" s="714" t="str">
        <f t="shared" si="43"/>
        <v xml:space="preserve"> </v>
      </c>
    </row>
    <row r="51" spans="1:48" ht="17.25" customHeight="1">
      <c r="A51" s="175">
        <f t="shared" si="22"/>
        <v>2026</v>
      </c>
      <c r="B51" s="454" t="str">
        <f t="shared" si="23"/>
        <v>23</v>
      </c>
      <c r="C51" s="454" t="str">
        <f t="array" ref="C51">_xlfn.IFS(_xlfn.NUMBERVALUE(B51)&lt;=13,"Q1",AND(_xlfn.NUMBERVALUE(B51)&gt;13,_xlfn.NUMBERVALUE(B51)&lt;=26),"Q2", AND(_xlfn.NUMBERVALUE(B51)&gt;26,_xlfn.NUMBERVALUE(B51)&lt;=39),"Q3",_xlfn.NUMBERVALUE(B51)&gt;39,"Q4")</f>
        <v>Q2</v>
      </c>
      <c r="D51" s="448">
        <f t="shared" si="36"/>
        <v>45843</v>
      </c>
      <c r="E51" s="448">
        <f t="shared" si="37"/>
        <v>45849</v>
      </c>
      <c r="F51" s="695">
        <v>202523</v>
      </c>
      <c r="G51" s="697"/>
      <c r="H51" s="703"/>
      <c r="I51" s="661"/>
      <c r="J51" s="703"/>
      <c r="K51" s="661"/>
      <c r="L51" s="698"/>
      <c r="M51" s="697"/>
      <c r="N51" s="703"/>
      <c r="O51" s="661"/>
      <c r="P51" s="703"/>
      <c r="Q51" s="661"/>
      <c r="R51" s="698"/>
      <c r="S51" s="704"/>
      <c r="T51" s="705"/>
      <c r="U51" s="699"/>
      <c r="V51" s="705"/>
      <c r="W51" s="699"/>
      <c r="X51" s="720"/>
      <c r="Y51" s="699"/>
      <c r="Z51" s="705"/>
      <c r="AA51" s="699"/>
      <c r="AB51" s="705"/>
      <c r="AC51" s="699"/>
      <c r="AD51" s="699"/>
      <c r="AE51" s="711" t="str">
        <f t="shared" si="24"/>
        <v/>
      </c>
      <c r="AF51" s="712" t="str">
        <f t="shared" si="25"/>
        <v/>
      </c>
      <c r="AG51" s="713" t="str">
        <f t="shared" si="26"/>
        <v/>
      </c>
      <c r="AH51" s="712" t="str">
        <f t="shared" si="27"/>
        <v/>
      </c>
      <c r="AI51" s="713" t="str">
        <f t="shared" si="28"/>
        <v/>
      </c>
      <c r="AJ51" s="713" t="str">
        <f t="shared" si="29"/>
        <v/>
      </c>
      <c r="AK51" s="711" t="str">
        <f t="shared" si="30"/>
        <v/>
      </c>
      <c r="AL51" s="712" t="str">
        <f t="shared" si="31"/>
        <v/>
      </c>
      <c r="AM51" s="713" t="str">
        <f t="shared" si="32"/>
        <v/>
      </c>
      <c r="AN51" s="712" t="str">
        <f t="shared" si="33"/>
        <v/>
      </c>
      <c r="AO51" s="713" t="str">
        <f t="shared" si="34"/>
        <v/>
      </c>
      <c r="AP51" s="714" t="str">
        <f t="shared" si="35"/>
        <v/>
      </c>
      <c r="AQ51" s="713" t="str">
        <f t="shared" si="38"/>
        <v xml:space="preserve"> </v>
      </c>
      <c r="AR51" s="712" t="str">
        <f t="shared" si="39"/>
        <v xml:space="preserve"> </v>
      </c>
      <c r="AS51" s="713" t="str">
        <f t="shared" si="40"/>
        <v xml:space="preserve"> </v>
      </c>
      <c r="AT51" s="712" t="str">
        <f t="shared" si="41"/>
        <v xml:space="preserve"> </v>
      </c>
      <c r="AU51" s="722" t="str">
        <f t="shared" si="42"/>
        <v xml:space="preserve"> </v>
      </c>
      <c r="AV51" s="714" t="str">
        <f t="shared" si="43"/>
        <v xml:space="preserve"> </v>
      </c>
    </row>
    <row r="52" spans="1:48" ht="17.25" customHeight="1">
      <c r="A52" s="175">
        <f t="shared" si="22"/>
        <v>2026</v>
      </c>
      <c r="B52" s="454" t="str">
        <f t="shared" si="23"/>
        <v>24</v>
      </c>
      <c r="C52" s="454" t="str">
        <f t="array" ref="C52">_xlfn.IFS(_xlfn.NUMBERVALUE(B52)&lt;=13,"Q1",AND(_xlfn.NUMBERVALUE(B52)&gt;13,_xlfn.NUMBERVALUE(B52)&lt;=26),"Q2", AND(_xlfn.NUMBERVALUE(B52)&gt;26,_xlfn.NUMBERVALUE(B52)&lt;=39),"Q3",_xlfn.NUMBERVALUE(B52)&gt;39,"Q4")</f>
        <v>Q2</v>
      </c>
      <c r="D52" s="448">
        <f t="shared" si="36"/>
        <v>45850</v>
      </c>
      <c r="E52" s="448">
        <f t="shared" si="37"/>
        <v>45856</v>
      </c>
      <c r="F52" s="695">
        <v>202524</v>
      </c>
      <c r="G52" s="697"/>
      <c r="H52" s="703"/>
      <c r="I52" s="661"/>
      <c r="J52" s="703"/>
      <c r="K52" s="661"/>
      <c r="L52" s="698"/>
      <c r="M52" s="697"/>
      <c r="N52" s="703"/>
      <c r="O52" s="661"/>
      <c r="P52" s="703"/>
      <c r="Q52" s="661"/>
      <c r="R52" s="698"/>
      <c r="S52" s="704"/>
      <c r="T52" s="705"/>
      <c r="U52" s="699"/>
      <c r="V52" s="705"/>
      <c r="W52" s="699"/>
      <c r="X52" s="720"/>
      <c r="Y52" s="699"/>
      <c r="Z52" s="705"/>
      <c r="AA52" s="699"/>
      <c r="AB52" s="705"/>
      <c r="AC52" s="699"/>
      <c r="AD52" s="699"/>
      <c r="AE52" s="711" t="str">
        <f t="shared" si="24"/>
        <v/>
      </c>
      <c r="AF52" s="712" t="str">
        <f t="shared" si="25"/>
        <v/>
      </c>
      <c r="AG52" s="713" t="str">
        <f t="shared" si="26"/>
        <v/>
      </c>
      <c r="AH52" s="712" t="str">
        <f t="shared" si="27"/>
        <v/>
      </c>
      <c r="AI52" s="713" t="str">
        <f t="shared" si="28"/>
        <v/>
      </c>
      <c r="AJ52" s="713" t="str">
        <f t="shared" si="29"/>
        <v/>
      </c>
      <c r="AK52" s="711" t="str">
        <f t="shared" si="30"/>
        <v/>
      </c>
      <c r="AL52" s="712" t="str">
        <f t="shared" si="31"/>
        <v/>
      </c>
      <c r="AM52" s="713" t="str">
        <f t="shared" si="32"/>
        <v/>
      </c>
      <c r="AN52" s="712" t="str">
        <f t="shared" si="33"/>
        <v/>
      </c>
      <c r="AO52" s="713" t="str">
        <f t="shared" si="34"/>
        <v/>
      </c>
      <c r="AP52" s="714" t="str">
        <f t="shared" si="35"/>
        <v/>
      </c>
      <c r="AQ52" s="713" t="str">
        <f t="shared" si="38"/>
        <v xml:space="preserve"> </v>
      </c>
      <c r="AR52" s="712" t="str">
        <f t="shared" si="39"/>
        <v xml:space="preserve"> </v>
      </c>
      <c r="AS52" s="713" t="str">
        <f t="shared" si="40"/>
        <v xml:space="preserve"> </v>
      </c>
      <c r="AT52" s="712" t="str">
        <f t="shared" si="41"/>
        <v xml:space="preserve"> </v>
      </c>
      <c r="AU52" s="722" t="str">
        <f t="shared" si="42"/>
        <v xml:space="preserve"> </v>
      </c>
      <c r="AV52" s="714" t="str">
        <f t="shared" si="43"/>
        <v xml:space="preserve"> </v>
      </c>
    </row>
    <row r="53" spans="1:48" ht="17.25" customHeight="1">
      <c r="A53" s="175">
        <f t="shared" si="22"/>
        <v>2026</v>
      </c>
      <c r="B53" s="454" t="str">
        <f t="shared" si="23"/>
        <v>25</v>
      </c>
      <c r="C53" s="454" t="str">
        <f t="array" ref="C53">_xlfn.IFS(_xlfn.NUMBERVALUE(B53)&lt;=13,"Q1",AND(_xlfn.NUMBERVALUE(B53)&gt;13,_xlfn.NUMBERVALUE(B53)&lt;=26),"Q2", AND(_xlfn.NUMBERVALUE(B53)&gt;26,_xlfn.NUMBERVALUE(B53)&lt;=39),"Q3",_xlfn.NUMBERVALUE(B53)&gt;39,"Q4")</f>
        <v>Q2</v>
      </c>
      <c r="D53" s="448">
        <f t="shared" si="36"/>
        <v>45857</v>
      </c>
      <c r="E53" s="448">
        <f t="shared" si="37"/>
        <v>45863</v>
      </c>
      <c r="F53" s="695">
        <v>202525</v>
      </c>
      <c r="G53" s="697"/>
      <c r="H53" s="703"/>
      <c r="I53" s="661"/>
      <c r="J53" s="703"/>
      <c r="K53" s="661"/>
      <c r="L53" s="698"/>
      <c r="M53" s="697"/>
      <c r="N53" s="703"/>
      <c r="O53" s="661"/>
      <c r="P53" s="703"/>
      <c r="Q53" s="661"/>
      <c r="R53" s="698"/>
      <c r="S53" s="704"/>
      <c r="T53" s="705"/>
      <c r="U53" s="699"/>
      <c r="V53" s="705"/>
      <c r="W53" s="699"/>
      <c r="X53" s="720"/>
      <c r="Y53" s="699"/>
      <c r="Z53" s="705"/>
      <c r="AA53" s="699"/>
      <c r="AB53" s="705"/>
      <c r="AC53" s="699"/>
      <c r="AD53" s="699"/>
      <c r="AE53" s="711" t="str">
        <f t="shared" si="24"/>
        <v/>
      </c>
      <c r="AF53" s="712" t="str">
        <f t="shared" si="25"/>
        <v/>
      </c>
      <c r="AG53" s="713" t="str">
        <f t="shared" si="26"/>
        <v/>
      </c>
      <c r="AH53" s="712" t="str">
        <f t="shared" si="27"/>
        <v/>
      </c>
      <c r="AI53" s="713" t="str">
        <f t="shared" si="28"/>
        <v/>
      </c>
      <c r="AJ53" s="713" t="str">
        <f t="shared" si="29"/>
        <v/>
      </c>
      <c r="AK53" s="711" t="str">
        <f t="shared" si="30"/>
        <v/>
      </c>
      <c r="AL53" s="712" t="str">
        <f t="shared" si="31"/>
        <v/>
      </c>
      <c r="AM53" s="713" t="str">
        <f t="shared" si="32"/>
        <v/>
      </c>
      <c r="AN53" s="712" t="str">
        <f t="shared" si="33"/>
        <v/>
      </c>
      <c r="AO53" s="713" t="str">
        <f t="shared" si="34"/>
        <v/>
      </c>
      <c r="AP53" s="714" t="str">
        <f t="shared" si="35"/>
        <v/>
      </c>
      <c r="AQ53" s="713" t="str">
        <f t="shared" si="38"/>
        <v xml:space="preserve"> </v>
      </c>
      <c r="AR53" s="712" t="str">
        <f t="shared" si="39"/>
        <v xml:space="preserve"> </v>
      </c>
      <c r="AS53" s="713" t="str">
        <f t="shared" si="40"/>
        <v xml:space="preserve"> </v>
      </c>
      <c r="AT53" s="712" t="str">
        <f t="shared" si="41"/>
        <v xml:space="preserve"> </v>
      </c>
      <c r="AU53" s="722" t="str">
        <f t="shared" si="42"/>
        <v xml:space="preserve"> </v>
      </c>
      <c r="AV53" s="714" t="str">
        <f t="shared" si="43"/>
        <v xml:space="preserve"> </v>
      </c>
    </row>
    <row r="54" spans="1:48" ht="17.25" customHeight="1">
      <c r="A54" s="175">
        <f t="shared" si="22"/>
        <v>2026</v>
      </c>
      <c r="B54" s="454" t="str">
        <f t="shared" si="23"/>
        <v>26</v>
      </c>
      <c r="C54" s="454" t="str">
        <f t="array" ref="C54">_xlfn.IFS(_xlfn.NUMBERVALUE(B54)&lt;=13,"Q1",AND(_xlfn.NUMBERVALUE(B54)&gt;13,_xlfn.NUMBERVALUE(B54)&lt;=26),"Q2", AND(_xlfn.NUMBERVALUE(B54)&gt;26,_xlfn.NUMBERVALUE(B54)&lt;=39),"Q3",_xlfn.NUMBERVALUE(B54)&gt;39,"Q4")</f>
        <v>Q2</v>
      </c>
      <c r="D54" s="448">
        <f t="shared" si="36"/>
        <v>45864</v>
      </c>
      <c r="E54" s="448">
        <f t="shared" si="37"/>
        <v>45870</v>
      </c>
      <c r="F54" s="695">
        <v>202526</v>
      </c>
      <c r="G54" s="697"/>
      <c r="H54" s="703"/>
      <c r="I54" s="661"/>
      <c r="J54" s="703"/>
      <c r="K54" s="661"/>
      <c r="L54" s="698"/>
      <c r="M54" s="697"/>
      <c r="N54" s="703"/>
      <c r="O54" s="661"/>
      <c r="P54" s="703"/>
      <c r="Q54" s="661"/>
      <c r="R54" s="698"/>
      <c r="S54" s="704"/>
      <c r="T54" s="705"/>
      <c r="U54" s="699"/>
      <c r="V54" s="705"/>
      <c r="W54" s="699"/>
      <c r="X54" s="720"/>
      <c r="Y54" s="699"/>
      <c r="Z54" s="705"/>
      <c r="AA54" s="699"/>
      <c r="AB54" s="705"/>
      <c r="AC54" s="699"/>
      <c r="AD54" s="699"/>
      <c r="AE54" s="711" t="str">
        <f t="shared" si="24"/>
        <v/>
      </c>
      <c r="AF54" s="712" t="str">
        <f t="shared" si="25"/>
        <v/>
      </c>
      <c r="AG54" s="713" t="str">
        <f t="shared" si="26"/>
        <v/>
      </c>
      <c r="AH54" s="712" t="str">
        <f t="shared" si="27"/>
        <v/>
      </c>
      <c r="AI54" s="713" t="str">
        <f t="shared" si="28"/>
        <v/>
      </c>
      <c r="AJ54" s="713" t="str">
        <f t="shared" si="29"/>
        <v/>
      </c>
      <c r="AK54" s="711" t="str">
        <f t="shared" si="30"/>
        <v/>
      </c>
      <c r="AL54" s="712" t="str">
        <f t="shared" si="31"/>
        <v/>
      </c>
      <c r="AM54" s="713" t="str">
        <f t="shared" si="32"/>
        <v/>
      </c>
      <c r="AN54" s="712" t="str">
        <f t="shared" si="33"/>
        <v/>
      </c>
      <c r="AO54" s="713" t="str">
        <f t="shared" si="34"/>
        <v/>
      </c>
      <c r="AP54" s="714" t="str">
        <f t="shared" si="35"/>
        <v/>
      </c>
      <c r="AQ54" s="713" t="str">
        <f t="shared" si="38"/>
        <v xml:space="preserve"> </v>
      </c>
      <c r="AR54" s="712" t="str">
        <f t="shared" si="39"/>
        <v xml:space="preserve"> </v>
      </c>
      <c r="AS54" s="713" t="str">
        <f t="shared" si="40"/>
        <v xml:space="preserve"> </v>
      </c>
      <c r="AT54" s="712" t="str">
        <f t="shared" si="41"/>
        <v xml:space="preserve"> </v>
      </c>
      <c r="AU54" s="722" t="str">
        <f t="shared" si="42"/>
        <v xml:space="preserve"> </v>
      </c>
      <c r="AV54" s="714" t="str">
        <f t="shared" si="43"/>
        <v xml:space="preserve"> </v>
      </c>
    </row>
    <row r="55" spans="1:48" ht="17.25" customHeight="1">
      <c r="A55" s="175">
        <f t="shared" si="22"/>
        <v>2026</v>
      </c>
      <c r="B55" s="454" t="str">
        <f t="shared" si="23"/>
        <v>27</v>
      </c>
      <c r="C55" s="454" t="str">
        <f t="array" ref="C55">_xlfn.IFS(_xlfn.NUMBERVALUE(B55)&lt;=13,"Q1",AND(_xlfn.NUMBERVALUE(B55)&gt;13,_xlfn.NUMBERVALUE(B55)&lt;=26),"Q2", AND(_xlfn.NUMBERVALUE(B55)&gt;26,_xlfn.NUMBERVALUE(B55)&lt;=39),"Q3",_xlfn.NUMBERVALUE(B55)&gt;39,"Q4")</f>
        <v>Q3</v>
      </c>
      <c r="D55" s="448">
        <f t="shared" si="36"/>
        <v>45871</v>
      </c>
      <c r="E55" s="448">
        <f t="shared" si="37"/>
        <v>45877</v>
      </c>
      <c r="F55" s="695">
        <v>202527</v>
      </c>
      <c r="G55" s="697"/>
      <c r="H55" s="703"/>
      <c r="I55" s="661"/>
      <c r="J55" s="703"/>
      <c r="K55" s="661"/>
      <c r="L55" s="698"/>
      <c r="M55" s="697"/>
      <c r="N55" s="703"/>
      <c r="O55" s="661"/>
      <c r="P55" s="703"/>
      <c r="Q55" s="661"/>
      <c r="R55" s="698"/>
      <c r="S55" s="704"/>
      <c r="T55" s="705"/>
      <c r="U55" s="699"/>
      <c r="V55" s="705"/>
      <c r="W55" s="699"/>
      <c r="X55" s="720"/>
      <c r="Y55" s="699"/>
      <c r="Z55" s="705"/>
      <c r="AA55" s="699"/>
      <c r="AB55" s="705"/>
      <c r="AC55" s="699"/>
      <c r="AD55" s="699"/>
      <c r="AE55" s="711" t="str">
        <f t="shared" si="24"/>
        <v/>
      </c>
      <c r="AF55" s="712" t="str">
        <f t="shared" si="25"/>
        <v/>
      </c>
      <c r="AG55" s="713" t="str">
        <f t="shared" si="26"/>
        <v/>
      </c>
      <c r="AH55" s="712" t="str">
        <f t="shared" si="27"/>
        <v/>
      </c>
      <c r="AI55" s="713" t="str">
        <f t="shared" si="28"/>
        <v/>
      </c>
      <c r="AJ55" s="713" t="str">
        <f t="shared" si="29"/>
        <v/>
      </c>
      <c r="AK55" s="711" t="str">
        <f t="shared" si="30"/>
        <v/>
      </c>
      <c r="AL55" s="712" t="str">
        <f t="shared" si="31"/>
        <v/>
      </c>
      <c r="AM55" s="713" t="str">
        <f t="shared" si="32"/>
        <v/>
      </c>
      <c r="AN55" s="712" t="str">
        <f t="shared" si="33"/>
        <v/>
      </c>
      <c r="AO55" s="713" t="str">
        <f t="shared" si="34"/>
        <v/>
      </c>
      <c r="AP55" s="714" t="str">
        <f t="shared" si="35"/>
        <v/>
      </c>
      <c r="AQ55" s="713" t="str">
        <f t="shared" si="38"/>
        <v xml:space="preserve"> </v>
      </c>
      <c r="AR55" s="712" t="str">
        <f t="shared" si="39"/>
        <v xml:space="preserve"> </v>
      </c>
      <c r="AS55" s="713" t="str">
        <f t="shared" si="40"/>
        <v xml:space="preserve"> </v>
      </c>
      <c r="AT55" s="712" t="str">
        <f t="shared" si="41"/>
        <v xml:space="preserve"> </v>
      </c>
      <c r="AU55" s="722" t="str">
        <f t="shared" si="42"/>
        <v xml:space="preserve"> </v>
      </c>
      <c r="AV55" s="714" t="str">
        <f t="shared" si="43"/>
        <v xml:space="preserve"> </v>
      </c>
    </row>
    <row r="56" spans="1:48" ht="17.25" customHeight="1">
      <c r="A56" s="175">
        <f t="shared" si="22"/>
        <v>2026</v>
      </c>
      <c r="B56" s="454" t="str">
        <f t="shared" si="23"/>
        <v>28</v>
      </c>
      <c r="C56" s="454" t="str">
        <f t="array" ref="C56">_xlfn.IFS(_xlfn.NUMBERVALUE(B56)&lt;=13,"Q1",AND(_xlfn.NUMBERVALUE(B56)&gt;13,_xlfn.NUMBERVALUE(B56)&lt;=26),"Q2", AND(_xlfn.NUMBERVALUE(B56)&gt;26,_xlfn.NUMBERVALUE(B56)&lt;=39),"Q3",_xlfn.NUMBERVALUE(B56)&gt;39,"Q4")</f>
        <v>Q3</v>
      </c>
      <c r="D56" s="448">
        <f t="shared" si="36"/>
        <v>45878</v>
      </c>
      <c r="E56" s="448">
        <f t="shared" si="37"/>
        <v>45884</v>
      </c>
      <c r="F56" s="695">
        <v>202528</v>
      </c>
      <c r="G56" s="697"/>
      <c r="H56" s="703"/>
      <c r="I56" s="661"/>
      <c r="J56" s="703"/>
      <c r="K56" s="661"/>
      <c r="L56" s="698"/>
      <c r="M56" s="697"/>
      <c r="N56" s="703"/>
      <c r="O56" s="661"/>
      <c r="P56" s="703"/>
      <c r="Q56" s="661"/>
      <c r="R56" s="698"/>
      <c r="S56" s="704"/>
      <c r="T56" s="705"/>
      <c r="U56" s="699"/>
      <c r="V56" s="705"/>
      <c r="W56" s="699"/>
      <c r="X56" s="720"/>
      <c r="Y56" s="699"/>
      <c r="Z56" s="705"/>
      <c r="AA56" s="699"/>
      <c r="AB56" s="705"/>
      <c r="AC56" s="699"/>
      <c r="AD56" s="699"/>
      <c r="AE56" s="711" t="str">
        <f t="shared" si="24"/>
        <v/>
      </c>
      <c r="AF56" s="712" t="str">
        <f t="shared" si="25"/>
        <v/>
      </c>
      <c r="AG56" s="713" t="str">
        <f t="shared" si="26"/>
        <v/>
      </c>
      <c r="AH56" s="712" t="str">
        <f t="shared" si="27"/>
        <v/>
      </c>
      <c r="AI56" s="713" t="str">
        <f t="shared" si="28"/>
        <v/>
      </c>
      <c r="AJ56" s="713" t="str">
        <f t="shared" si="29"/>
        <v/>
      </c>
      <c r="AK56" s="711" t="str">
        <f t="shared" si="30"/>
        <v/>
      </c>
      <c r="AL56" s="712" t="str">
        <f t="shared" si="31"/>
        <v/>
      </c>
      <c r="AM56" s="713" t="str">
        <f t="shared" si="32"/>
        <v/>
      </c>
      <c r="AN56" s="712" t="str">
        <f t="shared" si="33"/>
        <v/>
      </c>
      <c r="AO56" s="713" t="str">
        <f t="shared" si="34"/>
        <v/>
      </c>
      <c r="AP56" s="714" t="str">
        <f t="shared" si="35"/>
        <v/>
      </c>
      <c r="AQ56" s="713" t="str">
        <f t="shared" si="38"/>
        <v xml:space="preserve"> </v>
      </c>
      <c r="AR56" s="712" t="str">
        <f t="shared" si="39"/>
        <v xml:space="preserve"> </v>
      </c>
      <c r="AS56" s="713" t="str">
        <f t="shared" si="40"/>
        <v xml:space="preserve"> </v>
      </c>
      <c r="AT56" s="712" t="str">
        <f t="shared" si="41"/>
        <v xml:space="preserve"> </v>
      </c>
      <c r="AU56" s="722" t="str">
        <f t="shared" si="42"/>
        <v xml:space="preserve"> </v>
      </c>
      <c r="AV56" s="714" t="str">
        <f t="shared" si="43"/>
        <v xml:space="preserve"> </v>
      </c>
    </row>
    <row r="57" spans="1:48" ht="17.25" customHeight="1">
      <c r="A57" s="175">
        <f t="shared" si="22"/>
        <v>2026</v>
      </c>
      <c r="B57" s="454" t="str">
        <f t="shared" si="23"/>
        <v>29</v>
      </c>
      <c r="C57" s="454" t="str">
        <f t="array" ref="C57">_xlfn.IFS(_xlfn.NUMBERVALUE(B57)&lt;=13,"Q1",AND(_xlfn.NUMBERVALUE(B57)&gt;13,_xlfn.NUMBERVALUE(B57)&lt;=26),"Q2", AND(_xlfn.NUMBERVALUE(B57)&gt;26,_xlfn.NUMBERVALUE(B57)&lt;=39),"Q3",_xlfn.NUMBERVALUE(B57)&gt;39,"Q4")</f>
        <v>Q3</v>
      </c>
      <c r="D57" s="448">
        <f t="shared" si="36"/>
        <v>45885</v>
      </c>
      <c r="E57" s="448">
        <f t="shared" si="37"/>
        <v>45891</v>
      </c>
      <c r="F57" s="695">
        <v>202529</v>
      </c>
      <c r="G57" s="697"/>
      <c r="H57" s="703"/>
      <c r="I57" s="661"/>
      <c r="J57" s="703"/>
      <c r="K57" s="661"/>
      <c r="L57" s="698"/>
      <c r="M57" s="697"/>
      <c r="N57" s="703"/>
      <c r="O57" s="661"/>
      <c r="P57" s="703"/>
      <c r="Q57" s="661"/>
      <c r="R57" s="698"/>
      <c r="S57" s="704"/>
      <c r="T57" s="705"/>
      <c r="U57" s="699"/>
      <c r="V57" s="705"/>
      <c r="W57" s="699"/>
      <c r="X57" s="720"/>
      <c r="Y57" s="699"/>
      <c r="Z57" s="705"/>
      <c r="AA57" s="699"/>
      <c r="AB57" s="705"/>
      <c r="AC57" s="699"/>
      <c r="AD57" s="699"/>
      <c r="AE57" s="711" t="str">
        <f t="shared" si="24"/>
        <v/>
      </c>
      <c r="AF57" s="712" t="str">
        <f t="shared" si="25"/>
        <v/>
      </c>
      <c r="AG57" s="713" t="str">
        <f t="shared" si="26"/>
        <v/>
      </c>
      <c r="AH57" s="712" t="str">
        <f t="shared" si="27"/>
        <v/>
      </c>
      <c r="AI57" s="713" t="str">
        <f t="shared" si="28"/>
        <v/>
      </c>
      <c r="AJ57" s="713" t="str">
        <f t="shared" si="29"/>
        <v/>
      </c>
      <c r="AK57" s="711" t="str">
        <f t="shared" si="30"/>
        <v/>
      </c>
      <c r="AL57" s="712" t="str">
        <f t="shared" si="31"/>
        <v/>
      </c>
      <c r="AM57" s="713" t="str">
        <f t="shared" si="32"/>
        <v/>
      </c>
      <c r="AN57" s="712" t="str">
        <f t="shared" si="33"/>
        <v/>
      </c>
      <c r="AO57" s="713" t="str">
        <f t="shared" si="34"/>
        <v/>
      </c>
      <c r="AP57" s="714" t="str">
        <f t="shared" si="35"/>
        <v/>
      </c>
      <c r="AQ57" s="713" t="str">
        <f t="shared" si="38"/>
        <v xml:space="preserve"> </v>
      </c>
      <c r="AR57" s="712" t="str">
        <f t="shared" si="39"/>
        <v xml:space="preserve"> </v>
      </c>
      <c r="AS57" s="713" t="str">
        <f t="shared" si="40"/>
        <v xml:space="preserve"> </v>
      </c>
      <c r="AT57" s="712" t="str">
        <f t="shared" si="41"/>
        <v xml:space="preserve"> </v>
      </c>
      <c r="AU57" s="722" t="str">
        <f t="shared" si="42"/>
        <v xml:space="preserve"> </v>
      </c>
      <c r="AV57" s="714" t="str">
        <f t="shared" si="43"/>
        <v xml:space="preserve"> </v>
      </c>
    </row>
    <row r="58" spans="1:48" ht="17.25" customHeight="1">
      <c r="A58" s="175">
        <f t="shared" si="22"/>
        <v>2026</v>
      </c>
      <c r="B58" s="454" t="str">
        <f t="shared" si="23"/>
        <v>30</v>
      </c>
      <c r="C58" s="454" t="str">
        <f t="array" ref="C58">_xlfn.IFS(_xlfn.NUMBERVALUE(B58)&lt;=13,"Q1",AND(_xlfn.NUMBERVALUE(B58)&gt;13,_xlfn.NUMBERVALUE(B58)&lt;=26),"Q2", AND(_xlfn.NUMBERVALUE(B58)&gt;26,_xlfn.NUMBERVALUE(B58)&lt;=39),"Q3",_xlfn.NUMBERVALUE(B58)&gt;39,"Q4")</f>
        <v>Q3</v>
      </c>
      <c r="D58" s="448">
        <f t="shared" si="36"/>
        <v>45892</v>
      </c>
      <c r="E58" s="448">
        <f t="shared" si="37"/>
        <v>45898</v>
      </c>
      <c r="F58" s="695">
        <v>202530</v>
      </c>
      <c r="G58" s="697"/>
      <c r="H58" s="703"/>
      <c r="I58" s="661"/>
      <c r="J58" s="703"/>
      <c r="K58" s="661"/>
      <c r="L58" s="698"/>
      <c r="M58" s="697"/>
      <c r="N58" s="703"/>
      <c r="O58" s="661"/>
      <c r="P58" s="703"/>
      <c r="Q58" s="661"/>
      <c r="R58" s="698"/>
      <c r="S58" s="704"/>
      <c r="T58" s="705"/>
      <c r="U58" s="699"/>
      <c r="V58" s="705"/>
      <c r="W58" s="699"/>
      <c r="X58" s="720"/>
      <c r="Y58" s="699"/>
      <c r="Z58" s="705"/>
      <c r="AA58" s="699"/>
      <c r="AB58" s="705"/>
      <c r="AC58" s="699"/>
      <c r="AD58" s="699"/>
      <c r="AE58" s="711" t="str">
        <f t="shared" si="24"/>
        <v/>
      </c>
      <c r="AF58" s="712" t="str">
        <f t="shared" si="25"/>
        <v/>
      </c>
      <c r="AG58" s="713" t="str">
        <f t="shared" si="26"/>
        <v/>
      </c>
      <c r="AH58" s="712" t="str">
        <f t="shared" si="27"/>
        <v/>
      </c>
      <c r="AI58" s="713" t="str">
        <f t="shared" si="28"/>
        <v/>
      </c>
      <c r="AJ58" s="713" t="str">
        <f t="shared" si="29"/>
        <v/>
      </c>
      <c r="AK58" s="711" t="str">
        <f t="shared" si="30"/>
        <v/>
      </c>
      <c r="AL58" s="712" t="str">
        <f t="shared" si="31"/>
        <v/>
      </c>
      <c r="AM58" s="713" t="str">
        <f t="shared" si="32"/>
        <v/>
      </c>
      <c r="AN58" s="712" t="str">
        <f t="shared" si="33"/>
        <v/>
      </c>
      <c r="AO58" s="713" t="str">
        <f t="shared" si="34"/>
        <v/>
      </c>
      <c r="AP58" s="714" t="str">
        <f t="shared" si="35"/>
        <v/>
      </c>
      <c r="AQ58" s="713" t="str">
        <f t="shared" si="38"/>
        <v xml:space="preserve"> </v>
      </c>
      <c r="AR58" s="712" t="str">
        <f t="shared" si="39"/>
        <v xml:space="preserve"> </v>
      </c>
      <c r="AS58" s="713" t="str">
        <f t="shared" si="40"/>
        <v xml:space="preserve"> </v>
      </c>
      <c r="AT58" s="712" t="str">
        <f t="shared" si="41"/>
        <v xml:space="preserve"> </v>
      </c>
      <c r="AU58" s="722" t="str">
        <f t="shared" si="42"/>
        <v xml:space="preserve"> </v>
      </c>
      <c r="AV58" s="714" t="str">
        <f t="shared" si="43"/>
        <v xml:space="preserve"> </v>
      </c>
    </row>
    <row r="59" spans="1:48" ht="17.25" customHeight="1">
      <c r="A59" s="175">
        <f t="shared" si="22"/>
        <v>2026</v>
      </c>
      <c r="B59" s="454" t="str">
        <f t="shared" si="23"/>
        <v>31</v>
      </c>
      <c r="C59" s="454" t="str">
        <f t="array" ref="C59">_xlfn.IFS(_xlfn.NUMBERVALUE(B59)&lt;=13,"Q1",AND(_xlfn.NUMBERVALUE(B59)&gt;13,_xlfn.NUMBERVALUE(B59)&lt;=26),"Q2", AND(_xlfn.NUMBERVALUE(B59)&gt;26,_xlfn.NUMBERVALUE(B59)&lt;=39),"Q3",_xlfn.NUMBERVALUE(B59)&gt;39,"Q4")</f>
        <v>Q3</v>
      </c>
      <c r="D59" s="448">
        <f t="shared" si="36"/>
        <v>45899</v>
      </c>
      <c r="E59" s="448">
        <f t="shared" si="37"/>
        <v>45905</v>
      </c>
      <c r="F59" s="695">
        <v>202531</v>
      </c>
      <c r="G59" s="697"/>
      <c r="H59" s="703"/>
      <c r="I59" s="661"/>
      <c r="J59" s="703"/>
      <c r="K59" s="661"/>
      <c r="L59" s="698"/>
      <c r="M59" s="697"/>
      <c r="N59" s="703"/>
      <c r="O59" s="661"/>
      <c r="P59" s="703"/>
      <c r="Q59" s="661"/>
      <c r="R59" s="698"/>
      <c r="S59" s="704"/>
      <c r="T59" s="705"/>
      <c r="U59" s="699"/>
      <c r="V59" s="705"/>
      <c r="W59" s="699"/>
      <c r="X59" s="720"/>
      <c r="Y59" s="699"/>
      <c r="Z59" s="705"/>
      <c r="AA59" s="699"/>
      <c r="AB59" s="705"/>
      <c r="AC59" s="699"/>
      <c r="AD59" s="699"/>
      <c r="AE59" s="711" t="str">
        <f t="shared" si="24"/>
        <v/>
      </c>
      <c r="AF59" s="712" t="str">
        <f t="shared" si="25"/>
        <v/>
      </c>
      <c r="AG59" s="713" t="str">
        <f t="shared" si="26"/>
        <v/>
      </c>
      <c r="AH59" s="712" t="str">
        <f t="shared" si="27"/>
        <v/>
      </c>
      <c r="AI59" s="713" t="str">
        <f t="shared" si="28"/>
        <v/>
      </c>
      <c r="AJ59" s="713" t="str">
        <f t="shared" si="29"/>
        <v/>
      </c>
      <c r="AK59" s="711" t="str">
        <f t="shared" si="30"/>
        <v/>
      </c>
      <c r="AL59" s="712" t="str">
        <f t="shared" si="31"/>
        <v/>
      </c>
      <c r="AM59" s="713" t="str">
        <f t="shared" si="32"/>
        <v/>
      </c>
      <c r="AN59" s="712" t="str">
        <f t="shared" si="33"/>
        <v/>
      </c>
      <c r="AO59" s="713" t="str">
        <f t="shared" si="34"/>
        <v/>
      </c>
      <c r="AP59" s="714" t="str">
        <f t="shared" si="35"/>
        <v/>
      </c>
      <c r="AQ59" s="713" t="str">
        <f t="shared" si="38"/>
        <v xml:space="preserve"> </v>
      </c>
      <c r="AR59" s="712" t="str">
        <f t="shared" si="39"/>
        <v xml:space="preserve"> </v>
      </c>
      <c r="AS59" s="713" t="str">
        <f t="shared" si="40"/>
        <v xml:space="preserve"> </v>
      </c>
      <c r="AT59" s="712" t="str">
        <f t="shared" si="41"/>
        <v xml:space="preserve"> </v>
      </c>
      <c r="AU59" s="722" t="str">
        <f t="shared" si="42"/>
        <v xml:space="preserve"> </v>
      </c>
      <c r="AV59" s="714" t="str">
        <f t="shared" si="43"/>
        <v xml:space="preserve"> </v>
      </c>
    </row>
    <row r="60" spans="1:48" ht="17.25" customHeight="1">
      <c r="A60" s="175">
        <f t="shared" si="22"/>
        <v>2026</v>
      </c>
      <c r="B60" s="454" t="str">
        <f t="shared" si="23"/>
        <v>32</v>
      </c>
      <c r="C60" s="454" t="str">
        <f t="array" ref="C60">_xlfn.IFS(_xlfn.NUMBERVALUE(B60)&lt;=13,"Q1",AND(_xlfn.NUMBERVALUE(B60)&gt;13,_xlfn.NUMBERVALUE(B60)&lt;=26),"Q2", AND(_xlfn.NUMBERVALUE(B60)&gt;26,_xlfn.NUMBERVALUE(B60)&lt;=39),"Q3",_xlfn.NUMBERVALUE(B60)&gt;39,"Q4")</f>
        <v>Q3</v>
      </c>
      <c r="D60" s="448">
        <f t="shared" si="36"/>
        <v>45906</v>
      </c>
      <c r="E60" s="448">
        <f t="shared" si="37"/>
        <v>45912</v>
      </c>
      <c r="F60" s="695">
        <v>202532</v>
      </c>
      <c r="G60" s="697"/>
      <c r="H60" s="703"/>
      <c r="I60" s="661"/>
      <c r="J60" s="703"/>
      <c r="K60" s="661"/>
      <c r="L60" s="698"/>
      <c r="M60" s="697"/>
      <c r="N60" s="703"/>
      <c r="O60" s="661"/>
      <c r="P60" s="703"/>
      <c r="Q60" s="661"/>
      <c r="R60" s="698"/>
      <c r="S60" s="704"/>
      <c r="T60" s="705"/>
      <c r="U60" s="699"/>
      <c r="V60" s="705"/>
      <c r="W60" s="699"/>
      <c r="X60" s="720"/>
      <c r="Y60" s="699"/>
      <c r="Z60" s="705"/>
      <c r="AA60" s="699"/>
      <c r="AB60" s="705"/>
      <c r="AC60" s="699"/>
      <c r="AD60" s="699"/>
      <c r="AE60" s="711" t="str">
        <f t="shared" si="24"/>
        <v/>
      </c>
      <c r="AF60" s="712" t="str">
        <f t="shared" si="25"/>
        <v/>
      </c>
      <c r="AG60" s="713" t="str">
        <f t="shared" si="26"/>
        <v/>
      </c>
      <c r="AH60" s="712" t="str">
        <f t="shared" si="27"/>
        <v/>
      </c>
      <c r="AI60" s="713" t="str">
        <f t="shared" si="28"/>
        <v/>
      </c>
      <c r="AJ60" s="713" t="str">
        <f t="shared" si="29"/>
        <v/>
      </c>
      <c r="AK60" s="711" t="str">
        <f t="shared" si="30"/>
        <v/>
      </c>
      <c r="AL60" s="712" t="str">
        <f t="shared" si="31"/>
        <v/>
      </c>
      <c r="AM60" s="713" t="str">
        <f t="shared" si="32"/>
        <v/>
      </c>
      <c r="AN60" s="712" t="str">
        <f t="shared" si="33"/>
        <v/>
      </c>
      <c r="AO60" s="713" t="str">
        <f t="shared" si="34"/>
        <v/>
      </c>
      <c r="AP60" s="714" t="str">
        <f t="shared" si="35"/>
        <v/>
      </c>
      <c r="AQ60" s="713" t="str">
        <f t="shared" si="38"/>
        <v xml:space="preserve"> </v>
      </c>
      <c r="AR60" s="712" t="str">
        <f t="shared" si="39"/>
        <v xml:space="preserve"> </v>
      </c>
      <c r="AS60" s="713" t="str">
        <f t="shared" si="40"/>
        <v xml:space="preserve"> </v>
      </c>
      <c r="AT60" s="712" t="str">
        <f t="shared" si="41"/>
        <v xml:space="preserve"> </v>
      </c>
      <c r="AU60" s="722" t="str">
        <f t="shared" si="42"/>
        <v xml:space="preserve"> </v>
      </c>
      <c r="AV60" s="714" t="str">
        <f t="shared" si="43"/>
        <v xml:space="preserve"> </v>
      </c>
    </row>
    <row r="61" spans="1:48" ht="17.25" customHeight="1">
      <c r="A61" s="175">
        <f t="shared" si="22"/>
        <v>2026</v>
      </c>
      <c r="B61" s="454" t="str">
        <f t="shared" si="23"/>
        <v>33</v>
      </c>
      <c r="C61" s="454" t="str">
        <f t="array" ref="C61">_xlfn.IFS(_xlfn.NUMBERVALUE(B61)&lt;=13,"Q1",AND(_xlfn.NUMBERVALUE(B61)&gt;13,_xlfn.NUMBERVALUE(B61)&lt;=26),"Q2", AND(_xlfn.NUMBERVALUE(B61)&gt;26,_xlfn.NUMBERVALUE(B61)&lt;=39),"Q3",_xlfn.NUMBERVALUE(B61)&gt;39,"Q4")</f>
        <v>Q3</v>
      </c>
      <c r="D61" s="448">
        <f t="shared" si="36"/>
        <v>45913</v>
      </c>
      <c r="E61" s="448">
        <f t="shared" si="37"/>
        <v>45919</v>
      </c>
      <c r="F61" s="695">
        <v>202533</v>
      </c>
      <c r="G61" s="697"/>
      <c r="H61" s="703"/>
      <c r="I61" s="661"/>
      <c r="J61" s="703"/>
      <c r="K61" s="661"/>
      <c r="L61" s="698"/>
      <c r="M61" s="697"/>
      <c r="N61" s="703"/>
      <c r="O61" s="661"/>
      <c r="P61" s="703"/>
      <c r="Q61" s="661"/>
      <c r="R61" s="698"/>
      <c r="S61" s="704"/>
      <c r="T61" s="705"/>
      <c r="U61" s="699"/>
      <c r="V61" s="705"/>
      <c r="W61" s="699"/>
      <c r="X61" s="720"/>
      <c r="Y61" s="699"/>
      <c r="Z61" s="705"/>
      <c r="AA61" s="699"/>
      <c r="AB61" s="705"/>
      <c r="AC61" s="699"/>
      <c r="AD61" s="699"/>
      <c r="AE61" s="711" t="str">
        <f t="shared" si="24"/>
        <v/>
      </c>
      <c r="AF61" s="712" t="str">
        <f t="shared" si="25"/>
        <v/>
      </c>
      <c r="AG61" s="713" t="str">
        <f t="shared" si="26"/>
        <v/>
      </c>
      <c r="AH61" s="712" t="str">
        <f t="shared" si="27"/>
        <v/>
      </c>
      <c r="AI61" s="713" t="str">
        <f t="shared" si="28"/>
        <v/>
      </c>
      <c r="AJ61" s="713" t="str">
        <f t="shared" si="29"/>
        <v/>
      </c>
      <c r="AK61" s="711" t="str">
        <f t="shared" si="30"/>
        <v/>
      </c>
      <c r="AL61" s="712" t="str">
        <f t="shared" si="31"/>
        <v/>
      </c>
      <c r="AM61" s="713" t="str">
        <f t="shared" si="32"/>
        <v/>
      </c>
      <c r="AN61" s="712" t="str">
        <f t="shared" si="33"/>
        <v/>
      </c>
      <c r="AO61" s="713" t="str">
        <f t="shared" si="34"/>
        <v/>
      </c>
      <c r="AP61" s="714" t="str">
        <f t="shared" si="35"/>
        <v/>
      </c>
      <c r="AQ61" s="713" t="str">
        <f t="shared" si="38"/>
        <v xml:space="preserve"> </v>
      </c>
      <c r="AR61" s="712" t="str">
        <f t="shared" si="39"/>
        <v xml:space="preserve"> </v>
      </c>
      <c r="AS61" s="713" t="str">
        <f t="shared" si="40"/>
        <v xml:space="preserve"> </v>
      </c>
      <c r="AT61" s="712" t="str">
        <f t="shared" si="41"/>
        <v xml:space="preserve"> </v>
      </c>
      <c r="AU61" s="722" t="str">
        <f t="shared" si="42"/>
        <v xml:space="preserve"> </v>
      </c>
      <c r="AV61" s="714" t="str">
        <f t="shared" si="43"/>
        <v xml:space="preserve"> </v>
      </c>
    </row>
    <row r="62" spans="1:48" ht="17.25" customHeight="1">
      <c r="A62" s="175">
        <f t="shared" si="22"/>
        <v>2026</v>
      </c>
      <c r="B62" s="454" t="str">
        <f t="shared" si="23"/>
        <v>34</v>
      </c>
      <c r="C62" s="454" t="str">
        <f t="array" ref="C62">_xlfn.IFS(_xlfn.NUMBERVALUE(B62)&lt;=13,"Q1",AND(_xlfn.NUMBERVALUE(B62)&gt;13,_xlfn.NUMBERVALUE(B62)&lt;=26),"Q2", AND(_xlfn.NUMBERVALUE(B62)&gt;26,_xlfn.NUMBERVALUE(B62)&lt;=39),"Q3",_xlfn.NUMBERVALUE(B62)&gt;39,"Q4")</f>
        <v>Q3</v>
      </c>
      <c r="D62" s="448">
        <f t="shared" si="36"/>
        <v>45920</v>
      </c>
      <c r="E62" s="448">
        <f t="shared" si="37"/>
        <v>45926</v>
      </c>
      <c r="F62" s="695">
        <v>202534</v>
      </c>
      <c r="G62" s="697"/>
      <c r="H62" s="703"/>
      <c r="I62" s="661"/>
      <c r="J62" s="703"/>
      <c r="K62" s="661"/>
      <c r="L62" s="698"/>
      <c r="M62" s="697"/>
      <c r="N62" s="703"/>
      <c r="O62" s="661"/>
      <c r="P62" s="703"/>
      <c r="Q62" s="661"/>
      <c r="R62" s="698"/>
      <c r="S62" s="704"/>
      <c r="T62" s="705"/>
      <c r="U62" s="699"/>
      <c r="V62" s="705"/>
      <c r="W62" s="699"/>
      <c r="X62" s="720"/>
      <c r="Y62" s="699"/>
      <c r="Z62" s="705"/>
      <c r="AA62" s="699"/>
      <c r="AB62" s="705"/>
      <c r="AC62" s="699"/>
      <c r="AD62" s="699"/>
      <c r="AE62" s="711" t="str">
        <f t="shared" si="24"/>
        <v/>
      </c>
      <c r="AF62" s="712" t="str">
        <f t="shared" si="25"/>
        <v/>
      </c>
      <c r="AG62" s="713" t="str">
        <f t="shared" si="26"/>
        <v/>
      </c>
      <c r="AH62" s="712" t="str">
        <f t="shared" si="27"/>
        <v/>
      </c>
      <c r="AI62" s="713" t="str">
        <f t="shared" si="28"/>
        <v/>
      </c>
      <c r="AJ62" s="713" t="str">
        <f t="shared" si="29"/>
        <v/>
      </c>
      <c r="AK62" s="711" t="str">
        <f t="shared" si="30"/>
        <v/>
      </c>
      <c r="AL62" s="712" t="str">
        <f t="shared" si="31"/>
        <v/>
      </c>
      <c r="AM62" s="713" t="str">
        <f t="shared" si="32"/>
        <v/>
      </c>
      <c r="AN62" s="712" t="str">
        <f t="shared" si="33"/>
        <v/>
      </c>
      <c r="AO62" s="713" t="str">
        <f t="shared" si="34"/>
        <v/>
      </c>
      <c r="AP62" s="714" t="str">
        <f t="shared" si="35"/>
        <v/>
      </c>
      <c r="AQ62" s="713" t="str">
        <f t="shared" si="38"/>
        <v xml:space="preserve"> </v>
      </c>
      <c r="AR62" s="712" t="str">
        <f t="shared" si="39"/>
        <v xml:space="preserve"> </v>
      </c>
      <c r="AS62" s="713" t="str">
        <f t="shared" si="40"/>
        <v xml:space="preserve"> </v>
      </c>
      <c r="AT62" s="712" t="str">
        <f t="shared" si="41"/>
        <v xml:space="preserve"> </v>
      </c>
      <c r="AU62" s="722" t="str">
        <f t="shared" si="42"/>
        <v xml:space="preserve"> </v>
      </c>
      <c r="AV62" s="714" t="str">
        <f t="shared" si="43"/>
        <v xml:space="preserve"> </v>
      </c>
    </row>
    <row r="63" spans="1:48" ht="17.25" customHeight="1">
      <c r="A63" s="175">
        <f t="shared" si="22"/>
        <v>2026</v>
      </c>
      <c r="B63" s="454" t="str">
        <f t="shared" si="23"/>
        <v>35</v>
      </c>
      <c r="C63" s="454" t="str">
        <f t="array" ref="C63">_xlfn.IFS(_xlfn.NUMBERVALUE(B63)&lt;=13,"Q1",AND(_xlfn.NUMBERVALUE(B63)&gt;13,_xlfn.NUMBERVALUE(B63)&lt;=26),"Q2", AND(_xlfn.NUMBERVALUE(B63)&gt;26,_xlfn.NUMBERVALUE(B63)&lt;=39),"Q3",_xlfn.NUMBERVALUE(B63)&gt;39,"Q4")</f>
        <v>Q3</v>
      </c>
      <c r="D63" s="448">
        <f t="shared" si="36"/>
        <v>45927</v>
      </c>
      <c r="E63" s="448">
        <f t="shared" si="37"/>
        <v>45933</v>
      </c>
      <c r="F63" s="695">
        <v>202535</v>
      </c>
      <c r="G63" s="697"/>
      <c r="H63" s="703"/>
      <c r="I63" s="661"/>
      <c r="J63" s="703"/>
      <c r="K63" s="661"/>
      <c r="L63" s="698"/>
      <c r="M63" s="697"/>
      <c r="N63" s="703"/>
      <c r="O63" s="661"/>
      <c r="P63" s="703"/>
      <c r="Q63" s="661"/>
      <c r="R63" s="698"/>
      <c r="S63" s="704"/>
      <c r="T63" s="705"/>
      <c r="U63" s="699"/>
      <c r="V63" s="705"/>
      <c r="W63" s="699"/>
      <c r="X63" s="720"/>
      <c r="Y63" s="699"/>
      <c r="Z63" s="705"/>
      <c r="AA63" s="699"/>
      <c r="AB63" s="705"/>
      <c r="AC63" s="699"/>
      <c r="AD63" s="699"/>
      <c r="AE63" s="711" t="str">
        <f t="shared" si="24"/>
        <v/>
      </c>
      <c r="AF63" s="712" t="str">
        <f t="shared" si="25"/>
        <v/>
      </c>
      <c r="AG63" s="713" t="str">
        <f t="shared" si="26"/>
        <v/>
      </c>
      <c r="AH63" s="712" t="str">
        <f t="shared" si="27"/>
        <v/>
      </c>
      <c r="AI63" s="713" t="str">
        <f t="shared" si="28"/>
        <v/>
      </c>
      <c r="AJ63" s="713" t="str">
        <f t="shared" si="29"/>
        <v/>
      </c>
      <c r="AK63" s="711" t="str">
        <f t="shared" si="30"/>
        <v/>
      </c>
      <c r="AL63" s="712" t="str">
        <f t="shared" si="31"/>
        <v/>
      </c>
      <c r="AM63" s="713" t="str">
        <f t="shared" si="32"/>
        <v/>
      </c>
      <c r="AN63" s="712" t="str">
        <f t="shared" si="33"/>
        <v/>
      </c>
      <c r="AO63" s="713" t="str">
        <f t="shared" si="34"/>
        <v/>
      </c>
      <c r="AP63" s="714" t="str">
        <f t="shared" si="35"/>
        <v/>
      </c>
      <c r="AQ63" s="713" t="str">
        <f t="shared" si="38"/>
        <v xml:space="preserve"> </v>
      </c>
      <c r="AR63" s="712" t="str">
        <f t="shared" si="39"/>
        <v xml:space="preserve"> </v>
      </c>
      <c r="AS63" s="713" t="str">
        <f t="shared" si="40"/>
        <v xml:space="preserve"> </v>
      </c>
      <c r="AT63" s="712" t="str">
        <f t="shared" si="41"/>
        <v xml:space="preserve"> </v>
      </c>
      <c r="AU63" s="722" t="str">
        <f t="shared" si="42"/>
        <v xml:space="preserve"> </v>
      </c>
      <c r="AV63" s="714" t="str">
        <f t="shared" si="43"/>
        <v xml:space="preserve"> </v>
      </c>
    </row>
    <row r="64" spans="1:48" ht="17.25" customHeight="1">
      <c r="A64" s="175">
        <f t="shared" si="22"/>
        <v>2026</v>
      </c>
      <c r="B64" s="454" t="str">
        <f t="shared" si="23"/>
        <v>36</v>
      </c>
      <c r="C64" s="454" t="str">
        <f t="array" ref="C64">_xlfn.IFS(_xlfn.NUMBERVALUE(B64)&lt;=13,"Q1",AND(_xlfn.NUMBERVALUE(B64)&gt;13,_xlfn.NUMBERVALUE(B64)&lt;=26),"Q2", AND(_xlfn.NUMBERVALUE(B64)&gt;26,_xlfn.NUMBERVALUE(B64)&lt;=39),"Q3",_xlfn.NUMBERVALUE(B64)&gt;39,"Q4")</f>
        <v>Q3</v>
      </c>
      <c r="D64" s="448">
        <f t="shared" si="36"/>
        <v>45934</v>
      </c>
      <c r="E64" s="448">
        <f t="shared" si="37"/>
        <v>45940</v>
      </c>
      <c r="F64" s="695">
        <v>202536</v>
      </c>
      <c r="G64" s="697"/>
      <c r="H64" s="703"/>
      <c r="I64" s="661"/>
      <c r="J64" s="703"/>
      <c r="K64" s="661"/>
      <c r="L64" s="698"/>
      <c r="M64" s="697"/>
      <c r="N64" s="703"/>
      <c r="O64" s="661"/>
      <c r="P64" s="703"/>
      <c r="Q64" s="661"/>
      <c r="R64" s="698"/>
      <c r="S64" s="704"/>
      <c r="T64" s="705"/>
      <c r="U64" s="699"/>
      <c r="V64" s="705"/>
      <c r="W64" s="699"/>
      <c r="X64" s="720"/>
      <c r="Y64" s="699"/>
      <c r="Z64" s="705"/>
      <c r="AA64" s="699"/>
      <c r="AB64" s="705"/>
      <c r="AC64" s="699"/>
      <c r="AD64" s="699"/>
      <c r="AE64" s="711" t="str">
        <f t="shared" si="24"/>
        <v/>
      </c>
      <c r="AF64" s="712" t="str">
        <f t="shared" si="25"/>
        <v/>
      </c>
      <c r="AG64" s="713" t="str">
        <f t="shared" si="26"/>
        <v/>
      </c>
      <c r="AH64" s="712" t="str">
        <f t="shared" si="27"/>
        <v/>
      </c>
      <c r="AI64" s="713" t="str">
        <f t="shared" si="28"/>
        <v/>
      </c>
      <c r="AJ64" s="713" t="str">
        <f t="shared" si="29"/>
        <v/>
      </c>
      <c r="AK64" s="711" t="str">
        <f t="shared" si="30"/>
        <v/>
      </c>
      <c r="AL64" s="712" t="str">
        <f t="shared" si="31"/>
        <v/>
      </c>
      <c r="AM64" s="713" t="str">
        <f t="shared" si="32"/>
        <v/>
      </c>
      <c r="AN64" s="712" t="str">
        <f t="shared" si="33"/>
        <v/>
      </c>
      <c r="AO64" s="713" t="str">
        <f t="shared" si="34"/>
        <v/>
      </c>
      <c r="AP64" s="714" t="str">
        <f t="shared" si="35"/>
        <v/>
      </c>
      <c r="AQ64" s="713" t="str">
        <f t="shared" si="38"/>
        <v xml:space="preserve"> </v>
      </c>
      <c r="AR64" s="712" t="str">
        <f t="shared" si="39"/>
        <v xml:space="preserve"> </v>
      </c>
      <c r="AS64" s="713" t="str">
        <f t="shared" si="40"/>
        <v xml:space="preserve"> </v>
      </c>
      <c r="AT64" s="712" t="str">
        <f t="shared" si="41"/>
        <v xml:space="preserve"> </v>
      </c>
      <c r="AU64" s="722" t="str">
        <f t="shared" si="42"/>
        <v xml:space="preserve"> </v>
      </c>
      <c r="AV64" s="714" t="str">
        <f t="shared" si="43"/>
        <v xml:space="preserve"> </v>
      </c>
    </row>
    <row r="65" spans="1:48" ht="17.25" customHeight="1">
      <c r="A65" s="175">
        <f t="shared" si="22"/>
        <v>2026</v>
      </c>
      <c r="B65" s="454" t="str">
        <f t="shared" si="23"/>
        <v>37</v>
      </c>
      <c r="C65" s="454" t="str">
        <f t="array" ref="C65">_xlfn.IFS(_xlfn.NUMBERVALUE(B65)&lt;=13,"Q1",AND(_xlfn.NUMBERVALUE(B65)&gt;13,_xlfn.NUMBERVALUE(B65)&lt;=26),"Q2", AND(_xlfn.NUMBERVALUE(B65)&gt;26,_xlfn.NUMBERVALUE(B65)&lt;=39),"Q3",_xlfn.NUMBERVALUE(B65)&gt;39,"Q4")</f>
        <v>Q3</v>
      </c>
      <c r="D65" s="448">
        <f t="shared" si="36"/>
        <v>45941</v>
      </c>
      <c r="E65" s="448">
        <f t="shared" si="37"/>
        <v>45947</v>
      </c>
      <c r="F65" s="695">
        <v>202537</v>
      </c>
      <c r="G65" s="697"/>
      <c r="H65" s="703"/>
      <c r="I65" s="661"/>
      <c r="J65" s="703"/>
      <c r="K65" s="661"/>
      <c r="L65" s="698"/>
      <c r="M65" s="697"/>
      <c r="N65" s="703"/>
      <c r="O65" s="661"/>
      <c r="P65" s="703"/>
      <c r="Q65" s="661"/>
      <c r="R65" s="698"/>
      <c r="S65" s="704"/>
      <c r="T65" s="705"/>
      <c r="U65" s="699"/>
      <c r="V65" s="705"/>
      <c r="W65" s="699"/>
      <c r="X65" s="720"/>
      <c r="Y65" s="699"/>
      <c r="Z65" s="705"/>
      <c r="AA65" s="699"/>
      <c r="AB65" s="705"/>
      <c r="AC65" s="699"/>
      <c r="AD65" s="699"/>
      <c r="AE65" s="711" t="str">
        <f t="shared" si="24"/>
        <v/>
      </c>
      <c r="AF65" s="712" t="str">
        <f t="shared" si="25"/>
        <v/>
      </c>
      <c r="AG65" s="713" t="str">
        <f t="shared" si="26"/>
        <v/>
      </c>
      <c r="AH65" s="712" t="str">
        <f t="shared" si="27"/>
        <v/>
      </c>
      <c r="AI65" s="713" t="str">
        <f t="shared" si="28"/>
        <v/>
      </c>
      <c r="AJ65" s="713" t="str">
        <f t="shared" si="29"/>
        <v/>
      </c>
      <c r="AK65" s="711" t="str">
        <f t="shared" si="30"/>
        <v/>
      </c>
      <c r="AL65" s="712" t="str">
        <f t="shared" si="31"/>
        <v/>
      </c>
      <c r="AM65" s="713" t="str">
        <f t="shared" si="32"/>
        <v/>
      </c>
      <c r="AN65" s="712" t="str">
        <f t="shared" si="33"/>
        <v/>
      </c>
      <c r="AO65" s="713" t="str">
        <f t="shared" si="34"/>
        <v/>
      </c>
      <c r="AP65" s="714" t="str">
        <f t="shared" si="35"/>
        <v/>
      </c>
      <c r="AQ65" s="713" t="str">
        <f t="shared" si="38"/>
        <v xml:space="preserve"> </v>
      </c>
      <c r="AR65" s="712" t="str">
        <f t="shared" si="39"/>
        <v xml:space="preserve"> </v>
      </c>
      <c r="AS65" s="713" t="str">
        <f t="shared" si="40"/>
        <v xml:space="preserve"> </v>
      </c>
      <c r="AT65" s="712" t="str">
        <f t="shared" si="41"/>
        <v xml:space="preserve"> </v>
      </c>
      <c r="AU65" s="722" t="str">
        <f t="shared" si="42"/>
        <v xml:space="preserve"> </v>
      </c>
      <c r="AV65" s="714" t="str">
        <f t="shared" si="43"/>
        <v xml:space="preserve"> </v>
      </c>
    </row>
    <row r="66" spans="1:48" ht="17.25" customHeight="1">
      <c r="A66" s="175">
        <f t="shared" si="22"/>
        <v>2026</v>
      </c>
      <c r="B66" s="454" t="str">
        <f t="shared" si="23"/>
        <v>38</v>
      </c>
      <c r="C66" s="454" t="str">
        <f t="array" ref="C66">_xlfn.IFS(_xlfn.NUMBERVALUE(B66)&lt;=13,"Q1",AND(_xlfn.NUMBERVALUE(B66)&gt;13,_xlfn.NUMBERVALUE(B66)&lt;=26),"Q2", AND(_xlfn.NUMBERVALUE(B66)&gt;26,_xlfn.NUMBERVALUE(B66)&lt;=39),"Q3",_xlfn.NUMBERVALUE(B66)&gt;39,"Q4")</f>
        <v>Q3</v>
      </c>
      <c r="D66" s="448">
        <f t="shared" si="36"/>
        <v>45948</v>
      </c>
      <c r="E66" s="448">
        <f t="shared" si="37"/>
        <v>45954</v>
      </c>
      <c r="F66" s="695">
        <v>202538</v>
      </c>
      <c r="G66" s="697"/>
      <c r="H66" s="703"/>
      <c r="I66" s="661"/>
      <c r="J66" s="703"/>
      <c r="K66" s="661"/>
      <c r="L66" s="698"/>
      <c r="M66" s="697"/>
      <c r="N66" s="703"/>
      <c r="O66" s="661"/>
      <c r="P66" s="703"/>
      <c r="Q66" s="661"/>
      <c r="R66" s="698"/>
      <c r="S66" s="704"/>
      <c r="T66" s="705"/>
      <c r="U66" s="699"/>
      <c r="V66" s="705"/>
      <c r="W66" s="699"/>
      <c r="X66" s="720"/>
      <c r="Y66" s="699"/>
      <c r="Z66" s="705"/>
      <c r="AA66" s="699"/>
      <c r="AB66" s="705"/>
      <c r="AC66" s="699"/>
      <c r="AD66" s="699"/>
      <c r="AE66" s="711" t="str">
        <f t="shared" si="24"/>
        <v/>
      </c>
      <c r="AF66" s="712" t="str">
        <f t="shared" si="25"/>
        <v/>
      </c>
      <c r="AG66" s="713" t="str">
        <f t="shared" si="26"/>
        <v/>
      </c>
      <c r="AH66" s="712" t="str">
        <f t="shared" si="27"/>
        <v/>
      </c>
      <c r="AI66" s="713" t="str">
        <f t="shared" si="28"/>
        <v/>
      </c>
      <c r="AJ66" s="713" t="str">
        <f t="shared" si="29"/>
        <v/>
      </c>
      <c r="AK66" s="711" t="str">
        <f t="shared" si="30"/>
        <v/>
      </c>
      <c r="AL66" s="712" t="str">
        <f t="shared" si="31"/>
        <v/>
      </c>
      <c r="AM66" s="713" t="str">
        <f t="shared" si="32"/>
        <v/>
      </c>
      <c r="AN66" s="712" t="str">
        <f t="shared" si="33"/>
        <v/>
      </c>
      <c r="AO66" s="713" t="str">
        <f t="shared" si="34"/>
        <v/>
      </c>
      <c r="AP66" s="714" t="str">
        <f t="shared" si="35"/>
        <v/>
      </c>
      <c r="AQ66" s="713" t="str">
        <f t="shared" si="38"/>
        <v xml:space="preserve"> </v>
      </c>
      <c r="AR66" s="712" t="str">
        <f t="shared" si="39"/>
        <v xml:space="preserve"> </v>
      </c>
      <c r="AS66" s="713" t="str">
        <f t="shared" si="40"/>
        <v xml:space="preserve"> </v>
      </c>
      <c r="AT66" s="712" t="str">
        <f t="shared" si="41"/>
        <v xml:space="preserve"> </v>
      </c>
      <c r="AU66" s="722" t="str">
        <f t="shared" si="42"/>
        <v xml:space="preserve"> </v>
      </c>
      <c r="AV66" s="714" t="str">
        <f t="shared" si="43"/>
        <v xml:space="preserve"> </v>
      </c>
    </row>
    <row r="67" spans="1:48" ht="17.25" customHeight="1">
      <c r="A67" s="175">
        <f t="shared" si="22"/>
        <v>2026</v>
      </c>
      <c r="B67" s="454" t="str">
        <f t="shared" si="23"/>
        <v>39</v>
      </c>
      <c r="C67" s="454" t="str">
        <f t="array" ref="C67">_xlfn.IFS(_xlfn.NUMBERVALUE(B67)&lt;=13,"Q1",AND(_xlfn.NUMBERVALUE(B67)&gt;13,_xlfn.NUMBERVALUE(B67)&lt;=26),"Q2", AND(_xlfn.NUMBERVALUE(B67)&gt;26,_xlfn.NUMBERVALUE(B67)&lt;=39),"Q3",_xlfn.NUMBERVALUE(B67)&gt;39,"Q4")</f>
        <v>Q3</v>
      </c>
      <c r="D67" s="448">
        <f t="shared" si="36"/>
        <v>45955</v>
      </c>
      <c r="E67" s="448">
        <f t="shared" si="37"/>
        <v>45961</v>
      </c>
      <c r="F67" s="695">
        <v>202539</v>
      </c>
      <c r="G67" s="697"/>
      <c r="H67" s="703"/>
      <c r="I67" s="661"/>
      <c r="J67" s="703"/>
      <c r="K67" s="661"/>
      <c r="L67" s="698"/>
      <c r="M67" s="697"/>
      <c r="N67" s="703"/>
      <c r="O67" s="661"/>
      <c r="P67" s="703"/>
      <c r="Q67" s="661"/>
      <c r="R67" s="698"/>
      <c r="S67" s="704"/>
      <c r="T67" s="705"/>
      <c r="U67" s="699"/>
      <c r="V67" s="705"/>
      <c r="W67" s="699"/>
      <c r="X67" s="720"/>
      <c r="Y67" s="699"/>
      <c r="Z67" s="705"/>
      <c r="AA67" s="699"/>
      <c r="AB67" s="705"/>
      <c r="AC67" s="699"/>
      <c r="AD67" s="699"/>
      <c r="AE67" s="711" t="str">
        <f t="shared" si="24"/>
        <v/>
      </c>
      <c r="AF67" s="712" t="str">
        <f t="shared" si="25"/>
        <v/>
      </c>
      <c r="AG67" s="713" t="str">
        <f t="shared" si="26"/>
        <v/>
      </c>
      <c r="AH67" s="712" t="str">
        <f t="shared" si="27"/>
        <v/>
      </c>
      <c r="AI67" s="713" t="str">
        <f t="shared" si="28"/>
        <v/>
      </c>
      <c r="AJ67" s="713" t="str">
        <f t="shared" si="29"/>
        <v/>
      </c>
      <c r="AK67" s="711" t="str">
        <f t="shared" si="30"/>
        <v/>
      </c>
      <c r="AL67" s="712" t="str">
        <f t="shared" si="31"/>
        <v/>
      </c>
      <c r="AM67" s="713" t="str">
        <f t="shared" si="32"/>
        <v/>
      </c>
      <c r="AN67" s="712" t="str">
        <f t="shared" si="33"/>
        <v/>
      </c>
      <c r="AO67" s="713" t="str">
        <f t="shared" si="34"/>
        <v/>
      </c>
      <c r="AP67" s="714" t="str">
        <f t="shared" si="35"/>
        <v/>
      </c>
      <c r="AQ67" s="713" t="str">
        <f t="shared" si="38"/>
        <v xml:space="preserve"> </v>
      </c>
      <c r="AR67" s="712" t="str">
        <f t="shared" si="39"/>
        <v xml:space="preserve"> </v>
      </c>
      <c r="AS67" s="713" t="str">
        <f t="shared" si="40"/>
        <v xml:space="preserve"> </v>
      </c>
      <c r="AT67" s="712" t="str">
        <f t="shared" si="41"/>
        <v xml:space="preserve"> </v>
      </c>
      <c r="AU67" s="722" t="str">
        <f t="shared" si="42"/>
        <v xml:space="preserve"> </v>
      </c>
      <c r="AV67" s="714" t="str">
        <f t="shared" si="43"/>
        <v xml:space="preserve"> </v>
      </c>
    </row>
    <row r="68" spans="1:48" ht="17.25" customHeight="1">
      <c r="A68" s="175">
        <f t="shared" si="22"/>
        <v>2026</v>
      </c>
      <c r="B68" s="454" t="str">
        <f t="shared" si="23"/>
        <v>40</v>
      </c>
      <c r="C68" s="454" t="str">
        <f t="array" ref="C68">_xlfn.IFS(_xlfn.NUMBERVALUE(B68)&lt;=13,"Q1",AND(_xlfn.NUMBERVALUE(B68)&gt;13,_xlfn.NUMBERVALUE(B68)&lt;=26),"Q2", AND(_xlfn.NUMBERVALUE(B68)&gt;26,_xlfn.NUMBERVALUE(B68)&lt;=39),"Q3",_xlfn.NUMBERVALUE(B68)&gt;39,"Q4")</f>
        <v>Q4</v>
      </c>
      <c r="D68" s="448">
        <f t="shared" si="36"/>
        <v>45962</v>
      </c>
      <c r="E68" s="448">
        <f t="shared" si="37"/>
        <v>45968</v>
      </c>
      <c r="F68" s="695">
        <v>202540</v>
      </c>
      <c r="G68" s="697"/>
      <c r="H68" s="703"/>
      <c r="I68" s="661"/>
      <c r="J68" s="703"/>
      <c r="K68" s="661"/>
      <c r="L68" s="698"/>
      <c r="M68" s="697"/>
      <c r="N68" s="703"/>
      <c r="O68" s="661"/>
      <c r="P68" s="703"/>
      <c r="Q68" s="661"/>
      <c r="R68" s="698"/>
      <c r="S68" s="704"/>
      <c r="T68" s="705"/>
      <c r="U68" s="699"/>
      <c r="V68" s="705"/>
      <c r="W68" s="699"/>
      <c r="X68" s="720"/>
      <c r="Y68" s="699"/>
      <c r="Z68" s="705"/>
      <c r="AA68" s="699"/>
      <c r="AB68" s="705"/>
      <c r="AC68" s="699"/>
      <c r="AD68" s="699"/>
      <c r="AE68" s="711" t="str">
        <f t="shared" si="24"/>
        <v/>
      </c>
      <c r="AF68" s="712" t="str">
        <f t="shared" si="25"/>
        <v/>
      </c>
      <c r="AG68" s="713" t="str">
        <f t="shared" si="26"/>
        <v/>
      </c>
      <c r="AH68" s="712" t="str">
        <f t="shared" si="27"/>
        <v/>
      </c>
      <c r="AI68" s="713" t="str">
        <f t="shared" si="28"/>
        <v/>
      </c>
      <c r="AJ68" s="713" t="str">
        <f t="shared" si="29"/>
        <v/>
      </c>
      <c r="AK68" s="711" t="str">
        <f t="shared" si="30"/>
        <v/>
      </c>
      <c r="AL68" s="712" t="str">
        <f t="shared" si="31"/>
        <v/>
      </c>
      <c r="AM68" s="713" t="str">
        <f t="shared" si="32"/>
        <v/>
      </c>
      <c r="AN68" s="712" t="str">
        <f t="shared" si="33"/>
        <v/>
      </c>
      <c r="AO68" s="713" t="str">
        <f t="shared" si="34"/>
        <v/>
      </c>
      <c r="AP68" s="714" t="str">
        <f t="shared" si="35"/>
        <v/>
      </c>
      <c r="AQ68" s="713" t="str">
        <f t="shared" si="38"/>
        <v xml:space="preserve"> </v>
      </c>
      <c r="AR68" s="712" t="str">
        <f t="shared" si="39"/>
        <v xml:space="preserve"> </v>
      </c>
      <c r="AS68" s="713" t="str">
        <f t="shared" si="40"/>
        <v xml:space="preserve"> </v>
      </c>
      <c r="AT68" s="712" t="str">
        <f t="shared" si="41"/>
        <v xml:space="preserve"> </v>
      </c>
      <c r="AU68" s="722" t="str">
        <f t="shared" si="42"/>
        <v xml:space="preserve"> </v>
      </c>
      <c r="AV68" s="714" t="str">
        <f t="shared" si="43"/>
        <v xml:space="preserve"> </v>
      </c>
    </row>
    <row r="69" spans="1:48" ht="17.25" customHeight="1">
      <c r="A69" s="175">
        <f t="shared" si="22"/>
        <v>2026</v>
      </c>
      <c r="B69" s="454" t="str">
        <f t="shared" si="23"/>
        <v>41</v>
      </c>
      <c r="C69" s="454" t="str">
        <f t="array" ref="C69">_xlfn.IFS(_xlfn.NUMBERVALUE(B69)&lt;=13,"Q1",AND(_xlfn.NUMBERVALUE(B69)&gt;13,_xlfn.NUMBERVALUE(B69)&lt;=26),"Q2", AND(_xlfn.NUMBERVALUE(B69)&gt;26,_xlfn.NUMBERVALUE(B69)&lt;=39),"Q3",_xlfn.NUMBERVALUE(B69)&gt;39,"Q4")</f>
        <v>Q4</v>
      </c>
      <c r="D69" s="448">
        <f t="shared" si="36"/>
        <v>45969</v>
      </c>
      <c r="E69" s="448">
        <f t="shared" si="37"/>
        <v>45975</v>
      </c>
      <c r="F69" s="695">
        <v>202541</v>
      </c>
      <c r="G69" s="697"/>
      <c r="H69" s="703"/>
      <c r="I69" s="661"/>
      <c r="J69" s="703"/>
      <c r="K69" s="661"/>
      <c r="L69" s="698"/>
      <c r="M69" s="697"/>
      <c r="N69" s="703"/>
      <c r="O69" s="661"/>
      <c r="P69" s="703"/>
      <c r="Q69" s="661"/>
      <c r="R69" s="698"/>
      <c r="S69" s="704"/>
      <c r="T69" s="705"/>
      <c r="U69" s="699"/>
      <c r="V69" s="705"/>
      <c r="W69" s="699"/>
      <c r="X69" s="720"/>
      <c r="Y69" s="699"/>
      <c r="Z69" s="705"/>
      <c r="AA69" s="699"/>
      <c r="AB69" s="705"/>
      <c r="AC69" s="699"/>
      <c r="AD69" s="699"/>
      <c r="AE69" s="711" t="str">
        <f t="shared" si="24"/>
        <v/>
      </c>
      <c r="AF69" s="712" t="str">
        <f t="shared" si="25"/>
        <v/>
      </c>
      <c r="AG69" s="713" t="str">
        <f t="shared" si="26"/>
        <v/>
      </c>
      <c r="AH69" s="712" t="str">
        <f t="shared" si="27"/>
        <v/>
      </c>
      <c r="AI69" s="713" t="str">
        <f t="shared" si="28"/>
        <v/>
      </c>
      <c r="AJ69" s="713" t="str">
        <f t="shared" si="29"/>
        <v/>
      </c>
      <c r="AK69" s="711" t="str">
        <f t="shared" si="30"/>
        <v/>
      </c>
      <c r="AL69" s="712" t="str">
        <f t="shared" si="31"/>
        <v/>
      </c>
      <c r="AM69" s="713" t="str">
        <f t="shared" si="32"/>
        <v/>
      </c>
      <c r="AN69" s="712" t="str">
        <f t="shared" si="33"/>
        <v/>
      </c>
      <c r="AO69" s="713" t="str">
        <f t="shared" si="34"/>
        <v/>
      </c>
      <c r="AP69" s="714" t="str">
        <f t="shared" si="35"/>
        <v/>
      </c>
      <c r="AQ69" s="713" t="str">
        <f t="shared" si="38"/>
        <v xml:space="preserve"> </v>
      </c>
      <c r="AR69" s="712" t="str">
        <f t="shared" si="39"/>
        <v xml:space="preserve"> </v>
      </c>
      <c r="AS69" s="713" t="str">
        <f t="shared" si="40"/>
        <v xml:space="preserve"> </v>
      </c>
      <c r="AT69" s="712" t="str">
        <f t="shared" si="41"/>
        <v xml:space="preserve"> </v>
      </c>
      <c r="AU69" s="722" t="str">
        <f t="shared" si="42"/>
        <v xml:space="preserve"> </v>
      </c>
      <c r="AV69" s="714" t="str">
        <f t="shared" si="43"/>
        <v xml:space="preserve"> </v>
      </c>
    </row>
    <row r="70" spans="1:48" ht="17.25" customHeight="1">
      <c r="A70" s="175">
        <f t="shared" si="22"/>
        <v>2026</v>
      </c>
      <c r="B70" s="454" t="str">
        <f t="shared" si="23"/>
        <v>42</v>
      </c>
      <c r="C70" s="454" t="str">
        <f t="array" ref="C70">_xlfn.IFS(_xlfn.NUMBERVALUE(B70)&lt;=13,"Q1",AND(_xlfn.NUMBERVALUE(B70)&gt;13,_xlfn.NUMBERVALUE(B70)&lt;=26),"Q2", AND(_xlfn.NUMBERVALUE(B70)&gt;26,_xlfn.NUMBERVALUE(B70)&lt;=39),"Q3",_xlfn.NUMBERVALUE(B70)&gt;39,"Q4")</f>
        <v>Q4</v>
      </c>
      <c r="D70" s="448">
        <f t="shared" si="36"/>
        <v>45976</v>
      </c>
      <c r="E70" s="448">
        <f t="shared" si="37"/>
        <v>45982</v>
      </c>
      <c r="F70" s="695">
        <v>202542</v>
      </c>
      <c r="G70" s="697"/>
      <c r="H70" s="703"/>
      <c r="I70" s="661"/>
      <c r="J70" s="703"/>
      <c r="K70" s="661"/>
      <c r="L70" s="698"/>
      <c r="M70" s="697"/>
      <c r="N70" s="703"/>
      <c r="O70" s="661"/>
      <c r="P70" s="703"/>
      <c r="Q70" s="661"/>
      <c r="R70" s="698"/>
      <c r="S70" s="704"/>
      <c r="T70" s="705"/>
      <c r="U70" s="699"/>
      <c r="V70" s="705"/>
      <c r="W70" s="699"/>
      <c r="X70" s="720"/>
      <c r="Y70" s="699"/>
      <c r="Z70" s="705"/>
      <c r="AA70" s="699"/>
      <c r="AB70" s="705"/>
      <c r="AC70" s="699"/>
      <c r="AD70" s="699"/>
      <c r="AE70" s="711" t="str">
        <f t="shared" si="24"/>
        <v/>
      </c>
      <c r="AF70" s="712" t="str">
        <f t="shared" si="25"/>
        <v/>
      </c>
      <c r="AG70" s="713" t="str">
        <f t="shared" si="26"/>
        <v/>
      </c>
      <c r="AH70" s="712" t="str">
        <f t="shared" si="27"/>
        <v/>
      </c>
      <c r="AI70" s="713" t="str">
        <f t="shared" si="28"/>
        <v/>
      </c>
      <c r="AJ70" s="713" t="str">
        <f t="shared" si="29"/>
        <v/>
      </c>
      <c r="AK70" s="711" t="str">
        <f t="shared" si="30"/>
        <v/>
      </c>
      <c r="AL70" s="712" t="str">
        <f t="shared" si="31"/>
        <v/>
      </c>
      <c r="AM70" s="713" t="str">
        <f t="shared" si="32"/>
        <v/>
      </c>
      <c r="AN70" s="712" t="str">
        <f t="shared" si="33"/>
        <v/>
      </c>
      <c r="AO70" s="713" t="str">
        <f t="shared" si="34"/>
        <v/>
      </c>
      <c r="AP70" s="714" t="str">
        <f t="shared" si="35"/>
        <v/>
      </c>
      <c r="AQ70" s="713" t="str">
        <f t="shared" si="38"/>
        <v xml:space="preserve"> </v>
      </c>
      <c r="AR70" s="712" t="str">
        <f t="shared" si="39"/>
        <v xml:space="preserve"> </v>
      </c>
      <c r="AS70" s="713" t="str">
        <f t="shared" si="40"/>
        <v xml:space="preserve"> </v>
      </c>
      <c r="AT70" s="712" t="str">
        <f t="shared" si="41"/>
        <v xml:space="preserve"> </v>
      </c>
      <c r="AU70" s="722" t="str">
        <f t="shared" si="42"/>
        <v xml:space="preserve"> </v>
      </c>
      <c r="AV70" s="714" t="str">
        <f t="shared" si="43"/>
        <v xml:space="preserve"> </v>
      </c>
    </row>
    <row r="71" spans="1:48" ht="17.25" customHeight="1">
      <c r="A71" s="175">
        <f t="shared" si="22"/>
        <v>2026</v>
      </c>
      <c r="B71" s="454" t="str">
        <f t="shared" si="23"/>
        <v>43</v>
      </c>
      <c r="C71" s="454" t="str">
        <f t="array" ref="C71">_xlfn.IFS(_xlfn.NUMBERVALUE(B71)&lt;=13,"Q1",AND(_xlfn.NUMBERVALUE(B71)&gt;13,_xlfn.NUMBERVALUE(B71)&lt;=26),"Q2", AND(_xlfn.NUMBERVALUE(B71)&gt;26,_xlfn.NUMBERVALUE(B71)&lt;=39),"Q3",_xlfn.NUMBERVALUE(B71)&gt;39,"Q4")</f>
        <v>Q4</v>
      </c>
      <c r="D71" s="448">
        <f t="shared" si="36"/>
        <v>45983</v>
      </c>
      <c r="E71" s="448">
        <f t="shared" si="37"/>
        <v>45989</v>
      </c>
      <c r="F71" s="695">
        <v>202543</v>
      </c>
      <c r="G71" s="697"/>
      <c r="H71" s="703"/>
      <c r="I71" s="661"/>
      <c r="J71" s="703"/>
      <c r="K71" s="661"/>
      <c r="L71" s="698"/>
      <c r="M71" s="697"/>
      <c r="N71" s="703"/>
      <c r="O71" s="661"/>
      <c r="P71" s="703"/>
      <c r="Q71" s="661"/>
      <c r="R71" s="698"/>
      <c r="S71" s="704"/>
      <c r="T71" s="705"/>
      <c r="U71" s="699"/>
      <c r="V71" s="705"/>
      <c r="W71" s="699"/>
      <c r="X71" s="720"/>
      <c r="Y71" s="699"/>
      <c r="Z71" s="705"/>
      <c r="AA71" s="699"/>
      <c r="AB71" s="705"/>
      <c r="AC71" s="699"/>
      <c r="AD71" s="699"/>
      <c r="AE71" s="711" t="str">
        <f t="shared" si="24"/>
        <v/>
      </c>
      <c r="AF71" s="712" t="str">
        <f t="shared" si="25"/>
        <v/>
      </c>
      <c r="AG71" s="713" t="str">
        <f t="shared" si="26"/>
        <v/>
      </c>
      <c r="AH71" s="712" t="str">
        <f t="shared" si="27"/>
        <v/>
      </c>
      <c r="AI71" s="713" t="str">
        <f t="shared" si="28"/>
        <v/>
      </c>
      <c r="AJ71" s="713" t="str">
        <f t="shared" si="29"/>
        <v/>
      </c>
      <c r="AK71" s="711" t="str">
        <f t="shared" si="30"/>
        <v/>
      </c>
      <c r="AL71" s="712" t="str">
        <f t="shared" si="31"/>
        <v/>
      </c>
      <c r="AM71" s="713" t="str">
        <f t="shared" si="32"/>
        <v/>
      </c>
      <c r="AN71" s="712" t="str">
        <f t="shared" si="33"/>
        <v/>
      </c>
      <c r="AO71" s="713" t="str">
        <f t="shared" si="34"/>
        <v/>
      </c>
      <c r="AP71" s="714" t="str">
        <f t="shared" si="35"/>
        <v/>
      </c>
      <c r="AQ71" s="713" t="str">
        <f t="shared" si="38"/>
        <v xml:space="preserve"> </v>
      </c>
      <c r="AR71" s="712" t="str">
        <f t="shared" si="39"/>
        <v xml:space="preserve"> </v>
      </c>
      <c r="AS71" s="713" t="str">
        <f t="shared" si="40"/>
        <v xml:space="preserve"> </v>
      </c>
      <c r="AT71" s="712" t="str">
        <f t="shared" si="41"/>
        <v xml:space="preserve"> </v>
      </c>
      <c r="AU71" s="722" t="str">
        <f t="shared" si="42"/>
        <v xml:space="preserve"> </v>
      </c>
      <c r="AV71" s="714" t="str">
        <f t="shared" si="43"/>
        <v xml:space="preserve"> </v>
      </c>
    </row>
    <row r="72" spans="1:48" ht="17.25" customHeight="1">
      <c r="A72" s="175">
        <f t="shared" ref="A72:A80" si="44">LEFT(F72,4)+1</f>
        <v>2026</v>
      </c>
      <c r="B72" s="454" t="str">
        <f t="shared" ref="B72:B80" si="45">RIGHT(F72,2)</f>
        <v>44</v>
      </c>
      <c r="C72" s="454" t="str">
        <f t="array" ref="C72">_xlfn.IFS(_xlfn.NUMBERVALUE(B72)&lt;=13,"Q1",AND(_xlfn.NUMBERVALUE(B72)&gt;13,_xlfn.NUMBERVALUE(B72)&lt;=26),"Q2", AND(_xlfn.NUMBERVALUE(B72)&gt;26,_xlfn.NUMBERVALUE(B72)&lt;=39),"Q3",_xlfn.NUMBERVALUE(B72)&gt;39,"Q4")</f>
        <v>Q4</v>
      </c>
      <c r="D72" s="448">
        <f t="shared" si="36"/>
        <v>45990</v>
      </c>
      <c r="E72" s="448">
        <f t="shared" si="37"/>
        <v>45996</v>
      </c>
      <c r="F72" s="695">
        <v>202544</v>
      </c>
      <c r="G72" s="697"/>
      <c r="H72" s="703"/>
      <c r="I72" s="661"/>
      <c r="J72" s="703"/>
      <c r="K72" s="661"/>
      <c r="L72" s="698"/>
      <c r="M72" s="697"/>
      <c r="N72" s="703"/>
      <c r="O72" s="661"/>
      <c r="P72" s="703"/>
      <c r="Q72" s="661"/>
      <c r="R72" s="698"/>
      <c r="S72" s="704"/>
      <c r="T72" s="705"/>
      <c r="U72" s="699"/>
      <c r="V72" s="705"/>
      <c r="W72" s="699"/>
      <c r="X72" s="720"/>
      <c r="Y72" s="699"/>
      <c r="Z72" s="705"/>
      <c r="AA72" s="699"/>
      <c r="AB72" s="705"/>
      <c r="AC72" s="699"/>
      <c r="AD72" s="699"/>
      <c r="AE72" s="711" t="str">
        <f t="shared" ref="AE72:AE80" si="46">IFERROR(S72/G72,"")</f>
        <v/>
      </c>
      <c r="AF72" s="712" t="str">
        <f t="shared" ref="AF72:AF80" si="47">IFERROR(T72/H72,"")</f>
        <v/>
      </c>
      <c r="AG72" s="713" t="str">
        <f t="shared" ref="AG72:AG80" si="48">IFERROR(U72/I72,"")</f>
        <v/>
      </c>
      <c r="AH72" s="712" t="str">
        <f t="shared" ref="AH72:AH80" si="49">IFERROR(V72/J72,"")</f>
        <v/>
      </c>
      <c r="AI72" s="713" t="str">
        <f t="shared" ref="AI72:AI80" si="50">IFERROR(W72/K72,"")</f>
        <v/>
      </c>
      <c r="AJ72" s="713" t="str">
        <f t="shared" ref="AJ72:AJ80" si="51">IFERROR(X72/L72,"")</f>
        <v/>
      </c>
      <c r="AK72" s="711" t="str">
        <f t="shared" ref="AK72:AK80" si="52">IFERROR(S72/M72,"")</f>
        <v/>
      </c>
      <c r="AL72" s="712" t="str">
        <f t="shared" ref="AL72:AL80" si="53">IFERROR(T72/N72,"")</f>
        <v/>
      </c>
      <c r="AM72" s="713" t="str">
        <f t="shared" ref="AM72:AM80" si="54">IFERROR(U72/O72,"")</f>
        <v/>
      </c>
      <c r="AN72" s="712" t="str">
        <f t="shared" ref="AN72:AN80" si="55">IFERROR(V72/P72,"")</f>
        <v/>
      </c>
      <c r="AO72" s="713" t="str">
        <f t="shared" ref="AO72:AO80" si="56">IFERROR(W72/Q72,"")</f>
        <v/>
      </c>
      <c r="AP72" s="714" t="str">
        <f t="shared" ref="AP72:AP80" si="57">IFERROR(X72/R72,"")</f>
        <v/>
      </c>
      <c r="AQ72" s="713" t="str">
        <f t="shared" si="38"/>
        <v xml:space="preserve"> </v>
      </c>
      <c r="AR72" s="712" t="str">
        <f t="shared" si="39"/>
        <v xml:space="preserve"> </v>
      </c>
      <c r="AS72" s="713" t="str">
        <f t="shared" si="40"/>
        <v xml:space="preserve"> </v>
      </c>
      <c r="AT72" s="712" t="str">
        <f t="shared" si="41"/>
        <v xml:space="preserve"> </v>
      </c>
      <c r="AU72" s="722" t="str">
        <f t="shared" si="42"/>
        <v xml:space="preserve"> </v>
      </c>
      <c r="AV72" s="714" t="str">
        <f t="shared" si="43"/>
        <v xml:space="preserve"> </v>
      </c>
    </row>
    <row r="73" spans="1:48" ht="17.25" customHeight="1">
      <c r="A73" s="175">
        <f t="shared" si="44"/>
        <v>2026</v>
      </c>
      <c r="B73" s="454" t="str">
        <f t="shared" si="45"/>
        <v>45</v>
      </c>
      <c r="C73" s="454" t="str">
        <f t="array" ref="C73">_xlfn.IFS(_xlfn.NUMBERVALUE(B73)&lt;=13,"Q1",AND(_xlfn.NUMBERVALUE(B73)&gt;13,_xlfn.NUMBERVALUE(B73)&lt;=26),"Q2", AND(_xlfn.NUMBERVALUE(B73)&gt;26,_xlfn.NUMBERVALUE(B73)&lt;=39),"Q3",_xlfn.NUMBERVALUE(B73)&gt;39,"Q4")</f>
        <v>Q4</v>
      </c>
      <c r="D73" s="448">
        <f t="shared" ref="D73:D80" si="58">E72+1</f>
        <v>45997</v>
      </c>
      <c r="E73" s="448">
        <f t="shared" ref="E73:E80" si="59">D73+6</f>
        <v>46003</v>
      </c>
      <c r="F73" s="695">
        <v>202545</v>
      </c>
      <c r="G73" s="697"/>
      <c r="H73" s="703"/>
      <c r="I73" s="661"/>
      <c r="J73" s="703"/>
      <c r="K73" s="661"/>
      <c r="L73" s="698"/>
      <c r="M73" s="697"/>
      <c r="N73" s="703"/>
      <c r="O73" s="661"/>
      <c r="P73" s="703"/>
      <c r="Q73" s="661"/>
      <c r="R73" s="698"/>
      <c r="S73" s="704"/>
      <c r="T73" s="705"/>
      <c r="U73" s="699"/>
      <c r="V73" s="705"/>
      <c r="W73" s="699"/>
      <c r="X73" s="720"/>
      <c r="Y73" s="699"/>
      <c r="Z73" s="705"/>
      <c r="AA73" s="699"/>
      <c r="AB73" s="705"/>
      <c r="AC73" s="699"/>
      <c r="AD73" s="699"/>
      <c r="AE73" s="711" t="str">
        <f t="shared" si="46"/>
        <v/>
      </c>
      <c r="AF73" s="712" t="str">
        <f t="shared" si="47"/>
        <v/>
      </c>
      <c r="AG73" s="713" t="str">
        <f t="shared" si="48"/>
        <v/>
      </c>
      <c r="AH73" s="712" t="str">
        <f t="shared" si="49"/>
        <v/>
      </c>
      <c r="AI73" s="713" t="str">
        <f t="shared" si="50"/>
        <v/>
      </c>
      <c r="AJ73" s="713" t="str">
        <f t="shared" si="51"/>
        <v/>
      </c>
      <c r="AK73" s="711" t="str">
        <f t="shared" si="52"/>
        <v/>
      </c>
      <c r="AL73" s="712" t="str">
        <f t="shared" si="53"/>
        <v/>
      </c>
      <c r="AM73" s="713" t="str">
        <f t="shared" si="54"/>
        <v/>
      </c>
      <c r="AN73" s="712" t="str">
        <f t="shared" si="55"/>
        <v/>
      </c>
      <c r="AO73" s="713" t="str">
        <f t="shared" si="56"/>
        <v/>
      </c>
      <c r="AP73" s="714" t="str">
        <f t="shared" si="57"/>
        <v/>
      </c>
      <c r="AQ73" s="713" t="str">
        <f t="shared" si="38"/>
        <v xml:space="preserve"> </v>
      </c>
      <c r="AR73" s="712" t="str">
        <f t="shared" si="39"/>
        <v xml:space="preserve"> </v>
      </c>
      <c r="AS73" s="713" t="str">
        <f t="shared" si="40"/>
        <v xml:space="preserve"> </v>
      </c>
      <c r="AT73" s="712" t="str">
        <f t="shared" si="41"/>
        <v xml:space="preserve"> </v>
      </c>
      <c r="AU73" s="722" t="str">
        <f t="shared" si="42"/>
        <v xml:space="preserve"> </v>
      </c>
      <c r="AV73" s="714" t="str">
        <f t="shared" si="43"/>
        <v xml:space="preserve"> </v>
      </c>
    </row>
    <row r="74" spans="1:48" ht="17.25" customHeight="1">
      <c r="A74" s="175">
        <f t="shared" si="44"/>
        <v>2026</v>
      </c>
      <c r="B74" s="454" t="str">
        <f t="shared" si="45"/>
        <v>46</v>
      </c>
      <c r="C74" s="454" t="str">
        <f t="array" ref="C74">_xlfn.IFS(_xlfn.NUMBERVALUE(B74)&lt;=13,"Q1",AND(_xlfn.NUMBERVALUE(B74)&gt;13,_xlfn.NUMBERVALUE(B74)&lt;=26),"Q2", AND(_xlfn.NUMBERVALUE(B74)&gt;26,_xlfn.NUMBERVALUE(B74)&lt;=39),"Q3",_xlfn.NUMBERVALUE(B74)&gt;39,"Q4")</f>
        <v>Q4</v>
      </c>
      <c r="D74" s="448">
        <f t="shared" si="58"/>
        <v>46004</v>
      </c>
      <c r="E74" s="448">
        <f t="shared" si="59"/>
        <v>46010</v>
      </c>
      <c r="F74" s="695">
        <v>202546</v>
      </c>
      <c r="G74" s="697"/>
      <c r="H74" s="703"/>
      <c r="I74" s="661"/>
      <c r="J74" s="703"/>
      <c r="K74" s="661"/>
      <c r="L74" s="698"/>
      <c r="M74" s="697"/>
      <c r="N74" s="703"/>
      <c r="O74" s="661"/>
      <c r="P74" s="703"/>
      <c r="Q74" s="661"/>
      <c r="R74" s="698"/>
      <c r="S74" s="704"/>
      <c r="T74" s="705"/>
      <c r="U74" s="699"/>
      <c r="V74" s="705"/>
      <c r="W74" s="699"/>
      <c r="X74" s="720"/>
      <c r="Y74" s="699"/>
      <c r="Z74" s="705"/>
      <c r="AA74" s="699"/>
      <c r="AB74" s="705"/>
      <c r="AC74" s="699"/>
      <c r="AD74" s="699"/>
      <c r="AE74" s="711" t="str">
        <f t="shared" si="46"/>
        <v/>
      </c>
      <c r="AF74" s="712" t="str">
        <f t="shared" si="47"/>
        <v/>
      </c>
      <c r="AG74" s="713" t="str">
        <f t="shared" si="48"/>
        <v/>
      </c>
      <c r="AH74" s="712" t="str">
        <f t="shared" si="49"/>
        <v/>
      </c>
      <c r="AI74" s="713" t="str">
        <f t="shared" si="50"/>
        <v/>
      </c>
      <c r="AJ74" s="713" t="str">
        <f t="shared" si="51"/>
        <v/>
      </c>
      <c r="AK74" s="711" t="str">
        <f t="shared" si="52"/>
        <v/>
      </c>
      <c r="AL74" s="712" t="str">
        <f t="shared" si="53"/>
        <v/>
      </c>
      <c r="AM74" s="713" t="str">
        <f t="shared" si="54"/>
        <v/>
      </c>
      <c r="AN74" s="712" t="str">
        <f t="shared" si="55"/>
        <v/>
      </c>
      <c r="AO74" s="713" t="str">
        <f t="shared" si="56"/>
        <v/>
      </c>
      <c r="AP74" s="714" t="str">
        <f t="shared" si="57"/>
        <v/>
      </c>
      <c r="AQ74" s="713" t="str">
        <f t="shared" si="38"/>
        <v xml:space="preserve"> </v>
      </c>
      <c r="AR74" s="712" t="str">
        <f t="shared" si="39"/>
        <v xml:space="preserve"> </v>
      </c>
      <c r="AS74" s="713" t="str">
        <f t="shared" si="40"/>
        <v xml:space="preserve"> </v>
      </c>
      <c r="AT74" s="712" t="str">
        <f t="shared" si="41"/>
        <v xml:space="preserve"> </v>
      </c>
      <c r="AU74" s="722" t="str">
        <f t="shared" si="42"/>
        <v xml:space="preserve"> </v>
      </c>
      <c r="AV74" s="714" t="str">
        <f t="shared" si="43"/>
        <v xml:space="preserve"> </v>
      </c>
    </row>
    <row r="75" spans="1:48" ht="17.25" customHeight="1">
      <c r="A75" s="175">
        <f t="shared" si="44"/>
        <v>2026</v>
      </c>
      <c r="B75" s="454" t="str">
        <f t="shared" si="45"/>
        <v>47</v>
      </c>
      <c r="C75" s="454" t="str">
        <f t="array" ref="C75">_xlfn.IFS(_xlfn.NUMBERVALUE(B75)&lt;=13,"Q1",AND(_xlfn.NUMBERVALUE(B75)&gt;13,_xlfn.NUMBERVALUE(B75)&lt;=26),"Q2", AND(_xlfn.NUMBERVALUE(B75)&gt;26,_xlfn.NUMBERVALUE(B75)&lt;=39),"Q3",_xlfn.NUMBERVALUE(B75)&gt;39,"Q4")</f>
        <v>Q4</v>
      </c>
      <c r="D75" s="448">
        <f t="shared" si="58"/>
        <v>46011</v>
      </c>
      <c r="E75" s="448">
        <f t="shared" si="59"/>
        <v>46017</v>
      </c>
      <c r="F75" s="695">
        <v>202547</v>
      </c>
      <c r="G75" s="697"/>
      <c r="H75" s="703"/>
      <c r="I75" s="661"/>
      <c r="J75" s="703"/>
      <c r="K75" s="661"/>
      <c r="L75" s="698"/>
      <c r="M75" s="697"/>
      <c r="N75" s="703"/>
      <c r="O75" s="661"/>
      <c r="P75" s="703"/>
      <c r="Q75" s="661"/>
      <c r="R75" s="698"/>
      <c r="S75" s="704"/>
      <c r="T75" s="705"/>
      <c r="U75" s="699"/>
      <c r="V75" s="705"/>
      <c r="W75" s="699"/>
      <c r="X75" s="720"/>
      <c r="Y75" s="699"/>
      <c r="Z75" s="705"/>
      <c r="AA75" s="699"/>
      <c r="AB75" s="705"/>
      <c r="AC75" s="699"/>
      <c r="AD75" s="699"/>
      <c r="AE75" s="711" t="str">
        <f t="shared" si="46"/>
        <v/>
      </c>
      <c r="AF75" s="712" t="str">
        <f t="shared" si="47"/>
        <v/>
      </c>
      <c r="AG75" s="713" t="str">
        <f t="shared" si="48"/>
        <v/>
      </c>
      <c r="AH75" s="712" t="str">
        <f t="shared" si="49"/>
        <v/>
      </c>
      <c r="AI75" s="713" t="str">
        <f t="shared" si="50"/>
        <v/>
      </c>
      <c r="AJ75" s="713" t="str">
        <f t="shared" si="51"/>
        <v/>
      </c>
      <c r="AK75" s="711" t="str">
        <f t="shared" si="52"/>
        <v/>
      </c>
      <c r="AL75" s="712" t="str">
        <f t="shared" si="53"/>
        <v/>
      </c>
      <c r="AM75" s="713" t="str">
        <f t="shared" si="54"/>
        <v/>
      </c>
      <c r="AN75" s="712" t="str">
        <f t="shared" si="55"/>
        <v/>
      </c>
      <c r="AO75" s="713" t="str">
        <f t="shared" si="56"/>
        <v/>
      </c>
      <c r="AP75" s="714" t="str">
        <f t="shared" si="57"/>
        <v/>
      </c>
      <c r="AQ75" s="713" t="str">
        <f t="shared" si="38"/>
        <v xml:space="preserve"> </v>
      </c>
      <c r="AR75" s="712" t="str">
        <f t="shared" si="39"/>
        <v xml:space="preserve"> </v>
      </c>
      <c r="AS75" s="713" t="str">
        <f t="shared" si="40"/>
        <v xml:space="preserve"> </v>
      </c>
      <c r="AT75" s="712" t="str">
        <f t="shared" si="41"/>
        <v xml:space="preserve"> </v>
      </c>
      <c r="AU75" s="722" t="str">
        <f t="shared" si="42"/>
        <v xml:space="preserve"> </v>
      </c>
      <c r="AV75" s="714" t="str">
        <f t="shared" si="43"/>
        <v xml:space="preserve"> </v>
      </c>
    </row>
    <row r="76" spans="1:48" ht="17.25" customHeight="1">
      <c r="A76" s="175">
        <f t="shared" si="44"/>
        <v>2026</v>
      </c>
      <c r="B76" s="454" t="str">
        <f t="shared" si="45"/>
        <v>48</v>
      </c>
      <c r="C76" s="454" t="str">
        <f t="array" ref="C76">_xlfn.IFS(_xlfn.NUMBERVALUE(B76)&lt;=13,"Q1",AND(_xlfn.NUMBERVALUE(B76)&gt;13,_xlfn.NUMBERVALUE(B76)&lt;=26),"Q2", AND(_xlfn.NUMBERVALUE(B76)&gt;26,_xlfn.NUMBERVALUE(B76)&lt;=39),"Q3",_xlfn.NUMBERVALUE(B76)&gt;39,"Q4")</f>
        <v>Q4</v>
      </c>
      <c r="D76" s="448">
        <f t="shared" si="58"/>
        <v>46018</v>
      </c>
      <c r="E76" s="448">
        <f t="shared" si="59"/>
        <v>46024</v>
      </c>
      <c r="F76" s="695">
        <v>202548</v>
      </c>
      <c r="G76" s="697"/>
      <c r="H76" s="703"/>
      <c r="I76" s="661"/>
      <c r="J76" s="703"/>
      <c r="K76" s="661"/>
      <c r="L76" s="698"/>
      <c r="M76" s="697"/>
      <c r="N76" s="703"/>
      <c r="O76" s="661"/>
      <c r="P76" s="703"/>
      <c r="Q76" s="661"/>
      <c r="R76" s="698"/>
      <c r="S76" s="704"/>
      <c r="T76" s="705"/>
      <c r="U76" s="699"/>
      <c r="V76" s="705"/>
      <c r="W76" s="699"/>
      <c r="X76" s="720"/>
      <c r="Y76" s="699"/>
      <c r="Z76" s="705"/>
      <c r="AA76" s="699"/>
      <c r="AB76" s="705"/>
      <c r="AC76" s="699"/>
      <c r="AD76" s="699"/>
      <c r="AE76" s="711" t="str">
        <f t="shared" si="46"/>
        <v/>
      </c>
      <c r="AF76" s="712" t="str">
        <f t="shared" si="47"/>
        <v/>
      </c>
      <c r="AG76" s="713" t="str">
        <f t="shared" si="48"/>
        <v/>
      </c>
      <c r="AH76" s="712" t="str">
        <f t="shared" si="49"/>
        <v/>
      </c>
      <c r="AI76" s="713" t="str">
        <f t="shared" si="50"/>
        <v/>
      </c>
      <c r="AJ76" s="713" t="str">
        <f t="shared" si="51"/>
        <v/>
      </c>
      <c r="AK76" s="711" t="str">
        <f t="shared" si="52"/>
        <v/>
      </c>
      <c r="AL76" s="712" t="str">
        <f t="shared" si="53"/>
        <v/>
      </c>
      <c r="AM76" s="713" t="str">
        <f t="shared" si="54"/>
        <v/>
      </c>
      <c r="AN76" s="712" t="str">
        <f t="shared" si="55"/>
        <v/>
      </c>
      <c r="AO76" s="713" t="str">
        <f t="shared" si="56"/>
        <v/>
      </c>
      <c r="AP76" s="714" t="str">
        <f t="shared" si="57"/>
        <v/>
      </c>
      <c r="AQ76" s="713" t="str">
        <f t="shared" si="38"/>
        <v xml:space="preserve"> </v>
      </c>
      <c r="AR76" s="712" t="str">
        <f t="shared" si="39"/>
        <v xml:space="preserve"> </v>
      </c>
      <c r="AS76" s="713" t="str">
        <f t="shared" si="40"/>
        <v xml:space="preserve"> </v>
      </c>
      <c r="AT76" s="712" t="str">
        <f t="shared" si="41"/>
        <v xml:space="preserve"> </v>
      </c>
      <c r="AU76" s="722" t="str">
        <f t="shared" si="42"/>
        <v xml:space="preserve"> </v>
      </c>
      <c r="AV76" s="714" t="str">
        <f t="shared" si="43"/>
        <v xml:space="preserve"> </v>
      </c>
    </row>
    <row r="77" spans="1:48" ht="17.25" customHeight="1">
      <c r="A77" s="175">
        <f t="shared" si="44"/>
        <v>2026</v>
      </c>
      <c r="B77" s="454" t="str">
        <f t="shared" si="45"/>
        <v>49</v>
      </c>
      <c r="C77" s="454" t="str">
        <f t="array" ref="C77">_xlfn.IFS(_xlfn.NUMBERVALUE(B77)&lt;=13,"Q1",AND(_xlfn.NUMBERVALUE(B77)&gt;13,_xlfn.NUMBERVALUE(B77)&lt;=26),"Q2", AND(_xlfn.NUMBERVALUE(B77)&gt;26,_xlfn.NUMBERVALUE(B77)&lt;=39),"Q3",_xlfn.NUMBERVALUE(B77)&gt;39,"Q4")</f>
        <v>Q4</v>
      </c>
      <c r="D77" s="448">
        <f t="shared" si="58"/>
        <v>46025</v>
      </c>
      <c r="E77" s="448">
        <f t="shared" si="59"/>
        <v>46031</v>
      </c>
      <c r="F77" s="695">
        <v>202549</v>
      </c>
      <c r="G77" s="697"/>
      <c r="H77" s="703"/>
      <c r="I77" s="661"/>
      <c r="J77" s="703"/>
      <c r="K77" s="661"/>
      <c r="L77" s="698"/>
      <c r="M77" s="697"/>
      <c r="N77" s="703"/>
      <c r="O77" s="661"/>
      <c r="P77" s="703"/>
      <c r="Q77" s="661"/>
      <c r="R77" s="698"/>
      <c r="S77" s="704"/>
      <c r="T77" s="705"/>
      <c r="U77" s="699"/>
      <c r="V77" s="705"/>
      <c r="W77" s="699"/>
      <c r="X77" s="720"/>
      <c r="Y77" s="699"/>
      <c r="Z77" s="705"/>
      <c r="AA77" s="699"/>
      <c r="AB77" s="705"/>
      <c r="AC77" s="699"/>
      <c r="AD77" s="699"/>
      <c r="AE77" s="711" t="str">
        <f t="shared" si="46"/>
        <v/>
      </c>
      <c r="AF77" s="712" t="str">
        <f t="shared" si="47"/>
        <v/>
      </c>
      <c r="AG77" s="713" t="str">
        <f t="shared" si="48"/>
        <v/>
      </c>
      <c r="AH77" s="712" t="str">
        <f t="shared" si="49"/>
        <v/>
      </c>
      <c r="AI77" s="713" t="str">
        <f t="shared" si="50"/>
        <v/>
      </c>
      <c r="AJ77" s="713" t="str">
        <f t="shared" si="51"/>
        <v/>
      </c>
      <c r="AK77" s="711" t="str">
        <f t="shared" si="52"/>
        <v/>
      </c>
      <c r="AL77" s="712" t="str">
        <f t="shared" si="53"/>
        <v/>
      </c>
      <c r="AM77" s="713" t="str">
        <f t="shared" si="54"/>
        <v/>
      </c>
      <c r="AN77" s="712" t="str">
        <f t="shared" si="55"/>
        <v/>
      </c>
      <c r="AO77" s="713" t="str">
        <f t="shared" si="56"/>
        <v/>
      </c>
      <c r="AP77" s="714" t="str">
        <f t="shared" si="57"/>
        <v/>
      </c>
      <c r="AQ77" s="713" t="str">
        <f t="shared" si="38"/>
        <v xml:space="preserve"> </v>
      </c>
      <c r="AR77" s="712" t="str">
        <f t="shared" si="39"/>
        <v xml:space="preserve"> </v>
      </c>
      <c r="AS77" s="713" t="str">
        <f t="shared" si="40"/>
        <v xml:space="preserve"> </v>
      </c>
      <c r="AT77" s="712" t="str">
        <f t="shared" si="41"/>
        <v xml:space="preserve"> </v>
      </c>
      <c r="AU77" s="722" t="str">
        <f t="shared" si="42"/>
        <v xml:space="preserve"> </v>
      </c>
      <c r="AV77" s="714" t="str">
        <f t="shared" si="43"/>
        <v xml:space="preserve"> </v>
      </c>
    </row>
    <row r="78" spans="1:48" ht="17.25" customHeight="1">
      <c r="A78" s="175">
        <f t="shared" si="44"/>
        <v>2026</v>
      </c>
      <c r="B78" s="454" t="str">
        <f t="shared" si="45"/>
        <v>50</v>
      </c>
      <c r="C78" s="454" t="str">
        <f t="array" ref="C78">_xlfn.IFS(_xlfn.NUMBERVALUE(B78)&lt;=13,"Q1",AND(_xlfn.NUMBERVALUE(B78)&gt;13,_xlfn.NUMBERVALUE(B78)&lt;=26),"Q2", AND(_xlfn.NUMBERVALUE(B78)&gt;26,_xlfn.NUMBERVALUE(B78)&lt;=39),"Q3",_xlfn.NUMBERVALUE(B78)&gt;39,"Q4")</f>
        <v>Q4</v>
      </c>
      <c r="D78" s="448">
        <f t="shared" si="58"/>
        <v>46032</v>
      </c>
      <c r="E78" s="448">
        <f t="shared" si="59"/>
        <v>46038</v>
      </c>
      <c r="F78" s="695">
        <v>202550</v>
      </c>
      <c r="G78" s="697"/>
      <c r="H78" s="703"/>
      <c r="I78" s="661"/>
      <c r="J78" s="703"/>
      <c r="K78" s="661"/>
      <c r="L78" s="698"/>
      <c r="M78" s="697"/>
      <c r="N78" s="703"/>
      <c r="O78" s="661"/>
      <c r="P78" s="703"/>
      <c r="Q78" s="661"/>
      <c r="R78" s="698"/>
      <c r="S78" s="704"/>
      <c r="T78" s="705"/>
      <c r="U78" s="699"/>
      <c r="V78" s="705"/>
      <c r="W78" s="699"/>
      <c r="X78" s="720"/>
      <c r="Y78" s="699"/>
      <c r="Z78" s="705"/>
      <c r="AA78" s="699"/>
      <c r="AB78" s="705"/>
      <c r="AC78" s="699"/>
      <c r="AD78" s="699"/>
      <c r="AE78" s="711" t="str">
        <f t="shared" si="46"/>
        <v/>
      </c>
      <c r="AF78" s="712" t="str">
        <f t="shared" si="47"/>
        <v/>
      </c>
      <c r="AG78" s="713" t="str">
        <f t="shared" si="48"/>
        <v/>
      </c>
      <c r="AH78" s="712" t="str">
        <f t="shared" si="49"/>
        <v/>
      </c>
      <c r="AI78" s="713" t="str">
        <f t="shared" si="50"/>
        <v/>
      </c>
      <c r="AJ78" s="713" t="str">
        <f t="shared" si="51"/>
        <v/>
      </c>
      <c r="AK78" s="711" t="str">
        <f t="shared" si="52"/>
        <v/>
      </c>
      <c r="AL78" s="712" t="str">
        <f t="shared" si="53"/>
        <v/>
      </c>
      <c r="AM78" s="713" t="str">
        <f t="shared" si="54"/>
        <v/>
      </c>
      <c r="AN78" s="712" t="str">
        <f t="shared" si="55"/>
        <v/>
      </c>
      <c r="AO78" s="713" t="str">
        <f t="shared" si="56"/>
        <v/>
      </c>
      <c r="AP78" s="714" t="str">
        <f t="shared" si="57"/>
        <v/>
      </c>
      <c r="AQ78" s="713" t="str">
        <f t="shared" si="38"/>
        <v xml:space="preserve"> </v>
      </c>
      <c r="AR78" s="712" t="str">
        <f t="shared" si="39"/>
        <v xml:space="preserve"> </v>
      </c>
      <c r="AS78" s="713" t="str">
        <f t="shared" si="40"/>
        <v xml:space="preserve"> </v>
      </c>
      <c r="AT78" s="712" t="str">
        <f t="shared" si="41"/>
        <v xml:space="preserve"> </v>
      </c>
      <c r="AU78" s="722" t="str">
        <f t="shared" si="42"/>
        <v xml:space="preserve"> </v>
      </c>
      <c r="AV78" s="714" t="str">
        <f t="shared" si="43"/>
        <v xml:space="preserve"> </v>
      </c>
    </row>
    <row r="79" spans="1:48" ht="17.25" customHeight="1">
      <c r="A79" s="175">
        <f t="shared" si="44"/>
        <v>2026</v>
      </c>
      <c r="B79" s="454" t="str">
        <f t="shared" si="45"/>
        <v>51</v>
      </c>
      <c r="C79" s="454" t="str">
        <f t="array" ref="C79">_xlfn.IFS(_xlfn.NUMBERVALUE(B79)&lt;=13,"Q1",AND(_xlfn.NUMBERVALUE(B79)&gt;13,_xlfn.NUMBERVALUE(B79)&lt;=26),"Q2", AND(_xlfn.NUMBERVALUE(B79)&gt;26,_xlfn.NUMBERVALUE(B79)&lt;=39),"Q3",_xlfn.NUMBERVALUE(B79)&gt;39,"Q4")</f>
        <v>Q4</v>
      </c>
      <c r="D79" s="448">
        <f t="shared" si="58"/>
        <v>46039</v>
      </c>
      <c r="E79" s="448">
        <f t="shared" si="59"/>
        <v>46045</v>
      </c>
      <c r="F79" s="695">
        <v>202551</v>
      </c>
      <c r="G79" s="697"/>
      <c r="H79" s="703"/>
      <c r="I79" s="661"/>
      <c r="J79" s="703"/>
      <c r="K79" s="661"/>
      <c r="L79" s="698"/>
      <c r="M79" s="697"/>
      <c r="N79" s="703"/>
      <c r="O79" s="661"/>
      <c r="P79" s="703"/>
      <c r="Q79" s="661"/>
      <c r="R79" s="698"/>
      <c r="S79" s="704"/>
      <c r="T79" s="705"/>
      <c r="U79" s="699"/>
      <c r="V79" s="705"/>
      <c r="W79" s="699"/>
      <c r="X79" s="720"/>
      <c r="Y79" s="699"/>
      <c r="Z79" s="705"/>
      <c r="AA79" s="699"/>
      <c r="AB79" s="705"/>
      <c r="AC79" s="699"/>
      <c r="AD79" s="699"/>
      <c r="AE79" s="711" t="str">
        <f t="shared" si="46"/>
        <v/>
      </c>
      <c r="AF79" s="712" t="str">
        <f t="shared" si="47"/>
        <v/>
      </c>
      <c r="AG79" s="713" t="str">
        <f t="shared" si="48"/>
        <v/>
      </c>
      <c r="AH79" s="712" t="str">
        <f t="shared" si="49"/>
        <v/>
      </c>
      <c r="AI79" s="713" t="str">
        <f t="shared" si="50"/>
        <v/>
      </c>
      <c r="AJ79" s="713" t="str">
        <f t="shared" si="51"/>
        <v/>
      </c>
      <c r="AK79" s="711" t="str">
        <f t="shared" si="52"/>
        <v/>
      </c>
      <c r="AL79" s="712" t="str">
        <f t="shared" si="53"/>
        <v/>
      </c>
      <c r="AM79" s="713" t="str">
        <f t="shared" si="54"/>
        <v/>
      </c>
      <c r="AN79" s="712" t="str">
        <f t="shared" si="55"/>
        <v/>
      </c>
      <c r="AO79" s="713" t="str">
        <f t="shared" si="56"/>
        <v/>
      </c>
      <c r="AP79" s="714" t="str">
        <f t="shared" si="57"/>
        <v/>
      </c>
      <c r="AQ79" s="713" t="str">
        <f t="shared" si="38"/>
        <v xml:space="preserve"> </v>
      </c>
      <c r="AR79" s="712" t="str">
        <f t="shared" si="39"/>
        <v xml:space="preserve"> </v>
      </c>
      <c r="AS79" s="713" t="str">
        <f t="shared" si="40"/>
        <v xml:space="preserve"> </v>
      </c>
      <c r="AT79" s="712" t="str">
        <f t="shared" si="41"/>
        <v xml:space="preserve"> </v>
      </c>
      <c r="AU79" s="722" t="str">
        <f t="shared" si="42"/>
        <v xml:space="preserve"> </v>
      </c>
      <c r="AV79" s="714" t="str">
        <f t="shared" si="43"/>
        <v xml:space="preserve"> </v>
      </c>
    </row>
    <row r="80" spans="1:48" ht="18" customHeight="1" thickBot="1">
      <c r="A80" s="176">
        <f t="shared" si="44"/>
        <v>2026</v>
      </c>
      <c r="B80" s="177" t="str">
        <f t="shared" si="45"/>
        <v>52</v>
      </c>
      <c r="C80" s="177" t="str">
        <f t="array" ref="C80">_xlfn.IFS(_xlfn.NUMBERVALUE(B80)&lt;=13,"Q1",AND(_xlfn.NUMBERVALUE(B80)&gt;13,_xlfn.NUMBERVALUE(B80)&lt;=26),"Q2", AND(_xlfn.NUMBERVALUE(B80)&gt;26,_xlfn.NUMBERVALUE(B80)&lt;=39),"Q3",_xlfn.NUMBERVALUE(B80)&gt;39,"Q4")</f>
        <v>Q4</v>
      </c>
      <c r="D80" s="178">
        <f t="shared" si="58"/>
        <v>46046</v>
      </c>
      <c r="E80" s="178">
        <f t="shared" si="59"/>
        <v>46052</v>
      </c>
      <c r="F80" s="696">
        <v>202552</v>
      </c>
      <c r="G80" s="770"/>
      <c r="H80" s="771"/>
      <c r="I80" s="772"/>
      <c r="J80" s="771"/>
      <c r="K80" s="772"/>
      <c r="L80" s="773"/>
      <c r="M80" s="770"/>
      <c r="N80" s="771"/>
      <c r="O80" s="772"/>
      <c r="P80" s="771"/>
      <c r="Q80" s="772"/>
      <c r="R80" s="773"/>
      <c r="S80" s="774"/>
      <c r="T80" s="775"/>
      <c r="U80" s="776"/>
      <c r="V80" s="775"/>
      <c r="W80" s="776"/>
      <c r="X80" s="777"/>
      <c r="Y80" s="776"/>
      <c r="Z80" s="775"/>
      <c r="AA80" s="776"/>
      <c r="AB80" s="775"/>
      <c r="AC80" s="776"/>
      <c r="AD80" s="776"/>
      <c r="AE80" s="841" t="str">
        <f t="shared" si="46"/>
        <v/>
      </c>
      <c r="AF80" s="842" t="str">
        <f t="shared" si="47"/>
        <v/>
      </c>
      <c r="AG80" s="843" t="str">
        <f t="shared" si="48"/>
        <v/>
      </c>
      <c r="AH80" s="844" t="str">
        <f t="shared" si="49"/>
        <v/>
      </c>
      <c r="AI80" s="842" t="str">
        <f t="shared" si="50"/>
        <v/>
      </c>
      <c r="AJ80" s="842" t="str">
        <f t="shared" si="51"/>
        <v/>
      </c>
      <c r="AK80" s="841" t="str">
        <f t="shared" si="52"/>
        <v/>
      </c>
      <c r="AL80" s="844" t="str">
        <f t="shared" si="53"/>
        <v/>
      </c>
      <c r="AM80" s="842" t="str">
        <f t="shared" si="54"/>
        <v/>
      </c>
      <c r="AN80" s="844" t="str">
        <f t="shared" si="55"/>
        <v/>
      </c>
      <c r="AO80" s="842" t="str">
        <f t="shared" si="56"/>
        <v/>
      </c>
      <c r="AP80" s="842" t="str">
        <f t="shared" si="57"/>
        <v/>
      </c>
      <c r="AQ80" s="841" t="str">
        <f t="shared" si="38"/>
        <v xml:space="preserve"> </v>
      </c>
      <c r="AR80" s="844" t="str">
        <f t="shared" si="39"/>
        <v xml:space="preserve"> </v>
      </c>
      <c r="AS80" s="842" t="str">
        <f t="shared" si="40"/>
        <v xml:space="preserve"> </v>
      </c>
      <c r="AT80" s="844" t="str">
        <f t="shared" si="41"/>
        <v xml:space="preserve"> </v>
      </c>
      <c r="AU80" s="843" t="str">
        <f t="shared" si="42"/>
        <v xml:space="preserve"> </v>
      </c>
      <c r="AV80" s="845" t="str">
        <f t="shared" si="43"/>
        <v xml:space="preserve"> </v>
      </c>
    </row>
  </sheetData>
  <mergeCells count="38">
    <mergeCell ref="A1:C4"/>
    <mergeCell ref="S5:X5"/>
    <mergeCell ref="M6:N6"/>
    <mergeCell ref="AE5:AJ5"/>
    <mergeCell ref="Q6:R6"/>
    <mergeCell ref="S6:T6"/>
    <mergeCell ref="Y6:Z6"/>
    <mergeCell ref="K6:L6"/>
    <mergeCell ref="Y3:AD3"/>
    <mergeCell ref="AC6:AD6"/>
    <mergeCell ref="M5:R5"/>
    <mergeCell ref="AE6:AF6"/>
    <mergeCell ref="S3:X3"/>
    <mergeCell ref="D1:D4"/>
    <mergeCell ref="AE3:AJ3"/>
    <mergeCell ref="E1:E4"/>
    <mergeCell ref="AG6:AH6"/>
    <mergeCell ref="AQ5:AV5"/>
    <mergeCell ref="AS6:AT6"/>
    <mergeCell ref="AI6:AJ6"/>
    <mergeCell ref="AU6:AV6"/>
    <mergeCell ref="AQ6:AR6"/>
    <mergeCell ref="AQ3:AV3"/>
    <mergeCell ref="I6:J6"/>
    <mergeCell ref="Y5:AD5"/>
    <mergeCell ref="O6:P6"/>
    <mergeCell ref="AK5:AP5"/>
    <mergeCell ref="U6:V6"/>
    <mergeCell ref="G3:L3"/>
    <mergeCell ref="W6:X6"/>
    <mergeCell ref="M3:R3"/>
    <mergeCell ref="G6:H6"/>
    <mergeCell ref="AK6:AL6"/>
    <mergeCell ref="AM6:AN6"/>
    <mergeCell ref="AO6:AP6"/>
    <mergeCell ref="AK3:AP3"/>
    <mergeCell ref="G5:L5"/>
    <mergeCell ref="AA6:AB6"/>
  </mergeCells>
  <conditionalFormatting sqref="G1:AV2">
    <cfRule type="cellIs" dxfId="87" priority="1" operator="between">
      <formula>-0.1</formula>
      <formula>0</formula>
    </cfRule>
    <cfRule type="cellIs" dxfId="86" priority="2" operator="between">
      <formula>0</formula>
      <formula>0.1</formula>
    </cfRule>
    <cfRule type="cellIs" dxfId="85" priority="3" operator="lessThanOrEqual">
      <formula>-0.1</formula>
    </cfRule>
    <cfRule type="cellIs" dxfId="84" priority="4" operator="greaterThanOrEqual">
      <formula>0.1</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AV322"/>
  <sheetViews>
    <sheetView showGridLines="0" zoomScale="70" zoomScaleNormal="80" workbookViewId="0">
      <pane xSplit="6" ySplit="6" topLeftCell="AC250" activePane="bottomRight" state="frozen"/>
      <selection pane="topRight" activeCell="W230" sqref="W230:AA230"/>
      <selection pane="bottomLeft" activeCell="W230" sqref="W230:AA230"/>
      <selection pane="bottomRight" activeCell="AN254" sqref="AN254"/>
    </sheetView>
  </sheetViews>
  <sheetFormatPr defaultColWidth="8.5703125" defaultRowHeight="15"/>
  <cols>
    <col min="1" max="1" width="7.42578125" style="78" bestFit="1" customWidth="1"/>
    <col min="2" max="2" width="7" style="78" bestFit="1" customWidth="1"/>
    <col min="3" max="3" width="8" style="78" customWidth="1"/>
    <col min="4" max="4" width="11" style="78" bestFit="1" customWidth="1"/>
    <col min="5" max="5" width="10.5703125" style="78" bestFit="1" customWidth="1"/>
    <col min="6" max="6" width="16.5703125" style="158" bestFit="1" customWidth="1"/>
    <col min="7" max="7" width="12" style="78" bestFit="1" customWidth="1"/>
    <col min="8" max="8" width="12.42578125" style="78" bestFit="1" customWidth="1"/>
    <col min="9" max="9" width="12.42578125" style="78" customWidth="1"/>
    <col min="10" max="10" width="12" style="78" bestFit="1" customWidth="1"/>
    <col min="11" max="11" width="11.5703125" style="78" bestFit="1" customWidth="1"/>
    <col min="12" max="13" width="14.5703125" style="78" bestFit="1" customWidth="1"/>
    <col min="14" max="14" width="15" style="78" bestFit="1" customWidth="1"/>
    <col min="15" max="15" width="13.5703125" style="78" bestFit="1" customWidth="1"/>
    <col min="16" max="16" width="13.42578125" style="78" bestFit="1" customWidth="1"/>
    <col min="17" max="17" width="13" style="78" bestFit="1" customWidth="1"/>
    <col min="18" max="21" width="13.5703125" style="78" bestFit="1" customWidth="1"/>
    <col min="22" max="22" width="14.42578125" style="78" bestFit="1" customWidth="1"/>
    <col min="23" max="23" width="13.5703125" style="78" bestFit="1" customWidth="1"/>
    <col min="24" max="24" width="13.5703125" style="78" customWidth="1"/>
    <col min="25" max="25" width="11.42578125" style="78" bestFit="1" customWidth="1"/>
    <col min="26" max="26" width="11.5703125" style="78" bestFit="1" customWidth="1"/>
    <col min="27" max="28" width="17.5703125" style="78" bestFit="1" customWidth="1"/>
    <col min="29" max="29" width="15.42578125" style="78" customWidth="1"/>
    <col min="30" max="30" width="17.5703125" style="78" customWidth="1"/>
    <col min="31" max="31" width="17" style="78" customWidth="1"/>
    <col min="32" max="32" width="19.5703125" style="78" bestFit="1" customWidth="1"/>
    <col min="33" max="33" width="11.42578125" style="78" bestFit="1" customWidth="1"/>
    <col min="34" max="35" width="10.5703125" style="78" bestFit="1" customWidth="1"/>
    <col min="36" max="37" width="9.42578125" style="78" bestFit="1" customWidth="1"/>
    <col min="38" max="38" width="11.42578125" style="247" bestFit="1" customWidth="1"/>
    <col min="39" max="39" width="11.42578125" style="78" bestFit="1" customWidth="1"/>
    <col min="40" max="42" width="9.42578125" style="78" bestFit="1" customWidth="1"/>
    <col min="43" max="43" width="11" style="78" bestFit="1" customWidth="1"/>
    <col min="44" max="44" width="11.42578125" style="78" bestFit="1" customWidth="1"/>
    <col min="45" max="45" width="10.5703125" style="78" bestFit="1" customWidth="1"/>
    <col min="46" max="46" width="14.5703125" style="78" bestFit="1" customWidth="1"/>
    <col min="47" max="47" width="12.5703125" style="78" bestFit="1" customWidth="1"/>
    <col min="48" max="117" width="8.5703125" style="78" customWidth="1"/>
    <col min="118" max="16384" width="8.5703125" style="78"/>
  </cols>
  <sheetData>
    <row r="1" spans="1:48" ht="16.350000000000001" customHeight="1" thickBot="1">
      <c r="A1" s="979">
        <f>VLOOKUP(E1,E7:F319,2,FALSE)</f>
        <v>202505</v>
      </c>
      <c r="B1" s="980"/>
      <c r="C1" s="980"/>
      <c r="D1" s="976">
        <f>E1-6</f>
        <v>45717</v>
      </c>
      <c r="E1" s="976">
        <f>'Overall Metrics'!E1</f>
        <v>45723</v>
      </c>
      <c r="F1" s="94" t="s">
        <v>162</v>
      </c>
      <c r="G1" s="206">
        <f>IFERROR(VLOOKUP($A$1,$F$7:G319,COLUMNS($F$7:G319),FALSE)/VLOOKUP(($A$1-IF(RIGHT($A$1,2)="01",48,1)),$F$7:G319,COLUMNS($F$7:G2319),FALSE)-1,"NA")</f>
        <v>0.15753793177660613</v>
      </c>
      <c r="H1" s="206">
        <f>IFERROR(VLOOKUP($A$1,$F$7:H319,COLUMNS($F$7:H319),FALSE)/VLOOKUP(($A$1-IF(RIGHT($A$1,2)="01",48,1)),$F$7:H319,COLUMNS($F$7:H2319),FALSE)-1,"NA")</f>
        <v>-0.3719707612608657</v>
      </c>
      <c r="I1" s="206">
        <f>IFERROR(VLOOKUP($A$1,$F$7:I319,COLUMNS($F$7:I319),FALSE)/VLOOKUP(($A$1-IF(RIGHT($A$1,2)="01",48,1)),$F$7:I319,COLUMNS($F$7:I2319),FALSE)-1,"NA")</f>
        <v>-0.17094709607135561</v>
      </c>
      <c r="J1" s="206">
        <f>IFERROR(VLOOKUP($A$1,$F$7:J319,COLUMNS($F$7:J319),FALSE)/VLOOKUP(($A$1-IF(RIGHT($A$1,2)="01",48,1)),$F$7:J319,COLUMNS($F$7:J2319),FALSE)-1,"NA")</f>
        <v>-0.42237907736364044</v>
      </c>
      <c r="K1" s="206">
        <f>IFERROR(VLOOKUP($A$1,$F$7:K319,COLUMNS($F$7:K319),FALSE)/VLOOKUP(($A$1-IF(RIGHT($A$1,2)="01",48,1)),$F$7:K319,COLUMNS($F$7:K2319),FALSE)-1,"NA")</f>
        <v>9.7645911686864428E-2</v>
      </c>
      <c r="L1" s="205">
        <f>IFERROR(VLOOKUP($A$1,$F$7:L319,COLUMNS($F$7:L319),FALSE)/VLOOKUP(($A$1-IF(RIGHT($A$1,2)="01",48,1)),$F$7:L319,COLUMNS($F$7:L2319),FALSE)-1,"NA")</f>
        <v>-0.4034098003382558</v>
      </c>
      <c r="M1" s="206">
        <f>IFERROR(VLOOKUP($A$1,$F$7:M319,COLUMNS($F$7:M319),FALSE)/VLOOKUP(($A$1-IF(RIGHT($A$1,2)="01",48,1)),$F$7:M319,COLUMNS($F$7:M2319),FALSE)-1,"NA")</f>
        <v>7.5554245283018906E-2</v>
      </c>
      <c r="N1" s="206">
        <f>IFERROR(VLOOKUP($A$1,$F$7:N319,COLUMNS($F$7:N319),FALSE)/VLOOKUP(($A$1-IF(RIGHT($A$1,2)="01",48,1)),$F$7:N319,COLUMNS($F$7:N2319),FALSE)-1,"NA")</f>
        <v>-0.16849721513716098</v>
      </c>
      <c r="O1" s="206">
        <f>IFERROR(VLOOKUP($A$1,$F$7:O319,COLUMNS($F$7:O319),FALSE)/VLOOKUP(($A$1-IF(RIGHT($A$1,2)="01",48,1)),$F$7:O319,COLUMNS($F$7:O2319),FALSE)-1,"NA")</f>
        <v>-0.32770941330361902</v>
      </c>
      <c r="P1" s="206">
        <f>IFERROR(VLOOKUP($A$1,$F$7:P319,COLUMNS($F$7:P319),FALSE)/VLOOKUP(($A$1-IF(RIGHT($A$1,2)="01",48,1)),$F$7:P319,COLUMNS($F$7:P2319),FALSE)-1,"NA")</f>
        <v>0.58903639276722353</v>
      </c>
      <c r="Q1" s="205">
        <f>IFERROR(VLOOKUP($A$1,$F$7:Q319,COLUMNS($F$7:Q319),FALSE)/VLOOKUP(($A$1-IF(RIGHT($A$1,2)="01",48,1)),$F$7:Q319,COLUMNS($F$7:Q2319),FALSE)-1,"NA")</f>
        <v>-6.0880687408443879E-2</v>
      </c>
      <c r="R1" s="206">
        <f>IFERROR(VLOOKUP($A$1,$F$7:R319,COLUMNS($F$7:R319),FALSE)/VLOOKUP(($A$1-IF(RIGHT($A$1,2)="01",48,1)),$F$7:R319,COLUMNS($F$7:R2319),FALSE)-1,"NA")</f>
        <v>0.57481820936221784</v>
      </c>
      <c r="S1" s="206">
        <f>IFERROR(VLOOKUP($A$1,$F$7:S319,COLUMNS($F$7:S319),FALSE)/VLOOKUP(($A$1-IF(RIGHT($A$1,2)="01",48,1)),$F$7:S319,COLUMNS($F$7:S2319),FALSE)-1,"NA")</f>
        <v>0.17178858069613678</v>
      </c>
      <c r="T1" s="206">
        <f>IFERROR(VLOOKUP($A$1,$F$7:T319,COLUMNS($F$7:T319),FALSE)/VLOOKUP(($A$1-IF(RIGHT($A$1,2)="01",48,1)),$F$7:T319,COLUMNS($F$7:T2319),FALSE)-1,"NA")</f>
        <v>-0.18852191308252875</v>
      </c>
      <c r="U1" s="206">
        <f>IFERROR(VLOOKUP($A$1,$F$7:U319,COLUMNS($F$7:U319),FALSE)/VLOOKUP(($A$1-IF(RIGHT($A$1,2)="01",48,1)),$F$7:U319,COLUMNS($F$7:U2319),FALSE)-1,"NA")</f>
        <v>0.72255396483940371</v>
      </c>
      <c r="V1" s="205">
        <f>IFERROR(VLOOKUP($A$1,$F$7:V319,COLUMNS($F$7:V319),FALSE)/VLOOKUP(($A$1-IF(RIGHT($A$1,2)="01",48,1)),$F$7:V319,COLUMNS($F$7:V2319),FALSE)-1,"NA")</f>
        <v>0.26819751703537764</v>
      </c>
      <c r="W1" s="206">
        <f>IFERROR(VLOOKUP($A$1,$F$7:W319,COLUMNS($F$7:W319),FALSE)/VLOOKUP(($A$1-IF(RIGHT($A$1,2)="01",48,1)),$F$7:W319,COLUMNS($F$7:W2319),FALSE)-1,"NA")</f>
        <v>-3.1437171262655439E-2</v>
      </c>
      <c r="X1" s="206">
        <f>IFERROR(VLOOKUP($A$1,$F$7:X319,COLUMNS($F$7:X319),FALSE)/VLOOKUP(($A$1-IF(RIGHT($A$1,2)="01",48,1)),$F$7:X319,COLUMNS($F$7:X2319),FALSE)-1,"NA")</f>
        <v>0.10304406478587658</v>
      </c>
      <c r="Y1" s="206">
        <f>IFERROR(VLOOKUP($A$1,$F$7:Y319,COLUMNS($F$7:Y319),FALSE)/VLOOKUP(($A$1-IF(RIGHT($A$1,2)="01",48,1)),$F$7:Y319,COLUMNS($F$7:Y2319),FALSE)-1,"NA")</f>
        <v>-0.14927671911333917</v>
      </c>
      <c r="Z1" s="206">
        <f>IFERROR(VLOOKUP($A$1,$F$7:Z319,COLUMNS($F$7:Z319),FALSE)/VLOOKUP(($A$1-IF(RIGHT($A$1,2)="01",48,1)),$F$7:Z319,COLUMNS($F$7:Z2319),FALSE)-1,"NA")</f>
        <v>-0.25880369766177269</v>
      </c>
      <c r="AA1" s="205">
        <f>IFERROR(VLOOKUP($A$1,$F$7:AA319,COLUMNS($F$7:AA319),FALSE)/VLOOKUP(($A$1-IF(RIGHT($A$1,2)="01",48,1)),$F$7:AA319,COLUMNS($F$7:AA2319),FALSE)-1,"NA")</f>
        <v>-0.25362117544346996</v>
      </c>
      <c r="AB1" s="206">
        <f>IFERROR(VLOOKUP($A$1,$F$7:AB319,COLUMNS($F$7:AB319),FALSE)/VLOOKUP(($A$1-IF(RIGHT($A$1,2)="01",48,1)),$F$7:AB319,COLUMNS($F$7:AB2319),FALSE)-1,"NA")</f>
        <v>1.0827951583587403E-3</v>
      </c>
      <c r="AC1" s="206">
        <f>IFERROR(VLOOKUP($A$1,$F$7:AC319,COLUMNS($F$7:AC319),FALSE)/VLOOKUP(($A$1-IF(RIGHT($A$1,2)="01",48,1)),$F$7:AC319,COLUMNS($F$7:AC2319),FALSE)-1,"NA")</f>
        <v>-0.15015512704708789</v>
      </c>
      <c r="AD1" s="206">
        <f>IFERROR(VLOOKUP($A$1,$F$7:AD319,COLUMNS($F$7:AD319),FALSE)/VLOOKUP(($A$1-IF(RIGHT($A$1,2)="01",48,1)),$F$7:AD319,COLUMNS($F$7:AD2319),FALSE)-1,"NA")</f>
        <v>-0.23679211095615127</v>
      </c>
      <c r="AE1" s="206">
        <f>IFERROR(VLOOKUP($A$1,$F$7:AE319,COLUMNS($F$7:AE319),FALSE)/VLOOKUP(($A$1-IF(RIGHT($A$1,2)="01",48,1)),$F$7:AE319,COLUMNS($F$7:AE2319),FALSE)-1,"NA")</f>
        <v>-0.4413506335176558</v>
      </c>
      <c r="AF1" s="206">
        <f>IFERROR(VLOOKUP($A$1,$F$7:AF319,COLUMNS($F$7:AF319),FALSE)/VLOOKUP(($A$1-IF(RIGHT($A$1,2)="01",48,1)),$F$7:AF319,COLUMNS($F$7:AF2319),FALSE)-1,"NA")</f>
        <v>-2.5447321300205217E-2</v>
      </c>
      <c r="AG1" s="624">
        <f>IFERROR(100*(VLOOKUP($A$1,$F$7:AG319,COLUMNS($F$7:AG319),FALSE)-VLOOKUP(($A$1-IF(RIGHT($A$1,2)="01",48,1)),$F$7:AG319,COLUMNS($F$7:AG319),FALSE)),"NA")</f>
        <v>14.176806202805448</v>
      </c>
      <c r="AH1" s="623">
        <f>IFERROR(100*(VLOOKUP($A$1,$F$7:AH319,COLUMNS($F$7:AH319),FALSE)-VLOOKUP(($A$1-IF(RIGHT($A$1,2)="01",48,1)),$F$7:AH319,COLUMNS($F$7:AH319),FALSE)),"NA")</f>
        <v>-103.7286253398872</v>
      </c>
      <c r="AI1" s="623">
        <f>IFERROR(100*(VLOOKUP($A$1,$F$7:AI319,COLUMNS($F$7:AI319),FALSE)-VLOOKUP(($A$1-IF(RIGHT($A$1,2)="01",48,1)),$F$7:AI319,COLUMNS($F$7:AI319),FALSE)),"NA")</f>
        <v>-29.773575630421835</v>
      </c>
      <c r="AJ1" s="623">
        <f>IFERROR(100*(VLOOKUP($A$1,$F$7:AJ319,COLUMNS($F$7:AJ319),FALSE)-VLOOKUP(($A$1-IF(RIGHT($A$1,2)="01",48,1)),$F$7:AJ319,COLUMNS($F$7:AJ319),FALSE)),"NA")</f>
        <v>-26.294408112586641</v>
      </c>
      <c r="AK1" s="623">
        <f>IFERROR(100*(VLOOKUP($A$1,$F$7:AK319,COLUMNS($F$7:AK319),FALSE)-VLOOKUP(($A$1-IF(RIGHT($A$1,2)="01",48,1)),$F$7:AK319,COLUMNS($F$7:AK319),FALSE)),"NA")</f>
        <v>-33.808287914427801</v>
      </c>
      <c r="AL1" s="251">
        <f>IFERROR(VLOOKUP($A$1,$F$7:AL319,COLUMNS($F$7:AL319),FALSE)/VLOOKUP(($A$1-IF(RIGHT($A$1,2)="01",48,1)),$F$7:AL319,COLUMNS($F$7:AL319),FALSE)-1,"NA")</f>
        <v>-0.4846041902522461</v>
      </c>
      <c r="AM1" s="535">
        <f>IFERROR(VLOOKUP($A$1,$F$7:AM319,COLUMNS($F$7:AM319),FALSE)/VLOOKUP(($A$1-IF(RIGHT($A$1,2)="01",48,1)),$F$7:AM319,COLUMNS($F$7:AM319),FALSE)-1,"NA")</f>
        <v>0.712586260223107</v>
      </c>
      <c r="AN1" s="535">
        <f>IFERROR(VLOOKUP($A$1,$F$7:AN319,COLUMNS($F$7:AN319),FALSE)/VLOOKUP(($A$1-IF(RIGHT($A$1,2)="01",48,1)),$F$7:AN319,COLUMNS($F$7:AN319),FALSE)-1,"NA")</f>
        <v>2.955035707112863E-3</v>
      </c>
      <c r="AO1" s="535">
        <f>IFERROR(VLOOKUP($A$1,$F$7:AO319,COLUMNS($F$7:AO319),FALSE)/VLOOKUP(($A$1-IF(RIGHT($A$1,2)="01",48,1)),$F$7:AO319,COLUMNS($F$7:AO319),FALSE)-1,"NA")</f>
        <v>0.16389583609252423</v>
      </c>
      <c r="AP1" s="535">
        <f>IFERROR(VLOOKUP($A$1,$F$7:AP319,COLUMNS($F$7:AP319),FALSE)/VLOOKUP(($A$1-IF(RIGHT($A$1,2)="01",48,1)),$F$7:AP319,COLUMNS($F$7:AP319),FALSE)-1,"NA")</f>
        <v>0.44767668320760157</v>
      </c>
      <c r="AQ1" s="248">
        <f>IFERROR(VLOOKUP($A$1,$F$7:AQ319,COLUMNS($F$7:AQ319),FALSE)-VLOOKUP(($A$1-IF(RIGHT($A$1,2)="01",48,1)),$F$7:AQ319,COLUMNS($F$7:AQ319),FALSE),"NA")</f>
        <v>-0.1009565754057479</v>
      </c>
      <c r="AR1" s="249">
        <f>IFERROR(VLOOKUP($A$1,$F$7:AR319,COLUMNS($F$7:AR319),FALSE)-VLOOKUP(($A$1-IF(RIGHT($A$1,2)="01",48,1)),$F$7:AR319,COLUMNS($F$7:AR319),FALSE),"NA")</f>
        <v>3.9824014196189139E-2</v>
      </c>
      <c r="AS1" s="249">
        <f>IFERROR(VLOOKUP($A$1,$F$7:AS319,COLUMNS($F$7:AS319),FALSE)-VLOOKUP(($A$1-IF(RIGHT($A$1,2)="01",48,1)),$F$7:AS319,COLUMNS($F$7:AS319),FALSE),"NA")</f>
        <v>-6.1132561209558844E-2</v>
      </c>
      <c r="AT1" s="249">
        <f>IFERROR(VLOOKUP($A$1,$F$7:AT319,COLUMNS($F$7:AT319),FALSE)-VLOOKUP(($A$1-IF(RIGHT($A$1,2)="01",48,1)),$F$7:AT319,COLUMNS($F$7:AT319),FALSE),"NA")</f>
        <v>-7.3531811111146289E-2</v>
      </c>
      <c r="AU1" s="250">
        <f>IFERROR(VLOOKUP($A$1,$F$7:AU319,COLUMNS($F$7:AU319),FALSE)-VLOOKUP(($A$1-IF(RIGHT($A$1,2)="01",48,1)),$F$7:AU319,COLUMNS($F$7:AU319),FALSE),"NA")</f>
        <v>0.13466437232070505</v>
      </c>
    </row>
    <row r="2" spans="1:48" ht="16.350000000000001" customHeight="1">
      <c r="A2" s="981"/>
      <c r="B2" s="986"/>
      <c r="C2" s="986"/>
      <c r="D2" s="986"/>
      <c r="E2" s="986"/>
      <c r="F2" s="95" t="s">
        <v>163</v>
      </c>
      <c r="G2" s="535">
        <f>IFERROR(VLOOKUP(($A$1),$F$7:G319,COLUMNS($F$7:G319),FALSE)/VLOOKUP(($A$1-99),$F$7:G319,COLUMNS($F$7:G319),FALSE)-1,"NA")</f>
        <v>-9.9694513802675466E-2</v>
      </c>
      <c r="H2" s="535">
        <f>IFERROR(VLOOKUP(($A$1),$F$7:H319,COLUMNS($F$7:H319),FALSE)/VLOOKUP(($A$1-99),$F$7:H319,COLUMNS($F$7:H319),FALSE)-1,"NA")</f>
        <v>-0.19857420972282525</v>
      </c>
      <c r="I2" s="535">
        <f>IFERROR(VLOOKUP(($A$1),$F$7:I319,COLUMNS($F$7:I319),FALSE)/VLOOKUP(($A$1-99),$F$7:I319,COLUMNS($F$7:I319),FALSE)-1,"NA")</f>
        <v>-0.14903416079615339</v>
      </c>
      <c r="J2" s="535">
        <f>IFERROR(VLOOKUP(($A$1),$F$7:J319,COLUMNS($F$7:J319),FALSE)/VLOOKUP(($A$1-99),$F$7:J319,COLUMNS($F$7:J319),FALSE)-1,"NA")</f>
        <v>-0.3523598098606564</v>
      </c>
      <c r="K2" s="252">
        <f>IFERROR(VLOOKUP(($A$1),$F$7:K319,COLUMNS($F$7:K319),FALSE)/VLOOKUP(($A$1-99),$F$7:K319,COLUMNS($F$7:K319),FALSE)-1,"NA")</f>
        <v>-0.29793300071275841</v>
      </c>
      <c r="L2" s="535">
        <f>IFERROR(VLOOKUP(($A$1),$F$7:L319,COLUMNS($F$7:L319),FALSE)/VLOOKUP(($A$1-99),$F$7:L319,COLUMNS($F$7:L319),FALSE)-1,"NA")</f>
        <v>-0.14972336363930505</v>
      </c>
      <c r="M2" s="535">
        <f>IFERROR(VLOOKUP(($A$1),$F$7:M319,COLUMNS($F$7:M319),FALSE)/VLOOKUP(($A$1-99),$F$7:M319,COLUMNS($F$7:M319),FALSE)-1,"NA")</f>
        <v>0.21136094988909981</v>
      </c>
      <c r="N2" s="535">
        <f>IFERROR(VLOOKUP(($A$1),$F$7:N319,COLUMNS($F$7:N319),FALSE)/VLOOKUP(($A$1-99),$F$7:N319,COLUMNS($F$7:N319),FALSE)-1,"NA")</f>
        <v>4.8567906817303275E-2</v>
      </c>
      <c r="O2" s="535">
        <f>IFERROR(VLOOKUP(($A$1),$F$7:O319,COLUMNS($F$7:O319),FALSE)/VLOOKUP(($A$1-99),$F$7:O319,COLUMNS($F$7:O319),FALSE)-1,"NA")</f>
        <v>-0.2874582798459564</v>
      </c>
      <c r="P2" s="252">
        <f>IFERROR(VLOOKUP(($A$1),$F$7:P319,COLUMNS($F$7:P319),FALSE)/VLOOKUP(($A$1-99),$F$7:P319,COLUMNS($F$7:P319),FALSE)-1,"NA")</f>
        <v>0.34703069780333995</v>
      </c>
      <c r="Q2" s="535">
        <f>IFERROR(VLOOKUP(($A$1),$F$7:Q319,COLUMNS($F$7:Q319),FALSE)/VLOOKUP(($A$1-99),$F$7:Q319,COLUMNS($F$7:Q319),FALSE)-1,"NA")</f>
        <v>-7.3230988316269841E-2</v>
      </c>
      <c r="R2" s="535">
        <f>IFERROR(VLOOKUP(($A$1),$F$7:R319,COLUMNS($F$7:R319),FALSE)/VLOOKUP(($A$1-99),$F$7:R319,COLUMNS($F$7:R319),FALSE)-1,"NA")</f>
        <v>0.44335103613454119</v>
      </c>
      <c r="S2" s="535">
        <f>IFERROR(VLOOKUP(($A$1),$F$7:S319,COLUMNS($F$7:S319),FALSE)/VLOOKUP(($A$1-99),$F$7:S319,COLUMNS($F$7:S319),FALSE)-1,"NA")</f>
        <v>0.12478793967174728</v>
      </c>
      <c r="T2" s="535">
        <f>IFERROR(VLOOKUP(($A$1),$F$7:T319,COLUMNS($F$7:T319),FALSE)/VLOOKUP(($A$1-99),$F$7:T319,COLUMNS($F$7:T319),FALSE)-1,"NA")</f>
        <v>-2.1586616297895045E-3</v>
      </c>
      <c r="U2" s="252">
        <f>IFERROR(VLOOKUP(($A$1),$F$7:U319,COLUMNS($F$7:U319),FALSE)/VLOOKUP(($A$1-99),$F$7:U319,COLUMNS($F$7:U319),FALSE)-1,"NA")</f>
        <v>0.35738188832546647</v>
      </c>
      <c r="V2" s="535">
        <f>IFERROR(VLOOKUP(($A$1),$F$7:V319,COLUMNS($F$7:V319),FALSE)/VLOOKUP(($A$1-99),$F$7:V319,COLUMNS($F$7:V319),FALSE)-1,"NA")</f>
        <v>7.5964203690504384E-2</v>
      </c>
      <c r="W2" s="535">
        <f>IFERROR(VLOOKUP(($A$1),$F$7:W319,COLUMNS($F$7:W319),FALSE)/VLOOKUP(($A$1-99),$F$7:W319,COLUMNS($F$7:W319),FALSE)-1,"NA")</f>
        <v>8.5750315258511955E-2</v>
      </c>
      <c r="X2" s="535">
        <f>IFERROR(VLOOKUP(($A$1),$F$7:X319,COLUMNS($F$7:X319),FALSE)/VLOOKUP(($A$1-99),$F$7:X319,COLUMNS($F$7:X319),FALSE)-1,"NA")</f>
        <v>8.0678394641142015E-2</v>
      </c>
      <c r="Y2" s="535">
        <f>IFERROR(VLOOKUP(($A$1),$F$7:Y319,COLUMNS($F$7:Y319),FALSE)/VLOOKUP(($A$1-99),$F$7:Y319,COLUMNS($F$7:Y319),FALSE)-1,"NA")</f>
        <v>-6.4026314915107796E-2</v>
      </c>
      <c r="Z2" s="252">
        <f>IFERROR(VLOOKUP(($A$1),$F$7:Z319,COLUMNS($F$7:Z319),FALSE)/VLOOKUP(($A$1-99),$F$7:Z319,COLUMNS($F$7:Z319),FALSE)-1,"NA")</f>
        <v>-7.3240049497545479E-2</v>
      </c>
      <c r="AA2" s="535">
        <f>IFERROR(VLOOKUP(($A$1),$F$7:AA319,COLUMNS($F$7:AA319),FALSE)/VLOOKUP(($A$1-99),$F$7:AA319,COLUMNS($F$7:AA319),FALSE)-1,"NA")</f>
        <v>-5.7369106886297594E-2</v>
      </c>
      <c r="AB2" s="535">
        <f>IFERROR(VLOOKUP(($A$1),$F$7:AB319,COLUMNS($F$7:AB319),FALSE)/VLOOKUP(($A$1-99),$F$7:AB319,COLUMNS($F$7:AB319),FALSE)-1,"NA")</f>
        <v>-0.37446839358206074</v>
      </c>
      <c r="AC2" s="535">
        <f>IFERROR(VLOOKUP(($A$1),$F$7:AC319,COLUMNS($F$7:AC319),FALSE)/VLOOKUP(($A$1-99),$F$7:AC319,COLUMNS($F$7:AC319),FALSE)-1,"NA")</f>
        <v>-0.24138656345967779</v>
      </c>
      <c r="AD2" s="535">
        <f>IFERROR(VLOOKUP(($A$1),$F$7:AD319,COLUMNS($F$7:AD319),FALSE)/VLOOKUP(($A$1-99),$F$7:AD319,COLUMNS($F$7:AD319),FALSE)-1,"NA")</f>
        <v>-0.23566738884184368</v>
      </c>
      <c r="AE2" s="535">
        <f>IFERROR(VLOOKUP(($A$1),$F$7:AE319,COLUMNS($F$7:AE319),FALSE)/VLOOKUP(($A$1-99),$F$7:AE319,COLUMNS($F$7:AE319),FALSE)-1,"NA")</f>
        <v>-0.40862370943952797</v>
      </c>
      <c r="AF2" s="535">
        <f>IFERROR(VLOOKUP(($A$1),$F$7:AF319,COLUMNS($F$7:AF319),FALSE)/VLOOKUP(($A$1-99),$F$7:AF319,COLUMNS($F$7:AF319),FALSE)-1,"NA")</f>
        <v>0.20882577047160478</v>
      </c>
      <c r="AG2" s="625">
        <f>IFERROR(100*(VLOOKUP(($A$1),$F$7:AG319,COLUMNS($F$7:AG319),FALSE)-VLOOKUP(($A$1-99),$F$7:AG319,COLUMNS($F$7:AG319),FALSE)),"NA")</f>
        <v>-2.2084205559570802</v>
      </c>
      <c r="AH2" s="789">
        <f>IFERROR(100*(VLOOKUP(($A$1),$F$7:AH319,COLUMNS($F$7:AH319),FALSE)-VLOOKUP(($A$1-99),$F$7:AH319,COLUMNS($F$7:AH319),FALSE)),"NA")</f>
        <v>-55.112033751752712</v>
      </c>
      <c r="AI2" s="789">
        <f>IFERROR(100*(VLOOKUP(($A$1),$F$7:AI319,COLUMNS($F$7:AI319),FALSE)-VLOOKUP(($A$1-99),$F$7:AI319,COLUMNS($F$7:AI319),FALSE)),"NA")</f>
        <v>-23.174495890263657</v>
      </c>
      <c r="AJ2" s="789">
        <f>IFERROR(100*(VLOOKUP(($A$1),$F$7:AJ319,COLUMNS($F$7:AJ319),FALSE)-VLOOKUP(($A$1-99),$F$7:AJ319,COLUMNS($F$7:AJ319),FALSE)),"NA")</f>
        <v>-35.118779163589686</v>
      </c>
      <c r="AK2" s="789">
        <f>IFERROR(100*(VLOOKUP(($A$1),$F$7:AK319,COLUMNS($F$7:AK319),FALSE)-VLOOKUP(($A$1-99),$F$7:AK319,COLUMNS($F$7:AK319),FALSE)),"NA")</f>
        <v>-55.429479046535313</v>
      </c>
      <c r="AL2" s="251">
        <f>IFERROR(VLOOKUP(($A$1),$F$7:AL319,COLUMNS($F$7:AL319),FALSE)/VLOOKUP(($A$1-99),$F$7:AL319,COLUMNS($F$7:AL319),FALSE)-1,"NA")</f>
        <v>-5.5568749278580465E-2</v>
      </c>
      <c r="AM2" s="535">
        <f>IFERROR(VLOOKUP(($A$1),$F$7:AM319,COLUMNS($F$7:AM319),FALSE)/VLOOKUP(($A$1-99),$F$7:AM319,COLUMNS($F$7:AM319),FALSE)-1,"NA")</f>
        <v>0.51150732180723568</v>
      </c>
      <c r="AN2" s="535">
        <f>IFERROR(VLOOKUP(($A$1),$F$7:AN319,COLUMNS($F$7:AN319),FALSE)/VLOOKUP(($A$1-99),$F$7:AN319,COLUMNS($F$7:AN319),FALSE)-1,"NA")</f>
        <v>0.23220916576196626</v>
      </c>
      <c r="AO2" s="535">
        <f>IFERROR(VLOOKUP(($A$1),$F$7:AO319,COLUMNS($F$7:AO319),FALSE)/VLOOKUP(($A$1-99),$F$7:AO319,COLUMNS($F$7:AO319),FALSE)-1,"NA")</f>
        <v>0.10021232623123066</v>
      </c>
      <c r="AP2" s="535">
        <f>IFERROR(VLOOKUP(($A$1),$F$7:AP319,COLUMNS($F$7:AP319),FALSE)/VLOOKUP(($A$1-99),$F$7:AP319,COLUMNS($F$7:AP319),FALSE)-1,"NA")</f>
        <v>0.91866402945998593</v>
      </c>
      <c r="AQ2" s="253">
        <f>IFERROR(VLOOKUP(($A$1),$F$7:AQ319,COLUMNS($F$7:AQ319),FALSE)-VLOOKUP(($A$1-99),$F$7:AQ319,COLUMNS($F$7:AQ319),FALSE),"NA")</f>
        <v>-3.7974397277170391E-2</v>
      </c>
      <c r="AR2" s="788">
        <f>IFERROR(VLOOKUP(($A$1),$F$7:AR319,COLUMNS($F$7:AR319),FALSE)-VLOOKUP(($A$1-99),$F$7:AR319,COLUMNS($F$7:AR319),FALSE),"NA")</f>
        <v>4.5448396458690143E-2</v>
      </c>
      <c r="AS2" s="788">
        <f>IFERROR(VLOOKUP(($A$1),$F$7:AS319,COLUMNS($F$7:AS319),FALSE)-VLOOKUP(($A$1-99),$F$7:AS319,COLUMNS($F$7:AS319),FALSE),"NA")</f>
        <v>7.4739991815196971E-3</v>
      </c>
      <c r="AT2" s="788">
        <f>IFERROR(VLOOKUP(($A$1),$F$7:AT319,COLUMNS($F$7:AT319),FALSE)-VLOOKUP(($A$1-99),$F$7:AT319,COLUMNS($F$7:AT319),FALSE),"NA")</f>
        <v>-8.4047820718097049E-2</v>
      </c>
      <c r="AU2" s="254">
        <f>IFERROR(VLOOKUP(($A$1),$F$7:AU319,COLUMNS($F$7:AU319),FALSE)-VLOOKUP(($A$1-99),$F$7:AU319,COLUMNS($F$7:AU319),FALSE),"NA")</f>
        <v>7.6573821536577324E-2</v>
      </c>
    </row>
    <row r="3" spans="1:48" ht="16.350000000000001" customHeight="1">
      <c r="A3" s="981"/>
      <c r="B3" s="986"/>
      <c r="C3" s="986"/>
      <c r="D3" s="986"/>
      <c r="E3" s="986"/>
      <c r="F3" s="95" t="s">
        <v>164</v>
      </c>
      <c r="G3" s="79" t="s">
        <v>326</v>
      </c>
      <c r="H3" s="79" t="s">
        <v>326</v>
      </c>
      <c r="I3" s="79" t="s">
        <v>166</v>
      </c>
      <c r="J3" s="79" t="s">
        <v>326</v>
      </c>
      <c r="K3" s="79" t="s">
        <v>326</v>
      </c>
      <c r="L3" s="86" t="s">
        <v>327</v>
      </c>
      <c r="M3" s="79" t="s">
        <v>326</v>
      </c>
      <c r="N3" s="79" t="s">
        <v>166</v>
      </c>
      <c r="O3" s="79" t="s">
        <v>326</v>
      </c>
      <c r="P3" s="97" t="s">
        <v>326</v>
      </c>
      <c r="Q3" s="79" t="s">
        <v>173</v>
      </c>
      <c r="R3" s="79" t="s">
        <v>173</v>
      </c>
      <c r="S3" s="79" t="s">
        <v>166</v>
      </c>
      <c r="T3" s="79" t="s">
        <v>173</v>
      </c>
      <c r="U3" s="79" t="s">
        <v>173</v>
      </c>
      <c r="V3" s="86" t="s">
        <v>327</v>
      </c>
      <c r="W3" s="79" t="s">
        <v>326</v>
      </c>
      <c r="X3" s="79" t="s">
        <v>166</v>
      </c>
      <c r="Y3" s="79" t="s">
        <v>326</v>
      </c>
      <c r="Z3" s="97" t="s">
        <v>326</v>
      </c>
      <c r="AA3" s="79" t="s">
        <v>172</v>
      </c>
      <c r="AB3" s="79" t="s">
        <v>172</v>
      </c>
      <c r="AC3" s="79" t="s">
        <v>166</v>
      </c>
      <c r="AD3" s="493" t="s">
        <v>173</v>
      </c>
      <c r="AE3" s="493" t="s">
        <v>173</v>
      </c>
      <c r="AF3" s="79" t="s">
        <v>172</v>
      </c>
      <c r="AG3" s="86" t="s">
        <v>166</v>
      </c>
      <c r="AH3" s="79" t="s">
        <v>166</v>
      </c>
      <c r="AI3" s="79" t="s">
        <v>166</v>
      </c>
      <c r="AJ3" s="79" t="s">
        <v>166</v>
      </c>
      <c r="AK3" s="97" t="s">
        <v>166</v>
      </c>
      <c r="AL3" s="79" t="s">
        <v>166</v>
      </c>
      <c r="AM3" s="79" t="s">
        <v>166</v>
      </c>
      <c r="AN3" s="79" t="s">
        <v>166</v>
      </c>
      <c r="AO3" s="79" t="s">
        <v>166</v>
      </c>
      <c r="AP3" s="79" t="s">
        <v>166</v>
      </c>
      <c r="AQ3" s="86" t="s">
        <v>166</v>
      </c>
      <c r="AR3" s="79" t="s">
        <v>166</v>
      </c>
      <c r="AS3" s="79" t="s">
        <v>166</v>
      </c>
      <c r="AT3" s="79" t="s">
        <v>166</v>
      </c>
      <c r="AU3" s="97" t="s">
        <v>166</v>
      </c>
      <c r="AV3" s="79"/>
    </row>
    <row r="4" spans="1:48" ht="15.75" customHeight="1" thickBot="1">
      <c r="A4" s="982"/>
      <c r="B4" s="978"/>
      <c r="C4" s="978"/>
      <c r="D4" s="978"/>
      <c r="E4" s="978"/>
      <c r="F4" s="96" t="s">
        <v>174</v>
      </c>
      <c r="G4" s="192"/>
      <c r="H4" s="192"/>
      <c r="I4" s="192"/>
      <c r="J4" s="192"/>
      <c r="K4" s="192"/>
      <c r="L4" s="143" t="s">
        <v>328</v>
      </c>
      <c r="M4" s="144" t="s">
        <v>328</v>
      </c>
      <c r="N4" s="88"/>
      <c r="O4" s="144" t="s">
        <v>328</v>
      </c>
      <c r="P4" s="145" t="s">
        <v>328</v>
      </c>
      <c r="Q4" s="273" t="s">
        <v>175</v>
      </c>
      <c r="R4" s="273" t="s">
        <v>175</v>
      </c>
      <c r="S4" s="273"/>
      <c r="T4" s="273" t="s">
        <v>175</v>
      </c>
      <c r="U4" s="273" t="s">
        <v>175</v>
      </c>
      <c r="V4" s="191"/>
      <c r="W4" s="192"/>
      <c r="X4" s="192"/>
      <c r="Y4" s="192"/>
      <c r="Z4" s="193"/>
      <c r="AA4" s="88" t="s">
        <v>329</v>
      </c>
      <c r="AB4" s="88" t="s">
        <v>329</v>
      </c>
      <c r="AC4" s="88"/>
      <c r="AD4" s="88" t="s">
        <v>329</v>
      </c>
      <c r="AE4" s="88" t="s">
        <v>329</v>
      </c>
      <c r="AF4" s="431"/>
      <c r="AG4" s="232"/>
      <c r="AH4" s="233"/>
      <c r="AI4" s="233"/>
      <c r="AJ4" s="233"/>
      <c r="AK4" s="234"/>
      <c r="AL4" s="192"/>
      <c r="AM4" s="192"/>
      <c r="AN4" s="192"/>
      <c r="AO4" s="192"/>
      <c r="AP4" s="192"/>
      <c r="AQ4" s="191"/>
      <c r="AR4" s="192"/>
      <c r="AS4" s="192"/>
      <c r="AT4" s="192"/>
      <c r="AU4" s="193"/>
    </row>
    <row r="5" spans="1:48" ht="15.75" customHeight="1" thickBot="1">
      <c r="F5" s="78"/>
      <c r="AF5" s="315"/>
      <c r="AL5" s="78"/>
    </row>
    <row r="6" spans="1:48" s="235" customFormat="1" ht="30.75" customHeight="1" thickBot="1">
      <c r="A6" s="81" t="s">
        <v>41</v>
      </c>
      <c r="B6" s="82" t="s">
        <v>44</v>
      </c>
      <c r="C6" s="82" t="s">
        <v>177</v>
      </c>
      <c r="D6" s="82" t="s">
        <v>47</v>
      </c>
      <c r="E6" s="82" t="s">
        <v>48</v>
      </c>
      <c r="F6" s="83" t="s">
        <v>178</v>
      </c>
      <c r="G6" s="81" t="s">
        <v>330</v>
      </c>
      <c r="H6" s="82" t="s">
        <v>331</v>
      </c>
      <c r="I6" s="82" t="s">
        <v>332</v>
      </c>
      <c r="J6" s="82" t="s">
        <v>333</v>
      </c>
      <c r="K6" s="83" t="s">
        <v>334</v>
      </c>
      <c r="L6" s="82" t="s">
        <v>335</v>
      </c>
      <c r="M6" s="82" t="s">
        <v>336</v>
      </c>
      <c r="N6" s="82" t="s">
        <v>337</v>
      </c>
      <c r="O6" s="82" t="s">
        <v>338</v>
      </c>
      <c r="P6" s="82" t="s">
        <v>339</v>
      </c>
      <c r="Q6" s="81" t="s">
        <v>340</v>
      </c>
      <c r="R6" s="82" t="s">
        <v>341</v>
      </c>
      <c r="S6" s="82" t="s">
        <v>198</v>
      </c>
      <c r="T6" s="82" t="s">
        <v>342</v>
      </c>
      <c r="U6" s="83" t="s">
        <v>343</v>
      </c>
      <c r="V6" s="81" t="s">
        <v>344</v>
      </c>
      <c r="W6" s="82" t="s">
        <v>345</v>
      </c>
      <c r="X6" s="82" t="s">
        <v>346</v>
      </c>
      <c r="Y6" s="82" t="s">
        <v>347</v>
      </c>
      <c r="Z6" s="83" t="s">
        <v>348</v>
      </c>
      <c r="AA6" s="82" t="s">
        <v>349</v>
      </c>
      <c r="AB6" s="82" t="s">
        <v>350</v>
      </c>
      <c r="AC6" s="82" t="s">
        <v>84</v>
      </c>
      <c r="AD6" s="82" t="s">
        <v>351</v>
      </c>
      <c r="AE6" s="82" t="s">
        <v>352</v>
      </c>
      <c r="AF6" s="83" t="s">
        <v>353</v>
      </c>
      <c r="AG6" s="81" t="s">
        <v>354</v>
      </c>
      <c r="AH6" s="82" t="s">
        <v>355</v>
      </c>
      <c r="AI6" s="82" t="s">
        <v>356</v>
      </c>
      <c r="AJ6" s="82" t="s">
        <v>357</v>
      </c>
      <c r="AK6" s="83" t="s">
        <v>358</v>
      </c>
      <c r="AL6" s="81" t="s">
        <v>359</v>
      </c>
      <c r="AM6" s="82" t="s">
        <v>360</v>
      </c>
      <c r="AN6" s="82" t="s">
        <v>361</v>
      </c>
      <c r="AO6" s="82" t="s">
        <v>104</v>
      </c>
      <c r="AP6" s="83" t="s">
        <v>362</v>
      </c>
      <c r="AQ6" s="81" t="s">
        <v>363</v>
      </c>
      <c r="AR6" s="82" t="s">
        <v>364</v>
      </c>
      <c r="AS6" s="82" t="s">
        <v>365</v>
      </c>
      <c r="AT6" s="82" t="s">
        <v>366</v>
      </c>
      <c r="AU6" s="83" t="s">
        <v>367</v>
      </c>
    </row>
    <row r="7" spans="1:48" ht="15.75" customHeight="1">
      <c r="A7" s="188">
        <f t="shared" ref="A7:A70" si="0">LEFT(F7,4)+1</f>
        <v>2021</v>
      </c>
      <c r="B7" s="172" t="str">
        <f t="shared" ref="B7:B70" si="1">RIGHT(F7,2)</f>
        <v>01</v>
      </c>
      <c r="C7" s="172" t="str">
        <f t="array" ref="C7">_xlfn.IFS(_xlfn.NUMBERVALUE(B7)&lt;=13,"Q1",AND(_xlfn.NUMBERVALUE(B7)&gt;13,_xlfn.NUMBERVALUE(B7)&lt;=26),"Q2", AND(_xlfn.NUMBERVALUE(B7)&gt;26,_xlfn.NUMBERVALUE(B7)&lt;=39),"Q3",_xlfn.NUMBERVALUE(B7)&gt;39,"Q4")</f>
        <v>Q1</v>
      </c>
      <c r="D7" s="173">
        <v>43862</v>
      </c>
      <c r="E7" s="174">
        <f t="shared" ref="E7:E70" si="2">D7+6</f>
        <v>43868</v>
      </c>
      <c r="F7" s="236">
        <v>202001</v>
      </c>
      <c r="G7" s="84"/>
      <c r="H7" s="85"/>
      <c r="I7" s="212"/>
      <c r="J7" s="85"/>
      <c r="K7" s="236"/>
      <c r="L7" s="237"/>
      <c r="M7" s="237"/>
      <c r="N7" s="255"/>
      <c r="O7" s="237"/>
      <c r="P7" s="237"/>
      <c r="Q7" s="99"/>
      <c r="R7" s="100"/>
      <c r="S7" s="212"/>
      <c r="T7" s="85"/>
      <c r="U7" s="236"/>
      <c r="V7" s="84"/>
      <c r="W7" s="85"/>
      <c r="X7" s="172"/>
      <c r="Y7" s="85"/>
      <c r="Z7" s="236"/>
      <c r="AA7" s="100"/>
      <c r="AB7" s="100"/>
      <c r="AC7" s="212"/>
      <c r="AD7" s="100"/>
      <c r="AE7" s="100"/>
      <c r="AF7" s="238"/>
      <c r="AG7" s="256" t="str">
        <f t="shared" ref="AG7:AG70" si="3">IFERROR(G7/Q7,"")</f>
        <v/>
      </c>
      <c r="AH7" s="257" t="str">
        <f t="shared" ref="AH7:AH70" si="4">IFERROR(H7/R7,"")</f>
        <v/>
      </c>
      <c r="AI7" s="257" t="str">
        <f t="shared" ref="AI7:AI70" si="5">IFERROR(I7/S7,"")</f>
        <v/>
      </c>
      <c r="AJ7" s="257" t="str">
        <f t="shared" ref="AJ7:AJ70" si="6">IFERROR(J7/T7,"")</f>
        <v/>
      </c>
      <c r="AK7" s="258" t="str">
        <f t="shared" ref="AK7:AK70" si="7">IFERROR(K7/U7,"")</f>
        <v/>
      </c>
      <c r="AL7" s="259" t="str">
        <f t="shared" ref="AL7:AL70" si="8">IFERROR(L7/G7,"")</f>
        <v/>
      </c>
      <c r="AM7" s="260" t="str">
        <f t="shared" ref="AM7:AM70" si="9">IFERROR(M7/H7,"")</f>
        <v/>
      </c>
      <c r="AN7" s="260" t="str">
        <f t="shared" ref="AN7:AN70" si="10">IFERROR(N7/I7,"")</f>
        <v/>
      </c>
      <c r="AO7" s="260" t="str">
        <f t="shared" ref="AO7:AO70" si="11">IFERROR(O7/J7,"")</f>
        <v/>
      </c>
      <c r="AP7" s="261" t="str">
        <f t="shared" ref="AP7:AP70" si="12">IFERROR(P7/K7,"")</f>
        <v/>
      </c>
      <c r="AQ7" s="262" t="str">
        <f t="shared" ref="AQ7:AQ70" si="13">IFERROR(L7/SUM($N7:$P7),"")</f>
        <v/>
      </c>
      <c r="AR7" s="263" t="str">
        <f t="shared" ref="AR7:AR70" si="14">IFERROR(M7/SUM($N7:$P7),"")</f>
        <v/>
      </c>
      <c r="AS7" s="263" t="str">
        <f t="shared" ref="AS7:AS70" si="15">IFERROR(N7/SUM($N7:$P7),"")</f>
        <v/>
      </c>
      <c r="AT7" s="263" t="str">
        <f t="shared" ref="AT7:AT70" si="16">IFERROR(O7/SUM($N7:$P7),"")</f>
        <v/>
      </c>
      <c r="AU7" s="264" t="str">
        <f t="shared" ref="AU7:AU70" si="17">IFERROR(P7/SUM($N7:$P7),"")</f>
        <v/>
      </c>
    </row>
    <row r="8" spans="1:48" ht="15.75" customHeight="1">
      <c r="A8" s="175">
        <f t="shared" si="0"/>
        <v>2021</v>
      </c>
      <c r="B8" s="454" t="str">
        <f t="shared" si="1"/>
        <v>02</v>
      </c>
      <c r="C8" s="454" t="str">
        <f t="array" ref="C8">_xlfn.IFS(_xlfn.NUMBERVALUE(B8)&lt;=13,"Q1",AND(_xlfn.NUMBERVALUE(B8)&gt;13,_xlfn.NUMBERVALUE(B8)&lt;=26),"Q2", AND(_xlfn.NUMBERVALUE(B8)&gt;26,_xlfn.NUMBERVALUE(B8)&lt;=39),"Q3",_xlfn.NUMBERVALUE(B8)&gt;39,"Q4")</f>
        <v>Q1</v>
      </c>
      <c r="D8" s="448">
        <f t="shared" ref="D8:D71" si="18">E7+1</f>
        <v>43869</v>
      </c>
      <c r="E8" s="448">
        <f t="shared" si="2"/>
        <v>43875</v>
      </c>
      <c r="F8" s="97">
        <v>202002</v>
      </c>
      <c r="G8" s="86"/>
      <c r="H8" s="79"/>
      <c r="I8" s="449"/>
      <c r="J8" s="79"/>
      <c r="K8" s="97"/>
      <c r="L8" s="513"/>
      <c r="M8" s="513"/>
      <c r="N8" s="514"/>
      <c r="O8" s="513"/>
      <c r="P8" s="513"/>
      <c r="Q8" s="103"/>
      <c r="R8" s="429"/>
      <c r="S8" s="449"/>
      <c r="T8" s="79"/>
      <c r="U8" s="97"/>
      <c r="V8" s="86"/>
      <c r="W8" s="79"/>
      <c r="X8" s="454"/>
      <c r="Y8" s="79"/>
      <c r="Z8" s="97"/>
      <c r="AA8" s="429"/>
      <c r="AB8" s="429"/>
      <c r="AC8" s="449"/>
      <c r="AD8" s="429"/>
      <c r="AE8" s="429"/>
      <c r="AF8" s="126"/>
      <c r="AG8" s="265" t="str">
        <f t="shared" si="3"/>
        <v/>
      </c>
      <c r="AH8" s="515" t="str">
        <f t="shared" si="4"/>
        <v/>
      </c>
      <c r="AI8" s="515" t="str">
        <f t="shared" si="5"/>
        <v/>
      </c>
      <c r="AJ8" s="515" t="str">
        <f t="shared" si="6"/>
        <v/>
      </c>
      <c r="AK8" s="187" t="str">
        <f t="shared" si="7"/>
        <v/>
      </c>
      <c r="AL8" s="266" t="str">
        <f t="shared" si="8"/>
        <v/>
      </c>
      <c r="AM8" s="516" t="str">
        <f t="shared" si="9"/>
        <v/>
      </c>
      <c r="AN8" s="516" t="str">
        <f t="shared" si="10"/>
        <v/>
      </c>
      <c r="AO8" s="516" t="str">
        <f t="shared" si="11"/>
        <v/>
      </c>
      <c r="AP8" s="267" t="str">
        <f t="shared" si="12"/>
        <v/>
      </c>
      <c r="AQ8" s="268" t="str">
        <f t="shared" si="13"/>
        <v/>
      </c>
      <c r="AR8" s="450" t="str">
        <f t="shared" si="14"/>
        <v/>
      </c>
      <c r="AS8" s="450" t="str">
        <f t="shared" si="15"/>
        <v/>
      </c>
      <c r="AT8" s="450" t="str">
        <f t="shared" si="16"/>
        <v/>
      </c>
      <c r="AU8" s="269" t="str">
        <f t="shared" si="17"/>
        <v/>
      </c>
    </row>
    <row r="9" spans="1:48" ht="15.75" customHeight="1">
      <c r="A9" s="175">
        <f t="shared" si="0"/>
        <v>2021</v>
      </c>
      <c r="B9" s="454" t="str">
        <f t="shared" si="1"/>
        <v>03</v>
      </c>
      <c r="C9" s="454" t="str">
        <f t="array" ref="C9">_xlfn.IFS(_xlfn.NUMBERVALUE(B9)&lt;=13,"Q1",AND(_xlfn.NUMBERVALUE(B9)&gt;13,_xlfn.NUMBERVALUE(B9)&lt;=26),"Q2", AND(_xlfn.NUMBERVALUE(B9)&gt;26,_xlfn.NUMBERVALUE(B9)&lt;=39),"Q3",_xlfn.NUMBERVALUE(B9)&gt;39,"Q4")</f>
        <v>Q1</v>
      </c>
      <c r="D9" s="448">
        <f t="shared" si="18"/>
        <v>43876</v>
      </c>
      <c r="E9" s="448">
        <f t="shared" si="2"/>
        <v>43882</v>
      </c>
      <c r="F9" s="97">
        <v>202003</v>
      </c>
      <c r="G9" s="86"/>
      <c r="H9" s="79"/>
      <c r="I9" s="449"/>
      <c r="J9" s="79"/>
      <c r="K9" s="97"/>
      <c r="L9" s="513"/>
      <c r="M9" s="513"/>
      <c r="N9" s="514"/>
      <c r="O9" s="513"/>
      <c r="P9" s="513"/>
      <c r="Q9" s="103"/>
      <c r="R9" s="429"/>
      <c r="S9" s="449"/>
      <c r="T9" s="79"/>
      <c r="U9" s="97"/>
      <c r="V9" s="86"/>
      <c r="W9" s="79"/>
      <c r="X9" s="454"/>
      <c r="Y9" s="79"/>
      <c r="Z9" s="97"/>
      <c r="AA9" s="429"/>
      <c r="AB9" s="429"/>
      <c r="AC9" s="449"/>
      <c r="AD9" s="429"/>
      <c r="AE9" s="429"/>
      <c r="AF9" s="126"/>
      <c r="AG9" s="265" t="str">
        <f t="shared" si="3"/>
        <v/>
      </c>
      <c r="AH9" s="515" t="str">
        <f t="shared" si="4"/>
        <v/>
      </c>
      <c r="AI9" s="515" t="str">
        <f t="shared" si="5"/>
        <v/>
      </c>
      <c r="AJ9" s="515" t="str">
        <f t="shared" si="6"/>
        <v/>
      </c>
      <c r="AK9" s="187" t="str">
        <f t="shared" si="7"/>
        <v/>
      </c>
      <c r="AL9" s="266" t="str">
        <f t="shared" si="8"/>
        <v/>
      </c>
      <c r="AM9" s="516" t="str">
        <f t="shared" si="9"/>
        <v/>
      </c>
      <c r="AN9" s="516" t="str">
        <f t="shared" si="10"/>
        <v/>
      </c>
      <c r="AO9" s="516" t="str">
        <f t="shared" si="11"/>
        <v/>
      </c>
      <c r="AP9" s="267" t="str">
        <f t="shared" si="12"/>
        <v/>
      </c>
      <c r="AQ9" s="268" t="str">
        <f t="shared" si="13"/>
        <v/>
      </c>
      <c r="AR9" s="450" t="str">
        <f t="shared" si="14"/>
        <v/>
      </c>
      <c r="AS9" s="450" t="str">
        <f t="shared" si="15"/>
        <v/>
      </c>
      <c r="AT9" s="450" t="str">
        <f t="shared" si="16"/>
        <v/>
      </c>
      <c r="AU9" s="269" t="str">
        <f t="shared" si="17"/>
        <v/>
      </c>
    </row>
    <row r="10" spans="1:48" ht="15.75" customHeight="1">
      <c r="A10" s="175">
        <f t="shared" si="0"/>
        <v>2021</v>
      </c>
      <c r="B10" s="454" t="str">
        <f t="shared" si="1"/>
        <v>04</v>
      </c>
      <c r="C10" s="454" t="str">
        <f t="array" ref="C10">_xlfn.IFS(_xlfn.NUMBERVALUE(B10)&lt;=13,"Q1",AND(_xlfn.NUMBERVALUE(B10)&gt;13,_xlfn.NUMBERVALUE(B10)&lt;=26),"Q2", AND(_xlfn.NUMBERVALUE(B10)&gt;26,_xlfn.NUMBERVALUE(B10)&lt;=39),"Q3",_xlfn.NUMBERVALUE(B10)&gt;39,"Q4")</f>
        <v>Q1</v>
      </c>
      <c r="D10" s="448">
        <f t="shared" si="18"/>
        <v>43883</v>
      </c>
      <c r="E10" s="448">
        <f t="shared" si="2"/>
        <v>43889</v>
      </c>
      <c r="F10" s="97">
        <v>202004</v>
      </c>
      <c r="G10" s="86"/>
      <c r="H10" s="79"/>
      <c r="I10" s="449"/>
      <c r="J10" s="79"/>
      <c r="K10" s="97"/>
      <c r="L10" s="513"/>
      <c r="M10" s="513"/>
      <c r="N10" s="514"/>
      <c r="O10" s="513"/>
      <c r="P10" s="513"/>
      <c r="Q10" s="103"/>
      <c r="R10" s="429"/>
      <c r="S10" s="449"/>
      <c r="T10" s="79"/>
      <c r="U10" s="97"/>
      <c r="V10" s="86"/>
      <c r="W10" s="79"/>
      <c r="X10" s="454"/>
      <c r="Y10" s="79"/>
      <c r="Z10" s="97"/>
      <c r="AA10" s="429"/>
      <c r="AB10" s="429"/>
      <c r="AC10" s="449"/>
      <c r="AD10" s="429"/>
      <c r="AE10" s="429"/>
      <c r="AF10" s="126"/>
      <c r="AG10" s="265" t="str">
        <f t="shared" si="3"/>
        <v/>
      </c>
      <c r="AH10" s="515" t="str">
        <f t="shared" si="4"/>
        <v/>
      </c>
      <c r="AI10" s="515" t="str">
        <f t="shared" si="5"/>
        <v/>
      </c>
      <c r="AJ10" s="515" t="str">
        <f t="shared" si="6"/>
        <v/>
      </c>
      <c r="AK10" s="187" t="str">
        <f t="shared" si="7"/>
        <v/>
      </c>
      <c r="AL10" s="266" t="str">
        <f t="shared" si="8"/>
        <v/>
      </c>
      <c r="AM10" s="516" t="str">
        <f t="shared" si="9"/>
        <v/>
      </c>
      <c r="AN10" s="516" t="str">
        <f t="shared" si="10"/>
        <v/>
      </c>
      <c r="AO10" s="516" t="str">
        <f t="shared" si="11"/>
        <v/>
      </c>
      <c r="AP10" s="267" t="str">
        <f t="shared" si="12"/>
        <v/>
      </c>
      <c r="AQ10" s="268" t="str">
        <f t="shared" si="13"/>
        <v/>
      </c>
      <c r="AR10" s="450" t="str">
        <f t="shared" si="14"/>
        <v/>
      </c>
      <c r="AS10" s="450" t="str">
        <f t="shared" si="15"/>
        <v/>
      </c>
      <c r="AT10" s="450" t="str">
        <f t="shared" si="16"/>
        <v/>
      </c>
      <c r="AU10" s="269" t="str">
        <f t="shared" si="17"/>
        <v/>
      </c>
    </row>
    <row r="11" spans="1:48" ht="15.75" customHeight="1">
      <c r="A11" s="175">
        <f t="shared" si="0"/>
        <v>2021</v>
      </c>
      <c r="B11" s="454" t="str">
        <f t="shared" si="1"/>
        <v>05</v>
      </c>
      <c r="C11" s="454" t="str">
        <f t="array" ref="C11">_xlfn.IFS(_xlfn.NUMBERVALUE(B11)&lt;=13,"Q1",AND(_xlfn.NUMBERVALUE(B11)&gt;13,_xlfn.NUMBERVALUE(B11)&lt;=26),"Q2", AND(_xlfn.NUMBERVALUE(B11)&gt;26,_xlfn.NUMBERVALUE(B11)&lt;=39),"Q3",_xlfn.NUMBERVALUE(B11)&gt;39,"Q4")</f>
        <v>Q1</v>
      </c>
      <c r="D11" s="448">
        <f t="shared" si="18"/>
        <v>43890</v>
      </c>
      <c r="E11" s="448">
        <f t="shared" si="2"/>
        <v>43896</v>
      </c>
      <c r="F11" s="97">
        <v>202005</v>
      </c>
      <c r="G11" s="86"/>
      <c r="H11" s="79"/>
      <c r="I11" s="449"/>
      <c r="J11" s="79"/>
      <c r="K11" s="97"/>
      <c r="L11" s="513"/>
      <c r="M11" s="513"/>
      <c r="N11" s="514"/>
      <c r="O11" s="513"/>
      <c r="P11" s="513"/>
      <c r="Q11" s="103"/>
      <c r="R11" s="429"/>
      <c r="S11" s="449"/>
      <c r="T11" s="79"/>
      <c r="U11" s="97"/>
      <c r="V11" s="86"/>
      <c r="W11" s="79"/>
      <c r="X11" s="454"/>
      <c r="Y11" s="79"/>
      <c r="Z11" s="97"/>
      <c r="AA11" s="429"/>
      <c r="AB11" s="429"/>
      <c r="AC11" s="449"/>
      <c r="AD11" s="429"/>
      <c r="AE11" s="429"/>
      <c r="AF11" s="126"/>
      <c r="AG11" s="265" t="str">
        <f t="shared" si="3"/>
        <v/>
      </c>
      <c r="AH11" s="515" t="str">
        <f t="shared" si="4"/>
        <v/>
      </c>
      <c r="AI11" s="515" t="str">
        <f t="shared" si="5"/>
        <v/>
      </c>
      <c r="AJ11" s="515" t="str">
        <f t="shared" si="6"/>
        <v/>
      </c>
      <c r="AK11" s="187" t="str">
        <f t="shared" si="7"/>
        <v/>
      </c>
      <c r="AL11" s="266" t="str">
        <f t="shared" si="8"/>
        <v/>
      </c>
      <c r="AM11" s="516" t="str">
        <f t="shared" si="9"/>
        <v/>
      </c>
      <c r="AN11" s="516" t="str">
        <f t="shared" si="10"/>
        <v/>
      </c>
      <c r="AO11" s="516" t="str">
        <f t="shared" si="11"/>
        <v/>
      </c>
      <c r="AP11" s="267" t="str">
        <f t="shared" si="12"/>
        <v/>
      </c>
      <c r="AQ11" s="268" t="str">
        <f t="shared" si="13"/>
        <v/>
      </c>
      <c r="AR11" s="450" t="str">
        <f t="shared" si="14"/>
        <v/>
      </c>
      <c r="AS11" s="450" t="str">
        <f t="shared" si="15"/>
        <v/>
      </c>
      <c r="AT11" s="450" t="str">
        <f t="shared" si="16"/>
        <v/>
      </c>
      <c r="AU11" s="269" t="str">
        <f t="shared" si="17"/>
        <v/>
      </c>
    </row>
    <row r="12" spans="1:48" ht="15.75" customHeight="1">
      <c r="A12" s="175">
        <f t="shared" si="0"/>
        <v>2021</v>
      </c>
      <c r="B12" s="454" t="str">
        <f t="shared" si="1"/>
        <v>06</v>
      </c>
      <c r="C12" s="454" t="str">
        <f t="array" ref="C12">_xlfn.IFS(_xlfn.NUMBERVALUE(B12)&lt;=13,"Q1",AND(_xlfn.NUMBERVALUE(B12)&gt;13,_xlfn.NUMBERVALUE(B12)&lt;=26),"Q2", AND(_xlfn.NUMBERVALUE(B12)&gt;26,_xlfn.NUMBERVALUE(B12)&lt;=39),"Q3",_xlfn.NUMBERVALUE(B12)&gt;39,"Q4")</f>
        <v>Q1</v>
      </c>
      <c r="D12" s="448">
        <f t="shared" si="18"/>
        <v>43897</v>
      </c>
      <c r="E12" s="448">
        <f t="shared" si="2"/>
        <v>43903</v>
      </c>
      <c r="F12" s="97">
        <v>202006</v>
      </c>
      <c r="G12" s="86"/>
      <c r="H12" s="79"/>
      <c r="I12" s="449"/>
      <c r="J12" s="79"/>
      <c r="K12" s="97"/>
      <c r="L12" s="513"/>
      <c r="M12" s="513"/>
      <c r="N12" s="514"/>
      <c r="O12" s="513"/>
      <c r="P12" s="513"/>
      <c r="Q12" s="103"/>
      <c r="R12" s="429"/>
      <c r="S12" s="449"/>
      <c r="T12" s="79"/>
      <c r="U12" s="97"/>
      <c r="V12" s="86"/>
      <c r="W12" s="79"/>
      <c r="X12" s="454"/>
      <c r="Y12" s="79"/>
      <c r="Z12" s="97"/>
      <c r="AA12" s="429"/>
      <c r="AB12" s="429"/>
      <c r="AC12" s="449"/>
      <c r="AD12" s="429"/>
      <c r="AE12" s="429"/>
      <c r="AF12" s="126"/>
      <c r="AG12" s="265" t="str">
        <f t="shared" si="3"/>
        <v/>
      </c>
      <c r="AH12" s="515" t="str">
        <f t="shared" si="4"/>
        <v/>
      </c>
      <c r="AI12" s="515" t="str">
        <f t="shared" si="5"/>
        <v/>
      </c>
      <c r="AJ12" s="515" t="str">
        <f t="shared" si="6"/>
        <v/>
      </c>
      <c r="AK12" s="187" t="str">
        <f t="shared" si="7"/>
        <v/>
      </c>
      <c r="AL12" s="266" t="str">
        <f t="shared" si="8"/>
        <v/>
      </c>
      <c r="AM12" s="516" t="str">
        <f t="shared" si="9"/>
        <v/>
      </c>
      <c r="AN12" s="516" t="str">
        <f t="shared" si="10"/>
        <v/>
      </c>
      <c r="AO12" s="516" t="str">
        <f t="shared" si="11"/>
        <v/>
      </c>
      <c r="AP12" s="267" t="str">
        <f t="shared" si="12"/>
        <v/>
      </c>
      <c r="AQ12" s="268" t="str">
        <f t="shared" si="13"/>
        <v/>
      </c>
      <c r="AR12" s="450" t="str">
        <f t="shared" si="14"/>
        <v/>
      </c>
      <c r="AS12" s="450" t="str">
        <f t="shared" si="15"/>
        <v/>
      </c>
      <c r="AT12" s="450" t="str">
        <f t="shared" si="16"/>
        <v/>
      </c>
      <c r="AU12" s="269" t="str">
        <f t="shared" si="17"/>
        <v/>
      </c>
    </row>
    <row r="13" spans="1:48" ht="15.75" customHeight="1">
      <c r="A13" s="175">
        <f t="shared" si="0"/>
        <v>2021</v>
      </c>
      <c r="B13" s="454" t="str">
        <f t="shared" si="1"/>
        <v>07</v>
      </c>
      <c r="C13" s="454" t="str">
        <f t="array" ref="C13">_xlfn.IFS(_xlfn.NUMBERVALUE(B13)&lt;=13,"Q1",AND(_xlfn.NUMBERVALUE(B13)&gt;13,_xlfn.NUMBERVALUE(B13)&lt;=26),"Q2", AND(_xlfn.NUMBERVALUE(B13)&gt;26,_xlfn.NUMBERVALUE(B13)&lt;=39),"Q3",_xlfn.NUMBERVALUE(B13)&gt;39,"Q4")</f>
        <v>Q1</v>
      </c>
      <c r="D13" s="448">
        <f t="shared" si="18"/>
        <v>43904</v>
      </c>
      <c r="E13" s="448">
        <f t="shared" si="2"/>
        <v>43910</v>
      </c>
      <c r="F13" s="97">
        <v>202007</v>
      </c>
      <c r="G13" s="86"/>
      <c r="H13" s="79"/>
      <c r="I13" s="449"/>
      <c r="J13" s="79"/>
      <c r="K13" s="97"/>
      <c r="L13" s="513"/>
      <c r="M13" s="513"/>
      <c r="N13" s="514"/>
      <c r="O13" s="513"/>
      <c r="P13" s="513"/>
      <c r="Q13" s="103"/>
      <c r="R13" s="429"/>
      <c r="S13" s="449"/>
      <c r="T13" s="79"/>
      <c r="U13" s="97"/>
      <c r="V13" s="86"/>
      <c r="W13" s="79"/>
      <c r="X13" s="454"/>
      <c r="Y13" s="79"/>
      <c r="Z13" s="97"/>
      <c r="AA13" s="429"/>
      <c r="AB13" s="429"/>
      <c r="AC13" s="449"/>
      <c r="AD13" s="429"/>
      <c r="AE13" s="429"/>
      <c r="AF13" s="126"/>
      <c r="AG13" s="265" t="str">
        <f t="shared" si="3"/>
        <v/>
      </c>
      <c r="AH13" s="515" t="str">
        <f t="shared" si="4"/>
        <v/>
      </c>
      <c r="AI13" s="515" t="str">
        <f t="shared" si="5"/>
        <v/>
      </c>
      <c r="AJ13" s="515" t="str">
        <f t="shared" si="6"/>
        <v/>
      </c>
      <c r="AK13" s="187" t="str">
        <f t="shared" si="7"/>
        <v/>
      </c>
      <c r="AL13" s="266" t="str">
        <f t="shared" si="8"/>
        <v/>
      </c>
      <c r="AM13" s="516" t="str">
        <f t="shared" si="9"/>
        <v/>
      </c>
      <c r="AN13" s="516" t="str">
        <f t="shared" si="10"/>
        <v/>
      </c>
      <c r="AO13" s="516" t="str">
        <f t="shared" si="11"/>
        <v/>
      </c>
      <c r="AP13" s="267" t="str">
        <f t="shared" si="12"/>
        <v/>
      </c>
      <c r="AQ13" s="268" t="str">
        <f t="shared" si="13"/>
        <v/>
      </c>
      <c r="AR13" s="450" t="str">
        <f t="shared" si="14"/>
        <v/>
      </c>
      <c r="AS13" s="450" t="str">
        <f t="shared" si="15"/>
        <v/>
      </c>
      <c r="AT13" s="450" t="str">
        <f t="shared" si="16"/>
        <v/>
      </c>
      <c r="AU13" s="269" t="str">
        <f t="shared" si="17"/>
        <v/>
      </c>
    </row>
    <row r="14" spans="1:48" ht="15.75" customHeight="1">
      <c r="A14" s="175">
        <f t="shared" si="0"/>
        <v>2021</v>
      </c>
      <c r="B14" s="454" t="str">
        <f t="shared" si="1"/>
        <v>08</v>
      </c>
      <c r="C14" s="454" t="str">
        <f t="array" ref="C14">_xlfn.IFS(_xlfn.NUMBERVALUE(B14)&lt;=13,"Q1",AND(_xlfn.NUMBERVALUE(B14)&gt;13,_xlfn.NUMBERVALUE(B14)&lt;=26),"Q2", AND(_xlfn.NUMBERVALUE(B14)&gt;26,_xlfn.NUMBERVALUE(B14)&lt;=39),"Q3",_xlfn.NUMBERVALUE(B14)&gt;39,"Q4")</f>
        <v>Q1</v>
      </c>
      <c r="D14" s="448">
        <f t="shared" si="18"/>
        <v>43911</v>
      </c>
      <c r="E14" s="448">
        <f t="shared" si="2"/>
        <v>43917</v>
      </c>
      <c r="F14" s="97">
        <v>202008</v>
      </c>
      <c r="G14" s="86"/>
      <c r="H14" s="79"/>
      <c r="I14" s="449"/>
      <c r="J14" s="79"/>
      <c r="K14" s="97"/>
      <c r="L14" s="513"/>
      <c r="M14" s="513"/>
      <c r="N14" s="514"/>
      <c r="O14" s="513"/>
      <c r="P14" s="513"/>
      <c r="Q14" s="103"/>
      <c r="R14" s="429"/>
      <c r="S14" s="449"/>
      <c r="T14" s="79"/>
      <c r="U14" s="97"/>
      <c r="V14" s="86"/>
      <c r="W14" s="79"/>
      <c r="X14" s="454"/>
      <c r="Y14" s="79"/>
      <c r="Z14" s="97"/>
      <c r="AA14" s="429"/>
      <c r="AB14" s="429"/>
      <c r="AC14" s="449"/>
      <c r="AD14" s="429"/>
      <c r="AE14" s="429"/>
      <c r="AF14" s="126"/>
      <c r="AG14" s="265" t="str">
        <f t="shared" si="3"/>
        <v/>
      </c>
      <c r="AH14" s="515" t="str">
        <f t="shared" si="4"/>
        <v/>
      </c>
      <c r="AI14" s="515" t="str">
        <f t="shared" si="5"/>
        <v/>
      </c>
      <c r="AJ14" s="515" t="str">
        <f t="shared" si="6"/>
        <v/>
      </c>
      <c r="AK14" s="187" t="str">
        <f t="shared" si="7"/>
        <v/>
      </c>
      <c r="AL14" s="266" t="str">
        <f t="shared" si="8"/>
        <v/>
      </c>
      <c r="AM14" s="516" t="str">
        <f t="shared" si="9"/>
        <v/>
      </c>
      <c r="AN14" s="516" t="str">
        <f t="shared" si="10"/>
        <v/>
      </c>
      <c r="AO14" s="516" t="str">
        <f t="shared" si="11"/>
        <v/>
      </c>
      <c r="AP14" s="267" t="str">
        <f t="shared" si="12"/>
        <v/>
      </c>
      <c r="AQ14" s="268" t="str">
        <f t="shared" si="13"/>
        <v/>
      </c>
      <c r="AR14" s="450" t="str">
        <f t="shared" si="14"/>
        <v/>
      </c>
      <c r="AS14" s="450" t="str">
        <f t="shared" si="15"/>
        <v/>
      </c>
      <c r="AT14" s="450" t="str">
        <f t="shared" si="16"/>
        <v/>
      </c>
      <c r="AU14" s="269" t="str">
        <f t="shared" si="17"/>
        <v/>
      </c>
    </row>
    <row r="15" spans="1:48" ht="15.75" customHeight="1">
      <c r="A15" s="175">
        <f t="shared" si="0"/>
        <v>2021</v>
      </c>
      <c r="B15" s="454" t="str">
        <f t="shared" si="1"/>
        <v>09</v>
      </c>
      <c r="C15" s="454" t="str">
        <f t="array" ref="C15">_xlfn.IFS(_xlfn.NUMBERVALUE(B15)&lt;=13,"Q1",AND(_xlfn.NUMBERVALUE(B15)&gt;13,_xlfn.NUMBERVALUE(B15)&lt;=26),"Q2", AND(_xlfn.NUMBERVALUE(B15)&gt;26,_xlfn.NUMBERVALUE(B15)&lt;=39),"Q3",_xlfn.NUMBERVALUE(B15)&gt;39,"Q4")</f>
        <v>Q1</v>
      </c>
      <c r="D15" s="448">
        <f t="shared" si="18"/>
        <v>43918</v>
      </c>
      <c r="E15" s="448">
        <f t="shared" si="2"/>
        <v>43924</v>
      </c>
      <c r="F15" s="97">
        <v>202009</v>
      </c>
      <c r="G15" s="86"/>
      <c r="H15" s="79"/>
      <c r="I15" s="449"/>
      <c r="J15" s="79"/>
      <c r="K15" s="97"/>
      <c r="L15" s="513"/>
      <c r="M15" s="513"/>
      <c r="N15" s="514"/>
      <c r="O15" s="513"/>
      <c r="P15" s="513"/>
      <c r="Q15" s="103"/>
      <c r="R15" s="429"/>
      <c r="S15" s="449"/>
      <c r="T15" s="79"/>
      <c r="U15" s="97"/>
      <c r="V15" s="86"/>
      <c r="W15" s="79"/>
      <c r="X15" s="454"/>
      <c r="Y15" s="79"/>
      <c r="Z15" s="97"/>
      <c r="AA15" s="429"/>
      <c r="AB15" s="429"/>
      <c r="AC15" s="449"/>
      <c r="AD15" s="429"/>
      <c r="AE15" s="429"/>
      <c r="AF15" s="126"/>
      <c r="AG15" s="265" t="str">
        <f t="shared" si="3"/>
        <v/>
      </c>
      <c r="AH15" s="515" t="str">
        <f t="shared" si="4"/>
        <v/>
      </c>
      <c r="AI15" s="515" t="str">
        <f t="shared" si="5"/>
        <v/>
      </c>
      <c r="AJ15" s="515" t="str">
        <f t="shared" si="6"/>
        <v/>
      </c>
      <c r="AK15" s="187" t="str">
        <f t="shared" si="7"/>
        <v/>
      </c>
      <c r="AL15" s="266" t="str">
        <f t="shared" si="8"/>
        <v/>
      </c>
      <c r="AM15" s="516" t="str">
        <f t="shared" si="9"/>
        <v/>
      </c>
      <c r="AN15" s="516" t="str">
        <f t="shared" si="10"/>
        <v/>
      </c>
      <c r="AO15" s="516" t="str">
        <f t="shared" si="11"/>
        <v/>
      </c>
      <c r="AP15" s="267" t="str">
        <f t="shared" si="12"/>
        <v/>
      </c>
      <c r="AQ15" s="268" t="str">
        <f t="shared" si="13"/>
        <v/>
      </c>
      <c r="AR15" s="450" t="str">
        <f t="shared" si="14"/>
        <v/>
      </c>
      <c r="AS15" s="450" t="str">
        <f t="shared" si="15"/>
        <v/>
      </c>
      <c r="AT15" s="450" t="str">
        <f t="shared" si="16"/>
        <v/>
      </c>
      <c r="AU15" s="269" t="str">
        <f t="shared" si="17"/>
        <v/>
      </c>
    </row>
    <row r="16" spans="1:48" ht="15.75" customHeight="1">
      <c r="A16" s="175">
        <f t="shared" si="0"/>
        <v>2021</v>
      </c>
      <c r="B16" s="454" t="str">
        <f t="shared" si="1"/>
        <v>10</v>
      </c>
      <c r="C16" s="454" t="str">
        <f t="array" ref="C16">_xlfn.IFS(_xlfn.NUMBERVALUE(B16)&lt;=13,"Q1",AND(_xlfn.NUMBERVALUE(B16)&gt;13,_xlfn.NUMBERVALUE(B16)&lt;=26),"Q2", AND(_xlfn.NUMBERVALUE(B16)&gt;26,_xlfn.NUMBERVALUE(B16)&lt;=39),"Q3",_xlfn.NUMBERVALUE(B16)&gt;39,"Q4")</f>
        <v>Q1</v>
      </c>
      <c r="D16" s="448">
        <f t="shared" si="18"/>
        <v>43925</v>
      </c>
      <c r="E16" s="448">
        <f t="shared" si="2"/>
        <v>43931</v>
      </c>
      <c r="F16" s="97">
        <v>202010</v>
      </c>
      <c r="G16" s="86"/>
      <c r="H16" s="79"/>
      <c r="I16" s="449"/>
      <c r="J16" s="79"/>
      <c r="K16" s="97"/>
      <c r="L16" s="513"/>
      <c r="M16" s="513"/>
      <c r="N16" s="514"/>
      <c r="O16" s="513"/>
      <c r="P16" s="513"/>
      <c r="Q16" s="103"/>
      <c r="R16" s="429"/>
      <c r="S16" s="449"/>
      <c r="T16" s="79"/>
      <c r="U16" s="97"/>
      <c r="V16" s="86"/>
      <c r="W16" s="79"/>
      <c r="X16" s="454"/>
      <c r="Y16" s="79"/>
      <c r="Z16" s="97"/>
      <c r="AA16" s="429"/>
      <c r="AB16" s="429"/>
      <c r="AC16" s="449"/>
      <c r="AD16" s="429"/>
      <c r="AE16" s="429"/>
      <c r="AF16" s="126"/>
      <c r="AG16" s="265" t="str">
        <f t="shared" si="3"/>
        <v/>
      </c>
      <c r="AH16" s="515" t="str">
        <f t="shared" si="4"/>
        <v/>
      </c>
      <c r="AI16" s="515" t="str">
        <f t="shared" si="5"/>
        <v/>
      </c>
      <c r="AJ16" s="515" t="str">
        <f t="shared" si="6"/>
        <v/>
      </c>
      <c r="AK16" s="187" t="str">
        <f t="shared" si="7"/>
        <v/>
      </c>
      <c r="AL16" s="266" t="str">
        <f t="shared" si="8"/>
        <v/>
      </c>
      <c r="AM16" s="516" t="str">
        <f t="shared" si="9"/>
        <v/>
      </c>
      <c r="AN16" s="516" t="str">
        <f t="shared" si="10"/>
        <v/>
      </c>
      <c r="AO16" s="516" t="str">
        <f t="shared" si="11"/>
        <v/>
      </c>
      <c r="AP16" s="267" t="str">
        <f t="shared" si="12"/>
        <v/>
      </c>
      <c r="AQ16" s="268" t="str">
        <f t="shared" si="13"/>
        <v/>
      </c>
      <c r="AR16" s="450" t="str">
        <f t="shared" si="14"/>
        <v/>
      </c>
      <c r="AS16" s="450" t="str">
        <f t="shared" si="15"/>
        <v/>
      </c>
      <c r="AT16" s="450" t="str">
        <f t="shared" si="16"/>
        <v/>
      </c>
      <c r="AU16" s="269" t="str">
        <f t="shared" si="17"/>
        <v/>
      </c>
    </row>
    <row r="17" spans="1:47" ht="15.75" customHeight="1">
      <c r="A17" s="175">
        <f t="shared" si="0"/>
        <v>2021</v>
      </c>
      <c r="B17" s="454" t="str">
        <f t="shared" si="1"/>
        <v>11</v>
      </c>
      <c r="C17" s="454" t="str">
        <f t="array" ref="C17">_xlfn.IFS(_xlfn.NUMBERVALUE(B17)&lt;=13,"Q1",AND(_xlfn.NUMBERVALUE(B17)&gt;13,_xlfn.NUMBERVALUE(B17)&lt;=26),"Q2", AND(_xlfn.NUMBERVALUE(B17)&gt;26,_xlfn.NUMBERVALUE(B17)&lt;=39),"Q3",_xlfn.NUMBERVALUE(B17)&gt;39,"Q4")</f>
        <v>Q1</v>
      </c>
      <c r="D17" s="448">
        <f t="shared" si="18"/>
        <v>43932</v>
      </c>
      <c r="E17" s="448">
        <f t="shared" si="2"/>
        <v>43938</v>
      </c>
      <c r="F17" s="97">
        <v>202011</v>
      </c>
      <c r="G17" s="86"/>
      <c r="H17" s="79"/>
      <c r="I17" s="449"/>
      <c r="J17" s="79"/>
      <c r="K17" s="97"/>
      <c r="L17" s="513"/>
      <c r="M17" s="513"/>
      <c r="N17" s="514"/>
      <c r="O17" s="513"/>
      <c r="P17" s="513"/>
      <c r="Q17" s="103"/>
      <c r="R17" s="429"/>
      <c r="S17" s="449"/>
      <c r="T17" s="79"/>
      <c r="U17" s="97"/>
      <c r="V17" s="86"/>
      <c r="W17" s="79"/>
      <c r="X17" s="454"/>
      <c r="Y17" s="79"/>
      <c r="Z17" s="97"/>
      <c r="AA17" s="429"/>
      <c r="AB17" s="429"/>
      <c r="AC17" s="449"/>
      <c r="AD17" s="429"/>
      <c r="AE17" s="429"/>
      <c r="AF17" s="126"/>
      <c r="AG17" s="265" t="str">
        <f t="shared" si="3"/>
        <v/>
      </c>
      <c r="AH17" s="515" t="str">
        <f t="shared" si="4"/>
        <v/>
      </c>
      <c r="AI17" s="515" t="str">
        <f t="shared" si="5"/>
        <v/>
      </c>
      <c r="AJ17" s="515" t="str">
        <f t="shared" si="6"/>
        <v/>
      </c>
      <c r="AK17" s="187" t="str">
        <f t="shared" si="7"/>
        <v/>
      </c>
      <c r="AL17" s="266" t="str">
        <f t="shared" si="8"/>
        <v/>
      </c>
      <c r="AM17" s="516" t="str">
        <f t="shared" si="9"/>
        <v/>
      </c>
      <c r="AN17" s="516" t="str">
        <f t="shared" si="10"/>
        <v/>
      </c>
      <c r="AO17" s="516" t="str">
        <f t="shared" si="11"/>
        <v/>
      </c>
      <c r="AP17" s="267" t="str">
        <f t="shared" si="12"/>
        <v/>
      </c>
      <c r="AQ17" s="268" t="str">
        <f t="shared" si="13"/>
        <v/>
      </c>
      <c r="AR17" s="450" t="str">
        <f t="shared" si="14"/>
        <v/>
      </c>
      <c r="AS17" s="450" t="str">
        <f t="shared" si="15"/>
        <v/>
      </c>
      <c r="AT17" s="450" t="str">
        <f t="shared" si="16"/>
        <v/>
      </c>
      <c r="AU17" s="269" t="str">
        <f t="shared" si="17"/>
        <v/>
      </c>
    </row>
    <row r="18" spans="1:47" ht="15.75" customHeight="1">
      <c r="A18" s="175">
        <f t="shared" si="0"/>
        <v>2021</v>
      </c>
      <c r="B18" s="454" t="str">
        <f t="shared" si="1"/>
        <v>12</v>
      </c>
      <c r="C18" s="454" t="str">
        <f t="array" ref="C18">_xlfn.IFS(_xlfn.NUMBERVALUE(B18)&lt;=13,"Q1",AND(_xlfn.NUMBERVALUE(B18)&gt;13,_xlfn.NUMBERVALUE(B18)&lt;=26),"Q2", AND(_xlfn.NUMBERVALUE(B18)&gt;26,_xlfn.NUMBERVALUE(B18)&lt;=39),"Q3",_xlfn.NUMBERVALUE(B18)&gt;39,"Q4")</f>
        <v>Q1</v>
      </c>
      <c r="D18" s="448">
        <f t="shared" si="18"/>
        <v>43939</v>
      </c>
      <c r="E18" s="448">
        <f t="shared" si="2"/>
        <v>43945</v>
      </c>
      <c r="F18" s="97">
        <v>202012</v>
      </c>
      <c r="G18" s="86"/>
      <c r="H18" s="79"/>
      <c r="I18" s="449"/>
      <c r="J18" s="79"/>
      <c r="K18" s="97"/>
      <c r="L18" s="513"/>
      <c r="M18" s="513"/>
      <c r="N18" s="514"/>
      <c r="O18" s="513"/>
      <c r="P18" s="513"/>
      <c r="Q18" s="103"/>
      <c r="R18" s="429"/>
      <c r="S18" s="449"/>
      <c r="T18" s="79"/>
      <c r="U18" s="97"/>
      <c r="V18" s="86"/>
      <c r="W18" s="79"/>
      <c r="X18" s="454"/>
      <c r="Y18" s="79"/>
      <c r="Z18" s="97"/>
      <c r="AA18" s="429"/>
      <c r="AB18" s="429"/>
      <c r="AC18" s="449"/>
      <c r="AD18" s="429"/>
      <c r="AE18" s="429"/>
      <c r="AF18" s="126"/>
      <c r="AG18" s="265" t="str">
        <f t="shared" si="3"/>
        <v/>
      </c>
      <c r="AH18" s="515" t="str">
        <f t="shared" si="4"/>
        <v/>
      </c>
      <c r="AI18" s="515" t="str">
        <f t="shared" si="5"/>
        <v/>
      </c>
      <c r="AJ18" s="515" t="str">
        <f t="shared" si="6"/>
        <v/>
      </c>
      <c r="AK18" s="187" t="str">
        <f t="shared" si="7"/>
        <v/>
      </c>
      <c r="AL18" s="266" t="str">
        <f t="shared" si="8"/>
        <v/>
      </c>
      <c r="AM18" s="516" t="str">
        <f t="shared" si="9"/>
        <v/>
      </c>
      <c r="AN18" s="516" t="str">
        <f t="shared" si="10"/>
        <v/>
      </c>
      <c r="AO18" s="516" t="str">
        <f t="shared" si="11"/>
        <v/>
      </c>
      <c r="AP18" s="267" t="str">
        <f t="shared" si="12"/>
        <v/>
      </c>
      <c r="AQ18" s="268" t="str">
        <f t="shared" si="13"/>
        <v/>
      </c>
      <c r="AR18" s="450" t="str">
        <f t="shared" si="14"/>
        <v/>
      </c>
      <c r="AS18" s="450" t="str">
        <f t="shared" si="15"/>
        <v/>
      </c>
      <c r="AT18" s="450" t="str">
        <f t="shared" si="16"/>
        <v/>
      </c>
      <c r="AU18" s="269" t="str">
        <f t="shared" si="17"/>
        <v/>
      </c>
    </row>
    <row r="19" spans="1:47" ht="15.75" customHeight="1">
      <c r="A19" s="175">
        <f t="shared" si="0"/>
        <v>2021</v>
      </c>
      <c r="B19" s="454" t="str">
        <f t="shared" si="1"/>
        <v>13</v>
      </c>
      <c r="C19" s="454" t="str">
        <f t="array" ref="C19">_xlfn.IFS(_xlfn.NUMBERVALUE(B19)&lt;=13,"Q1",AND(_xlfn.NUMBERVALUE(B19)&gt;13,_xlfn.NUMBERVALUE(B19)&lt;=26),"Q2", AND(_xlfn.NUMBERVALUE(B19)&gt;26,_xlfn.NUMBERVALUE(B19)&lt;=39),"Q3",_xlfn.NUMBERVALUE(B19)&gt;39,"Q4")</f>
        <v>Q1</v>
      </c>
      <c r="D19" s="448">
        <f t="shared" si="18"/>
        <v>43946</v>
      </c>
      <c r="E19" s="448">
        <f t="shared" si="2"/>
        <v>43952</v>
      </c>
      <c r="F19" s="97">
        <v>202013</v>
      </c>
      <c r="G19" s="86"/>
      <c r="H19" s="79"/>
      <c r="I19" s="449"/>
      <c r="J19" s="79"/>
      <c r="K19" s="97"/>
      <c r="L19" s="513"/>
      <c r="M19" s="513"/>
      <c r="N19" s="514"/>
      <c r="O19" s="513"/>
      <c r="P19" s="513"/>
      <c r="Q19" s="103"/>
      <c r="R19" s="429"/>
      <c r="S19" s="449"/>
      <c r="T19" s="79"/>
      <c r="U19" s="97"/>
      <c r="V19" s="86"/>
      <c r="W19" s="79"/>
      <c r="X19" s="454"/>
      <c r="Y19" s="79"/>
      <c r="Z19" s="97"/>
      <c r="AA19" s="429"/>
      <c r="AB19" s="429"/>
      <c r="AC19" s="449"/>
      <c r="AD19" s="429"/>
      <c r="AE19" s="429"/>
      <c r="AF19" s="126"/>
      <c r="AG19" s="265" t="str">
        <f t="shared" si="3"/>
        <v/>
      </c>
      <c r="AH19" s="515" t="str">
        <f t="shared" si="4"/>
        <v/>
      </c>
      <c r="AI19" s="515" t="str">
        <f t="shared" si="5"/>
        <v/>
      </c>
      <c r="AJ19" s="515" t="str">
        <f t="shared" si="6"/>
        <v/>
      </c>
      <c r="AK19" s="187" t="str">
        <f t="shared" si="7"/>
        <v/>
      </c>
      <c r="AL19" s="266" t="str">
        <f t="shared" si="8"/>
        <v/>
      </c>
      <c r="AM19" s="516" t="str">
        <f t="shared" si="9"/>
        <v/>
      </c>
      <c r="AN19" s="516" t="str">
        <f t="shared" si="10"/>
        <v/>
      </c>
      <c r="AO19" s="516" t="str">
        <f t="shared" si="11"/>
        <v/>
      </c>
      <c r="AP19" s="267" t="str">
        <f t="shared" si="12"/>
        <v/>
      </c>
      <c r="AQ19" s="268" t="str">
        <f t="shared" si="13"/>
        <v/>
      </c>
      <c r="AR19" s="450" t="str">
        <f t="shared" si="14"/>
        <v/>
      </c>
      <c r="AS19" s="450" t="str">
        <f t="shared" si="15"/>
        <v/>
      </c>
      <c r="AT19" s="450" t="str">
        <f t="shared" si="16"/>
        <v/>
      </c>
      <c r="AU19" s="269" t="str">
        <f t="shared" si="17"/>
        <v/>
      </c>
    </row>
    <row r="20" spans="1:47" ht="15.75" customHeight="1">
      <c r="A20" s="175">
        <f t="shared" si="0"/>
        <v>2021</v>
      </c>
      <c r="B20" s="454" t="str">
        <f t="shared" si="1"/>
        <v>14</v>
      </c>
      <c r="C20" s="454" t="str">
        <f t="array" ref="C20">_xlfn.IFS(_xlfn.NUMBERVALUE(B20)&lt;=13,"Q1",AND(_xlfn.NUMBERVALUE(B20)&gt;13,_xlfn.NUMBERVALUE(B20)&lt;=26),"Q2", AND(_xlfn.NUMBERVALUE(B20)&gt;26,_xlfn.NUMBERVALUE(B20)&lt;=39),"Q3",_xlfn.NUMBERVALUE(B20)&gt;39,"Q4")</f>
        <v>Q2</v>
      </c>
      <c r="D20" s="448">
        <f t="shared" si="18"/>
        <v>43953</v>
      </c>
      <c r="E20" s="448">
        <f t="shared" si="2"/>
        <v>43959</v>
      </c>
      <c r="F20" s="97">
        <v>202014</v>
      </c>
      <c r="G20" s="86"/>
      <c r="H20" s="79"/>
      <c r="I20" s="449"/>
      <c r="J20" s="79"/>
      <c r="K20" s="97"/>
      <c r="L20" s="513"/>
      <c r="M20" s="513"/>
      <c r="N20" s="514"/>
      <c r="O20" s="513"/>
      <c r="P20" s="513"/>
      <c r="Q20" s="103"/>
      <c r="R20" s="429"/>
      <c r="S20" s="449"/>
      <c r="T20" s="79"/>
      <c r="U20" s="97"/>
      <c r="V20" s="86"/>
      <c r="W20" s="79"/>
      <c r="X20" s="454"/>
      <c r="Y20" s="79"/>
      <c r="Z20" s="97"/>
      <c r="AA20" s="429"/>
      <c r="AB20" s="429"/>
      <c r="AC20" s="449"/>
      <c r="AD20" s="429"/>
      <c r="AE20" s="429"/>
      <c r="AF20" s="126"/>
      <c r="AG20" s="265" t="str">
        <f t="shared" si="3"/>
        <v/>
      </c>
      <c r="AH20" s="515" t="str">
        <f t="shared" si="4"/>
        <v/>
      </c>
      <c r="AI20" s="515" t="str">
        <f t="shared" si="5"/>
        <v/>
      </c>
      <c r="AJ20" s="515" t="str">
        <f t="shared" si="6"/>
        <v/>
      </c>
      <c r="AK20" s="187" t="str">
        <f t="shared" si="7"/>
        <v/>
      </c>
      <c r="AL20" s="266" t="str">
        <f t="shared" si="8"/>
        <v/>
      </c>
      <c r="AM20" s="516" t="str">
        <f t="shared" si="9"/>
        <v/>
      </c>
      <c r="AN20" s="516" t="str">
        <f t="shared" si="10"/>
        <v/>
      </c>
      <c r="AO20" s="516" t="str">
        <f t="shared" si="11"/>
        <v/>
      </c>
      <c r="AP20" s="267" t="str">
        <f t="shared" si="12"/>
        <v/>
      </c>
      <c r="AQ20" s="268" t="str">
        <f t="shared" si="13"/>
        <v/>
      </c>
      <c r="AR20" s="450" t="str">
        <f t="shared" si="14"/>
        <v/>
      </c>
      <c r="AS20" s="450" t="str">
        <f t="shared" si="15"/>
        <v/>
      </c>
      <c r="AT20" s="450" t="str">
        <f t="shared" si="16"/>
        <v/>
      </c>
      <c r="AU20" s="269" t="str">
        <f t="shared" si="17"/>
        <v/>
      </c>
    </row>
    <row r="21" spans="1:47" ht="15.75" customHeight="1">
      <c r="A21" s="175">
        <f t="shared" si="0"/>
        <v>2021</v>
      </c>
      <c r="B21" s="454" t="str">
        <f t="shared" si="1"/>
        <v>15</v>
      </c>
      <c r="C21" s="454" t="str">
        <f t="array" ref="C21">_xlfn.IFS(_xlfn.NUMBERVALUE(B21)&lt;=13,"Q1",AND(_xlfn.NUMBERVALUE(B21)&gt;13,_xlfn.NUMBERVALUE(B21)&lt;=26),"Q2", AND(_xlfn.NUMBERVALUE(B21)&gt;26,_xlfn.NUMBERVALUE(B21)&lt;=39),"Q3",_xlfn.NUMBERVALUE(B21)&gt;39,"Q4")</f>
        <v>Q2</v>
      </c>
      <c r="D21" s="448">
        <f t="shared" si="18"/>
        <v>43960</v>
      </c>
      <c r="E21" s="448">
        <f t="shared" si="2"/>
        <v>43966</v>
      </c>
      <c r="F21" s="97">
        <v>202015</v>
      </c>
      <c r="G21" s="86"/>
      <c r="H21" s="79"/>
      <c r="I21" s="449"/>
      <c r="J21" s="79"/>
      <c r="K21" s="97"/>
      <c r="L21" s="513"/>
      <c r="M21" s="513"/>
      <c r="N21" s="514"/>
      <c r="O21" s="513"/>
      <c r="P21" s="513"/>
      <c r="Q21" s="103"/>
      <c r="R21" s="429"/>
      <c r="S21" s="449"/>
      <c r="T21" s="79"/>
      <c r="U21" s="97"/>
      <c r="V21" s="86"/>
      <c r="W21" s="79"/>
      <c r="X21" s="454"/>
      <c r="Y21" s="79"/>
      <c r="Z21" s="97"/>
      <c r="AA21" s="429"/>
      <c r="AB21" s="429"/>
      <c r="AC21" s="449"/>
      <c r="AD21" s="429"/>
      <c r="AE21" s="429"/>
      <c r="AF21" s="126"/>
      <c r="AG21" s="265" t="str">
        <f t="shared" si="3"/>
        <v/>
      </c>
      <c r="AH21" s="515" t="str">
        <f t="shared" si="4"/>
        <v/>
      </c>
      <c r="AI21" s="515" t="str">
        <f t="shared" si="5"/>
        <v/>
      </c>
      <c r="AJ21" s="515" t="str">
        <f t="shared" si="6"/>
        <v/>
      </c>
      <c r="AK21" s="187" t="str">
        <f t="shared" si="7"/>
        <v/>
      </c>
      <c r="AL21" s="266" t="str">
        <f t="shared" si="8"/>
        <v/>
      </c>
      <c r="AM21" s="516" t="str">
        <f t="shared" si="9"/>
        <v/>
      </c>
      <c r="AN21" s="516" t="str">
        <f t="shared" si="10"/>
        <v/>
      </c>
      <c r="AO21" s="516" t="str">
        <f t="shared" si="11"/>
        <v/>
      </c>
      <c r="AP21" s="267" t="str">
        <f t="shared" si="12"/>
        <v/>
      </c>
      <c r="AQ21" s="268" t="str">
        <f t="shared" si="13"/>
        <v/>
      </c>
      <c r="AR21" s="450" t="str">
        <f t="shared" si="14"/>
        <v/>
      </c>
      <c r="AS21" s="450" t="str">
        <f t="shared" si="15"/>
        <v/>
      </c>
      <c r="AT21" s="450" t="str">
        <f t="shared" si="16"/>
        <v/>
      </c>
      <c r="AU21" s="269" t="str">
        <f t="shared" si="17"/>
        <v/>
      </c>
    </row>
    <row r="22" spans="1:47" ht="15.75" customHeight="1">
      <c r="A22" s="175">
        <f t="shared" si="0"/>
        <v>2021</v>
      </c>
      <c r="B22" s="454" t="str">
        <f t="shared" si="1"/>
        <v>16</v>
      </c>
      <c r="C22" s="454" t="str">
        <f t="array" ref="C22">_xlfn.IFS(_xlfn.NUMBERVALUE(B22)&lt;=13,"Q1",AND(_xlfn.NUMBERVALUE(B22)&gt;13,_xlfn.NUMBERVALUE(B22)&lt;=26),"Q2", AND(_xlfn.NUMBERVALUE(B22)&gt;26,_xlfn.NUMBERVALUE(B22)&lt;=39),"Q3",_xlfn.NUMBERVALUE(B22)&gt;39,"Q4")</f>
        <v>Q2</v>
      </c>
      <c r="D22" s="448">
        <f t="shared" si="18"/>
        <v>43967</v>
      </c>
      <c r="E22" s="448">
        <f t="shared" si="2"/>
        <v>43973</v>
      </c>
      <c r="F22" s="97">
        <v>202016</v>
      </c>
      <c r="G22" s="86"/>
      <c r="H22" s="79"/>
      <c r="I22" s="449"/>
      <c r="J22" s="79"/>
      <c r="K22" s="97"/>
      <c r="L22" s="513"/>
      <c r="M22" s="513"/>
      <c r="N22" s="514"/>
      <c r="O22" s="513"/>
      <c r="P22" s="513"/>
      <c r="Q22" s="103"/>
      <c r="R22" s="429"/>
      <c r="S22" s="449"/>
      <c r="T22" s="79"/>
      <c r="U22" s="97"/>
      <c r="V22" s="86"/>
      <c r="W22" s="79"/>
      <c r="X22" s="454"/>
      <c r="Y22" s="79"/>
      <c r="Z22" s="97"/>
      <c r="AA22" s="429"/>
      <c r="AB22" s="429"/>
      <c r="AC22" s="449"/>
      <c r="AD22" s="429"/>
      <c r="AE22" s="429"/>
      <c r="AF22" s="126"/>
      <c r="AG22" s="265" t="str">
        <f t="shared" si="3"/>
        <v/>
      </c>
      <c r="AH22" s="515" t="str">
        <f t="shared" si="4"/>
        <v/>
      </c>
      <c r="AI22" s="515" t="str">
        <f t="shared" si="5"/>
        <v/>
      </c>
      <c r="AJ22" s="515" t="str">
        <f t="shared" si="6"/>
        <v/>
      </c>
      <c r="AK22" s="187" t="str">
        <f t="shared" si="7"/>
        <v/>
      </c>
      <c r="AL22" s="266" t="str">
        <f t="shared" si="8"/>
        <v/>
      </c>
      <c r="AM22" s="516" t="str">
        <f t="shared" si="9"/>
        <v/>
      </c>
      <c r="AN22" s="516" t="str">
        <f t="shared" si="10"/>
        <v/>
      </c>
      <c r="AO22" s="516" t="str">
        <f t="shared" si="11"/>
        <v/>
      </c>
      <c r="AP22" s="267" t="str">
        <f t="shared" si="12"/>
        <v/>
      </c>
      <c r="AQ22" s="268" t="str">
        <f t="shared" si="13"/>
        <v/>
      </c>
      <c r="AR22" s="450" t="str">
        <f t="shared" si="14"/>
        <v/>
      </c>
      <c r="AS22" s="450" t="str">
        <f t="shared" si="15"/>
        <v/>
      </c>
      <c r="AT22" s="450" t="str">
        <f t="shared" si="16"/>
        <v/>
      </c>
      <c r="AU22" s="269" t="str">
        <f t="shared" si="17"/>
        <v/>
      </c>
    </row>
    <row r="23" spans="1:47" ht="15.75" customHeight="1">
      <c r="A23" s="175">
        <f t="shared" si="0"/>
        <v>2021</v>
      </c>
      <c r="B23" s="454" t="str">
        <f t="shared" si="1"/>
        <v>17</v>
      </c>
      <c r="C23" s="454" t="str">
        <f t="array" ref="C23">_xlfn.IFS(_xlfn.NUMBERVALUE(B23)&lt;=13,"Q1",AND(_xlfn.NUMBERVALUE(B23)&gt;13,_xlfn.NUMBERVALUE(B23)&lt;=26),"Q2", AND(_xlfn.NUMBERVALUE(B23)&gt;26,_xlfn.NUMBERVALUE(B23)&lt;=39),"Q3",_xlfn.NUMBERVALUE(B23)&gt;39,"Q4")</f>
        <v>Q2</v>
      </c>
      <c r="D23" s="448">
        <f t="shared" si="18"/>
        <v>43974</v>
      </c>
      <c r="E23" s="448">
        <f t="shared" si="2"/>
        <v>43980</v>
      </c>
      <c r="F23" s="97">
        <v>202017</v>
      </c>
      <c r="G23" s="86"/>
      <c r="H23" s="79"/>
      <c r="I23" s="449"/>
      <c r="J23" s="79"/>
      <c r="K23" s="97"/>
      <c r="L23" s="513"/>
      <c r="M23" s="513"/>
      <c r="N23" s="514"/>
      <c r="O23" s="513"/>
      <c r="P23" s="513"/>
      <c r="Q23" s="103"/>
      <c r="R23" s="429"/>
      <c r="S23" s="449"/>
      <c r="T23" s="79"/>
      <c r="U23" s="97"/>
      <c r="V23" s="86"/>
      <c r="W23" s="79"/>
      <c r="X23" s="454"/>
      <c r="Y23" s="79"/>
      <c r="Z23" s="97"/>
      <c r="AA23" s="429"/>
      <c r="AB23" s="429"/>
      <c r="AC23" s="449"/>
      <c r="AD23" s="429"/>
      <c r="AE23" s="429"/>
      <c r="AF23" s="126"/>
      <c r="AG23" s="265" t="str">
        <f t="shared" si="3"/>
        <v/>
      </c>
      <c r="AH23" s="515" t="str">
        <f t="shared" si="4"/>
        <v/>
      </c>
      <c r="AI23" s="515" t="str">
        <f t="shared" si="5"/>
        <v/>
      </c>
      <c r="AJ23" s="515" t="str">
        <f t="shared" si="6"/>
        <v/>
      </c>
      <c r="AK23" s="187" t="str">
        <f t="shared" si="7"/>
        <v/>
      </c>
      <c r="AL23" s="266" t="str">
        <f t="shared" si="8"/>
        <v/>
      </c>
      <c r="AM23" s="516" t="str">
        <f t="shared" si="9"/>
        <v/>
      </c>
      <c r="AN23" s="516" t="str">
        <f t="shared" si="10"/>
        <v/>
      </c>
      <c r="AO23" s="516" t="str">
        <f t="shared" si="11"/>
        <v/>
      </c>
      <c r="AP23" s="267" t="str">
        <f t="shared" si="12"/>
        <v/>
      </c>
      <c r="AQ23" s="268" t="str">
        <f t="shared" si="13"/>
        <v/>
      </c>
      <c r="AR23" s="450" t="str">
        <f t="shared" si="14"/>
        <v/>
      </c>
      <c r="AS23" s="450" t="str">
        <f t="shared" si="15"/>
        <v/>
      </c>
      <c r="AT23" s="450" t="str">
        <f t="shared" si="16"/>
        <v/>
      </c>
      <c r="AU23" s="269" t="str">
        <f t="shared" si="17"/>
        <v/>
      </c>
    </row>
    <row r="24" spans="1:47" ht="15.75" customHeight="1">
      <c r="A24" s="175">
        <f t="shared" si="0"/>
        <v>2021</v>
      </c>
      <c r="B24" s="454" t="str">
        <f t="shared" si="1"/>
        <v>18</v>
      </c>
      <c r="C24" s="454" t="str">
        <f t="array" ref="C24">_xlfn.IFS(_xlfn.NUMBERVALUE(B24)&lt;=13,"Q1",AND(_xlfn.NUMBERVALUE(B24)&gt;13,_xlfn.NUMBERVALUE(B24)&lt;=26),"Q2", AND(_xlfn.NUMBERVALUE(B24)&gt;26,_xlfn.NUMBERVALUE(B24)&lt;=39),"Q3",_xlfn.NUMBERVALUE(B24)&gt;39,"Q4")</f>
        <v>Q2</v>
      </c>
      <c r="D24" s="448">
        <f t="shared" si="18"/>
        <v>43981</v>
      </c>
      <c r="E24" s="448">
        <f t="shared" si="2"/>
        <v>43987</v>
      </c>
      <c r="F24" s="97">
        <v>202018</v>
      </c>
      <c r="G24" s="86"/>
      <c r="H24" s="79"/>
      <c r="I24" s="449"/>
      <c r="J24" s="79"/>
      <c r="K24" s="97"/>
      <c r="L24" s="513"/>
      <c r="M24" s="513"/>
      <c r="N24" s="514"/>
      <c r="O24" s="513"/>
      <c r="P24" s="513"/>
      <c r="Q24" s="103"/>
      <c r="R24" s="429"/>
      <c r="S24" s="449"/>
      <c r="T24" s="79"/>
      <c r="U24" s="97"/>
      <c r="V24" s="86"/>
      <c r="W24" s="79"/>
      <c r="X24" s="454"/>
      <c r="Y24" s="79"/>
      <c r="Z24" s="97"/>
      <c r="AA24" s="429"/>
      <c r="AB24" s="429"/>
      <c r="AC24" s="449"/>
      <c r="AD24" s="429"/>
      <c r="AE24" s="429"/>
      <c r="AF24" s="126"/>
      <c r="AG24" s="265" t="str">
        <f t="shared" si="3"/>
        <v/>
      </c>
      <c r="AH24" s="515" t="str">
        <f t="shared" si="4"/>
        <v/>
      </c>
      <c r="AI24" s="515" t="str">
        <f t="shared" si="5"/>
        <v/>
      </c>
      <c r="AJ24" s="515" t="str">
        <f t="shared" si="6"/>
        <v/>
      </c>
      <c r="AK24" s="187" t="str">
        <f t="shared" si="7"/>
        <v/>
      </c>
      <c r="AL24" s="266" t="str">
        <f t="shared" si="8"/>
        <v/>
      </c>
      <c r="AM24" s="516" t="str">
        <f t="shared" si="9"/>
        <v/>
      </c>
      <c r="AN24" s="516" t="str">
        <f t="shared" si="10"/>
        <v/>
      </c>
      <c r="AO24" s="516" t="str">
        <f t="shared" si="11"/>
        <v/>
      </c>
      <c r="AP24" s="267" t="str">
        <f t="shared" si="12"/>
        <v/>
      </c>
      <c r="AQ24" s="268" t="str">
        <f t="shared" si="13"/>
        <v/>
      </c>
      <c r="AR24" s="450" t="str">
        <f t="shared" si="14"/>
        <v/>
      </c>
      <c r="AS24" s="450" t="str">
        <f t="shared" si="15"/>
        <v/>
      </c>
      <c r="AT24" s="450" t="str">
        <f t="shared" si="16"/>
        <v/>
      </c>
      <c r="AU24" s="269" t="str">
        <f t="shared" si="17"/>
        <v/>
      </c>
    </row>
    <row r="25" spans="1:47" ht="15.75" customHeight="1">
      <c r="A25" s="175">
        <f t="shared" si="0"/>
        <v>2021</v>
      </c>
      <c r="B25" s="454" t="str">
        <f t="shared" si="1"/>
        <v>19</v>
      </c>
      <c r="C25" s="454" t="str">
        <f t="array" ref="C25">_xlfn.IFS(_xlfn.NUMBERVALUE(B25)&lt;=13,"Q1",AND(_xlfn.NUMBERVALUE(B25)&gt;13,_xlfn.NUMBERVALUE(B25)&lt;=26),"Q2", AND(_xlfn.NUMBERVALUE(B25)&gt;26,_xlfn.NUMBERVALUE(B25)&lt;=39),"Q3",_xlfn.NUMBERVALUE(B25)&gt;39,"Q4")</f>
        <v>Q2</v>
      </c>
      <c r="D25" s="448">
        <f t="shared" si="18"/>
        <v>43988</v>
      </c>
      <c r="E25" s="448">
        <f t="shared" si="2"/>
        <v>43994</v>
      </c>
      <c r="F25" s="97">
        <v>202019</v>
      </c>
      <c r="G25" s="86"/>
      <c r="H25" s="79"/>
      <c r="I25" s="449"/>
      <c r="J25" s="79"/>
      <c r="K25" s="97"/>
      <c r="L25" s="513"/>
      <c r="M25" s="513"/>
      <c r="N25" s="514"/>
      <c r="O25" s="513"/>
      <c r="P25" s="513"/>
      <c r="Q25" s="103"/>
      <c r="R25" s="429"/>
      <c r="S25" s="449"/>
      <c r="T25" s="79"/>
      <c r="U25" s="97"/>
      <c r="V25" s="86"/>
      <c r="W25" s="79"/>
      <c r="X25" s="454"/>
      <c r="Y25" s="79"/>
      <c r="Z25" s="97"/>
      <c r="AA25" s="429"/>
      <c r="AB25" s="429"/>
      <c r="AC25" s="449"/>
      <c r="AD25" s="429"/>
      <c r="AE25" s="429"/>
      <c r="AF25" s="126"/>
      <c r="AG25" s="265" t="str">
        <f t="shared" si="3"/>
        <v/>
      </c>
      <c r="AH25" s="515" t="str">
        <f t="shared" si="4"/>
        <v/>
      </c>
      <c r="AI25" s="515" t="str">
        <f t="shared" si="5"/>
        <v/>
      </c>
      <c r="AJ25" s="515" t="str">
        <f t="shared" si="6"/>
        <v/>
      </c>
      <c r="AK25" s="187" t="str">
        <f t="shared" si="7"/>
        <v/>
      </c>
      <c r="AL25" s="266" t="str">
        <f t="shared" si="8"/>
        <v/>
      </c>
      <c r="AM25" s="516" t="str">
        <f t="shared" si="9"/>
        <v/>
      </c>
      <c r="AN25" s="516" t="str">
        <f t="shared" si="10"/>
        <v/>
      </c>
      <c r="AO25" s="516" t="str">
        <f t="shared" si="11"/>
        <v/>
      </c>
      <c r="AP25" s="267" t="str">
        <f t="shared" si="12"/>
        <v/>
      </c>
      <c r="AQ25" s="268" t="str">
        <f t="shared" si="13"/>
        <v/>
      </c>
      <c r="AR25" s="450" t="str">
        <f t="shared" si="14"/>
        <v/>
      </c>
      <c r="AS25" s="450" t="str">
        <f t="shared" si="15"/>
        <v/>
      </c>
      <c r="AT25" s="450" t="str">
        <f t="shared" si="16"/>
        <v/>
      </c>
      <c r="AU25" s="269" t="str">
        <f t="shared" si="17"/>
        <v/>
      </c>
    </row>
    <row r="26" spans="1:47" ht="15.75" customHeight="1">
      <c r="A26" s="175">
        <f t="shared" si="0"/>
        <v>2021</v>
      </c>
      <c r="B26" s="454" t="str">
        <f t="shared" si="1"/>
        <v>20</v>
      </c>
      <c r="C26" s="454" t="str">
        <f t="array" ref="C26">_xlfn.IFS(_xlfn.NUMBERVALUE(B26)&lt;=13,"Q1",AND(_xlfn.NUMBERVALUE(B26)&gt;13,_xlfn.NUMBERVALUE(B26)&lt;=26),"Q2", AND(_xlfn.NUMBERVALUE(B26)&gt;26,_xlfn.NUMBERVALUE(B26)&lt;=39),"Q3",_xlfn.NUMBERVALUE(B26)&gt;39,"Q4")</f>
        <v>Q2</v>
      </c>
      <c r="D26" s="448">
        <f t="shared" si="18"/>
        <v>43995</v>
      </c>
      <c r="E26" s="448">
        <f t="shared" si="2"/>
        <v>44001</v>
      </c>
      <c r="F26" s="97">
        <v>202020</v>
      </c>
      <c r="G26" s="86"/>
      <c r="H26" s="79"/>
      <c r="I26" s="449"/>
      <c r="J26" s="79"/>
      <c r="K26" s="97"/>
      <c r="L26" s="513"/>
      <c r="M26" s="513"/>
      <c r="N26" s="514"/>
      <c r="O26" s="513"/>
      <c r="P26" s="513"/>
      <c r="Q26" s="103"/>
      <c r="R26" s="429"/>
      <c r="S26" s="449"/>
      <c r="T26" s="79"/>
      <c r="U26" s="97"/>
      <c r="V26" s="86"/>
      <c r="W26" s="79"/>
      <c r="X26" s="454"/>
      <c r="Y26" s="79"/>
      <c r="Z26" s="97"/>
      <c r="AA26" s="429"/>
      <c r="AB26" s="429"/>
      <c r="AC26" s="449"/>
      <c r="AD26" s="429"/>
      <c r="AE26" s="429"/>
      <c r="AF26" s="126"/>
      <c r="AG26" s="265" t="str">
        <f t="shared" si="3"/>
        <v/>
      </c>
      <c r="AH26" s="515" t="str">
        <f t="shared" si="4"/>
        <v/>
      </c>
      <c r="AI26" s="515" t="str">
        <f t="shared" si="5"/>
        <v/>
      </c>
      <c r="AJ26" s="515" t="str">
        <f t="shared" si="6"/>
        <v/>
      </c>
      <c r="AK26" s="187" t="str">
        <f t="shared" si="7"/>
        <v/>
      </c>
      <c r="AL26" s="266" t="str">
        <f t="shared" si="8"/>
        <v/>
      </c>
      <c r="AM26" s="516" t="str">
        <f t="shared" si="9"/>
        <v/>
      </c>
      <c r="AN26" s="516" t="str">
        <f t="shared" si="10"/>
        <v/>
      </c>
      <c r="AO26" s="516" t="str">
        <f t="shared" si="11"/>
        <v/>
      </c>
      <c r="AP26" s="267" t="str">
        <f t="shared" si="12"/>
        <v/>
      </c>
      <c r="AQ26" s="268" t="str">
        <f t="shared" si="13"/>
        <v/>
      </c>
      <c r="AR26" s="450" t="str">
        <f t="shared" si="14"/>
        <v/>
      </c>
      <c r="AS26" s="450" t="str">
        <f t="shared" si="15"/>
        <v/>
      </c>
      <c r="AT26" s="450" t="str">
        <f t="shared" si="16"/>
        <v/>
      </c>
      <c r="AU26" s="269" t="str">
        <f t="shared" si="17"/>
        <v/>
      </c>
    </row>
    <row r="27" spans="1:47" ht="15.75" customHeight="1">
      <c r="A27" s="175">
        <f t="shared" si="0"/>
        <v>2021</v>
      </c>
      <c r="B27" s="454" t="str">
        <f t="shared" si="1"/>
        <v>21</v>
      </c>
      <c r="C27" s="454" t="str">
        <f t="array" ref="C27">_xlfn.IFS(_xlfn.NUMBERVALUE(B27)&lt;=13,"Q1",AND(_xlfn.NUMBERVALUE(B27)&gt;13,_xlfn.NUMBERVALUE(B27)&lt;=26),"Q2", AND(_xlfn.NUMBERVALUE(B27)&gt;26,_xlfn.NUMBERVALUE(B27)&lt;=39),"Q3",_xlfn.NUMBERVALUE(B27)&gt;39,"Q4")</f>
        <v>Q2</v>
      </c>
      <c r="D27" s="448">
        <f t="shared" si="18"/>
        <v>44002</v>
      </c>
      <c r="E27" s="448">
        <f t="shared" si="2"/>
        <v>44008</v>
      </c>
      <c r="F27" s="97">
        <v>202021</v>
      </c>
      <c r="G27" s="86"/>
      <c r="H27" s="79"/>
      <c r="I27" s="449"/>
      <c r="J27" s="79"/>
      <c r="K27" s="97"/>
      <c r="L27" s="513"/>
      <c r="M27" s="513"/>
      <c r="N27" s="514"/>
      <c r="O27" s="513"/>
      <c r="P27" s="513"/>
      <c r="Q27" s="103"/>
      <c r="R27" s="429"/>
      <c r="S27" s="449"/>
      <c r="T27" s="79"/>
      <c r="U27" s="97"/>
      <c r="V27" s="86"/>
      <c r="W27" s="79"/>
      <c r="X27" s="454"/>
      <c r="Y27" s="79"/>
      <c r="Z27" s="97"/>
      <c r="AA27" s="429"/>
      <c r="AB27" s="429"/>
      <c r="AC27" s="449"/>
      <c r="AD27" s="429"/>
      <c r="AE27" s="429"/>
      <c r="AF27" s="126"/>
      <c r="AG27" s="265" t="str">
        <f t="shared" si="3"/>
        <v/>
      </c>
      <c r="AH27" s="515" t="str">
        <f t="shared" si="4"/>
        <v/>
      </c>
      <c r="AI27" s="515" t="str">
        <f t="shared" si="5"/>
        <v/>
      </c>
      <c r="AJ27" s="515" t="str">
        <f t="shared" si="6"/>
        <v/>
      </c>
      <c r="AK27" s="187" t="str">
        <f t="shared" si="7"/>
        <v/>
      </c>
      <c r="AL27" s="266" t="str">
        <f t="shared" si="8"/>
        <v/>
      </c>
      <c r="AM27" s="516" t="str">
        <f t="shared" si="9"/>
        <v/>
      </c>
      <c r="AN27" s="516" t="str">
        <f t="shared" si="10"/>
        <v/>
      </c>
      <c r="AO27" s="516" t="str">
        <f t="shared" si="11"/>
        <v/>
      </c>
      <c r="AP27" s="267" t="str">
        <f t="shared" si="12"/>
        <v/>
      </c>
      <c r="AQ27" s="268" t="str">
        <f t="shared" si="13"/>
        <v/>
      </c>
      <c r="AR27" s="450" t="str">
        <f t="shared" si="14"/>
        <v/>
      </c>
      <c r="AS27" s="450" t="str">
        <f t="shared" si="15"/>
        <v/>
      </c>
      <c r="AT27" s="450" t="str">
        <f t="shared" si="16"/>
        <v/>
      </c>
      <c r="AU27" s="269" t="str">
        <f t="shared" si="17"/>
        <v/>
      </c>
    </row>
    <row r="28" spans="1:47" ht="15.75" customHeight="1">
      <c r="A28" s="175">
        <f t="shared" si="0"/>
        <v>2021</v>
      </c>
      <c r="B28" s="454" t="str">
        <f t="shared" si="1"/>
        <v>22</v>
      </c>
      <c r="C28" s="454" t="str">
        <f t="array" ref="C28">_xlfn.IFS(_xlfn.NUMBERVALUE(B28)&lt;=13,"Q1",AND(_xlfn.NUMBERVALUE(B28)&gt;13,_xlfn.NUMBERVALUE(B28)&lt;=26),"Q2", AND(_xlfn.NUMBERVALUE(B28)&gt;26,_xlfn.NUMBERVALUE(B28)&lt;=39),"Q3",_xlfn.NUMBERVALUE(B28)&gt;39,"Q4")</f>
        <v>Q2</v>
      </c>
      <c r="D28" s="448">
        <f t="shared" si="18"/>
        <v>44009</v>
      </c>
      <c r="E28" s="448">
        <f t="shared" si="2"/>
        <v>44015</v>
      </c>
      <c r="F28" s="97">
        <v>202022</v>
      </c>
      <c r="G28" s="86"/>
      <c r="H28" s="79"/>
      <c r="I28" s="449"/>
      <c r="J28" s="79"/>
      <c r="K28" s="97"/>
      <c r="L28" s="513"/>
      <c r="M28" s="513"/>
      <c r="N28" s="514"/>
      <c r="O28" s="513"/>
      <c r="P28" s="513"/>
      <c r="Q28" s="103"/>
      <c r="R28" s="429"/>
      <c r="S28" s="449"/>
      <c r="T28" s="79"/>
      <c r="U28" s="97"/>
      <c r="V28" s="86"/>
      <c r="W28" s="79"/>
      <c r="X28" s="454"/>
      <c r="Y28" s="79"/>
      <c r="Z28" s="97"/>
      <c r="AA28" s="429"/>
      <c r="AB28" s="429"/>
      <c r="AC28" s="449"/>
      <c r="AD28" s="429"/>
      <c r="AE28" s="429"/>
      <c r="AF28" s="126"/>
      <c r="AG28" s="265" t="str">
        <f t="shared" si="3"/>
        <v/>
      </c>
      <c r="AH28" s="515" t="str">
        <f t="shared" si="4"/>
        <v/>
      </c>
      <c r="AI28" s="515" t="str">
        <f t="shared" si="5"/>
        <v/>
      </c>
      <c r="AJ28" s="515" t="str">
        <f t="shared" si="6"/>
        <v/>
      </c>
      <c r="AK28" s="187" t="str">
        <f t="shared" si="7"/>
        <v/>
      </c>
      <c r="AL28" s="266" t="str">
        <f t="shared" si="8"/>
        <v/>
      </c>
      <c r="AM28" s="516" t="str">
        <f t="shared" si="9"/>
        <v/>
      </c>
      <c r="AN28" s="516" t="str">
        <f t="shared" si="10"/>
        <v/>
      </c>
      <c r="AO28" s="516" t="str">
        <f t="shared" si="11"/>
        <v/>
      </c>
      <c r="AP28" s="267" t="str">
        <f t="shared" si="12"/>
        <v/>
      </c>
      <c r="AQ28" s="268" t="str">
        <f t="shared" si="13"/>
        <v/>
      </c>
      <c r="AR28" s="450" t="str">
        <f t="shared" si="14"/>
        <v/>
      </c>
      <c r="AS28" s="450" t="str">
        <f t="shared" si="15"/>
        <v/>
      </c>
      <c r="AT28" s="450" t="str">
        <f t="shared" si="16"/>
        <v/>
      </c>
      <c r="AU28" s="269" t="str">
        <f t="shared" si="17"/>
        <v/>
      </c>
    </row>
    <row r="29" spans="1:47" ht="15.75" customHeight="1">
      <c r="A29" s="175">
        <f t="shared" si="0"/>
        <v>2021</v>
      </c>
      <c r="B29" s="454" t="str">
        <f t="shared" si="1"/>
        <v>23</v>
      </c>
      <c r="C29" s="454" t="str">
        <f t="array" ref="C29">_xlfn.IFS(_xlfn.NUMBERVALUE(B29)&lt;=13,"Q1",AND(_xlfn.NUMBERVALUE(B29)&gt;13,_xlfn.NUMBERVALUE(B29)&lt;=26),"Q2", AND(_xlfn.NUMBERVALUE(B29)&gt;26,_xlfn.NUMBERVALUE(B29)&lt;=39),"Q3",_xlfn.NUMBERVALUE(B29)&gt;39,"Q4")</f>
        <v>Q2</v>
      </c>
      <c r="D29" s="448">
        <f t="shared" si="18"/>
        <v>44016</v>
      </c>
      <c r="E29" s="448">
        <f t="shared" si="2"/>
        <v>44022</v>
      </c>
      <c r="F29" s="97">
        <v>202023</v>
      </c>
      <c r="G29" s="86"/>
      <c r="H29" s="79"/>
      <c r="I29" s="449"/>
      <c r="J29" s="79"/>
      <c r="K29" s="97"/>
      <c r="L29" s="513"/>
      <c r="M29" s="513"/>
      <c r="N29" s="514"/>
      <c r="O29" s="513"/>
      <c r="P29" s="513"/>
      <c r="Q29" s="103"/>
      <c r="R29" s="429"/>
      <c r="S29" s="449"/>
      <c r="T29" s="79"/>
      <c r="U29" s="97"/>
      <c r="V29" s="86"/>
      <c r="W29" s="79"/>
      <c r="X29" s="454"/>
      <c r="Y29" s="79"/>
      <c r="Z29" s="97"/>
      <c r="AA29" s="429"/>
      <c r="AB29" s="429"/>
      <c r="AC29" s="449"/>
      <c r="AD29" s="429"/>
      <c r="AE29" s="429"/>
      <c r="AF29" s="126"/>
      <c r="AG29" s="265" t="str">
        <f t="shared" si="3"/>
        <v/>
      </c>
      <c r="AH29" s="515" t="str">
        <f t="shared" si="4"/>
        <v/>
      </c>
      <c r="AI29" s="515" t="str">
        <f t="shared" si="5"/>
        <v/>
      </c>
      <c r="AJ29" s="515" t="str">
        <f t="shared" si="6"/>
        <v/>
      </c>
      <c r="AK29" s="187" t="str">
        <f t="shared" si="7"/>
        <v/>
      </c>
      <c r="AL29" s="266" t="str">
        <f t="shared" si="8"/>
        <v/>
      </c>
      <c r="AM29" s="516" t="str">
        <f t="shared" si="9"/>
        <v/>
      </c>
      <c r="AN29" s="516" t="str">
        <f t="shared" si="10"/>
        <v/>
      </c>
      <c r="AO29" s="516" t="str">
        <f t="shared" si="11"/>
        <v/>
      </c>
      <c r="AP29" s="267" t="str">
        <f t="shared" si="12"/>
        <v/>
      </c>
      <c r="AQ29" s="268" t="str">
        <f t="shared" si="13"/>
        <v/>
      </c>
      <c r="AR29" s="450" t="str">
        <f t="shared" si="14"/>
        <v/>
      </c>
      <c r="AS29" s="450" t="str">
        <f t="shared" si="15"/>
        <v/>
      </c>
      <c r="AT29" s="450" t="str">
        <f t="shared" si="16"/>
        <v/>
      </c>
      <c r="AU29" s="269" t="str">
        <f t="shared" si="17"/>
        <v/>
      </c>
    </row>
    <row r="30" spans="1:47" ht="15.75" customHeight="1">
      <c r="A30" s="175">
        <f t="shared" si="0"/>
        <v>2021</v>
      </c>
      <c r="B30" s="454" t="str">
        <f t="shared" si="1"/>
        <v>24</v>
      </c>
      <c r="C30" s="454" t="str">
        <f t="array" ref="C30">_xlfn.IFS(_xlfn.NUMBERVALUE(B30)&lt;=13,"Q1",AND(_xlfn.NUMBERVALUE(B30)&gt;13,_xlfn.NUMBERVALUE(B30)&lt;=26),"Q2", AND(_xlfn.NUMBERVALUE(B30)&gt;26,_xlfn.NUMBERVALUE(B30)&lt;=39),"Q3",_xlfn.NUMBERVALUE(B30)&gt;39,"Q4")</f>
        <v>Q2</v>
      </c>
      <c r="D30" s="448">
        <f t="shared" si="18"/>
        <v>44023</v>
      </c>
      <c r="E30" s="448">
        <f t="shared" si="2"/>
        <v>44029</v>
      </c>
      <c r="F30" s="97">
        <v>202024</v>
      </c>
      <c r="G30" s="86"/>
      <c r="H30" s="79"/>
      <c r="I30" s="449"/>
      <c r="J30" s="79"/>
      <c r="K30" s="97"/>
      <c r="L30" s="513"/>
      <c r="M30" s="513"/>
      <c r="N30" s="514"/>
      <c r="O30" s="513"/>
      <c r="P30" s="513"/>
      <c r="Q30" s="103"/>
      <c r="R30" s="429"/>
      <c r="S30" s="449"/>
      <c r="T30" s="79"/>
      <c r="U30" s="97"/>
      <c r="V30" s="86"/>
      <c r="W30" s="79"/>
      <c r="X30" s="454"/>
      <c r="Y30" s="79"/>
      <c r="Z30" s="97"/>
      <c r="AA30" s="429"/>
      <c r="AB30" s="429"/>
      <c r="AC30" s="449"/>
      <c r="AD30" s="429"/>
      <c r="AE30" s="429"/>
      <c r="AF30" s="126"/>
      <c r="AG30" s="265" t="str">
        <f t="shared" si="3"/>
        <v/>
      </c>
      <c r="AH30" s="515" t="str">
        <f t="shared" si="4"/>
        <v/>
      </c>
      <c r="AI30" s="515" t="str">
        <f t="shared" si="5"/>
        <v/>
      </c>
      <c r="AJ30" s="515" t="str">
        <f t="shared" si="6"/>
        <v/>
      </c>
      <c r="AK30" s="187" t="str">
        <f t="shared" si="7"/>
        <v/>
      </c>
      <c r="AL30" s="266" t="str">
        <f t="shared" si="8"/>
        <v/>
      </c>
      <c r="AM30" s="516" t="str">
        <f t="shared" si="9"/>
        <v/>
      </c>
      <c r="AN30" s="516" t="str">
        <f t="shared" si="10"/>
        <v/>
      </c>
      <c r="AO30" s="516" t="str">
        <f t="shared" si="11"/>
        <v/>
      </c>
      <c r="AP30" s="267" t="str">
        <f t="shared" si="12"/>
        <v/>
      </c>
      <c r="AQ30" s="268" t="str">
        <f t="shared" si="13"/>
        <v/>
      </c>
      <c r="AR30" s="450" t="str">
        <f t="shared" si="14"/>
        <v/>
      </c>
      <c r="AS30" s="450" t="str">
        <f t="shared" si="15"/>
        <v/>
      </c>
      <c r="AT30" s="450" t="str">
        <f t="shared" si="16"/>
        <v/>
      </c>
      <c r="AU30" s="269" t="str">
        <f t="shared" si="17"/>
        <v/>
      </c>
    </row>
    <row r="31" spans="1:47" ht="15.75" customHeight="1">
      <c r="A31" s="175">
        <f t="shared" si="0"/>
        <v>2021</v>
      </c>
      <c r="B31" s="454" t="str">
        <f t="shared" si="1"/>
        <v>25</v>
      </c>
      <c r="C31" s="454" t="str">
        <f t="array" ref="C31">_xlfn.IFS(_xlfn.NUMBERVALUE(B31)&lt;=13,"Q1",AND(_xlfn.NUMBERVALUE(B31)&gt;13,_xlfn.NUMBERVALUE(B31)&lt;=26),"Q2", AND(_xlfn.NUMBERVALUE(B31)&gt;26,_xlfn.NUMBERVALUE(B31)&lt;=39),"Q3",_xlfn.NUMBERVALUE(B31)&gt;39,"Q4")</f>
        <v>Q2</v>
      </c>
      <c r="D31" s="448">
        <f t="shared" si="18"/>
        <v>44030</v>
      </c>
      <c r="E31" s="448">
        <f t="shared" si="2"/>
        <v>44036</v>
      </c>
      <c r="F31" s="97">
        <v>202025</v>
      </c>
      <c r="G31" s="86"/>
      <c r="H31" s="79"/>
      <c r="I31" s="449"/>
      <c r="J31" s="79"/>
      <c r="K31" s="97"/>
      <c r="L31" s="513"/>
      <c r="M31" s="513"/>
      <c r="N31" s="514"/>
      <c r="O31" s="513"/>
      <c r="P31" s="513"/>
      <c r="Q31" s="103"/>
      <c r="R31" s="429"/>
      <c r="S31" s="449"/>
      <c r="T31" s="79"/>
      <c r="U31" s="97"/>
      <c r="V31" s="86"/>
      <c r="W31" s="79"/>
      <c r="X31" s="454"/>
      <c r="Y31" s="79"/>
      <c r="Z31" s="97"/>
      <c r="AA31" s="429"/>
      <c r="AB31" s="429"/>
      <c r="AC31" s="449"/>
      <c r="AD31" s="429"/>
      <c r="AE31" s="429"/>
      <c r="AF31" s="126"/>
      <c r="AG31" s="265" t="str">
        <f t="shared" si="3"/>
        <v/>
      </c>
      <c r="AH31" s="515" t="str">
        <f t="shared" si="4"/>
        <v/>
      </c>
      <c r="AI31" s="515" t="str">
        <f t="shared" si="5"/>
        <v/>
      </c>
      <c r="AJ31" s="515" t="str">
        <f t="shared" si="6"/>
        <v/>
      </c>
      <c r="AK31" s="187" t="str">
        <f t="shared" si="7"/>
        <v/>
      </c>
      <c r="AL31" s="266" t="str">
        <f t="shared" si="8"/>
        <v/>
      </c>
      <c r="AM31" s="516" t="str">
        <f t="shared" si="9"/>
        <v/>
      </c>
      <c r="AN31" s="516" t="str">
        <f t="shared" si="10"/>
        <v/>
      </c>
      <c r="AO31" s="516" t="str">
        <f t="shared" si="11"/>
        <v/>
      </c>
      <c r="AP31" s="267" t="str">
        <f t="shared" si="12"/>
        <v/>
      </c>
      <c r="AQ31" s="268" t="str">
        <f t="shared" si="13"/>
        <v/>
      </c>
      <c r="AR31" s="450" t="str">
        <f t="shared" si="14"/>
        <v/>
      </c>
      <c r="AS31" s="450" t="str">
        <f t="shared" si="15"/>
        <v/>
      </c>
      <c r="AT31" s="450" t="str">
        <f t="shared" si="16"/>
        <v/>
      </c>
      <c r="AU31" s="269" t="str">
        <f t="shared" si="17"/>
        <v/>
      </c>
    </row>
    <row r="32" spans="1:47" ht="15.75" customHeight="1">
      <c r="A32" s="175">
        <f t="shared" si="0"/>
        <v>2021</v>
      </c>
      <c r="B32" s="454" t="str">
        <f t="shared" si="1"/>
        <v>26</v>
      </c>
      <c r="C32" s="454" t="str">
        <f t="array" ref="C32">_xlfn.IFS(_xlfn.NUMBERVALUE(B32)&lt;=13,"Q1",AND(_xlfn.NUMBERVALUE(B32)&gt;13,_xlfn.NUMBERVALUE(B32)&lt;=26),"Q2", AND(_xlfn.NUMBERVALUE(B32)&gt;26,_xlfn.NUMBERVALUE(B32)&lt;=39),"Q3",_xlfn.NUMBERVALUE(B32)&gt;39,"Q4")</f>
        <v>Q2</v>
      </c>
      <c r="D32" s="448">
        <f t="shared" si="18"/>
        <v>44037</v>
      </c>
      <c r="E32" s="448">
        <f t="shared" si="2"/>
        <v>44043</v>
      </c>
      <c r="F32" s="97">
        <v>202026</v>
      </c>
      <c r="G32" s="86"/>
      <c r="H32" s="79"/>
      <c r="I32" s="449"/>
      <c r="J32" s="79"/>
      <c r="K32" s="97"/>
      <c r="L32" s="513"/>
      <c r="M32" s="513"/>
      <c r="N32" s="514"/>
      <c r="O32" s="513"/>
      <c r="P32" s="513"/>
      <c r="Q32" s="103"/>
      <c r="R32" s="429"/>
      <c r="S32" s="449"/>
      <c r="T32" s="79"/>
      <c r="U32" s="97"/>
      <c r="V32" s="86"/>
      <c r="W32" s="79"/>
      <c r="X32" s="454"/>
      <c r="Y32" s="79"/>
      <c r="Z32" s="97"/>
      <c r="AA32" s="429"/>
      <c r="AB32" s="429"/>
      <c r="AC32" s="449"/>
      <c r="AD32" s="429"/>
      <c r="AE32" s="429"/>
      <c r="AF32" s="126"/>
      <c r="AG32" s="265" t="str">
        <f t="shared" si="3"/>
        <v/>
      </c>
      <c r="AH32" s="515" t="str">
        <f t="shared" si="4"/>
        <v/>
      </c>
      <c r="AI32" s="515" t="str">
        <f t="shared" si="5"/>
        <v/>
      </c>
      <c r="AJ32" s="515" t="str">
        <f t="shared" si="6"/>
        <v/>
      </c>
      <c r="AK32" s="187" t="str">
        <f t="shared" si="7"/>
        <v/>
      </c>
      <c r="AL32" s="266" t="str">
        <f t="shared" si="8"/>
        <v/>
      </c>
      <c r="AM32" s="516" t="str">
        <f t="shared" si="9"/>
        <v/>
      </c>
      <c r="AN32" s="516" t="str">
        <f t="shared" si="10"/>
        <v/>
      </c>
      <c r="AO32" s="516" t="str">
        <f t="shared" si="11"/>
        <v/>
      </c>
      <c r="AP32" s="267" t="str">
        <f t="shared" si="12"/>
        <v/>
      </c>
      <c r="AQ32" s="268" t="str">
        <f t="shared" si="13"/>
        <v/>
      </c>
      <c r="AR32" s="450" t="str">
        <f t="shared" si="14"/>
        <v/>
      </c>
      <c r="AS32" s="450" t="str">
        <f t="shared" si="15"/>
        <v/>
      </c>
      <c r="AT32" s="450" t="str">
        <f t="shared" si="16"/>
        <v/>
      </c>
      <c r="AU32" s="269" t="str">
        <f t="shared" si="17"/>
        <v/>
      </c>
    </row>
    <row r="33" spans="1:47" ht="15.75" customHeight="1">
      <c r="A33" s="175">
        <f t="shared" si="0"/>
        <v>2021</v>
      </c>
      <c r="B33" s="454" t="str">
        <f t="shared" si="1"/>
        <v>27</v>
      </c>
      <c r="C33" s="454" t="str">
        <f t="array" ref="C33">_xlfn.IFS(_xlfn.NUMBERVALUE(B33)&lt;=13,"Q1",AND(_xlfn.NUMBERVALUE(B33)&gt;13,_xlfn.NUMBERVALUE(B33)&lt;=26),"Q2", AND(_xlfn.NUMBERVALUE(B33)&gt;26,_xlfn.NUMBERVALUE(B33)&lt;=39),"Q3",_xlfn.NUMBERVALUE(B33)&gt;39,"Q4")</f>
        <v>Q3</v>
      </c>
      <c r="D33" s="448">
        <f t="shared" si="18"/>
        <v>44044</v>
      </c>
      <c r="E33" s="448">
        <f t="shared" si="2"/>
        <v>44050</v>
      </c>
      <c r="F33" s="97">
        <v>202027</v>
      </c>
      <c r="G33" s="86"/>
      <c r="H33" s="79"/>
      <c r="I33" s="449"/>
      <c r="J33" s="79"/>
      <c r="K33" s="97"/>
      <c r="L33" s="513"/>
      <c r="M33" s="513"/>
      <c r="N33" s="514"/>
      <c r="O33" s="513"/>
      <c r="P33" s="513"/>
      <c r="Q33" s="103"/>
      <c r="R33" s="429"/>
      <c r="S33" s="449"/>
      <c r="T33" s="79"/>
      <c r="U33" s="97"/>
      <c r="V33" s="86"/>
      <c r="W33" s="79"/>
      <c r="X33" s="454"/>
      <c r="Y33" s="79"/>
      <c r="Z33" s="97"/>
      <c r="AA33" s="429"/>
      <c r="AB33" s="429"/>
      <c r="AC33" s="449"/>
      <c r="AD33" s="429"/>
      <c r="AE33" s="429"/>
      <c r="AF33" s="126"/>
      <c r="AG33" s="265" t="str">
        <f t="shared" si="3"/>
        <v/>
      </c>
      <c r="AH33" s="515" t="str">
        <f t="shared" si="4"/>
        <v/>
      </c>
      <c r="AI33" s="515" t="str">
        <f t="shared" si="5"/>
        <v/>
      </c>
      <c r="AJ33" s="515" t="str">
        <f t="shared" si="6"/>
        <v/>
      </c>
      <c r="AK33" s="187" t="str">
        <f t="shared" si="7"/>
        <v/>
      </c>
      <c r="AL33" s="266" t="str">
        <f t="shared" si="8"/>
        <v/>
      </c>
      <c r="AM33" s="516" t="str">
        <f t="shared" si="9"/>
        <v/>
      </c>
      <c r="AN33" s="516" t="str">
        <f t="shared" si="10"/>
        <v/>
      </c>
      <c r="AO33" s="516" t="str">
        <f t="shared" si="11"/>
        <v/>
      </c>
      <c r="AP33" s="267" t="str">
        <f t="shared" si="12"/>
        <v/>
      </c>
      <c r="AQ33" s="268" t="str">
        <f t="shared" si="13"/>
        <v/>
      </c>
      <c r="AR33" s="450" t="str">
        <f t="shared" si="14"/>
        <v/>
      </c>
      <c r="AS33" s="450" t="str">
        <f t="shared" si="15"/>
        <v/>
      </c>
      <c r="AT33" s="450" t="str">
        <f t="shared" si="16"/>
        <v/>
      </c>
      <c r="AU33" s="269" t="str">
        <f t="shared" si="17"/>
        <v/>
      </c>
    </row>
    <row r="34" spans="1:47" ht="15.75" customHeight="1">
      <c r="A34" s="175">
        <f t="shared" si="0"/>
        <v>2021</v>
      </c>
      <c r="B34" s="454" t="str">
        <f t="shared" si="1"/>
        <v>28</v>
      </c>
      <c r="C34" s="454" t="str">
        <f t="array" ref="C34">_xlfn.IFS(_xlfn.NUMBERVALUE(B34)&lt;=13,"Q1",AND(_xlfn.NUMBERVALUE(B34)&gt;13,_xlfn.NUMBERVALUE(B34)&lt;=26),"Q2", AND(_xlfn.NUMBERVALUE(B34)&gt;26,_xlfn.NUMBERVALUE(B34)&lt;=39),"Q3",_xlfn.NUMBERVALUE(B34)&gt;39,"Q4")</f>
        <v>Q3</v>
      </c>
      <c r="D34" s="448">
        <f t="shared" si="18"/>
        <v>44051</v>
      </c>
      <c r="E34" s="448">
        <f t="shared" si="2"/>
        <v>44057</v>
      </c>
      <c r="F34" s="97">
        <v>202028</v>
      </c>
      <c r="G34" s="86"/>
      <c r="H34" s="79"/>
      <c r="I34" s="449"/>
      <c r="J34" s="79"/>
      <c r="K34" s="97"/>
      <c r="L34" s="513"/>
      <c r="M34" s="513"/>
      <c r="N34" s="514"/>
      <c r="O34" s="513"/>
      <c r="P34" s="513"/>
      <c r="Q34" s="103"/>
      <c r="R34" s="429"/>
      <c r="S34" s="449"/>
      <c r="T34" s="79"/>
      <c r="U34" s="97"/>
      <c r="V34" s="86"/>
      <c r="W34" s="79"/>
      <c r="X34" s="454"/>
      <c r="Y34" s="79"/>
      <c r="Z34" s="97"/>
      <c r="AA34" s="429"/>
      <c r="AB34" s="429"/>
      <c r="AC34" s="449"/>
      <c r="AD34" s="429"/>
      <c r="AE34" s="429"/>
      <c r="AF34" s="126"/>
      <c r="AG34" s="265" t="str">
        <f t="shared" si="3"/>
        <v/>
      </c>
      <c r="AH34" s="515" t="str">
        <f t="shared" si="4"/>
        <v/>
      </c>
      <c r="AI34" s="515" t="str">
        <f t="shared" si="5"/>
        <v/>
      </c>
      <c r="AJ34" s="515" t="str">
        <f t="shared" si="6"/>
        <v/>
      </c>
      <c r="AK34" s="187" t="str">
        <f t="shared" si="7"/>
        <v/>
      </c>
      <c r="AL34" s="266" t="str">
        <f t="shared" si="8"/>
        <v/>
      </c>
      <c r="AM34" s="516" t="str">
        <f t="shared" si="9"/>
        <v/>
      </c>
      <c r="AN34" s="516" t="str">
        <f t="shared" si="10"/>
        <v/>
      </c>
      <c r="AO34" s="516" t="str">
        <f t="shared" si="11"/>
        <v/>
      </c>
      <c r="AP34" s="267" t="str">
        <f t="shared" si="12"/>
        <v/>
      </c>
      <c r="AQ34" s="268" t="str">
        <f t="shared" si="13"/>
        <v/>
      </c>
      <c r="AR34" s="450" t="str">
        <f t="shared" si="14"/>
        <v/>
      </c>
      <c r="AS34" s="450" t="str">
        <f t="shared" si="15"/>
        <v/>
      </c>
      <c r="AT34" s="450" t="str">
        <f t="shared" si="16"/>
        <v/>
      </c>
      <c r="AU34" s="269" t="str">
        <f t="shared" si="17"/>
        <v/>
      </c>
    </row>
    <row r="35" spans="1:47" ht="15.75" customHeight="1">
      <c r="A35" s="175">
        <f t="shared" si="0"/>
        <v>2021</v>
      </c>
      <c r="B35" s="454" t="str">
        <f t="shared" si="1"/>
        <v>29</v>
      </c>
      <c r="C35" s="454" t="str">
        <f t="array" ref="C35">_xlfn.IFS(_xlfn.NUMBERVALUE(B35)&lt;=13,"Q1",AND(_xlfn.NUMBERVALUE(B35)&gt;13,_xlfn.NUMBERVALUE(B35)&lt;=26),"Q2", AND(_xlfn.NUMBERVALUE(B35)&gt;26,_xlfn.NUMBERVALUE(B35)&lt;=39),"Q3",_xlfn.NUMBERVALUE(B35)&gt;39,"Q4")</f>
        <v>Q3</v>
      </c>
      <c r="D35" s="448">
        <f t="shared" si="18"/>
        <v>44058</v>
      </c>
      <c r="E35" s="448">
        <f t="shared" si="2"/>
        <v>44064</v>
      </c>
      <c r="F35" s="97">
        <v>202029</v>
      </c>
      <c r="G35" s="86"/>
      <c r="H35" s="79"/>
      <c r="I35" s="449"/>
      <c r="J35" s="79"/>
      <c r="K35" s="97"/>
      <c r="L35" s="513"/>
      <c r="M35" s="513"/>
      <c r="N35" s="514"/>
      <c r="O35" s="513"/>
      <c r="P35" s="513"/>
      <c r="Q35" s="103"/>
      <c r="R35" s="429"/>
      <c r="S35" s="449"/>
      <c r="T35" s="79"/>
      <c r="U35" s="97"/>
      <c r="V35" s="86"/>
      <c r="W35" s="79"/>
      <c r="X35" s="454"/>
      <c r="Y35" s="79"/>
      <c r="Z35" s="97"/>
      <c r="AA35" s="429"/>
      <c r="AB35" s="429"/>
      <c r="AC35" s="449"/>
      <c r="AD35" s="429"/>
      <c r="AE35" s="429"/>
      <c r="AF35" s="126"/>
      <c r="AG35" s="265" t="str">
        <f t="shared" si="3"/>
        <v/>
      </c>
      <c r="AH35" s="515" t="str">
        <f t="shared" si="4"/>
        <v/>
      </c>
      <c r="AI35" s="515" t="str">
        <f t="shared" si="5"/>
        <v/>
      </c>
      <c r="AJ35" s="515" t="str">
        <f t="shared" si="6"/>
        <v/>
      </c>
      <c r="AK35" s="187" t="str">
        <f t="shared" si="7"/>
        <v/>
      </c>
      <c r="AL35" s="266" t="str">
        <f t="shared" si="8"/>
        <v/>
      </c>
      <c r="AM35" s="516" t="str">
        <f t="shared" si="9"/>
        <v/>
      </c>
      <c r="AN35" s="516" t="str">
        <f t="shared" si="10"/>
        <v/>
      </c>
      <c r="AO35" s="516" t="str">
        <f t="shared" si="11"/>
        <v/>
      </c>
      <c r="AP35" s="267" t="str">
        <f t="shared" si="12"/>
        <v/>
      </c>
      <c r="AQ35" s="268" t="str">
        <f t="shared" si="13"/>
        <v/>
      </c>
      <c r="AR35" s="450" t="str">
        <f t="shared" si="14"/>
        <v/>
      </c>
      <c r="AS35" s="450" t="str">
        <f t="shared" si="15"/>
        <v/>
      </c>
      <c r="AT35" s="450" t="str">
        <f t="shared" si="16"/>
        <v/>
      </c>
      <c r="AU35" s="269" t="str">
        <f t="shared" si="17"/>
        <v/>
      </c>
    </row>
    <row r="36" spans="1:47" ht="15.75" customHeight="1">
      <c r="A36" s="175">
        <f t="shared" si="0"/>
        <v>2021</v>
      </c>
      <c r="B36" s="454" t="str">
        <f t="shared" si="1"/>
        <v>30</v>
      </c>
      <c r="C36" s="454" t="str">
        <f t="array" ref="C36">_xlfn.IFS(_xlfn.NUMBERVALUE(B36)&lt;=13,"Q1",AND(_xlfn.NUMBERVALUE(B36)&gt;13,_xlfn.NUMBERVALUE(B36)&lt;=26),"Q2", AND(_xlfn.NUMBERVALUE(B36)&gt;26,_xlfn.NUMBERVALUE(B36)&lt;=39),"Q3",_xlfn.NUMBERVALUE(B36)&gt;39,"Q4")</f>
        <v>Q3</v>
      </c>
      <c r="D36" s="448">
        <f t="shared" si="18"/>
        <v>44065</v>
      </c>
      <c r="E36" s="448">
        <f t="shared" si="2"/>
        <v>44071</v>
      </c>
      <c r="F36" s="97">
        <v>202030</v>
      </c>
      <c r="G36" s="86"/>
      <c r="H36" s="79"/>
      <c r="I36" s="449"/>
      <c r="J36" s="79"/>
      <c r="K36" s="97"/>
      <c r="L36" s="513"/>
      <c r="M36" s="513"/>
      <c r="N36" s="514"/>
      <c r="O36" s="513"/>
      <c r="P36" s="513"/>
      <c r="Q36" s="103"/>
      <c r="R36" s="429"/>
      <c r="S36" s="449"/>
      <c r="T36" s="79"/>
      <c r="U36" s="97"/>
      <c r="V36" s="86"/>
      <c r="W36" s="79"/>
      <c r="X36" s="454"/>
      <c r="Y36" s="79"/>
      <c r="Z36" s="97"/>
      <c r="AA36" s="429"/>
      <c r="AB36" s="429"/>
      <c r="AC36" s="449"/>
      <c r="AD36" s="429"/>
      <c r="AE36" s="429"/>
      <c r="AF36" s="126"/>
      <c r="AG36" s="265" t="str">
        <f t="shared" si="3"/>
        <v/>
      </c>
      <c r="AH36" s="515" t="str">
        <f t="shared" si="4"/>
        <v/>
      </c>
      <c r="AI36" s="515" t="str">
        <f t="shared" si="5"/>
        <v/>
      </c>
      <c r="AJ36" s="515" t="str">
        <f t="shared" si="6"/>
        <v/>
      </c>
      <c r="AK36" s="187" t="str">
        <f t="shared" si="7"/>
        <v/>
      </c>
      <c r="AL36" s="266" t="str">
        <f t="shared" si="8"/>
        <v/>
      </c>
      <c r="AM36" s="516" t="str">
        <f t="shared" si="9"/>
        <v/>
      </c>
      <c r="AN36" s="516" t="str">
        <f t="shared" si="10"/>
        <v/>
      </c>
      <c r="AO36" s="516" t="str">
        <f t="shared" si="11"/>
        <v/>
      </c>
      <c r="AP36" s="267" t="str">
        <f t="shared" si="12"/>
        <v/>
      </c>
      <c r="AQ36" s="268" t="str">
        <f t="shared" si="13"/>
        <v/>
      </c>
      <c r="AR36" s="450" t="str">
        <f t="shared" si="14"/>
        <v/>
      </c>
      <c r="AS36" s="450" t="str">
        <f t="shared" si="15"/>
        <v/>
      </c>
      <c r="AT36" s="450" t="str">
        <f t="shared" si="16"/>
        <v/>
      </c>
      <c r="AU36" s="269" t="str">
        <f t="shared" si="17"/>
        <v/>
      </c>
    </row>
    <row r="37" spans="1:47" ht="15.75" customHeight="1">
      <c r="A37" s="175">
        <f t="shared" si="0"/>
        <v>2021</v>
      </c>
      <c r="B37" s="454" t="str">
        <f t="shared" si="1"/>
        <v>31</v>
      </c>
      <c r="C37" s="454" t="str">
        <f t="array" ref="C37">_xlfn.IFS(_xlfn.NUMBERVALUE(B37)&lt;=13,"Q1",AND(_xlfn.NUMBERVALUE(B37)&gt;13,_xlfn.NUMBERVALUE(B37)&lt;=26),"Q2", AND(_xlfn.NUMBERVALUE(B37)&gt;26,_xlfn.NUMBERVALUE(B37)&lt;=39),"Q3",_xlfn.NUMBERVALUE(B37)&gt;39,"Q4")</f>
        <v>Q3</v>
      </c>
      <c r="D37" s="448">
        <f t="shared" si="18"/>
        <v>44072</v>
      </c>
      <c r="E37" s="448">
        <f t="shared" si="2"/>
        <v>44078</v>
      </c>
      <c r="F37" s="97">
        <v>202031</v>
      </c>
      <c r="G37" s="86"/>
      <c r="H37" s="79"/>
      <c r="I37" s="449"/>
      <c r="J37" s="79"/>
      <c r="K37" s="97"/>
      <c r="L37" s="513"/>
      <c r="M37" s="513"/>
      <c r="N37" s="514"/>
      <c r="O37" s="513"/>
      <c r="P37" s="513"/>
      <c r="Q37" s="103"/>
      <c r="R37" s="429"/>
      <c r="S37" s="449"/>
      <c r="T37" s="79"/>
      <c r="U37" s="97"/>
      <c r="V37" s="86"/>
      <c r="W37" s="79"/>
      <c r="X37" s="454"/>
      <c r="Y37" s="79"/>
      <c r="Z37" s="97"/>
      <c r="AA37" s="429"/>
      <c r="AB37" s="429"/>
      <c r="AC37" s="449"/>
      <c r="AD37" s="429"/>
      <c r="AE37" s="429"/>
      <c r="AF37" s="126"/>
      <c r="AG37" s="265" t="str">
        <f t="shared" si="3"/>
        <v/>
      </c>
      <c r="AH37" s="515" t="str">
        <f t="shared" si="4"/>
        <v/>
      </c>
      <c r="AI37" s="515" t="str">
        <f t="shared" si="5"/>
        <v/>
      </c>
      <c r="AJ37" s="515" t="str">
        <f t="shared" si="6"/>
        <v/>
      </c>
      <c r="AK37" s="187" t="str">
        <f t="shared" si="7"/>
        <v/>
      </c>
      <c r="AL37" s="266" t="str">
        <f t="shared" si="8"/>
        <v/>
      </c>
      <c r="AM37" s="516" t="str">
        <f t="shared" si="9"/>
        <v/>
      </c>
      <c r="AN37" s="516" t="str">
        <f t="shared" si="10"/>
        <v/>
      </c>
      <c r="AO37" s="516" t="str">
        <f t="shared" si="11"/>
        <v/>
      </c>
      <c r="AP37" s="267" t="str">
        <f t="shared" si="12"/>
        <v/>
      </c>
      <c r="AQ37" s="268" t="str">
        <f t="shared" si="13"/>
        <v/>
      </c>
      <c r="AR37" s="450" t="str">
        <f t="shared" si="14"/>
        <v/>
      </c>
      <c r="AS37" s="450" t="str">
        <f t="shared" si="15"/>
        <v/>
      </c>
      <c r="AT37" s="450" t="str">
        <f t="shared" si="16"/>
        <v/>
      </c>
      <c r="AU37" s="269" t="str">
        <f t="shared" si="17"/>
        <v/>
      </c>
    </row>
    <row r="38" spans="1:47" ht="15.75" customHeight="1">
      <c r="A38" s="175">
        <f t="shared" si="0"/>
        <v>2021</v>
      </c>
      <c r="B38" s="454" t="str">
        <f t="shared" si="1"/>
        <v>32</v>
      </c>
      <c r="C38" s="454" t="str">
        <f t="array" ref="C38">_xlfn.IFS(_xlfn.NUMBERVALUE(B38)&lt;=13,"Q1",AND(_xlfn.NUMBERVALUE(B38)&gt;13,_xlfn.NUMBERVALUE(B38)&lt;=26),"Q2", AND(_xlfn.NUMBERVALUE(B38)&gt;26,_xlfn.NUMBERVALUE(B38)&lt;=39),"Q3",_xlfn.NUMBERVALUE(B38)&gt;39,"Q4")</f>
        <v>Q3</v>
      </c>
      <c r="D38" s="448">
        <f t="shared" si="18"/>
        <v>44079</v>
      </c>
      <c r="E38" s="448">
        <f t="shared" si="2"/>
        <v>44085</v>
      </c>
      <c r="F38" s="97">
        <v>202032</v>
      </c>
      <c r="G38" s="86"/>
      <c r="H38" s="79"/>
      <c r="I38" s="449"/>
      <c r="J38" s="79"/>
      <c r="K38" s="97"/>
      <c r="L38" s="513"/>
      <c r="M38" s="513"/>
      <c r="N38" s="514"/>
      <c r="O38" s="513"/>
      <c r="P38" s="513"/>
      <c r="Q38" s="103"/>
      <c r="R38" s="429"/>
      <c r="S38" s="449"/>
      <c r="T38" s="79"/>
      <c r="U38" s="97"/>
      <c r="V38" s="86"/>
      <c r="W38" s="79"/>
      <c r="X38" s="454"/>
      <c r="Y38" s="79"/>
      <c r="Z38" s="97"/>
      <c r="AA38" s="429"/>
      <c r="AB38" s="429"/>
      <c r="AC38" s="449"/>
      <c r="AD38" s="429"/>
      <c r="AE38" s="429"/>
      <c r="AF38" s="126"/>
      <c r="AG38" s="265" t="str">
        <f t="shared" si="3"/>
        <v/>
      </c>
      <c r="AH38" s="515" t="str">
        <f t="shared" si="4"/>
        <v/>
      </c>
      <c r="AI38" s="515" t="str">
        <f t="shared" si="5"/>
        <v/>
      </c>
      <c r="AJ38" s="515" t="str">
        <f t="shared" si="6"/>
        <v/>
      </c>
      <c r="AK38" s="187" t="str">
        <f t="shared" si="7"/>
        <v/>
      </c>
      <c r="AL38" s="266" t="str">
        <f t="shared" si="8"/>
        <v/>
      </c>
      <c r="AM38" s="516" t="str">
        <f t="shared" si="9"/>
        <v/>
      </c>
      <c r="AN38" s="516" t="str">
        <f t="shared" si="10"/>
        <v/>
      </c>
      <c r="AO38" s="516" t="str">
        <f t="shared" si="11"/>
        <v/>
      </c>
      <c r="AP38" s="267" t="str">
        <f t="shared" si="12"/>
        <v/>
      </c>
      <c r="AQ38" s="268" t="str">
        <f t="shared" si="13"/>
        <v/>
      </c>
      <c r="AR38" s="450" t="str">
        <f t="shared" si="14"/>
        <v/>
      </c>
      <c r="AS38" s="450" t="str">
        <f t="shared" si="15"/>
        <v/>
      </c>
      <c r="AT38" s="450" t="str">
        <f t="shared" si="16"/>
        <v/>
      </c>
      <c r="AU38" s="269" t="str">
        <f t="shared" si="17"/>
        <v/>
      </c>
    </row>
    <row r="39" spans="1:47" ht="15.75" customHeight="1">
      <c r="A39" s="175">
        <f t="shared" si="0"/>
        <v>2021</v>
      </c>
      <c r="B39" s="454" t="str">
        <f t="shared" si="1"/>
        <v>33</v>
      </c>
      <c r="C39" s="454" t="str">
        <f t="array" ref="C39">_xlfn.IFS(_xlfn.NUMBERVALUE(B39)&lt;=13,"Q1",AND(_xlfn.NUMBERVALUE(B39)&gt;13,_xlfn.NUMBERVALUE(B39)&lt;=26),"Q2", AND(_xlfn.NUMBERVALUE(B39)&gt;26,_xlfn.NUMBERVALUE(B39)&lt;=39),"Q3",_xlfn.NUMBERVALUE(B39)&gt;39,"Q4")</f>
        <v>Q3</v>
      </c>
      <c r="D39" s="448">
        <f t="shared" si="18"/>
        <v>44086</v>
      </c>
      <c r="E39" s="448">
        <f t="shared" si="2"/>
        <v>44092</v>
      </c>
      <c r="F39" s="97">
        <v>202033</v>
      </c>
      <c r="G39" s="86"/>
      <c r="H39" s="79"/>
      <c r="I39" s="449"/>
      <c r="J39" s="79"/>
      <c r="K39" s="97"/>
      <c r="L39" s="513"/>
      <c r="M39" s="513"/>
      <c r="N39" s="514"/>
      <c r="O39" s="513"/>
      <c r="P39" s="513"/>
      <c r="Q39" s="103"/>
      <c r="R39" s="429"/>
      <c r="S39" s="449"/>
      <c r="T39" s="79"/>
      <c r="U39" s="97"/>
      <c r="V39" s="86"/>
      <c r="W39" s="79"/>
      <c r="X39" s="454"/>
      <c r="Y39" s="79"/>
      <c r="Z39" s="97"/>
      <c r="AA39" s="429"/>
      <c r="AB39" s="429"/>
      <c r="AC39" s="449"/>
      <c r="AD39" s="429"/>
      <c r="AE39" s="429"/>
      <c r="AF39" s="126"/>
      <c r="AG39" s="265" t="str">
        <f t="shared" si="3"/>
        <v/>
      </c>
      <c r="AH39" s="515" t="str">
        <f t="shared" si="4"/>
        <v/>
      </c>
      <c r="AI39" s="515" t="str">
        <f t="shared" si="5"/>
        <v/>
      </c>
      <c r="AJ39" s="515" t="str">
        <f t="shared" si="6"/>
        <v/>
      </c>
      <c r="AK39" s="187" t="str">
        <f t="shared" si="7"/>
        <v/>
      </c>
      <c r="AL39" s="266" t="str">
        <f t="shared" si="8"/>
        <v/>
      </c>
      <c r="AM39" s="516" t="str">
        <f t="shared" si="9"/>
        <v/>
      </c>
      <c r="AN39" s="516" t="str">
        <f t="shared" si="10"/>
        <v/>
      </c>
      <c r="AO39" s="516" t="str">
        <f t="shared" si="11"/>
        <v/>
      </c>
      <c r="AP39" s="267" t="str">
        <f t="shared" si="12"/>
        <v/>
      </c>
      <c r="AQ39" s="268" t="str">
        <f t="shared" si="13"/>
        <v/>
      </c>
      <c r="AR39" s="450" t="str">
        <f t="shared" si="14"/>
        <v/>
      </c>
      <c r="AS39" s="450" t="str">
        <f t="shared" si="15"/>
        <v/>
      </c>
      <c r="AT39" s="450" t="str">
        <f t="shared" si="16"/>
        <v/>
      </c>
      <c r="AU39" s="269" t="str">
        <f t="shared" si="17"/>
        <v/>
      </c>
    </row>
    <row r="40" spans="1:47" ht="15.75" customHeight="1">
      <c r="A40" s="175">
        <f t="shared" si="0"/>
        <v>2021</v>
      </c>
      <c r="B40" s="454" t="str">
        <f t="shared" si="1"/>
        <v>34</v>
      </c>
      <c r="C40" s="454" t="str">
        <f t="array" ref="C40">_xlfn.IFS(_xlfn.NUMBERVALUE(B40)&lt;=13,"Q1",AND(_xlfn.NUMBERVALUE(B40)&gt;13,_xlfn.NUMBERVALUE(B40)&lt;=26),"Q2", AND(_xlfn.NUMBERVALUE(B40)&gt;26,_xlfn.NUMBERVALUE(B40)&lt;=39),"Q3",_xlfn.NUMBERVALUE(B40)&gt;39,"Q4")</f>
        <v>Q3</v>
      </c>
      <c r="D40" s="448">
        <f t="shared" si="18"/>
        <v>44093</v>
      </c>
      <c r="E40" s="448">
        <f t="shared" si="2"/>
        <v>44099</v>
      </c>
      <c r="F40" s="97">
        <v>202034</v>
      </c>
      <c r="G40" s="86"/>
      <c r="H40" s="79"/>
      <c r="I40" s="449"/>
      <c r="J40" s="79"/>
      <c r="K40" s="97"/>
      <c r="L40" s="513"/>
      <c r="M40" s="513"/>
      <c r="N40" s="514"/>
      <c r="O40" s="513"/>
      <c r="P40" s="513"/>
      <c r="Q40" s="103"/>
      <c r="R40" s="429"/>
      <c r="S40" s="449"/>
      <c r="T40" s="79"/>
      <c r="U40" s="97"/>
      <c r="V40" s="86"/>
      <c r="W40" s="79"/>
      <c r="X40" s="454"/>
      <c r="Y40" s="79"/>
      <c r="Z40" s="97"/>
      <c r="AA40" s="429"/>
      <c r="AB40" s="429"/>
      <c r="AC40" s="449"/>
      <c r="AD40" s="429"/>
      <c r="AE40" s="429"/>
      <c r="AF40" s="126"/>
      <c r="AG40" s="265" t="str">
        <f t="shared" si="3"/>
        <v/>
      </c>
      <c r="AH40" s="515" t="str">
        <f t="shared" si="4"/>
        <v/>
      </c>
      <c r="AI40" s="515" t="str">
        <f t="shared" si="5"/>
        <v/>
      </c>
      <c r="AJ40" s="515" t="str">
        <f t="shared" si="6"/>
        <v/>
      </c>
      <c r="AK40" s="187" t="str">
        <f t="shared" si="7"/>
        <v/>
      </c>
      <c r="AL40" s="266" t="str">
        <f t="shared" si="8"/>
        <v/>
      </c>
      <c r="AM40" s="516" t="str">
        <f t="shared" si="9"/>
        <v/>
      </c>
      <c r="AN40" s="516" t="str">
        <f t="shared" si="10"/>
        <v/>
      </c>
      <c r="AO40" s="516" t="str">
        <f t="shared" si="11"/>
        <v/>
      </c>
      <c r="AP40" s="267" t="str">
        <f t="shared" si="12"/>
        <v/>
      </c>
      <c r="AQ40" s="268" t="str">
        <f t="shared" si="13"/>
        <v/>
      </c>
      <c r="AR40" s="450" t="str">
        <f t="shared" si="14"/>
        <v/>
      </c>
      <c r="AS40" s="450" t="str">
        <f t="shared" si="15"/>
        <v/>
      </c>
      <c r="AT40" s="450" t="str">
        <f t="shared" si="16"/>
        <v/>
      </c>
      <c r="AU40" s="269" t="str">
        <f t="shared" si="17"/>
        <v/>
      </c>
    </row>
    <row r="41" spans="1:47" ht="15.75" customHeight="1">
      <c r="A41" s="175">
        <f t="shared" si="0"/>
        <v>2021</v>
      </c>
      <c r="B41" s="454" t="str">
        <f t="shared" si="1"/>
        <v>35</v>
      </c>
      <c r="C41" s="454" t="str">
        <f t="array" ref="C41">_xlfn.IFS(_xlfn.NUMBERVALUE(B41)&lt;=13,"Q1",AND(_xlfn.NUMBERVALUE(B41)&gt;13,_xlfn.NUMBERVALUE(B41)&lt;=26),"Q2", AND(_xlfn.NUMBERVALUE(B41)&gt;26,_xlfn.NUMBERVALUE(B41)&lt;=39),"Q3",_xlfn.NUMBERVALUE(B41)&gt;39,"Q4")</f>
        <v>Q3</v>
      </c>
      <c r="D41" s="448">
        <f t="shared" si="18"/>
        <v>44100</v>
      </c>
      <c r="E41" s="448">
        <f t="shared" si="2"/>
        <v>44106</v>
      </c>
      <c r="F41" s="97">
        <v>202035</v>
      </c>
      <c r="G41" s="86"/>
      <c r="H41" s="79"/>
      <c r="I41" s="449"/>
      <c r="J41" s="79"/>
      <c r="K41" s="97"/>
      <c r="L41" s="513"/>
      <c r="M41" s="513"/>
      <c r="N41" s="514"/>
      <c r="O41" s="513"/>
      <c r="P41" s="513"/>
      <c r="Q41" s="103"/>
      <c r="R41" s="429"/>
      <c r="S41" s="449"/>
      <c r="T41" s="79"/>
      <c r="U41" s="97"/>
      <c r="V41" s="86"/>
      <c r="W41" s="79"/>
      <c r="X41" s="454"/>
      <c r="Y41" s="79"/>
      <c r="Z41" s="97"/>
      <c r="AA41" s="429"/>
      <c r="AB41" s="429"/>
      <c r="AC41" s="449"/>
      <c r="AD41" s="429"/>
      <c r="AE41" s="429"/>
      <c r="AF41" s="126"/>
      <c r="AG41" s="265" t="str">
        <f t="shared" si="3"/>
        <v/>
      </c>
      <c r="AH41" s="515" t="str">
        <f t="shared" si="4"/>
        <v/>
      </c>
      <c r="AI41" s="515" t="str">
        <f t="shared" si="5"/>
        <v/>
      </c>
      <c r="AJ41" s="515" t="str">
        <f t="shared" si="6"/>
        <v/>
      </c>
      <c r="AK41" s="187" t="str">
        <f t="shared" si="7"/>
        <v/>
      </c>
      <c r="AL41" s="266" t="str">
        <f t="shared" si="8"/>
        <v/>
      </c>
      <c r="AM41" s="516" t="str">
        <f t="shared" si="9"/>
        <v/>
      </c>
      <c r="AN41" s="516" t="str">
        <f t="shared" si="10"/>
        <v/>
      </c>
      <c r="AO41" s="516" t="str">
        <f t="shared" si="11"/>
        <v/>
      </c>
      <c r="AP41" s="267" t="str">
        <f t="shared" si="12"/>
        <v/>
      </c>
      <c r="AQ41" s="268" t="str">
        <f t="shared" si="13"/>
        <v/>
      </c>
      <c r="AR41" s="450" t="str">
        <f t="shared" si="14"/>
        <v/>
      </c>
      <c r="AS41" s="450" t="str">
        <f t="shared" si="15"/>
        <v/>
      </c>
      <c r="AT41" s="450" t="str">
        <f t="shared" si="16"/>
        <v/>
      </c>
      <c r="AU41" s="269" t="str">
        <f t="shared" si="17"/>
        <v/>
      </c>
    </row>
    <row r="42" spans="1:47" ht="15.75" customHeight="1">
      <c r="A42" s="175">
        <f t="shared" si="0"/>
        <v>2021</v>
      </c>
      <c r="B42" s="454" t="str">
        <f t="shared" si="1"/>
        <v>36</v>
      </c>
      <c r="C42" s="454" t="str">
        <f t="array" ref="C42">_xlfn.IFS(_xlfn.NUMBERVALUE(B42)&lt;=13,"Q1",AND(_xlfn.NUMBERVALUE(B42)&gt;13,_xlfn.NUMBERVALUE(B42)&lt;=26),"Q2", AND(_xlfn.NUMBERVALUE(B42)&gt;26,_xlfn.NUMBERVALUE(B42)&lt;=39),"Q3",_xlfn.NUMBERVALUE(B42)&gt;39,"Q4")</f>
        <v>Q3</v>
      </c>
      <c r="D42" s="448">
        <f t="shared" si="18"/>
        <v>44107</v>
      </c>
      <c r="E42" s="448">
        <f t="shared" si="2"/>
        <v>44113</v>
      </c>
      <c r="F42" s="97">
        <v>202036</v>
      </c>
      <c r="G42" s="86"/>
      <c r="H42" s="79"/>
      <c r="I42" s="449"/>
      <c r="J42" s="79"/>
      <c r="K42" s="97"/>
      <c r="L42" s="513"/>
      <c r="M42" s="513"/>
      <c r="N42" s="514"/>
      <c r="O42" s="513"/>
      <c r="P42" s="513"/>
      <c r="Q42" s="103"/>
      <c r="R42" s="429"/>
      <c r="S42" s="449"/>
      <c r="T42" s="79"/>
      <c r="U42" s="97"/>
      <c r="V42" s="86"/>
      <c r="W42" s="79"/>
      <c r="X42" s="454"/>
      <c r="Y42" s="79"/>
      <c r="Z42" s="97"/>
      <c r="AA42" s="429"/>
      <c r="AB42" s="429"/>
      <c r="AC42" s="449"/>
      <c r="AD42" s="429"/>
      <c r="AE42" s="429"/>
      <c r="AF42" s="126"/>
      <c r="AG42" s="265" t="str">
        <f t="shared" si="3"/>
        <v/>
      </c>
      <c r="AH42" s="515" t="str">
        <f t="shared" si="4"/>
        <v/>
      </c>
      <c r="AI42" s="515" t="str">
        <f t="shared" si="5"/>
        <v/>
      </c>
      <c r="AJ42" s="515" t="str">
        <f t="shared" si="6"/>
        <v/>
      </c>
      <c r="AK42" s="187" t="str">
        <f t="shared" si="7"/>
        <v/>
      </c>
      <c r="AL42" s="266" t="str">
        <f t="shared" si="8"/>
        <v/>
      </c>
      <c r="AM42" s="516" t="str">
        <f t="shared" si="9"/>
        <v/>
      </c>
      <c r="AN42" s="516" t="str">
        <f t="shared" si="10"/>
        <v/>
      </c>
      <c r="AO42" s="516" t="str">
        <f t="shared" si="11"/>
        <v/>
      </c>
      <c r="AP42" s="267" t="str">
        <f t="shared" si="12"/>
        <v/>
      </c>
      <c r="AQ42" s="268" t="str">
        <f t="shared" si="13"/>
        <v/>
      </c>
      <c r="AR42" s="450" t="str">
        <f t="shared" si="14"/>
        <v/>
      </c>
      <c r="AS42" s="450" t="str">
        <f t="shared" si="15"/>
        <v/>
      </c>
      <c r="AT42" s="450" t="str">
        <f t="shared" si="16"/>
        <v/>
      </c>
      <c r="AU42" s="269" t="str">
        <f t="shared" si="17"/>
        <v/>
      </c>
    </row>
    <row r="43" spans="1:47" ht="15.75" customHeight="1">
      <c r="A43" s="175">
        <f t="shared" si="0"/>
        <v>2021</v>
      </c>
      <c r="B43" s="454" t="str">
        <f t="shared" si="1"/>
        <v>37</v>
      </c>
      <c r="C43" s="454" t="str">
        <f t="array" ref="C43">_xlfn.IFS(_xlfn.NUMBERVALUE(B43)&lt;=13,"Q1",AND(_xlfn.NUMBERVALUE(B43)&gt;13,_xlfn.NUMBERVALUE(B43)&lt;=26),"Q2", AND(_xlfn.NUMBERVALUE(B43)&gt;26,_xlfn.NUMBERVALUE(B43)&lt;=39),"Q3",_xlfn.NUMBERVALUE(B43)&gt;39,"Q4")</f>
        <v>Q3</v>
      </c>
      <c r="D43" s="448">
        <f t="shared" si="18"/>
        <v>44114</v>
      </c>
      <c r="E43" s="448">
        <f t="shared" si="2"/>
        <v>44120</v>
      </c>
      <c r="F43" s="97">
        <v>202037</v>
      </c>
      <c r="G43" s="86"/>
      <c r="H43" s="79"/>
      <c r="I43" s="449"/>
      <c r="J43" s="79"/>
      <c r="K43" s="97"/>
      <c r="L43" s="513"/>
      <c r="M43" s="513"/>
      <c r="N43" s="514"/>
      <c r="O43" s="513"/>
      <c r="P43" s="513"/>
      <c r="Q43" s="103"/>
      <c r="R43" s="429"/>
      <c r="S43" s="449"/>
      <c r="T43" s="79"/>
      <c r="U43" s="97"/>
      <c r="V43" s="86"/>
      <c r="W43" s="79"/>
      <c r="X43" s="454"/>
      <c r="Y43" s="79"/>
      <c r="Z43" s="97"/>
      <c r="AA43" s="429"/>
      <c r="AB43" s="429"/>
      <c r="AC43" s="449"/>
      <c r="AD43" s="429"/>
      <c r="AE43" s="429"/>
      <c r="AF43" s="126"/>
      <c r="AG43" s="265" t="str">
        <f t="shared" si="3"/>
        <v/>
      </c>
      <c r="AH43" s="515" t="str">
        <f t="shared" si="4"/>
        <v/>
      </c>
      <c r="AI43" s="515" t="str">
        <f t="shared" si="5"/>
        <v/>
      </c>
      <c r="AJ43" s="515" t="str">
        <f t="shared" si="6"/>
        <v/>
      </c>
      <c r="AK43" s="187" t="str">
        <f t="shared" si="7"/>
        <v/>
      </c>
      <c r="AL43" s="266" t="str">
        <f t="shared" si="8"/>
        <v/>
      </c>
      <c r="AM43" s="516" t="str">
        <f t="shared" si="9"/>
        <v/>
      </c>
      <c r="AN43" s="516" t="str">
        <f t="shared" si="10"/>
        <v/>
      </c>
      <c r="AO43" s="516" t="str">
        <f t="shared" si="11"/>
        <v/>
      </c>
      <c r="AP43" s="267" t="str">
        <f t="shared" si="12"/>
        <v/>
      </c>
      <c r="AQ43" s="268" t="str">
        <f t="shared" si="13"/>
        <v/>
      </c>
      <c r="AR43" s="450" t="str">
        <f t="shared" si="14"/>
        <v/>
      </c>
      <c r="AS43" s="450" t="str">
        <f t="shared" si="15"/>
        <v/>
      </c>
      <c r="AT43" s="450" t="str">
        <f t="shared" si="16"/>
        <v/>
      </c>
      <c r="AU43" s="269" t="str">
        <f t="shared" si="17"/>
        <v/>
      </c>
    </row>
    <row r="44" spans="1:47" ht="15.75" customHeight="1">
      <c r="A44" s="175">
        <f t="shared" si="0"/>
        <v>2021</v>
      </c>
      <c r="B44" s="454" t="str">
        <f t="shared" si="1"/>
        <v>38</v>
      </c>
      <c r="C44" s="454" t="str">
        <f t="array" ref="C44">_xlfn.IFS(_xlfn.NUMBERVALUE(B44)&lt;=13,"Q1",AND(_xlfn.NUMBERVALUE(B44)&gt;13,_xlfn.NUMBERVALUE(B44)&lt;=26),"Q2", AND(_xlfn.NUMBERVALUE(B44)&gt;26,_xlfn.NUMBERVALUE(B44)&lt;=39),"Q3",_xlfn.NUMBERVALUE(B44)&gt;39,"Q4")</f>
        <v>Q3</v>
      </c>
      <c r="D44" s="448">
        <f t="shared" si="18"/>
        <v>44121</v>
      </c>
      <c r="E44" s="448">
        <f t="shared" si="2"/>
        <v>44127</v>
      </c>
      <c r="F44" s="97">
        <v>202038</v>
      </c>
      <c r="G44" s="86"/>
      <c r="H44" s="79"/>
      <c r="I44" s="449"/>
      <c r="J44" s="79"/>
      <c r="K44" s="97"/>
      <c r="L44" s="513"/>
      <c r="M44" s="513"/>
      <c r="N44" s="514"/>
      <c r="O44" s="513"/>
      <c r="P44" s="513"/>
      <c r="Q44" s="103"/>
      <c r="R44" s="429"/>
      <c r="S44" s="449"/>
      <c r="T44" s="79"/>
      <c r="U44" s="97"/>
      <c r="V44" s="86"/>
      <c r="W44" s="79"/>
      <c r="X44" s="454"/>
      <c r="Y44" s="79"/>
      <c r="Z44" s="97"/>
      <c r="AA44" s="429"/>
      <c r="AB44" s="429"/>
      <c r="AC44" s="449"/>
      <c r="AD44" s="429"/>
      <c r="AE44" s="429"/>
      <c r="AF44" s="126"/>
      <c r="AG44" s="265" t="str">
        <f t="shared" si="3"/>
        <v/>
      </c>
      <c r="AH44" s="515" t="str">
        <f t="shared" si="4"/>
        <v/>
      </c>
      <c r="AI44" s="515" t="str">
        <f t="shared" si="5"/>
        <v/>
      </c>
      <c r="AJ44" s="515" t="str">
        <f t="shared" si="6"/>
        <v/>
      </c>
      <c r="AK44" s="187" t="str">
        <f t="shared" si="7"/>
        <v/>
      </c>
      <c r="AL44" s="266" t="str">
        <f t="shared" si="8"/>
        <v/>
      </c>
      <c r="AM44" s="516" t="str">
        <f t="shared" si="9"/>
        <v/>
      </c>
      <c r="AN44" s="516" t="str">
        <f t="shared" si="10"/>
        <v/>
      </c>
      <c r="AO44" s="516" t="str">
        <f t="shared" si="11"/>
        <v/>
      </c>
      <c r="AP44" s="267" t="str">
        <f t="shared" si="12"/>
        <v/>
      </c>
      <c r="AQ44" s="268" t="str">
        <f t="shared" si="13"/>
        <v/>
      </c>
      <c r="AR44" s="450" t="str">
        <f t="shared" si="14"/>
        <v/>
      </c>
      <c r="AS44" s="450" t="str">
        <f t="shared" si="15"/>
        <v/>
      </c>
      <c r="AT44" s="450" t="str">
        <f t="shared" si="16"/>
        <v/>
      </c>
      <c r="AU44" s="269" t="str">
        <f t="shared" si="17"/>
        <v/>
      </c>
    </row>
    <row r="45" spans="1:47" ht="15.75" customHeight="1">
      <c r="A45" s="175">
        <f t="shared" si="0"/>
        <v>2021</v>
      </c>
      <c r="B45" s="454" t="str">
        <f t="shared" si="1"/>
        <v>39</v>
      </c>
      <c r="C45" s="454" t="str">
        <f t="array" ref="C45">_xlfn.IFS(_xlfn.NUMBERVALUE(B45)&lt;=13,"Q1",AND(_xlfn.NUMBERVALUE(B45)&gt;13,_xlfn.NUMBERVALUE(B45)&lt;=26),"Q2", AND(_xlfn.NUMBERVALUE(B45)&gt;26,_xlfn.NUMBERVALUE(B45)&lt;=39),"Q3",_xlfn.NUMBERVALUE(B45)&gt;39,"Q4")</f>
        <v>Q3</v>
      </c>
      <c r="D45" s="448">
        <f t="shared" si="18"/>
        <v>44128</v>
      </c>
      <c r="E45" s="448">
        <f t="shared" si="2"/>
        <v>44134</v>
      </c>
      <c r="F45" s="97">
        <v>202039</v>
      </c>
      <c r="G45" s="86"/>
      <c r="H45" s="79"/>
      <c r="I45" s="449"/>
      <c r="J45" s="79"/>
      <c r="K45" s="97"/>
      <c r="L45" s="513"/>
      <c r="M45" s="513"/>
      <c r="N45" s="514"/>
      <c r="O45" s="513"/>
      <c r="P45" s="513"/>
      <c r="Q45" s="103"/>
      <c r="R45" s="429"/>
      <c r="S45" s="449"/>
      <c r="T45" s="79"/>
      <c r="U45" s="97"/>
      <c r="V45" s="86"/>
      <c r="W45" s="79"/>
      <c r="X45" s="454"/>
      <c r="Y45" s="79"/>
      <c r="Z45" s="97"/>
      <c r="AA45" s="429"/>
      <c r="AB45" s="429"/>
      <c r="AC45" s="449"/>
      <c r="AD45" s="429"/>
      <c r="AE45" s="429"/>
      <c r="AF45" s="126"/>
      <c r="AG45" s="265" t="str">
        <f t="shared" si="3"/>
        <v/>
      </c>
      <c r="AH45" s="515" t="str">
        <f t="shared" si="4"/>
        <v/>
      </c>
      <c r="AI45" s="515" t="str">
        <f t="shared" si="5"/>
        <v/>
      </c>
      <c r="AJ45" s="515" t="str">
        <f t="shared" si="6"/>
        <v/>
      </c>
      <c r="AK45" s="187" t="str">
        <f t="shared" si="7"/>
        <v/>
      </c>
      <c r="AL45" s="266" t="str">
        <f t="shared" si="8"/>
        <v/>
      </c>
      <c r="AM45" s="516" t="str">
        <f t="shared" si="9"/>
        <v/>
      </c>
      <c r="AN45" s="516" t="str">
        <f t="shared" si="10"/>
        <v/>
      </c>
      <c r="AO45" s="516" t="str">
        <f t="shared" si="11"/>
        <v/>
      </c>
      <c r="AP45" s="267" t="str">
        <f t="shared" si="12"/>
        <v/>
      </c>
      <c r="AQ45" s="268" t="str">
        <f t="shared" si="13"/>
        <v/>
      </c>
      <c r="AR45" s="450" t="str">
        <f t="shared" si="14"/>
        <v/>
      </c>
      <c r="AS45" s="450" t="str">
        <f t="shared" si="15"/>
        <v/>
      </c>
      <c r="AT45" s="450" t="str">
        <f t="shared" si="16"/>
        <v/>
      </c>
      <c r="AU45" s="269" t="str">
        <f t="shared" si="17"/>
        <v/>
      </c>
    </row>
    <row r="46" spans="1:47" ht="15.75" customHeight="1">
      <c r="A46" s="175">
        <f t="shared" si="0"/>
        <v>2021</v>
      </c>
      <c r="B46" s="454" t="str">
        <f t="shared" si="1"/>
        <v>40</v>
      </c>
      <c r="C46" s="454" t="str">
        <f t="array" ref="C46">_xlfn.IFS(_xlfn.NUMBERVALUE(B46)&lt;=13,"Q1",AND(_xlfn.NUMBERVALUE(B46)&gt;13,_xlfn.NUMBERVALUE(B46)&lt;=26),"Q2", AND(_xlfn.NUMBERVALUE(B46)&gt;26,_xlfn.NUMBERVALUE(B46)&lt;=39),"Q3",_xlfn.NUMBERVALUE(B46)&gt;39,"Q4")</f>
        <v>Q4</v>
      </c>
      <c r="D46" s="448">
        <f t="shared" si="18"/>
        <v>44135</v>
      </c>
      <c r="E46" s="448">
        <f t="shared" si="2"/>
        <v>44141</v>
      </c>
      <c r="F46" s="97">
        <v>202040</v>
      </c>
      <c r="G46" s="86"/>
      <c r="H46" s="79"/>
      <c r="I46" s="449"/>
      <c r="J46" s="79"/>
      <c r="K46" s="97"/>
      <c r="L46" s="513"/>
      <c r="M46" s="513"/>
      <c r="N46" s="514"/>
      <c r="O46" s="513"/>
      <c r="P46" s="513"/>
      <c r="Q46" s="103"/>
      <c r="R46" s="429"/>
      <c r="S46" s="449"/>
      <c r="T46" s="79"/>
      <c r="U46" s="97"/>
      <c r="V46" s="86"/>
      <c r="W46" s="79"/>
      <c r="X46" s="454"/>
      <c r="Y46" s="79"/>
      <c r="Z46" s="97"/>
      <c r="AA46" s="429"/>
      <c r="AB46" s="429"/>
      <c r="AC46" s="449"/>
      <c r="AD46" s="429"/>
      <c r="AE46" s="429"/>
      <c r="AF46" s="126"/>
      <c r="AG46" s="265" t="str">
        <f t="shared" si="3"/>
        <v/>
      </c>
      <c r="AH46" s="515" t="str">
        <f t="shared" si="4"/>
        <v/>
      </c>
      <c r="AI46" s="515" t="str">
        <f t="shared" si="5"/>
        <v/>
      </c>
      <c r="AJ46" s="515" t="str">
        <f t="shared" si="6"/>
        <v/>
      </c>
      <c r="AK46" s="187" t="str">
        <f t="shared" si="7"/>
        <v/>
      </c>
      <c r="AL46" s="266" t="str">
        <f t="shared" si="8"/>
        <v/>
      </c>
      <c r="AM46" s="516" t="str">
        <f t="shared" si="9"/>
        <v/>
      </c>
      <c r="AN46" s="516" t="str">
        <f t="shared" si="10"/>
        <v/>
      </c>
      <c r="AO46" s="516" t="str">
        <f t="shared" si="11"/>
        <v/>
      </c>
      <c r="AP46" s="267" t="str">
        <f t="shared" si="12"/>
        <v/>
      </c>
      <c r="AQ46" s="268" t="str">
        <f t="shared" si="13"/>
        <v/>
      </c>
      <c r="AR46" s="450" t="str">
        <f t="shared" si="14"/>
        <v/>
      </c>
      <c r="AS46" s="450" t="str">
        <f t="shared" si="15"/>
        <v/>
      </c>
      <c r="AT46" s="450" t="str">
        <f t="shared" si="16"/>
        <v/>
      </c>
      <c r="AU46" s="269" t="str">
        <f t="shared" si="17"/>
        <v/>
      </c>
    </row>
    <row r="47" spans="1:47" ht="15.75" customHeight="1">
      <c r="A47" s="175">
        <f t="shared" si="0"/>
        <v>2021</v>
      </c>
      <c r="B47" s="454" t="str">
        <f t="shared" si="1"/>
        <v>41</v>
      </c>
      <c r="C47" s="454" t="str">
        <f t="array" ref="C47">_xlfn.IFS(_xlfn.NUMBERVALUE(B47)&lt;=13,"Q1",AND(_xlfn.NUMBERVALUE(B47)&gt;13,_xlfn.NUMBERVALUE(B47)&lt;=26),"Q2", AND(_xlfn.NUMBERVALUE(B47)&gt;26,_xlfn.NUMBERVALUE(B47)&lt;=39),"Q3",_xlfn.NUMBERVALUE(B47)&gt;39,"Q4")</f>
        <v>Q4</v>
      </c>
      <c r="D47" s="448">
        <f t="shared" si="18"/>
        <v>44142</v>
      </c>
      <c r="E47" s="448">
        <f t="shared" si="2"/>
        <v>44148</v>
      </c>
      <c r="F47" s="97">
        <v>202041</v>
      </c>
      <c r="G47" s="86"/>
      <c r="H47" s="79"/>
      <c r="I47" s="449"/>
      <c r="J47" s="79"/>
      <c r="K47" s="97"/>
      <c r="L47" s="513"/>
      <c r="M47" s="513"/>
      <c r="N47" s="514"/>
      <c r="O47" s="513"/>
      <c r="P47" s="513"/>
      <c r="Q47" s="103"/>
      <c r="R47" s="429"/>
      <c r="S47" s="449"/>
      <c r="T47" s="79"/>
      <c r="U47" s="97"/>
      <c r="V47" s="86"/>
      <c r="W47" s="79"/>
      <c r="X47" s="454"/>
      <c r="Y47" s="79"/>
      <c r="Z47" s="97"/>
      <c r="AA47" s="429"/>
      <c r="AB47" s="429"/>
      <c r="AC47" s="449"/>
      <c r="AD47" s="429"/>
      <c r="AE47" s="429"/>
      <c r="AF47" s="126"/>
      <c r="AG47" s="265" t="str">
        <f t="shared" si="3"/>
        <v/>
      </c>
      <c r="AH47" s="515" t="str">
        <f t="shared" si="4"/>
        <v/>
      </c>
      <c r="AI47" s="515" t="str">
        <f t="shared" si="5"/>
        <v/>
      </c>
      <c r="AJ47" s="515" t="str">
        <f t="shared" si="6"/>
        <v/>
      </c>
      <c r="AK47" s="187" t="str">
        <f t="shared" si="7"/>
        <v/>
      </c>
      <c r="AL47" s="266" t="str">
        <f t="shared" si="8"/>
        <v/>
      </c>
      <c r="AM47" s="516" t="str">
        <f t="shared" si="9"/>
        <v/>
      </c>
      <c r="AN47" s="516" t="str">
        <f t="shared" si="10"/>
        <v/>
      </c>
      <c r="AO47" s="516" t="str">
        <f t="shared" si="11"/>
        <v/>
      </c>
      <c r="AP47" s="267" t="str">
        <f t="shared" si="12"/>
        <v/>
      </c>
      <c r="AQ47" s="268" t="str">
        <f t="shared" si="13"/>
        <v/>
      </c>
      <c r="AR47" s="450" t="str">
        <f t="shared" si="14"/>
        <v/>
      </c>
      <c r="AS47" s="450" t="str">
        <f t="shared" si="15"/>
        <v/>
      </c>
      <c r="AT47" s="450" t="str">
        <f t="shared" si="16"/>
        <v/>
      </c>
      <c r="AU47" s="269" t="str">
        <f t="shared" si="17"/>
        <v/>
      </c>
    </row>
    <row r="48" spans="1:47" ht="15.75" customHeight="1">
      <c r="A48" s="175">
        <f t="shared" si="0"/>
        <v>2021</v>
      </c>
      <c r="B48" s="454" t="str">
        <f t="shared" si="1"/>
        <v>42</v>
      </c>
      <c r="C48" s="454" t="str">
        <f t="array" ref="C48">_xlfn.IFS(_xlfn.NUMBERVALUE(B48)&lt;=13,"Q1",AND(_xlfn.NUMBERVALUE(B48)&gt;13,_xlfn.NUMBERVALUE(B48)&lt;=26),"Q2", AND(_xlfn.NUMBERVALUE(B48)&gt;26,_xlfn.NUMBERVALUE(B48)&lt;=39),"Q3",_xlfn.NUMBERVALUE(B48)&gt;39,"Q4")</f>
        <v>Q4</v>
      </c>
      <c r="D48" s="448">
        <f t="shared" si="18"/>
        <v>44149</v>
      </c>
      <c r="E48" s="448">
        <f t="shared" si="2"/>
        <v>44155</v>
      </c>
      <c r="F48" s="97">
        <v>202042</v>
      </c>
      <c r="G48" s="86"/>
      <c r="H48" s="79"/>
      <c r="I48" s="449"/>
      <c r="J48" s="79"/>
      <c r="K48" s="97"/>
      <c r="L48" s="513"/>
      <c r="M48" s="513"/>
      <c r="N48" s="514"/>
      <c r="O48" s="513"/>
      <c r="P48" s="513"/>
      <c r="Q48" s="103"/>
      <c r="R48" s="429"/>
      <c r="S48" s="449"/>
      <c r="T48" s="79"/>
      <c r="U48" s="97"/>
      <c r="V48" s="86"/>
      <c r="W48" s="79"/>
      <c r="X48" s="454"/>
      <c r="Y48" s="79"/>
      <c r="Z48" s="97"/>
      <c r="AA48" s="429"/>
      <c r="AB48" s="429"/>
      <c r="AC48" s="449"/>
      <c r="AD48" s="429"/>
      <c r="AE48" s="429"/>
      <c r="AF48" s="126"/>
      <c r="AG48" s="265" t="str">
        <f t="shared" si="3"/>
        <v/>
      </c>
      <c r="AH48" s="515" t="str">
        <f t="shared" si="4"/>
        <v/>
      </c>
      <c r="AI48" s="515" t="str">
        <f t="shared" si="5"/>
        <v/>
      </c>
      <c r="AJ48" s="515" t="str">
        <f t="shared" si="6"/>
        <v/>
      </c>
      <c r="AK48" s="187" t="str">
        <f t="shared" si="7"/>
        <v/>
      </c>
      <c r="AL48" s="266" t="str">
        <f t="shared" si="8"/>
        <v/>
      </c>
      <c r="AM48" s="516" t="str">
        <f t="shared" si="9"/>
        <v/>
      </c>
      <c r="AN48" s="516" t="str">
        <f t="shared" si="10"/>
        <v/>
      </c>
      <c r="AO48" s="516" t="str">
        <f t="shared" si="11"/>
        <v/>
      </c>
      <c r="AP48" s="267" t="str">
        <f t="shared" si="12"/>
        <v/>
      </c>
      <c r="AQ48" s="268" t="str">
        <f t="shared" si="13"/>
        <v/>
      </c>
      <c r="AR48" s="450" t="str">
        <f t="shared" si="14"/>
        <v/>
      </c>
      <c r="AS48" s="450" t="str">
        <f t="shared" si="15"/>
        <v/>
      </c>
      <c r="AT48" s="450" t="str">
        <f t="shared" si="16"/>
        <v/>
      </c>
      <c r="AU48" s="269" t="str">
        <f t="shared" si="17"/>
        <v/>
      </c>
    </row>
    <row r="49" spans="1:47" ht="15.75" customHeight="1">
      <c r="A49" s="175">
        <f t="shared" si="0"/>
        <v>2021</v>
      </c>
      <c r="B49" s="454" t="str">
        <f t="shared" si="1"/>
        <v>43</v>
      </c>
      <c r="C49" s="454" t="str">
        <f t="array" ref="C49">_xlfn.IFS(_xlfn.NUMBERVALUE(B49)&lt;=13,"Q1",AND(_xlfn.NUMBERVALUE(B49)&gt;13,_xlfn.NUMBERVALUE(B49)&lt;=26),"Q2", AND(_xlfn.NUMBERVALUE(B49)&gt;26,_xlfn.NUMBERVALUE(B49)&lt;=39),"Q3",_xlfn.NUMBERVALUE(B49)&gt;39,"Q4")</f>
        <v>Q4</v>
      </c>
      <c r="D49" s="448">
        <f t="shared" si="18"/>
        <v>44156</v>
      </c>
      <c r="E49" s="448">
        <f t="shared" si="2"/>
        <v>44162</v>
      </c>
      <c r="F49" s="97">
        <v>202043</v>
      </c>
      <c r="G49" s="86"/>
      <c r="H49" s="79"/>
      <c r="I49" s="449"/>
      <c r="J49" s="79"/>
      <c r="K49" s="97"/>
      <c r="L49" s="513"/>
      <c r="M49" s="513"/>
      <c r="N49" s="514"/>
      <c r="O49" s="513"/>
      <c r="P49" s="513"/>
      <c r="Q49" s="103"/>
      <c r="R49" s="429"/>
      <c r="S49" s="449"/>
      <c r="T49" s="79"/>
      <c r="U49" s="97"/>
      <c r="V49" s="86"/>
      <c r="W49" s="79"/>
      <c r="X49" s="454"/>
      <c r="Y49" s="79"/>
      <c r="Z49" s="97"/>
      <c r="AA49" s="429"/>
      <c r="AB49" s="429"/>
      <c r="AC49" s="449"/>
      <c r="AD49" s="429"/>
      <c r="AE49" s="429"/>
      <c r="AF49" s="126"/>
      <c r="AG49" s="265" t="str">
        <f t="shared" si="3"/>
        <v/>
      </c>
      <c r="AH49" s="515" t="str">
        <f t="shared" si="4"/>
        <v/>
      </c>
      <c r="AI49" s="515" t="str">
        <f t="shared" si="5"/>
        <v/>
      </c>
      <c r="AJ49" s="515" t="str">
        <f t="shared" si="6"/>
        <v/>
      </c>
      <c r="AK49" s="187" t="str">
        <f t="shared" si="7"/>
        <v/>
      </c>
      <c r="AL49" s="266" t="str">
        <f t="shared" si="8"/>
        <v/>
      </c>
      <c r="AM49" s="516" t="str">
        <f t="shared" si="9"/>
        <v/>
      </c>
      <c r="AN49" s="516" t="str">
        <f t="shared" si="10"/>
        <v/>
      </c>
      <c r="AO49" s="516" t="str">
        <f t="shared" si="11"/>
        <v/>
      </c>
      <c r="AP49" s="267" t="str">
        <f t="shared" si="12"/>
        <v/>
      </c>
      <c r="AQ49" s="268" t="str">
        <f t="shared" si="13"/>
        <v/>
      </c>
      <c r="AR49" s="450" t="str">
        <f t="shared" si="14"/>
        <v/>
      </c>
      <c r="AS49" s="450" t="str">
        <f t="shared" si="15"/>
        <v/>
      </c>
      <c r="AT49" s="450" t="str">
        <f t="shared" si="16"/>
        <v/>
      </c>
      <c r="AU49" s="269" t="str">
        <f t="shared" si="17"/>
        <v/>
      </c>
    </row>
    <row r="50" spans="1:47" ht="15.75" customHeight="1">
      <c r="A50" s="175">
        <f t="shared" si="0"/>
        <v>2021</v>
      </c>
      <c r="B50" s="454" t="str">
        <f t="shared" si="1"/>
        <v>44</v>
      </c>
      <c r="C50" s="454" t="str">
        <f t="array" ref="C50">_xlfn.IFS(_xlfn.NUMBERVALUE(B50)&lt;=13,"Q1",AND(_xlfn.NUMBERVALUE(B50)&gt;13,_xlfn.NUMBERVALUE(B50)&lt;=26),"Q2", AND(_xlfn.NUMBERVALUE(B50)&gt;26,_xlfn.NUMBERVALUE(B50)&lt;=39),"Q3",_xlfn.NUMBERVALUE(B50)&gt;39,"Q4")</f>
        <v>Q4</v>
      </c>
      <c r="D50" s="448">
        <f t="shared" si="18"/>
        <v>44163</v>
      </c>
      <c r="E50" s="448">
        <f t="shared" si="2"/>
        <v>44169</v>
      </c>
      <c r="F50" s="97">
        <v>202044</v>
      </c>
      <c r="G50" s="86"/>
      <c r="H50" s="79"/>
      <c r="I50" s="449"/>
      <c r="J50" s="79"/>
      <c r="K50" s="97"/>
      <c r="L50" s="513"/>
      <c r="M50" s="513"/>
      <c r="N50" s="514"/>
      <c r="O50" s="513"/>
      <c r="P50" s="513"/>
      <c r="Q50" s="103"/>
      <c r="R50" s="429"/>
      <c r="S50" s="449"/>
      <c r="T50" s="79"/>
      <c r="U50" s="97"/>
      <c r="V50" s="86"/>
      <c r="W50" s="79"/>
      <c r="X50" s="454"/>
      <c r="Y50" s="79"/>
      <c r="Z50" s="97"/>
      <c r="AA50" s="429"/>
      <c r="AB50" s="429"/>
      <c r="AC50" s="449"/>
      <c r="AD50" s="429"/>
      <c r="AE50" s="429"/>
      <c r="AF50" s="126"/>
      <c r="AG50" s="265" t="str">
        <f t="shared" si="3"/>
        <v/>
      </c>
      <c r="AH50" s="515" t="str">
        <f t="shared" si="4"/>
        <v/>
      </c>
      <c r="AI50" s="515" t="str">
        <f t="shared" si="5"/>
        <v/>
      </c>
      <c r="AJ50" s="515" t="str">
        <f t="shared" si="6"/>
        <v/>
      </c>
      <c r="AK50" s="187" t="str">
        <f t="shared" si="7"/>
        <v/>
      </c>
      <c r="AL50" s="266" t="str">
        <f t="shared" si="8"/>
        <v/>
      </c>
      <c r="AM50" s="516" t="str">
        <f t="shared" si="9"/>
        <v/>
      </c>
      <c r="AN50" s="516" t="str">
        <f t="shared" si="10"/>
        <v/>
      </c>
      <c r="AO50" s="516" t="str">
        <f t="shared" si="11"/>
        <v/>
      </c>
      <c r="AP50" s="267" t="str">
        <f t="shared" si="12"/>
        <v/>
      </c>
      <c r="AQ50" s="268" t="str">
        <f t="shared" si="13"/>
        <v/>
      </c>
      <c r="AR50" s="450" t="str">
        <f t="shared" si="14"/>
        <v/>
      </c>
      <c r="AS50" s="450" t="str">
        <f t="shared" si="15"/>
        <v/>
      </c>
      <c r="AT50" s="450" t="str">
        <f t="shared" si="16"/>
        <v/>
      </c>
      <c r="AU50" s="269" t="str">
        <f t="shared" si="17"/>
        <v/>
      </c>
    </row>
    <row r="51" spans="1:47" ht="15.75" customHeight="1">
      <c r="A51" s="175">
        <f t="shared" si="0"/>
        <v>2021</v>
      </c>
      <c r="B51" s="454" t="str">
        <f t="shared" si="1"/>
        <v>45</v>
      </c>
      <c r="C51" s="454" t="str">
        <f t="array" ref="C51">_xlfn.IFS(_xlfn.NUMBERVALUE(B51)&lt;=13,"Q1",AND(_xlfn.NUMBERVALUE(B51)&gt;13,_xlfn.NUMBERVALUE(B51)&lt;=26),"Q2", AND(_xlfn.NUMBERVALUE(B51)&gt;26,_xlfn.NUMBERVALUE(B51)&lt;=39),"Q3",_xlfn.NUMBERVALUE(B51)&gt;39,"Q4")</f>
        <v>Q4</v>
      </c>
      <c r="D51" s="448">
        <f t="shared" si="18"/>
        <v>44170</v>
      </c>
      <c r="E51" s="448">
        <f t="shared" si="2"/>
        <v>44176</v>
      </c>
      <c r="F51" s="97">
        <v>202045</v>
      </c>
      <c r="G51" s="86"/>
      <c r="H51" s="79"/>
      <c r="I51" s="449"/>
      <c r="J51" s="79"/>
      <c r="K51" s="97"/>
      <c r="L51" s="513"/>
      <c r="M51" s="513"/>
      <c r="N51" s="514"/>
      <c r="O51" s="513"/>
      <c r="P51" s="513"/>
      <c r="Q51" s="103"/>
      <c r="R51" s="429"/>
      <c r="S51" s="449"/>
      <c r="T51" s="79"/>
      <c r="U51" s="97"/>
      <c r="V51" s="86"/>
      <c r="W51" s="79"/>
      <c r="X51" s="454"/>
      <c r="Y51" s="79"/>
      <c r="Z51" s="97"/>
      <c r="AA51" s="429"/>
      <c r="AB51" s="429"/>
      <c r="AC51" s="449"/>
      <c r="AD51" s="429"/>
      <c r="AE51" s="429"/>
      <c r="AF51" s="126"/>
      <c r="AG51" s="265" t="str">
        <f t="shared" si="3"/>
        <v/>
      </c>
      <c r="AH51" s="515" t="str">
        <f t="shared" si="4"/>
        <v/>
      </c>
      <c r="AI51" s="515" t="str">
        <f t="shared" si="5"/>
        <v/>
      </c>
      <c r="AJ51" s="515" t="str">
        <f t="shared" si="6"/>
        <v/>
      </c>
      <c r="AK51" s="187" t="str">
        <f t="shared" si="7"/>
        <v/>
      </c>
      <c r="AL51" s="266" t="str">
        <f t="shared" si="8"/>
        <v/>
      </c>
      <c r="AM51" s="516" t="str">
        <f t="shared" si="9"/>
        <v/>
      </c>
      <c r="AN51" s="516" t="str">
        <f t="shared" si="10"/>
        <v/>
      </c>
      <c r="AO51" s="516" t="str">
        <f t="shared" si="11"/>
        <v/>
      </c>
      <c r="AP51" s="267" t="str">
        <f t="shared" si="12"/>
        <v/>
      </c>
      <c r="AQ51" s="268" t="str">
        <f t="shared" si="13"/>
        <v/>
      </c>
      <c r="AR51" s="450" t="str">
        <f t="shared" si="14"/>
        <v/>
      </c>
      <c r="AS51" s="450" t="str">
        <f t="shared" si="15"/>
        <v/>
      </c>
      <c r="AT51" s="450" t="str">
        <f t="shared" si="16"/>
        <v/>
      </c>
      <c r="AU51" s="269" t="str">
        <f t="shared" si="17"/>
        <v/>
      </c>
    </row>
    <row r="52" spans="1:47" ht="15.75" customHeight="1">
      <c r="A52" s="175">
        <f t="shared" si="0"/>
        <v>2021</v>
      </c>
      <c r="B52" s="454" t="str">
        <f t="shared" si="1"/>
        <v>46</v>
      </c>
      <c r="C52" s="454" t="str">
        <f t="array" ref="C52">_xlfn.IFS(_xlfn.NUMBERVALUE(B52)&lt;=13,"Q1",AND(_xlfn.NUMBERVALUE(B52)&gt;13,_xlfn.NUMBERVALUE(B52)&lt;=26),"Q2", AND(_xlfn.NUMBERVALUE(B52)&gt;26,_xlfn.NUMBERVALUE(B52)&lt;=39),"Q3",_xlfn.NUMBERVALUE(B52)&gt;39,"Q4")</f>
        <v>Q4</v>
      </c>
      <c r="D52" s="448">
        <f t="shared" si="18"/>
        <v>44177</v>
      </c>
      <c r="E52" s="448">
        <f t="shared" si="2"/>
        <v>44183</v>
      </c>
      <c r="F52" s="97">
        <v>202046</v>
      </c>
      <c r="G52" s="86"/>
      <c r="H52" s="79"/>
      <c r="I52" s="449"/>
      <c r="J52" s="79"/>
      <c r="K52" s="97"/>
      <c r="L52" s="513"/>
      <c r="M52" s="513"/>
      <c r="N52" s="514"/>
      <c r="O52" s="513"/>
      <c r="P52" s="513"/>
      <c r="Q52" s="103"/>
      <c r="R52" s="429"/>
      <c r="S52" s="449"/>
      <c r="T52" s="79"/>
      <c r="U52" s="97"/>
      <c r="V52" s="86"/>
      <c r="W52" s="79"/>
      <c r="X52" s="454"/>
      <c r="Y52" s="79"/>
      <c r="Z52" s="97"/>
      <c r="AA52" s="429"/>
      <c r="AB52" s="429"/>
      <c r="AC52" s="449"/>
      <c r="AD52" s="429"/>
      <c r="AE52" s="429"/>
      <c r="AF52" s="126"/>
      <c r="AG52" s="265" t="str">
        <f t="shared" si="3"/>
        <v/>
      </c>
      <c r="AH52" s="515" t="str">
        <f t="shared" si="4"/>
        <v/>
      </c>
      <c r="AI52" s="515" t="str">
        <f t="shared" si="5"/>
        <v/>
      </c>
      <c r="AJ52" s="515" t="str">
        <f t="shared" si="6"/>
        <v/>
      </c>
      <c r="AK52" s="187" t="str">
        <f t="shared" si="7"/>
        <v/>
      </c>
      <c r="AL52" s="266" t="str">
        <f t="shared" si="8"/>
        <v/>
      </c>
      <c r="AM52" s="516" t="str">
        <f t="shared" si="9"/>
        <v/>
      </c>
      <c r="AN52" s="516" t="str">
        <f t="shared" si="10"/>
        <v/>
      </c>
      <c r="AO52" s="516" t="str">
        <f t="shared" si="11"/>
        <v/>
      </c>
      <c r="AP52" s="267" t="str">
        <f t="shared" si="12"/>
        <v/>
      </c>
      <c r="AQ52" s="268" t="str">
        <f t="shared" si="13"/>
        <v/>
      </c>
      <c r="AR52" s="450" t="str">
        <f t="shared" si="14"/>
        <v/>
      </c>
      <c r="AS52" s="450" t="str">
        <f t="shared" si="15"/>
        <v/>
      </c>
      <c r="AT52" s="450" t="str">
        <f t="shared" si="16"/>
        <v/>
      </c>
      <c r="AU52" s="269" t="str">
        <f t="shared" si="17"/>
        <v/>
      </c>
    </row>
    <row r="53" spans="1:47" ht="15.75" customHeight="1">
      <c r="A53" s="175">
        <f t="shared" si="0"/>
        <v>2021</v>
      </c>
      <c r="B53" s="454" t="str">
        <f t="shared" si="1"/>
        <v>47</v>
      </c>
      <c r="C53" s="454" t="str">
        <f t="array" ref="C53">_xlfn.IFS(_xlfn.NUMBERVALUE(B53)&lt;=13,"Q1",AND(_xlfn.NUMBERVALUE(B53)&gt;13,_xlfn.NUMBERVALUE(B53)&lt;=26),"Q2", AND(_xlfn.NUMBERVALUE(B53)&gt;26,_xlfn.NUMBERVALUE(B53)&lt;=39),"Q3",_xlfn.NUMBERVALUE(B53)&gt;39,"Q4")</f>
        <v>Q4</v>
      </c>
      <c r="D53" s="448">
        <f t="shared" si="18"/>
        <v>44184</v>
      </c>
      <c r="E53" s="448">
        <f t="shared" si="2"/>
        <v>44190</v>
      </c>
      <c r="F53" s="97">
        <v>202047</v>
      </c>
      <c r="G53" s="86"/>
      <c r="H53" s="79"/>
      <c r="I53" s="449"/>
      <c r="J53" s="79"/>
      <c r="K53" s="97"/>
      <c r="L53" s="513"/>
      <c r="M53" s="513"/>
      <c r="N53" s="514"/>
      <c r="O53" s="513"/>
      <c r="P53" s="513"/>
      <c r="Q53" s="103"/>
      <c r="R53" s="429"/>
      <c r="S53" s="449"/>
      <c r="T53" s="79"/>
      <c r="U53" s="97"/>
      <c r="V53" s="86"/>
      <c r="W53" s="79"/>
      <c r="X53" s="454"/>
      <c r="Y53" s="79"/>
      <c r="Z53" s="97"/>
      <c r="AA53" s="429"/>
      <c r="AB53" s="429"/>
      <c r="AC53" s="449"/>
      <c r="AD53" s="429"/>
      <c r="AE53" s="429"/>
      <c r="AF53" s="126"/>
      <c r="AG53" s="265" t="str">
        <f t="shared" si="3"/>
        <v/>
      </c>
      <c r="AH53" s="515" t="str">
        <f t="shared" si="4"/>
        <v/>
      </c>
      <c r="AI53" s="515" t="str">
        <f t="shared" si="5"/>
        <v/>
      </c>
      <c r="AJ53" s="515" t="str">
        <f t="shared" si="6"/>
        <v/>
      </c>
      <c r="AK53" s="187" t="str">
        <f t="shared" si="7"/>
        <v/>
      </c>
      <c r="AL53" s="266" t="str">
        <f t="shared" si="8"/>
        <v/>
      </c>
      <c r="AM53" s="516" t="str">
        <f t="shared" si="9"/>
        <v/>
      </c>
      <c r="AN53" s="516" t="str">
        <f t="shared" si="10"/>
        <v/>
      </c>
      <c r="AO53" s="516" t="str">
        <f t="shared" si="11"/>
        <v/>
      </c>
      <c r="AP53" s="267" t="str">
        <f t="shared" si="12"/>
        <v/>
      </c>
      <c r="AQ53" s="268" t="str">
        <f t="shared" si="13"/>
        <v/>
      </c>
      <c r="AR53" s="450" t="str">
        <f t="shared" si="14"/>
        <v/>
      </c>
      <c r="AS53" s="450" t="str">
        <f t="shared" si="15"/>
        <v/>
      </c>
      <c r="AT53" s="450" t="str">
        <f t="shared" si="16"/>
        <v/>
      </c>
      <c r="AU53" s="269" t="str">
        <f t="shared" si="17"/>
        <v/>
      </c>
    </row>
    <row r="54" spans="1:47" ht="15.75" customHeight="1">
      <c r="A54" s="175">
        <f t="shared" si="0"/>
        <v>2021</v>
      </c>
      <c r="B54" s="454" t="str">
        <f t="shared" si="1"/>
        <v>48</v>
      </c>
      <c r="C54" s="454" t="str">
        <f t="array" ref="C54">_xlfn.IFS(_xlfn.NUMBERVALUE(B54)&lt;=13,"Q1",AND(_xlfn.NUMBERVALUE(B54)&gt;13,_xlfn.NUMBERVALUE(B54)&lt;=26),"Q2", AND(_xlfn.NUMBERVALUE(B54)&gt;26,_xlfn.NUMBERVALUE(B54)&lt;=39),"Q3",_xlfn.NUMBERVALUE(B54)&gt;39,"Q4")</f>
        <v>Q4</v>
      </c>
      <c r="D54" s="448">
        <f t="shared" si="18"/>
        <v>44191</v>
      </c>
      <c r="E54" s="448">
        <f t="shared" si="2"/>
        <v>44197</v>
      </c>
      <c r="F54" s="97">
        <v>202048</v>
      </c>
      <c r="G54" s="86"/>
      <c r="H54" s="79"/>
      <c r="I54" s="449"/>
      <c r="J54" s="79"/>
      <c r="K54" s="97"/>
      <c r="L54" s="513"/>
      <c r="M54" s="513"/>
      <c r="N54" s="514"/>
      <c r="O54" s="513"/>
      <c r="P54" s="513"/>
      <c r="Q54" s="103"/>
      <c r="R54" s="429"/>
      <c r="S54" s="449"/>
      <c r="T54" s="79"/>
      <c r="U54" s="97"/>
      <c r="V54" s="86"/>
      <c r="W54" s="79"/>
      <c r="X54" s="454"/>
      <c r="Y54" s="79"/>
      <c r="Z54" s="97"/>
      <c r="AA54" s="429"/>
      <c r="AB54" s="429"/>
      <c r="AC54" s="449"/>
      <c r="AD54" s="429"/>
      <c r="AE54" s="429"/>
      <c r="AF54" s="126"/>
      <c r="AG54" s="265" t="str">
        <f t="shared" si="3"/>
        <v/>
      </c>
      <c r="AH54" s="515" t="str">
        <f t="shared" si="4"/>
        <v/>
      </c>
      <c r="AI54" s="515" t="str">
        <f t="shared" si="5"/>
        <v/>
      </c>
      <c r="AJ54" s="515" t="str">
        <f t="shared" si="6"/>
        <v/>
      </c>
      <c r="AK54" s="187" t="str">
        <f t="shared" si="7"/>
        <v/>
      </c>
      <c r="AL54" s="266" t="str">
        <f t="shared" si="8"/>
        <v/>
      </c>
      <c r="AM54" s="516" t="str">
        <f t="shared" si="9"/>
        <v/>
      </c>
      <c r="AN54" s="516" t="str">
        <f t="shared" si="10"/>
        <v/>
      </c>
      <c r="AO54" s="516" t="str">
        <f t="shared" si="11"/>
        <v/>
      </c>
      <c r="AP54" s="267" t="str">
        <f t="shared" si="12"/>
        <v/>
      </c>
      <c r="AQ54" s="268" t="str">
        <f t="shared" si="13"/>
        <v/>
      </c>
      <c r="AR54" s="450" t="str">
        <f t="shared" si="14"/>
        <v/>
      </c>
      <c r="AS54" s="450" t="str">
        <f t="shared" si="15"/>
        <v/>
      </c>
      <c r="AT54" s="450" t="str">
        <f t="shared" si="16"/>
        <v/>
      </c>
      <c r="AU54" s="269" t="str">
        <f t="shared" si="17"/>
        <v/>
      </c>
    </row>
    <row r="55" spans="1:47" ht="15.75" customHeight="1">
      <c r="A55" s="175">
        <f t="shared" si="0"/>
        <v>2021</v>
      </c>
      <c r="B55" s="454" t="str">
        <f t="shared" si="1"/>
        <v>49</v>
      </c>
      <c r="C55" s="454" t="str">
        <f t="array" ref="C55">_xlfn.IFS(_xlfn.NUMBERVALUE(B55)&lt;=13,"Q1",AND(_xlfn.NUMBERVALUE(B55)&gt;13,_xlfn.NUMBERVALUE(B55)&lt;=26),"Q2", AND(_xlfn.NUMBERVALUE(B55)&gt;26,_xlfn.NUMBERVALUE(B55)&lt;=39),"Q3",_xlfn.NUMBERVALUE(B55)&gt;39,"Q4")</f>
        <v>Q4</v>
      </c>
      <c r="D55" s="448">
        <f t="shared" si="18"/>
        <v>44198</v>
      </c>
      <c r="E55" s="448">
        <f t="shared" si="2"/>
        <v>44204</v>
      </c>
      <c r="F55" s="97">
        <v>202049</v>
      </c>
      <c r="G55" s="86"/>
      <c r="H55" s="79"/>
      <c r="I55" s="449"/>
      <c r="J55" s="79"/>
      <c r="K55" s="97"/>
      <c r="L55" s="513"/>
      <c r="M55" s="513"/>
      <c r="N55" s="514"/>
      <c r="O55" s="513"/>
      <c r="P55" s="513"/>
      <c r="Q55" s="103"/>
      <c r="R55" s="429"/>
      <c r="S55" s="449"/>
      <c r="T55" s="79"/>
      <c r="U55" s="97"/>
      <c r="V55" s="86"/>
      <c r="W55" s="79"/>
      <c r="X55" s="454"/>
      <c r="Y55" s="79"/>
      <c r="Z55" s="97"/>
      <c r="AA55" s="429"/>
      <c r="AB55" s="429"/>
      <c r="AC55" s="449"/>
      <c r="AD55" s="429"/>
      <c r="AE55" s="429"/>
      <c r="AF55" s="126"/>
      <c r="AG55" s="265" t="str">
        <f t="shared" si="3"/>
        <v/>
      </c>
      <c r="AH55" s="515" t="str">
        <f t="shared" si="4"/>
        <v/>
      </c>
      <c r="AI55" s="515" t="str">
        <f t="shared" si="5"/>
        <v/>
      </c>
      <c r="AJ55" s="515" t="str">
        <f t="shared" si="6"/>
        <v/>
      </c>
      <c r="AK55" s="187" t="str">
        <f t="shared" si="7"/>
        <v/>
      </c>
      <c r="AL55" s="266" t="str">
        <f t="shared" si="8"/>
        <v/>
      </c>
      <c r="AM55" s="516" t="str">
        <f t="shared" si="9"/>
        <v/>
      </c>
      <c r="AN55" s="516" t="str">
        <f t="shared" si="10"/>
        <v/>
      </c>
      <c r="AO55" s="516" t="str">
        <f t="shared" si="11"/>
        <v/>
      </c>
      <c r="AP55" s="267" t="str">
        <f t="shared" si="12"/>
        <v/>
      </c>
      <c r="AQ55" s="268" t="str">
        <f t="shared" si="13"/>
        <v/>
      </c>
      <c r="AR55" s="450" t="str">
        <f t="shared" si="14"/>
        <v/>
      </c>
      <c r="AS55" s="450" t="str">
        <f t="shared" si="15"/>
        <v/>
      </c>
      <c r="AT55" s="450" t="str">
        <f t="shared" si="16"/>
        <v/>
      </c>
      <c r="AU55" s="269" t="str">
        <f t="shared" si="17"/>
        <v/>
      </c>
    </row>
    <row r="56" spans="1:47" ht="15.75" customHeight="1">
      <c r="A56" s="175">
        <f t="shared" si="0"/>
        <v>2021</v>
      </c>
      <c r="B56" s="454" t="str">
        <f t="shared" si="1"/>
        <v>50</v>
      </c>
      <c r="C56" s="454" t="str">
        <f t="array" ref="C56">_xlfn.IFS(_xlfn.NUMBERVALUE(B56)&lt;=13,"Q1",AND(_xlfn.NUMBERVALUE(B56)&gt;13,_xlfn.NUMBERVALUE(B56)&lt;=26),"Q2", AND(_xlfn.NUMBERVALUE(B56)&gt;26,_xlfn.NUMBERVALUE(B56)&lt;=39),"Q3",_xlfn.NUMBERVALUE(B56)&gt;39,"Q4")</f>
        <v>Q4</v>
      </c>
      <c r="D56" s="448">
        <f t="shared" si="18"/>
        <v>44205</v>
      </c>
      <c r="E56" s="448">
        <f t="shared" si="2"/>
        <v>44211</v>
      </c>
      <c r="F56" s="97">
        <v>202050</v>
      </c>
      <c r="G56" s="86"/>
      <c r="H56" s="79"/>
      <c r="I56" s="449"/>
      <c r="J56" s="79"/>
      <c r="K56" s="97"/>
      <c r="L56" s="513"/>
      <c r="M56" s="513"/>
      <c r="N56" s="514"/>
      <c r="O56" s="513"/>
      <c r="P56" s="513"/>
      <c r="Q56" s="103"/>
      <c r="R56" s="429"/>
      <c r="S56" s="449"/>
      <c r="T56" s="79"/>
      <c r="U56" s="97"/>
      <c r="V56" s="86"/>
      <c r="W56" s="79"/>
      <c r="X56" s="454"/>
      <c r="Y56" s="79"/>
      <c r="Z56" s="97"/>
      <c r="AA56" s="429"/>
      <c r="AB56" s="429"/>
      <c r="AC56" s="449"/>
      <c r="AD56" s="429"/>
      <c r="AE56" s="429"/>
      <c r="AF56" s="126"/>
      <c r="AG56" s="265" t="str">
        <f t="shared" si="3"/>
        <v/>
      </c>
      <c r="AH56" s="515" t="str">
        <f t="shared" si="4"/>
        <v/>
      </c>
      <c r="AI56" s="515" t="str">
        <f t="shared" si="5"/>
        <v/>
      </c>
      <c r="AJ56" s="515" t="str">
        <f t="shared" si="6"/>
        <v/>
      </c>
      <c r="AK56" s="187" t="str">
        <f t="shared" si="7"/>
        <v/>
      </c>
      <c r="AL56" s="266" t="str">
        <f t="shared" si="8"/>
        <v/>
      </c>
      <c r="AM56" s="516" t="str">
        <f t="shared" si="9"/>
        <v/>
      </c>
      <c r="AN56" s="516" t="str">
        <f t="shared" si="10"/>
        <v/>
      </c>
      <c r="AO56" s="516" t="str">
        <f t="shared" si="11"/>
        <v/>
      </c>
      <c r="AP56" s="267" t="str">
        <f t="shared" si="12"/>
        <v/>
      </c>
      <c r="AQ56" s="268" t="str">
        <f t="shared" si="13"/>
        <v/>
      </c>
      <c r="AR56" s="450" t="str">
        <f t="shared" si="14"/>
        <v/>
      </c>
      <c r="AS56" s="450" t="str">
        <f t="shared" si="15"/>
        <v/>
      </c>
      <c r="AT56" s="450" t="str">
        <f t="shared" si="16"/>
        <v/>
      </c>
      <c r="AU56" s="269" t="str">
        <f t="shared" si="17"/>
        <v/>
      </c>
    </row>
    <row r="57" spans="1:47" ht="15.75" customHeight="1">
      <c r="A57" s="175">
        <f t="shared" si="0"/>
        <v>2021</v>
      </c>
      <c r="B57" s="454" t="str">
        <f t="shared" si="1"/>
        <v>51</v>
      </c>
      <c r="C57" s="454" t="str">
        <f t="array" ref="C57">_xlfn.IFS(_xlfn.NUMBERVALUE(B57)&lt;=13,"Q1",AND(_xlfn.NUMBERVALUE(B57)&gt;13,_xlfn.NUMBERVALUE(B57)&lt;=26),"Q2", AND(_xlfn.NUMBERVALUE(B57)&gt;26,_xlfn.NUMBERVALUE(B57)&lt;=39),"Q3",_xlfn.NUMBERVALUE(B57)&gt;39,"Q4")</f>
        <v>Q4</v>
      </c>
      <c r="D57" s="448">
        <f t="shared" si="18"/>
        <v>44212</v>
      </c>
      <c r="E57" s="448">
        <f t="shared" si="2"/>
        <v>44218</v>
      </c>
      <c r="F57" s="97">
        <v>202051</v>
      </c>
      <c r="G57" s="86"/>
      <c r="H57" s="79"/>
      <c r="I57" s="449"/>
      <c r="J57" s="79"/>
      <c r="K57" s="97"/>
      <c r="L57" s="513"/>
      <c r="M57" s="513"/>
      <c r="N57" s="514"/>
      <c r="O57" s="513"/>
      <c r="P57" s="513"/>
      <c r="Q57" s="103"/>
      <c r="R57" s="429"/>
      <c r="S57" s="449"/>
      <c r="T57" s="79"/>
      <c r="U57" s="97"/>
      <c r="V57" s="86"/>
      <c r="W57" s="79"/>
      <c r="X57" s="454"/>
      <c r="Y57" s="79"/>
      <c r="Z57" s="97"/>
      <c r="AA57" s="429"/>
      <c r="AB57" s="429"/>
      <c r="AC57" s="449"/>
      <c r="AD57" s="429"/>
      <c r="AE57" s="429"/>
      <c r="AF57" s="126"/>
      <c r="AG57" s="265" t="str">
        <f t="shared" si="3"/>
        <v/>
      </c>
      <c r="AH57" s="515" t="str">
        <f t="shared" si="4"/>
        <v/>
      </c>
      <c r="AI57" s="515" t="str">
        <f t="shared" si="5"/>
        <v/>
      </c>
      <c r="AJ57" s="515" t="str">
        <f t="shared" si="6"/>
        <v/>
      </c>
      <c r="AK57" s="187" t="str">
        <f t="shared" si="7"/>
        <v/>
      </c>
      <c r="AL57" s="266" t="str">
        <f t="shared" si="8"/>
        <v/>
      </c>
      <c r="AM57" s="516" t="str">
        <f t="shared" si="9"/>
        <v/>
      </c>
      <c r="AN57" s="516" t="str">
        <f t="shared" si="10"/>
        <v/>
      </c>
      <c r="AO57" s="516" t="str">
        <f t="shared" si="11"/>
        <v/>
      </c>
      <c r="AP57" s="267" t="str">
        <f t="shared" si="12"/>
        <v/>
      </c>
      <c r="AQ57" s="268" t="str">
        <f t="shared" si="13"/>
        <v/>
      </c>
      <c r="AR57" s="450" t="str">
        <f t="shared" si="14"/>
        <v/>
      </c>
      <c r="AS57" s="450" t="str">
        <f t="shared" si="15"/>
        <v/>
      </c>
      <c r="AT57" s="450" t="str">
        <f t="shared" si="16"/>
        <v/>
      </c>
      <c r="AU57" s="269" t="str">
        <f t="shared" si="17"/>
        <v/>
      </c>
    </row>
    <row r="58" spans="1:47" ht="15.75" customHeight="1">
      <c r="A58" s="175">
        <f t="shared" si="0"/>
        <v>2021</v>
      </c>
      <c r="B58" s="454" t="str">
        <f t="shared" si="1"/>
        <v>52</v>
      </c>
      <c r="C58" s="454" t="str">
        <f t="array" ref="C58">_xlfn.IFS(_xlfn.NUMBERVALUE(B58)&lt;=13,"Q1",AND(_xlfn.NUMBERVALUE(B58)&gt;13,_xlfn.NUMBERVALUE(B58)&lt;=26),"Q2", AND(_xlfn.NUMBERVALUE(B58)&gt;26,_xlfn.NUMBERVALUE(B58)&lt;=39),"Q3",_xlfn.NUMBERVALUE(B58)&gt;39,"Q4")</f>
        <v>Q4</v>
      </c>
      <c r="D58" s="448">
        <f t="shared" si="18"/>
        <v>44219</v>
      </c>
      <c r="E58" s="448">
        <f t="shared" si="2"/>
        <v>44225</v>
      </c>
      <c r="F58" s="97">
        <v>202052</v>
      </c>
      <c r="G58" s="86"/>
      <c r="H58" s="79"/>
      <c r="I58" s="449"/>
      <c r="J58" s="79"/>
      <c r="K58" s="97"/>
      <c r="L58" s="513"/>
      <c r="M58" s="513"/>
      <c r="N58" s="514"/>
      <c r="O58" s="513"/>
      <c r="P58" s="513"/>
      <c r="Q58" s="103"/>
      <c r="R58" s="429"/>
      <c r="S58" s="449"/>
      <c r="T58" s="79"/>
      <c r="U58" s="97"/>
      <c r="V58" s="86"/>
      <c r="W58" s="79"/>
      <c r="X58" s="454"/>
      <c r="Y58" s="79"/>
      <c r="Z58" s="97"/>
      <c r="AA58" s="429"/>
      <c r="AB58" s="429"/>
      <c r="AC58" s="449"/>
      <c r="AD58" s="429"/>
      <c r="AE58" s="429"/>
      <c r="AF58" s="126"/>
      <c r="AG58" s="265" t="str">
        <f t="shared" si="3"/>
        <v/>
      </c>
      <c r="AH58" s="515" t="str">
        <f t="shared" si="4"/>
        <v/>
      </c>
      <c r="AI58" s="515" t="str">
        <f t="shared" si="5"/>
        <v/>
      </c>
      <c r="AJ58" s="515" t="str">
        <f t="shared" si="6"/>
        <v/>
      </c>
      <c r="AK58" s="187" t="str">
        <f t="shared" si="7"/>
        <v/>
      </c>
      <c r="AL58" s="266" t="str">
        <f t="shared" si="8"/>
        <v/>
      </c>
      <c r="AM58" s="516" t="str">
        <f t="shared" si="9"/>
        <v/>
      </c>
      <c r="AN58" s="516" t="str">
        <f t="shared" si="10"/>
        <v/>
      </c>
      <c r="AO58" s="516" t="str">
        <f t="shared" si="11"/>
        <v/>
      </c>
      <c r="AP58" s="267" t="str">
        <f t="shared" si="12"/>
        <v/>
      </c>
      <c r="AQ58" s="268" t="str">
        <f t="shared" si="13"/>
        <v/>
      </c>
      <c r="AR58" s="450" t="str">
        <f t="shared" si="14"/>
        <v/>
      </c>
      <c r="AS58" s="450" t="str">
        <f t="shared" si="15"/>
        <v/>
      </c>
      <c r="AT58" s="450" t="str">
        <f t="shared" si="16"/>
        <v/>
      </c>
      <c r="AU58" s="269" t="str">
        <f t="shared" si="17"/>
        <v/>
      </c>
    </row>
    <row r="59" spans="1:47" ht="16.350000000000001" customHeight="1">
      <c r="A59" s="175">
        <f t="shared" si="0"/>
        <v>2022</v>
      </c>
      <c r="B59" s="454" t="str">
        <f t="shared" si="1"/>
        <v>01</v>
      </c>
      <c r="C59" s="454" t="str">
        <f t="array" ref="C59">_xlfn.IFS(_xlfn.NUMBERVALUE(B59)&lt;=13,"Q1",AND(_xlfn.NUMBERVALUE(B59)&gt;13,_xlfn.NUMBERVALUE(B59)&lt;=26),"Q2", AND(_xlfn.NUMBERVALUE(B59)&gt;26,_xlfn.NUMBERVALUE(B59)&lt;=39),"Q3",_xlfn.NUMBERVALUE(B59)&gt;39,"Q4")</f>
        <v>Q1</v>
      </c>
      <c r="D59" s="448">
        <f t="shared" si="18"/>
        <v>44226</v>
      </c>
      <c r="E59" s="448">
        <f t="shared" si="2"/>
        <v>44232</v>
      </c>
      <c r="F59" s="97">
        <v>202101</v>
      </c>
      <c r="G59" s="86"/>
      <c r="H59" s="79"/>
      <c r="I59" s="449"/>
      <c r="J59" s="79"/>
      <c r="K59" s="97"/>
      <c r="L59" s="513"/>
      <c r="M59" s="513"/>
      <c r="N59" s="514"/>
      <c r="O59" s="513"/>
      <c r="P59" s="513"/>
      <c r="Q59" s="103"/>
      <c r="R59" s="429"/>
      <c r="S59" s="449"/>
      <c r="T59" s="79"/>
      <c r="U59" s="97"/>
      <c r="V59" s="86"/>
      <c r="W59" s="79"/>
      <c r="X59" s="454"/>
      <c r="Y59" s="79"/>
      <c r="Z59" s="97"/>
      <c r="AA59" s="429"/>
      <c r="AB59" s="429"/>
      <c r="AC59" s="449"/>
      <c r="AD59" s="429"/>
      <c r="AE59" s="429"/>
      <c r="AF59" s="240"/>
      <c r="AG59" s="265" t="str">
        <f t="shared" si="3"/>
        <v/>
      </c>
      <c r="AH59" s="515" t="str">
        <f t="shared" si="4"/>
        <v/>
      </c>
      <c r="AI59" s="515" t="str">
        <f t="shared" si="5"/>
        <v/>
      </c>
      <c r="AJ59" s="515" t="str">
        <f t="shared" si="6"/>
        <v/>
      </c>
      <c r="AK59" s="187" t="str">
        <f t="shared" si="7"/>
        <v/>
      </c>
      <c r="AL59" s="266" t="str">
        <f t="shared" si="8"/>
        <v/>
      </c>
      <c r="AM59" s="516" t="str">
        <f t="shared" si="9"/>
        <v/>
      </c>
      <c r="AN59" s="516" t="str">
        <f t="shared" si="10"/>
        <v/>
      </c>
      <c r="AO59" s="516" t="str">
        <f t="shared" si="11"/>
        <v/>
      </c>
      <c r="AP59" s="267" t="str">
        <f t="shared" si="12"/>
        <v/>
      </c>
      <c r="AQ59" s="268" t="str">
        <f t="shared" si="13"/>
        <v/>
      </c>
      <c r="AR59" s="450" t="str">
        <f t="shared" si="14"/>
        <v/>
      </c>
      <c r="AS59" s="450" t="str">
        <f t="shared" si="15"/>
        <v/>
      </c>
      <c r="AT59" s="450" t="str">
        <f t="shared" si="16"/>
        <v/>
      </c>
      <c r="AU59" s="269" t="str">
        <f t="shared" si="17"/>
        <v/>
      </c>
    </row>
    <row r="60" spans="1:47" ht="15.75" customHeight="1">
      <c r="A60" s="175">
        <f t="shared" si="0"/>
        <v>2022</v>
      </c>
      <c r="B60" s="454" t="str">
        <f t="shared" si="1"/>
        <v>02</v>
      </c>
      <c r="C60" s="454" t="str">
        <f t="array" ref="C60">_xlfn.IFS(_xlfn.NUMBERVALUE(B60)&lt;=13,"Q1",AND(_xlfn.NUMBERVALUE(B60)&gt;13,_xlfn.NUMBERVALUE(B60)&lt;=26),"Q2", AND(_xlfn.NUMBERVALUE(B60)&gt;26,_xlfn.NUMBERVALUE(B60)&lt;=39),"Q3",_xlfn.NUMBERVALUE(B60)&gt;39,"Q4")</f>
        <v>Q1</v>
      </c>
      <c r="D60" s="448">
        <f t="shared" si="18"/>
        <v>44233</v>
      </c>
      <c r="E60" s="448">
        <f t="shared" si="2"/>
        <v>44239</v>
      </c>
      <c r="F60" s="97">
        <v>202102</v>
      </c>
      <c r="G60" s="86"/>
      <c r="H60" s="79"/>
      <c r="I60" s="449"/>
      <c r="J60" s="79"/>
      <c r="K60" s="97"/>
      <c r="L60" s="513"/>
      <c r="M60" s="513"/>
      <c r="N60" s="514"/>
      <c r="O60" s="513"/>
      <c r="P60" s="513"/>
      <c r="Q60" s="103"/>
      <c r="R60" s="429"/>
      <c r="S60" s="449"/>
      <c r="T60" s="79"/>
      <c r="U60" s="97"/>
      <c r="V60" s="86"/>
      <c r="W60" s="79"/>
      <c r="X60" s="454"/>
      <c r="Y60" s="79"/>
      <c r="Z60" s="97"/>
      <c r="AA60" s="429"/>
      <c r="AB60" s="429"/>
      <c r="AC60" s="449"/>
      <c r="AD60" s="429"/>
      <c r="AE60" s="429"/>
      <c r="AF60" s="126"/>
      <c r="AG60" s="265" t="str">
        <f t="shared" si="3"/>
        <v/>
      </c>
      <c r="AH60" s="515" t="str">
        <f t="shared" si="4"/>
        <v/>
      </c>
      <c r="AI60" s="515" t="str">
        <f t="shared" si="5"/>
        <v/>
      </c>
      <c r="AJ60" s="515" t="str">
        <f t="shared" si="6"/>
        <v/>
      </c>
      <c r="AK60" s="187" t="str">
        <f t="shared" si="7"/>
        <v/>
      </c>
      <c r="AL60" s="266" t="str">
        <f t="shared" si="8"/>
        <v/>
      </c>
      <c r="AM60" s="516" t="str">
        <f t="shared" si="9"/>
        <v/>
      </c>
      <c r="AN60" s="516" t="str">
        <f t="shared" si="10"/>
        <v/>
      </c>
      <c r="AO60" s="516" t="str">
        <f t="shared" si="11"/>
        <v/>
      </c>
      <c r="AP60" s="267" t="str">
        <f t="shared" si="12"/>
        <v/>
      </c>
      <c r="AQ60" s="268" t="str">
        <f t="shared" si="13"/>
        <v/>
      </c>
      <c r="AR60" s="450" t="str">
        <f t="shared" si="14"/>
        <v/>
      </c>
      <c r="AS60" s="450" t="str">
        <f t="shared" si="15"/>
        <v/>
      </c>
      <c r="AT60" s="450" t="str">
        <f t="shared" si="16"/>
        <v/>
      </c>
      <c r="AU60" s="269" t="str">
        <f t="shared" si="17"/>
        <v/>
      </c>
    </row>
    <row r="61" spans="1:47" ht="15.75" customHeight="1">
      <c r="A61" s="175">
        <f t="shared" si="0"/>
        <v>2022</v>
      </c>
      <c r="B61" s="454" t="str">
        <f t="shared" si="1"/>
        <v>03</v>
      </c>
      <c r="C61" s="454" t="str">
        <f t="array" ref="C61">_xlfn.IFS(_xlfn.NUMBERVALUE(B61)&lt;=13,"Q1",AND(_xlfn.NUMBERVALUE(B61)&gt;13,_xlfn.NUMBERVALUE(B61)&lt;=26),"Q2", AND(_xlfn.NUMBERVALUE(B61)&gt;26,_xlfn.NUMBERVALUE(B61)&lt;=39),"Q3",_xlfn.NUMBERVALUE(B61)&gt;39,"Q4")</f>
        <v>Q1</v>
      </c>
      <c r="D61" s="448">
        <f t="shared" si="18"/>
        <v>44240</v>
      </c>
      <c r="E61" s="448">
        <f t="shared" si="2"/>
        <v>44246</v>
      </c>
      <c r="F61" s="97">
        <v>202103</v>
      </c>
      <c r="G61" s="86"/>
      <c r="H61" s="79"/>
      <c r="I61" s="449"/>
      <c r="J61" s="79"/>
      <c r="K61" s="97"/>
      <c r="L61" s="513"/>
      <c r="M61" s="513"/>
      <c r="N61" s="514"/>
      <c r="O61" s="517"/>
      <c r="P61" s="517"/>
      <c r="Q61" s="103"/>
      <c r="R61" s="429"/>
      <c r="S61" s="449"/>
      <c r="T61" s="79"/>
      <c r="U61" s="97"/>
      <c r="V61" s="86"/>
      <c r="W61" s="79"/>
      <c r="X61" s="454"/>
      <c r="Y61" s="79"/>
      <c r="Z61" s="97"/>
      <c r="AA61" s="429"/>
      <c r="AB61" s="429"/>
      <c r="AC61" s="449"/>
      <c r="AD61" s="429"/>
      <c r="AE61" s="429"/>
      <c r="AF61" s="126"/>
      <c r="AG61" s="265" t="str">
        <f t="shared" si="3"/>
        <v/>
      </c>
      <c r="AH61" s="515" t="str">
        <f t="shared" si="4"/>
        <v/>
      </c>
      <c r="AI61" s="515" t="str">
        <f t="shared" si="5"/>
        <v/>
      </c>
      <c r="AJ61" s="515" t="str">
        <f t="shared" si="6"/>
        <v/>
      </c>
      <c r="AK61" s="187" t="str">
        <f t="shared" si="7"/>
        <v/>
      </c>
      <c r="AL61" s="266" t="str">
        <f t="shared" si="8"/>
        <v/>
      </c>
      <c r="AM61" s="516" t="str">
        <f t="shared" si="9"/>
        <v/>
      </c>
      <c r="AN61" s="516" t="str">
        <f t="shared" si="10"/>
        <v/>
      </c>
      <c r="AO61" s="516" t="str">
        <f t="shared" si="11"/>
        <v/>
      </c>
      <c r="AP61" s="267" t="str">
        <f t="shared" si="12"/>
        <v/>
      </c>
      <c r="AQ61" s="268" t="str">
        <f t="shared" si="13"/>
        <v/>
      </c>
      <c r="AR61" s="450" t="str">
        <f t="shared" si="14"/>
        <v/>
      </c>
      <c r="AS61" s="450" t="str">
        <f t="shared" si="15"/>
        <v/>
      </c>
      <c r="AT61" s="450" t="str">
        <f t="shared" si="16"/>
        <v/>
      </c>
      <c r="AU61" s="269" t="str">
        <f t="shared" si="17"/>
        <v/>
      </c>
    </row>
    <row r="62" spans="1:47" ht="15.75" customHeight="1">
      <c r="A62" s="175">
        <f t="shared" si="0"/>
        <v>2022</v>
      </c>
      <c r="B62" s="454" t="str">
        <f t="shared" si="1"/>
        <v>04</v>
      </c>
      <c r="C62" s="454" t="str">
        <f t="array" ref="C62">_xlfn.IFS(_xlfn.NUMBERVALUE(B62)&lt;=13,"Q1",AND(_xlfn.NUMBERVALUE(B62)&gt;13,_xlfn.NUMBERVALUE(B62)&lt;=26),"Q2", AND(_xlfn.NUMBERVALUE(B62)&gt;26,_xlfn.NUMBERVALUE(B62)&lt;=39),"Q3",_xlfn.NUMBERVALUE(B62)&gt;39,"Q4")</f>
        <v>Q1</v>
      </c>
      <c r="D62" s="448">
        <f t="shared" si="18"/>
        <v>44247</v>
      </c>
      <c r="E62" s="448">
        <f t="shared" si="2"/>
        <v>44253</v>
      </c>
      <c r="F62" s="97">
        <v>202104</v>
      </c>
      <c r="G62" s="86"/>
      <c r="H62" s="79"/>
      <c r="I62" s="449"/>
      <c r="J62" s="79"/>
      <c r="K62" s="97"/>
      <c r="L62" s="513"/>
      <c r="M62" s="513"/>
      <c r="N62" s="514"/>
      <c r="O62" s="518"/>
      <c r="P62" s="518"/>
      <c r="Q62" s="103"/>
      <c r="R62" s="429"/>
      <c r="S62" s="449"/>
      <c r="T62" s="79"/>
      <c r="U62" s="97"/>
      <c r="V62" s="86"/>
      <c r="W62" s="79"/>
      <c r="X62" s="454"/>
      <c r="Y62" s="79"/>
      <c r="Z62" s="97"/>
      <c r="AA62" s="429"/>
      <c r="AB62" s="429"/>
      <c r="AC62" s="449"/>
      <c r="AD62" s="429"/>
      <c r="AE62" s="429"/>
      <c r="AF62" s="126"/>
      <c r="AG62" s="265" t="str">
        <f t="shared" si="3"/>
        <v/>
      </c>
      <c r="AH62" s="515" t="str">
        <f t="shared" si="4"/>
        <v/>
      </c>
      <c r="AI62" s="515" t="str">
        <f t="shared" si="5"/>
        <v/>
      </c>
      <c r="AJ62" s="515" t="str">
        <f t="shared" si="6"/>
        <v/>
      </c>
      <c r="AK62" s="187" t="str">
        <f t="shared" si="7"/>
        <v/>
      </c>
      <c r="AL62" s="266" t="str">
        <f t="shared" si="8"/>
        <v/>
      </c>
      <c r="AM62" s="516" t="str">
        <f t="shared" si="9"/>
        <v/>
      </c>
      <c r="AN62" s="516" t="str">
        <f t="shared" si="10"/>
        <v/>
      </c>
      <c r="AO62" s="516" t="str">
        <f t="shared" si="11"/>
        <v/>
      </c>
      <c r="AP62" s="267" t="str">
        <f t="shared" si="12"/>
        <v/>
      </c>
      <c r="AQ62" s="268" t="str">
        <f t="shared" si="13"/>
        <v/>
      </c>
      <c r="AR62" s="450" t="str">
        <f t="shared" si="14"/>
        <v/>
      </c>
      <c r="AS62" s="450" t="str">
        <f t="shared" si="15"/>
        <v/>
      </c>
      <c r="AT62" s="450" t="str">
        <f t="shared" si="16"/>
        <v/>
      </c>
      <c r="AU62" s="269" t="str">
        <f t="shared" si="17"/>
        <v/>
      </c>
    </row>
    <row r="63" spans="1:47" ht="15.75" customHeight="1">
      <c r="A63" s="175">
        <f t="shared" si="0"/>
        <v>2022</v>
      </c>
      <c r="B63" s="454" t="str">
        <f t="shared" si="1"/>
        <v>05</v>
      </c>
      <c r="C63" s="454" t="str">
        <f t="array" ref="C63">_xlfn.IFS(_xlfn.NUMBERVALUE(B63)&lt;=13,"Q1",AND(_xlfn.NUMBERVALUE(B63)&gt;13,_xlfn.NUMBERVALUE(B63)&lt;=26),"Q2", AND(_xlfn.NUMBERVALUE(B63)&gt;26,_xlfn.NUMBERVALUE(B63)&lt;=39),"Q3",_xlfn.NUMBERVALUE(B63)&gt;39,"Q4")</f>
        <v>Q1</v>
      </c>
      <c r="D63" s="448">
        <f t="shared" si="18"/>
        <v>44254</v>
      </c>
      <c r="E63" s="448">
        <f t="shared" si="2"/>
        <v>44260</v>
      </c>
      <c r="F63" s="97">
        <v>202105</v>
      </c>
      <c r="G63" s="86"/>
      <c r="H63" s="79"/>
      <c r="I63" s="449"/>
      <c r="J63" s="79"/>
      <c r="K63" s="97"/>
      <c r="L63" s="513"/>
      <c r="M63" s="513"/>
      <c r="N63" s="514"/>
      <c r="O63" s="518"/>
      <c r="P63" s="518"/>
      <c r="Q63" s="103"/>
      <c r="R63" s="429"/>
      <c r="S63" s="449"/>
      <c r="T63" s="79"/>
      <c r="U63" s="97"/>
      <c r="V63" s="86"/>
      <c r="W63" s="79"/>
      <c r="X63" s="454"/>
      <c r="Y63" s="79"/>
      <c r="Z63" s="97"/>
      <c r="AA63" s="429"/>
      <c r="AB63" s="429"/>
      <c r="AC63" s="449"/>
      <c r="AD63" s="429"/>
      <c r="AE63" s="429"/>
      <c r="AF63" s="126"/>
      <c r="AG63" s="265" t="str">
        <f t="shared" si="3"/>
        <v/>
      </c>
      <c r="AH63" s="515" t="str">
        <f t="shared" si="4"/>
        <v/>
      </c>
      <c r="AI63" s="515" t="str">
        <f t="shared" si="5"/>
        <v/>
      </c>
      <c r="AJ63" s="515" t="str">
        <f t="shared" si="6"/>
        <v/>
      </c>
      <c r="AK63" s="187" t="str">
        <f t="shared" si="7"/>
        <v/>
      </c>
      <c r="AL63" s="266" t="str">
        <f t="shared" si="8"/>
        <v/>
      </c>
      <c r="AM63" s="516" t="str">
        <f t="shared" si="9"/>
        <v/>
      </c>
      <c r="AN63" s="516" t="str">
        <f t="shared" si="10"/>
        <v/>
      </c>
      <c r="AO63" s="516" t="str">
        <f t="shared" si="11"/>
        <v/>
      </c>
      <c r="AP63" s="267" t="str">
        <f t="shared" si="12"/>
        <v/>
      </c>
      <c r="AQ63" s="268" t="str">
        <f t="shared" si="13"/>
        <v/>
      </c>
      <c r="AR63" s="450" t="str">
        <f t="shared" si="14"/>
        <v/>
      </c>
      <c r="AS63" s="450" t="str">
        <f t="shared" si="15"/>
        <v/>
      </c>
      <c r="AT63" s="450" t="str">
        <f t="shared" si="16"/>
        <v/>
      </c>
      <c r="AU63" s="269" t="str">
        <f t="shared" si="17"/>
        <v/>
      </c>
    </row>
    <row r="64" spans="1:47" ht="15.75" customHeight="1">
      <c r="A64" s="175">
        <f t="shared" si="0"/>
        <v>2022</v>
      </c>
      <c r="B64" s="454" t="str">
        <f t="shared" si="1"/>
        <v>06</v>
      </c>
      <c r="C64" s="454" t="str">
        <f t="array" ref="C64">_xlfn.IFS(_xlfn.NUMBERVALUE(B64)&lt;=13,"Q1",AND(_xlfn.NUMBERVALUE(B64)&gt;13,_xlfn.NUMBERVALUE(B64)&lt;=26),"Q2", AND(_xlfn.NUMBERVALUE(B64)&gt;26,_xlfn.NUMBERVALUE(B64)&lt;=39),"Q3",_xlfn.NUMBERVALUE(B64)&gt;39,"Q4")</f>
        <v>Q1</v>
      </c>
      <c r="D64" s="448">
        <f t="shared" si="18"/>
        <v>44261</v>
      </c>
      <c r="E64" s="448">
        <f t="shared" si="2"/>
        <v>44267</v>
      </c>
      <c r="F64" s="97">
        <v>202106</v>
      </c>
      <c r="G64" s="86"/>
      <c r="H64" s="79"/>
      <c r="I64" s="449"/>
      <c r="J64" s="79"/>
      <c r="K64" s="97"/>
      <c r="L64" s="513"/>
      <c r="M64" s="513"/>
      <c r="N64" s="514"/>
      <c r="O64" s="518"/>
      <c r="P64" s="518"/>
      <c r="Q64" s="103"/>
      <c r="R64" s="429"/>
      <c r="S64" s="449"/>
      <c r="T64" s="79"/>
      <c r="U64" s="97"/>
      <c r="V64" s="86"/>
      <c r="W64" s="79"/>
      <c r="X64" s="454"/>
      <c r="Y64" s="79"/>
      <c r="Z64" s="97"/>
      <c r="AA64" s="429"/>
      <c r="AB64" s="429"/>
      <c r="AC64" s="449"/>
      <c r="AD64" s="429"/>
      <c r="AE64" s="429"/>
      <c r="AF64" s="126"/>
      <c r="AG64" s="265" t="str">
        <f t="shared" si="3"/>
        <v/>
      </c>
      <c r="AH64" s="515" t="str">
        <f t="shared" si="4"/>
        <v/>
      </c>
      <c r="AI64" s="515" t="str">
        <f t="shared" si="5"/>
        <v/>
      </c>
      <c r="AJ64" s="515" t="str">
        <f t="shared" si="6"/>
        <v/>
      </c>
      <c r="AK64" s="187" t="str">
        <f t="shared" si="7"/>
        <v/>
      </c>
      <c r="AL64" s="266" t="str">
        <f t="shared" si="8"/>
        <v/>
      </c>
      <c r="AM64" s="516" t="str">
        <f t="shared" si="9"/>
        <v/>
      </c>
      <c r="AN64" s="516" t="str">
        <f t="shared" si="10"/>
        <v/>
      </c>
      <c r="AO64" s="516" t="str">
        <f t="shared" si="11"/>
        <v/>
      </c>
      <c r="AP64" s="267" t="str">
        <f t="shared" si="12"/>
        <v/>
      </c>
      <c r="AQ64" s="268" t="str">
        <f t="shared" si="13"/>
        <v/>
      </c>
      <c r="AR64" s="450" t="str">
        <f t="shared" si="14"/>
        <v/>
      </c>
      <c r="AS64" s="450" t="str">
        <f t="shared" si="15"/>
        <v/>
      </c>
      <c r="AT64" s="450" t="str">
        <f t="shared" si="16"/>
        <v/>
      </c>
      <c r="AU64" s="269" t="str">
        <f t="shared" si="17"/>
        <v/>
      </c>
    </row>
    <row r="65" spans="1:47" ht="15.75" customHeight="1">
      <c r="A65" s="175">
        <f t="shared" si="0"/>
        <v>2022</v>
      </c>
      <c r="B65" s="454" t="str">
        <f t="shared" si="1"/>
        <v>07</v>
      </c>
      <c r="C65" s="454" t="str">
        <f t="array" ref="C65">_xlfn.IFS(_xlfn.NUMBERVALUE(B65)&lt;=13,"Q1",AND(_xlfn.NUMBERVALUE(B65)&gt;13,_xlfn.NUMBERVALUE(B65)&lt;=26),"Q2", AND(_xlfn.NUMBERVALUE(B65)&gt;26,_xlfn.NUMBERVALUE(B65)&lt;=39),"Q3",_xlfn.NUMBERVALUE(B65)&gt;39,"Q4")</f>
        <v>Q1</v>
      </c>
      <c r="D65" s="448">
        <f t="shared" si="18"/>
        <v>44268</v>
      </c>
      <c r="E65" s="448">
        <f t="shared" si="2"/>
        <v>44274</v>
      </c>
      <c r="F65" s="97">
        <v>202107</v>
      </c>
      <c r="G65" s="86"/>
      <c r="H65" s="79"/>
      <c r="I65" s="449"/>
      <c r="J65" s="79"/>
      <c r="K65" s="97"/>
      <c r="L65" s="513"/>
      <c r="M65" s="513"/>
      <c r="N65" s="514"/>
      <c r="O65" s="518"/>
      <c r="P65" s="518"/>
      <c r="Q65" s="103"/>
      <c r="R65" s="429"/>
      <c r="S65" s="449"/>
      <c r="T65" s="79"/>
      <c r="U65" s="97"/>
      <c r="V65" s="86"/>
      <c r="W65" s="79"/>
      <c r="X65" s="454"/>
      <c r="Y65" s="79"/>
      <c r="Z65" s="97"/>
      <c r="AA65" s="429"/>
      <c r="AB65" s="429"/>
      <c r="AC65" s="449"/>
      <c r="AD65" s="429"/>
      <c r="AE65" s="429"/>
      <c r="AF65" s="126"/>
      <c r="AG65" s="265" t="str">
        <f t="shared" si="3"/>
        <v/>
      </c>
      <c r="AH65" s="515" t="str">
        <f t="shared" si="4"/>
        <v/>
      </c>
      <c r="AI65" s="515" t="str">
        <f t="shared" si="5"/>
        <v/>
      </c>
      <c r="AJ65" s="515" t="str">
        <f t="shared" si="6"/>
        <v/>
      </c>
      <c r="AK65" s="187" t="str">
        <f t="shared" si="7"/>
        <v/>
      </c>
      <c r="AL65" s="266" t="str">
        <f t="shared" si="8"/>
        <v/>
      </c>
      <c r="AM65" s="516" t="str">
        <f t="shared" si="9"/>
        <v/>
      </c>
      <c r="AN65" s="516" t="str">
        <f t="shared" si="10"/>
        <v/>
      </c>
      <c r="AO65" s="516" t="str">
        <f t="shared" si="11"/>
        <v/>
      </c>
      <c r="AP65" s="267" t="str">
        <f t="shared" si="12"/>
        <v/>
      </c>
      <c r="AQ65" s="268" t="str">
        <f t="shared" si="13"/>
        <v/>
      </c>
      <c r="AR65" s="450" t="str">
        <f t="shared" si="14"/>
        <v/>
      </c>
      <c r="AS65" s="450" t="str">
        <f t="shared" si="15"/>
        <v/>
      </c>
      <c r="AT65" s="450" t="str">
        <f t="shared" si="16"/>
        <v/>
      </c>
      <c r="AU65" s="269" t="str">
        <f t="shared" si="17"/>
        <v/>
      </c>
    </row>
    <row r="66" spans="1:47" ht="15.75" customHeight="1">
      <c r="A66" s="175">
        <f t="shared" si="0"/>
        <v>2022</v>
      </c>
      <c r="B66" s="454" t="str">
        <f t="shared" si="1"/>
        <v>08</v>
      </c>
      <c r="C66" s="454" t="str">
        <f t="array" ref="C66">_xlfn.IFS(_xlfn.NUMBERVALUE(B66)&lt;=13,"Q1",AND(_xlfn.NUMBERVALUE(B66)&gt;13,_xlfn.NUMBERVALUE(B66)&lt;=26),"Q2", AND(_xlfn.NUMBERVALUE(B66)&gt;26,_xlfn.NUMBERVALUE(B66)&lt;=39),"Q3",_xlfn.NUMBERVALUE(B66)&gt;39,"Q4")</f>
        <v>Q1</v>
      </c>
      <c r="D66" s="448">
        <f t="shared" si="18"/>
        <v>44275</v>
      </c>
      <c r="E66" s="448">
        <f t="shared" si="2"/>
        <v>44281</v>
      </c>
      <c r="F66" s="97">
        <v>202108</v>
      </c>
      <c r="G66" s="86"/>
      <c r="H66" s="79"/>
      <c r="I66" s="449"/>
      <c r="J66" s="79"/>
      <c r="K66" s="97"/>
      <c r="L66" s="513"/>
      <c r="M66" s="513"/>
      <c r="N66" s="514"/>
      <c r="O66" s="518"/>
      <c r="P66" s="518"/>
      <c r="Q66" s="103"/>
      <c r="R66" s="429"/>
      <c r="S66" s="449"/>
      <c r="T66" s="79"/>
      <c r="U66" s="97"/>
      <c r="V66" s="86"/>
      <c r="W66" s="79"/>
      <c r="X66" s="454"/>
      <c r="Y66" s="79"/>
      <c r="Z66" s="97"/>
      <c r="AA66" s="429"/>
      <c r="AB66" s="429"/>
      <c r="AC66" s="449"/>
      <c r="AD66" s="429"/>
      <c r="AE66" s="429"/>
      <c r="AF66" s="126"/>
      <c r="AG66" s="265" t="str">
        <f t="shared" si="3"/>
        <v/>
      </c>
      <c r="AH66" s="515" t="str">
        <f t="shared" si="4"/>
        <v/>
      </c>
      <c r="AI66" s="515" t="str">
        <f t="shared" si="5"/>
        <v/>
      </c>
      <c r="AJ66" s="515" t="str">
        <f t="shared" si="6"/>
        <v/>
      </c>
      <c r="AK66" s="187" t="str">
        <f t="shared" si="7"/>
        <v/>
      </c>
      <c r="AL66" s="266" t="str">
        <f t="shared" si="8"/>
        <v/>
      </c>
      <c r="AM66" s="516" t="str">
        <f t="shared" si="9"/>
        <v/>
      </c>
      <c r="AN66" s="516" t="str">
        <f t="shared" si="10"/>
        <v/>
      </c>
      <c r="AO66" s="516" t="str">
        <f t="shared" si="11"/>
        <v/>
      </c>
      <c r="AP66" s="267" t="str">
        <f t="shared" si="12"/>
        <v/>
      </c>
      <c r="AQ66" s="268" t="str">
        <f t="shared" si="13"/>
        <v/>
      </c>
      <c r="AR66" s="450" t="str">
        <f t="shared" si="14"/>
        <v/>
      </c>
      <c r="AS66" s="450" t="str">
        <f t="shared" si="15"/>
        <v/>
      </c>
      <c r="AT66" s="450" t="str">
        <f t="shared" si="16"/>
        <v/>
      </c>
      <c r="AU66" s="269" t="str">
        <f t="shared" si="17"/>
        <v/>
      </c>
    </row>
    <row r="67" spans="1:47" ht="15.75" customHeight="1">
      <c r="A67" s="175">
        <f t="shared" si="0"/>
        <v>2022</v>
      </c>
      <c r="B67" s="454" t="str">
        <f t="shared" si="1"/>
        <v>09</v>
      </c>
      <c r="C67" s="454" t="str">
        <f t="array" ref="C67">_xlfn.IFS(_xlfn.NUMBERVALUE(B67)&lt;=13,"Q1",AND(_xlfn.NUMBERVALUE(B67)&gt;13,_xlfn.NUMBERVALUE(B67)&lt;=26),"Q2", AND(_xlfn.NUMBERVALUE(B67)&gt;26,_xlfn.NUMBERVALUE(B67)&lt;=39),"Q3",_xlfn.NUMBERVALUE(B67)&gt;39,"Q4")</f>
        <v>Q1</v>
      </c>
      <c r="D67" s="448">
        <f t="shared" si="18"/>
        <v>44282</v>
      </c>
      <c r="E67" s="448">
        <f t="shared" si="2"/>
        <v>44288</v>
      </c>
      <c r="F67" s="97">
        <v>202109</v>
      </c>
      <c r="G67" s="86"/>
      <c r="H67" s="79"/>
      <c r="I67" s="449"/>
      <c r="J67" s="79"/>
      <c r="K67" s="97"/>
      <c r="L67" s="513"/>
      <c r="M67" s="513"/>
      <c r="N67" s="514"/>
      <c r="O67" s="518"/>
      <c r="P67" s="518"/>
      <c r="Q67" s="103"/>
      <c r="R67" s="429"/>
      <c r="S67" s="449"/>
      <c r="T67" s="79"/>
      <c r="U67" s="97"/>
      <c r="V67" s="86"/>
      <c r="W67" s="79"/>
      <c r="X67" s="454"/>
      <c r="Y67" s="79"/>
      <c r="Z67" s="97"/>
      <c r="AA67" s="429"/>
      <c r="AB67" s="429"/>
      <c r="AC67" s="449"/>
      <c r="AD67" s="429"/>
      <c r="AE67" s="429"/>
      <c r="AF67" s="126"/>
      <c r="AG67" s="265" t="str">
        <f t="shared" si="3"/>
        <v/>
      </c>
      <c r="AH67" s="515" t="str">
        <f t="shared" si="4"/>
        <v/>
      </c>
      <c r="AI67" s="515" t="str">
        <f t="shared" si="5"/>
        <v/>
      </c>
      <c r="AJ67" s="515" t="str">
        <f t="shared" si="6"/>
        <v/>
      </c>
      <c r="AK67" s="187" t="str">
        <f t="shared" si="7"/>
        <v/>
      </c>
      <c r="AL67" s="266" t="str">
        <f t="shared" si="8"/>
        <v/>
      </c>
      <c r="AM67" s="516" t="str">
        <f t="shared" si="9"/>
        <v/>
      </c>
      <c r="AN67" s="516" t="str">
        <f t="shared" si="10"/>
        <v/>
      </c>
      <c r="AO67" s="516" t="str">
        <f t="shared" si="11"/>
        <v/>
      </c>
      <c r="AP67" s="267" t="str">
        <f t="shared" si="12"/>
        <v/>
      </c>
      <c r="AQ67" s="268" t="str">
        <f t="shared" si="13"/>
        <v/>
      </c>
      <c r="AR67" s="450" t="str">
        <f t="shared" si="14"/>
        <v/>
      </c>
      <c r="AS67" s="450" t="str">
        <f t="shared" si="15"/>
        <v/>
      </c>
      <c r="AT67" s="450" t="str">
        <f t="shared" si="16"/>
        <v/>
      </c>
      <c r="AU67" s="269" t="str">
        <f t="shared" si="17"/>
        <v/>
      </c>
    </row>
    <row r="68" spans="1:47" ht="15.75" customHeight="1">
      <c r="A68" s="175">
        <f t="shared" si="0"/>
        <v>2022</v>
      </c>
      <c r="B68" s="454" t="str">
        <f t="shared" si="1"/>
        <v>10</v>
      </c>
      <c r="C68" s="454" t="str">
        <f t="array" ref="C68">_xlfn.IFS(_xlfn.NUMBERVALUE(B68)&lt;=13,"Q1",AND(_xlfn.NUMBERVALUE(B68)&gt;13,_xlfn.NUMBERVALUE(B68)&lt;=26),"Q2", AND(_xlfn.NUMBERVALUE(B68)&gt;26,_xlfn.NUMBERVALUE(B68)&lt;=39),"Q3",_xlfn.NUMBERVALUE(B68)&gt;39,"Q4")</f>
        <v>Q1</v>
      </c>
      <c r="D68" s="448">
        <f t="shared" si="18"/>
        <v>44289</v>
      </c>
      <c r="E68" s="448">
        <f t="shared" si="2"/>
        <v>44295</v>
      </c>
      <c r="F68" s="97">
        <v>202110</v>
      </c>
      <c r="G68" s="86"/>
      <c r="H68" s="79"/>
      <c r="I68" s="449"/>
      <c r="J68" s="79"/>
      <c r="K68" s="97"/>
      <c r="L68" s="513"/>
      <c r="M68" s="513"/>
      <c r="N68" s="514"/>
      <c r="O68" s="518"/>
      <c r="P68" s="518"/>
      <c r="Q68" s="103"/>
      <c r="R68" s="429"/>
      <c r="S68" s="449"/>
      <c r="T68" s="79"/>
      <c r="U68" s="97"/>
      <c r="V68" s="86"/>
      <c r="W68" s="79"/>
      <c r="X68" s="454"/>
      <c r="Y68" s="79"/>
      <c r="Z68" s="97"/>
      <c r="AA68" s="429"/>
      <c r="AB68" s="429"/>
      <c r="AC68" s="449"/>
      <c r="AD68" s="429"/>
      <c r="AE68" s="429"/>
      <c r="AF68" s="126"/>
      <c r="AG68" s="265" t="str">
        <f t="shared" si="3"/>
        <v/>
      </c>
      <c r="AH68" s="515" t="str">
        <f t="shared" si="4"/>
        <v/>
      </c>
      <c r="AI68" s="515" t="str">
        <f t="shared" si="5"/>
        <v/>
      </c>
      <c r="AJ68" s="515" t="str">
        <f t="shared" si="6"/>
        <v/>
      </c>
      <c r="AK68" s="187" t="str">
        <f t="shared" si="7"/>
        <v/>
      </c>
      <c r="AL68" s="266" t="str">
        <f t="shared" si="8"/>
        <v/>
      </c>
      <c r="AM68" s="516" t="str">
        <f t="shared" si="9"/>
        <v/>
      </c>
      <c r="AN68" s="516" t="str">
        <f t="shared" si="10"/>
        <v/>
      </c>
      <c r="AO68" s="516" t="str">
        <f t="shared" si="11"/>
        <v/>
      </c>
      <c r="AP68" s="267" t="str">
        <f t="shared" si="12"/>
        <v/>
      </c>
      <c r="AQ68" s="268" t="str">
        <f t="shared" si="13"/>
        <v/>
      </c>
      <c r="AR68" s="450" t="str">
        <f t="shared" si="14"/>
        <v/>
      </c>
      <c r="AS68" s="450" t="str">
        <f t="shared" si="15"/>
        <v/>
      </c>
      <c r="AT68" s="450" t="str">
        <f t="shared" si="16"/>
        <v/>
      </c>
      <c r="AU68" s="269" t="str">
        <f t="shared" si="17"/>
        <v/>
      </c>
    </row>
    <row r="69" spans="1:47" ht="15.75" customHeight="1">
      <c r="A69" s="175">
        <f t="shared" si="0"/>
        <v>2022</v>
      </c>
      <c r="B69" s="454" t="str">
        <f t="shared" si="1"/>
        <v>11</v>
      </c>
      <c r="C69" s="454" t="str">
        <f t="array" ref="C69">_xlfn.IFS(_xlfn.NUMBERVALUE(B69)&lt;=13,"Q1",AND(_xlfn.NUMBERVALUE(B69)&gt;13,_xlfn.NUMBERVALUE(B69)&lt;=26),"Q2", AND(_xlfn.NUMBERVALUE(B69)&gt;26,_xlfn.NUMBERVALUE(B69)&lt;=39),"Q3",_xlfn.NUMBERVALUE(B69)&gt;39,"Q4")</f>
        <v>Q1</v>
      </c>
      <c r="D69" s="448">
        <f t="shared" si="18"/>
        <v>44296</v>
      </c>
      <c r="E69" s="448">
        <f t="shared" si="2"/>
        <v>44302</v>
      </c>
      <c r="F69" s="97">
        <v>202111</v>
      </c>
      <c r="G69" s="86"/>
      <c r="H69" s="79"/>
      <c r="I69" s="449"/>
      <c r="J69" s="79"/>
      <c r="K69" s="97"/>
      <c r="L69" s="513"/>
      <c r="M69" s="513"/>
      <c r="N69" s="514"/>
      <c r="O69" s="518"/>
      <c r="P69" s="518"/>
      <c r="Q69" s="103"/>
      <c r="R69" s="429"/>
      <c r="S69" s="449"/>
      <c r="T69" s="79"/>
      <c r="U69" s="97"/>
      <c r="V69" s="86"/>
      <c r="W69" s="79"/>
      <c r="X69" s="454"/>
      <c r="Y69" s="79"/>
      <c r="Z69" s="97"/>
      <c r="AA69" s="429"/>
      <c r="AB69" s="429"/>
      <c r="AC69" s="449"/>
      <c r="AD69" s="429"/>
      <c r="AE69" s="429"/>
      <c r="AF69" s="126"/>
      <c r="AG69" s="265" t="str">
        <f t="shared" si="3"/>
        <v/>
      </c>
      <c r="AH69" s="515" t="str">
        <f t="shared" si="4"/>
        <v/>
      </c>
      <c r="AI69" s="515" t="str">
        <f t="shared" si="5"/>
        <v/>
      </c>
      <c r="AJ69" s="515" t="str">
        <f t="shared" si="6"/>
        <v/>
      </c>
      <c r="AK69" s="187" t="str">
        <f t="shared" si="7"/>
        <v/>
      </c>
      <c r="AL69" s="266" t="str">
        <f t="shared" si="8"/>
        <v/>
      </c>
      <c r="AM69" s="516" t="str">
        <f t="shared" si="9"/>
        <v/>
      </c>
      <c r="AN69" s="516" t="str">
        <f t="shared" si="10"/>
        <v/>
      </c>
      <c r="AO69" s="516" t="str">
        <f t="shared" si="11"/>
        <v/>
      </c>
      <c r="AP69" s="267" t="str">
        <f t="shared" si="12"/>
        <v/>
      </c>
      <c r="AQ69" s="268" t="str">
        <f t="shared" si="13"/>
        <v/>
      </c>
      <c r="AR69" s="450" t="str">
        <f t="shared" si="14"/>
        <v/>
      </c>
      <c r="AS69" s="450" t="str">
        <f t="shared" si="15"/>
        <v/>
      </c>
      <c r="AT69" s="450" t="str">
        <f t="shared" si="16"/>
        <v/>
      </c>
      <c r="AU69" s="269" t="str">
        <f t="shared" si="17"/>
        <v/>
      </c>
    </row>
    <row r="70" spans="1:47" ht="15.75" customHeight="1">
      <c r="A70" s="175">
        <f t="shared" si="0"/>
        <v>2022</v>
      </c>
      <c r="B70" s="454" t="str">
        <f t="shared" si="1"/>
        <v>12</v>
      </c>
      <c r="C70" s="454" t="str">
        <f t="array" ref="C70">_xlfn.IFS(_xlfn.NUMBERVALUE(B70)&lt;=13,"Q1",AND(_xlfn.NUMBERVALUE(B70)&gt;13,_xlfn.NUMBERVALUE(B70)&lt;=26),"Q2", AND(_xlfn.NUMBERVALUE(B70)&gt;26,_xlfn.NUMBERVALUE(B70)&lt;=39),"Q3",_xlfn.NUMBERVALUE(B70)&gt;39,"Q4")</f>
        <v>Q1</v>
      </c>
      <c r="D70" s="448">
        <f t="shared" si="18"/>
        <v>44303</v>
      </c>
      <c r="E70" s="448">
        <f t="shared" si="2"/>
        <v>44309</v>
      </c>
      <c r="F70" s="97">
        <v>202112</v>
      </c>
      <c r="G70" s="86"/>
      <c r="H70" s="79"/>
      <c r="I70" s="449"/>
      <c r="J70" s="79"/>
      <c r="K70" s="97"/>
      <c r="L70" s="513"/>
      <c r="M70" s="513"/>
      <c r="N70" s="514"/>
      <c r="O70" s="518"/>
      <c r="P70" s="518"/>
      <c r="Q70" s="103"/>
      <c r="R70" s="429"/>
      <c r="S70" s="449"/>
      <c r="T70" s="79"/>
      <c r="U70" s="97"/>
      <c r="V70" s="86"/>
      <c r="W70" s="79"/>
      <c r="X70" s="454"/>
      <c r="Y70" s="79"/>
      <c r="Z70" s="97"/>
      <c r="AA70" s="429"/>
      <c r="AB70" s="429"/>
      <c r="AC70" s="449"/>
      <c r="AD70" s="429"/>
      <c r="AE70" s="429"/>
      <c r="AF70" s="126"/>
      <c r="AG70" s="265" t="str">
        <f t="shared" si="3"/>
        <v/>
      </c>
      <c r="AH70" s="515" t="str">
        <f t="shared" si="4"/>
        <v/>
      </c>
      <c r="AI70" s="515" t="str">
        <f t="shared" si="5"/>
        <v/>
      </c>
      <c r="AJ70" s="515" t="str">
        <f t="shared" si="6"/>
        <v/>
      </c>
      <c r="AK70" s="187" t="str">
        <f t="shared" si="7"/>
        <v/>
      </c>
      <c r="AL70" s="266" t="str">
        <f t="shared" si="8"/>
        <v/>
      </c>
      <c r="AM70" s="516" t="str">
        <f t="shared" si="9"/>
        <v/>
      </c>
      <c r="AN70" s="516" t="str">
        <f t="shared" si="10"/>
        <v/>
      </c>
      <c r="AO70" s="516" t="str">
        <f t="shared" si="11"/>
        <v/>
      </c>
      <c r="AP70" s="267" t="str">
        <f t="shared" si="12"/>
        <v/>
      </c>
      <c r="AQ70" s="268" t="str">
        <f t="shared" si="13"/>
        <v/>
      </c>
      <c r="AR70" s="450" t="str">
        <f t="shared" si="14"/>
        <v/>
      </c>
      <c r="AS70" s="450" t="str">
        <f t="shared" si="15"/>
        <v/>
      </c>
      <c r="AT70" s="450" t="str">
        <f t="shared" si="16"/>
        <v/>
      </c>
      <c r="AU70" s="269" t="str">
        <f t="shared" si="17"/>
        <v/>
      </c>
    </row>
    <row r="71" spans="1:47" ht="15.75" customHeight="1">
      <c r="A71" s="175">
        <f t="shared" ref="A71:A134" si="19">LEFT(F71,4)+1</f>
        <v>2022</v>
      </c>
      <c r="B71" s="454" t="str">
        <f t="shared" ref="B71:B134" si="20">RIGHT(F71,2)</f>
        <v>13</v>
      </c>
      <c r="C71" s="454" t="str">
        <f t="array" ref="C71">_xlfn.IFS(_xlfn.NUMBERVALUE(B71)&lt;=13,"Q1",AND(_xlfn.NUMBERVALUE(B71)&gt;13,_xlfn.NUMBERVALUE(B71)&lt;=26),"Q2", AND(_xlfn.NUMBERVALUE(B71)&gt;26,_xlfn.NUMBERVALUE(B71)&lt;=39),"Q3",_xlfn.NUMBERVALUE(B71)&gt;39,"Q4")</f>
        <v>Q1</v>
      </c>
      <c r="D71" s="448">
        <f t="shared" si="18"/>
        <v>44310</v>
      </c>
      <c r="E71" s="448">
        <f t="shared" ref="E71:E134" si="21">D71+6</f>
        <v>44316</v>
      </c>
      <c r="F71" s="97">
        <v>202113</v>
      </c>
      <c r="G71" s="86"/>
      <c r="H71" s="79"/>
      <c r="I71" s="449"/>
      <c r="J71" s="79"/>
      <c r="K71" s="97"/>
      <c r="L71" s="513"/>
      <c r="M71" s="513"/>
      <c r="N71" s="514"/>
      <c r="O71" s="518"/>
      <c r="P71" s="518"/>
      <c r="Q71" s="103"/>
      <c r="R71" s="429"/>
      <c r="S71" s="449"/>
      <c r="T71" s="79"/>
      <c r="U71" s="97"/>
      <c r="V71" s="86"/>
      <c r="W71" s="79"/>
      <c r="X71" s="454"/>
      <c r="Y71" s="79"/>
      <c r="Z71" s="97"/>
      <c r="AA71" s="429"/>
      <c r="AB71" s="429"/>
      <c r="AC71" s="449"/>
      <c r="AD71" s="429"/>
      <c r="AE71" s="429"/>
      <c r="AF71" s="126"/>
      <c r="AG71" s="265" t="str">
        <f t="shared" ref="AG71:AG134" si="22">IFERROR(G71/Q71,"")</f>
        <v/>
      </c>
      <c r="AH71" s="515" t="str">
        <f t="shared" ref="AH71:AH134" si="23">IFERROR(H71/R71,"")</f>
        <v/>
      </c>
      <c r="AI71" s="515" t="str">
        <f t="shared" ref="AI71:AI134" si="24">IFERROR(I71/S71,"")</f>
        <v/>
      </c>
      <c r="AJ71" s="515" t="str">
        <f t="shared" ref="AJ71:AJ134" si="25">IFERROR(J71/T71,"")</f>
        <v/>
      </c>
      <c r="AK71" s="187" t="str">
        <f t="shared" ref="AK71:AK134" si="26">IFERROR(K71/U71,"")</f>
        <v/>
      </c>
      <c r="AL71" s="266" t="str">
        <f t="shared" ref="AL71:AL134" si="27">IFERROR(L71/G71,"")</f>
        <v/>
      </c>
      <c r="AM71" s="516" t="str">
        <f t="shared" ref="AM71:AM134" si="28">IFERROR(M71/H71,"")</f>
        <v/>
      </c>
      <c r="AN71" s="516" t="str">
        <f t="shared" ref="AN71:AN134" si="29">IFERROR(N71/I71,"")</f>
        <v/>
      </c>
      <c r="AO71" s="516" t="str">
        <f t="shared" ref="AO71:AO134" si="30">IFERROR(O71/J71,"")</f>
        <v/>
      </c>
      <c r="AP71" s="267" t="str">
        <f t="shared" ref="AP71:AP134" si="31">IFERROR(P71/K71,"")</f>
        <v/>
      </c>
      <c r="AQ71" s="268" t="str">
        <f t="shared" ref="AQ71:AQ134" si="32">IFERROR(L71/SUM($N71:$P71),"")</f>
        <v/>
      </c>
      <c r="AR71" s="450" t="str">
        <f t="shared" ref="AR71:AR134" si="33">IFERROR(M71/SUM($N71:$P71),"")</f>
        <v/>
      </c>
      <c r="AS71" s="450" t="str">
        <f t="shared" ref="AS71:AS134" si="34">IFERROR(N71/SUM($N71:$P71),"")</f>
        <v/>
      </c>
      <c r="AT71" s="450" t="str">
        <f t="shared" ref="AT71:AT134" si="35">IFERROR(O71/SUM($N71:$P71),"")</f>
        <v/>
      </c>
      <c r="AU71" s="269" t="str">
        <f t="shared" ref="AU71:AU134" si="36">IFERROR(P71/SUM($N71:$P71),"")</f>
        <v/>
      </c>
    </row>
    <row r="72" spans="1:47" ht="15.75" customHeight="1">
      <c r="A72" s="175">
        <f t="shared" si="19"/>
        <v>2022</v>
      </c>
      <c r="B72" s="454" t="str">
        <f t="shared" si="20"/>
        <v>14</v>
      </c>
      <c r="C72" s="454" t="str">
        <f t="array" ref="C72">_xlfn.IFS(_xlfn.NUMBERVALUE(B72)&lt;=13,"Q1",AND(_xlfn.NUMBERVALUE(B72)&gt;13,_xlfn.NUMBERVALUE(B72)&lt;=26),"Q2", AND(_xlfn.NUMBERVALUE(B72)&gt;26,_xlfn.NUMBERVALUE(B72)&lt;=39),"Q3",_xlfn.NUMBERVALUE(B72)&gt;39,"Q4")</f>
        <v>Q2</v>
      </c>
      <c r="D72" s="448">
        <f t="shared" ref="D72:D135" si="37">E71+1</f>
        <v>44317</v>
      </c>
      <c r="E72" s="448">
        <f t="shared" si="21"/>
        <v>44323</v>
      </c>
      <c r="F72" s="97">
        <v>202114</v>
      </c>
      <c r="G72" s="86"/>
      <c r="H72" s="79"/>
      <c r="I72" s="449"/>
      <c r="J72" s="79"/>
      <c r="K72" s="97"/>
      <c r="L72" s="513"/>
      <c r="M72" s="513"/>
      <c r="N72" s="514"/>
      <c r="O72" s="518"/>
      <c r="P72" s="518"/>
      <c r="Q72" s="103"/>
      <c r="R72" s="429"/>
      <c r="S72" s="449"/>
      <c r="T72" s="79"/>
      <c r="U72" s="97"/>
      <c r="V72" s="86"/>
      <c r="W72" s="79"/>
      <c r="X72" s="454"/>
      <c r="Y72" s="79"/>
      <c r="Z72" s="97"/>
      <c r="AA72" s="429"/>
      <c r="AB72" s="429"/>
      <c r="AC72" s="449"/>
      <c r="AD72" s="429"/>
      <c r="AE72" s="429"/>
      <c r="AF72" s="126"/>
      <c r="AG72" s="265" t="str">
        <f t="shared" si="22"/>
        <v/>
      </c>
      <c r="AH72" s="515" t="str">
        <f t="shared" si="23"/>
        <v/>
      </c>
      <c r="AI72" s="515" t="str">
        <f t="shared" si="24"/>
        <v/>
      </c>
      <c r="AJ72" s="515" t="str">
        <f t="shared" si="25"/>
        <v/>
      </c>
      <c r="AK72" s="187" t="str">
        <f t="shared" si="26"/>
        <v/>
      </c>
      <c r="AL72" s="266" t="str">
        <f t="shared" si="27"/>
        <v/>
      </c>
      <c r="AM72" s="516" t="str">
        <f t="shared" si="28"/>
        <v/>
      </c>
      <c r="AN72" s="516" t="str">
        <f t="shared" si="29"/>
        <v/>
      </c>
      <c r="AO72" s="516" t="str">
        <f t="shared" si="30"/>
        <v/>
      </c>
      <c r="AP72" s="267" t="str">
        <f t="shared" si="31"/>
        <v/>
      </c>
      <c r="AQ72" s="268" t="str">
        <f t="shared" si="32"/>
        <v/>
      </c>
      <c r="AR72" s="450" t="str">
        <f t="shared" si="33"/>
        <v/>
      </c>
      <c r="AS72" s="450" t="str">
        <f t="shared" si="34"/>
        <v/>
      </c>
      <c r="AT72" s="450" t="str">
        <f t="shared" si="35"/>
        <v/>
      </c>
      <c r="AU72" s="269" t="str">
        <f t="shared" si="36"/>
        <v/>
      </c>
    </row>
    <row r="73" spans="1:47" ht="15.75" customHeight="1">
      <c r="A73" s="175">
        <f t="shared" si="19"/>
        <v>2022</v>
      </c>
      <c r="B73" s="454" t="str">
        <f t="shared" si="20"/>
        <v>15</v>
      </c>
      <c r="C73" s="454" t="str">
        <f t="array" ref="C73">_xlfn.IFS(_xlfn.NUMBERVALUE(B73)&lt;=13,"Q1",AND(_xlfn.NUMBERVALUE(B73)&gt;13,_xlfn.NUMBERVALUE(B73)&lt;=26),"Q2", AND(_xlfn.NUMBERVALUE(B73)&gt;26,_xlfn.NUMBERVALUE(B73)&lt;=39),"Q3",_xlfn.NUMBERVALUE(B73)&gt;39,"Q4")</f>
        <v>Q2</v>
      </c>
      <c r="D73" s="448">
        <f t="shared" si="37"/>
        <v>44324</v>
      </c>
      <c r="E73" s="448">
        <f t="shared" si="21"/>
        <v>44330</v>
      </c>
      <c r="F73" s="97">
        <v>202115</v>
      </c>
      <c r="G73" s="86"/>
      <c r="H73" s="79"/>
      <c r="I73" s="449"/>
      <c r="J73" s="79"/>
      <c r="K73" s="97"/>
      <c r="L73" s="513"/>
      <c r="M73" s="513"/>
      <c r="N73" s="514"/>
      <c r="O73" s="518"/>
      <c r="P73" s="518"/>
      <c r="Q73" s="103"/>
      <c r="R73" s="429"/>
      <c r="S73" s="449"/>
      <c r="T73" s="79"/>
      <c r="U73" s="97"/>
      <c r="V73" s="86"/>
      <c r="W73" s="79"/>
      <c r="X73" s="454"/>
      <c r="Y73" s="79"/>
      <c r="Z73" s="97"/>
      <c r="AA73" s="429"/>
      <c r="AB73" s="429"/>
      <c r="AC73" s="449"/>
      <c r="AD73" s="429"/>
      <c r="AE73" s="429"/>
      <c r="AF73" s="126"/>
      <c r="AG73" s="265" t="str">
        <f t="shared" si="22"/>
        <v/>
      </c>
      <c r="AH73" s="515" t="str">
        <f t="shared" si="23"/>
        <v/>
      </c>
      <c r="AI73" s="515" t="str">
        <f t="shared" si="24"/>
        <v/>
      </c>
      <c r="AJ73" s="515" t="str">
        <f t="shared" si="25"/>
        <v/>
      </c>
      <c r="AK73" s="187" t="str">
        <f t="shared" si="26"/>
        <v/>
      </c>
      <c r="AL73" s="266" t="str">
        <f t="shared" si="27"/>
        <v/>
      </c>
      <c r="AM73" s="516" t="str">
        <f t="shared" si="28"/>
        <v/>
      </c>
      <c r="AN73" s="516" t="str">
        <f t="shared" si="29"/>
        <v/>
      </c>
      <c r="AO73" s="516" t="str">
        <f t="shared" si="30"/>
        <v/>
      </c>
      <c r="AP73" s="267" t="str">
        <f t="shared" si="31"/>
        <v/>
      </c>
      <c r="AQ73" s="268" t="str">
        <f t="shared" si="32"/>
        <v/>
      </c>
      <c r="AR73" s="450" t="str">
        <f t="shared" si="33"/>
        <v/>
      </c>
      <c r="AS73" s="450" t="str">
        <f t="shared" si="34"/>
        <v/>
      </c>
      <c r="AT73" s="450" t="str">
        <f t="shared" si="35"/>
        <v/>
      </c>
      <c r="AU73" s="269" t="str">
        <f t="shared" si="36"/>
        <v/>
      </c>
    </row>
    <row r="74" spans="1:47" ht="15.75" customHeight="1">
      <c r="A74" s="175">
        <f t="shared" si="19"/>
        <v>2022</v>
      </c>
      <c r="B74" s="454" t="str">
        <f t="shared" si="20"/>
        <v>16</v>
      </c>
      <c r="C74" s="454" t="str">
        <f t="array" ref="C74">_xlfn.IFS(_xlfn.NUMBERVALUE(B74)&lt;=13,"Q1",AND(_xlfn.NUMBERVALUE(B74)&gt;13,_xlfn.NUMBERVALUE(B74)&lt;=26),"Q2", AND(_xlfn.NUMBERVALUE(B74)&gt;26,_xlfn.NUMBERVALUE(B74)&lt;=39),"Q3",_xlfn.NUMBERVALUE(B74)&gt;39,"Q4")</f>
        <v>Q2</v>
      </c>
      <c r="D74" s="448">
        <f t="shared" si="37"/>
        <v>44331</v>
      </c>
      <c r="E74" s="448">
        <f t="shared" si="21"/>
        <v>44337</v>
      </c>
      <c r="F74" s="97">
        <v>202116</v>
      </c>
      <c r="G74" s="86"/>
      <c r="H74" s="79"/>
      <c r="I74" s="449"/>
      <c r="J74" s="79"/>
      <c r="K74" s="97"/>
      <c r="L74" s="513"/>
      <c r="M74" s="513"/>
      <c r="N74" s="514"/>
      <c r="O74" s="518"/>
      <c r="P74" s="518"/>
      <c r="Q74" s="103"/>
      <c r="R74" s="429"/>
      <c r="S74" s="449"/>
      <c r="T74" s="79"/>
      <c r="U74" s="97"/>
      <c r="V74" s="86"/>
      <c r="W74" s="79"/>
      <c r="X74" s="454"/>
      <c r="Y74" s="79"/>
      <c r="Z74" s="97"/>
      <c r="AA74" s="429"/>
      <c r="AB74" s="429"/>
      <c r="AC74" s="449"/>
      <c r="AD74" s="429"/>
      <c r="AE74" s="429"/>
      <c r="AF74" s="126"/>
      <c r="AG74" s="265" t="str">
        <f t="shared" si="22"/>
        <v/>
      </c>
      <c r="AH74" s="515" t="str">
        <f t="shared" si="23"/>
        <v/>
      </c>
      <c r="AI74" s="515" t="str">
        <f t="shared" si="24"/>
        <v/>
      </c>
      <c r="AJ74" s="515" t="str">
        <f t="shared" si="25"/>
        <v/>
      </c>
      <c r="AK74" s="187" t="str">
        <f t="shared" si="26"/>
        <v/>
      </c>
      <c r="AL74" s="266" t="str">
        <f t="shared" si="27"/>
        <v/>
      </c>
      <c r="AM74" s="516" t="str">
        <f t="shared" si="28"/>
        <v/>
      </c>
      <c r="AN74" s="516" t="str">
        <f t="shared" si="29"/>
        <v/>
      </c>
      <c r="AO74" s="516" t="str">
        <f t="shared" si="30"/>
        <v/>
      </c>
      <c r="AP74" s="267" t="str">
        <f t="shared" si="31"/>
        <v/>
      </c>
      <c r="AQ74" s="268" t="str">
        <f t="shared" si="32"/>
        <v/>
      </c>
      <c r="AR74" s="450" t="str">
        <f t="shared" si="33"/>
        <v/>
      </c>
      <c r="AS74" s="450" t="str">
        <f t="shared" si="34"/>
        <v/>
      </c>
      <c r="AT74" s="450" t="str">
        <f t="shared" si="35"/>
        <v/>
      </c>
      <c r="AU74" s="269" t="str">
        <f t="shared" si="36"/>
        <v/>
      </c>
    </row>
    <row r="75" spans="1:47" ht="15.75" customHeight="1">
      <c r="A75" s="175">
        <f t="shared" si="19"/>
        <v>2022</v>
      </c>
      <c r="B75" s="454" t="str">
        <f t="shared" si="20"/>
        <v>17</v>
      </c>
      <c r="C75" s="454" t="str">
        <f t="array" ref="C75">_xlfn.IFS(_xlfn.NUMBERVALUE(B75)&lt;=13,"Q1",AND(_xlfn.NUMBERVALUE(B75)&gt;13,_xlfn.NUMBERVALUE(B75)&lt;=26),"Q2", AND(_xlfn.NUMBERVALUE(B75)&gt;26,_xlfn.NUMBERVALUE(B75)&lt;=39),"Q3",_xlfn.NUMBERVALUE(B75)&gt;39,"Q4")</f>
        <v>Q2</v>
      </c>
      <c r="D75" s="448">
        <f t="shared" si="37"/>
        <v>44338</v>
      </c>
      <c r="E75" s="448">
        <f t="shared" si="21"/>
        <v>44344</v>
      </c>
      <c r="F75" s="97">
        <v>202117</v>
      </c>
      <c r="G75" s="86"/>
      <c r="H75" s="79"/>
      <c r="I75" s="449"/>
      <c r="J75" s="79"/>
      <c r="K75" s="97"/>
      <c r="L75" s="513"/>
      <c r="M75" s="513"/>
      <c r="N75" s="514"/>
      <c r="O75" s="518"/>
      <c r="P75" s="518"/>
      <c r="Q75" s="103"/>
      <c r="R75" s="429"/>
      <c r="S75" s="449"/>
      <c r="T75" s="79"/>
      <c r="U75" s="97"/>
      <c r="V75" s="86"/>
      <c r="W75" s="79"/>
      <c r="X75" s="454"/>
      <c r="Y75" s="79"/>
      <c r="Z75" s="97"/>
      <c r="AA75" s="429"/>
      <c r="AB75" s="429"/>
      <c r="AC75" s="449"/>
      <c r="AD75" s="429"/>
      <c r="AE75" s="429"/>
      <c r="AF75" s="126"/>
      <c r="AG75" s="265" t="str">
        <f t="shared" si="22"/>
        <v/>
      </c>
      <c r="AH75" s="515" t="str">
        <f t="shared" si="23"/>
        <v/>
      </c>
      <c r="AI75" s="515" t="str">
        <f t="shared" si="24"/>
        <v/>
      </c>
      <c r="AJ75" s="515" t="str">
        <f t="shared" si="25"/>
        <v/>
      </c>
      <c r="AK75" s="187" t="str">
        <f t="shared" si="26"/>
        <v/>
      </c>
      <c r="AL75" s="266" t="str">
        <f t="shared" si="27"/>
        <v/>
      </c>
      <c r="AM75" s="516" t="str">
        <f t="shared" si="28"/>
        <v/>
      </c>
      <c r="AN75" s="516" t="str">
        <f t="shared" si="29"/>
        <v/>
      </c>
      <c r="AO75" s="516" t="str">
        <f t="shared" si="30"/>
        <v/>
      </c>
      <c r="AP75" s="267" t="str">
        <f t="shared" si="31"/>
        <v/>
      </c>
      <c r="AQ75" s="268" t="str">
        <f t="shared" si="32"/>
        <v/>
      </c>
      <c r="AR75" s="450" t="str">
        <f t="shared" si="33"/>
        <v/>
      </c>
      <c r="AS75" s="450" t="str">
        <f t="shared" si="34"/>
        <v/>
      </c>
      <c r="AT75" s="450" t="str">
        <f t="shared" si="35"/>
        <v/>
      </c>
      <c r="AU75" s="269" t="str">
        <f t="shared" si="36"/>
        <v/>
      </c>
    </row>
    <row r="76" spans="1:47" ht="15.75" customHeight="1">
      <c r="A76" s="175">
        <f t="shared" si="19"/>
        <v>2022</v>
      </c>
      <c r="B76" s="454" t="str">
        <f t="shared" si="20"/>
        <v>18</v>
      </c>
      <c r="C76" s="454" t="str">
        <f t="array" ref="C76">_xlfn.IFS(_xlfn.NUMBERVALUE(B76)&lt;=13,"Q1",AND(_xlfn.NUMBERVALUE(B76)&gt;13,_xlfn.NUMBERVALUE(B76)&lt;=26),"Q2", AND(_xlfn.NUMBERVALUE(B76)&gt;26,_xlfn.NUMBERVALUE(B76)&lt;=39),"Q3",_xlfn.NUMBERVALUE(B76)&gt;39,"Q4")</f>
        <v>Q2</v>
      </c>
      <c r="D76" s="448">
        <f t="shared" si="37"/>
        <v>44345</v>
      </c>
      <c r="E76" s="448">
        <f t="shared" si="21"/>
        <v>44351</v>
      </c>
      <c r="F76" s="97">
        <v>202118</v>
      </c>
      <c r="G76" s="86"/>
      <c r="H76" s="79"/>
      <c r="I76" s="449"/>
      <c r="J76" s="79"/>
      <c r="K76" s="97"/>
      <c r="L76" s="513"/>
      <c r="M76" s="513"/>
      <c r="N76" s="514"/>
      <c r="O76" s="518"/>
      <c r="P76" s="518"/>
      <c r="Q76" s="103"/>
      <c r="R76" s="429"/>
      <c r="S76" s="449"/>
      <c r="T76" s="79"/>
      <c r="U76" s="97"/>
      <c r="V76" s="86"/>
      <c r="W76" s="79"/>
      <c r="X76" s="454"/>
      <c r="Y76" s="79"/>
      <c r="Z76" s="97"/>
      <c r="AA76" s="429"/>
      <c r="AB76" s="429"/>
      <c r="AC76" s="449"/>
      <c r="AD76" s="429"/>
      <c r="AE76" s="429"/>
      <c r="AF76" s="126"/>
      <c r="AG76" s="265" t="str">
        <f t="shared" si="22"/>
        <v/>
      </c>
      <c r="AH76" s="515" t="str">
        <f t="shared" si="23"/>
        <v/>
      </c>
      <c r="AI76" s="515" t="str">
        <f t="shared" si="24"/>
        <v/>
      </c>
      <c r="AJ76" s="515" t="str">
        <f t="shared" si="25"/>
        <v/>
      </c>
      <c r="AK76" s="187" t="str">
        <f t="shared" si="26"/>
        <v/>
      </c>
      <c r="AL76" s="266" t="str">
        <f t="shared" si="27"/>
        <v/>
      </c>
      <c r="AM76" s="516" t="str">
        <f t="shared" si="28"/>
        <v/>
      </c>
      <c r="AN76" s="516" t="str">
        <f t="shared" si="29"/>
        <v/>
      </c>
      <c r="AO76" s="516" t="str">
        <f t="shared" si="30"/>
        <v/>
      </c>
      <c r="AP76" s="267" t="str">
        <f t="shared" si="31"/>
        <v/>
      </c>
      <c r="AQ76" s="268" t="str">
        <f t="shared" si="32"/>
        <v/>
      </c>
      <c r="AR76" s="450" t="str">
        <f t="shared" si="33"/>
        <v/>
      </c>
      <c r="AS76" s="450" t="str">
        <f t="shared" si="34"/>
        <v/>
      </c>
      <c r="AT76" s="450" t="str">
        <f t="shared" si="35"/>
        <v/>
      </c>
      <c r="AU76" s="269" t="str">
        <f t="shared" si="36"/>
        <v/>
      </c>
    </row>
    <row r="77" spans="1:47" ht="15.75" customHeight="1">
      <c r="A77" s="175">
        <f t="shared" si="19"/>
        <v>2022</v>
      </c>
      <c r="B77" s="454" t="str">
        <f t="shared" si="20"/>
        <v>19</v>
      </c>
      <c r="C77" s="454" t="str">
        <f t="array" ref="C77">_xlfn.IFS(_xlfn.NUMBERVALUE(B77)&lt;=13,"Q1",AND(_xlfn.NUMBERVALUE(B77)&gt;13,_xlfn.NUMBERVALUE(B77)&lt;=26),"Q2", AND(_xlfn.NUMBERVALUE(B77)&gt;26,_xlfn.NUMBERVALUE(B77)&lt;=39),"Q3",_xlfn.NUMBERVALUE(B77)&gt;39,"Q4")</f>
        <v>Q2</v>
      </c>
      <c r="D77" s="448">
        <f t="shared" si="37"/>
        <v>44352</v>
      </c>
      <c r="E77" s="448">
        <f t="shared" si="21"/>
        <v>44358</v>
      </c>
      <c r="F77" s="97">
        <v>202119</v>
      </c>
      <c r="G77" s="86"/>
      <c r="H77" s="79"/>
      <c r="I77" s="449"/>
      <c r="J77" s="79"/>
      <c r="K77" s="97"/>
      <c r="L77" s="513"/>
      <c r="M77" s="513"/>
      <c r="N77" s="514"/>
      <c r="O77" s="518"/>
      <c r="P77" s="518"/>
      <c r="Q77" s="103"/>
      <c r="R77" s="429"/>
      <c r="S77" s="449"/>
      <c r="T77" s="79"/>
      <c r="U77" s="97"/>
      <c r="V77" s="86"/>
      <c r="W77" s="79"/>
      <c r="X77" s="454"/>
      <c r="Y77" s="79"/>
      <c r="Z77" s="97"/>
      <c r="AA77" s="429"/>
      <c r="AB77" s="429"/>
      <c r="AC77" s="449"/>
      <c r="AD77" s="429"/>
      <c r="AE77" s="429"/>
      <c r="AF77" s="126"/>
      <c r="AG77" s="265" t="str">
        <f t="shared" si="22"/>
        <v/>
      </c>
      <c r="AH77" s="515" t="str">
        <f t="shared" si="23"/>
        <v/>
      </c>
      <c r="AI77" s="515" t="str">
        <f t="shared" si="24"/>
        <v/>
      </c>
      <c r="AJ77" s="515" t="str">
        <f t="shared" si="25"/>
        <v/>
      </c>
      <c r="AK77" s="187" t="str">
        <f t="shared" si="26"/>
        <v/>
      </c>
      <c r="AL77" s="266" t="str">
        <f t="shared" si="27"/>
        <v/>
      </c>
      <c r="AM77" s="516" t="str">
        <f t="shared" si="28"/>
        <v/>
      </c>
      <c r="AN77" s="516" t="str">
        <f t="shared" si="29"/>
        <v/>
      </c>
      <c r="AO77" s="516" t="str">
        <f t="shared" si="30"/>
        <v/>
      </c>
      <c r="AP77" s="267" t="str">
        <f t="shared" si="31"/>
        <v/>
      </c>
      <c r="AQ77" s="268" t="str">
        <f t="shared" si="32"/>
        <v/>
      </c>
      <c r="AR77" s="450" t="str">
        <f t="shared" si="33"/>
        <v/>
      </c>
      <c r="AS77" s="450" t="str">
        <f t="shared" si="34"/>
        <v/>
      </c>
      <c r="AT77" s="450" t="str">
        <f t="shared" si="35"/>
        <v/>
      </c>
      <c r="AU77" s="269" t="str">
        <f t="shared" si="36"/>
        <v/>
      </c>
    </row>
    <row r="78" spans="1:47" ht="15.75" customHeight="1">
      <c r="A78" s="175">
        <f t="shared" si="19"/>
        <v>2022</v>
      </c>
      <c r="B78" s="454" t="str">
        <f t="shared" si="20"/>
        <v>20</v>
      </c>
      <c r="C78" s="454" t="str">
        <f t="array" ref="C78">_xlfn.IFS(_xlfn.NUMBERVALUE(B78)&lt;=13,"Q1",AND(_xlfn.NUMBERVALUE(B78)&gt;13,_xlfn.NUMBERVALUE(B78)&lt;=26),"Q2", AND(_xlfn.NUMBERVALUE(B78)&gt;26,_xlfn.NUMBERVALUE(B78)&lt;=39),"Q3",_xlfn.NUMBERVALUE(B78)&gt;39,"Q4")</f>
        <v>Q2</v>
      </c>
      <c r="D78" s="448">
        <f t="shared" si="37"/>
        <v>44359</v>
      </c>
      <c r="E78" s="448">
        <f t="shared" si="21"/>
        <v>44365</v>
      </c>
      <c r="F78" s="97">
        <v>202120</v>
      </c>
      <c r="G78" s="86"/>
      <c r="H78" s="79"/>
      <c r="I78" s="449"/>
      <c r="J78" s="79"/>
      <c r="K78" s="97"/>
      <c r="L78" s="513"/>
      <c r="M78" s="513"/>
      <c r="N78" s="514"/>
      <c r="O78" s="518"/>
      <c r="P78" s="518"/>
      <c r="Q78" s="103"/>
      <c r="R78" s="429"/>
      <c r="S78" s="449"/>
      <c r="T78" s="79"/>
      <c r="U78" s="97"/>
      <c r="V78" s="86"/>
      <c r="W78" s="79"/>
      <c r="X78" s="454"/>
      <c r="Y78" s="79"/>
      <c r="Z78" s="97"/>
      <c r="AA78" s="429"/>
      <c r="AB78" s="429"/>
      <c r="AC78" s="449"/>
      <c r="AD78" s="429"/>
      <c r="AE78" s="429"/>
      <c r="AF78" s="126"/>
      <c r="AG78" s="265" t="str">
        <f t="shared" si="22"/>
        <v/>
      </c>
      <c r="AH78" s="515" t="str">
        <f t="shared" si="23"/>
        <v/>
      </c>
      <c r="AI78" s="515" t="str">
        <f t="shared" si="24"/>
        <v/>
      </c>
      <c r="AJ78" s="515" t="str">
        <f t="shared" si="25"/>
        <v/>
      </c>
      <c r="AK78" s="187" t="str">
        <f t="shared" si="26"/>
        <v/>
      </c>
      <c r="AL78" s="266" t="str">
        <f t="shared" si="27"/>
        <v/>
      </c>
      <c r="AM78" s="516" t="str">
        <f t="shared" si="28"/>
        <v/>
      </c>
      <c r="AN78" s="516" t="str">
        <f t="shared" si="29"/>
        <v/>
      </c>
      <c r="AO78" s="516" t="str">
        <f t="shared" si="30"/>
        <v/>
      </c>
      <c r="AP78" s="267" t="str">
        <f t="shared" si="31"/>
        <v/>
      </c>
      <c r="AQ78" s="268" t="str">
        <f t="shared" si="32"/>
        <v/>
      </c>
      <c r="AR78" s="450" t="str">
        <f t="shared" si="33"/>
        <v/>
      </c>
      <c r="AS78" s="450" t="str">
        <f t="shared" si="34"/>
        <v/>
      </c>
      <c r="AT78" s="450" t="str">
        <f t="shared" si="35"/>
        <v/>
      </c>
      <c r="AU78" s="269" t="str">
        <f t="shared" si="36"/>
        <v/>
      </c>
    </row>
    <row r="79" spans="1:47" ht="15.75" customHeight="1">
      <c r="A79" s="175">
        <f t="shared" si="19"/>
        <v>2022</v>
      </c>
      <c r="B79" s="454" t="str">
        <f t="shared" si="20"/>
        <v>21</v>
      </c>
      <c r="C79" s="454" t="str">
        <f t="array" ref="C79">_xlfn.IFS(_xlfn.NUMBERVALUE(B79)&lt;=13,"Q1",AND(_xlfn.NUMBERVALUE(B79)&gt;13,_xlfn.NUMBERVALUE(B79)&lt;=26),"Q2", AND(_xlfn.NUMBERVALUE(B79)&gt;26,_xlfn.NUMBERVALUE(B79)&lt;=39),"Q3",_xlfn.NUMBERVALUE(B79)&gt;39,"Q4")</f>
        <v>Q2</v>
      </c>
      <c r="D79" s="448">
        <f t="shared" si="37"/>
        <v>44366</v>
      </c>
      <c r="E79" s="448">
        <f t="shared" si="21"/>
        <v>44372</v>
      </c>
      <c r="F79" s="97">
        <v>202121</v>
      </c>
      <c r="G79" s="241"/>
      <c r="H79" s="467"/>
      <c r="I79" s="449"/>
      <c r="J79" s="467"/>
      <c r="K79" s="242"/>
      <c r="L79" s="518"/>
      <c r="M79" s="518"/>
      <c r="N79" s="519"/>
      <c r="O79" s="518"/>
      <c r="P79" s="518"/>
      <c r="Q79" s="103"/>
      <c r="R79" s="429"/>
      <c r="S79" s="449"/>
      <c r="T79" s="470"/>
      <c r="U79" s="243"/>
      <c r="V79" s="86"/>
      <c r="W79" s="79"/>
      <c r="X79" s="454"/>
      <c r="Y79" s="79"/>
      <c r="Z79" s="97"/>
      <c r="AA79" s="429"/>
      <c r="AB79" s="429"/>
      <c r="AC79" s="449"/>
      <c r="AD79" s="429"/>
      <c r="AE79" s="429"/>
      <c r="AF79" s="126"/>
      <c r="AG79" s="265" t="str">
        <f t="shared" si="22"/>
        <v/>
      </c>
      <c r="AH79" s="515" t="str">
        <f t="shared" si="23"/>
        <v/>
      </c>
      <c r="AI79" s="515" t="str">
        <f t="shared" si="24"/>
        <v/>
      </c>
      <c r="AJ79" s="515" t="str">
        <f t="shared" si="25"/>
        <v/>
      </c>
      <c r="AK79" s="187" t="str">
        <f t="shared" si="26"/>
        <v/>
      </c>
      <c r="AL79" s="266" t="str">
        <f t="shared" si="27"/>
        <v/>
      </c>
      <c r="AM79" s="516" t="str">
        <f t="shared" si="28"/>
        <v/>
      </c>
      <c r="AN79" s="516" t="str">
        <f t="shared" si="29"/>
        <v/>
      </c>
      <c r="AO79" s="516" t="str">
        <f t="shared" si="30"/>
        <v/>
      </c>
      <c r="AP79" s="267" t="str">
        <f t="shared" si="31"/>
        <v/>
      </c>
      <c r="AQ79" s="268" t="str">
        <f t="shared" si="32"/>
        <v/>
      </c>
      <c r="AR79" s="450" t="str">
        <f t="shared" si="33"/>
        <v/>
      </c>
      <c r="AS79" s="450" t="str">
        <f t="shared" si="34"/>
        <v/>
      </c>
      <c r="AT79" s="450" t="str">
        <f t="shared" si="35"/>
        <v/>
      </c>
      <c r="AU79" s="269" t="str">
        <f t="shared" si="36"/>
        <v/>
      </c>
    </row>
    <row r="80" spans="1:47" ht="15.75" customHeight="1">
      <c r="A80" s="175">
        <f t="shared" si="19"/>
        <v>2022</v>
      </c>
      <c r="B80" s="454" t="str">
        <f t="shared" si="20"/>
        <v>22</v>
      </c>
      <c r="C80" s="454" t="str">
        <f t="array" ref="C80">_xlfn.IFS(_xlfn.NUMBERVALUE(B80)&lt;=13,"Q1",AND(_xlfn.NUMBERVALUE(B80)&gt;13,_xlfn.NUMBERVALUE(B80)&lt;=26),"Q2", AND(_xlfn.NUMBERVALUE(B80)&gt;26,_xlfn.NUMBERVALUE(B80)&lt;=39),"Q3",_xlfn.NUMBERVALUE(B80)&gt;39,"Q4")</f>
        <v>Q2</v>
      </c>
      <c r="D80" s="448">
        <f t="shared" si="37"/>
        <v>44373</v>
      </c>
      <c r="E80" s="448">
        <f t="shared" si="21"/>
        <v>44379</v>
      </c>
      <c r="F80" s="97">
        <v>202122</v>
      </c>
      <c r="G80" s="241"/>
      <c r="H80" s="467"/>
      <c r="I80" s="449"/>
      <c r="J80" s="467"/>
      <c r="K80" s="242"/>
      <c r="L80" s="518"/>
      <c r="M80" s="518"/>
      <c r="N80" s="519"/>
      <c r="O80" s="518"/>
      <c r="P80" s="518"/>
      <c r="Q80" s="103"/>
      <c r="R80" s="429"/>
      <c r="S80" s="449"/>
      <c r="T80" s="470"/>
      <c r="U80" s="243"/>
      <c r="V80" s="86"/>
      <c r="W80" s="79"/>
      <c r="X80" s="454"/>
      <c r="Y80" s="79"/>
      <c r="Z80" s="97"/>
      <c r="AA80" s="429"/>
      <c r="AB80" s="429"/>
      <c r="AC80" s="449"/>
      <c r="AD80" s="429"/>
      <c r="AE80" s="429"/>
      <c r="AF80" s="126"/>
      <c r="AG80" s="265" t="str">
        <f t="shared" si="22"/>
        <v/>
      </c>
      <c r="AH80" s="515" t="str">
        <f t="shared" si="23"/>
        <v/>
      </c>
      <c r="AI80" s="515" t="str">
        <f t="shared" si="24"/>
        <v/>
      </c>
      <c r="AJ80" s="515" t="str">
        <f t="shared" si="25"/>
        <v/>
      </c>
      <c r="AK80" s="187" t="str">
        <f t="shared" si="26"/>
        <v/>
      </c>
      <c r="AL80" s="266" t="str">
        <f t="shared" si="27"/>
        <v/>
      </c>
      <c r="AM80" s="516" t="str">
        <f t="shared" si="28"/>
        <v/>
      </c>
      <c r="AN80" s="516" t="str">
        <f t="shared" si="29"/>
        <v/>
      </c>
      <c r="AO80" s="516" t="str">
        <f t="shared" si="30"/>
        <v/>
      </c>
      <c r="AP80" s="267" t="str">
        <f t="shared" si="31"/>
        <v/>
      </c>
      <c r="AQ80" s="268" t="str">
        <f t="shared" si="32"/>
        <v/>
      </c>
      <c r="AR80" s="450" t="str">
        <f t="shared" si="33"/>
        <v/>
      </c>
      <c r="AS80" s="450" t="str">
        <f t="shared" si="34"/>
        <v/>
      </c>
      <c r="AT80" s="450" t="str">
        <f t="shared" si="35"/>
        <v/>
      </c>
      <c r="AU80" s="269" t="str">
        <f t="shared" si="36"/>
        <v/>
      </c>
    </row>
    <row r="81" spans="1:47" ht="15.75" customHeight="1">
      <c r="A81" s="175">
        <f t="shared" si="19"/>
        <v>2022</v>
      </c>
      <c r="B81" s="454" t="str">
        <f t="shared" si="20"/>
        <v>23</v>
      </c>
      <c r="C81" s="454" t="str">
        <f t="array" ref="C81">_xlfn.IFS(_xlfn.NUMBERVALUE(B81)&lt;=13,"Q1",AND(_xlfn.NUMBERVALUE(B81)&gt;13,_xlfn.NUMBERVALUE(B81)&lt;=26),"Q2", AND(_xlfn.NUMBERVALUE(B81)&gt;26,_xlfn.NUMBERVALUE(B81)&lt;=39),"Q3",_xlfn.NUMBERVALUE(B81)&gt;39,"Q4")</f>
        <v>Q2</v>
      </c>
      <c r="D81" s="448">
        <f t="shared" si="37"/>
        <v>44380</v>
      </c>
      <c r="E81" s="448">
        <f t="shared" si="21"/>
        <v>44386</v>
      </c>
      <c r="F81" s="97">
        <v>202123</v>
      </c>
      <c r="G81" s="241"/>
      <c r="H81" s="467"/>
      <c r="I81" s="449"/>
      <c r="J81" s="467"/>
      <c r="K81" s="242"/>
      <c r="L81" s="518"/>
      <c r="M81" s="518"/>
      <c r="N81" s="519"/>
      <c r="O81" s="518"/>
      <c r="P81" s="518"/>
      <c r="Q81" s="103"/>
      <c r="R81" s="429"/>
      <c r="S81" s="449"/>
      <c r="T81" s="470"/>
      <c r="U81" s="243"/>
      <c r="V81" s="86"/>
      <c r="W81" s="79"/>
      <c r="X81" s="454"/>
      <c r="Y81" s="79"/>
      <c r="Z81" s="97"/>
      <c r="AA81" s="429"/>
      <c r="AB81" s="429"/>
      <c r="AC81" s="449"/>
      <c r="AD81" s="429"/>
      <c r="AE81" s="429"/>
      <c r="AF81" s="126"/>
      <c r="AG81" s="265" t="str">
        <f t="shared" si="22"/>
        <v/>
      </c>
      <c r="AH81" s="515" t="str">
        <f t="shared" si="23"/>
        <v/>
      </c>
      <c r="AI81" s="515" t="str">
        <f t="shared" si="24"/>
        <v/>
      </c>
      <c r="AJ81" s="515" t="str">
        <f t="shared" si="25"/>
        <v/>
      </c>
      <c r="AK81" s="187" t="str">
        <f t="shared" si="26"/>
        <v/>
      </c>
      <c r="AL81" s="266" t="str">
        <f t="shared" si="27"/>
        <v/>
      </c>
      <c r="AM81" s="516" t="str">
        <f t="shared" si="28"/>
        <v/>
      </c>
      <c r="AN81" s="516" t="str">
        <f t="shared" si="29"/>
        <v/>
      </c>
      <c r="AO81" s="516" t="str">
        <f t="shared" si="30"/>
        <v/>
      </c>
      <c r="AP81" s="267" t="str">
        <f t="shared" si="31"/>
        <v/>
      </c>
      <c r="AQ81" s="268" t="str">
        <f t="shared" si="32"/>
        <v/>
      </c>
      <c r="AR81" s="450" t="str">
        <f t="shared" si="33"/>
        <v/>
      </c>
      <c r="AS81" s="450" t="str">
        <f t="shared" si="34"/>
        <v/>
      </c>
      <c r="AT81" s="450" t="str">
        <f t="shared" si="35"/>
        <v/>
      </c>
      <c r="AU81" s="269" t="str">
        <f t="shared" si="36"/>
        <v/>
      </c>
    </row>
    <row r="82" spans="1:47" ht="15.75" customHeight="1">
      <c r="A82" s="175">
        <f t="shared" si="19"/>
        <v>2022</v>
      </c>
      <c r="B82" s="454" t="str">
        <f t="shared" si="20"/>
        <v>24</v>
      </c>
      <c r="C82" s="454" t="str">
        <f t="array" ref="C82">_xlfn.IFS(_xlfn.NUMBERVALUE(B82)&lt;=13,"Q1",AND(_xlfn.NUMBERVALUE(B82)&gt;13,_xlfn.NUMBERVALUE(B82)&lt;=26),"Q2", AND(_xlfn.NUMBERVALUE(B82)&gt;26,_xlfn.NUMBERVALUE(B82)&lt;=39),"Q3",_xlfn.NUMBERVALUE(B82)&gt;39,"Q4")</f>
        <v>Q2</v>
      </c>
      <c r="D82" s="448">
        <f t="shared" si="37"/>
        <v>44387</v>
      </c>
      <c r="E82" s="448">
        <f t="shared" si="21"/>
        <v>44393</v>
      </c>
      <c r="F82" s="97">
        <v>202124</v>
      </c>
      <c r="G82" s="241"/>
      <c r="H82" s="467"/>
      <c r="I82" s="449"/>
      <c r="J82" s="467"/>
      <c r="K82" s="242"/>
      <c r="L82" s="518"/>
      <c r="M82" s="518"/>
      <c r="N82" s="514"/>
      <c r="O82" s="520"/>
      <c r="P82" s="518"/>
      <c r="Q82" s="103"/>
      <c r="R82" s="429"/>
      <c r="S82" s="449"/>
      <c r="T82" s="470"/>
      <c r="U82" s="243"/>
      <c r="V82" s="86"/>
      <c r="W82" s="79"/>
      <c r="X82" s="454"/>
      <c r="Y82" s="79"/>
      <c r="Z82" s="97"/>
      <c r="AA82" s="429"/>
      <c r="AB82" s="429"/>
      <c r="AC82" s="449"/>
      <c r="AD82" s="429"/>
      <c r="AE82" s="429"/>
      <c r="AF82" s="126"/>
      <c r="AG82" s="265" t="str">
        <f t="shared" si="22"/>
        <v/>
      </c>
      <c r="AH82" s="515" t="str">
        <f t="shared" si="23"/>
        <v/>
      </c>
      <c r="AI82" s="515" t="str">
        <f t="shared" si="24"/>
        <v/>
      </c>
      <c r="AJ82" s="515" t="str">
        <f t="shared" si="25"/>
        <v/>
      </c>
      <c r="AK82" s="187" t="str">
        <f t="shared" si="26"/>
        <v/>
      </c>
      <c r="AL82" s="266" t="str">
        <f t="shared" si="27"/>
        <v/>
      </c>
      <c r="AM82" s="516" t="str">
        <f t="shared" si="28"/>
        <v/>
      </c>
      <c r="AN82" s="516" t="str">
        <f t="shared" si="29"/>
        <v/>
      </c>
      <c r="AO82" s="516" t="str">
        <f t="shared" si="30"/>
        <v/>
      </c>
      <c r="AP82" s="267" t="str">
        <f t="shared" si="31"/>
        <v/>
      </c>
      <c r="AQ82" s="268" t="str">
        <f t="shared" si="32"/>
        <v/>
      </c>
      <c r="AR82" s="450" t="str">
        <f t="shared" si="33"/>
        <v/>
      </c>
      <c r="AS82" s="450" t="str">
        <f t="shared" si="34"/>
        <v/>
      </c>
      <c r="AT82" s="450" t="str">
        <f t="shared" si="35"/>
        <v/>
      </c>
      <c r="AU82" s="269" t="str">
        <f t="shared" si="36"/>
        <v/>
      </c>
    </row>
    <row r="83" spans="1:47" ht="15.75" customHeight="1">
      <c r="A83" s="175">
        <f t="shared" si="19"/>
        <v>2022</v>
      </c>
      <c r="B83" s="454" t="str">
        <f t="shared" si="20"/>
        <v>25</v>
      </c>
      <c r="C83" s="454" t="str">
        <f t="array" ref="C83">_xlfn.IFS(_xlfn.NUMBERVALUE(B83)&lt;=13,"Q1",AND(_xlfn.NUMBERVALUE(B83)&gt;13,_xlfn.NUMBERVALUE(B83)&lt;=26),"Q2", AND(_xlfn.NUMBERVALUE(B83)&gt;26,_xlfn.NUMBERVALUE(B83)&lt;=39),"Q3",_xlfn.NUMBERVALUE(B83)&gt;39,"Q4")</f>
        <v>Q2</v>
      </c>
      <c r="D83" s="448">
        <f t="shared" si="37"/>
        <v>44394</v>
      </c>
      <c r="E83" s="448">
        <f t="shared" si="21"/>
        <v>44400</v>
      </c>
      <c r="F83" s="97">
        <v>202125</v>
      </c>
      <c r="G83" s="241"/>
      <c r="H83" s="467"/>
      <c r="I83" s="449"/>
      <c r="J83" s="467"/>
      <c r="K83" s="242"/>
      <c r="L83" s="518"/>
      <c r="M83" s="518"/>
      <c r="N83" s="514"/>
      <c r="O83" s="520"/>
      <c r="P83" s="518"/>
      <c r="Q83" s="103"/>
      <c r="R83" s="429"/>
      <c r="S83" s="449"/>
      <c r="T83" s="470"/>
      <c r="U83" s="243"/>
      <c r="V83" s="86"/>
      <c r="W83" s="79"/>
      <c r="X83" s="454"/>
      <c r="Y83" s="79"/>
      <c r="Z83" s="97"/>
      <c r="AA83" s="429"/>
      <c r="AB83" s="429"/>
      <c r="AC83" s="449"/>
      <c r="AD83" s="429"/>
      <c r="AE83" s="429"/>
      <c r="AF83" s="126"/>
      <c r="AG83" s="265" t="str">
        <f t="shared" si="22"/>
        <v/>
      </c>
      <c r="AH83" s="515" t="str">
        <f t="shared" si="23"/>
        <v/>
      </c>
      <c r="AI83" s="515" t="str">
        <f t="shared" si="24"/>
        <v/>
      </c>
      <c r="AJ83" s="515" t="str">
        <f t="shared" si="25"/>
        <v/>
      </c>
      <c r="AK83" s="187" t="str">
        <f t="shared" si="26"/>
        <v/>
      </c>
      <c r="AL83" s="266" t="str">
        <f t="shared" si="27"/>
        <v/>
      </c>
      <c r="AM83" s="516" t="str">
        <f t="shared" si="28"/>
        <v/>
      </c>
      <c r="AN83" s="516" t="str">
        <f t="shared" si="29"/>
        <v/>
      </c>
      <c r="AO83" s="516" t="str">
        <f t="shared" si="30"/>
        <v/>
      </c>
      <c r="AP83" s="267" t="str">
        <f t="shared" si="31"/>
        <v/>
      </c>
      <c r="AQ83" s="268" t="str">
        <f t="shared" si="32"/>
        <v/>
      </c>
      <c r="AR83" s="450" t="str">
        <f t="shared" si="33"/>
        <v/>
      </c>
      <c r="AS83" s="450" t="str">
        <f t="shared" si="34"/>
        <v/>
      </c>
      <c r="AT83" s="450" t="str">
        <f t="shared" si="35"/>
        <v/>
      </c>
      <c r="AU83" s="269" t="str">
        <f t="shared" si="36"/>
        <v/>
      </c>
    </row>
    <row r="84" spans="1:47" ht="15.75" customHeight="1">
      <c r="A84" s="175">
        <f t="shared" si="19"/>
        <v>2022</v>
      </c>
      <c r="B84" s="454" t="str">
        <f t="shared" si="20"/>
        <v>26</v>
      </c>
      <c r="C84" s="454" t="str">
        <f t="array" ref="C84">_xlfn.IFS(_xlfn.NUMBERVALUE(B84)&lt;=13,"Q1",AND(_xlfn.NUMBERVALUE(B84)&gt;13,_xlfn.NUMBERVALUE(B84)&lt;=26),"Q2", AND(_xlfn.NUMBERVALUE(B84)&gt;26,_xlfn.NUMBERVALUE(B84)&lt;=39),"Q3",_xlfn.NUMBERVALUE(B84)&gt;39,"Q4")</f>
        <v>Q2</v>
      </c>
      <c r="D84" s="448">
        <f t="shared" si="37"/>
        <v>44401</v>
      </c>
      <c r="E84" s="448">
        <f t="shared" si="21"/>
        <v>44407</v>
      </c>
      <c r="F84" s="97">
        <v>202126</v>
      </c>
      <c r="G84" s="241"/>
      <c r="H84" s="467"/>
      <c r="I84" s="449"/>
      <c r="J84" s="467"/>
      <c r="K84" s="242"/>
      <c r="L84" s="518"/>
      <c r="M84" s="518"/>
      <c r="N84" s="514"/>
      <c r="O84" s="520"/>
      <c r="P84" s="518"/>
      <c r="Q84" s="103"/>
      <c r="R84" s="429"/>
      <c r="S84" s="449"/>
      <c r="T84" s="470"/>
      <c r="U84" s="243"/>
      <c r="V84" s="86"/>
      <c r="W84" s="79"/>
      <c r="X84" s="454"/>
      <c r="Y84" s="79"/>
      <c r="Z84" s="97"/>
      <c r="AA84" s="429"/>
      <c r="AB84" s="429"/>
      <c r="AC84" s="449"/>
      <c r="AD84" s="429"/>
      <c r="AE84" s="429"/>
      <c r="AF84" s="126"/>
      <c r="AG84" s="265" t="str">
        <f t="shared" si="22"/>
        <v/>
      </c>
      <c r="AH84" s="515" t="str">
        <f t="shared" si="23"/>
        <v/>
      </c>
      <c r="AI84" s="515" t="str">
        <f t="shared" si="24"/>
        <v/>
      </c>
      <c r="AJ84" s="515" t="str">
        <f t="shared" si="25"/>
        <v/>
      </c>
      <c r="AK84" s="187" t="str">
        <f t="shared" si="26"/>
        <v/>
      </c>
      <c r="AL84" s="266" t="str">
        <f t="shared" si="27"/>
        <v/>
      </c>
      <c r="AM84" s="516" t="str">
        <f t="shared" si="28"/>
        <v/>
      </c>
      <c r="AN84" s="516" t="str">
        <f t="shared" si="29"/>
        <v/>
      </c>
      <c r="AO84" s="516" t="str">
        <f t="shared" si="30"/>
        <v/>
      </c>
      <c r="AP84" s="267" t="str">
        <f t="shared" si="31"/>
        <v/>
      </c>
      <c r="AQ84" s="268" t="str">
        <f t="shared" si="32"/>
        <v/>
      </c>
      <c r="AR84" s="450" t="str">
        <f t="shared" si="33"/>
        <v/>
      </c>
      <c r="AS84" s="450" t="str">
        <f t="shared" si="34"/>
        <v/>
      </c>
      <c r="AT84" s="450" t="str">
        <f t="shared" si="35"/>
        <v/>
      </c>
      <c r="AU84" s="269" t="str">
        <f t="shared" si="36"/>
        <v/>
      </c>
    </row>
    <row r="85" spans="1:47" ht="15.75" customHeight="1">
      <c r="A85" s="175">
        <f t="shared" si="19"/>
        <v>2022</v>
      </c>
      <c r="B85" s="454" t="str">
        <f t="shared" si="20"/>
        <v>27</v>
      </c>
      <c r="C85" s="454" t="str">
        <f t="array" ref="C85">_xlfn.IFS(_xlfn.NUMBERVALUE(B85)&lt;=13,"Q1",AND(_xlfn.NUMBERVALUE(B85)&gt;13,_xlfn.NUMBERVALUE(B85)&lt;=26),"Q2", AND(_xlfn.NUMBERVALUE(B85)&gt;26,_xlfn.NUMBERVALUE(B85)&lt;=39),"Q3",_xlfn.NUMBERVALUE(B85)&gt;39,"Q4")</f>
        <v>Q3</v>
      </c>
      <c r="D85" s="448">
        <f t="shared" si="37"/>
        <v>44408</v>
      </c>
      <c r="E85" s="448">
        <f t="shared" si="21"/>
        <v>44414</v>
      </c>
      <c r="F85" s="97">
        <v>202127</v>
      </c>
      <c r="G85" s="241"/>
      <c r="H85" s="467"/>
      <c r="I85" s="449"/>
      <c r="J85" s="467"/>
      <c r="K85" s="242"/>
      <c r="L85" s="518"/>
      <c r="M85" s="518"/>
      <c r="N85" s="514"/>
      <c r="O85" s="520"/>
      <c r="P85" s="518"/>
      <c r="Q85" s="103"/>
      <c r="R85" s="429"/>
      <c r="S85" s="449"/>
      <c r="T85" s="470"/>
      <c r="U85" s="243"/>
      <c r="V85" s="86"/>
      <c r="W85" s="79"/>
      <c r="X85" s="454"/>
      <c r="Y85" s="79"/>
      <c r="Z85" s="97"/>
      <c r="AA85" s="429"/>
      <c r="AB85" s="429"/>
      <c r="AC85" s="449"/>
      <c r="AD85" s="429"/>
      <c r="AE85" s="429"/>
      <c r="AF85" s="126"/>
      <c r="AG85" s="265" t="str">
        <f t="shared" si="22"/>
        <v/>
      </c>
      <c r="AH85" s="515" t="str">
        <f t="shared" si="23"/>
        <v/>
      </c>
      <c r="AI85" s="515" t="str">
        <f t="shared" si="24"/>
        <v/>
      </c>
      <c r="AJ85" s="515" t="str">
        <f t="shared" si="25"/>
        <v/>
      </c>
      <c r="AK85" s="187" t="str">
        <f t="shared" si="26"/>
        <v/>
      </c>
      <c r="AL85" s="266" t="str">
        <f t="shared" si="27"/>
        <v/>
      </c>
      <c r="AM85" s="516" t="str">
        <f t="shared" si="28"/>
        <v/>
      </c>
      <c r="AN85" s="516" t="str">
        <f t="shared" si="29"/>
        <v/>
      </c>
      <c r="AO85" s="516" t="str">
        <f t="shared" si="30"/>
        <v/>
      </c>
      <c r="AP85" s="267" t="str">
        <f t="shared" si="31"/>
        <v/>
      </c>
      <c r="AQ85" s="268" t="str">
        <f t="shared" si="32"/>
        <v/>
      </c>
      <c r="AR85" s="450" t="str">
        <f t="shared" si="33"/>
        <v/>
      </c>
      <c r="AS85" s="450" t="str">
        <f t="shared" si="34"/>
        <v/>
      </c>
      <c r="AT85" s="450" t="str">
        <f t="shared" si="35"/>
        <v/>
      </c>
      <c r="AU85" s="269" t="str">
        <f t="shared" si="36"/>
        <v/>
      </c>
    </row>
    <row r="86" spans="1:47" ht="15.75" customHeight="1">
      <c r="A86" s="175">
        <f t="shared" si="19"/>
        <v>2022</v>
      </c>
      <c r="B86" s="454" t="str">
        <f t="shared" si="20"/>
        <v>28</v>
      </c>
      <c r="C86" s="454" t="str">
        <f t="array" ref="C86">_xlfn.IFS(_xlfn.NUMBERVALUE(B86)&lt;=13,"Q1",AND(_xlfn.NUMBERVALUE(B86)&gt;13,_xlfn.NUMBERVALUE(B86)&lt;=26),"Q2", AND(_xlfn.NUMBERVALUE(B86)&gt;26,_xlfn.NUMBERVALUE(B86)&lt;=39),"Q3",_xlfn.NUMBERVALUE(B86)&gt;39,"Q4")</f>
        <v>Q3</v>
      </c>
      <c r="D86" s="448">
        <f t="shared" si="37"/>
        <v>44415</v>
      </c>
      <c r="E86" s="448">
        <f t="shared" si="21"/>
        <v>44421</v>
      </c>
      <c r="F86" s="97">
        <v>202128</v>
      </c>
      <c r="G86" s="241"/>
      <c r="H86" s="467"/>
      <c r="I86" s="449"/>
      <c r="J86" s="467"/>
      <c r="K86" s="242"/>
      <c r="L86" s="518"/>
      <c r="M86" s="518"/>
      <c r="N86" s="514"/>
      <c r="O86" s="520"/>
      <c r="P86" s="518"/>
      <c r="Q86" s="103"/>
      <c r="R86" s="429"/>
      <c r="S86" s="449"/>
      <c r="T86" s="467"/>
      <c r="U86" s="242"/>
      <c r="V86" s="86"/>
      <c r="W86" s="79"/>
      <c r="X86" s="454"/>
      <c r="Y86" s="79"/>
      <c r="Z86" s="97"/>
      <c r="AA86" s="429"/>
      <c r="AB86" s="429"/>
      <c r="AC86" s="449"/>
      <c r="AD86" s="429"/>
      <c r="AE86" s="429"/>
      <c r="AF86" s="126"/>
      <c r="AG86" s="265" t="str">
        <f t="shared" si="22"/>
        <v/>
      </c>
      <c r="AH86" s="515" t="str">
        <f t="shared" si="23"/>
        <v/>
      </c>
      <c r="AI86" s="515" t="str">
        <f t="shared" si="24"/>
        <v/>
      </c>
      <c r="AJ86" s="515" t="str">
        <f t="shared" si="25"/>
        <v/>
      </c>
      <c r="AK86" s="187" t="str">
        <f t="shared" si="26"/>
        <v/>
      </c>
      <c r="AL86" s="266" t="str">
        <f t="shared" si="27"/>
        <v/>
      </c>
      <c r="AM86" s="516" t="str">
        <f t="shared" si="28"/>
        <v/>
      </c>
      <c r="AN86" s="516" t="str">
        <f t="shared" si="29"/>
        <v/>
      </c>
      <c r="AO86" s="516" t="str">
        <f t="shared" si="30"/>
        <v/>
      </c>
      <c r="AP86" s="267" t="str">
        <f t="shared" si="31"/>
        <v/>
      </c>
      <c r="AQ86" s="268" t="str">
        <f t="shared" si="32"/>
        <v/>
      </c>
      <c r="AR86" s="450" t="str">
        <f t="shared" si="33"/>
        <v/>
      </c>
      <c r="AS86" s="450" t="str">
        <f t="shared" si="34"/>
        <v/>
      </c>
      <c r="AT86" s="450" t="str">
        <f t="shared" si="35"/>
        <v/>
      </c>
      <c r="AU86" s="269" t="str">
        <f t="shared" si="36"/>
        <v/>
      </c>
    </row>
    <row r="87" spans="1:47" ht="15.75" customHeight="1">
      <c r="A87" s="175">
        <f t="shared" si="19"/>
        <v>2022</v>
      </c>
      <c r="B87" s="454" t="str">
        <f t="shared" si="20"/>
        <v>29</v>
      </c>
      <c r="C87" s="454" t="str">
        <f t="array" ref="C87">_xlfn.IFS(_xlfn.NUMBERVALUE(B87)&lt;=13,"Q1",AND(_xlfn.NUMBERVALUE(B87)&gt;13,_xlfn.NUMBERVALUE(B87)&lt;=26),"Q2", AND(_xlfn.NUMBERVALUE(B87)&gt;26,_xlfn.NUMBERVALUE(B87)&lt;=39),"Q3",_xlfn.NUMBERVALUE(B87)&gt;39,"Q4")</f>
        <v>Q3</v>
      </c>
      <c r="D87" s="448">
        <f t="shared" si="37"/>
        <v>44422</v>
      </c>
      <c r="E87" s="448">
        <f t="shared" si="21"/>
        <v>44428</v>
      </c>
      <c r="F87" s="97">
        <v>202129</v>
      </c>
      <c r="G87" s="241"/>
      <c r="H87" s="467"/>
      <c r="I87" s="449"/>
      <c r="J87" s="467"/>
      <c r="K87" s="242"/>
      <c r="L87" s="518"/>
      <c r="M87" s="518"/>
      <c r="N87" s="514"/>
      <c r="O87" s="520"/>
      <c r="P87" s="518"/>
      <c r="Q87" s="103"/>
      <c r="R87" s="429"/>
      <c r="S87" s="449"/>
      <c r="T87" s="470"/>
      <c r="U87" s="243"/>
      <c r="V87" s="86"/>
      <c r="W87" s="79"/>
      <c r="X87" s="454"/>
      <c r="Y87" s="79"/>
      <c r="Z87" s="97"/>
      <c r="AA87" s="429"/>
      <c r="AB87" s="429"/>
      <c r="AC87" s="449"/>
      <c r="AD87" s="429"/>
      <c r="AE87" s="429"/>
      <c r="AF87" s="126"/>
      <c r="AG87" s="265" t="str">
        <f t="shared" si="22"/>
        <v/>
      </c>
      <c r="AH87" s="515" t="str">
        <f t="shared" si="23"/>
        <v/>
      </c>
      <c r="AI87" s="515" t="str">
        <f t="shared" si="24"/>
        <v/>
      </c>
      <c r="AJ87" s="515" t="str">
        <f t="shared" si="25"/>
        <v/>
      </c>
      <c r="AK87" s="187" t="str">
        <f t="shared" si="26"/>
        <v/>
      </c>
      <c r="AL87" s="266" t="str">
        <f t="shared" si="27"/>
        <v/>
      </c>
      <c r="AM87" s="516" t="str">
        <f t="shared" si="28"/>
        <v/>
      </c>
      <c r="AN87" s="516" t="str">
        <f t="shared" si="29"/>
        <v/>
      </c>
      <c r="AO87" s="516" t="str">
        <f t="shared" si="30"/>
        <v/>
      </c>
      <c r="AP87" s="267" t="str">
        <f t="shared" si="31"/>
        <v/>
      </c>
      <c r="AQ87" s="268" t="str">
        <f t="shared" si="32"/>
        <v/>
      </c>
      <c r="AR87" s="450" t="str">
        <f t="shared" si="33"/>
        <v/>
      </c>
      <c r="AS87" s="450" t="str">
        <f t="shared" si="34"/>
        <v/>
      </c>
      <c r="AT87" s="450" t="str">
        <f t="shared" si="35"/>
        <v/>
      </c>
      <c r="AU87" s="269" t="str">
        <f t="shared" si="36"/>
        <v/>
      </c>
    </row>
    <row r="88" spans="1:47" ht="15.75" customHeight="1">
      <c r="A88" s="175">
        <f t="shared" si="19"/>
        <v>2022</v>
      </c>
      <c r="B88" s="454" t="str">
        <f t="shared" si="20"/>
        <v>30</v>
      </c>
      <c r="C88" s="454" t="str">
        <f t="array" ref="C88">_xlfn.IFS(_xlfn.NUMBERVALUE(B88)&lt;=13,"Q1",AND(_xlfn.NUMBERVALUE(B88)&gt;13,_xlfn.NUMBERVALUE(B88)&lt;=26),"Q2", AND(_xlfn.NUMBERVALUE(B88)&gt;26,_xlfn.NUMBERVALUE(B88)&lt;=39),"Q3",_xlfn.NUMBERVALUE(B88)&gt;39,"Q4")</f>
        <v>Q3</v>
      </c>
      <c r="D88" s="448">
        <f t="shared" si="37"/>
        <v>44429</v>
      </c>
      <c r="E88" s="448">
        <f t="shared" si="21"/>
        <v>44435</v>
      </c>
      <c r="F88" s="97">
        <v>202130</v>
      </c>
      <c r="G88" s="241"/>
      <c r="H88" s="467"/>
      <c r="I88" s="449"/>
      <c r="J88" s="467"/>
      <c r="K88" s="242"/>
      <c r="L88" s="518"/>
      <c r="M88" s="518"/>
      <c r="N88" s="514"/>
      <c r="O88" s="520"/>
      <c r="P88" s="518"/>
      <c r="Q88" s="103"/>
      <c r="R88" s="429"/>
      <c r="S88" s="449"/>
      <c r="T88" s="470"/>
      <c r="U88" s="243"/>
      <c r="V88" s="86"/>
      <c r="W88" s="79"/>
      <c r="X88" s="454"/>
      <c r="Y88" s="79"/>
      <c r="Z88" s="97"/>
      <c r="AA88" s="429"/>
      <c r="AB88" s="429"/>
      <c r="AC88" s="449"/>
      <c r="AD88" s="429"/>
      <c r="AE88" s="429"/>
      <c r="AF88" s="126"/>
      <c r="AG88" s="265" t="str">
        <f t="shared" si="22"/>
        <v/>
      </c>
      <c r="AH88" s="515" t="str">
        <f t="shared" si="23"/>
        <v/>
      </c>
      <c r="AI88" s="515" t="str">
        <f t="shared" si="24"/>
        <v/>
      </c>
      <c r="AJ88" s="515" t="str">
        <f t="shared" si="25"/>
        <v/>
      </c>
      <c r="AK88" s="187" t="str">
        <f t="shared" si="26"/>
        <v/>
      </c>
      <c r="AL88" s="266" t="str">
        <f t="shared" si="27"/>
        <v/>
      </c>
      <c r="AM88" s="516" t="str">
        <f t="shared" si="28"/>
        <v/>
      </c>
      <c r="AN88" s="516" t="str">
        <f t="shared" si="29"/>
        <v/>
      </c>
      <c r="AO88" s="516" t="str">
        <f t="shared" si="30"/>
        <v/>
      </c>
      <c r="AP88" s="267" t="str">
        <f t="shared" si="31"/>
        <v/>
      </c>
      <c r="AQ88" s="268" t="str">
        <f t="shared" si="32"/>
        <v/>
      </c>
      <c r="AR88" s="450" t="str">
        <f t="shared" si="33"/>
        <v/>
      </c>
      <c r="AS88" s="450" t="str">
        <f t="shared" si="34"/>
        <v/>
      </c>
      <c r="AT88" s="450" t="str">
        <f t="shared" si="35"/>
        <v/>
      </c>
      <c r="AU88" s="269" t="str">
        <f t="shared" si="36"/>
        <v/>
      </c>
    </row>
    <row r="89" spans="1:47" ht="15.75" customHeight="1">
      <c r="A89" s="175">
        <f t="shared" si="19"/>
        <v>2022</v>
      </c>
      <c r="B89" s="454" t="str">
        <f t="shared" si="20"/>
        <v>31</v>
      </c>
      <c r="C89" s="454" t="str">
        <f t="array" ref="C89">_xlfn.IFS(_xlfn.NUMBERVALUE(B89)&lt;=13,"Q1",AND(_xlfn.NUMBERVALUE(B89)&gt;13,_xlfn.NUMBERVALUE(B89)&lt;=26),"Q2", AND(_xlfn.NUMBERVALUE(B89)&gt;26,_xlfn.NUMBERVALUE(B89)&lt;=39),"Q3",_xlfn.NUMBERVALUE(B89)&gt;39,"Q4")</f>
        <v>Q3</v>
      </c>
      <c r="D89" s="448">
        <f t="shared" si="37"/>
        <v>44436</v>
      </c>
      <c r="E89" s="448">
        <f t="shared" si="21"/>
        <v>44442</v>
      </c>
      <c r="F89" s="97">
        <v>202131</v>
      </c>
      <c r="G89" s="241"/>
      <c r="H89" s="467"/>
      <c r="I89" s="449"/>
      <c r="J89" s="467"/>
      <c r="K89" s="242"/>
      <c r="L89" s="518"/>
      <c r="M89" s="518"/>
      <c r="N89" s="514"/>
      <c r="O89" s="520"/>
      <c r="P89" s="518"/>
      <c r="Q89" s="103"/>
      <c r="R89" s="429"/>
      <c r="S89" s="449"/>
      <c r="T89" s="470"/>
      <c r="U89" s="243"/>
      <c r="V89" s="86"/>
      <c r="W89" s="79"/>
      <c r="X89" s="454"/>
      <c r="Y89" s="79"/>
      <c r="Z89" s="97"/>
      <c r="AA89" s="429"/>
      <c r="AB89" s="429"/>
      <c r="AC89" s="449"/>
      <c r="AD89" s="429"/>
      <c r="AE89" s="429"/>
      <c r="AF89" s="126"/>
      <c r="AG89" s="265" t="str">
        <f t="shared" si="22"/>
        <v/>
      </c>
      <c r="AH89" s="515" t="str">
        <f t="shared" si="23"/>
        <v/>
      </c>
      <c r="AI89" s="515" t="str">
        <f t="shared" si="24"/>
        <v/>
      </c>
      <c r="AJ89" s="515" t="str">
        <f t="shared" si="25"/>
        <v/>
      </c>
      <c r="AK89" s="187" t="str">
        <f t="shared" si="26"/>
        <v/>
      </c>
      <c r="AL89" s="266" t="str">
        <f t="shared" si="27"/>
        <v/>
      </c>
      <c r="AM89" s="516" t="str">
        <f t="shared" si="28"/>
        <v/>
      </c>
      <c r="AN89" s="516" t="str">
        <f t="shared" si="29"/>
        <v/>
      </c>
      <c r="AO89" s="516" t="str">
        <f t="shared" si="30"/>
        <v/>
      </c>
      <c r="AP89" s="267" t="str">
        <f t="shared" si="31"/>
        <v/>
      </c>
      <c r="AQ89" s="268" t="str">
        <f t="shared" si="32"/>
        <v/>
      </c>
      <c r="AR89" s="450" t="str">
        <f t="shared" si="33"/>
        <v/>
      </c>
      <c r="AS89" s="450" t="str">
        <f t="shared" si="34"/>
        <v/>
      </c>
      <c r="AT89" s="450" t="str">
        <f t="shared" si="35"/>
        <v/>
      </c>
      <c r="AU89" s="269" t="str">
        <f t="shared" si="36"/>
        <v/>
      </c>
    </row>
    <row r="90" spans="1:47" ht="15.75" customHeight="1">
      <c r="A90" s="175">
        <f t="shared" si="19"/>
        <v>2022</v>
      </c>
      <c r="B90" s="454" t="str">
        <f t="shared" si="20"/>
        <v>32</v>
      </c>
      <c r="C90" s="454" t="str">
        <f t="array" ref="C90">_xlfn.IFS(_xlfn.NUMBERVALUE(B90)&lt;=13,"Q1",AND(_xlfn.NUMBERVALUE(B90)&gt;13,_xlfn.NUMBERVALUE(B90)&lt;=26),"Q2", AND(_xlfn.NUMBERVALUE(B90)&gt;26,_xlfn.NUMBERVALUE(B90)&lt;=39),"Q3",_xlfn.NUMBERVALUE(B90)&gt;39,"Q4")</f>
        <v>Q3</v>
      </c>
      <c r="D90" s="448">
        <f t="shared" si="37"/>
        <v>44443</v>
      </c>
      <c r="E90" s="448">
        <f t="shared" si="21"/>
        <v>44449</v>
      </c>
      <c r="F90" s="97">
        <v>202132</v>
      </c>
      <c r="G90" s="241"/>
      <c r="H90" s="467"/>
      <c r="I90" s="449"/>
      <c r="J90" s="467"/>
      <c r="K90" s="242"/>
      <c r="L90" s="518"/>
      <c r="M90" s="518"/>
      <c r="N90" s="514"/>
      <c r="O90" s="520"/>
      <c r="P90" s="518"/>
      <c r="Q90" s="103"/>
      <c r="R90" s="429"/>
      <c r="S90" s="449"/>
      <c r="T90" s="470"/>
      <c r="U90" s="243"/>
      <c r="V90" s="86"/>
      <c r="W90" s="79"/>
      <c r="X90" s="454"/>
      <c r="Y90" s="79"/>
      <c r="Z90" s="97"/>
      <c r="AA90" s="429"/>
      <c r="AB90" s="429"/>
      <c r="AC90" s="449"/>
      <c r="AD90" s="429"/>
      <c r="AE90" s="429"/>
      <c r="AF90" s="126"/>
      <c r="AG90" s="265" t="str">
        <f t="shared" si="22"/>
        <v/>
      </c>
      <c r="AH90" s="515" t="str">
        <f t="shared" si="23"/>
        <v/>
      </c>
      <c r="AI90" s="515" t="str">
        <f t="shared" si="24"/>
        <v/>
      </c>
      <c r="AJ90" s="515" t="str">
        <f t="shared" si="25"/>
        <v/>
      </c>
      <c r="AK90" s="187" t="str">
        <f t="shared" si="26"/>
        <v/>
      </c>
      <c r="AL90" s="266" t="str">
        <f t="shared" si="27"/>
        <v/>
      </c>
      <c r="AM90" s="516" t="str">
        <f t="shared" si="28"/>
        <v/>
      </c>
      <c r="AN90" s="516" t="str">
        <f t="shared" si="29"/>
        <v/>
      </c>
      <c r="AO90" s="516" t="str">
        <f t="shared" si="30"/>
        <v/>
      </c>
      <c r="AP90" s="267" t="str">
        <f t="shared" si="31"/>
        <v/>
      </c>
      <c r="AQ90" s="268" t="str">
        <f t="shared" si="32"/>
        <v/>
      </c>
      <c r="AR90" s="450" t="str">
        <f t="shared" si="33"/>
        <v/>
      </c>
      <c r="AS90" s="450" t="str">
        <f t="shared" si="34"/>
        <v/>
      </c>
      <c r="AT90" s="450" t="str">
        <f t="shared" si="35"/>
        <v/>
      </c>
      <c r="AU90" s="269" t="str">
        <f t="shared" si="36"/>
        <v/>
      </c>
    </row>
    <row r="91" spans="1:47" ht="15.75" customHeight="1">
      <c r="A91" s="175">
        <f t="shared" si="19"/>
        <v>2022</v>
      </c>
      <c r="B91" s="454" t="str">
        <f t="shared" si="20"/>
        <v>33</v>
      </c>
      <c r="C91" s="454" t="str">
        <f t="array" ref="C91">_xlfn.IFS(_xlfn.NUMBERVALUE(B91)&lt;=13,"Q1",AND(_xlfn.NUMBERVALUE(B91)&gt;13,_xlfn.NUMBERVALUE(B91)&lt;=26),"Q2", AND(_xlfn.NUMBERVALUE(B91)&gt;26,_xlfn.NUMBERVALUE(B91)&lt;=39),"Q3",_xlfn.NUMBERVALUE(B91)&gt;39,"Q4")</f>
        <v>Q3</v>
      </c>
      <c r="D91" s="448">
        <f t="shared" si="37"/>
        <v>44450</v>
      </c>
      <c r="E91" s="448">
        <f t="shared" si="21"/>
        <v>44456</v>
      </c>
      <c r="F91" s="97">
        <v>202133</v>
      </c>
      <c r="G91" s="241"/>
      <c r="H91" s="467"/>
      <c r="I91" s="521"/>
      <c r="J91" s="467"/>
      <c r="K91" s="242"/>
      <c r="L91" s="518"/>
      <c r="M91" s="518"/>
      <c r="N91" s="514"/>
      <c r="O91" s="518"/>
      <c r="P91" s="518"/>
      <c r="Q91" s="103"/>
      <c r="R91" s="429"/>
      <c r="S91" s="449"/>
      <c r="T91" s="470"/>
      <c r="U91" s="243"/>
      <c r="V91" s="86"/>
      <c r="W91" s="79"/>
      <c r="X91" s="454"/>
      <c r="Y91" s="79"/>
      <c r="Z91" s="97"/>
      <c r="AA91" s="471"/>
      <c r="AB91" s="471"/>
      <c r="AC91" s="449"/>
      <c r="AD91" s="429"/>
      <c r="AE91" s="429"/>
      <c r="AF91" s="126"/>
      <c r="AG91" s="265" t="str">
        <f t="shared" si="22"/>
        <v/>
      </c>
      <c r="AH91" s="515" t="str">
        <f t="shared" si="23"/>
        <v/>
      </c>
      <c r="AI91" s="515" t="str">
        <f t="shared" si="24"/>
        <v/>
      </c>
      <c r="AJ91" s="515" t="str">
        <f t="shared" si="25"/>
        <v/>
      </c>
      <c r="AK91" s="187" t="str">
        <f t="shared" si="26"/>
        <v/>
      </c>
      <c r="AL91" s="266" t="str">
        <f t="shared" si="27"/>
        <v/>
      </c>
      <c r="AM91" s="516" t="str">
        <f t="shared" si="28"/>
        <v/>
      </c>
      <c r="AN91" s="516" t="str">
        <f t="shared" si="29"/>
        <v/>
      </c>
      <c r="AO91" s="516" t="str">
        <f t="shared" si="30"/>
        <v/>
      </c>
      <c r="AP91" s="267" t="str">
        <f t="shared" si="31"/>
        <v/>
      </c>
      <c r="AQ91" s="268" t="str">
        <f t="shared" si="32"/>
        <v/>
      </c>
      <c r="AR91" s="450" t="str">
        <f t="shared" si="33"/>
        <v/>
      </c>
      <c r="AS91" s="450" t="str">
        <f t="shared" si="34"/>
        <v/>
      </c>
      <c r="AT91" s="450" t="str">
        <f t="shared" si="35"/>
        <v/>
      </c>
      <c r="AU91" s="269" t="str">
        <f t="shared" si="36"/>
        <v/>
      </c>
    </row>
    <row r="92" spans="1:47" ht="15.75" customHeight="1">
      <c r="A92" s="175">
        <f t="shared" si="19"/>
        <v>2022</v>
      </c>
      <c r="B92" s="454" t="str">
        <f t="shared" si="20"/>
        <v>34</v>
      </c>
      <c r="C92" s="454" t="str">
        <f t="array" ref="C92">_xlfn.IFS(_xlfn.NUMBERVALUE(B92)&lt;=13,"Q1",AND(_xlfn.NUMBERVALUE(B92)&gt;13,_xlfn.NUMBERVALUE(B92)&lt;=26),"Q2", AND(_xlfn.NUMBERVALUE(B92)&gt;26,_xlfn.NUMBERVALUE(B92)&lt;=39),"Q3",_xlfn.NUMBERVALUE(B92)&gt;39,"Q4")</f>
        <v>Q3</v>
      </c>
      <c r="D92" s="448">
        <f t="shared" si="37"/>
        <v>44457</v>
      </c>
      <c r="E92" s="448">
        <f t="shared" si="21"/>
        <v>44463</v>
      </c>
      <c r="F92" s="97">
        <v>202134</v>
      </c>
      <c r="G92" s="241"/>
      <c r="H92" s="467"/>
      <c r="I92" s="521"/>
      <c r="J92" s="467"/>
      <c r="K92" s="242"/>
      <c r="L92" s="518"/>
      <c r="M92" s="518"/>
      <c r="N92" s="514"/>
      <c r="O92" s="518"/>
      <c r="P92" s="518"/>
      <c r="Q92" s="103"/>
      <c r="R92" s="429"/>
      <c r="S92" s="449"/>
      <c r="T92" s="470"/>
      <c r="U92" s="243"/>
      <c r="V92" s="86"/>
      <c r="W92" s="79"/>
      <c r="X92" s="454"/>
      <c r="Y92" s="79"/>
      <c r="Z92" s="97"/>
      <c r="AA92" s="471"/>
      <c r="AB92" s="471"/>
      <c r="AC92" s="449"/>
      <c r="AD92" s="429"/>
      <c r="AE92" s="429"/>
      <c r="AF92" s="126"/>
      <c r="AG92" s="265" t="str">
        <f t="shared" si="22"/>
        <v/>
      </c>
      <c r="AH92" s="515" t="str">
        <f t="shared" si="23"/>
        <v/>
      </c>
      <c r="AI92" s="515" t="str">
        <f t="shared" si="24"/>
        <v/>
      </c>
      <c r="AJ92" s="515" t="str">
        <f t="shared" si="25"/>
        <v/>
      </c>
      <c r="AK92" s="187" t="str">
        <f t="shared" si="26"/>
        <v/>
      </c>
      <c r="AL92" s="266" t="str">
        <f t="shared" si="27"/>
        <v/>
      </c>
      <c r="AM92" s="516" t="str">
        <f t="shared" si="28"/>
        <v/>
      </c>
      <c r="AN92" s="516" t="str">
        <f t="shared" si="29"/>
        <v/>
      </c>
      <c r="AO92" s="516" t="str">
        <f t="shared" si="30"/>
        <v/>
      </c>
      <c r="AP92" s="267" t="str">
        <f t="shared" si="31"/>
        <v/>
      </c>
      <c r="AQ92" s="268" t="str">
        <f t="shared" si="32"/>
        <v/>
      </c>
      <c r="AR92" s="450" t="str">
        <f t="shared" si="33"/>
        <v/>
      </c>
      <c r="AS92" s="450" t="str">
        <f t="shared" si="34"/>
        <v/>
      </c>
      <c r="AT92" s="450" t="str">
        <f t="shared" si="35"/>
        <v/>
      </c>
      <c r="AU92" s="269" t="str">
        <f t="shared" si="36"/>
        <v/>
      </c>
    </row>
    <row r="93" spans="1:47" ht="15.75" customHeight="1">
      <c r="A93" s="175">
        <f t="shared" si="19"/>
        <v>2022</v>
      </c>
      <c r="B93" s="454" t="str">
        <f t="shared" si="20"/>
        <v>35</v>
      </c>
      <c r="C93" s="454" t="str">
        <f t="array" ref="C93">_xlfn.IFS(_xlfn.NUMBERVALUE(B93)&lt;=13,"Q1",AND(_xlfn.NUMBERVALUE(B93)&gt;13,_xlfn.NUMBERVALUE(B93)&lt;=26),"Q2", AND(_xlfn.NUMBERVALUE(B93)&gt;26,_xlfn.NUMBERVALUE(B93)&lt;=39),"Q3",_xlfn.NUMBERVALUE(B93)&gt;39,"Q4")</f>
        <v>Q3</v>
      </c>
      <c r="D93" s="448">
        <f t="shared" si="37"/>
        <v>44464</v>
      </c>
      <c r="E93" s="448">
        <f t="shared" si="21"/>
        <v>44470</v>
      </c>
      <c r="F93" s="97">
        <v>202135</v>
      </c>
      <c r="G93" s="241"/>
      <c r="H93" s="467"/>
      <c r="I93" s="521"/>
      <c r="J93" s="467"/>
      <c r="K93" s="242"/>
      <c r="L93" s="518"/>
      <c r="M93" s="518"/>
      <c r="N93" s="514"/>
      <c r="O93" s="518"/>
      <c r="P93" s="518"/>
      <c r="Q93" s="103"/>
      <c r="R93" s="429"/>
      <c r="S93" s="449"/>
      <c r="T93" s="467"/>
      <c r="U93" s="243"/>
      <c r="V93" s="86"/>
      <c r="W93" s="79"/>
      <c r="X93" s="454"/>
      <c r="Y93" s="79"/>
      <c r="Z93" s="97"/>
      <c r="AA93" s="471"/>
      <c r="AB93" s="471"/>
      <c r="AC93" s="449"/>
      <c r="AD93" s="429"/>
      <c r="AE93" s="429"/>
      <c r="AF93" s="126"/>
      <c r="AG93" s="265" t="str">
        <f t="shared" si="22"/>
        <v/>
      </c>
      <c r="AH93" s="515" t="str">
        <f t="shared" si="23"/>
        <v/>
      </c>
      <c r="AI93" s="515" t="str">
        <f t="shared" si="24"/>
        <v/>
      </c>
      <c r="AJ93" s="515" t="str">
        <f t="shared" si="25"/>
        <v/>
      </c>
      <c r="AK93" s="187" t="str">
        <f t="shared" si="26"/>
        <v/>
      </c>
      <c r="AL93" s="266" t="str">
        <f t="shared" si="27"/>
        <v/>
      </c>
      <c r="AM93" s="516" t="str">
        <f t="shared" si="28"/>
        <v/>
      </c>
      <c r="AN93" s="516" t="str">
        <f t="shared" si="29"/>
        <v/>
      </c>
      <c r="AO93" s="516" t="str">
        <f t="shared" si="30"/>
        <v/>
      </c>
      <c r="AP93" s="267" t="str">
        <f t="shared" si="31"/>
        <v/>
      </c>
      <c r="AQ93" s="268" t="str">
        <f t="shared" si="32"/>
        <v/>
      </c>
      <c r="AR93" s="450" t="str">
        <f t="shared" si="33"/>
        <v/>
      </c>
      <c r="AS93" s="450" t="str">
        <f t="shared" si="34"/>
        <v/>
      </c>
      <c r="AT93" s="450" t="str">
        <f t="shared" si="35"/>
        <v/>
      </c>
      <c r="AU93" s="269" t="str">
        <f t="shared" si="36"/>
        <v/>
      </c>
    </row>
    <row r="94" spans="1:47" ht="15.75" customHeight="1">
      <c r="A94" s="175">
        <f t="shared" si="19"/>
        <v>2022</v>
      </c>
      <c r="B94" s="454" t="str">
        <f t="shared" si="20"/>
        <v>36</v>
      </c>
      <c r="C94" s="454" t="str">
        <f t="array" ref="C94">_xlfn.IFS(_xlfn.NUMBERVALUE(B94)&lt;=13,"Q1",AND(_xlfn.NUMBERVALUE(B94)&gt;13,_xlfn.NUMBERVALUE(B94)&lt;=26),"Q2", AND(_xlfn.NUMBERVALUE(B94)&gt;26,_xlfn.NUMBERVALUE(B94)&lt;=39),"Q3",_xlfn.NUMBERVALUE(B94)&gt;39,"Q4")</f>
        <v>Q3</v>
      </c>
      <c r="D94" s="448">
        <f t="shared" si="37"/>
        <v>44471</v>
      </c>
      <c r="E94" s="448">
        <f t="shared" si="21"/>
        <v>44477</v>
      </c>
      <c r="F94" s="97">
        <v>202136</v>
      </c>
      <c r="G94" s="241"/>
      <c r="H94" s="467"/>
      <c r="I94" s="521"/>
      <c r="J94" s="467"/>
      <c r="K94" s="242"/>
      <c r="L94" s="518"/>
      <c r="M94" s="518"/>
      <c r="N94" s="514"/>
      <c r="O94" s="518"/>
      <c r="P94" s="518"/>
      <c r="Q94" s="103"/>
      <c r="R94" s="429"/>
      <c r="S94" s="449"/>
      <c r="T94" s="467"/>
      <c r="U94" s="243"/>
      <c r="V94" s="86"/>
      <c r="W94" s="79"/>
      <c r="X94" s="454"/>
      <c r="Y94" s="79"/>
      <c r="Z94" s="97"/>
      <c r="AA94" s="471"/>
      <c r="AB94" s="471"/>
      <c r="AC94" s="449"/>
      <c r="AD94" s="429"/>
      <c r="AE94" s="429"/>
      <c r="AF94" s="126"/>
      <c r="AG94" s="265" t="str">
        <f t="shared" si="22"/>
        <v/>
      </c>
      <c r="AH94" s="515" t="str">
        <f t="shared" si="23"/>
        <v/>
      </c>
      <c r="AI94" s="515" t="str">
        <f t="shared" si="24"/>
        <v/>
      </c>
      <c r="AJ94" s="515" t="str">
        <f t="shared" si="25"/>
        <v/>
      </c>
      <c r="AK94" s="187" t="str">
        <f t="shared" si="26"/>
        <v/>
      </c>
      <c r="AL94" s="266" t="str">
        <f t="shared" si="27"/>
        <v/>
      </c>
      <c r="AM94" s="516" t="str">
        <f t="shared" si="28"/>
        <v/>
      </c>
      <c r="AN94" s="516" t="str">
        <f t="shared" si="29"/>
        <v/>
      </c>
      <c r="AO94" s="516" t="str">
        <f t="shared" si="30"/>
        <v/>
      </c>
      <c r="AP94" s="267" t="str">
        <f t="shared" si="31"/>
        <v/>
      </c>
      <c r="AQ94" s="268" t="str">
        <f t="shared" si="32"/>
        <v/>
      </c>
      <c r="AR94" s="450" t="str">
        <f t="shared" si="33"/>
        <v/>
      </c>
      <c r="AS94" s="450" t="str">
        <f t="shared" si="34"/>
        <v/>
      </c>
      <c r="AT94" s="450" t="str">
        <f t="shared" si="35"/>
        <v/>
      </c>
      <c r="AU94" s="269" t="str">
        <f t="shared" si="36"/>
        <v/>
      </c>
    </row>
    <row r="95" spans="1:47" ht="15.75" customHeight="1">
      <c r="A95" s="175">
        <f t="shared" si="19"/>
        <v>2022</v>
      </c>
      <c r="B95" s="454" t="str">
        <f t="shared" si="20"/>
        <v>37</v>
      </c>
      <c r="C95" s="454" t="str">
        <f t="array" ref="C95">_xlfn.IFS(_xlfn.NUMBERVALUE(B95)&lt;=13,"Q1",AND(_xlfn.NUMBERVALUE(B95)&gt;13,_xlfn.NUMBERVALUE(B95)&lt;=26),"Q2", AND(_xlfn.NUMBERVALUE(B95)&gt;26,_xlfn.NUMBERVALUE(B95)&lt;=39),"Q3",_xlfn.NUMBERVALUE(B95)&gt;39,"Q4")</f>
        <v>Q3</v>
      </c>
      <c r="D95" s="448">
        <f t="shared" si="37"/>
        <v>44478</v>
      </c>
      <c r="E95" s="448">
        <f t="shared" si="21"/>
        <v>44484</v>
      </c>
      <c r="F95" s="97">
        <v>202137</v>
      </c>
      <c r="G95" s="241"/>
      <c r="H95" s="467"/>
      <c r="I95" s="521"/>
      <c r="J95" s="467"/>
      <c r="K95" s="242"/>
      <c r="L95" s="518"/>
      <c r="M95" s="518"/>
      <c r="N95" s="514"/>
      <c r="O95" s="518"/>
      <c r="P95" s="518"/>
      <c r="Q95" s="103"/>
      <c r="R95" s="429"/>
      <c r="S95" s="449"/>
      <c r="T95" s="467"/>
      <c r="U95" s="243"/>
      <c r="V95" s="86"/>
      <c r="W95" s="79"/>
      <c r="X95" s="454"/>
      <c r="Y95" s="79"/>
      <c r="Z95" s="97"/>
      <c r="AA95" s="471"/>
      <c r="AB95" s="471"/>
      <c r="AC95" s="449"/>
      <c r="AD95" s="429"/>
      <c r="AE95" s="429"/>
      <c r="AF95" s="126"/>
      <c r="AG95" s="265" t="str">
        <f t="shared" si="22"/>
        <v/>
      </c>
      <c r="AH95" s="515" t="str">
        <f t="shared" si="23"/>
        <v/>
      </c>
      <c r="AI95" s="515" t="str">
        <f t="shared" si="24"/>
        <v/>
      </c>
      <c r="AJ95" s="515" t="str">
        <f t="shared" si="25"/>
        <v/>
      </c>
      <c r="AK95" s="187" t="str">
        <f t="shared" si="26"/>
        <v/>
      </c>
      <c r="AL95" s="266" t="str">
        <f t="shared" si="27"/>
        <v/>
      </c>
      <c r="AM95" s="516" t="str">
        <f t="shared" si="28"/>
        <v/>
      </c>
      <c r="AN95" s="516" t="str">
        <f t="shared" si="29"/>
        <v/>
      </c>
      <c r="AO95" s="516" t="str">
        <f t="shared" si="30"/>
        <v/>
      </c>
      <c r="AP95" s="267" t="str">
        <f t="shared" si="31"/>
        <v/>
      </c>
      <c r="AQ95" s="268" t="str">
        <f t="shared" si="32"/>
        <v/>
      </c>
      <c r="AR95" s="450" t="str">
        <f t="shared" si="33"/>
        <v/>
      </c>
      <c r="AS95" s="450" t="str">
        <f t="shared" si="34"/>
        <v/>
      </c>
      <c r="AT95" s="450" t="str">
        <f t="shared" si="35"/>
        <v/>
      </c>
      <c r="AU95" s="269" t="str">
        <f t="shared" si="36"/>
        <v/>
      </c>
    </row>
    <row r="96" spans="1:47" ht="15.75" customHeight="1">
      <c r="A96" s="175">
        <f t="shared" si="19"/>
        <v>2022</v>
      </c>
      <c r="B96" s="454" t="str">
        <f t="shared" si="20"/>
        <v>38</v>
      </c>
      <c r="C96" s="454" t="str">
        <f t="array" ref="C96">_xlfn.IFS(_xlfn.NUMBERVALUE(B96)&lt;=13,"Q1",AND(_xlfn.NUMBERVALUE(B96)&gt;13,_xlfn.NUMBERVALUE(B96)&lt;=26),"Q2", AND(_xlfn.NUMBERVALUE(B96)&gt;26,_xlfn.NUMBERVALUE(B96)&lt;=39),"Q3",_xlfn.NUMBERVALUE(B96)&gt;39,"Q4")</f>
        <v>Q3</v>
      </c>
      <c r="D96" s="448">
        <f t="shared" si="37"/>
        <v>44485</v>
      </c>
      <c r="E96" s="448">
        <f t="shared" si="21"/>
        <v>44491</v>
      </c>
      <c r="F96" s="97">
        <v>202138</v>
      </c>
      <c r="G96" s="241"/>
      <c r="H96" s="467"/>
      <c r="I96" s="521"/>
      <c r="J96" s="467"/>
      <c r="K96" s="242"/>
      <c r="L96" s="518"/>
      <c r="M96" s="518"/>
      <c r="N96" s="514"/>
      <c r="O96" s="518"/>
      <c r="P96" s="518"/>
      <c r="Q96" s="103"/>
      <c r="R96" s="429"/>
      <c r="S96" s="449"/>
      <c r="T96" s="467"/>
      <c r="U96" s="243"/>
      <c r="V96" s="86"/>
      <c r="W96" s="79"/>
      <c r="X96" s="454"/>
      <c r="Y96" s="79"/>
      <c r="Z96" s="97"/>
      <c r="AA96" s="471"/>
      <c r="AB96" s="471"/>
      <c r="AC96" s="449"/>
      <c r="AD96" s="429"/>
      <c r="AE96" s="429"/>
      <c r="AF96" s="126"/>
      <c r="AG96" s="265" t="str">
        <f t="shared" si="22"/>
        <v/>
      </c>
      <c r="AH96" s="515" t="str">
        <f t="shared" si="23"/>
        <v/>
      </c>
      <c r="AI96" s="515" t="str">
        <f t="shared" si="24"/>
        <v/>
      </c>
      <c r="AJ96" s="515" t="str">
        <f t="shared" si="25"/>
        <v/>
      </c>
      <c r="AK96" s="187" t="str">
        <f t="shared" si="26"/>
        <v/>
      </c>
      <c r="AL96" s="266" t="str">
        <f t="shared" si="27"/>
        <v/>
      </c>
      <c r="AM96" s="516" t="str">
        <f t="shared" si="28"/>
        <v/>
      </c>
      <c r="AN96" s="516" t="str">
        <f t="shared" si="29"/>
        <v/>
      </c>
      <c r="AO96" s="516" t="str">
        <f t="shared" si="30"/>
        <v/>
      </c>
      <c r="AP96" s="267" t="str">
        <f t="shared" si="31"/>
        <v/>
      </c>
      <c r="AQ96" s="268" t="str">
        <f t="shared" si="32"/>
        <v/>
      </c>
      <c r="AR96" s="450" t="str">
        <f t="shared" si="33"/>
        <v/>
      </c>
      <c r="AS96" s="450" t="str">
        <f t="shared" si="34"/>
        <v/>
      </c>
      <c r="AT96" s="450" t="str">
        <f t="shared" si="35"/>
        <v/>
      </c>
      <c r="AU96" s="269" t="str">
        <f t="shared" si="36"/>
        <v/>
      </c>
    </row>
    <row r="97" spans="1:47" ht="15.75" customHeight="1">
      <c r="A97" s="175">
        <f t="shared" si="19"/>
        <v>2022</v>
      </c>
      <c r="B97" s="454" t="str">
        <f t="shared" si="20"/>
        <v>39</v>
      </c>
      <c r="C97" s="454" t="str">
        <f t="array" ref="C97">_xlfn.IFS(_xlfn.NUMBERVALUE(B97)&lt;=13,"Q1",AND(_xlfn.NUMBERVALUE(B97)&gt;13,_xlfn.NUMBERVALUE(B97)&lt;=26),"Q2", AND(_xlfn.NUMBERVALUE(B97)&gt;26,_xlfn.NUMBERVALUE(B97)&lt;=39),"Q3",_xlfn.NUMBERVALUE(B97)&gt;39,"Q4")</f>
        <v>Q3</v>
      </c>
      <c r="D97" s="448">
        <f t="shared" si="37"/>
        <v>44492</v>
      </c>
      <c r="E97" s="448">
        <f t="shared" si="21"/>
        <v>44498</v>
      </c>
      <c r="F97" s="97">
        <v>202139</v>
      </c>
      <c r="G97" s="241"/>
      <c r="H97" s="467"/>
      <c r="I97" s="521"/>
      <c r="J97" s="467"/>
      <c r="K97" s="242"/>
      <c r="L97" s="518"/>
      <c r="M97" s="518"/>
      <c r="N97" s="514"/>
      <c r="O97" s="518"/>
      <c r="P97" s="518"/>
      <c r="Q97" s="103"/>
      <c r="R97" s="429"/>
      <c r="S97" s="449"/>
      <c r="T97" s="467"/>
      <c r="U97" s="243"/>
      <c r="V97" s="86"/>
      <c r="W97" s="79"/>
      <c r="X97" s="454"/>
      <c r="Y97" s="79"/>
      <c r="Z97" s="97"/>
      <c r="AA97" s="471"/>
      <c r="AB97" s="471"/>
      <c r="AC97" s="449"/>
      <c r="AD97" s="429"/>
      <c r="AE97" s="429"/>
      <c r="AF97" s="126"/>
      <c r="AG97" s="265" t="str">
        <f t="shared" si="22"/>
        <v/>
      </c>
      <c r="AH97" s="515" t="str">
        <f t="shared" si="23"/>
        <v/>
      </c>
      <c r="AI97" s="515" t="str">
        <f t="shared" si="24"/>
        <v/>
      </c>
      <c r="AJ97" s="515" t="str">
        <f t="shared" si="25"/>
        <v/>
      </c>
      <c r="AK97" s="187" t="str">
        <f t="shared" si="26"/>
        <v/>
      </c>
      <c r="AL97" s="266" t="str">
        <f t="shared" si="27"/>
        <v/>
      </c>
      <c r="AM97" s="516" t="str">
        <f t="shared" si="28"/>
        <v/>
      </c>
      <c r="AN97" s="516" t="str">
        <f t="shared" si="29"/>
        <v/>
      </c>
      <c r="AO97" s="516" t="str">
        <f t="shared" si="30"/>
        <v/>
      </c>
      <c r="AP97" s="267" t="str">
        <f t="shared" si="31"/>
        <v/>
      </c>
      <c r="AQ97" s="268" t="str">
        <f t="shared" si="32"/>
        <v/>
      </c>
      <c r="AR97" s="450" t="str">
        <f t="shared" si="33"/>
        <v/>
      </c>
      <c r="AS97" s="450" t="str">
        <f t="shared" si="34"/>
        <v/>
      </c>
      <c r="AT97" s="450" t="str">
        <f t="shared" si="35"/>
        <v/>
      </c>
      <c r="AU97" s="269" t="str">
        <f t="shared" si="36"/>
        <v/>
      </c>
    </row>
    <row r="98" spans="1:47" ht="15.75" customHeight="1">
      <c r="A98" s="175">
        <f t="shared" si="19"/>
        <v>2022</v>
      </c>
      <c r="B98" s="454" t="str">
        <f t="shared" si="20"/>
        <v>40</v>
      </c>
      <c r="C98" s="454" t="str">
        <f t="array" ref="C98">_xlfn.IFS(_xlfn.NUMBERVALUE(B98)&lt;=13,"Q1",AND(_xlfn.NUMBERVALUE(B98)&gt;13,_xlfn.NUMBERVALUE(B98)&lt;=26),"Q2", AND(_xlfn.NUMBERVALUE(B98)&gt;26,_xlfn.NUMBERVALUE(B98)&lt;=39),"Q3",_xlfn.NUMBERVALUE(B98)&gt;39,"Q4")</f>
        <v>Q4</v>
      </c>
      <c r="D98" s="448">
        <f t="shared" si="37"/>
        <v>44499</v>
      </c>
      <c r="E98" s="448">
        <f t="shared" si="21"/>
        <v>44505</v>
      </c>
      <c r="F98" s="97">
        <v>202140</v>
      </c>
      <c r="G98" s="241"/>
      <c r="H98" s="467"/>
      <c r="I98" s="521"/>
      <c r="J98" s="467"/>
      <c r="K98" s="242"/>
      <c r="L98" s="518"/>
      <c r="M98" s="518"/>
      <c r="N98" s="514"/>
      <c r="O98" s="518"/>
      <c r="P98" s="518"/>
      <c r="Q98" s="103"/>
      <c r="R98" s="429"/>
      <c r="S98" s="449"/>
      <c r="T98" s="467"/>
      <c r="U98" s="243"/>
      <c r="V98" s="86"/>
      <c r="W98" s="79"/>
      <c r="X98" s="454"/>
      <c r="Y98" s="79"/>
      <c r="Z98" s="97"/>
      <c r="AA98" s="471"/>
      <c r="AB98" s="471"/>
      <c r="AC98" s="449"/>
      <c r="AD98" s="429"/>
      <c r="AE98" s="429"/>
      <c r="AF98" s="126"/>
      <c r="AG98" s="265" t="str">
        <f t="shared" si="22"/>
        <v/>
      </c>
      <c r="AH98" s="515" t="str">
        <f t="shared" si="23"/>
        <v/>
      </c>
      <c r="AI98" s="515" t="str">
        <f t="shared" si="24"/>
        <v/>
      </c>
      <c r="AJ98" s="515" t="str">
        <f t="shared" si="25"/>
        <v/>
      </c>
      <c r="AK98" s="187" t="str">
        <f t="shared" si="26"/>
        <v/>
      </c>
      <c r="AL98" s="266" t="str">
        <f t="shared" si="27"/>
        <v/>
      </c>
      <c r="AM98" s="516" t="str">
        <f t="shared" si="28"/>
        <v/>
      </c>
      <c r="AN98" s="516" t="str">
        <f t="shared" si="29"/>
        <v/>
      </c>
      <c r="AO98" s="516" t="str">
        <f t="shared" si="30"/>
        <v/>
      </c>
      <c r="AP98" s="267" t="str">
        <f t="shared" si="31"/>
        <v/>
      </c>
      <c r="AQ98" s="268" t="str">
        <f t="shared" si="32"/>
        <v/>
      </c>
      <c r="AR98" s="450" t="str">
        <f t="shared" si="33"/>
        <v/>
      </c>
      <c r="AS98" s="450" t="str">
        <f t="shared" si="34"/>
        <v/>
      </c>
      <c r="AT98" s="450" t="str">
        <f t="shared" si="35"/>
        <v/>
      </c>
      <c r="AU98" s="269" t="str">
        <f t="shared" si="36"/>
        <v/>
      </c>
    </row>
    <row r="99" spans="1:47" ht="15.75" customHeight="1">
      <c r="A99" s="175">
        <f t="shared" si="19"/>
        <v>2022</v>
      </c>
      <c r="B99" s="454" t="str">
        <f t="shared" si="20"/>
        <v>41</v>
      </c>
      <c r="C99" s="454" t="str">
        <f t="array" ref="C99">_xlfn.IFS(_xlfn.NUMBERVALUE(B99)&lt;=13,"Q1",AND(_xlfn.NUMBERVALUE(B99)&gt;13,_xlfn.NUMBERVALUE(B99)&lt;=26),"Q2", AND(_xlfn.NUMBERVALUE(B99)&gt;26,_xlfn.NUMBERVALUE(B99)&lt;=39),"Q3",_xlfn.NUMBERVALUE(B99)&gt;39,"Q4")</f>
        <v>Q4</v>
      </c>
      <c r="D99" s="448">
        <f t="shared" si="37"/>
        <v>44506</v>
      </c>
      <c r="E99" s="448">
        <f t="shared" si="21"/>
        <v>44512</v>
      </c>
      <c r="F99" s="97">
        <v>202141</v>
      </c>
      <c r="G99" s="241"/>
      <c r="H99" s="467"/>
      <c r="I99" s="521"/>
      <c r="J99" s="467"/>
      <c r="K99" s="242"/>
      <c r="L99" s="518"/>
      <c r="M99" s="518"/>
      <c r="N99" s="514"/>
      <c r="O99" s="518"/>
      <c r="P99" s="518"/>
      <c r="Q99" s="103"/>
      <c r="R99" s="429"/>
      <c r="S99" s="449"/>
      <c r="T99" s="467"/>
      <c r="U99" s="243"/>
      <c r="V99" s="86"/>
      <c r="W99" s="79"/>
      <c r="X99" s="454"/>
      <c r="Y99" s="79"/>
      <c r="Z99" s="97"/>
      <c r="AA99" s="471"/>
      <c r="AB99" s="471"/>
      <c r="AC99" s="449"/>
      <c r="AD99" s="429"/>
      <c r="AE99" s="429"/>
      <c r="AF99" s="126"/>
      <c r="AG99" s="265" t="str">
        <f t="shared" si="22"/>
        <v/>
      </c>
      <c r="AH99" s="515" t="str">
        <f t="shared" si="23"/>
        <v/>
      </c>
      <c r="AI99" s="515" t="str">
        <f t="shared" si="24"/>
        <v/>
      </c>
      <c r="AJ99" s="515" t="str">
        <f t="shared" si="25"/>
        <v/>
      </c>
      <c r="AK99" s="187" t="str">
        <f t="shared" si="26"/>
        <v/>
      </c>
      <c r="AL99" s="266" t="str">
        <f t="shared" si="27"/>
        <v/>
      </c>
      <c r="AM99" s="516" t="str">
        <f t="shared" si="28"/>
        <v/>
      </c>
      <c r="AN99" s="516" t="str">
        <f t="shared" si="29"/>
        <v/>
      </c>
      <c r="AO99" s="516" t="str">
        <f t="shared" si="30"/>
        <v/>
      </c>
      <c r="AP99" s="267" t="str">
        <f t="shared" si="31"/>
        <v/>
      </c>
      <c r="AQ99" s="268" t="str">
        <f t="shared" si="32"/>
        <v/>
      </c>
      <c r="AR99" s="450" t="str">
        <f t="shared" si="33"/>
        <v/>
      </c>
      <c r="AS99" s="450" t="str">
        <f t="shared" si="34"/>
        <v/>
      </c>
      <c r="AT99" s="450" t="str">
        <f t="shared" si="35"/>
        <v/>
      </c>
      <c r="AU99" s="269" t="str">
        <f t="shared" si="36"/>
        <v/>
      </c>
    </row>
    <row r="100" spans="1:47" ht="15.75" customHeight="1">
      <c r="A100" s="175">
        <f t="shared" si="19"/>
        <v>2022</v>
      </c>
      <c r="B100" s="454" t="str">
        <f t="shared" si="20"/>
        <v>42</v>
      </c>
      <c r="C100" s="454" t="str">
        <f t="array" ref="C100">_xlfn.IFS(_xlfn.NUMBERVALUE(B100)&lt;=13,"Q1",AND(_xlfn.NUMBERVALUE(B100)&gt;13,_xlfn.NUMBERVALUE(B100)&lt;=26),"Q2", AND(_xlfn.NUMBERVALUE(B100)&gt;26,_xlfn.NUMBERVALUE(B100)&lt;=39),"Q3",_xlfn.NUMBERVALUE(B100)&gt;39,"Q4")</f>
        <v>Q4</v>
      </c>
      <c r="D100" s="448">
        <f t="shared" si="37"/>
        <v>44513</v>
      </c>
      <c r="E100" s="448">
        <f t="shared" si="21"/>
        <v>44519</v>
      </c>
      <c r="F100" s="97">
        <v>202142</v>
      </c>
      <c r="G100" s="241"/>
      <c r="H100" s="467"/>
      <c r="I100" s="521"/>
      <c r="J100" s="467"/>
      <c r="K100" s="242"/>
      <c r="L100" s="518"/>
      <c r="M100" s="518"/>
      <c r="N100" s="514"/>
      <c r="O100" s="518"/>
      <c r="P100" s="518"/>
      <c r="Q100" s="103"/>
      <c r="R100" s="429"/>
      <c r="S100" s="449"/>
      <c r="T100" s="467"/>
      <c r="U100" s="243"/>
      <c r="V100" s="86"/>
      <c r="W100" s="79"/>
      <c r="X100" s="454"/>
      <c r="Y100" s="79"/>
      <c r="Z100" s="97"/>
      <c r="AA100" s="471"/>
      <c r="AB100" s="471"/>
      <c r="AC100" s="449"/>
      <c r="AD100" s="429"/>
      <c r="AE100" s="429"/>
      <c r="AF100" s="126"/>
      <c r="AG100" s="265" t="str">
        <f t="shared" si="22"/>
        <v/>
      </c>
      <c r="AH100" s="515" t="str">
        <f t="shared" si="23"/>
        <v/>
      </c>
      <c r="AI100" s="515" t="str">
        <f t="shared" si="24"/>
        <v/>
      </c>
      <c r="AJ100" s="515" t="str">
        <f t="shared" si="25"/>
        <v/>
      </c>
      <c r="AK100" s="187" t="str">
        <f t="shared" si="26"/>
        <v/>
      </c>
      <c r="AL100" s="266" t="str">
        <f t="shared" si="27"/>
        <v/>
      </c>
      <c r="AM100" s="516" t="str">
        <f t="shared" si="28"/>
        <v/>
      </c>
      <c r="AN100" s="516" t="str">
        <f t="shared" si="29"/>
        <v/>
      </c>
      <c r="AO100" s="516" t="str">
        <f t="shared" si="30"/>
        <v/>
      </c>
      <c r="AP100" s="267" t="str">
        <f t="shared" si="31"/>
        <v/>
      </c>
      <c r="AQ100" s="268" t="str">
        <f t="shared" si="32"/>
        <v/>
      </c>
      <c r="AR100" s="450" t="str">
        <f t="shared" si="33"/>
        <v/>
      </c>
      <c r="AS100" s="450" t="str">
        <f t="shared" si="34"/>
        <v/>
      </c>
      <c r="AT100" s="450" t="str">
        <f t="shared" si="35"/>
        <v/>
      </c>
      <c r="AU100" s="269" t="str">
        <f t="shared" si="36"/>
        <v/>
      </c>
    </row>
    <row r="101" spans="1:47" ht="15.75" customHeight="1">
      <c r="A101" s="175">
        <f t="shared" si="19"/>
        <v>2022</v>
      </c>
      <c r="B101" s="454" t="str">
        <f t="shared" si="20"/>
        <v>43</v>
      </c>
      <c r="C101" s="454" t="str">
        <f t="array" ref="C101">_xlfn.IFS(_xlfn.NUMBERVALUE(B101)&lt;=13,"Q1",AND(_xlfn.NUMBERVALUE(B101)&gt;13,_xlfn.NUMBERVALUE(B101)&lt;=26),"Q2", AND(_xlfn.NUMBERVALUE(B101)&gt;26,_xlfn.NUMBERVALUE(B101)&lt;=39),"Q3",_xlfn.NUMBERVALUE(B101)&gt;39,"Q4")</f>
        <v>Q4</v>
      </c>
      <c r="D101" s="448">
        <f t="shared" si="37"/>
        <v>44520</v>
      </c>
      <c r="E101" s="448">
        <f t="shared" si="21"/>
        <v>44526</v>
      </c>
      <c r="F101" s="97">
        <v>202143</v>
      </c>
      <c r="G101" s="241"/>
      <c r="H101" s="467"/>
      <c r="I101" s="521"/>
      <c r="J101" s="467"/>
      <c r="K101" s="242"/>
      <c r="L101" s="518"/>
      <c r="M101" s="518"/>
      <c r="N101" s="514"/>
      <c r="O101" s="518"/>
      <c r="P101" s="518"/>
      <c r="Q101" s="103"/>
      <c r="R101" s="429"/>
      <c r="S101" s="449"/>
      <c r="T101" s="467"/>
      <c r="U101" s="243"/>
      <c r="V101" s="86"/>
      <c r="W101" s="79"/>
      <c r="X101" s="454"/>
      <c r="Y101" s="79"/>
      <c r="Z101" s="97"/>
      <c r="AA101" s="471"/>
      <c r="AB101" s="471"/>
      <c r="AC101" s="449"/>
      <c r="AD101" s="429"/>
      <c r="AE101" s="429"/>
      <c r="AF101" s="126"/>
      <c r="AG101" s="265" t="str">
        <f t="shared" si="22"/>
        <v/>
      </c>
      <c r="AH101" s="515" t="str">
        <f t="shared" si="23"/>
        <v/>
      </c>
      <c r="AI101" s="515" t="str">
        <f t="shared" si="24"/>
        <v/>
      </c>
      <c r="AJ101" s="515" t="str">
        <f t="shared" si="25"/>
        <v/>
      </c>
      <c r="AK101" s="187" t="str">
        <f t="shared" si="26"/>
        <v/>
      </c>
      <c r="AL101" s="266" t="str">
        <f t="shared" si="27"/>
        <v/>
      </c>
      <c r="AM101" s="516" t="str">
        <f t="shared" si="28"/>
        <v/>
      </c>
      <c r="AN101" s="516" t="str">
        <f t="shared" si="29"/>
        <v/>
      </c>
      <c r="AO101" s="516" t="str">
        <f t="shared" si="30"/>
        <v/>
      </c>
      <c r="AP101" s="267" t="str">
        <f t="shared" si="31"/>
        <v/>
      </c>
      <c r="AQ101" s="268" t="str">
        <f t="shared" si="32"/>
        <v/>
      </c>
      <c r="AR101" s="450" t="str">
        <f t="shared" si="33"/>
        <v/>
      </c>
      <c r="AS101" s="450" t="str">
        <f t="shared" si="34"/>
        <v/>
      </c>
      <c r="AT101" s="450" t="str">
        <f t="shared" si="35"/>
        <v/>
      </c>
      <c r="AU101" s="269" t="str">
        <f t="shared" si="36"/>
        <v/>
      </c>
    </row>
    <row r="102" spans="1:47" ht="15.75" customHeight="1">
      <c r="A102" s="175">
        <f t="shared" si="19"/>
        <v>2022</v>
      </c>
      <c r="B102" s="454" t="str">
        <f t="shared" si="20"/>
        <v>44</v>
      </c>
      <c r="C102" s="454" t="str">
        <f t="array" ref="C102">_xlfn.IFS(_xlfn.NUMBERVALUE(B102)&lt;=13,"Q1",AND(_xlfn.NUMBERVALUE(B102)&gt;13,_xlfn.NUMBERVALUE(B102)&lt;=26),"Q2", AND(_xlfn.NUMBERVALUE(B102)&gt;26,_xlfn.NUMBERVALUE(B102)&lt;=39),"Q3",_xlfn.NUMBERVALUE(B102)&gt;39,"Q4")</f>
        <v>Q4</v>
      </c>
      <c r="D102" s="448">
        <f t="shared" si="37"/>
        <v>44527</v>
      </c>
      <c r="E102" s="448">
        <f t="shared" si="21"/>
        <v>44533</v>
      </c>
      <c r="F102" s="97">
        <v>202144</v>
      </c>
      <c r="G102" s="241"/>
      <c r="H102" s="467"/>
      <c r="I102" s="521"/>
      <c r="J102" s="467"/>
      <c r="K102" s="242"/>
      <c r="L102" s="518"/>
      <c r="M102" s="518"/>
      <c r="N102" s="514"/>
      <c r="O102" s="518"/>
      <c r="P102" s="518"/>
      <c r="Q102" s="103"/>
      <c r="R102" s="429"/>
      <c r="S102" s="449"/>
      <c r="T102" s="467"/>
      <c r="U102" s="243"/>
      <c r="V102" s="86"/>
      <c r="W102" s="79"/>
      <c r="X102" s="454"/>
      <c r="Y102" s="79"/>
      <c r="Z102" s="97"/>
      <c r="AA102" s="471"/>
      <c r="AB102" s="471"/>
      <c r="AC102" s="449"/>
      <c r="AD102" s="429"/>
      <c r="AE102" s="429"/>
      <c r="AF102" s="126"/>
      <c r="AG102" s="265" t="str">
        <f t="shared" si="22"/>
        <v/>
      </c>
      <c r="AH102" s="515" t="str">
        <f t="shared" si="23"/>
        <v/>
      </c>
      <c r="AI102" s="515" t="str">
        <f t="shared" si="24"/>
        <v/>
      </c>
      <c r="AJ102" s="515" t="str">
        <f t="shared" si="25"/>
        <v/>
      </c>
      <c r="AK102" s="187" t="str">
        <f t="shared" si="26"/>
        <v/>
      </c>
      <c r="AL102" s="266" t="str">
        <f t="shared" si="27"/>
        <v/>
      </c>
      <c r="AM102" s="516" t="str">
        <f t="shared" si="28"/>
        <v/>
      </c>
      <c r="AN102" s="516" t="str">
        <f t="shared" si="29"/>
        <v/>
      </c>
      <c r="AO102" s="516" t="str">
        <f t="shared" si="30"/>
        <v/>
      </c>
      <c r="AP102" s="267" t="str">
        <f t="shared" si="31"/>
        <v/>
      </c>
      <c r="AQ102" s="268" t="str">
        <f t="shared" si="32"/>
        <v/>
      </c>
      <c r="AR102" s="450" t="str">
        <f t="shared" si="33"/>
        <v/>
      </c>
      <c r="AS102" s="450" t="str">
        <f t="shared" si="34"/>
        <v/>
      </c>
      <c r="AT102" s="450" t="str">
        <f t="shared" si="35"/>
        <v/>
      </c>
      <c r="AU102" s="269" t="str">
        <f t="shared" si="36"/>
        <v/>
      </c>
    </row>
    <row r="103" spans="1:47" ht="15.75" customHeight="1">
      <c r="A103" s="175">
        <f t="shared" si="19"/>
        <v>2022</v>
      </c>
      <c r="B103" s="454" t="str">
        <f t="shared" si="20"/>
        <v>45</v>
      </c>
      <c r="C103" s="454" t="str">
        <f t="array" ref="C103">_xlfn.IFS(_xlfn.NUMBERVALUE(B103)&lt;=13,"Q1",AND(_xlfn.NUMBERVALUE(B103)&gt;13,_xlfn.NUMBERVALUE(B103)&lt;=26),"Q2", AND(_xlfn.NUMBERVALUE(B103)&gt;26,_xlfn.NUMBERVALUE(B103)&lt;=39),"Q3",_xlfn.NUMBERVALUE(B103)&gt;39,"Q4")</f>
        <v>Q4</v>
      </c>
      <c r="D103" s="448">
        <f t="shared" si="37"/>
        <v>44534</v>
      </c>
      <c r="E103" s="448">
        <f t="shared" si="21"/>
        <v>44540</v>
      </c>
      <c r="F103" s="97">
        <v>202145</v>
      </c>
      <c r="G103" s="241"/>
      <c r="H103" s="467"/>
      <c r="I103" s="521"/>
      <c r="J103" s="467"/>
      <c r="K103" s="242"/>
      <c r="L103" s="518"/>
      <c r="M103" s="518"/>
      <c r="N103" s="514"/>
      <c r="O103" s="518"/>
      <c r="P103" s="518"/>
      <c r="Q103" s="103"/>
      <c r="R103" s="429"/>
      <c r="S103" s="449"/>
      <c r="T103" s="467"/>
      <c r="U103" s="243"/>
      <c r="V103" s="86"/>
      <c r="W103" s="79"/>
      <c r="X103" s="454"/>
      <c r="Y103" s="79"/>
      <c r="Z103" s="97"/>
      <c r="AA103" s="471"/>
      <c r="AB103" s="471"/>
      <c r="AC103" s="449"/>
      <c r="AD103" s="429"/>
      <c r="AE103" s="429"/>
      <c r="AF103" s="126"/>
      <c r="AG103" s="265" t="str">
        <f t="shared" si="22"/>
        <v/>
      </c>
      <c r="AH103" s="515" t="str">
        <f t="shared" si="23"/>
        <v/>
      </c>
      <c r="AI103" s="515" t="str">
        <f t="shared" si="24"/>
        <v/>
      </c>
      <c r="AJ103" s="515" t="str">
        <f t="shared" si="25"/>
        <v/>
      </c>
      <c r="AK103" s="187" t="str">
        <f t="shared" si="26"/>
        <v/>
      </c>
      <c r="AL103" s="266" t="str">
        <f t="shared" si="27"/>
        <v/>
      </c>
      <c r="AM103" s="516" t="str">
        <f t="shared" si="28"/>
        <v/>
      </c>
      <c r="AN103" s="516" t="str">
        <f t="shared" si="29"/>
        <v/>
      </c>
      <c r="AO103" s="516" t="str">
        <f t="shared" si="30"/>
        <v/>
      </c>
      <c r="AP103" s="267" t="str">
        <f t="shared" si="31"/>
        <v/>
      </c>
      <c r="AQ103" s="268" t="str">
        <f t="shared" si="32"/>
        <v/>
      </c>
      <c r="AR103" s="450" t="str">
        <f t="shared" si="33"/>
        <v/>
      </c>
      <c r="AS103" s="450" t="str">
        <f t="shared" si="34"/>
        <v/>
      </c>
      <c r="AT103" s="450" t="str">
        <f t="shared" si="35"/>
        <v/>
      </c>
      <c r="AU103" s="269" t="str">
        <f t="shared" si="36"/>
        <v/>
      </c>
    </row>
    <row r="104" spans="1:47" ht="15.75" customHeight="1">
      <c r="A104" s="175">
        <f t="shared" si="19"/>
        <v>2022</v>
      </c>
      <c r="B104" s="454" t="str">
        <f t="shared" si="20"/>
        <v>46</v>
      </c>
      <c r="C104" s="454" t="str">
        <f t="array" ref="C104">_xlfn.IFS(_xlfn.NUMBERVALUE(B104)&lt;=13,"Q1",AND(_xlfn.NUMBERVALUE(B104)&gt;13,_xlfn.NUMBERVALUE(B104)&lt;=26),"Q2", AND(_xlfn.NUMBERVALUE(B104)&gt;26,_xlfn.NUMBERVALUE(B104)&lt;=39),"Q3",_xlfn.NUMBERVALUE(B104)&gt;39,"Q4")</f>
        <v>Q4</v>
      </c>
      <c r="D104" s="448">
        <f t="shared" si="37"/>
        <v>44541</v>
      </c>
      <c r="E104" s="448">
        <f t="shared" si="21"/>
        <v>44547</v>
      </c>
      <c r="F104" s="97">
        <v>202146</v>
      </c>
      <c r="G104" s="241"/>
      <c r="H104" s="467"/>
      <c r="I104" s="521"/>
      <c r="J104" s="467"/>
      <c r="K104" s="242"/>
      <c r="L104" s="518"/>
      <c r="M104" s="518"/>
      <c r="N104" s="514"/>
      <c r="O104" s="518"/>
      <c r="P104" s="518"/>
      <c r="Q104" s="103"/>
      <c r="R104" s="429"/>
      <c r="S104" s="449"/>
      <c r="T104" s="467"/>
      <c r="U104" s="243"/>
      <c r="V104" s="86"/>
      <c r="W104" s="79"/>
      <c r="X104" s="454"/>
      <c r="Y104" s="79"/>
      <c r="Z104" s="97"/>
      <c r="AA104" s="471"/>
      <c r="AB104" s="471"/>
      <c r="AC104" s="449"/>
      <c r="AD104" s="429"/>
      <c r="AE104" s="429"/>
      <c r="AF104" s="126"/>
      <c r="AG104" s="265" t="str">
        <f t="shared" si="22"/>
        <v/>
      </c>
      <c r="AH104" s="515" t="str">
        <f t="shared" si="23"/>
        <v/>
      </c>
      <c r="AI104" s="515" t="str">
        <f t="shared" si="24"/>
        <v/>
      </c>
      <c r="AJ104" s="515" t="str">
        <f t="shared" si="25"/>
        <v/>
      </c>
      <c r="AK104" s="187" t="str">
        <f t="shared" si="26"/>
        <v/>
      </c>
      <c r="AL104" s="266" t="str">
        <f t="shared" si="27"/>
        <v/>
      </c>
      <c r="AM104" s="516" t="str">
        <f t="shared" si="28"/>
        <v/>
      </c>
      <c r="AN104" s="516" t="str">
        <f t="shared" si="29"/>
        <v/>
      </c>
      <c r="AO104" s="516" t="str">
        <f t="shared" si="30"/>
        <v/>
      </c>
      <c r="AP104" s="267" t="str">
        <f t="shared" si="31"/>
        <v/>
      </c>
      <c r="AQ104" s="268" t="str">
        <f t="shared" si="32"/>
        <v/>
      </c>
      <c r="AR104" s="450" t="str">
        <f t="shared" si="33"/>
        <v/>
      </c>
      <c r="AS104" s="450" t="str">
        <f t="shared" si="34"/>
        <v/>
      </c>
      <c r="AT104" s="450" t="str">
        <f t="shared" si="35"/>
        <v/>
      </c>
      <c r="AU104" s="269" t="str">
        <f t="shared" si="36"/>
        <v/>
      </c>
    </row>
    <row r="105" spans="1:47" ht="15.75" customHeight="1">
      <c r="A105" s="175">
        <f t="shared" si="19"/>
        <v>2022</v>
      </c>
      <c r="B105" s="454" t="str">
        <f t="shared" si="20"/>
        <v>47</v>
      </c>
      <c r="C105" s="454" t="str">
        <f t="array" ref="C105">_xlfn.IFS(_xlfn.NUMBERVALUE(B105)&lt;=13,"Q1",AND(_xlfn.NUMBERVALUE(B105)&gt;13,_xlfn.NUMBERVALUE(B105)&lt;=26),"Q2", AND(_xlfn.NUMBERVALUE(B105)&gt;26,_xlfn.NUMBERVALUE(B105)&lt;=39),"Q3",_xlfn.NUMBERVALUE(B105)&gt;39,"Q4")</f>
        <v>Q4</v>
      </c>
      <c r="D105" s="448">
        <f t="shared" si="37"/>
        <v>44548</v>
      </c>
      <c r="E105" s="448">
        <f t="shared" si="21"/>
        <v>44554</v>
      </c>
      <c r="F105" s="97">
        <v>202147</v>
      </c>
      <c r="G105" s="241"/>
      <c r="H105" s="467"/>
      <c r="I105" s="521"/>
      <c r="J105" s="467"/>
      <c r="K105" s="242"/>
      <c r="L105" s="518"/>
      <c r="M105" s="518"/>
      <c r="N105" s="514"/>
      <c r="O105" s="518"/>
      <c r="P105" s="518"/>
      <c r="Q105" s="103"/>
      <c r="R105" s="429"/>
      <c r="S105" s="449"/>
      <c r="T105" s="467"/>
      <c r="U105" s="243"/>
      <c r="V105" s="86"/>
      <c r="W105" s="79"/>
      <c r="X105" s="454"/>
      <c r="Y105" s="79"/>
      <c r="Z105" s="97"/>
      <c r="AA105" s="471"/>
      <c r="AB105" s="471"/>
      <c r="AC105" s="449"/>
      <c r="AD105" s="429"/>
      <c r="AE105" s="429"/>
      <c r="AF105" s="126"/>
      <c r="AG105" s="265" t="str">
        <f t="shared" si="22"/>
        <v/>
      </c>
      <c r="AH105" s="515" t="str">
        <f t="shared" si="23"/>
        <v/>
      </c>
      <c r="AI105" s="515" t="str">
        <f t="shared" si="24"/>
        <v/>
      </c>
      <c r="AJ105" s="515" t="str">
        <f t="shared" si="25"/>
        <v/>
      </c>
      <c r="AK105" s="187" t="str">
        <f t="shared" si="26"/>
        <v/>
      </c>
      <c r="AL105" s="266" t="str">
        <f t="shared" si="27"/>
        <v/>
      </c>
      <c r="AM105" s="516" t="str">
        <f t="shared" si="28"/>
        <v/>
      </c>
      <c r="AN105" s="516" t="str">
        <f t="shared" si="29"/>
        <v/>
      </c>
      <c r="AO105" s="516" t="str">
        <f t="shared" si="30"/>
        <v/>
      </c>
      <c r="AP105" s="267" t="str">
        <f t="shared" si="31"/>
        <v/>
      </c>
      <c r="AQ105" s="268" t="str">
        <f t="shared" si="32"/>
        <v/>
      </c>
      <c r="AR105" s="450" t="str">
        <f t="shared" si="33"/>
        <v/>
      </c>
      <c r="AS105" s="450" t="str">
        <f t="shared" si="34"/>
        <v/>
      </c>
      <c r="AT105" s="450" t="str">
        <f t="shared" si="35"/>
        <v/>
      </c>
      <c r="AU105" s="269" t="str">
        <f t="shared" si="36"/>
        <v/>
      </c>
    </row>
    <row r="106" spans="1:47" ht="15.75" customHeight="1">
      <c r="A106" s="175">
        <f t="shared" si="19"/>
        <v>2022</v>
      </c>
      <c r="B106" s="454" t="str">
        <f t="shared" si="20"/>
        <v>48</v>
      </c>
      <c r="C106" s="454" t="str">
        <f t="array" ref="C106">_xlfn.IFS(_xlfn.NUMBERVALUE(B106)&lt;=13,"Q1",AND(_xlfn.NUMBERVALUE(B106)&gt;13,_xlfn.NUMBERVALUE(B106)&lt;=26),"Q2", AND(_xlfn.NUMBERVALUE(B106)&gt;26,_xlfn.NUMBERVALUE(B106)&lt;=39),"Q3",_xlfn.NUMBERVALUE(B106)&gt;39,"Q4")</f>
        <v>Q4</v>
      </c>
      <c r="D106" s="448">
        <f t="shared" si="37"/>
        <v>44555</v>
      </c>
      <c r="E106" s="448">
        <f t="shared" si="21"/>
        <v>44561</v>
      </c>
      <c r="F106" s="97">
        <v>202148</v>
      </c>
      <c r="G106" s="241"/>
      <c r="H106" s="467"/>
      <c r="I106" s="521"/>
      <c r="J106" s="467"/>
      <c r="K106" s="242"/>
      <c r="L106" s="518"/>
      <c r="M106" s="518"/>
      <c r="N106" s="514"/>
      <c r="O106" s="518"/>
      <c r="P106" s="518"/>
      <c r="Q106" s="103"/>
      <c r="R106" s="429"/>
      <c r="S106" s="449"/>
      <c r="T106" s="467"/>
      <c r="U106" s="243"/>
      <c r="V106" s="86"/>
      <c r="W106" s="79"/>
      <c r="X106" s="454"/>
      <c r="Y106" s="79"/>
      <c r="Z106" s="97"/>
      <c r="AA106" s="471"/>
      <c r="AB106" s="471"/>
      <c r="AC106" s="449"/>
      <c r="AD106" s="429"/>
      <c r="AE106" s="429"/>
      <c r="AF106" s="126"/>
      <c r="AG106" s="265" t="str">
        <f t="shared" si="22"/>
        <v/>
      </c>
      <c r="AH106" s="515" t="str">
        <f t="shared" si="23"/>
        <v/>
      </c>
      <c r="AI106" s="515" t="str">
        <f t="shared" si="24"/>
        <v/>
      </c>
      <c r="AJ106" s="515" t="str">
        <f t="shared" si="25"/>
        <v/>
      </c>
      <c r="AK106" s="187" t="str">
        <f t="shared" si="26"/>
        <v/>
      </c>
      <c r="AL106" s="266" t="str">
        <f t="shared" si="27"/>
        <v/>
      </c>
      <c r="AM106" s="516" t="str">
        <f t="shared" si="28"/>
        <v/>
      </c>
      <c r="AN106" s="516" t="str">
        <f t="shared" si="29"/>
        <v/>
      </c>
      <c r="AO106" s="516" t="str">
        <f t="shared" si="30"/>
        <v/>
      </c>
      <c r="AP106" s="267" t="str">
        <f t="shared" si="31"/>
        <v/>
      </c>
      <c r="AQ106" s="268" t="str">
        <f t="shared" si="32"/>
        <v/>
      </c>
      <c r="AR106" s="450" t="str">
        <f t="shared" si="33"/>
        <v/>
      </c>
      <c r="AS106" s="450" t="str">
        <f t="shared" si="34"/>
        <v/>
      </c>
      <c r="AT106" s="450" t="str">
        <f t="shared" si="35"/>
        <v/>
      </c>
      <c r="AU106" s="269" t="str">
        <f t="shared" si="36"/>
        <v/>
      </c>
    </row>
    <row r="107" spans="1:47" ht="15.75" customHeight="1">
      <c r="A107" s="175">
        <f t="shared" si="19"/>
        <v>2022</v>
      </c>
      <c r="B107" s="454" t="str">
        <f t="shared" si="20"/>
        <v>49</v>
      </c>
      <c r="C107" s="454" t="str">
        <f t="array" ref="C107">_xlfn.IFS(_xlfn.NUMBERVALUE(B107)&lt;=13,"Q1",AND(_xlfn.NUMBERVALUE(B107)&gt;13,_xlfn.NUMBERVALUE(B107)&lt;=26),"Q2", AND(_xlfn.NUMBERVALUE(B107)&gt;26,_xlfn.NUMBERVALUE(B107)&lt;=39),"Q3",_xlfn.NUMBERVALUE(B107)&gt;39,"Q4")</f>
        <v>Q4</v>
      </c>
      <c r="D107" s="448">
        <f t="shared" si="37"/>
        <v>44562</v>
      </c>
      <c r="E107" s="448">
        <f t="shared" si="21"/>
        <v>44568</v>
      </c>
      <c r="F107" s="97">
        <v>202149</v>
      </c>
      <c r="G107" s="241"/>
      <c r="H107" s="467"/>
      <c r="I107" s="521"/>
      <c r="J107" s="467"/>
      <c r="K107" s="242"/>
      <c r="L107" s="522"/>
      <c r="M107" s="522"/>
      <c r="N107" s="469"/>
      <c r="O107" s="522"/>
      <c r="P107" s="522"/>
      <c r="Q107" s="103"/>
      <c r="R107" s="429"/>
      <c r="S107" s="449"/>
      <c r="T107" s="467"/>
      <c r="U107" s="243"/>
      <c r="V107" s="86"/>
      <c r="W107" s="79"/>
      <c r="X107" s="454"/>
      <c r="Y107" s="79"/>
      <c r="Z107" s="97"/>
      <c r="AA107" s="471"/>
      <c r="AB107" s="471"/>
      <c r="AC107" s="449"/>
      <c r="AD107" s="429"/>
      <c r="AE107" s="429"/>
      <c r="AF107" s="126"/>
      <c r="AG107" s="265" t="str">
        <f t="shared" si="22"/>
        <v/>
      </c>
      <c r="AH107" s="515" t="str">
        <f t="shared" si="23"/>
        <v/>
      </c>
      <c r="AI107" s="515" t="str">
        <f t="shared" si="24"/>
        <v/>
      </c>
      <c r="AJ107" s="515" t="str">
        <f t="shared" si="25"/>
        <v/>
      </c>
      <c r="AK107" s="187" t="str">
        <f t="shared" si="26"/>
        <v/>
      </c>
      <c r="AL107" s="266" t="str">
        <f t="shared" si="27"/>
        <v/>
      </c>
      <c r="AM107" s="516" t="str">
        <f t="shared" si="28"/>
        <v/>
      </c>
      <c r="AN107" s="516" t="str">
        <f t="shared" si="29"/>
        <v/>
      </c>
      <c r="AO107" s="516" t="str">
        <f t="shared" si="30"/>
        <v/>
      </c>
      <c r="AP107" s="267" t="str">
        <f t="shared" si="31"/>
        <v/>
      </c>
      <c r="AQ107" s="268" t="str">
        <f t="shared" si="32"/>
        <v/>
      </c>
      <c r="AR107" s="450" t="str">
        <f t="shared" si="33"/>
        <v/>
      </c>
      <c r="AS107" s="450" t="str">
        <f t="shared" si="34"/>
        <v/>
      </c>
      <c r="AT107" s="450" t="str">
        <f t="shared" si="35"/>
        <v/>
      </c>
      <c r="AU107" s="269" t="str">
        <f t="shared" si="36"/>
        <v/>
      </c>
    </row>
    <row r="108" spans="1:47" ht="15.75" customHeight="1">
      <c r="A108" s="175">
        <f t="shared" si="19"/>
        <v>2022</v>
      </c>
      <c r="B108" s="454" t="str">
        <f t="shared" si="20"/>
        <v>50</v>
      </c>
      <c r="C108" s="454" t="str">
        <f t="array" ref="C108">_xlfn.IFS(_xlfn.NUMBERVALUE(B108)&lt;=13,"Q1",AND(_xlfn.NUMBERVALUE(B108)&gt;13,_xlfn.NUMBERVALUE(B108)&lt;=26),"Q2", AND(_xlfn.NUMBERVALUE(B108)&gt;26,_xlfn.NUMBERVALUE(B108)&lt;=39),"Q3",_xlfn.NUMBERVALUE(B108)&gt;39,"Q4")</f>
        <v>Q4</v>
      </c>
      <c r="D108" s="448">
        <f t="shared" si="37"/>
        <v>44569</v>
      </c>
      <c r="E108" s="448">
        <f t="shared" si="21"/>
        <v>44575</v>
      </c>
      <c r="F108" s="97">
        <v>202150</v>
      </c>
      <c r="G108" s="241"/>
      <c r="H108" s="467"/>
      <c r="I108" s="521"/>
      <c r="J108" s="467"/>
      <c r="K108" s="242"/>
      <c r="L108" s="522"/>
      <c r="M108" s="522"/>
      <c r="N108" s="469"/>
      <c r="O108" s="522"/>
      <c r="P108" s="522"/>
      <c r="Q108" s="103"/>
      <c r="R108" s="429"/>
      <c r="S108" s="449"/>
      <c r="T108" s="467"/>
      <c r="U108" s="242"/>
      <c r="V108" s="86"/>
      <c r="W108" s="79"/>
      <c r="X108" s="454"/>
      <c r="Y108" s="79"/>
      <c r="Z108" s="97"/>
      <c r="AA108" s="471"/>
      <c r="AB108" s="471"/>
      <c r="AC108" s="449"/>
      <c r="AD108" s="429"/>
      <c r="AE108" s="429"/>
      <c r="AF108" s="126"/>
      <c r="AG108" s="265" t="str">
        <f t="shared" si="22"/>
        <v/>
      </c>
      <c r="AH108" s="515" t="str">
        <f t="shared" si="23"/>
        <v/>
      </c>
      <c r="AI108" s="515" t="str">
        <f t="shared" si="24"/>
        <v/>
      </c>
      <c r="AJ108" s="515" t="str">
        <f t="shared" si="25"/>
        <v/>
      </c>
      <c r="AK108" s="187" t="str">
        <f t="shared" si="26"/>
        <v/>
      </c>
      <c r="AL108" s="266" t="str">
        <f t="shared" si="27"/>
        <v/>
      </c>
      <c r="AM108" s="516" t="str">
        <f t="shared" si="28"/>
        <v/>
      </c>
      <c r="AN108" s="516" t="str">
        <f t="shared" si="29"/>
        <v/>
      </c>
      <c r="AO108" s="516" t="str">
        <f t="shared" si="30"/>
        <v/>
      </c>
      <c r="AP108" s="267" t="str">
        <f t="shared" si="31"/>
        <v/>
      </c>
      <c r="AQ108" s="268" t="str">
        <f t="shared" si="32"/>
        <v/>
      </c>
      <c r="AR108" s="450" t="str">
        <f t="shared" si="33"/>
        <v/>
      </c>
      <c r="AS108" s="450" t="str">
        <f t="shared" si="34"/>
        <v/>
      </c>
      <c r="AT108" s="450" t="str">
        <f t="shared" si="35"/>
        <v/>
      </c>
      <c r="AU108" s="269" t="str">
        <f t="shared" si="36"/>
        <v/>
      </c>
    </row>
    <row r="109" spans="1:47" ht="15.75" customHeight="1">
      <c r="A109" s="175">
        <f t="shared" si="19"/>
        <v>2022</v>
      </c>
      <c r="B109" s="454" t="str">
        <f t="shared" si="20"/>
        <v>51</v>
      </c>
      <c r="C109" s="454" t="str">
        <f t="array" ref="C109">_xlfn.IFS(_xlfn.NUMBERVALUE(B109)&lt;=13,"Q1",AND(_xlfn.NUMBERVALUE(B109)&gt;13,_xlfn.NUMBERVALUE(B109)&lt;=26),"Q2", AND(_xlfn.NUMBERVALUE(B109)&gt;26,_xlfn.NUMBERVALUE(B109)&lt;=39),"Q3",_xlfn.NUMBERVALUE(B109)&gt;39,"Q4")</f>
        <v>Q4</v>
      </c>
      <c r="D109" s="448">
        <f t="shared" si="37"/>
        <v>44576</v>
      </c>
      <c r="E109" s="448">
        <f t="shared" si="21"/>
        <v>44582</v>
      </c>
      <c r="F109" s="97">
        <v>202151</v>
      </c>
      <c r="G109" s="241"/>
      <c r="H109" s="467"/>
      <c r="I109" s="521"/>
      <c r="J109" s="467"/>
      <c r="K109" s="242"/>
      <c r="L109" s="522"/>
      <c r="M109" s="522"/>
      <c r="N109" s="469"/>
      <c r="O109" s="522"/>
      <c r="P109" s="522"/>
      <c r="Q109" s="103"/>
      <c r="R109" s="429"/>
      <c r="S109" s="449"/>
      <c r="T109" s="467"/>
      <c r="U109" s="242"/>
      <c r="V109" s="86"/>
      <c r="W109" s="79"/>
      <c r="X109" s="454"/>
      <c r="Y109" s="79"/>
      <c r="Z109" s="97"/>
      <c r="AA109" s="471"/>
      <c r="AB109" s="471"/>
      <c r="AC109" s="449"/>
      <c r="AD109" s="429"/>
      <c r="AE109" s="429"/>
      <c r="AF109" s="126"/>
      <c r="AG109" s="265" t="str">
        <f t="shared" si="22"/>
        <v/>
      </c>
      <c r="AH109" s="515" t="str">
        <f t="shared" si="23"/>
        <v/>
      </c>
      <c r="AI109" s="515" t="str">
        <f t="shared" si="24"/>
        <v/>
      </c>
      <c r="AJ109" s="515" t="str">
        <f t="shared" si="25"/>
        <v/>
      </c>
      <c r="AK109" s="187" t="str">
        <f t="shared" si="26"/>
        <v/>
      </c>
      <c r="AL109" s="266" t="str">
        <f t="shared" si="27"/>
        <v/>
      </c>
      <c r="AM109" s="516" t="str">
        <f t="shared" si="28"/>
        <v/>
      </c>
      <c r="AN109" s="516" t="str">
        <f t="shared" si="29"/>
        <v/>
      </c>
      <c r="AO109" s="516" t="str">
        <f t="shared" si="30"/>
        <v/>
      </c>
      <c r="AP109" s="267" t="str">
        <f t="shared" si="31"/>
        <v/>
      </c>
      <c r="AQ109" s="268" t="str">
        <f t="shared" si="32"/>
        <v/>
      </c>
      <c r="AR109" s="450" t="str">
        <f t="shared" si="33"/>
        <v/>
      </c>
      <c r="AS109" s="450" t="str">
        <f t="shared" si="34"/>
        <v/>
      </c>
      <c r="AT109" s="450" t="str">
        <f t="shared" si="35"/>
        <v/>
      </c>
      <c r="AU109" s="269" t="str">
        <f t="shared" si="36"/>
        <v/>
      </c>
    </row>
    <row r="110" spans="1:47" ht="15" customHeight="1">
      <c r="A110" s="175">
        <f t="shared" si="19"/>
        <v>2022</v>
      </c>
      <c r="B110" s="454" t="str">
        <f t="shared" si="20"/>
        <v>52</v>
      </c>
      <c r="C110" s="454" t="str">
        <f t="array" ref="C110">_xlfn.IFS(_xlfn.NUMBERVALUE(B110)&lt;=13,"Q1",AND(_xlfn.NUMBERVALUE(B110)&gt;13,_xlfn.NUMBERVALUE(B110)&lt;=26),"Q2", AND(_xlfn.NUMBERVALUE(B110)&gt;26,_xlfn.NUMBERVALUE(B110)&lt;=39),"Q3",_xlfn.NUMBERVALUE(B110)&gt;39,"Q4")</f>
        <v>Q4</v>
      </c>
      <c r="D110" s="448">
        <f t="shared" si="37"/>
        <v>44583</v>
      </c>
      <c r="E110" s="448">
        <f t="shared" si="21"/>
        <v>44589</v>
      </c>
      <c r="F110" s="97">
        <v>202152</v>
      </c>
      <c r="G110" s="241"/>
      <c r="H110" s="467"/>
      <c r="I110" s="521"/>
      <c r="J110" s="467"/>
      <c r="K110" s="242"/>
      <c r="L110" s="522"/>
      <c r="M110" s="522"/>
      <c r="N110" s="469"/>
      <c r="O110" s="522"/>
      <c r="P110" s="522"/>
      <c r="Q110" s="103"/>
      <c r="R110" s="429"/>
      <c r="S110" s="449"/>
      <c r="T110" s="467"/>
      <c r="U110" s="242"/>
      <c r="V110" s="86"/>
      <c r="W110" s="79"/>
      <c r="X110" s="454"/>
      <c r="Y110" s="79"/>
      <c r="Z110" s="97"/>
      <c r="AA110" s="471"/>
      <c r="AB110" s="471"/>
      <c r="AC110" s="449"/>
      <c r="AD110" s="429"/>
      <c r="AE110" s="429"/>
      <c r="AF110" s="126"/>
      <c r="AG110" s="265" t="str">
        <f t="shared" si="22"/>
        <v/>
      </c>
      <c r="AH110" s="515" t="str">
        <f t="shared" si="23"/>
        <v/>
      </c>
      <c r="AI110" s="515" t="str">
        <f t="shared" si="24"/>
        <v/>
      </c>
      <c r="AJ110" s="515" t="str">
        <f t="shared" si="25"/>
        <v/>
      </c>
      <c r="AK110" s="187" t="str">
        <f t="shared" si="26"/>
        <v/>
      </c>
      <c r="AL110" s="266" t="str">
        <f t="shared" si="27"/>
        <v/>
      </c>
      <c r="AM110" s="516" t="str">
        <f t="shared" si="28"/>
        <v/>
      </c>
      <c r="AN110" s="516" t="str">
        <f t="shared" si="29"/>
        <v/>
      </c>
      <c r="AO110" s="516" t="str">
        <f t="shared" si="30"/>
        <v/>
      </c>
      <c r="AP110" s="267" t="str">
        <f t="shared" si="31"/>
        <v/>
      </c>
      <c r="AQ110" s="268" t="str">
        <f t="shared" si="32"/>
        <v/>
      </c>
      <c r="AR110" s="450" t="str">
        <f t="shared" si="33"/>
        <v/>
      </c>
      <c r="AS110" s="450" t="str">
        <f t="shared" si="34"/>
        <v/>
      </c>
      <c r="AT110" s="450" t="str">
        <f t="shared" si="35"/>
        <v/>
      </c>
      <c r="AU110" s="269" t="str">
        <f t="shared" si="36"/>
        <v/>
      </c>
    </row>
    <row r="111" spans="1:47" ht="15.75" customHeight="1">
      <c r="A111" s="175">
        <f t="shared" si="19"/>
        <v>2023</v>
      </c>
      <c r="B111" s="454" t="str">
        <f t="shared" si="20"/>
        <v>01</v>
      </c>
      <c r="C111" s="454" t="str">
        <f t="array" ref="C111">_xlfn.IFS(_xlfn.NUMBERVALUE(B111)&lt;=13,"Q1",AND(_xlfn.NUMBERVALUE(B111)&gt;13,_xlfn.NUMBERVALUE(B111)&lt;=26),"Q2", AND(_xlfn.NUMBERVALUE(B111)&gt;26,_xlfn.NUMBERVALUE(B111)&lt;=39),"Q3",_xlfn.NUMBERVALUE(B111)&gt;39,"Q4")</f>
        <v>Q1</v>
      </c>
      <c r="D111" s="448">
        <f t="shared" si="37"/>
        <v>44590</v>
      </c>
      <c r="E111" s="448">
        <f t="shared" si="21"/>
        <v>44596</v>
      </c>
      <c r="F111" s="97">
        <v>202201</v>
      </c>
      <c r="G111" s="241"/>
      <c r="H111" s="467"/>
      <c r="I111" s="521">
        <f t="shared" ref="I111:I142" si="38">SUM(G111:H111)</f>
        <v>0</v>
      </c>
      <c r="J111" s="467"/>
      <c r="K111" s="242"/>
      <c r="L111" s="522"/>
      <c r="M111" s="522"/>
      <c r="N111" s="469">
        <f t="shared" ref="N111:N174" si="39">SUM(L111:M111)</f>
        <v>0</v>
      </c>
      <c r="O111" s="522"/>
      <c r="P111" s="522"/>
      <c r="Q111" s="103"/>
      <c r="R111" s="429"/>
      <c r="S111" s="521">
        <f t="shared" ref="S111:S127" si="40">SUM(Q111:R111)</f>
        <v>0</v>
      </c>
      <c r="T111" s="467"/>
      <c r="U111" s="242"/>
      <c r="V111" s="103"/>
      <c r="W111" s="429"/>
      <c r="X111" s="544">
        <f t="shared" ref="X111:X174" si="41">SUM(V111:W111)</f>
        <v>0</v>
      </c>
      <c r="Y111" s="429"/>
      <c r="Z111" s="532"/>
      <c r="AA111" s="471"/>
      <c r="AB111" s="471"/>
      <c r="AC111" s="449"/>
      <c r="AD111" s="429"/>
      <c r="AE111" s="429"/>
      <c r="AF111" s="126"/>
      <c r="AG111" s="265" t="str">
        <f t="shared" si="22"/>
        <v/>
      </c>
      <c r="AH111" s="515" t="str">
        <f t="shared" si="23"/>
        <v/>
      </c>
      <c r="AI111" s="515" t="str">
        <f t="shared" si="24"/>
        <v/>
      </c>
      <c r="AJ111" s="515" t="str">
        <f t="shared" si="25"/>
        <v/>
      </c>
      <c r="AK111" s="187" t="str">
        <f t="shared" si="26"/>
        <v/>
      </c>
      <c r="AL111" s="266" t="str">
        <f t="shared" si="27"/>
        <v/>
      </c>
      <c r="AM111" s="516" t="str">
        <f t="shared" si="28"/>
        <v/>
      </c>
      <c r="AN111" s="516" t="str">
        <f t="shared" si="29"/>
        <v/>
      </c>
      <c r="AO111" s="516" t="str">
        <f t="shared" si="30"/>
        <v/>
      </c>
      <c r="AP111" s="267" t="str">
        <f t="shared" si="31"/>
        <v/>
      </c>
      <c r="AQ111" s="268" t="str">
        <f t="shared" si="32"/>
        <v/>
      </c>
      <c r="AR111" s="450" t="str">
        <f t="shared" si="33"/>
        <v/>
      </c>
      <c r="AS111" s="450" t="str">
        <f t="shared" si="34"/>
        <v/>
      </c>
      <c r="AT111" s="450" t="str">
        <f t="shared" si="35"/>
        <v/>
      </c>
      <c r="AU111" s="269" t="str">
        <f t="shared" si="36"/>
        <v/>
      </c>
    </row>
    <row r="112" spans="1:47" ht="15.75" customHeight="1">
      <c r="A112" s="175">
        <f t="shared" si="19"/>
        <v>2023</v>
      </c>
      <c r="B112" s="454" t="str">
        <f t="shared" si="20"/>
        <v>02</v>
      </c>
      <c r="C112" s="454" t="str">
        <f t="array" ref="C112">_xlfn.IFS(_xlfn.NUMBERVALUE(B112)&lt;=13,"Q1",AND(_xlfn.NUMBERVALUE(B112)&gt;13,_xlfn.NUMBERVALUE(B112)&lt;=26),"Q2", AND(_xlfn.NUMBERVALUE(B112)&gt;26,_xlfn.NUMBERVALUE(B112)&lt;=39),"Q3",_xlfn.NUMBERVALUE(B112)&gt;39,"Q4")</f>
        <v>Q1</v>
      </c>
      <c r="D112" s="448">
        <f t="shared" si="37"/>
        <v>44597</v>
      </c>
      <c r="E112" s="448">
        <f t="shared" si="21"/>
        <v>44603</v>
      </c>
      <c r="F112" s="97">
        <v>202202</v>
      </c>
      <c r="G112" s="241"/>
      <c r="H112" s="467"/>
      <c r="I112" s="521">
        <f t="shared" si="38"/>
        <v>0</v>
      </c>
      <c r="J112" s="467"/>
      <c r="K112" s="242"/>
      <c r="L112" s="522"/>
      <c r="M112" s="522"/>
      <c r="N112" s="469">
        <f t="shared" si="39"/>
        <v>0</v>
      </c>
      <c r="O112" s="522"/>
      <c r="P112" s="522"/>
      <c r="Q112" s="103"/>
      <c r="R112" s="429"/>
      <c r="S112" s="521">
        <f t="shared" si="40"/>
        <v>0</v>
      </c>
      <c r="T112" s="467"/>
      <c r="U112" s="242"/>
      <c r="V112" s="103"/>
      <c r="W112" s="429"/>
      <c r="X112" s="449">
        <f t="shared" si="41"/>
        <v>0</v>
      </c>
      <c r="Y112" s="429"/>
      <c r="Z112" s="532"/>
      <c r="AA112" s="471"/>
      <c r="AB112" s="471"/>
      <c r="AC112" s="449">
        <f t="shared" ref="AC112:AC175" si="42">SUM(AA112:AB112)</f>
        <v>0</v>
      </c>
      <c r="AD112" s="429"/>
      <c r="AE112" s="429"/>
      <c r="AF112" s="126"/>
      <c r="AG112" s="265" t="str">
        <f t="shared" si="22"/>
        <v/>
      </c>
      <c r="AH112" s="515" t="str">
        <f t="shared" si="23"/>
        <v/>
      </c>
      <c r="AI112" s="515" t="str">
        <f t="shared" si="24"/>
        <v/>
      </c>
      <c r="AJ112" s="515" t="str">
        <f t="shared" si="25"/>
        <v/>
      </c>
      <c r="AK112" s="187" t="str">
        <f t="shared" si="26"/>
        <v/>
      </c>
      <c r="AL112" s="266" t="str">
        <f t="shared" si="27"/>
        <v/>
      </c>
      <c r="AM112" s="516" t="str">
        <f t="shared" si="28"/>
        <v/>
      </c>
      <c r="AN112" s="516" t="str">
        <f t="shared" si="29"/>
        <v/>
      </c>
      <c r="AO112" s="516" t="str">
        <f t="shared" si="30"/>
        <v/>
      </c>
      <c r="AP112" s="267" t="str">
        <f t="shared" si="31"/>
        <v/>
      </c>
      <c r="AQ112" s="268" t="str">
        <f t="shared" si="32"/>
        <v/>
      </c>
      <c r="AR112" s="450" t="str">
        <f t="shared" si="33"/>
        <v/>
      </c>
      <c r="AS112" s="450" t="str">
        <f t="shared" si="34"/>
        <v/>
      </c>
      <c r="AT112" s="450" t="str">
        <f t="shared" si="35"/>
        <v/>
      </c>
      <c r="AU112" s="269" t="str">
        <f t="shared" si="36"/>
        <v/>
      </c>
    </row>
    <row r="113" spans="1:47" ht="15.75" customHeight="1">
      <c r="A113" s="175">
        <f t="shared" si="19"/>
        <v>2023</v>
      </c>
      <c r="B113" s="454" t="str">
        <f t="shared" si="20"/>
        <v>03</v>
      </c>
      <c r="C113" s="454" t="str">
        <f t="array" ref="C113">_xlfn.IFS(_xlfn.NUMBERVALUE(B113)&lt;=13,"Q1",AND(_xlfn.NUMBERVALUE(B113)&gt;13,_xlfn.NUMBERVALUE(B113)&lt;=26),"Q2", AND(_xlfn.NUMBERVALUE(B113)&gt;26,_xlfn.NUMBERVALUE(B113)&lt;=39),"Q3",_xlfn.NUMBERVALUE(B113)&gt;39,"Q4")</f>
        <v>Q1</v>
      </c>
      <c r="D113" s="448">
        <f t="shared" si="37"/>
        <v>44604</v>
      </c>
      <c r="E113" s="448">
        <f t="shared" si="21"/>
        <v>44610</v>
      </c>
      <c r="F113" s="97">
        <v>202203</v>
      </c>
      <c r="G113" s="241"/>
      <c r="H113" s="467"/>
      <c r="I113" s="521">
        <f t="shared" si="38"/>
        <v>0</v>
      </c>
      <c r="J113" s="467"/>
      <c r="K113" s="242"/>
      <c r="L113" s="522"/>
      <c r="M113" s="522"/>
      <c r="N113" s="469">
        <f t="shared" si="39"/>
        <v>0</v>
      </c>
      <c r="O113" s="522"/>
      <c r="P113" s="522"/>
      <c r="Q113" s="103"/>
      <c r="R113" s="429"/>
      <c r="S113" s="521">
        <f t="shared" si="40"/>
        <v>0</v>
      </c>
      <c r="T113" s="467"/>
      <c r="U113" s="242"/>
      <c r="V113" s="103"/>
      <c r="W113" s="429"/>
      <c r="X113" s="449">
        <f t="shared" si="41"/>
        <v>0</v>
      </c>
      <c r="Y113" s="429"/>
      <c r="Z113" s="532"/>
      <c r="AA113" s="471"/>
      <c r="AB113" s="471"/>
      <c r="AC113" s="449">
        <f t="shared" si="42"/>
        <v>0</v>
      </c>
      <c r="AD113" s="429"/>
      <c r="AE113" s="429"/>
      <c r="AF113" s="126"/>
      <c r="AG113" s="265" t="str">
        <f t="shared" si="22"/>
        <v/>
      </c>
      <c r="AH113" s="515" t="str">
        <f t="shared" si="23"/>
        <v/>
      </c>
      <c r="AI113" s="515" t="str">
        <f t="shared" si="24"/>
        <v/>
      </c>
      <c r="AJ113" s="515" t="str">
        <f t="shared" si="25"/>
        <v/>
      </c>
      <c r="AK113" s="187" t="str">
        <f t="shared" si="26"/>
        <v/>
      </c>
      <c r="AL113" s="266" t="str">
        <f t="shared" si="27"/>
        <v/>
      </c>
      <c r="AM113" s="516" t="str">
        <f t="shared" si="28"/>
        <v/>
      </c>
      <c r="AN113" s="516" t="str">
        <f t="shared" si="29"/>
        <v/>
      </c>
      <c r="AO113" s="516" t="str">
        <f t="shared" si="30"/>
        <v/>
      </c>
      <c r="AP113" s="267" t="str">
        <f t="shared" si="31"/>
        <v/>
      </c>
      <c r="AQ113" s="268" t="str">
        <f t="shared" si="32"/>
        <v/>
      </c>
      <c r="AR113" s="450" t="str">
        <f t="shared" si="33"/>
        <v/>
      </c>
      <c r="AS113" s="450" t="str">
        <f t="shared" si="34"/>
        <v/>
      </c>
      <c r="AT113" s="450" t="str">
        <f t="shared" si="35"/>
        <v/>
      </c>
      <c r="AU113" s="269" t="str">
        <f t="shared" si="36"/>
        <v/>
      </c>
    </row>
    <row r="114" spans="1:47" ht="15.75" customHeight="1">
      <c r="A114" s="175">
        <f t="shared" si="19"/>
        <v>2023</v>
      </c>
      <c r="B114" s="454" t="str">
        <f t="shared" si="20"/>
        <v>04</v>
      </c>
      <c r="C114" s="454" t="str">
        <f t="array" ref="C114">_xlfn.IFS(_xlfn.NUMBERVALUE(B114)&lt;=13,"Q1",AND(_xlfn.NUMBERVALUE(B114)&gt;13,_xlfn.NUMBERVALUE(B114)&lt;=26),"Q2", AND(_xlfn.NUMBERVALUE(B114)&gt;26,_xlfn.NUMBERVALUE(B114)&lt;=39),"Q3",_xlfn.NUMBERVALUE(B114)&gt;39,"Q4")</f>
        <v>Q1</v>
      </c>
      <c r="D114" s="448">
        <f t="shared" si="37"/>
        <v>44611</v>
      </c>
      <c r="E114" s="448">
        <f t="shared" si="21"/>
        <v>44617</v>
      </c>
      <c r="F114" s="97">
        <v>202204</v>
      </c>
      <c r="G114" s="241"/>
      <c r="H114" s="467"/>
      <c r="I114" s="521">
        <f t="shared" si="38"/>
        <v>0</v>
      </c>
      <c r="J114" s="467"/>
      <c r="K114" s="242"/>
      <c r="L114" s="522"/>
      <c r="M114" s="522"/>
      <c r="N114" s="469">
        <f t="shared" si="39"/>
        <v>0</v>
      </c>
      <c r="O114" s="522"/>
      <c r="P114" s="522"/>
      <c r="Q114" s="103"/>
      <c r="R114" s="429"/>
      <c r="S114" s="521">
        <f t="shared" si="40"/>
        <v>0</v>
      </c>
      <c r="T114" s="467"/>
      <c r="U114" s="242"/>
      <c r="V114" s="103"/>
      <c r="W114" s="429"/>
      <c r="X114" s="449">
        <f t="shared" si="41"/>
        <v>0</v>
      </c>
      <c r="Y114" s="429"/>
      <c r="Z114" s="532"/>
      <c r="AA114" s="471"/>
      <c r="AB114" s="471"/>
      <c r="AC114" s="449">
        <f t="shared" si="42"/>
        <v>0</v>
      </c>
      <c r="AD114" s="429"/>
      <c r="AE114" s="429"/>
      <c r="AF114" s="126"/>
      <c r="AG114" s="265" t="str">
        <f t="shared" si="22"/>
        <v/>
      </c>
      <c r="AH114" s="515" t="str">
        <f t="shared" si="23"/>
        <v/>
      </c>
      <c r="AI114" s="515" t="str">
        <f t="shared" si="24"/>
        <v/>
      </c>
      <c r="AJ114" s="515" t="str">
        <f t="shared" si="25"/>
        <v/>
      </c>
      <c r="AK114" s="187" t="str">
        <f t="shared" si="26"/>
        <v/>
      </c>
      <c r="AL114" s="266" t="str">
        <f t="shared" si="27"/>
        <v/>
      </c>
      <c r="AM114" s="516" t="str">
        <f t="shared" si="28"/>
        <v/>
      </c>
      <c r="AN114" s="516" t="str">
        <f t="shared" si="29"/>
        <v/>
      </c>
      <c r="AO114" s="516" t="str">
        <f t="shared" si="30"/>
        <v/>
      </c>
      <c r="AP114" s="267" t="str">
        <f t="shared" si="31"/>
        <v/>
      </c>
      <c r="AQ114" s="268" t="str">
        <f t="shared" si="32"/>
        <v/>
      </c>
      <c r="AR114" s="450" t="str">
        <f t="shared" si="33"/>
        <v/>
      </c>
      <c r="AS114" s="450" t="str">
        <f t="shared" si="34"/>
        <v/>
      </c>
      <c r="AT114" s="450" t="str">
        <f t="shared" si="35"/>
        <v/>
      </c>
      <c r="AU114" s="269" t="str">
        <f t="shared" si="36"/>
        <v/>
      </c>
    </row>
    <row r="115" spans="1:47" ht="15.75" customHeight="1">
      <c r="A115" s="175">
        <f t="shared" si="19"/>
        <v>2023</v>
      </c>
      <c r="B115" s="454" t="str">
        <f t="shared" si="20"/>
        <v>05</v>
      </c>
      <c r="C115" s="454" t="str">
        <f t="array" ref="C115">_xlfn.IFS(_xlfn.NUMBERVALUE(B115)&lt;=13,"Q1",AND(_xlfn.NUMBERVALUE(B115)&gt;13,_xlfn.NUMBERVALUE(B115)&lt;=26),"Q2", AND(_xlfn.NUMBERVALUE(B115)&gt;26,_xlfn.NUMBERVALUE(B115)&lt;=39),"Q3",_xlfn.NUMBERVALUE(B115)&gt;39,"Q4")</f>
        <v>Q1</v>
      </c>
      <c r="D115" s="448">
        <f t="shared" si="37"/>
        <v>44618</v>
      </c>
      <c r="E115" s="448">
        <f t="shared" si="21"/>
        <v>44624</v>
      </c>
      <c r="F115" s="97">
        <v>202205</v>
      </c>
      <c r="G115" s="241"/>
      <c r="H115" s="467"/>
      <c r="I115" s="521">
        <f t="shared" si="38"/>
        <v>0</v>
      </c>
      <c r="J115" s="467"/>
      <c r="K115" s="242"/>
      <c r="L115" s="522"/>
      <c r="M115" s="522"/>
      <c r="N115" s="469">
        <f t="shared" si="39"/>
        <v>0</v>
      </c>
      <c r="O115" s="522"/>
      <c r="P115" s="522"/>
      <c r="Q115" s="103"/>
      <c r="R115" s="429"/>
      <c r="S115" s="521">
        <f t="shared" si="40"/>
        <v>0</v>
      </c>
      <c r="T115" s="467"/>
      <c r="U115" s="242"/>
      <c r="V115" s="103"/>
      <c r="W115" s="429"/>
      <c r="X115" s="449">
        <f t="shared" si="41"/>
        <v>0</v>
      </c>
      <c r="Y115" s="429"/>
      <c r="Z115" s="532"/>
      <c r="AA115" s="471"/>
      <c r="AB115" s="471"/>
      <c r="AC115" s="449">
        <f t="shared" si="42"/>
        <v>0</v>
      </c>
      <c r="AD115" s="429"/>
      <c r="AE115" s="429"/>
      <c r="AF115" s="126"/>
      <c r="AG115" s="265" t="str">
        <f t="shared" si="22"/>
        <v/>
      </c>
      <c r="AH115" s="515" t="str">
        <f t="shared" si="23"/>
        <v/>
      </c>
      <c r="AI115" s="515" t="str">
        <f t="shared" si="24"/>
        <v/>
      </c>
      <c r="AJ115" s="515" t="str">
        <f t="shared" si="25"/>
        <v/>
      </c>
      <c r="AK115" s="187" t="str">
        <f t="shared" si="26"/>
        <v/>
      </c>
      <c r="AL115" s="266" t="str">
        <f t="shared" si="27"/>
        <v/>
      </c>
      <c r="AM115" s="516" t="str">
        <f t="shared" si="28"/>
        <v/>
      </c>
      <c r="AN115" s="516" t="str">
        <f t="shared" si="29"/>
        <v/>
      </c>
      <c r="AO115" s="516" t="str">
        <f t="shared" si="30"/>
        <v/>
      </c>
      <c r="AP115" s="267" t="str">
        <f t="shared" si="31"/>
        <v/>
      </c>
      <c r="AQ115" s="268" t="str">
        <f t="shared" si="32"/>
        <v/>
      </c>
      <c r="AR115" s="450" t="str">
        <f t="shared" si="33"/>
        <v/>
      </c>
      <c r="AS115" s="450" t="str">
        <f t="shared" si="34"/>
        <v/>
      </c>
      <c r="AT115" s="450" t="str">
        <f t="shared" si="35"/>
        <v/>
      </c>
      <c r="AU115" s="269" t="str">
        <f t="shared" si="36"/>
        <v/>
      </c>
    </row>
    <row r="116" spans="1:47" ht="15.75" customHeight="1">
      <c r="A116" s="175">
        <f t="shared" si="19"/>
        <v>2023</v>
      </c>
      <c r="B116" s="454" t="str">
        <f t="shared" si="20"/>
        <v>06</v>
      </c>
      <c r="C116" s="454" t="str">
        <f t="array" ref="C116">_xlfn.IFS(_xlfn.NUMBERVALUE(B116)&lt;=13,"Q1",AND(_xlfn.NUMBERVALUE(B116)&gt;13,_xlfn.NUMBERVALUE(B116)&lt;=26),"Q2", AND(_xlfn.NUMBERVALUE(B116)&gt;26,_xlfn.NUMBERVALUE(B116)&lt;=39),"Q3",_xlfn.NUMBERVALUE(B116)&gt;39,"Q4")</f>
        <v>Q1</v>
      </c>
      <c r="D116" s="448">
        <f t="shared" si="37"/>
        <v>44625</v>
      </c>
      <c r="E116" s="448">
        <f t="shared" si="21"/>
        <v>44631</v>
      </c>
      <c r="F116" s="97">
        <v>202206</v>
      </c>
      <c r="G116" s="241"/>
      <c r="H116" s="467"/>
      <c r="I116" s="521">
        <f t="shared" si="38"/>
        <v>0</v>
      </c>
      <c r="J116" s="467"/>
      <c r="K116" s="242"/>
      <c r="L116" s="522"/>
      <c r="M116" s="522"/>
      <c r="N116" s="469">
        <f t="shared" si="39"/>
        <v>0</v>
      </c>
      <c r="O116" s="522"/>
      <c r="P116" s="522"/>
      <c r="Q116" s="103"/>
      <c r="R116" s="429"/>
      <c r="S116" s="521">
        <f t="shared" si="40"/>
        <v>0</v>
      </c>
      <c r="T116" s="467"/>
      <c r="U116" s="242"/>
      <c r="V116" s="103"/>
      <c r="W116" s="429"/>
      <c r="X116" s="449">
        <f t="shared" si="41"/>
        <v>0</v>
      </c>
      <c r="Y116" s="429"/>
      <c r="Z116" s="532"/>
      <c r="AA116" s="471"/>
      <c r="AB116" s="471"/>
      <c r="AC116" s="449">
        <f t="shared" si="42"/>
        <v>0</v>
      </c>
      <c r="AD116" s="429"/>
      <c r="AE116" s="429"/>
      <c r="AF116" s="126"/>
      <c r="AG116" s="265" t="str">
        <f t="shared" si="22"/>
        <v/>
      </c>
      <c r="AH116" s="515" t="str">
        <f t="shared" si="23"/>
        <v/>
      </c>
      <c r="AI116" s="515" t="str">
        <f t="shared" si="24"/>
        <v/>
      </c>
      <c r="AJ116" s="515" t="str">
        <f t="shared" si="25"/>
        <v/>
      </c>
      <c r="AK116" s="187" t="str">
        <f t="shared" si="26"/>
        <v/>
      </c>
      <c r="AL116" s="266" t="str">
        <f t="shared" si="27"/>
        <v/>
      </c>
      <c r="AM116" s="516" t="str">
        <f t="shared" si="28"/>
        <v/>
      </c>
      <c r="AN116" s="516" t="str">
        <f t="shared" si="29"/>
        <v/>
      </c>
      <c r="AO116" s="516" t="str">
        <f t="shared" si="30"/>
        <v/>
      </c>
      <c r="AP116" s="267" t="str">
        <f t="shared" si="31"/>
        <v/>
      </c>
      <c r="AQ116" s="268" t="str">
        <f t="shared" si="32"/>
        <v/>
      </c>
      <c r="AR116" s="450" t="str">
        <f t="shared" si="33"/>
        <v/>
      </c>
      <c r="AS116" s="450" t="str">
        <f t="shared" si="34"/>
        <v/>
      </c>
      <c r="AT116" s="450" t="str">
        <f t="shared" si="35"/>
        <v/>
      </c>
      <c r="AU116" s="269" t="str">
        <f t="shared" si="36"/>
        <v/>
      </c>
    </row>
    <row r="117" spans="1:47" ht="15.75" customHeight="1">
      <c r="A117" s="175">
        <f t="shared" si="19"/>
        <v>2023</v>
      </c>
      <c r="B117" s="454" t="str">
        <f t="shared" si="20"/>
        <v>07</v>
      </c>
      <c r="C117" s="454" t="str">
        <f t="array" ref="C117">_xlfn.IFS(_xlfn.NUMBERVALUE(B117)&lt;=13,"Q1",AND(_xlfn.NUMBERVALUE(B117)&gt;13,_xlfn.NUMBERVALUE(B117)&lt;=26),"Q2", AND(_xlfn.NUMBERVALUE(B117)&gt;26,_xlfn.NUMBERVALUE(B117)&lt;=39),"Q3",_xlfn.NUMBERVALUE(B117)&gt;39,"Q4")</f>
        <v>Q1</v>
      </c>
      <c r="D117" s="448">
        <f t="shared" si="37"/>
        <v>44632</v>
      </c>
      <c r="E117" s="448">
        <f t="shared" si="21"/>
        <v>44638</v>
      </c>
      <c r="F117" s="97">
        <v>202207</v>
      </c>
      <c r="G117" s="241"/>
      <c r="H117" s="467"/>
      <c r="I117" s="521">
        <f t="shared" si="38"/>
        <v>0</v>
      </c>
      <c r="J117" s="467"/>
      <c r="K117" s="242"/>
      <c r="L117" s="522"/>
      <c r="M117" s="522"/>
      <c r="N117" s="469">
        <f t="shared" si="39"/>
        <v>0</v>
      </c>
      <c r="O117" s="522"/>
      <c r="P117" s="522"/>
      <c r="Q117" s="103"/>
      <c r="R117" s="429"/>
      <c r="S117" s="521">
        <f t="shared" si="40"/>
        <v>0</v>
      </c>
      <c r="T117" s="467"/>
      <c r="U117" s="242"/>
      <c r="V117" s="103"/>
      <c r="W117" s="429"/>
      <c r="X117" s="449">
        <f t="shared" si="41"/>
        <v>0</v>
      </c>
      <c r="Y117" s="429"/>
      <c r="Z117" s="532"/>
      <c r="AA117" s="471"/>
      <c r="AB117" s="471"/>
      <c r="AC117" s="449">
        <f t="shared" si="42"/>
        <v>0</v>
      </c>
      <c r="AD117" s="429"/>
      <c r="AE117" s="429"/>
      <c r="AF117" s="126"/>
      <c r="AG117" s="265" t="str">
        <f t="shared" si="22"/>
        <v/>
      </c>
      <c r="AH117" s="515" t="str">
        <f t="shared" si="23"/>
        <v/>
      </c>
      <c r="AI117" s="515" t="str">
        <f t="shared" si="24"/>
        <v/>
      </c>
      <c r="AJ117" s="515" t="str">
        <f t="shared" si="25"/>
        <v/>
      </c>
      <c r="AK117" s="187" t="str">
        <f t="shared" si="26"/>
        <v/>
      </c>
      <c r="AL117" s="266" t="str">
        <f t="shared" si="27"/>
        <v/>
      </c>
      <c r="AM117" s="516" t="str">
        <f t="shared" si="28"/>
        <v/>
      </c>
      <c r="AN117" s="516" t="str">
        <f t="shared" si="29"/>
        <v/>
      </c>
      <c r="AO117" s="516" t="str">
        <f t="shared" si="30"/>
        <v/>
      </c>
      <c r="AP117" s="267" t="str">
        <f t="shared" si="31"/>
        <v/>
      </c>
      <c r="AQ117" s="268" t="str">
        <f t="shared" si="32"/>
        <v/>
      </c>
      <c r="AR117" s="450" t="str">
        <f t="shared" si="33"/>
        <v/>
      </c>
      <c r="AS117" s="450" t="str">
        <f t="shared" si="34"/>
        <v/>
      </c>
      <c r="AT117" s="450" t="str">
        <f t="shared" si="35"/>
        <v/>
      </c>
      <c r="AU117" s="269" t="str">
        <f t="shared" si="36"/>
        <v/>
      </c>
    </row>
    <row r="118" spans="1:47" ht="15.75" customHeight="1">
      <c r="A118" s="175">
        <f t="shared" si="19"/>
        <v>2023</v>
      </c>
      <c r="B118" s="454" t="str">
        <f t="shared" si="20"/>
        <v>08</v>
      </c>
      <c r="C118" s="454" t="str">
        <f t="array" ref="C118">_xlfn.IFS(_xlfn.NUMBERVALUE(B118)&lt;=13,"Q1",AND(_xlfn.NUMBERVALUE(B118)&gt;13,_xlfn.NUMBERVALUE(B118)&lt;=26),"Q2", AND(_xlfn.NUMBERVALUE(B118)&gt;26,_xlfn.NUMBERVALUE(B118)&lt;=39),"Q3",_xlfn.NUMBERVALUE(B118)&gt;39,"Q4")</f>
        <v>Q1</v>
      </c>
      <c r="D118" s="448">
        <f t="shared" si="37"/>
        <v>44639</v>
      </c>
      <c r="E118" s="448">
        <f t="shared" si="21"/>
        <v>44645</v>
      </c>
      <c r="F118" s="97">
        <v>202208</v>
      </c>
      <c r="G118" s="241"/>
      <c r="H118" s="467"/>
      <c r="I118" s="521">
        <f t="shared" si="38"/>
        <v>0</v>
      </c>
      <c r="J118" s="467"/>
      <c r="K118" s="242"/>
      <c r="L118" s="522"/>
      <c r="M118" s="522"/>
      <c r="N118" s="469">
        <f t="shared" si="39"/>
        <v>0</v>
      </c>
      <c r="O118" s="522"/>
      <c r="P118" s="522"/>
      <c r="Q118" s="103"/>
      <c r="R118" s="429"/>
      <c r="S118" s="521">
        <f t="shared" si="40"/>
        <v>0</v>
      </c>
      <c r="T118" s="467"/>
      <c r="U118" s="242"/>
      <c r="V118" s="103"/>
      <c r="W118" s="429"/>
      <c r="X118" s="449">
        <f t="shared" si="41"/>
        <v>0</v>
      </c>
      <c r="Y118" s="429"/>
      <c r="Z118" s="532"/>
      <c r="AA118" s="471"/>
      <c r="AB118" s="471"/>
      <c r="AC118" s="449">
        <f t="shared" si="42"/>
        <v>0</v>
      </c>
      <c r="AD118" s="429"/>
      <c r="AE118" s="429"/>
      <c r="AF118" s="126"/>
      <c r="AG118" s="265" t="str">
        <f t="shared" si="22"/>
        <v/>
      </c>
      <c r="AH118" s="515" t="str">
        <f t="shared" si="23"/>
        <v/>
      </c>
      <c r="AI118" s="515" t="str">
        <f t="shared" si="24"/>
        <v/>
      </c>
      <c r="AJ118" s="515" t="str">
        <f t="shared" si="25"/>
        <v/>
      </c>
      <c r="AK118" s="187" t="str">
        <f t="shared" si="26"/>
        <v/>
      </c>
      <c r="AL118" s="266" t="str">
        <f t="shared" si="27"/>
        <v/>
      </c>
      <c r="AM118" s="516" t="str">
        <f t="shared" si="28"/>
        <v/>
      </c>
      <c r="AN118" s="516" t="str">
        <f t="shared" si="29"/>
        <v/>
      </c>
      <c r="AO118" s="516" t="str">
        <f t="shared" si="30"/>
        <v/>
      </c>
      <c r="AP118" s="267" t="str">
        <f t="shared" si="31"/>
        <v/>
      </c>
      <c r="AQ118" s="268" t="str">
        <f t="shared" si="32"/>
        <v/>
      </c>
      <c r="AR118" s="450" t="str">
        <f t="shared" si="33"/>
        <v/>
      </c>
      <c r="AS118" s="450" t="str">
        <f t="shared" si="34"/>
        <v/>
      </c>
      <c r="AT118" s="450" t="str">
        <f t="shared" si="35"/>
        <v/>
      </c>
      <c r="AU118" s="269" t="str">
        <f t="shared" si="36"/>
        <v/>
      </c>
    </row>
    <row r="119" spans="1:47" ht="15.75" customHeight="1">
      <c r="A119" s="175">
        <f t="shared" si="19"/>
        <v>2023</v>
      </c>
      <c r="B119" s="454" t="str">
        <f t="shared" si="20"/>
        <v>09</v>
      </c>
      <c r="C119" s="454" t="str">
        <f t="array" ref="C119">_xlfn.IFS(_xlfn.NUMBERVALUE(B119)&lt;=13,"Q1",AND(_xlfn.NUMBERVALUE(B119)&gt;13,_xlfn.NUMBERVALUE(B119)&lt;=26),"Q2", AND(_xlfn.NUMBERVALUE(B119)&gt;26,_xlfn.NUMBERVALUE(B119)&lt;=39),"Q3",_xlfn.NUMBERVALUE(B119)&gt;39,"Q4")</f>
        <v>Q1</v>
      </c>
      <c r="D119" s="448">
        <f t="shared" si="37"/>
        <v>44646</v>
      </c>
      <c r="E119" s="448">
        <f t="shared" si="21"/>
        <v>44652</v>
      </c>
      <c r="F119" s="97">
        <v>202209</v>
      </c>
      <c r="G119" s="241"/>
      <c r="H119" s="467"/>
      <c r="I119" s="521">
        <f t="shared" si="38"/>
        <v>0</v>
      </c>
      <c r="J119" s="467"/>
      <c r="K119" s="242"/>
      <c r="L119" s="522"/>
      <c r="M119" s="522"/>
      <c r="N119" s="469">
        <f t="shared" si="39"/>
        <v>0</v>
      </c>
      <c r="O119" s="522"/>
      <c r="P119" s="522"/>
      <c r="Q119" s="103"/>
      <c r="R119" s="429"/>
      <c r="S119" s="521">
        <f t="shared" si="40"/>
        <v>0</v>
      </c>
      <c r="T119" s="467"/>
      <c r="U119" s="242"/>
      <c r="V119" s="103"/>
      <c r="W119" s="429"/>
      <c r="X119" s="449">
        <f t="shared" si="41"/>
        <v>0</v>
      </c>
      <c r="Y119" s="429"/>
      <c r="Z119" s="532"/>
      <c r="AA119" s="471"/>
      <c r="AB119" s="471"/>
      <c r="AC119" s="449">
        <f t="shared" si="42"/>
        <v>0</v>
      </c>
      <c r="AD119" s="429"/>
      <c r="AE119" s="429"/>
      <c r="AF119" s="126"/>
      <c r="AG119" s="265" t="str">
        <f t="shared" si="22"/>
        <v/>
      </c>
      <c r="AH119" s="515" t="str">
        <f t="shared" si="23"/>
        <v/>
      </c>
      <c r="AI119" s="515" t="str">
        <f t="shared" si="24"/>
        <v/>
      </c>
      <c r="AJ119" s="515" t="str">
        <f t="shared" si="25"/>
        <v/>
      </c>
      <c r="AK119" s="187" t="str">
        <f t="shared" si="26"/>
        <v/>
      </c>
      <c r="AL119" s="266" t="str">
        <f t="shared" si="27"/>
        <v/>
      </c>
      <c r="AM119" s="516" t="str">
        <f t="shared" si="28"/>
        <v/>
      </c>
      <c r="AN119" s="516" t="str">
        <f t="shared" si="29"/>
        <v/>
      </c>
      <c r="AO119" s="516" t="str">
        <f t="shared" si="30"/>
        <v/>
      </c>
      <c r="AP119" s="267" t="str">
        <f t="shared" si="31"/>
        <v/>
      </c>
      <c r="AQ119" s="268" t="str">
        <f t="shared" si="32"/>
        <v/>
      </c>
      <c r="AR119" s="450" t="str">
        <f t="shared" si="33"/>
        <v/>
      </c>
      <c r="AS119" s="450" t="str">
        <f t="shared" si="34"/>
        <v/>
      </c>
      <c r="AT119" s="450" t="str">
        <f t="shared" si="35"/>
        <v/>
      </c>
      <c r="AU119" s="269" t="str">
        <f t="shared" si="36"/>
        <v/>
      </c>
    </row>
    <row r="120" spans="1:47" ht="15.75" customHeight="1">
      <c r="A120" s="175">
        <f t="shared" si="19"/>
        <v>2023</v>
      </c>
      <c r="B120" s="454" t="str">
        <f t="shared" si="20"/>
        <v>10</v>
      </c>
      <c r="C120" s="454" t="str">
        <f t="array" ref="C120">_xlfn.IFS(_xlfn.NUMBERVALUE(B120)&lt;=13,"Q1",AND(_xlfn.NUMBERVALUE(B120)&gt;13,_xlfn.NUMBERVALUE(B120)&lt;=26),"Q2", AND(_xlfn.NUMBERVALUE(B120)&gt;26,_xlfn.NUMBERVALUE(B120)&lt;=39),"Q3",_xlfn.NUMBERVALUE(B120)&gt;39,"Q4")</f>
        <v>Q1</v>
      </c>
      <c r="D120" s="448">
        <f t="shared" si="37"/>
        <v>44653</v>
      </c>
      <c r="E120" s="448">
        <f t="shared" si="21"/>
        <v>44659</v>
      </c>
      <c r="F120" s="97">
        <v>202210</v>
      </c>
      <c r="G120" s="241"/>
      <c r="H120" s="467"/>
      <c r="I120" s="521">
        <f t="shared" si="38"/>
        <v>0</v>
      </c>
      <c r="J120" s="467"/>
      <c r="K120" s="242"/>
      <c r="L120" s="522"/>
      <c r="M120" s="522"/>
      <c r="N120" s="469">
        <f t="shared" si="39"/>
        <v>0</v>
      </c>
      <c r="O120" s="522"/>
      <c r="P120" s="522"/>
      <c r="Q120" s="103"/>
      <c r="R120" s="429"/>
      <c r="S120" s="521">
        <f t="shared" si="40"/>
        <v>0</v>
      </c>
      <c r="T120" s="467"/>
      <c r="U120" s="242"/>
      <c r="V120" s="103"/>
      <c r="W120" s="429"/>
      <c r="X120" s="449">
        <f t="shared" si="41"/>
        <v>0</v>
      </c>
      <c r="Y120" s="429"/>
      <c r="Z120" s="532"/>
      <c r="AA120" s="471"/>
      <c r="AB120" s="471"/>
      <c r="AC120" s="449">
        <f t="shared" si="42"/>
        <v>0</v>
      </c>
      <c r="AD120" s="429"/>
      <c r="AE120" s="429"/>
      <c r="AF120" s="126"/>
      <c r="AG120" s="265" t="str">
        <f t="shared" si="22"/>
        <v/>
      </c>
      <c r="AH120" s="515" t="str">
        <f t="shared" si="23"/>
        <v/>
      </c>
      <c r="AI120" s="515" t="str">
        <f t="shared" si="24"/>
        <v/>
      </c>
      <c r="AJ120" s="515" t="str">
        <f t="shared" si="25"/>
        <v/>
      </c>
      <c r="AK120" s="187" t="str">
        <f t="shared" si="26"/>
        <v/>
      </c>
      <c r="AL120" s="266" t="str">
        <f t="shared" si="27"/>
        <v/>
      </c>
      <c r="AM120" s="516" t="str">
        <f t="shared" si="28"/>
        <v/>
      </c>
      <c r="AN120" s="516" t="str">
        <f t="shared" si="29"/>
        <v/>
      </c>
      <c r="AO120" s="516" t="str">
        <f t="shared" si="30"/>
        <v/>
      </c>
      <c r="AP120" s="267" t="str">
        <f t="shared" si="31"/>
        <v/>
      </c>
      <c r="AQ120" s="268" t="str">
        <f t="shared" si="32"/>
        <v/>
      </c>
      <c r="AR120" s="450" t="str">
        <f t="shared" si="33"/>
        <v/>
      </c>
      <c r="AS120" s="450" t="str">
        <f t="shared" si="34"/>
        <v/>
      </c>
      <c r="AT120" s="450" t="str">
        <f t="shared" si="35"/>
        <v/>
      </c>
      <c r="AU120" s="269" t="str">
        <f t="shared" si="36"/>
        <v/>
      </c>
    </row>
    <row r="121" spans="1:47" ht="15.75" customHeight="1">
      <c r="A121" s="175">
        <f t="shared" si="19"/>
        <v>2023</v>
      </c>
      <c r="B121" s="454" t="str">
        <f t="shared" si="20"/>
        <v>11</v>
      </c>
      <c r="C121" s="454" t="str">
        <f t="array" ref="C121">_xlfn.IFS(_xlfn.NUMBERVALUE(B121)&lt;=13,"Q1",AND(_xlfn.NUMBERVALUE(B121)&gt;13,_xlfn.NUMBERVALUE(B121)&lt;=26),"Q2", AND(_xlfn.NUMBERVALUE(B121)&gt;26,_xlfn.NUMBERVALUE(B121)&lt;=39),"Q3",_xlfn.NUMBERVALUE(B121)&gt;39,"Q4")</f>
        <v>Q1</v>
      </c>
      <c r="D121" s="448">
        <f t="shared" si="37"/>
        <v>44660</v>
      </c>
      <c r="E121" s="448">
        <f t="shared" si="21"/>
        <v>44666</v>
      </c>
      <c r="F121" s="97">
        <v>202211</v>
      </c>
      <c r="G121" s="241"/>
      <c r="H121" s="467"/>
      <c r="I121" s="521">
        <f t="shared" si="38"/>
        <v>0</v>
      </c>
      <c r="J121" s="467"/>
      <c r="K121" s="242"/>
      <c r="L121" s="522"/>
      <c r="M121" s="522"/>
      <c r="N121" s="469">
        <f t="shared" si="39"/>
        <v>0</v>
      </c>
      <c r="O121" s="522"/>
      <c r="P121" s="522"/>
      <c r="Q121" s="103"/>
      <c r="R121" s="429"/>
      <c r="S121" s="521">
        <f t="shared" si="40"/>
        <v>0</v>
      </c>
      <c r="T121" s="467"/>
      <c r="U121" s="242"/>
      <c r="V121" s="103"/>
      <c r="W121" s="429"/>
      <c r="X121" s="449">
        <f t="shared" si="41"/>
        <v>0</v>
      </c>
      <c r="Y121" s="429"/>
      <c r="Z121" s="532"/>
      <c r="AA121" s="471"/>
      <c r="AB121" s="471"/>
      <c r="AC121" s="449">
        <f t="shared" si="42"/>
        <v>0</v>
      </c>
      <c r="AD121" s="429"/>
      <c r="AE121" s="429"/>
      <c r="AF121" s="126"/>
      <c r="AG121" s="265" t="str">
        <f t="shared" si="22"/>
        <v/>
      </c>
      <c r="AH121" s="515" t="str">
        <f t="shared" si="23"/>
        <v/>
      </c>
      <c r="AI121" s="515" t="str">
        <f t="shared" si="24"/>
        <v/>
      </c>
      <c r="AJ121" s="515" t="str">
        <f t="shared" si="25"/>
        <v/>
      </c>
      <c r="AK121" s="187" t="str">
        <f t="shared" si="26"/>
        <v/>
      </c>
      <c r="AL121" s="266" t="str">
        <f t="shared" si="27"/>
        <v/>
      </c>
      <c r="AM121" s="516" t="str">
        <f t="shared" si="28"/>
        <v/>
      </c>
      <c r="AN121" s="516" t="str">
        <f t="shared" si="29"/>
        <v/>
      </c>
      <c r="AO121" s="516" t="str">
        <f t="shared" si="30"/>
        <v/>
      </c>
      <c r="AP121" s="267" t="str">
        <f t="shared" si="31"/>
        <v/>
      </c>
      <c r="AQ121" s="268" t="str">
        <f t="shared" si="32"/>
        <v/>
      </c>
      <c r="AR121" s="450" t="str">
        <f t="shared" si="33"/>
        <v/>
      </c>
      <c r="AS121" s="450" t="str">
        <f t="shared" si="34"/>
        <v/>
      </c>
      <c r="AT121" s="450" t="str">
        <f t="shared" si="35"/>
        <v/>
      </c>
      <c r="AU121" s="269" t="str">
        <f t="shared" si="36"/>
        <v/>
      </c>
    </row>
    <row r="122" spans="1:47" ht="15.75" customHeight="1">
      <c r="A122" s="175">
        <f t="shared" si="19"/>
        <v>2023</v>
      </c>
      <c r="B122" s="454" t="str">
        <f t="shared" si="20"/>
        <v>12</v>
      </c>
      <c r="C122" s="454" t="str">
        <f t="array" ref="C122">_xlfn.IFS(_xlfn.NUMBERVALUE(B122)&lt;=13,"Q1",AND(_xlfn.NUMBERVALUE(B122)&gt;13,_xlfn.NUMBERVALUE(B122)&lt;=26),"Q2", AND(_xlfn.NUMBERVALUE(B122)&gt;26,_xlfn.NUMBERVALUE(B122)&lt;=39),"Q3",_xlfn.NUMBERVALUE(B122)&gt;39,"Q4")</f>
        <v>Q1</v>
      </c>
      <c r="D122" s="448">
        <f t="shared" si="37"/>
        <v>44667</v>
      </c>
      <c r="E122" s="448">
        <f t="shared" si="21"/>
        <v>44673</v>
      </c>
      <c r="F122" s="97">
        <v>202212</v>
      </c>
      <c r="G122" s="241"/>
      <c r="H122" s="467"/>
      <c r="I122" s="521">
        <f t="shared" si="38"/>
        <v>0</v>
      </c>
      <c r="J122" s="467"/>
      <c r="K122" s="242"/>
      <c r="L122" s="522"/>
      <c r="M122" s="522"/>
      <c r="N122" s="469">
        <f t="shared" si="39"/>
        <v>0</v>
      </c>
      <c r="O122" s="522"/>
      <c r="P122" s="522"/>
      <c r="Q122" s="103"/>
      <c r="R122" s="429"/>
      <c r="S122" s="521">
        <f t="shared" si="40"/>
        <v>0</v>
      </c>
      <c r="T122" s="467"/>
      <c r="U122" s="242"/>
      <c r="V122" s="103"/>
      <c r="W122" s="429"/>
      <c r="X122" s="449">
        <f t="shared" si="41"/>
        <v>0</v>
      </c>
      <c r="Y122" s="429"/>
      <c r="Z122" s="532"/>
      <c r="AA122" s="471"/>
      <c r="AB122" s="471"/>
      <c r="AC122" s="449">
        <f t="shared" si="42"/>
        <v>0</v>
      </c>
      <c r="AD122" s="429"/>
      <c r="AE122" s="429"/>
      <c r="AF122" s="126"/>
      <c r="AG122" s="265" t="str">
        <f t="shared" si="22"/>
        <v/>
      </c>
      <c r="AH122" s="515" t="str">
        <f t="shared" si="23"/>
        <v/>
      </c>
      <c r="AI122" s="515" t="str">
        <f t="shared" si="24"/>
        <v/>
      </c>
      <c r="AJ122" s="515" t="str">
        <f t="shared" si="25"/>
        <v/>
      </c>
      <c r="AK122" s="187" t="str">
        <f t="shared" si="26"/>
        <v/>
      </c>
      <c r="AL122" s="266" t="str">
        <f t="shared" si="27"/>
        <v/>
      </c>
      <c r="AM122" s="516" t="str">
        <f t="shared" si="28"/>
        <v/>
      </c>
      <c r="AN122" s="516" t="str">
        <f t="shared" si="29"/>
        <v/>
      </c>
      <c r="AO122" s="516" t="str">
        <f t="shared" si="30"/>
        <v/>
      </c>
      <c r="AP122" s="267" t="str">
        <f t="shared" si="31"/>
        <v/>
      </c>
      <c r="AQ122" s="268" t="str">
        <f t="shared" si="32"/>
        <v/>
      </c>
      <c r="AR122" s="450" t="str">
        <f t="shared" si="33"/>
        <v/>
      </c>
      <c r="AS122" s="450" t="str">
        <f t="shared" si="34"/>
        <v/>
      </c>
      <c r="AT122" s="450" t="str">
        <f t="shared" si="35"/>
        <v/>
      </c>
      <c r="AU122" s="269" t="str">
        <f t="shared" si="36"/>
        <v/>
      </c>
    </row>
    <row r="123" spans="1:47" ht="15.75" customHeight="1">
      <c r="A123" s="175">
        <f t="shared" si="19"/>
        <v>2023</v>
      </c>
      <c r="B123" s="454" t="str">
        <f t="shared" si="20"/>
        <v>13</v>
      </c>
      <c r="C123" s="454" t="str">
        <f t="array" ref="C123">_xlfn.IFS(_xlfn.NUMBERVALUE(B123)&lt;=13,"Q1",AND(_xlfn.NUMBERVALUE(B123)&gt;13,_xlfn.NUMBERVALUE(B123)&lt;=26),"Q2", AND(_xlfn.NUMBERVALUE(B123)&gt;26,_xlfn.NUMBERVALUE(B123)&lt;=39),"Q3",_xlfn.NUMBERVALUE(B123)&gt;39,"Q4")</f>
        <v>Q1</v>
      </c>
      <c r="D123" s="448">
        <f t="shared" si="37"/>
        <v>44674</v>
      </c>
      <c r="E123" s="448">
        <f t="shared" si="21"/>
        <v>44680</v>
      </c>
      <c r="F123" s="97">
        <v>202213</v>
      </c>
      <c r="G123" s="241"/>
      <c r="H123" s="467"/>
      <c r="I123" s="521">
        <f t="shared" si="38"/>
        <v>0</v>
      </c>
      <c r="J123" s="467"/>
      <c r="K123" s="242"/>
      <c r="L123" s="522"/>
      <c r="M123" s="522"/>
      <c r="N123" s="469">
        <f t="shared" si="39"/>
        <v>0</v>
      </c>
      <c r="O123" s="522"/>
      <c r="P123" s="522"/>
      <c r="Q123" s="103"/>
      <c r="R123" s="429"/>
      <c r="S123" s="521">
        <f t="shared" si="40"/>
        <v>0</v>
      </c>
      <c r="T123" s="467"/>
      <c r="U123" s="242"/>
      <c r="V123" s="103"/>
      <c r="W123" s="429"/>
      <c r="X123" s="449">
        <f t="shared" si="41"/>
        <v>0</v>
      </c>
      <c r="Y123" s="429"/>
      <c r="Z123" s="532"/>
      <c r="AA123" s="471"/>
      <c r="AB123" s="471"/>
      <c r="AC123" s="449">
        <f t="shared" si="42"/>
        <v>0</v>
      </c>
      <c r="AD123" s="429"/>
      <c r="AE123" s="429"/>
      <c r="AF123" s="126"/>
      <c r="AG123" s="265" t="str">
        <f t="shared" si="22"/>
        <v/>
      </c>
      <c r="AH123" s="515" t="str">
        <f t="shared" si="23"/>
        <v/>
      </c>
      <c r="AI123" s="515" t="str">
        <f t="shared" si="24"/>
        <v/>
      </c>
      <c r="AJ123" s="515" t="str">
        <f t="shared" si="25"/>
        <v/>
      </c>
      <c r="AK123" s="187" t="str">
        <f t="shared" si="26"/>
        <v/>
      </c>
      <c r="AL123" s="266" t="str">
        <f t="shared" si="27"/>
        <v/>
      </c>
      <c r="AM123" s="516" t="str">
        <f t="shared" si="28"/>
        <v/>
      </c>
      <c r="AN123" s="516" t="str">
        <f t="shared" si="29"/>
        <v/>
      </c>
      <c r="AO123" s="516" t="str">
        <f t="shared" si="30"/>
        <v/>
      </c>
      <c r="AP123" s="267" t="str">
        <f t="shared" si="31"/>
        <v/>
      </c>
      <c r="AQ123" s="268" t="str">
        <f t="shared" si="32"/>
        <v/>
      </c>
      <c r="AR123" s="450" t="str">
        <f t="shared" si="33"/>
        <v/>
      </c>
      <c r="AS123" s="450" t="str">
        <f t="shared" si="34"/>
        <v/>
      </c>
      <c r="AT123" s="450" t="str">
        <f t="shared" si="35"/>
        <v/>
      </c>
      <c r="AU123" s="269" t="str">
        <f t="shared" si="36"/>
        <v/>
      </c>
    </row>
    <row r="124" spans="1:47" ht="15.75" customHeight="1">
      <c r="A124" s="175">
        <f t="shared" si="19"/>
        <v>2023</v>
      </c>
      <c r="B124" s="454" t="str">
        <f t="shared" si="20"/>
        <v>14</v>
      </c>
      <c r="C124" s="454" t="str">
        <f t="array" ref="C124">_xlfn.IFS(_xlfn.NUMBERVALUE(B124)&lt;=13,"Q1",AND(_xlfn.NUMBERVALUE(B124)&gt;13,_xlfn.NUMBERVALUE(B124)&lt;=26),"Q2", AND(_xlfn.NUMBERVALUE(B124)&gt;26,_xlfn.NUMBERVALUE(B124)&lt;=39),"Q3",_xlfn.NUMBERVALUE(B124)&gt;39,"Q4")</f>
        <v>Q2</v>
      </c>
      <c r="D124" s="448">
        <f t="shared" si="37"/>
        <v>44681</v>
      </c>
      <c r="E124" s="448">
        <f t="shared" si="21"/>
        <v>44687</v>
      </c>
      <c r="F124" s="97">
        <v>202214</v>
      </c>
      <c r="G124" s="241"/>
      <c r="H124" s="467"/>
      <c r="I124" s="521">
        <f t="shared" si="38"/>
        <v>0</v>
      </c>
      <c r="J124" s="467"/>
      <c r="K124" s="242"/>
      <c r="L124" s="522"/>
      <c r="M124" s="522"/>
      <c r="N124" s="469">
        <f t="shared" si="39"/>
        <v>0</v>
      </c>
      <c r="O124" s="522"/>
      <c r="P124" s="522"/>
      <c r="Q124" s="103"/>
      <c r="R124" s="429"/>
      <c r="S124" s="521">
        <f t="shared" si="40"/>
        <v>0</v>
      </c>
      <c r="T124" s="467"/>
      <c r="U124" s="242"/>
      <c r="V124" s="103"/>
      <c r="W124" s="429"/>
      <c r="X124" s="449">
        <f t="shared" si="41"/>
        <v>0</v>
      </c>
      <c r="Y124" s="429"/>
      <c r="Z124" s="532"/>
      <c r="AA124" s="471"/>
      <c r="AB124" s="471"/>
      <c r="AC124" s="449">
        <f t="shared" si="42"/>
        <v>0</v>
      </c>
      <c r="AD124" s="429"/>
      <c r="AE124" s="429"/>
      <c r="AF124" s="126"/>
      <c r="AG124" s="265" t="str">
        <f t="shared" si="22"/>
        <v/>
      </c>
      <c r="AH124" s="515" t="str">
        <f t="shared" si="23"/>
        <v/>
      </c>
      <c r="AI124" s="515" t="str">
        <f t="shared" si="24"/>
        <v/>
      </c>
      <c r="AJ124" s="515" t="str">
        <f t="shared" si="25"/>
        <v/>
      </c>
      <c r="AK124" s="187" t="str">
        <f t="shared" si="26"/>
        <v/>
      </c>
      <c r="AL124" s="266" t="str">
        <f t="shared" si="27"/>
        <v/>
      </c>
      <c r="AM124" s="516" t="str">
        <f t="shared" si="28"/>
        <v/>
      </c>
      <c r="AN124" s="516" t="str">
        <f t="shared" si="29"/>
        <v/>
      </c>
      <c r="AO124" s="516" t="str">
        <f t="shared" si="30"/>
        <v/>
      </c>
      <c r="AP124" s="267" t="str">
        <f t="shared" si="31"/>
        <v/>
      </c>
      <c r="AQ124" s="268" t="str">
        <f t="shared" si="32"/>
        <v/>
      </c>
      <c r="AR124" s="450" t="str">
        <f t="shared" si="33"/>
        <v/>
      </c>
      <c r="AS124" s="450" t="str">
        <f t="shared" si="34"/>
        <v/>
      </c>
      <c r="AT124" s="450" t="str">
        <f t="shared" si="35"/>
        <v/>
      </c>
      <c r="AU124" s="269" t="str">
        <f t="shared" si="36"/>
        <v/>
      </c>
    </row>
    <row r="125" spans="1:47" ht="15.75" customHeight="1">
      <c r="A125" s="175">
        <f t="shared" si="19"/>
        <v>2023</v>
      </c>
      <c r="B125" s="454" t="str">
        <f t="shared" si="20"/>
        <v>15</v>
      </c>
      <c r="C125" s="454" t="str">
        <f t="array" ref="C125">_xlfn.IFS(_xlfn.NUMBERVALUE(B125)&lt;=13,"Q1",AND(_xlfn.NUMBERVALUE(B125)&gt;13,_xlfn.NUMBERVALUE(B125)&lt;=26),"Q2", AND(_xlfn.NUMBERVALUE(B125)&gt;26,_xlfn.NUMBERVALUE(B125)&lt;=39),"Q3",_xlfn.NUMBERVALUE(B125)&gt;39,"Q4")</f>
        <v>Q2</v>
      </c>
      <c r="D125" s="448">
        <f t="shared" si="37"/>
        <v>44688</v>
      </c>
      <c r="E125" s="448">
        <f t="shared" si="21"/>
        <v>44694</v>
      </c>
      <c r="F125" s="97">
        <v>202215</v>
      </c>
      <c r="G125" s="241"/>
      <c r="H125" s="467"/>
      <c r="I125" s="521">
        <f t="shared" si="38"/>
        <v>0</v>
      </c>
      <c r="J125" s="467"/>
      <c r="K125" s="242"/>
      <c r="L125" s="522"/>
      <c r="M125" s="522"/>
      <c r="N125" s="469">
        <f t="shared" si="39"/>
        <v>0</v>
      </c>
      <c r="O125" s="522"/>
      <c r="P125" s="522"/>
      <c r="Q125" s="103"/>
      <c r="R125" s="429"/>
      <c r="S125" s="521">
        <f t="shared" si="40"/>
        <v>0</v>
      </c>
      <c r="T125" s="467"/>
      <c r="U125" s="242"/>
      <c r="V125" s="103"/>
      <c r="W125" s="429"/>
      <c r="X125" s="449">
        <f t="shared" si="41"/>
        <v>0</v>
      </c>
      <c r="Y125" s="429"/>
      <c r="Z125" s="532"/>
      <c r="AA125" s="471"/>
      <c r="AB125" s="471"/>
      <c r="AC125" s="449">
        <f t="shared" si="42"/>
        <v>0</v>
      </c>
      <c r="AD125" s="429"/>
      <c r="AE125" s="429"/>
      <c r="AF125" s="126"/>
      <c r="AG125" s="265" t="str">
        <f t="shared" si="22"/>
        <v/>
      </c>
      <c r="AH125" s="515" t="str">
        <f t="shared" si="23"/>
        <v/>
      </c>
      <c r="AI125" s="515" t="str">
        <f t="shared" si="24"/>
        <v/>
      </c>
      <c r="AJ125" s="515" t="str">
        <f t="shared" si="25"/>
        <v/>
      </c>
      <c r="AK125" s="187" t="str">
        <f t="shared" si="26"/>
        <v/>
      </c>
      <c r="AL125" s="266" t="str">
        <f t="shared" si="27"/>
        <v/>
      </c>
      <c r="AM125" s="516" t="str">
        <f t="shared" si="28"/>
        <v/>
      </c>
      <c r="AN125" s="516" t="str">
        <f t="shared" si="29"/>
        <v/>
      </c>
      <c r="AO125" s="516" t="str">
        <f t="shared" si="30"/>
        <v/>
      </c>
      <c r="AP125" s="267" t="str">
        <f t="shared" si="31"/>
        <v/>
      </c>
      <c r="AQ125" s="268" t="str">
        <f t="shared" si="32"/>
        <v/>
      </c>
      <c r="AR125" s="450" t="str">
        <f t="shared" si="33"/>
        <v/>
      </c>
      <c r="AS125" s="450" t="str">
        <f t="shared" si="34"/>
        <v/>
      </c>
      <c r="AT125" s="450" t="str">
        <f t="shared" si="35"/>
        <v/>
      </c>
      <c r="AU125" s="269" t="str">
        <f t="shared" si="36"/>
        <v/>
      </c>
    </row>
    <row r="126" spans="1:47" ht="15.75" customHeight="1">
      <c r="A126" s="175">
        <f t="shared" si="19"/>
        <v>2023</v>
      </c>
      <c r="B126" s="454" t="str">
        <f t="shared" si="20"/>
        <v>16</v>
      </c>
      <c r="C126" s="454" t="str">
        <f t="array" ref="C126">_xlfn.IFS(_xlfn.NUMBERVALUE(B126)&lt;=13,"Q1",AND(_xlfn.NUMBERVALUE(B126)&gt;13,_xlfn.NUMBERVALUE(B126)&lt;=26),"Q2", AND(_xlfn.NUMBERVALUE(B126)&gt;26,_xlfn.NUMBERVALUE(B126)&lt;=39),"Q3",_xlfn.NUMBERVALUE(B126)&gt;39,"Q4")</f>
        <v>Q2</v>
      </c>
      <c r="D126" s="448">
        <f t="shared" si="37"/>
        <v>44695</v>
      </c>
      <c r="E126" s="448">
        <f t="shared" si="21"/>
        <v>44701</v>
      </c>
      <c r="F126" s="97">
        <v>202216</v>
      </c>
      <c r="G126" s="241"/>
      <c r="H126" s="467"/>
      <c r="I126" s="521">
        <f t="shared" si="38"/>
        <v>0</v>
      </c>
      <c r="J126" s="467"/>
      <c r="K126" s="242"/>
      <c r="L126" s="522"/>
      <c r="M126" s="522"/>
      <c r="N126" s="469">
        <f t="shared" si="39"/>
        <v>0</v>
      </c>
      <c r="O126" s="522"/>
      <c r="P126" s="522"/>
      <c r="Q126" s="103"/>
      <c r="R126" s="429"/>
      <c r="S126" s="521">
        <f t="shared" si="40"/>
        <v>0</v>
      </c>
      <c r="T126" s="467"/>
      <c r="U126" s="242"/>
      <c r="V126" s="103"/>
      <c r="W126" s="429"/>
      <c r="X126" s="449">
        <f t="shared" si="41"/>
        <v>0</v>
      </c>
      <c r="Y126" s="429"/>
      <c r="Z126" s="532"/>
      <c r="AA126" s="471"/>
      <c r="AB126" s="471"/>
      <c r="AC126" s="449">
        <f t="shared" si="42"/>
        <v>0</v>
      </c>
      <c r="AD126" s="429"/>
      <c r="AE126" s="429"/>
      <c r="AF126" s="126"/>
      <c r="AG126" s="265" t="str">
        <f t="shared" si="22"/>
        <v/>
      </c>
      <c r="AH126" s="515" t="str">
        <f t="shared" si="23"/>
        <v/>
      </c>
      <c r="AI126" s="515" t="str">
        <f t="shared" si="24"/>
        <v/>
      </c>
      <c r="AJ126" s="515" t="str">
        <f t="shared" si="25"/>
        <v/>
      </c>
      <c r="AK126" s="187" t="str">
        <f t="shared" si="26"/>
        <v/>
      </c>
      <c r="AL126" s="266" t="str">
        <f t="shared" si="27"/>
        <v/>
      </c>
      <c r="AM126" s="516" t="str">
        <f t="shared" si="28"/>
        <v/>
      </c>
      <c r="AN126" s="516" t="str">
        <f t="shared" si="29"/>
        <v/>
      </c>
      <c r="AO126" s="516" t="str">
        <f t="shared" si="30"/>
        <v/>
      </c>
      <c r="AP126" s="267" t="str">
        <f t="shared" si="31"/>
        <v/>
      </c>
      <c r="AQ126" s="268" t="str">
        <f t="shared" si="32"/>
        <v/>
      </c>
      <c r="AR126" s="450" t="str">
        <f t="shared" si="33"/>
        <v/>
      </c>
      <c r="AS126" s="450" t="str">
        <f t="shared" si="34"/>
        <v/>
      </c>
      <c r="AT126" s="450" t="str">
        <f t="shared" si="35"/>
        <v/>
      </c>
      <c r="AU126" s="269" t="str">
        <f t="shared" si="36"/>
        <v/>
      </c>
    </row>
    <row r="127" spans="1:47" ht="15.75" customHeight="1">
      <c r="A127" s="175">
        <f t="shared" si="19"/>
        <v>2023</v>
      </c>
      <c r="B127" s="454" t="str">
        <f t="shared" si="20"/>
        <v>17</v>
      </c>
      <c r="C127" s="454" t="str">
        <f t="array" ref="C127">_xlfn.IFS(_xlfn.NUMBERVALUE(B127)&lt;=13,"Q1",AND(_xlfn.NUMBERVALUE(B127)&gt;13,_xlfn.NUMBERVALUE(B127)&lt;=26),"Q2", AND(_xlfn.NUMBERVALUE(B127)&gt;26,_xlfn.NUMBERVALUE(B127)&lt;=39),"Q3",_xlfn.NUMBERVALUE(B127)&gt;39,"Q4")</f>
        <v>Q2</v>
      </c>
      <c r="D127" s="448">
        <f t="shared" si="37"/>
        <v>44702</v>
      </c>
      <c r="E127" s="448">
        <f t="shared" si="21"/>
        <v>44708</v>
      </c>
      <c r="F127" s="97">
        <v>202217</v>
      </c>
      <c r="G127" s="241"/>
      <c r="H127" s="467"/>
      <c r="I127" s="521">
        <f t="shared" si="38"/>
        <v>0</v>
      </c>
      <c r="J127" s="467"/>
      <c r="K127" s="242"/>
      <c r="L127" s="522"/>
      <c r="M127" s="522"/>
      <c r="N127" s="469">
        <f t="shared" si="39"/>
        <v>0</v>
      </c>
      <c r="O127" s="522"/>
      <c r="P127" s="522"/>
      <c r="Q127" s="103"/>
      <c r="R127" s="429"/>
      <c r="S127" s="521">
        <f t="shared" si="40"/>
        <v>0</v>
      </c>
      <c r="T127" s="467"/>
      <c r="U127" s="242"/>
      <c r="V127" s="103"/>
      <c r="W127" s="429"/>
      <c r="X127" s="449">
        <f t="shared" si="41"/>
        <v>0</v>
      </c>
      <c r="Y127" s="429"/>
      <c r="Z127" s="532"/>
      <c r="AA127" s="471"/>
      <c r="AB127" s="471"/>
      <c r="AC127" s="449">
        <f t="shared" si="42"/>
        <v>0</v>
      </c>
      <c r="AD127" s="429"/>
      <c r="AE127" s="429"/>
      <c r="AF127" s="126"/>
      <c r="AG127" s="265" t="str">
        <f t="shared" si="22"/>
        <v/>
      </c>
      <c r="AH127" s="515" t="str">
        <f t="shared" si="23"/>
        <v/>
      </c>
      <c r="AI127" s="515" t="str">
        <f t="shared" si="24"/>
        <v/>
      </c>
      <c r="AJ127" s="515" t="str">
        <f t="shared" si="25"/>
        <v/>
      </c>
      <c r="AK127" s="187" t="str">
        <f t="shared" si="26"/>
        <v/>
      </c>
      <c r="AL127" s="266" t="str">
        <f t="shared" si="27"/>
        <v/>
      </c>
      <c r="AM127" s="516" t="str">
        <f t="shared" si="28"/>
        <v/>
      </c>
      <c r="AN127" s="516" t="str">
        <f t="shared" si="29"/>
        <v/>
      </c>
      <c r="AO127" s="516" t="str">
        <f t="shared" si="30"/>
        <v/>
      </c>
      <c r="AP127" s="267" t="str">
        <f t="shared" si="31"/>
        <v/>
      </c>
      <c r="AQ127" s="268" t="str">
        <f t="shared" si="32"/>
        <v/>
      </c>
      <c r="AR127" s="450" t="str">
        <f t="shared" si="33"/>
        <v/>
      </c>
      <c r="AS127" s="450" t="str">
        <f t="shared" si="34"/>
        <v/>
      </c>
      <c r="AT127" s="450" t="str">
        <f t="shared" si="35"/>
        <v/>
      </c>
      <c r="AU127" s="269" t="str">
        <f t="shared" si="36"/>
        <v/>
      </c>
    </row>
    <row r="128" spans="1:47" ht="15.75" customHeight="1">
      <c r="A128" s="175">
        <f t="shared" si="19"/>
        <v>2023</v>
      </c>
      <c r="B128" s="454" t="str">
        <f t="shared" si="20"/>
        <v>18</v>
      </c>
      <c r="C128" s="454" t="str">
        <f t="array" ref="C128">_xlfn.IFS(_xlfn.NUMBERVALUE(B128)&lt;=13,"Q1",AND(_xlfn.NUMBERVALUE(B128)&gt;13,_xlfn.NUMBERVALUE(B128)&lt;=26),"Q2", AND(_xlfn.NUMBERVALUE(B128)&gt;26,_xlfn.NUMBERVALUE(B128)&lt;=39),"Q3",_xlfn.NUMBERVALUE(B128)&gt;39,"Q4")</f>
        <v>Q2</v>
      </c>
      <c r="D128" s="448">
        <f t="shared" si="37"/>
        <v>44709</v>
      </c>
      <c r="E128" s="448">
        <f t="shared" si="21"/>
        <v>44715</v>
      </c>
      <c r="F128" s="97">
        <v>202218</v>
      </c>
      <c r="G128" s="241"/>
      <c r="H128" s="467"/>
      <c r="I128" s="521">
        <f t="shared" si="38"/>
        <v>0</v>
      </c>
      <c r="J128" s="467"/>
      <c r="K128" s="242"/>
      <c r="L128" s="522"/>
      <c r="M128" s="522"/>
      <c r="N128" s="469">
        <f t="shared" si="39"/>
        <v>0</v>
      </c>
      <c r="O128" s="522"/>
      <c r="P128" s="522"/>
      <c r="Q128" s="103"/>
      <c r="R128" s="429"/>
      <c r="S128" s="521">
        <v>90815158</v>
      </c>
      <c r="T128" s="467"/>
      <c r="U128" s="242"/>
      <c r="V128" s="103"/>
      <c r="W128" s="429"/>
      <c r="X128" s="449">
        <f t="shared" si="41"/>
        <v>0</v>
      </c>
      <c r="Y128" s="429"/>
      <c r="Z128" s="532"/>
      <c r="AA128" s="471"/>
      <c r="AB128" s="471"/>
      <c r="AC128" s="449">
        <f t="shared" si="42"/>
        <v>0</v>
      </c>
      <c r="AD128" s="429"/>
      <c r="AE128" s="429"/>
      <c r="AF128" s="126"/>
      <c r="AG128" s="265" t="str">
        <f t="shared" si="22"/>
        <v/>
      </c>
      <c r="AH128" s="515" t="str">
        <f t="shared" si="23"/>
        <v/>
      </c>
      <c r="AI128" s="515">
        <f t="shared" si="24"/>
        <v>0</v>
      </c>
      <c r="AJ128" s="515" t="str">
        <f t="shared" si="25"/>
        <v/>
      </c>
      <c r="AK128" s="187" t="str">
        <f t="shared" si="26"/>
        <v/>
      </c>
      <c r="AL128" s="266" t="str">
        <f t="shared" si="27"/>
        <v/>
      </c>
      <c r="AM128" s="516" t="str">
        <f t="shared" si="28"/>
        <v/>
      </c>
      <c r="AN128" s="516" t="str">
        <f t="shared" si="29"/>
        <v/>
      </c>
      <c r="AO128" s="516" t="str">
        <f t="shared" si="30"/>
        <v/>
      </c>
      <c r="AP128" s="267" t="str">
        <f t="shared" si="31"/>
        <v/>
      </c>
      <c r="AQ128" s="268" t="str">
        <f t="shared" si="32"/>
        <v/>
      </c>
      <c r="AR128" s="450" t="str">
        <f t="shared" si="33"/>
        <v/>
      </c>
      <c r="AS128" s="450" t="str">
        <f t="shared" si="34"/>
        <v/>
      </c>
      <c r="AT128" s="450" t="str">
        <f t="shared" si="35"/>
        <v/>
      </c>
      <c r="AU128" s="269" t="str">
        <f t="shared" si="36"/>
        <v/>
      </c>
    </row>
    <row r="129" spans="1:47" ht="15.75" customHeight="1">
      <c r="A129" s="175">
        <f t="shared" si="19"/>
        <v>2023</v>
      </c>
      <c r="B129" s="454" t="str">
        <f t="shared" si="20"/>
        <v>19</v>
      </c>
      <c r="C129" s="454" t="str">
        <f t="array" ref="C129">_xlfn.IFS(_xlfn.NUMBERVALUE(B129)&lt;=13,"Q1",AND(_xlfn.NUMBERVALUE(B129)&gt;13,_xlfn.NUMBERVALUE(B129)&lt;=26),"Q2", AND(_xlfn.NUMBERVALUE(B129)&gt;26,_xlfn.NUMBERVALUE(B129)&lt;=39),"Q3",_xlfn.NUMBERVALUE(B129)&gt;39,"Q4")</f>
        <v>Q2</v>
      </c>
      <c r="D129" s="448">
        <f t="shared" si="37"/>
        <v>44716</v>
      </c>
      <c r="E129" s="448">
        <f t="shared" si="21"/>
        <v>44722</v>
      </c>
      <c r="F129" s="97">
        <v>202219</v>
      </c>
      <c r="G129" s="241"/>
      <c r="H129" s="467"/>
      <c r="I129" s="521">
        <f t="shared" si="38"/>
        <v>0</v>
      </c>
      <c r="J129" s="467"/>
      <c r="K129" s="242"/>
      <c r="L129" s="522"/>
      <c r="M129" s="522"/>
      <c r="N129" s="469">
        <f t="shared" si="39"/>
        <v>0</v>
      </c>
      <c r="O129" s="522"/>
      <c r="P129" s="522"/>
      <c r="Q129" s="103"/>
      <c r="R129" s="429"/>
      <c r="S129" s="521">
        <f t="shared" ref="S129:S160" si="43">SUM(Q129:R129)</f>
        <v>0</v>
      </c>
      <c r="T129" s="467"/>
      <c r="U129" s="242"/>
      <c r="V129" s="103"/>
      <c r="W129" s="429"/>
      <c r="X129" s="449">
        <f t="shared" si="41"/>
        <v>0</v>
      </c>
      <c r="Y129" s="429"/>
      <c r="Z129" s="532"/>
      <c r="AA129" s="471"/>
      <c r="AB129" s="471"/>
      <c r="AC129" s="449">
        <f t="shared" si="42"/>
        <v>0</v>
      </c>
      <c r="AD129" s="429"/>
      <c r="AE129" s="429"/>
      <c r="AF129" s="126"/>
      <c r="AG129" s="265" t="str">
        <f t="shared" si="22"/>
        <v/>
      </c>
      <c r="AH129" s="515" t="str">
        <f t="shared" si="23"/>
        <v/>
      </c>
      <c r="AI129" s="515" t="str">
        <f t="shared" si="24"/>
        <v/>
      </c>
      <c r="AJ129" s="515" t="str">
        <f t="shared" si="25"/>
        <v/>
      </c>
      <c r="AK129" s="187" t="str">
        <f t="shared" si="26"/>
        <v/>
      </c>
      <c r="AL129" s="266" t="str">
        <f t="shared" si="27"/>
        <v/>
      </c>
      <c r="AM129" s="516" t="str">
        <f t="shared" si="28"/>
        <v/>
      </c>
      <c r="AN129" s="516" t="str">
        <f t="shared" si="29"/>
        <v/>
      </c>
      <c r="AO129" s="516" t="str">
        <f t="shared" si="30"/>
        <v/>
      </c>
      <c r="AP129" s="267" t="str">
        <f t="shared" si="31"/>
        <v/>
      </c>
      <c r="AQ129" s="268" t="str">
        <f t="shared" si="32"/>
        <v/>
      </c>
      <c r="AR129" s="450" t="str">
        <f t="shared" si="33"/>
        <v/>
      </c>
      <c r="AS129" s="450" t="str">
        <f t="shared" si="34"/>
        <v/>
      </c>
      <c r="AT129" s="450" t="str">
        <f t="shared" si="35"/>
        <v/>
      </c>
      <c r="AU129" s="269" t="str">
        <f t="shared" si="36"/>
        <v/>
      </c>
    </row>
    <row r="130" spans="1:47" ht="15.75" customHeight="1">
      <c r="A130" s="175">
        <f t="shared" si="19"/>
        <v>2023</v>
      </c>
      <c r="B130" s="454" t="str">
        <f t="shared" si="20"/>
        <v>20</v>
      </c>
      <c r="C130" s="454" t="str">
        <f t="array" ref="C130">_xlfn.IFS(_xlfn.NUMBERVALUE(B130)&lt;=13,"Q1",AND(_xlfn.NUMBERVALUE(B130)&gt;13,_xlfn.NUMBERVALUE(B130)&lt;=26),"Q2", AND(_xlfn.NUMBERVALUE(B130)&gt;26,_xlfn.NUMBERVALUE(B130)&lt;=39),"Q3",_xlfn.NUMBERVALUE(B130)&gt;39,"Q4")</f>
        <v>Q2</v>
      </c>
      <c r="D130" s="448">
        <f t="shared" si="37"/>
        <v>44723</v>
      </c>
      <c r="E130" s="448">
        <f t="shared" si="21"/>
        <v>44729</v>
      </c>
      <c r="F130" s="97">
        <v>202220</v>
      </c>
      <c r="G130" s="241"/>
      <c r="H130" s="467"/>
      <c r="I130" s="521">
        <f t="shared" si="38"/>
        <v>0</v>
      </c>
      <c r="J130" s="467"/>
      <c r="K130" s="242"/>
      <c r="L130" s="522"/>
      <c r="M130" s="522"/>
      <c r="N130" s="469">
        <f t="shared" si="39"/>
        <v>0</v>
      </c>
      <c r="O130" s="522"/>
      <c r="P130" s="522"/>
      <c r="Q130" s="103"/>
      <c r="R130" s="429"/>
      <c r="S130" s="521">
        <f t="shared" si="43"/>
        <v>0</v>
      </c>
      <c r="T130" s="467"/>
      <c r="U130" s="242"/>
      <c r="V130" s="103"/>
      <c r="W130" s="429"/>
      <c r="X130" s="449">
        <f t="shared" si="41"/>
        <v>0</v>
      </c>
      <c r="Y130" s="429"/>
      <c r="Z130" s="532"/>
      <c r="AA130" s="471"/>
      <c r="AB130" s="471"/>
      <c r="AC130" s="449">
        <f t="shared" si="42"/>
        <v>0</v>
      </c>
      <c r="AD130" s="429"/>
      <c r="AE130" s="429"/>
      <c r="AF130" s="126"/>
      <c r="AG130" s="265" t="str">
        <f t="shared" si="22"/>
        <v/>
      </c>
      <c r="AH130" s="515" t="str">
        <f t="shared" si="23"/>
        <v/>
      </c>
      <c r="AI130" s="515" t="str">
        <f t="shared" si="24"/>
        <v/>
      </c>
      <c r="AJ130" s="515" t="str">
        <f t="shared" si="25"/>
        <v/>
      </c>
      <c r="AK130" s="187" t="str">
        <f t="shared" si="26"/>
        <v/>
      </c>
      <c r="AL130" s="266" t="str">
        <f t="shared" si="27"/>
        <v/>
      </c>
      <c r="AM130" s="516" t="str">
        <f t="shared" si="28"/>
        <v/>
      </c>
      <c r="AN130" s="516" t="str">
        <f t="shared" si="29"/>
        <v/>
      </c>
      <c r="AO130" s="516" t="str">
        <f t="shared" si="30"/>
        <v/>
      </c>
      <c r="AP130" s="267" t="str">
        <f t="shared" si="31"/>
        <v/>
      </c>
      <c r="AQ130" s="268" t="str">
        <f t="shared" si="32"/>
        <v/>
      </c>
      <c r="AR130" s="450" t="str">
        <f t="shared" si="33"/>
        <v/>
      </c>
      <c r="AS130" s="450" t="str">
        <f t="shared" si="34"/>
        <v/>
      </c>
      <c r="AT130" s="450" t="str">
        <f t="shared" si="35"/>
        <v/>
      </c>
      <c r="AU130" s="269" t="str">
        <f t="shared" si="36"/>
        <v/>
      </c>
    </row>
    <row r="131" spans="1:47" ht="15.75" customHeight="1">
      <c r="A131" s="175">
        <f t="shared" si="19"/>
        <v>2023</v>
      </c>
      <c r="B131" s="454" t="str">
        <f t="shared" si="20"/>
        <v>21</v>
      </c>
      <c r="C131" s="454" t="str">
        <f t="array" ref="C131">_xlfn.IFS(_xlfn.NUMBERVALUE(B131)&lt;=13,"Q1",AND(_xlfn.NUMBERVALUE(B131)&gt;13,_xlfn.NUMBERVALUE(B131)&lt;=26),"Q2", AND(_xlfn.NUMBERVALUE(B131)&gt;26,_xlfn.NUMBERVALUE(B131)&lt;=39),"Q3",_xlfn.NUMBERVALUE(B131)&gt;39,"Q4")</f>
        <v>Q2</v>
      </c>
      <c r="D131" s="448">
        <f t="shared" si="37"/>
        <v>44730</v>
      </c>
      <c r="E131" s="448">
        <f t="shared" si="21"/>
        <v>44736</v>
      </c>
      <c r="F131" s="97">
        <v>202221</v>
      </c>
      <c r="G131" s="241"/>
      <c r="H131" s="467"/>
      <c r="I131" s="521">
        <f t="shared" si="38"/>
        <v>0</v>
      </c>
      <c r="J131" s="467"/>
      <c r="K131" s="242"/>
      <c r="L131" s="522"/>
      <c r="M131" s="522"/>
      <c r="N131" s="469">
        <f t="shared" si="39"/>
        <v>0</v>
      </c>
      <c r="O131" s="522"/>
      <c r="P131" s="522"/>
      <c r="Q131" s="103"/>
      <c r="R131" s="429"/>
      <c r="S131" s="521">
        <f t="shared" si="43"/>
        <v>0</v>
      </c>
      <c r="T131" s="467"/>
      <c r="U131" s="242"/>
      <c r="V131" s="103"/>
      <c r="W131" s="429"/>
      <c r="X131" s="449">
        <f t="shared" si="41"/>
        <v>0</v>
      </c>
      <c r="Y131" s="429"/>
      <c r="Z131" s="532"/>
      <c r="AA131" s="471"/>
      <c r="AB131" s="471"/>
      <c r="AC131" s="449">
        <f t="shared" si="42"/>
        <v>0</v>
      </c>
      <c r="AD131" s="429"/>
      <c r="AE131" s="429"/>
      <c r="AF131" s="126"/>
      <c r="AG131" s="265" t="str">
        <f t="shared" si="22"/>
        <v/>
      </c>
      <c r="AH131" s="515" t="str">
        <f t="shared" si="23"/>
        <v/>
      </c>
      <c r="AI131" s="515" t="str">
        <f t="shared" si="24"/>
        <v/>
      </c>
      <c r="AJ131" s="515" t="str">
        <f t="shared" si="25"/>
        <v/>
      </c>
      <c r="AK131" s="187" t="str">
        <f t="shared" si="26"/>
        <v/>
      </c>
      <c r="AL131" s="266" t="str">
        <f t="shared" si="27"/>
        <v/>
      </c>
      <c r="AM131" s="516" t="str">
        <f t="shared" si="28"/>
        <v/>
      </c>
      <c r="AN131" s="516" t="str">
        <f t="shared" si="29"/>
        <v/>
      </c>
      <c r="AO131" s="516" t="str">
        <f t="shared" si="30"/>
        <v/>
      </c>
      <c r="AP131" s="267" t="str">
        <f t="shared" si="31"/>
        <v/>
      </c>
      <c r="AQ131" s="268" t="str">
        <f t="shared" si="32"/>
        <v/>
      </c>
      <c r="AR131" s="450" t="str">
        <f t="shared" si="33"/>
        <v/>
      </c>
      <c r="AS131" s="450" t="str">
        <f t="shared" si="34"/>
        <v/>
      </c>
      <c r="AT131" s="450" t="str">
        <f t="shared" si="35"/>
        <v/>
      </c>
      <c r="AU131" s="269" t="str">
        <f t="shared" si="36"/>
        <v/>
      </c>
    </row>
    <row r="132" spans="1:47" ht="15.75" customHeight="1">
      <c r="A132" s="175">
        <f t="shared" si="19"/>
        <v>2023</v>
      </c>
      <c r="B132" s="454" t="str">
        <f t="shared" si="20"/>
        <v>22</v>
      </c>
      <c r="C132" s="454" t="str">
        <f t="array" ref="C132">_xlfn.IFS(_xlfn.NUMBERVALUE(B132)&lt;=13,"Q1",AND(_xlfn.NUMBERVALUE(B132)&gt;13,_xlfn.NUMBERVALUE(B132)&lt;=26),"Q2", AND(_xlfn.NUMBERVALUE(B132)&gt;26,_xlfn.NUMBERVALUE(B132)&lt;=39),"Q3",_xlfn.NUMBERVALUE(B132)&gt;39,"Q4")</f>
        <v>Q2</v>
      </c>
      <c r="D132" s="448">
        <f t="shared" si="37"/>
        <v>44737</v>
      </c>
      <c r="E132" s="448">
        <f t="shared" si="21"/>
        <v>44743</v>
      </c>
      <c r="F132" s="97">
        <v>202222</v>
      </c>
      <c r="G132" s="241"/>
      <c r="H132" s="467"/>
      <c r="I132" s="521">
        <f t="shared" si="38"/>
        <v>0</v>
      </c>
      <c r="J132" s="467"/>
      <c r="K132" s="242"/>
      <c r="L132" s="522"/>
      <c r="M132" s="522"/>
      <c r="N132" s="469">
        <f t="shared" si="39"/>
        <v>0</v>
      </c>
      <c r="O132" s="522"/>
      <c r="P132" s="522"/>
      <c r="Q132" s="103"/>
      <c r="R132" s="429"/>
      <c r="S132" s="521">
        <f t="shared" si="43"/>
        <v>0</v>
      </c>
      <c r="T132" s="467"/>
      <c r="U132" s="242"/>
      <c r="V132" s="103"/>
      <c r="W132" s="429"/>
      <c r="X132" s="449">
        <f t="shared" si="41"/>
        <v>0</v>
      </c>
      <c r="Y132" s="429"/>
      <c r="Z132" s="532"/>
      <c r="AA132" s="471"/>
      <c r="AB132" s="471"/>
      <c r="AC132" s="449">
        <f t="shared" si="42"/>
        <v>0</v>
      </c>
      <c r="AD132" s="429"/>
      <c r="AE132" s="429"/>
      <c r="AF132" s="126"/>
      <c r="AG132" s="265" t="str">
        <f t="shared" si="22"/>
        <v/>
      </c>
      <c r="AH132" s="515" t="str">
        <f t="shared" si="23"/>
        <v/>
      </c>
      <c r="AI132" s="515" t="str">
        <f t="shared" si="24"/>
        <v/>
      </c>
      <c r="AJ132" s="515" t="str">
        <f t="shared" si="25"/>
        <v/>
      </c>
      <c r="AK132" s="187" t="str">
        <f t="shared" si="26"/>
        <v/>
      </c>
      <c r="AL132" s="266" t="str">
        <f t="shared" si="27"/>
        <v/>
      </c>
      <c r="AM132" s="516" t="str">
        <f t="shared" si="28"/>
        <v/>
      </c>
      <c r="AN132" s="516" t="str">
        <f t="shared" si="29"/>
        <v/>
      </c>
      <c r="AO132" s="516" t="str">
        <f t="shared" si="30"/>
        <v/>
      </c>
      <c r="AP132" s="267" t="str">
        <f t="shared" si="31"/>
        <v/>
      </c>
      <c r="AQ132" s="268" t="str">
        <f t="shared" si="32"/>
        <v/>
      </c>
      <c r="AR132" s="450" t="str">
        <f t="shared" si="33"/>
        <v/>
      </c>
      <c r="AS132" s="450" t="str">
        <f t="shared" si="34"/>
        <v/>
      </c>
      <c r="AT132" s="450" t="str">
        <f t="shared" si="35"/>
        <v/>
      </c>
      <c r="AU132" s="269" t="str">
        <f t="shared" si="36"/>
        <v/>
      </c>
    </row>
    <row r="133" spans="1:47" s="244" customFormat="1" ht="15.75" customHeight="1">
      <c r="A133" s="175">
        <f t="shared" si="19"/>
        <v>2023</v>
      </c>
      <c r="B133" s="454" t="str">
        <f t="shared" si="20"/>
        <v>23</v>
      </c>
      <c r="C133" s="454" t="str">
        <f t="array" ref="C133">_xlfn.IFS(_xlfn.NUMBERVALUE(B133)&lt;=13,"Q1",AND(_xlfn.NUMBERVALUE(B133)&gt;13,_xlfn.NUMBERVALUE(B133)&lt;=26),"Q2", AND(_xlfn.NUMBERVALUE(B133)&gt;26,_xlfn.NUMBERVALUE(B133)&lt;=39),"Q3",_xlfn.NUMBERVALUE(B133)&gt;39,"Q4")</f>
        <v>Q2</v>
      </c>
      <c r="D133" s="448">
        <f t="shared" si="37"/>
        <v>44744</v>
      </c>
      <c r="E133" s="448">
        <f t="shared" si="21"/>
        <v>44750</v>
      </c>
      <c r="F133" s="97">
        <v>202223</v>
      </c>
      <c r="G133" s="241"/>
      <c r="H133" s="467"/>
      <c r="I133" s="521">
        <f t="shared" si="38"/>
        <v>0</v>
      </c>
      <c r="J133" s="467"/>
      <c r="K133" s="242"/>
      <c r="L133" s="522"/>
      <c r="M133" s="522"/>
      <c r="N133" s="469">
        <f t="shared" si="39"/>
        <v>0</v>
      </c>
      <c r="O133" s="522"/>
      <c r="P133" s="522"/>
      <c r="Q133" s="103"/>
      <c r="R133" s="429"/>
      <c r="S133" s="521">
        <f t="shared" si="43"/>
        <v>0</v>
      </c>
      <c r="T133" s="467"/>
      <c r="U133" s="242"/>
      <c r="V133" s="103"/>
      <c r="W133" s="429"/>
      <c r="X133" s="449">
        <f t="shared" si="41"/>
        <v>0</v>
      </c>
      <c r="Y133" s="429"/>
      <c r="Z133" s="532"/>
      <c r="AA133" s="471"/>
      <c r="AB133" s="471"/>
      <c r="AC133" s="449">
        <f t="shared" si="42"/>
        <v>0</v>
      </c>
      <c r="AD133" s="429"/>
      <c r="AE133" s="429"/>
      <c r="AF133" s="126"/>
      <c r="AG133" s="265" t="str">
        <f t="shared" si="22"/>
        <v/>
      </c>
      <c r="AH133" s="515" t="str">
        <f t="shared" si="23"/>
        <v/>
      </c>
      <c r="AI133" s="515" t="str">
        <f t="shared" si="24"/>
        <v/>
      </c>
      <c r="AJ133" s="515" t="str">
        <f t="shared" si="25"/>
        <v/>
      </c>
      <c r="AK133" s="187" t="str">
        <f t="shared" si="26"/>
        <v/>
      </c>
      <c r="AL133" s="266" t="str">
        <f t="shared" si="27"/>
        <v/>
      </c>
      <c r="AM133" s="516" t="str">
        <f t="shared" si="28"/>
        <v/>
      </c>
      <c r="AN133" s="516" t="str">
        <f t="shared" si="29"/>
        <v/>
      </c>
      <c r="AO133" s="516" t="str">
        <f t="shared" si="30"/>
        <v/>
      </c>
      <c r="AP133" s="267" t="str">
        <f t="shared" si="31"/>
        <v/>
      </c>
      <c r="AQ133" s="268" t="str">
        <f t="shared" si="32"/>
        <v/>
      </c>
      <c r="AR133" s="450" t="str">
        <f t="shared" si="33"/>
        <v/>
      </c>
      <c r="AS133" s="450" t="str">
        <f t="shared" si="34"/>
        <v/>
      </c>
      <c r="AT133" s="450" t="str">
        <f t="shared" si="35"/>
        <v/>
      </c>
      <c r="AU133" s="269" t="str">
        <f t="shared" si="36"/>
        <v/>
      </c>
    </row>
    <row r="134" spans="1:47" ht="15.75" customHeight="1">
      <c r="A134" s="175">
        <f t="shared" si="19"/>
        <v>2023</v>
      </c>
      <c r="B134" s="454" t="str">
        <f t="shared" si="20"/>
        <v>24</v>
      </c>
      <c r="C134" s="454" t="str">
        <f t="array" ref="C134">_xlfn.IFS(_xlfn.NUMBERVALUE(B134)&lt;=13,"Q1",AND(_xlfn.NUMBERVALUE(B134)&gt;13,_xlfn.NUMBERVALUE(B134)&lt;=26),"Q2", AND(_xlfn.NUMBERVALUE(B134)&gt;26,_xlfn.NUMBERVALUE(B134)&lt;=39),"Q3",_xlfn.NUMBERVALUE(B134)&gt;39,"Q4")</f>
        <v>Q2</v>
      </c>
      <c r="D134" s="448">
        <f t="shared" si="37"/>
        <v>44751</v>
      </c>
      <c r="E134" s="448">
        <f t="shared" si="21"/>
        <v>44757</v>
      </c>
      <c r="F134" s="97">
        <v>202224</v>
      </c>
      <c r="G134" s="241"/>
      <c r="H134" s="467"/>
      <c r="I134" s="521">
        <f t="shared" si="38"/>
        <v>0</v>
      </c>
      <c r="J134" s="467"/>
      <c r="K134" s="242"/>
      <c r="L134" s="522"/>
      <c r="M134" s="522"/>
      <c r="N134" s="469">
        <f t="shared" si="39"/>
        <v>0</v>
      </c>
      <c r="O134" s="522"/>
      <c r="P134" s="522"/>
      <c r="Q134" s="103"/>
      <c r="R134" s="429"/>
      <c r="S134" s="521">
        <f t="shared" si="43"/>
        <v>0</v>
      </c>
      <c r="T134" s="467"/>
      <c r="U134" s="242"/>
      <c r="V134" s="103"/>
      <c r="W134" s="429"/>
      <c r="X134" s="449">
        <f t="shared" si="41"/>
        <v>0</v>
      </c>
      <c r="Y134" s="429"/>
      <c r="Z134" s="532"/>
      <c r="AA134" s="471"/>
      <c r="AB134" s="471"/>
      <c r="AC134" s="449">
        <f t="shared" si="42"/>
        <v>0</v>
      </c>
      <c r="AD134" s="429"/>
      <c r="AE134" s="429"/>
      <c r="AF134" s="126"/>
      <c r="AG134" s="265" t="str">
        <f t="shared" si="22"/>
        <v/>
      </c>
      <c r="AH134" s="515" t="str">
        <f t="shared" si="23"/>
        <v/>
      </c>
      <c r="AI134" s="515" t="str">
        <f t="shared" si="24"/>
        <v/>
      </c>
      <c r="AJ134" s="515" t="str">
        <f t="shared" si="25"/>
        <v/>
      </c>
      <c r="AK134" s="187" t="str">
        <f t="shared" si="26"/>
        <v/>
      </c>
      <c r="AL134" s="266" t="str">
        <f t="shared" si="27"/>
        <v/>
      </c>
      <c r="AM134" s="516" t="str">
        <f t="shared" si="28"/>
        <v/>
      </c>
      <c r="AN134" s="516" t="str">
        <f t="shared" si="29"/>
        <v/>
      </c>
      <c r="AO134" s="516" t="str">
        <f t="shared" si="30"/>
        <v/>
      </c>
      <c r="AP134" s="267" t="str">
        <f t="shared" si="31"/>
        <v/>
      </c>
      <c r="AQ134" s="268" t="str">
        <f t="shared" si="32"/>
        <v/>
      </c>
      <c r="AR134" s="450" t="str">
        <f t="shared" si="33"/>
        <v/>
      </c>
      <c r="AS134" s="450" t="str">
        <f t="shared" si="34"/>
        <v/>
      </c>
      <c r="AT134" s="450" t="str">
        <f t="shared" si="35"/>
        <v/>
      </c>
      <c r="AU134" s="269" t="str">
        <f t="shared" si="36"/>
        <v/>
      </c>
    </row>
    <row r="135" spans="1:47" ht="15.75" customHeight="1">
      <c r="A135" s="175">
        <f t="shared" ref="A135:A198" si="44">LEFT(F135,4)+1</f>
        <v>2023</v>
      </c>
      <c r="B135" s="454" t="str">
        <f t="shared" ref="B135:B198" si="45">RIGHT(F135,2)</f>
        <v>25</v>
      </c>
      <c r="C135" s="454" t="str">
        <f t="array" ref="C135">_xlfn.IFS(_xlfn.NUMBERVALUE(B135)&lt;=13,"Q1",AND(_xlfn.NUMBERVALUE(B135)&gt;13,_xlfn.NUMBERVALUE(B135)&lt;=26),"Q2", AND(_xlfn.NUMBERVALUE(B135)&gt;26,_xlfn.NUMBERVALUE(B135)&lt;=39),"Q3",_xlfn.NUMBERVALUE(B135)&gt;39,"Q4")</f>
        <v>Q2</v>
      </c>
      <c r="D135" s="448">
        <f t="shared" si="37"/>
        <v>44758</v>
      </c>
      <c r="E135" s="448">
        <f t="shared" ref="E135:E198" si="46">D135+6</f>
        <v>44764</v>
      </c>
      <c r="F135" s="97">
        <v>202225</v>
      </c>
      <c r="G135" s="241"/>
      <c r="H135" s="467"/>
      <c r="I135" s="521">
        <f t="shared" si="38"/>
        <v>0</v>
      </c>
      <c r="J135" s="467"/>
      <c r="K135" s="242"/>
      <c r="L135" s="522"/>
      <c r="M135" s="522"/>
      <c r="N135" s="469">
        <f t="shared" si="39"/>
        <v>0</v>
      </c>
      <c r="O135" s="522"/>
      <c r="P135" s="522"/>
      <c r="Q135" s="103"/>
      <c r="R135" s="429"/>
      <c r="S135" s="521">
        <f t="shared" si="43"/>
        <v>0</v>
      </c>
      <c r="T135" s="467"/>
      <c r="U135" s="242"/>
      <c r="V135" s="103"/>
      <c r="W135" s="429"/>
      <c r="X135" s="449">
        <f t="shared" si="41"/>
        <v>0</v>
      </c>
      <c r="Y135" s="429"/>
      <c r="Z135" s="532"/>
      <c r="AA135" s="471"/>
      <c r="AB135" s="471"/>
      <c r="AC135" s="449">
        <f t="shared" si="42"/>
        <v>0</v>
      </c>
      <c r="AD135" s="429"/>
      <c r="AE135" s="429"/>
      <c r="AF135" s="126"/>
      <c r="AG135" s="265" t="str">
        <f t="shared" ref="AG135:AG198" si="47">IFERROR(G135/Q135,"")</f>
        <v/>
      </c>
      <c r="AH135" s="515" t="str">
        <f t="shared" ref="AH135:AH198" si="48">IFERROR(H135/R135,"")</f>
        <v/>
      </c>
      <c r="AI135" s="515" t="str">
        <f t="shared" ref="AI135:AI198" si="49">IFERROR(I135/S135,"")</f>
        <v/>
      </c>
      <c r="AJ135" s="515" t="str">
        <f t="shared" ref="AJ135:AJ198" si="50">IFERROR(J135/T135,"")</f>
        <v/>
      </c>
      <c r="AK135" s="187" t="str">
        <f t="shared" ref="AK135:AK198" si="51">IFERROR(K135/U135,"")</f>
        <v/>
      </c>
      <c r="AL135" s="266" t="str">
        <f t="shared" ref="AL135:AL198" si="52">IFERROR(L135/G135,"")</f>
        <v/>
      </c>
      <c r="AM135" s="516" t="str">
        <f t="shared" ref="AM135:AM198" si="53">IFERROR(M135/H135,"")</f>
        <v/>
      </c>
      <c r="AN135" s="516" t="str">
        <f t="shared" ref="AN135:AN198" si="54">IFERROR(N135/I135,"")</f>
        <v/>
      </c>
      <c r="AO135" s="516" t="str">
        <f t="shared" ref="AO135:AO198" si="55">IFERROR(O135/J135,"")</f>
        <v/>
      </c>
      <c r="AP135" s="267" t="str">
        <f t="shared" ref="AP135:AP198" si="56">IFERROR(P135/K135,"")</f>
        <v/>
      </c>
      <c r="AQ135" s="268" t="str">
        <f t="shared" ref="AQ135:AQ198" si="57">IFERROR(L135/SUM($N135:$P135),"")</f>
        <v/>
      </c>
      <c r="AR135" s="450" t="str">
        <f t="shared" ref="AR135:AR198" si="58">IFERROR(M135/SUM($N135:$P135),"")</f>
        <v/>
      </c>
      <c r="AS135" s="450" t="str">
        <f t="shared" ref="AS135:AS198" si="59">IFERROR(N135/SUM($N135:$P135),"")</f>
        <v/>
      </c>
      <c r="AT135" s="450" t="str">
        <f t="shared" ref="AT135:AT198" si="60">IFERROR(O135/SUM($N135:$P135),"")</f>
        <v/>
      </c>
      <c r="AU135" s="269" t="str">
        <f t="shared" ref="AU135:AU198" si="61">IFERROR(P135/SUM($N135:$P135),"")</f>
        <v/>
      </c>
    </row>
    <row r="136" spans="1:47" ht="15.75" customHeight="1">
      <c r="A136" s="175">
        <f t="shared" si="44"/>
        <v>2023</v>
      </c>
      <c r="B136" s="454" t="str">
        <f t="shared" si="45"/>
        <v>26</v>
      </c>
      <c r="C136" s="454" t="str">
        <f t="array" ref="C136">_xlfn.IFS(_xlfn.NUMBERVALUE(B136)&lt;=13,"Q1",AND(_xlfn.NUMBERVALUE(B136)&gt;13,_xlfn.NUMBERVALUE(B136)&lt;=26),"Q2", AND(_xlfn.NUMBERVALUE(B136)&gt;26,_xlfn.NUMBERVALUE(B136)&lt;=39),"Q3",_xlfn.NUMBERVALUE(B136)&gt;39,"Q4")</f>
        <v>Q2</v>
      </c>
      <c r="D136" s="448">
        <f t="shared" ref="D136:D199" si="62">E135+1</f>
        <v>44765</v>
      </c>
      <c r="E136" s="448">
        <f t="shared" si="46"/>
        <v>44771</v>
      </c>
      <c r="F136" s="97">
        <v>202226</v>
      </c>
      <c r="G136" s="241"/>
      <c r="H136" s="467"/>
      <c r="I136" s="521">
        <f t="shared" si="38"/>
        <v>0</v>
      </c>
      <c r="J136" s="467"/>
      <c r="K136" s="242"/>
      <c r="L136" s="522"/>
      <c r="M136" s="522"/>
      <c r="N136" s="469">
        <f t="shared" si="39"/>
        <v>0</v>
      </c>
      <c r="O136" s="522"/>
      <c r="P136" s="522"/>
      <c r="Q136" s="103"/>
      <c r="R136" s="429"/>
      <c r="S136" s="521">
        <f t="shared" si="43"/>
        <v>0</v>
      </c>
      <c r="T136" s="467"/>
      <c r="U136" s="242"/>
      <c r="V136" s="103"/>
      <c r="W136" s="429"/>
      <c r="X136" s="449">
        <f t="shared" si="41"/>
        <v>0</v>
      </c>
      <c r="Y136" s="429"/>
      <c r="Z136" s="532"/>
      <c r="AA136" s="471"/>
      <c r="AB136" s="471"/>
      <c r="AC136" s="449">
        <f t="shared" si="42"/>
        <v>0</v>
      </c>
      <c r="AD136" s="429"/>
      <c r="AE136" s="429"/>
      <c r="AF136" s="126"/>
      <c r="AG136" s="265" t="str">
        <f t="shared" si="47"/>
        <v/>
      </c>
      <c r="AH136" s="515" t="str">
        <f t="shared" si="48"/>
        <v/>
      </c>
      <c r="AI136" s="515" t="str">
        <f t="shared" si="49"/>
        <v/>
      </c>
      <c r="AJ136" s="515" t="str">
        <f t="shared" si="50"/>
        <v/>
      </c>
      <c r="AK136" s="187" t="str">
        <f t="shared" si="51"/>
        <v/>
      </c>
      <c r="AL136" s="266" t="str">
        <f t="shared" si="52"/>
        <v/>
      </c>
      <c r="AM136" s="516" t="str">
        <f t="shared" si="53"/>
        <v/>
      </c>
      <c r="AN136" s="516" t="str">
        <f t="shared" si="54"/>
        <v/>
      </c>
      <c r="AO136" s="516" t="str">
        <f t="shared" si="55"/>
        <v/>
      </c>
      <c r="AP136" s="267" t="str">
        <f t="shared" si="56"/>
        <v/>
      </c>
      <c r="AQ136" s="268" t="str">
        <f t="shared" si="57"/>
        <v/>
      </c>
      <c r="AR136" s="450" t="str">
        <f t="shared" si="58"/>
        <v/>
      </c>
      <c r="AS136" s="450" t="str">
        <f t="shared" si="59"/>
        <v/>
      </c>
      <c r="AT136" s="450" t="str">
        <f t="shared" si="60"/>
        <v/>
      </c>
      <c r="AU136" s="269" t="str">
        <f t="shared" si="61"/>
        <v/>
      </c>
    </row>
    <row r="137" spans="1:47" ht="15.75" customHeight="1">
      <c r="A137" s="175">
        <f t="shared" si="44"/>
        <v>2023</v>
      </c>
      <c r="B137" s="454" t="str">
        <f t="shared" si="45"/>
        <v>27</v>
      </c>
      <c r="C137" s="454" t="str">
        <f t="array" ref="C137">_xlfn.IFS(_xlfn.NUMBERVALUE(B137)&lt;=13,"Q1",AND(_xlfn.NUMBERVALUE(B137)&gt;13,_xlfn.NUMBERVALUE(B137)&lt;=26),"Q2", AND(_xlfn.NUMBERVALUE(B137)&gt;26,_xlfn.NUMBERVALUE(B137)&lt;=39),"Q3",_xlfn.NUMBERVALUE(B137)&gt;39,"Q4")</f>
        <v>Q3</v>
      </c>
      <c r="D137" s="448">
        <f t="shared" si="62"/>
        <v>44772</v>
      </c>
      <c r="E137" s="448">
        <f t="shared" si="46"/>
        <v>44778</v>
      </c>
      <c r="F137" s="97">
        <v>202227</v>
      </c>
      <c r="G137" s="241"/>
      <c r="H137" s="467"/>
      <c r="I137" s="521">
        <f t="shared" si="38"/>
        <v>0</v>
      </c>
      <c r="J137" s="467"/>
      <c r="K137" s="242"/>
      <c r="L137" s="522"/>
      <c r="M137" s="522"/>
      <c r="N137" s="469">
        <f t="shared" si="39"/>
        <v>0</v>
      </c>
      <c r="O137" s="522"/>
      <c r="P137" s="522"/>
      <c r="Q137" s="103"/>
      <c r="R137" s="429"/>
      <c r="S137" s="521">
        <f t="shared" si="43"/>
        <v>0</v>
      </c>
      <c r="T137" s="467"/>
      <c r="U137" s="242"/>
      <c r="V137" s="103"/>
      <c r="W137" s="429"/>
      <c r="X137" s="449">
        <f t="shared" si="41"/>
        <v>0</v>
      </c>
      <c r="Y137" s="429"/>
      <c r="Z137" s="532"/>
      <c r="AA137" s="471"/>
      <c r="AB137" s="471"/>
      <c r="AC137" s="449">
        <f t="shared" si="42"/>
        <v>0</v>
      </c>
      <c r="AD137" s="429"/>
      <c r="AE137" s="429"/>
      <c r="AF137" s="126"/>
      <c r="AG137" s="265" t="str">
        <f t="shared" si="47"/>
        <v/>
      </c>
      <c r="AH137" s="515" t="str">
        <f t="shared" si="48"/>
        <v/>
      </c>
      <c r="AI137" s="515" t="str">
        <f t="shared" si="49"/>
        <v/>
      </c>
      <c r="AJ137" s="515" t="str">
        <f t="shared" si="50"/>
        <v/>
      </c>
      <c r="AK137" s="187" t="str">
        <f t="shared" si="51"/>
        <v/>
      </c>
      <c r="AL137" s="266" t="str">
        <f t="shared" si="52"/>
        <v/>
      </c>
      <c r="AM137" s="516" t="str">
        <f t="shared" si="53"/>
        <v/>
      </c>
      <c r="AN137" s="516" t="str">
        <f t="shared" si="54"/>
        <v/>
      </c>
      <c r="AO137" s="516" t="str">
        <f t="shared" si="55"/>
        <v/>
      </c>
      <c r="AP137" s="267" t="str">
        <f t="shared" si="56"/>
        <v/>
      </c>
      <c r="AQ137" s="268" t="str">
        <f t="shared" si="57"/>
        <v/>
      </c>
      <c r="AR137" s="450" t="str">
        <f t="shared" si="58"/>
        <v/>
      </c>
      <c r="AS137" s="450" t="str">
        <f t="shared" si="59"/>
        <v/>
      </c>
      <c r="AT137" s="450" t="str">
        <f t="shared" si="60"/>
        <v/>
      </c>
      <c r="AU137" s="269" t="str">
        <f t="shared" si="61"/>
        <v/>
      </c>
    </row>
    <row r="138" spans="1:47" ht="15.75" customHeight="1">
      <c r="A138" s="175">
        <f t="shared" si="44"/>
        <v>2023</v>
      </c>
      <c r="B138" s="454" t="str">
        <f t="shared" si="45"/>
        <v>28</v>
      </c>
      <c r="C138" s="454" t="str">
        <f t="array" ref="C138">_xlfn.IFS(_xlfn.NUMBERVALUE(B138)&lt;=13,"Q1",AND(_xlfn.NUMBERVALUE(B138)&gt;13,_xlfn.NUMBERVALUE(B138)&lt;=26),"Q2", AND(_xlfn.NUMBERVALUE(B138)&gt;26,_xlfn.NUMBERVALUE(B138)&lt;=39),"Q3",_xlfn.NUMBERVALUE(B138)&gt;39,"Q4")</f>
        <v>Q3</v>
      </c>
      <c r="D138" s="448">
        <f t="shared" si="62"/>
        <v>44779</v>
      </c>
      <c r="E138" s="448">
        <f t="shared" si="46"/>
        <v>44785</v>
      </c>
      <c r="F138" s="97">
        <v>202228</v>
      </c>
      <c r="G138" s="241"/>
      <c r="H138" s="467"/>
      <c r="I138" s="521">
        <f t="shared" si="38"/>
        <v>0</v>
      </c>
      <c r="J138" s="467"/>
      <c r="K138" s="242"/>
      <c r="L138" s="522"/>
      <c r="M138" s="522"/>
      <c r="N138" s="469">
        <f t="shared" si="39"/>
        <v>0</v>
      </c>
      <c r="O138" s="522"/>
      <c r="P138" s="522"/>
      <c r="Q138" s="103"/>
      <c r="R138" s="429"/>
      <c r="S138" s="521">
        <f t="shared" si="43"/>
        <v>0</v>
      </c>
      <c r="T138" s="467"/>
      <c r="U138" s="242"/>
      <c r="V138" s="103"/>
      <c r="W138" s="429"/>
      <c r="X138" s="449">
        <f t="shared" si="41"/>
        <v>0</v>
      </c>
      <c r="Y138" s="429"/>
      <c r="Z138" s="532"/>
      <c r="AA138" s="471"/>
      <c r="AB138" s="471"/>
      <c r="AC138" s="449">
        <f t="shared" si="42"/>
        <v>0</v>
      </c>
      <c r="AD138" s="429"/>
      <c r="AE138" s="429"/>
      <c r="AF138" s="126"/>
      <c r="AG138" s="265" t="str">
        <f t="shared" si="47"/>
        <v/>
      </c>
      <c r="AH138" s="515" t="str">
        <f t="shared" si="48"/>
        <v/>
      </c>
      <c r="AI138" s="515" t="str">
        <f t="shared" si="49"/>
        <v/>
      </c>
      <c r="AJ138" s="515" t="str">
        <f t="shared" si="50"/>
        <v/>
      </c>
      <c r="AK138" s="187" t="str">
        <f t="shared" si="51"/>
        <v/>
      </c>
      <c r="AL138" s="266" t="str">
        <f t="shared" si="52"/>
        <v/>
      </c>
      <c r="AM138" s="516" t="str">
        <f t="shared" si="53"/>
        <v/>
      </c>
      <c r="AN138" s="516" t="str">
        <f t="shared" si="54"/>
        <v/>
      </c>
      <c r="AO138" s="516" t="str">
        <f t="shared" si="55"/>
        <v/>
      </c>
      <c r="AP138" s="267" t="str">
        <f t="shared" si="56"/>
        <v/>
      </c>
      <c r="AQ138" s="268" t="str">
        <f t="shared" si="57"/>
        <v/>
      </c>
      <c r="AR138" s="450" t="str">
        <f t="shared" si="58"/>
        <v/>
      </c>
      <c r="AS138" s="450" t="str">
        <f t="shared" si="59"/>
        <v/>
      </c>
      <c r="AT138" s="450" t="str">
        <f t="shared" si="60"/>
        <v/>
      </c>
      <c r="AU138" s="269" t="str">
        <f t="shared" si="61"/>
        <v/>
      </c>
    </row>
    <row r="139" spans="1:47" ht="15.75" customHeight="1">
      <c r="A139" s="175">
        <f t="shared" si="44"/>
        <v>2023</v>
      </c>
      <c r="B139" s="454" t="str">
        <f t="shared" si="45"/>
        <v>29</v>
      </c>
      <c r="C139" s="454" t="str">
        <f t="array" ref="C139">_xlfn.IFS(_xlfn.NUMBERVALUE(B139)&lt;=13,"Q1",AND(_xlfn.NUMBERVALUE(B139)&gt;13,_xlfn.NUMBERVALUE(B139)&lt;=26),"Q2", AND(_xlfn.NUMBERVALUE(B139)&gt;26,_xlfn.NUMBERVALUE(B139)&lt;=39),"Q3",_xlfn.NUMBERVALUE(B139)&gt;39,"Q4")</f>
        <v>Q3</v>
      </c>
      <c r="D139" s="448">
        <f t="shared" si="62"/>
        <v>44786</v>
      </c>
      <c r="E139" s="448">
        <f t="shared" si="46"/>
        <v>44792</v>
      </c>
      <c r="F139" s="97">
        <v>202229</v>
      </c>
      <c r="G139" s="241"/>
      <c r="H139" s="467"/>
      <c r="I139" s="521">
        <f t="shared" si="38"/>
        <v>0</v>
      </c>
      <c r="J139" s="467"/>
      <c r="K139" s="242"/>
      <c r="L139" s="522"/>
      <c r="M139" s="522"/>
      <c r="N139" s="469">
        <f t="shared" si="39"/>
        <v>0</v>
      </c>
      <c r="O139" s="522"/>
      <c r="P139" s="522"/>
      <c r="Q139" s="103"/>
      <c r="R139" s="429"/>
      <c r="S139" s="521">
        <f t="shared" si="43"/>
        <v>0</v>
      </c>
      <c r="T139" s="467"/>
      <c r="U139" s="242"/>
      <c r="V139" s="103"/>
      <c r="W139" s="429"/>
      <c r="X139" s="449">
        <f t="shared" si="41"/>
        <v>0</v>
      </c>
      <c r="Y139" s="429"/>
      <c r="Z139" s="532"/>
      <c r="AA139" s="471"/>
      <c r="AB139" s="471"/>
      <c r="AC139" s="449">
        <f t="shared" si="42"/>
        <v>0</v>
      </c>
      <c r="AD139" s="429"/>
      <c r="AE139" s="429"/>
      <c r="AF139" s="126"/>
      <c r="AG139" s="265" t="str">
        <f t="shared" si="47"/>
        <v/>
      </c>
      <c r="AH139" s="515" t="str">
        <f t="shared" si="48"/>
        <v/>
      </c>
      <c r="AI139" s="515" t="str">
        <f t="shared" si="49"/>
        <v/>
      </c>
      <c r="AJ139" s="515" t="str">
        <f t="shared" si="50"/>
        <v/>
      </c>
      <c r="AK139" s="187" t="str">
        <f t="shared" si="51"/>
        <v/>
      </c>
      <c r="AL139" s="266" t="str">
        <f t="shared" si="52"/>
        <v/>
      </c>
      <c r="AM139" s="516" t="str">
        <f t="shared" si="53"/>
        <v/>
      </c>
      <c r="AN139" s="516" t="str">
        <f t="shared" si="54"/>
        <v/>
      </c>
      <c r="AO139" s="516" t="str">
        <f t="shared" si="55"/>
        <v/>
      </c>
      <c r="AP139" s="267" t="str">
        <f t="shared" si="56"/>
        <v/>
      </c>
      <c r="AQ139" s="268" t="str">
        <f t="shared" si="57"/>
        <v/>
      </c>
      <c r="AR139" s="450" t="str">
        <f t="shared" si="58"/>
        <v/>
      </c>
      <c r="AS139" s="450" t="str">
        <f t="shared" si="59"/>
        <v/>
      </c>
      <c r="AT139" s="450" t="str">
        <f t="shared" si="60"/>
        <v/>
      </c>
      <c r="AU139" s="269" t="str">
        <f t="shared" si="61"/>
        <v/>
      </c>
    </row>
    <row r="140" spans="1:47" ht="15.75" customHeight="1">
      <c r="A140" s="175">
        <f t="shared" si="44"/>
        <v>2023</v>
      </c>
      <c r="B140" s="454" t="str">
        <f t="shared" si="45"/>
        <v>30</v>
      </c>
      <c r="C140" s="454" t="str">
        <f t="array" ref="C140">_xlfn.IFS(_xlfn.NUMBERVALUE(B140)&lt;=13,"Q1",AND(_xlfn.NUMBERVALUE(B140)&gt;13,_xlfn.NUMBERVALUE(B140)&lt;=26),"Q2", AND(_xlfn.NUMBERVALUE(B140)&gt;26,_xlfn.NUMBERVALUE(B140)&lt;=39),"Q3",_xlfn.NUMBERVALUE(B140)&gt;39,"Q4")</f>
        <v>Q3</v>
      </c>
      <c r="D140" s="448">
        <f t="shared" si="62"/>
        <v>44793</v>
      </c>
      <c r="E140" s="448">
        <f t="shared" si="46"/>
        <v>44799</v>
      </c>
      <c r="F140" s="97">
        <v>202230</v>
      </c>
      <c r="G140" s="241"/>
      <c r="H140" s="467"/>
      <c r="I140" s="521">
        <f t="shared" si="38"/>
        <v>0</v>
      </c>
      <c r="J140" s="467"/>
      <c r="K140" s="242"/>
      <c r="L140" s="522"/>
      <c r="M140" s="522"/>
      <c r="N140" s="469">
        <f t="shared" si="39"/>
        <v>0</v>
      </c>
      <c r="O140" s="522"/>
      <c r="P140" s="522"/>
      <c r="Q140" s="103"/>
      <c r="R140" s="429"/>
      <c r="S140" s="521">
        <f t="shared" si="43"/>
        <v>0</v>
      </c>
      <c r="T140" s="467"/>
      <c r="U140" s="242"/>
      <c r="V140" s="103"/>
      <c r="W140" s="429"/>
      <c r="X140" s="449">
        <f t="shared" si="41"/>
        <v>0</v>
      </c>
      <c r="Y140" s="429"/>
      <c r="Z140" s="532"/>
      <c r="AA140" s="471"/>
      <c r="AB140" s="471"/>
      <c r="AC140" s="449">
        <f t="shared" si="42"/>
        <v>0</v>
      </c>
      <c r="AD140" s="429"/>
      <c r="AE140" s="429"/>
      <c r="AF140" s="126"/>
      <c r="AG140" s="265" t="str">
        <f t="shared" si="47"/>
        <v/>
      </c>
      <c r="AH140" s="515" t="str">
        <f t="shared" si="48"/>
        <v/>
      </c>
      <c r="AI140" s="515" t="str">
        <f t="shared" si="49"/>
        <v/>
      </c>
      <c r="AJ140" s="515" t="str">
        <f t="shared" si="50"/>
        <v/>
      </c>
      <c r="AK140" s="187" t="str">
        <f t="shared" si="51"/>
        <v/>
      </c>
      <c r="AL140" s="266" t="str">
        <f t="shared" si="52"/>
        <v/>
      </c>
      <c r="AM140" s="516" t="str">
        <f t="shared" si="53"/>
        <v/>
      </c>
      <c r="AN140" s="516" t="str">
        <f t="shared" si="54"/>
        <v/>
      </c>
      <c r="AO140" s="516" t="str">
        <f t="shared" si="55"/>
        <v/>
      </c>
      <c r="AP140" s="267" t="str">
        <f t="shared" si="56"/>
        <v/>
      </c>
      <c r="AQ140" s="268" t="str">
        <f t="shared" si="57"/>
        <v/>
      </c>
      <c r="AR140" s="450" t="str">
        <f t="shared" si="58"/>
        <v/>
      </c>
      <c r="AS140" s="450" t="str">
        <f t="shared" si="59"/>
        <v/>
      </c>
      <c r="AT140" s="450" t="str">
        <f t="shared" si="60"/>
        <v/>
      </c>
      <c r="AU140" s="269" t="str">
        <f t="shared" si="61"/>
        <v/>
      </c>
    </row>
    <row r="141" spans="1:47" ht="15.75" customHeight="1">
      <c r="A141" s="175">
        <f t="shared" si="44"/>
        <v>2023</v>
      </c>
      <c r="B141" s="454" t="str">
        <f t="shared" si="45"/>
        <v>31</v>
      </c>
      <c r="C141" s="454" t="str">
        <f t="array" ref="C141">_xlfn.IFS(_xlfn.NUMBERVALUE(B141)&lt;=13,"Q1",AND(_xlfn.NUMBERVALUE(B141)&gt;13,_xlfn.NUMBERVALUE(B141)&lt;=26),"Q2", AND(_xlfn.NUMBERVALUE(B141)&gt;26,_xlfn.NUMBERVALUE(B141)&lt;=39),"Q3",_xlfn.NUMBERVALUE(B141)&gt;39,"Q4")</f>
        <v>Q3</v>
      </c>
      <c r="D141" s="448">
        <f t="shared" si="62"/>
        <v>44800</v>
      </c>
      <c r="E141" s="448">
        <f t="shared" si="46"/>
        <v>44806</v>
      </c>
      <c r="F141" s="97">
        <v>202231</v>
      </c>
      <c r="G141" s="241"/>
      <c r="H141" s="467"/>
      <c r="I141" s="521">
        <f t="shared" si="38"/>
        <v>0</v>
      </c>
      <c r="J141" s="467"/>
      <c r="K141" s="242"/>
      <c r="L141" s="522"/>
      <c r="M141" s="522"/>
      <c r="N141" s="469">
        <f t="shared" si="39"/>
        <v>0</v>
      </c>
      <c r="O141" s="522"/>
      <c r="P141" s="522"/>
      <c r="Q141" s="103"/>
      <c r="R141" s="429"/>
      <c r="S141" s="521">
        <f t="shared" si="43"/>
        <v>0</v>
      </c>
      <c r="T141" s="467"/>
      <c r="U141" s="242"/>
      <c r="V141" s="103"/>
      <c r="W141" s="429"/>
      <c r="X141" s="449">
        <f t="shared" si="41"/>
        <v>0</v>
      </c>
      <c r="Y141" s="429"/>
      <c r="Z141" s="532"/>
      <c r="AA141" s="471"/>
      <c r="AB141" s="471"/>
      <c r="AC141" s="449">
        <f t="shared" si="42"/>
        <v>0</v>
      </c>
      <c r="AD141" s="429"/>
      <c r="AE141" s="429"/>
      <c r="AF141" s="126"/>
      <c r="AG141" s="265" t="str">
        <f t="shared" si="47"/>
        <v/>
      </c>
      <c r="AH141" s="515" t="str">
        <f t="shared" si="48"/>
        <v/>
      </c>
      <c r="AI141" s="515" t="str">
        <f t="shared" si="49"/>
        <v/>
      </c>
      <c r="AJ141" s="515" t="str">
        <f t="shared" si="50"/>
        <v/>
      </c>
      <c r="AK141" s="187" t="str">
        <f t="shared" si="51"/>
        <v/>
      </c>
      <c r="AL141" s="266" t="str">
        <f t="shared" si="52"/>
        <v/>
      </c>
      <c r="AM141" s="516" t="str">
        <f t="shared" si="53"/>
        <v/>
      </c>
      <c r="AN141" s="516" t="str">
        <f t="shared" si="54"/>
        <v/>
      </c>
      <c r="AO141" s="516" t="str">
        <f t="shared" si="55"/>
        <v/>
      </c>
      <c r="AP141" s="267" t="str">
        <f t="shared" si="56"/>
        <v/>
      </c>
      <c r="AQ141" s="268" t="str">
        <f t="shared" si="57"/>
        <v/>
      </c>
      <c r="AR141" s="450" t="str">
        <f t="shared" si="58"/>
        <v/>
      </c>
      <c r="AS141" s="450" t="str">
        <f t="shared" si="59"/>
        <v/>
      </c>
      <c r="AT141" s="450" t="str">
        <f t="shared" si="60"/>
        <v/>
      </c>
      <c r="AU141" s="269" t="str">
        <f t="shared" si="61"/>
        <v/>
      </c>
    </row>
    <row r="142" spans="1:47" ht="15.75" customHeight="1">
      <c r="A142" s="175">
        <f t="shared" si="44"/>
        <v>2023</v>
      </c>
      <c r="B142" s="454" t="str">
        <f t="shared" si="45"/>
        <v>32</v>
      </c>
      <c r="C142" s="454" t="str">
        <f t="array" ref="C142">_xlfn.IFS(_xlfn.NUMBERVALUE(B142)&lt;=13,"Q1",AND(_xlfn.NUMBERVALUE(B142)&gt;13,_xlfn.NUMBERVALUE(B142)&lt;=26),"Q2", AND(_xlfn.NUMBERVALUE(B142)&gt;26,_xlfn.NUMBERVALUE(B142)&lt;=39),"Q3",_xlfn.NUMBERVALUE(B142)&gt;39,"Q4")</f>
        <v>Q3</v>
      </c>
      <c r="D142" s="448">
        <f t="shared" si="62"/>
        <v>44807</v>
      </c>
      <c r="E142" s="448">
        <f t="shared" si="46"/>
        <v>44813</v>
      </c>
      <c r="F142" s="97">
        <v>202232</v>
      </c>
      <c r="G142" s="241"/>
      <c r="H142" s="467"/>
      <c r="I142" s="521">
        <f t="shared" si="38"/>
        <v>0</v>
      </c>
      <c r="J142" s="467"/>
      <c r="K142" s="242"/>
      <c r="L142" s="522"/>
      <c r="M142" s="522"/>
      <c r="N142" s="469">
        <f t="shared" si="39"/>
        <v>0</v>
      </c>
      <c r="O142" s="522"/>
      <c r="P142" s="522"/>
      <c r="Q142" s="103"/>
      <c r="R142" s="429"/>
      <c r="S142" s="521">
        <f t="shared" si="43"/>
        <v>0</v>
      </c>
      <c r="T142" s="467"/>
      <c r="U142" s="242"/>
      <c r="V142" s="103"/>
      <c r="W142" s="429"/>
      <c r="X142" s="449">
        <f t="shared" si="41"/>
        <v>0</v>
      </c>
      <c r="Y142" s="429"/>
      <c r="Z142" s="532"/>
      <c r="AA142" s="471"/>
      <c r="AB142" s="471"/>
      <c r="AC142" s="449">
        <f t="shared" si="42"/>
        <v>0</v>
      </c>
      <c r="AD142" s="429"/>
      <c r="AE142" s="429"/>
      <c r="AF142" s="126"/>
      <c r="AG142" s="265" t="str">
        <f t="shared" si="47"/>
        <v/>
      </c>
      <c r="AH142" s="515" t="str">
        <f t="shared" si="48"/>
        <v/>
      </c>
      <c r="AI142" s="515" t="str">
        <f t="shared" si="49"/>
        <v/>
      </c>
      <c r="AJ142" s="515" t="str">
        <f t="shared" si="50"/>
        <v/>
      </c>
      <c r="AK142" s="187" t="str">
        <f t="shared" si="51"/>
        <v/>
      </c>
      <c r="AL142" s="266" t="str">
        <f t="shared" si="52"/>
        <v/>
      </c>
      <c r="AM142" s="516" t="str">
        <f t="shared" si="53"/>
        <v/>
      </c>
      <c r="AN142" s="516" t="str">
        <f t="shared" si="54"/>
        <v/>
      </c>
      <c r="AO142" s="516" t="str">
        <f t="shared" si="55"/>
        <v/>
      </c>
      <c r="AP142" s="267" t="str">
        <f t="shared" si="56"/>
        <v/>
      </c>
      <c r="AQ142" s="268" t="str">
        <f t="shared" si="57"/>
        <v/>
      </c>
      <c r="AR142" s="450" t="str">
        <f t="shared" si="58"/>
        <v/>
      </c>
      <c r="AS142" s="450" t="str">
        <f t="shared" si="59"/>
        <v/>
      </c>
      <c r="AT142" s="450" t="str">
        <f t="shared" si="60"/>
        <v/>
      </c>
      <c r="AU142" s="269" t="str">
        <f t="shared" si="61"/>
        <v/>
      </c>
    </row>
    <row r="143" spans="1:47" ht="15.75" customHeight="1">
      <c r="A143" s="175">
        <f t="shared" si="44"/>
        <v>2023</v>
      </c>
      <c r="B143" s="454" t="str">
        <f t="shared" si="45"/>
        <v>33</v>
      </c>
      <c r="C143" s="454" t="str">
        <f t="array" ref="C143">_xlfn.IFS(_xlfn.NUMBERVALUE(B143)&lt;=13,"Q1",AND(_xlfn.NUMBERVALUE(B143)&gt;13,_xlfn.NUMBERVALUE(B143)&lt;=26),"Q2", AND(_xlfn.NUMBERVALUE(B143)&gt;26,_xlfn.NUMBERVALUE(B143)&lt;=39),"Q3",_xlfn.NUMBERVALUE(B143)&gt;39,"Q4")</f>
        <v>Q3</v>
      </c>
      <c r="D143" s="448">
        <f t="shared" si="62"/>
        <v>44814</v>
      </c>
      <c r="E143" s="448">
        <f t="shared" si="46"/>
        <v>44820</v>
      </c>
      <c r="F143" s="97">
        <v>202233</v>
      </c>
      <c r="G143" s="241"/>
      <c r="H143" s="467"/>
      <c r="I143" s="521">
        <f t="shared" ref="I143:I160" si="63">SUM(G143:H143)</f>
        <v>0</v>
      </c>
      <c r="J143" s="467"/>
      <c r="K143" s="242"/>
      <c r="L143" s="522"/>
      <c r="M143" s="522"/>
      <c r="N143" s="469">
        <f t="shared" si="39"/>
        <v>0</v>
      </c>
      <c r="O143" s="522"/>
      <c r="P143" s="522"/>
      <c r="Q143" s="103"/>
      <c r="R143" s="429"/>
      <c r="S143" s="521">
        <f t="shared" si="43"/>
        <v>0</v>
      </c>
      <c r="T143" s="467"/>
      <c r="U143" s="242"/>
      <c r="V143" s="103"/>
      <c r="W143" s="429"/>
      <c r="X143" s="449">
        <f t="shared" si="41"/>
        <v>0</v>
      </c>
      <c r="Y143" s="429"/>
      <c r="Z143" s="532"/>
      <c r="AA143" s="471"/>
      <c r="AB143" s="471"/>
      <c r="AC143" s="449">
        <f t="shared" si="42"/>
        <v>0</v>
      </c>
      <c r="AD143" s="429"/>
      <c r="AE143" s="429"/>
      <c r="AF143" s="126"/>
      <c r="AG143" s="265" t="str">
        <f t="shared" si="47"/>
        <v/>
      </c>
      <c r="AH143" s="515" t="str">
        <f t="shared" si="48"/>
        <v/>
      </c>
      <c r="AI143" s="515" t="str">
        <f t="shared" si="49"/>
        <v/>
      </c>
      <c r="AJ143" s="515" t="str">
        <f t="shared" si="50"/>
        <v/>
      </c>
      <c r="AK143" s="187" t="str">
        <f t="shared" si="51"/>
        <v/>
      </c>
      <c r="AL143" s="266" t="str">
        <f t="shared" si="52"/>
        <v/>
      </c>
      <c r="AM143" s="516" t="str">
        <f t="shared" si="53"/>
        <v/>
      </c>
      <c r="AN143" s="516" t="str">
        <f t="shared" si="54"/>
        <v/>
      </c>
      <c r="AO143" s="516" t="str">
        <f t="shared" si="55"/>
        <v/>
      </c>
      <c r="AP143" s="267" t="str">
        <f t="shared" si="56"/>
        <v/>
      </c>
      <c r="AQ143" s="268" t="str">
        <f t="shared" si="57"/>
        <v/>
      </c>
      <c r="AR143" s="450" t="str">
        <f t="shared" si="58"/>
        <v/>
      </c>
      <c r="AS143" s="450" t="str">
        <f t="shared" si="59"/>
        <v/>
      </c>
      <c r="AT143" s="450" t="str">
        <f t="shared" si="60"/>
        <v/>
      </c>
      <c r="AU143" s="269" t="str">
        <f t="shared" si="61"/>
        <v/>
      </c>
    </row>
    <row r="144" spans="1:47" ht="15.75" customHeight="1">
      <c r="A144" s="175">
        <f t="shared" si="44"/>
        <v>2023</v>
      </c>
      <c r="B144" s="454" t="str">
        <f t="shared" si="45"/>
        <v>34</v>
      </c>
      <c r="C144" s="454" t="str">
        <f t="array" ref="C144">_xlfn.IFS(_xlfn.NUMBERVALUE(B144)&lt;=13,"Q1",AND(_xlfn.NUMBERVALUE(B144)&gt;13,_xlfn.NUMBERVALUE(B144)&lt;=26),"Q2", AND(_xlfn.NUMBERVALUE(B144)&gt;26,_xlfn.NUMBERVALUE(B144)&lt;=39),"Q3",_xlfn.NUMBERVALUE(B144)&gt;39,"Q4")</f>
        <v>Q3</v>
      </c>
      <c r="D144" s="448">
        <f t="shared" si="62"/>
        <v>44821</v>
      </c>
      <c r="E144" s="448">
        <f t="shared" si="46"/>
        <v>44827</v>
      </c>
      <c r="F144" s="97">
        <v>202234</v>
      </c>
      <c r="G144" s="241"/>
      <c r="H144" s="467"/>
      <c r="I144" s="521">
        <f t="shared" si="63"/>
        <v>0</v>
      </c>
      <c r="J144" s="467"/>
      <c r="K144" s="242"/>
      <c r="L144" s="522"/>
      <c r="M144" s="522"/>
      <c r="N144" s="469">
        <f t="shared" si="39"/>
        <v>0</v>
      </c>
      <c r="O144" s="522"/>
      <c r="P144" s="522"/>
      <c r="Q144" s="103"/>
      <c r="R144" s="429"/>
      <c r="S144" s="521">
        <f t="shared" si="43"/>
        <v>0</v>
      </c>
      <c r="T144" s="467"/>
      <c r="U144" s="242"/>
      <c r="V144" s="103"/>
      <c r="W144" s="429"/>
      <c r="X144" s="449">
        <f t="shared" si="41"/>
        <v>0</v>
      </c>
      <c r="Y144" s="429"/>
      <c r="Z144" s="532"/>
      <c r="AA144" s="471"/>
      <c r="AB144" s="471"/>
      <c r="AC144" s="449">
        <f t="shared" si="42"/>
        <v>0</v>
      </c>
      <c r="AD144" s="429"/>
      <c r="AE144" s="429"/>
      <c r="AF144" s="126"/>
      <c r="AG144" s="265" t="str">
        <f t="shared" si="47"/>
        <v/>
      </c>
      <c r="AH144" s="515" t="str">
        <f t="shared" si="48"/>
        <v/>
      </c>
      <c r="AI144" s="515" t="str">
        <f t="shared" si="49"/>
        <v/>
      </c>
      <c r="AJ144" s="515" t="str">
        <f t="shared" si="50"/>
        <v/>
      </c>
      <c r="AK144" s="187" t="str">
        <f t="shared" si="51"/>
        <v/>
      </c>
      <c r="AL144" s="266" t="str">
        <f t="shared" si="52"/>
        <v/>
      </c>
      <c r="AM144" s="516" t="str">
        <f t="shared" si="53"/>
        <v/>
      </c>
      <c r="AN144" s="516" t="str">
        <f t="shared" si="54"/>
        <v/>
      </c>
      <c r="AO144" s="516" t="str">
        <f t="shared" si="55"/>
        <v/>
      </c>
      <c r="AP144" s="267" t="str">
        <f t="shared" si="56"/>
        <v/>
      </c>
      <c r="AQ144" s="268" t="str">
        <f t="shared" si="57"/>
        <v/>
      </c>
      <c r="AR144" s="450" t="str">
        <f t="shared" si="58"/>
        <v/>
      </c>
      <c r="AS144" s="450" t="str">
        <f t="shared" si="59"/>
        <v/>
      </c>
      <c r="AT144" s="450" t="str">
        <f t="shared" si="60"/>
        <v/>
      </c>
      <c r="AU144" s="269" t="str">
        <f t="shared" si="61"/>
        <v/>
      </c>
    </row>
    <row r="145" spans="1:47" ht="14.1" customHeight="1">
      <c r="A145" s="175">
        <f t="shared" si="44"/>
        <v>2023</v>
      </c>
      <c r="B145" s="454" t="str">
        <f t="shared" si="45"/>
        <v>35</v>
      </c>
      <c r="C145" s="454" t="str">
        <f t="array" ref="C145">_xlfn.IFS(_xlfn.NUMBERVALUE(B145)&lt;=13,"Q1",AND(_xlfn.NUMBERVALUE(B145)&gt;13,_xlfn.NUMBERVALUE(B145)&lt;=26),"Q2", AND(_xlfn.NUMBERVALUE(B145)&gt;26,_xlfn.NUMBERVALUE(B145)&lt;=39),"Q3",_xlfn.NUMBERVALUE(B145)&gt;39,"Q4")</f>
        <v>Q3</v>
      </c>
      <c r="D145" s="448">
        <f t="shared" si="62"/>
        <v>44828</v>
      </c>
      <c r="E145" s="448">
        <f t="shared" si="46"/>
        <v>44834</v>
      </c>
      <c r="F145" s="97">
        <v>202235</v>
      </c>
      <c r="G145" s="241"/>
      <c r="H145" s="467"/>
      <c r="I145" s="521">
        <f t="shared" si="63"/>
        <v>0</v>
      </c>
      <c r="J145" s="467"/>
      <c r="K145" s="242"/>
      <c r="L145" s="522"/>
      <c r="M145" s="522"/>
      <c r="N145" s="469">
        <f t="shared" si="39"/>
        <v>0</v>
      </c>
      <c r="O145" s="522"/>
      <c r="P145" s="522"/>
      <c r="Q145" s="103"/>
      <c r="R145" s="429"/>
      <c r="S145" s="521">
        <f t="shared" si="43"/>
        <v>0</v>
      </c>
      <c r="T145" s="467"/>
      <c r="U145" s="242"/>
      <c r="V145" s="103"/>
      <c r="W145" s="429"/>
      <c r="X145" s="449">
        <f t="shared" si="41"/>
        <v>0</v>
      </c>
      <c r="Y145" s="429"/>
      <c r="Z145" s="532"/>
      <c r="AA145" s="471"/>
      <c r="AB145" s="471"/>
      <c r="AC145" s="449">
        <f t="shared" si="42"/>
        <v>0</v>
      </c>
      <c r="AD145" s="429"/>
      <c r="AE145" s="429"/>
      <c r="AF145" s="126"/>
      <c r="AG145" s="265" t="str">
        <f t="shared" si="47"/>
        <v/>
      </c>
      <c r="AH145" s="515" t="str">
        <f t="shared" si="48"/>
        <v/>
      </c>
      <c r="AI145" s="515" t="str">
        <f t="shared" si="49"/>
        <v/>
      </c>
      <c r="AJ145" s="515" t="str">
        <f t="shared" si="50"/>
        <v/>
      </c>
      <c r="AK145" s="187" t="str">
        <f t="shared" si="51"/>
        <v/>
      </c>
      <c r="AL145" s="266" t="str">
        <f t="shared" si="52"/>
        <v/>
      </c>
      <c r="AM145" s="516" t="str">
        <f t="shared" si="53"/>
        <v/>
      </c>
      <c r="AN145" s="516" t="str">
        <f t="shared" si="54"/>
        <v/>
      </c>
      <c r="AO145" s="516" t="str">
        <f t="shared" si="55"/>
        <v/>
      </c>
      <c r="AP145" s="267" t="str">
        <f t="shared" si="56"/>
        <v/>
      </c>
      <c r="AQ145" s="268" t="str">
        <f t="shared" si="57"/>
        <v/>
      </c>
      <c r="AR145" s="450" t="str">
        <f t="shared" si="58"/>
        <v/>
      </c>
      <c r="AS145" s="450" t="str">
        <f t="shared" si="59"/>
        <v/>
      </c>
      <c r="AT145" s="450" t="str">
        <f t="shared" si="60"/>
        <v/>
      </c>
      <c r="AU145" s="269" t="str">
        <f t="shared" si="61"/>
        <v/>
      </c>
    </row>
    <row r="146" spans="1:47" ht="15.75" customHeight="1">
      <c r="A146" s="175">
        <f t="shared" si="44"/>
        <v>2023</v>
      </c>
      <c r="B146" s="454" t="str">
        <f t="shared" si="45"/>
        <v>36</v>
      </c>
      <c r="C146" s="454" t="str">
        <f t="array" ref="C146">_xlfn.IFS(_xlfn.NUMBERVALUE(B146)&lt;=13,"Q1",AND(_xlfn.NUMBERVALUE(B146)&gt;13,_xlfn.NUMBERVALUE(B146)&lt;=26),"Q2", AND(_xlfn.NUMBERVALUE(B146)&gt;26,_xlfn.NUMBERVALUE(B146)&lt;=39),"Q3",_xlfn.NUMBERVALUE(B146)&gt;39,"Q4")</f>
        <v>Q3</v>
      </c>
      <c r="D146" s="448">
        <f t="shared" si="62"/>
        <v>44835</v>
      </c>
      <c r="E146" s="448">
        <f t="shared" si="46"/>
        <v>44841</v>
      </c>
      <c r="F146" s="97">
        <v>202236</v>
      </c>
      <c r="G146" s="241"/>
      <c r="H146" s="467"/>
      <c r="I146" s="521">
        <f t="shared" si="63"/>
        <v>0</v>
      </c>
      <c r="J146" s="467"/>
      <c r="K146" s="242"/>
      <c r="L146" s="522"/>
      <c r="M146" s="522"/>
      <c r="N146" s="469">
        <f t="shared" si="39"/>
        <v>0</v>
      </c>
      <c r="O146" s="522"/>
      <c r="P146" s="522"/>
      <c r="Q146" s="103"/>
      <c r="R146" s="429"/>
      <c r="S146" s="521">
        <f t="shared" si="43"/>
        <v>0</v>
      </c>
      <c r="T146" s="467"/>
      <c r="U146" s="242"/>
      <c r="V146" s="103"/>
      <c r="W146" s="429"/>
      <c r="X146" s="449">
        <f t="shared" si="41"/>
        <v>0</v>
      </c>
      <c r="Y146" s="429"/>
      <c r="Z146" s="532"/>
      <c r="AA146" s="471"/>
      <c r="AB146" s="471"/>
      <c r="AC146" s="449">
        <f t="shared" si="42"/>
        <v>0</v>
      </c>
      <c r="AD146" s="429"/>
      <c r="AE146" s="429"/>
      <c r="AF146" s="126"/>
      <c r="AG146" s="265" t="str">
        <f t="shared" si="47"/>
        <v/>
      </c>
      <c r="AH146" s="515" t="str">
        <f t="shared" si="48"/>
        <v/>
      </c>
      <c r="AI146" s="515" t="str">
        <f t="shared" si="49"/>
        <v/>
      </c>
      <c r="AJ146" s="515" t="str">
        <f t="shared" si="50"/>
        <v/>
      </c>
      <c r="AK146" s="187" t="str">
        <f t="shared" si="51"/>
        <v/>
      </c>
      <c r="AL146" s="266" t="str">
        <f t="shared" si="52"/>
        <v/>
      </c>
      <c r="AM146" s="516" t="str">
        <f t="shared" si="53"/>
        <v/>
      </c>
      <c r="AN146" s="516" t="str">
        <f t="shared" si="54"/>
        <v/>
      </c>
      <c r="AO146" s="516" t="str">
        <f t="shared" si="55"/>
        <v/>
      </c>
      <c r="AP146" s="267" t="str">
        <f t="shared" si="56"/>
        <v/>
      </c>
      <c r="AQ146" s="268" t="str">
        <f t="shared" si="57"/>
        <v/>
      </c>
      <c r="AR146" s="450" t="str">
        <f t="shared" si="58"/>
        <v/>
      </c>
      <c r="AS146" s="450" t="str">
        <f t="shared" si="59"/>
        <v/>
      </c>
      <c r="AT146" s="450" t="str">
        <f t="shared" si="60"/>
        <v/>
      </c>
      <c r="AU146" s="269" t="str">
        <f t="shared" si="61"/>
        <v/>
      </c>
    </row>
    <row r="147" spans="1:47" ht="14.1" customHeight="1">
      <c r="A147" s="175">
        <f t="shared" si="44"/>
        <v>2023</v>
      </c>
      <c r="B147" s="454" t="str">
        <f t="shared" si="45"/>
        <v>37</v>
      </c>
      <c r="C147" s="454" t="str">
        <f t="array" ref="C147">_xlfn.IFS(_xlfn.NUMBERVALUE(B147)&lt;=13,"Q1",AND(_xlfn.NUMBERVALUE(B147)&gt;13,_xlfn.NUMBERVALUE(B147)&lt;=26),"Q2", AND(_xlfn.NUMBERVALUE(B147)&gt;26,_xlfn.NUMBERVALUE(B147)&lt;=39),"Q3",_xlfn.NUMBERVALUE(B147)&gt;39,"Q4")</f>
        <v>Q3</v>
      </c>
      <c r="D147" s="448">
        <f t="shared" si="62"/>
        <v>44842</v>
      </c>
      <c r="E147" s="448">
        <f t="shared" si="46"/>
        <v>44848</v>
      </c>
      <c r="F147" s="97">
        <v>202237</v>
      </c>
      <c r="G147" s="241"/>
      <c r="H147" s="467"/>
      <c r="I147" s="521">
        <f t="shared" si="63"/>
        <v>0</v>
      </c>
      <c r="J147" s="467"/>
      <c r="K147" s="242"/>
      <c r="L147" s="522"/>
      <c r="M147" s="522"/>
      <c r="N147" s="469">
        <f t="shared" si="39"/>
        <v>0</v>
      </c>
      <c r="O147" s="522"/>
      <c r="P147" s="522"/>
      <c r="Q147" s="103"/>
      <c r="R147" s="429"/>
      <c r="S147" s="521">
        <f t="shared" si="43"/>
        <v>0</v>
      </c>
      <c r="T147" s="467"/>
      <c r="U147" s="242"/>
      <c r="V147" s="103"/>
      <c r="W147" s="429"/>
      <c r="X147" s="449">
        <f t="shared" si="41"/>
        <v>0</v>
      </c>
      <c r="Y147" s="429"/>
      <c r="Z147" s="532"/>
      <c r="AA147" s="471"/>
      <c r="AB147" s="471"/>
      <c r="AC147" s="449">
        <f t="shared" si="42"/>
        <v>0</v>
      </c>
      <c r="AD147" s="429"/>
      <c r="AE147" s="429"/>
      <c r="AF147" s="126"/>
      <c r="AG147" s="265" t="str">
        <f t="shared" si="47"/>
        <v/>
      </c>
      <c r="AH147" s="515" t="str">
        <f t="shared" si="48"/>
        <v/>
      </c>
      <c r="AI147" s="515" t="str">
        <f t="shared" si="49"/>
        <v/>
      </c>
      <c r="AJ147" s="515" t="str">
        <f t="shared" si="50"/>
        <v/>
      </c>
      <c r="AK147" s="187" t="str">
        <f t="shared" si="51"/>
        <v/>
      </c>
      <c r="AL147" s="266" t="str">
        <f t="shared" si="52"/>
        <v/>
      </c>
      <c r="AM147" s="516" t="str">
        <f t="shared" si="53"/>
        <v/>
      </c>
      <c r="AN147" s="516" t="str">
        <f t="shared" si="54"/>
        <v/>
      </c>
      <c r="AO147" s="516" t="str">
        <f t="shared" si="55"/>
        <v/>
      </c>
      <c r="AP147" s="267" t="str">
        <f t="shared" si="56"/>
        <v/>
      </c>
      <c r="AQ147" s="268" t="str">
        <f t="shared" si="57"/>
        <v/>
      </c>
      <c r="AR147" s="450" t="str">
        <f t="shared" si="58"/>
        <v/>
      </c>
      <c r="AS147" s="450" t="str">
        <f t="shared" si="59"/>
        <v/>
      </c>
      <c r="AT147" s="450" t="str">
        <f t="shared" si="60"/>
        <v/>
      </c>
      <c r="AU147" s="269" t="str">
        <f t="shared" si="61"/>
        <v/>
      </c>
    </row>
    <row r="148" spans="1:47" ht="14.1" customHeight="1">
      <c r="A148" s="175">
        <f t="shared" si="44"/>
        <v>2023</v>
      </c>
      <c r="B148" s="454" t="str">
        <f t="shared" si="45"/>
        <v>38</v>
      </c>
      <c r="C148" s="454" t="str">
        <f t="array" ref="C148">_xlfn.IFS(_xlfn.NUMBERVALUE(B148)&lt;=13,"Q1",AND(_xlfn.NUMBERVALUE(B148)&gt;13,_xlfn.NUMBERVALUE(B148)&lt;=26),"Q2", AND(_xlfn.NUMBERVALUE(B148)&gt;26,_xlfn.NUMBERVALUE(B148)&lt;=39),"Q3",_xlfn.NUMBERVALUE(B148)&gt;39,"Q4")</f>
        <v>Q3</v>
      </c>
      <c r="D148" s="448">
        <f t="shared" si="62"/>
        <v>44849</v>
      </c>
      <c r="E148" s="448">
        <f t="shared" si="46"/>
        <v>44855</v>
      </c>
      <c r="F148" s="97">
        <v>202238</v>
      </c>
      <c r="G148" s="241"/>
      <c r="H148" s="467"/>
      <c r="I148" s="521">
        <f t="shared" si="63"/>
        <v>0</v>
      </c>
      <c r="J148" s="467"/>
      <c r="K148" s="242"/>
      <c r="L148" s="522"/>
      <c r="M148" s="522"/>
      <c r="N148" s="469">
        <f t="shared" si="39"/>
        <v>0</v>
      </c>
      <c r="O148" s="522"/>
      <c r="P148" s="522"/>
      <c r="Q148" s="103"/>
      <c r="R148" s="429"/>
      <c r="S148" s="521">
        <f t="shared" si="43"/>
        <v>0</v>
      </c>
      <c r="T148" s="467"/>
      <c r="U148" s="242"/>
      <c r="V148" s="103"/>
      <c r="W148" s="429"/>
      <c r="X148" s="449">
        <f t="shared" si="41"/>
        <v>0</v>
      </c>
      <c r="Y148" s="429"/>
      <c r="Z148" s="532"/>
      <c r="AA148" s="471"/>
      <c r="AB148" s="471"/>
      <c r="AC148" s="449">
        <f t="shared" si="42"/>
        <v>0</v>
      </c>
      <c r="AD148" s="429"/>
      <c r="AE148" s="429"/>
      <c r="AF148" s="126"/>
      <c r="AG148" s="265" t="str">
        <f t="shared" si="47"/>
        <v/>
      </c>
      <c r="AH148" s="515" t="str">
        <f t="shared" si="48"/>
        <v/>
      </c>
      <c r="AI148" s="515" t="str">
        <f t="shared" si="49"/>
        <v/>
      </c>
      <c r="AJ148" s="515" t="str">
        <f t="shared" si="50"/>
        <v/>
      </c>
      <c r="AK148" s="187" t="str">
        <f t="shared" si="51"/>
        <v/>
      </c>
      <c r="AL148" s="266" t="str">
        <f t="shared" si="52"/>
        <v/>
      </c>
      <c r="AM148" s="516" t="str">
        <f t="shared" si="53"/>
        <v/>
      </c>
      <c r="AN148" s="516" t="str">
        <f t="shared" si="54"/>
        <v/>
      </c>
      <c r="AO148" s="516" t="str">
        <f t="shared" si="55"/>
        <v/>
      </c>
      <c r="AP148" s="267" t="str">
        <f t="shared" si="56"/>
        <v/>
      </c>
      <c r="AQ148" s="268" t="str">
        <f t="shared" si="57"/>
        <v/>
      </c>
      <c r="AR148" s="450" t="str">
        <f t="shared" si="58"/>
        <v/>
      </c>
      <c r="AS148" s="450" t="str">
        <f t="shared" si="59"/>
        <v/>
      </c>
      <c r="AT148" s="450" t="str">
        <f t="shared" si="60"/>
        <v/>
      </c>
      <c r="AU148" s="269" t="str">
        <f t="shared" si="61"/>
        <v/>
      </c>
    </row>
    <row r="149" spans="1:47" ht="15.75" customHeight="1">
      <c r="A149" s="175">
        <f t="shared" si="44"/>
        <v>2023</v>
      </c>
      <c r="B149" s="454" t="str">
        <f t="shared" si="45"/>
        <v>39</v>
      </c>
      <c r="C149" s="454" t="str">
        <f t="array" ref="C149">_xlfn.IFS(_xlfn.NUMBERVALUE(B149)&lt;=13,"Q1",AND(_xlfn.NUMBERVALUE(B149)&gt;13,_xlfn.NUMBERVALUE(B149)&lt;=26),"Q2", AND(_xlfn.NUMBERVALUE(B149)&gt;26,_xlfn.NUMBERVALUE(B149)&lt;=39),"Q3",_xlfn.NUMBERVALUE(B149)&gt;39,"Q4")</f>
        <v>Q3</v>
      </c>
      <c r="D149" s="448">
        <f t="shared" si="62"/>
        <v>44856</v>
      </c>
      <c r="E149" s="448">
        <f t="shared" si="46"/>
        <v>44862</v>
      </c>
      <c r="F149" s="97">
        <v>202239</v>
      </c>
      <c r="G149" s="241"/>
      <c r="H149" s="467"/>
      <c r="I149" s="521">
        <f t="shared" si="63"/>
        <v>0</v>
      </c>
      <c r="J149" s="467"/>
      <c r="K149" s="242"/>
      <c r="L149" s="522"/>
      <c r="M149" s="522"/>
      <c r="N149" s="469">
        <f t="shared" si="39"/>
        <v>0</v>
      </c>
      <c r="O149" s="522"/>
      <c r="P149" s="522"/>
      <c r="Q149" s="103"/>
      <c r="R149" s="429"/>
      <c r="S149" s="521">
        <f t="shared" si="43"/>
        <v>0</v>
      </c>
      <c r="T149" s="467"/>
      <c r="U149" s="242"/>
      <c r="V149" s="103"/>
      <c r="W149" s="429"/>
      <c r="X149" s="449">
        <f t="shared" si="41"/>
        <v>0</v>
      </c>
      <c r="Y149" s="429"/>
      <c r="Z149" s="532"/>
      <c r="AA149" s="429"/>
      <c r="AB149" s="429"/>
      <c r="AC149" s="449">
        <f t="shared" si="42"/>
        <v>0</v>
      </c>
      <c r="AD149" s="429"/>
      <c r="AE149" s="429"/>
      <c r="AF149" s="126"/>
      <c r="AG149" s="265" t="str">
        <f t="shared" si="47"/>
        <v/>
      </c>
      <c r="AH149" s="515" t="str">
        <f t="shared" si="48"/>
        <v/>
      </c>
      <c r="AI149" s="515" t="str">
        <f t="shared" si="49"/>
        <v/>
      </c>
      <c r="AJ149" s="515" t="str">
        <f t="shared" si="50"/>
        <v/>
      </c>
      <c r="AK149" s="187" t="str">
        <f t="shared" si="51"/>
        <v/>
      </c>
      <c r="AL149" s="266" t="str">
        <f t="shared" si="52"/>
        <v/>
      </c>
      <c r="AM149" s="516" t="str">
        <f t="shared" si="53"/>
        <v/>
      </c>
      <c r="AN149" s="516" t="str">
        <f t="shared" si="54"/>
        <v/>
      </c>
      <c r="AO149" s="516" t="str">
        <f t="shared" si="55"/>
        <v/>
      </c>
      <c r="AP149" s="267" t="str">
        <f t="shared" si="56"/>
        <v/>
      </c>
      <c r="AQ149" s="268" t="str">
        <f t="shared" si="57"/>
        <v/>
      </c>
      <c r="AR149" s="450" t="str">
        <f t="shared" si="58"/>
        <v/>
      </c>
      <c r="AS149" s="450" t="str">
        <f t="shared" si="59"/>
        <v/>
      </c>
      <c r="AT149" s="450" t="str">
        <f t="shared" si="60"/>
        <v/>
      </c>
      <c r="AU149" s="269" t="str">
        <f t="shared" si="61"/>
        <v/>
      </c>
    </row>
    <row r="150" spans="1:47" ht="15.75" customHeight="1">
      <c r="A150" s="175">
        <f t="shared" si="44"/>
        <v>2023</v>
      </c>
      <c r="B150" s="454" t="str">
        <f t="shared" si="45"/>
        <v>40</v>
      </c>
      <c r="C150" s="454" t="str">
        <f t="array" ref="C150">_xlfn.IFS(_xlfn.NUMBERVALUE(B150)&lt;=13,"Q1",AND(_xlfn.NUMBERVALUE(B150)&gt;13,_xlfn.NUMBERVALUE(B150)&lt;=26),"Q2", AND(_xlfn.NUMBERVALUE(B150)&gt;26,_xlfn.NUMBERVALUE(B150)&lt;=39),"Q3",_xlfn.NUMBERVALUE(B150)&gt;39,"Q4")</f>
        <v>Q4</v>
      </c>
      <c r="D150" s="448">
        <f t="shared" si="62"/>
        <v>44863</v>
      </c>
      <c r="E150" s="448">
        <f t="shared" si="46"/>
        <v>44869</v>
      </c>
      <c r="F150" s="97">
        <v>202240</v>
      </c>
      <c r="G150" s="241"/>
      <c r="H150" s="467"/>
      <c r="I150" s="521">
        <f t="shared" si="63"/>
        <v>0</v>
      </c>
      <c r="J150" s="467"/>
      <c r="K150" s="242"/>
      <c r="L150" s="522"/>
      <c r="M150" s="522"/>
      <c r="N150" s="469">
        <f t="shared" si="39"/>
        <v>0</v>
      </c>
      <c r="O150" s="522"/>
      <c r="P150" s="522"/>
      <c r="Q150" s="103"/>
      <c r="R150" s="429"/>
      <c r="S150" s="521">
        <f t="shared" si="43"/>
        <v>0</v>
      </c>
      <c r="T150" s="467"/>
      <c r="U150" s="242"/>
      <c r="V150" s="103"/>
      <c r="W150" s="429"/>
      <c r="X150" s="449">
        <f t="shared" si="41"/>
        <v>0</v>
      </c>
      <c r="Y150" s="429"/>
      <c r="Z150" s="532"/>
      <c r="AA150" s="429"/>
      <c r="AB150" s="429"/>
      <c r="AC150" s="449">
        <f t="shared" si="42"/>
        <v>0</v>
      </c>
      <c r="AD150" s="429"/>
      <c r="AE150" s="429"/>
      <c r="AF150" s="126"/>
      <c r="AG150" s="265" t="str">
        <f t="shared" si="47"/>
        <v/>
      </c>
      <c r="AH150" s="515" t="str">
        <f t="shared" si="48"/>
        <v/>
      </c>
      <c r="AI150" s="515" t="str">
        <f t="shared" si="49"/>
        <v/>
      </c>
      <c r="AJ150" s="515" t="str">
        <f t="shared" si="50"/>
        <v/>
      </c>
      <c r="AK150" s="187" t="str">
        <f t="shared" si="51"/>
        <v/>
      </c>
      <c r="AL150" s="266" t="str">
        <f t="shared" si="52"/>
        <v/>
      </c>
      <c r="AM150" s="516" t="str">
        <f t="shared" si="53"/>
        <v/>
      </c>
      <c r="AN150" s="516" t="str">
        <f t="shared" si="54"/>
        <v/>
      </c>
      <c r="AO150" s="516" t="str">
        <f t="shared" si="55"/>
        <v/>
      </c>
      <c r="AP150" s="267" t="str">
        <f t="shared" si="56"/>
        <v/>
      </c>
      <c r="AQ150" s="268" t="str">
        <f t="shared" si="57"/>
        <v/>
      </c>
      <c r="AR150" s="450" t="str">
        <f t="shared" si="58"/>
        <v/>
      </c>
      <c r="AS150" s="450" t="str">
        <f t="shared" si="59"/>
        <v/>
      </c>
      <c r="AT150" s="450" t="str">
        <f t="shared" si="60"/>
        <v/>
      </c>
      <c r="AU150" s="269" t="str">
        <f t="shared" si="61"/>
        <v/>
      </c>
    </row>
    <row r="151" spans="1:47" ht="15.75" customHeight="1">
      <c r="A151" s="175">
        <f t="shared" si="44"/>
        <v>2023</v>
      </c>
      <c r="B151" s="454" t="str">
        <f t="shared" si="45"/>
        <v>41</v>
      </c>
      <c r="C151" s="454" t="str">
        <f t="array" ref="C151">_xlfn.IFS(_xlfn.NUMBERVALUE(B151)&lt;=13,"Q1",AND(_xlfn.NUMBERVALUE(B151)&gt;13,_xlfn.NUMBERVALUE(B151)&lt;=26),"Q2", AND(_xlfn.NUMBERVALUE(B151)&gt;26,_xlfn.NUMBERVALUE(B151)&lt;=39),"Q3",_xlfn.NUMBERVALUE(B151)&gt;39,"Q4")</f>
        <v>Q4</v>
      </c>
      <c r="D151" s="448">
        <f t="shared" si="62"/>
        <v>44870</v>
      </c>
      <c r="E151" s="448">
        <f t="shared" si="46"/>
        <v>44876</v>
      </c>
      <c r="F151" s="97">
        <v>202241</v>
      </c>
      <c r="G151" s="241"/>
      <c r="H151" s="467"/>
      <c r="I151" s="521">
        <f t="shared" si="63"/>
        <v>0</v>
      </c>
      <c r="J151" s="467"/>
      <c r="K151" s="242"/>
      <c r="L151" s="522"/>
      <c r="M151" s="522"/>
      <c r="N151" s="469">
        <f t="shared" si="39"/>
        <v>0</v>
      </c>
      <c r="O151" s="522"/>
      <c r="P151" s="522"/>
      <c r="Q151" s="103"/>
      <c r="R151" s="429"/>
      <c r="S151" s="521">
        <f t="shared" si="43"/>
        <v>0</v>
      </c>
      <c r="T151" s="467"/>
      <c r="U151" s="242"/>
      <c r="V151" s="103"/>
      <c r="W151" s="429"/>
      <c r="X151" s="449">
        <f t="shared" si="41"/>
        <v>0</v>
      </c>
      <c r="Y151" s="429"/>
      <c r="Z151" s="532"/>
      <c r="AA151" s="429"/>
      <c r="AB151" s="429"/>
      <c r="AC151" s="449">
        <f t="shared" si="42"/>
        <v>0</v>
      </c>
      <c r="AD151" s="429"/>
      <c r="AE151" s="429"/>
      <c r="AF151" s="126"/>
      <c r="AG151" s="265" t="str">
        <f t="shared" si="47"/>
        <v/>
      </c>
      <c r="AH151" s="515" t="str">
        <f t="shared" si="48"/>
        <v/>
      </c>
      <c r="AI151" s="515" t="str">
        <f t="shared" si="49"/>
        <v/>
      </c>
      <c r="AJ151" s="515" t="str">
        <f t="shared" si="50"/>
        <v/>
      </c>
      <c r="AK151" s="187" t="str">
        <f t="shared" si="51"/>
        <v/>
      </c>
      <c r="AL151" s="266" t="str">
        <f t="shared" si="52"/>
        <v/>
      </c>
      <c r="AM151" s="516" t="str">
        <f t="shared" si="53"/>
        <v/>
      </c>
      <c r="AN151" s="516" t="str">
        <f t="shared" si="54"/>
        <v/>
      </c>
      <c r="AO151" s="516" t="str">
        <f t="shared" si="55"/>
        <v/>
      </c>
      <c r="AP151" s="267" t="str">
        <f t="shared" si="56"/>
        <v/>
      </c>
      <c r="AQ151" s="268" t="str">
        <f t="shared" si="57"/>
        <v/>
      </c>
      <c r="AR151" s="450" t="str">
        <f t="shared" si="58"/>
        <v/>
      </c>
      <c r="AS151" s="450" t="str">
        <f t="shared" si="59"/>
        <v/>
      </c>
      <c r="AT151" s="450" t="str">
        <f t="shared" si="60"/>
        <v/>
      </c>
      <c r="AU151" s="269" t="str">
        <f t="shared" si="61"/>
        <v/>
      </c>
    </row>
    <row r="152" spans="1:47" ht="15.75" customHeight="1">
      <c r="A152" s="175">
        <f t="shared" si="44"/>
        <v>2023</v>
      </c>
      <c r="B152" s="454" t="str">
        <f t="shared" si="45"/>
        <v>42</v>
      </c>
      <c r="C152" s="454" t="str">
        <f t="array" ref="C152">_xlfn.IFS(_xlfn.NUMBERVALUE(B152)&lt;=13,"Q1",AND(_xlfn.NUMBERVALUE(B152)&gt;13,_xlfn.NUMBERVALUE(B152)&lt;=26),"Q2", AND(_xlfn.NUMBERVALUE(B152)&gt;26,_xlfn.NUMBERVALUE(B152)&lt;=39),"Q3",_xlfn.NUMBERVALUE(B152)&gt;39,"Q4")</f>
        <v>Q4</v>
      </c>
      <c r="D152" s="448">
        <f t="shared" si="62"/>
        <v>44877</v>
      </c>
      <c r="E152" s="448">
        <f t="shared" si="46"/>
        <v>44883</v>
      </c>
      <c r="F152" s="97">
        <v>202242</v>
      </c>
      <c r="G152" s="241"/>
      <c r="H152" s="467"/>
      <c r="I152" s="521">
        <f t="shared" si="63"/>
        <v>0</v>
      </c>
      <c r="J152" s="467"/>
      <c r="K152" s="242"/>
      <c r="L152" s="522"/>
      <c r="M152" s="522"/>
      <c r="N152" s="469">
        <f t="shared" si="39"/>
        <v>0</v>
      </c>
      <c r="O152" s="522"/>
      <c r="P152" s="522"/>
      <c r="Q152" s="103"/>
      <c r="R152" s="429"/>
      <c r="S152" s="521">
        <f t="shared" si="43"/>
        <v>0</v>
      </c>
      <c r="T152" s="467"/>
      <c r="U152" s="242"/>
      <c r="V152" s="103"/>
      <c r="W152" s="429"/>
      <c r="X152" s="449">
        <f t="shared" si="41"/>
        <v>0</v>
      </c>
      <c r="Y152" s="429"/>
      <c r="Z152" s="532"/>
      <c r="AA152" s="429"/>
      <c r="AB152" s="429"/>
      <c r="AC152" s="449">
        <f t="shared" si="42"/>
        <v>0</v>
      </c>
      <c r="AD152" s="429"/>
      <c r="AE152" s="429"/>
      <c r="AF152" s="126"/>
      <c r="AG152" s="265" t="str">
        <f t="shared" si="47"/>
        <v/>
      </c>
      <c r="AH152" s="515" t="str">
        <f t="shared" si="48"/>
        <v/>
      </c>
      <c r="AI152" s="515" t="str">
        <f t="shared" si="49"/>
        <v/>
      </c>
      <c r="AJ152" s="515" t="str">
        <f t="shared" si="50"/>
        <v/>
      </c>
      <c r="AK152" s="187" t="str">
        <f t="shared" si="51"/>
        <v/>
      </c>
      <c r="AL152" s="266" t="str">
        <f t="shared" si="52"/>
        <v/>
      </c>
      <c r="AM152" s="516" t="str">
        <f t="shared" si="53"/>
        <v/>
      </c>
      <c r="AN152" s="516" t="str">
        <f t="shared" si="54"/>
        <v/>
      </c>
      <c r="AO152" s="516" t="str">
        <f t="shared" si="55"/>
        <v/>
      </c>
      <c r="AP152" s="267" t="str">
        <f t="shared" si="56"/>
        <v/>
      </c>
      <c r="AQ152" s="268" t="str">
        <f t="shared" si="57"/>
        <v/>
      </c>
      <c r="AR152" s="450" t="str">
        <f t="shared" si="58"/>
        <v/>
      </c>
      <c r="AS152" s="450" t="str">
        <f t="shared" si="59"/>
        <v/>
      </c>
      <c r="AT152" s="450" t="str">
        <f t="shared" si="60"/>
        <v/>
      </c>
      <c r="AU152" s="269" t="str">
        <f t="shared" si="61"/>
        <v/>
      </c>
    </row>
    <row r="153" spans="1:47" ht="15.75" customHeight="1">
      <c r="A153" s="175">
        <f t="shared" si="44"/>
        <v>2023</v>
      </c>
      <c r="B153" s="454" t="str">
        <f t="shared" si="45"/>
        <v>43</v>
      </c>
      <c r="C153" s="454" t="str">
        <f t="array" ref="C153">_xlfn.IFS(_xlfn.NUMBERVALUE(B153)&lt;=13,"Q1",AND(_xlfn.NUMBERVALUE(B153)&gt;13,_xlfn.NUMBERVALUE(B153)&lt;=26),"Q2", AND(_xlfn.NUMBERVALUE(B153)&gt;26,_xlfn.NUMBERVALUE(B153)&lt;=39),"Q3",_xlfn.NUMBERVALUE(B153)&gt;39,"Q4")</f>
        <v>Q4</v>
      </c>
      <c r="D153" s="448">
        <f t="shared" si="62"/>
        <v>44884</v>
      </c>
      <c r="E153" s="448">
        <f t="shared" si="46"/>
        <v>44890</v>
      </c>
      <c r="F153" s="97">
        <v>202243</v>
      </c>
      <c r="G153" s="241"/>
      <c r="H153" s="467"/>
      <c r="I153" s="521">
        <f t="shared" si="63"/>
        <v>0</v>
      </c>
      <c r="J153" s="467"/>
      <c r="K153" s="242"/>
      <c r="L153" s="522"/>
      <c r="M153" s="522"/>
      <c r="N153" s="469">
        <f t="shared" si="39"/>
        <v>0</v>
      </c>
      <c r="O153" s="522"/>
      <c r="P153" s="522"/>
      <c r="Q153" s="103"/>
      <c r="R153" s="429"/>
      <c r="S153" s="521">
        <f t="shared" si="43"/>
        <v>0</v>
      </c>
      <c r="T153" s="467"/>
      <c r="U153" s="242"/>
      <c r="V153" s="103"/>
      <c r="W153" s="429"/>
      <c r="X153" s="449">
        <f t="shared" si="41"/>
        <v>0</v>
      </c>
      <c r="Y153" s="429"/>
      <c r="Z153" s="532"/>
      <c r="AA153" s="429"/>
      <c r="AB153" s="429"/>
      <c r="AC153" s="449">
        <f t="shared" si="42"/>
        <v>0</v>
      </c>
      <c r="AD153" s="429"/>
      <c r="AE153" s="429"/>
      <c r="AF153" s="126"/>
      <c r="AG153" s="265" t="str">
        <f t="shared" si="47"/>
        <v/>
      </c>
      <c r="AH153" s="515" t="str">
        <f t="shared" si="48"/>
        <v/>
      </c>
      <c r="AI153" s="515" t="str">
        <f t="shared" si="49"/>
        <v/>
      </c>
      <c r="AJ153" s="515" t="str">
        <f t="shared" si="50"/>
        <v/>
      </c>
      <c r="AK153" s="187" t="str">
        <f t="shared" si="51"/>
        <v/>
      </c>
      <c r="AL153" s="266" t="str">
        <f t="shared" si="52"/>
        <v/>
      </c>
      <c r="AM153" s="516" t="str">
        <f t="shared" si="53"/>
        <v/>
      </c>
      <c r="AN153" s="516" t="str">
        <f t="shared" si="54"/>
        <v/>
      </c>
      <c r="AO153" s="516" t="str">
        <f t="shared" si="55"/>
        <v/>
      </c>
      <c r="AP153" s="267" t="str">
        <f t="shared" si="56"/>
        <v/>
      </c>
      <c r="AQ153" s="268" t="str">
        <f t="shared" si="57"/>
        <v/>
      </c>
      <c r="AR153" s="450" t="str">
        <f t="shared" si="58"/>
        <v/>
      </c>
      <c r="AS153" s="450" t="str">
        <f t="shared" si="59"/>
        <v/>
      </c>
      <c r="AT153" s="450" t="str">
        <f t="shared" si="60"/>
        <v/>
      </c>
      <c r="AU153" s="269" t="str">
        <f t="shared" si="61"/>
        <v/>
      </c>
    </row>
    <row r="154" spans="1:47" ht="15.75" customHeight="1">
      <c r="A154" s="175">
        <f t="shared" si="44"/>
        <v>2023</v>
      </c>
      <c r="B154" s="454" t="str">
        <f t="shared" si="45"/>
        <v>44</v>
      </c>
      <c r="C154" s="454" t="str">
        <f t="array" ref="C154">_xlfn.IFS(_xlfn.NUMBERVALUE(B154)&lt;=13,"Q1",AND(_xlfn.NUMBERVALUE(B154)&gt;13,_xlfn.NUMBERVALUE(B154)&lt;=26),"Q2", AND(_xlfn.NUMBERVALUE(B154)&gt;26,_xlfn.NUMBERVALUE(B154)&lt;=39),"Q3",_xlfn.NUMBERVALUE(B154)&gt;39,"Q4")</f>
        <v>Q4</v>
      </c>
      <c r="D154" s="448">
        <f t="shared" si="62"/>
        <v>44891</v>
      </c>
      <c r="E154" s="448">
        <f t="shared" si="46"/>
        <v>44897</v>
      </c>
      <c r="F154" s="97">
        <v>202244</v>
      </c>
      <c r="G154" s="241"/>
      <c r="H154" s="467"/>
      <c r="I154" s="521">
        <f t="shared" si="63"/>
        <v>0</v>
      </c>
      <c r="J154" s="467"/>
      <c r="K154" s="242"/>
      <c r="L154" s="522"/>
      <c r="M154" s="522"/>
      <c r="N154" s="469">
        <f t="shared" si="39"/>
        <v>0</v>
      </c>
      <c r="O154" s="522"/>
      <c r="P154" s="522"/>
      <c r="Q154" s="103"/>
      <c r="R154" s="429"/>
      <c r="S154" s="521">
        <f t="shared" si="43"/>
        <v>0</v>
      </c>
      <c r="T154" s="467"/>
      <c r="U154" s="242"/>
      <c r="V154" s="103"/>
      <c r="W154" s="429"/>
      <c r="X154" s="449">
        <f t="shared" si="41"/>
        <v>0</v>
      </c>
      <c r="Y154" s="429"/>
      <c r="Z154" s="532"/>
      <c r="AA154" s="429"/>
      <c r="AB154" s="429"/>
      <c r="AC154" s="449">
        <f t="shared" si="42"/>
        <v>0</v>
      </c>
      <c r="AD154" s="429"/>
      <c r="AE154" s="429"/>
      <c r="AF154" s="126"/>
      <c r="AG154" s="265" t="str">
        <f t="shared" si="47"/>
        <v/>
      </c>
      <c r="AH154" s="515" t="str">
        <f t="shared" si="48"/>
        <v/>
      </c>
      <c r="AI154" s="515" t="str">
        <f t="shared" si="49"/>
        <v/>
      </c>
      <c r="AJ154" s="515" t="str">
        <f t="shared" si="50"/>
        <v/>
      </c>
      <c r="AK154" s="187" t="str">
        <f t="shared" si="51"/>
        <v/>
      </c>
      <c r="AL154" s="266" t="str">
        <f t="shared" si="52"/>
        <v/>
      </c>
      <c r="AM154" s="516" t="str">
        <f t="shared" si="53"/>
        <v/>
      </c>
      <c r="AN154" s="516" t="str">
        <f t="shared" si="54"/>
        <v/>
      </c>
      <c r="AO154" s="516" t="str">
        <f t="shared" si="55"/>
        <v/>
      </c>
      <c r="AP154" s="267" t="str">
        <f t="shared" si="56"/>
        <v/>
      </c>
      <c r="AQ154" s="268" t="str">
        <f t="shared" si="57"/>
        <v/>
      </c>
      <c r="AR154" s="450" t="str">
        <f t="shared" si="58"/>
        <v/>
      </c>
      <c r="AS154" s="450" t="str">
        <f t="shared" si="59"/>
        <v/>
      </c>
      <c r="AT154" s="450" t="str">
        <f t="shared" si="60"/>
        <v/>
      </c>
      <c r="AU154" s="269" t="str">
        <f t="shared" si="61"/>
        <v/>
      </c>
    </row>
    <row r="155" spans="1:47" ht="15.75" customHeight="1">
      <c r="A155" s="175">
        <f t="shared" si="44"/>
        <v>2023</v>
      </c>
      <c r="B155" s="454" t="str">
        <f t="shared" si="45"/>
        <v>45</v>
      </c>
      <c r="C155" s="454" t="str">
        <f t="array" ref="C155">_xlfn.IFS(_xlfn.NUMBERVALUE(B155)&lt;=13,"Q1",AND(_xlfn.NUMBERVALUE(B155)&gt;13,_xlfn.NUMBERVALUE(B155)&lt;=26),"Q2", AND(_xlfn.NUMBERVALUE(B155)&gt;26,_xlfn.NUMBERVALUE(B155)&lt;=39),"Q3",_xlfn.NUMBERVALUE(B155)&gt;39,"Q4")</f>
        <v>Q4</v>
      </c>
      <c r="D155" s="448">
        <f t="shared" si="62"/>
        <v>44898</v>
      </c>
      <c r="E155" s="448">
        <f t="shared" si="46"/>
        <v>44904</v>
      </c>
      <c r="F155" s="97">
        <v>202245</v>
      </c>
      <c r="G155" s="241"/>
      <c r="H155" s="467"/>
      <c r="I155" s="521">
        <f t="shared" si="63"/>
        <v>0</v>
      </c>
      <c r="J155" s="467"/>
      <c r="K155" s="242"/>
      <c r="L155" s="522"/>
      <c r="M155" s="522"/>
      <c r="N155" s="469">
        <f t="shared" si="39"/>
        <v>0</v>
      </c>
      <c r="O155" s="522"/>
      <c r="P155" s="522"/>
      <c r="Q155" s="103"/>
      <c r="R155" s="429"/>
      <c r="S155" s="521">
        <f t="shared" si="43"/>
        <v>0</v>
      </c>
      <c r="T155" s="467"/>
      <c r="U155" s="242"/>
      <c r="V155" s="103"/>
      <c r="W155" s="429"/>
      <c r="X155" s="449">
        <f t="shared" si="41"/>
        <v>0</v>
      </c>
      <c r="Y155" s="429"/>
      <c r="Z155" s="532"/>
      <c r="AA155" s="429"/>
      <c r="AB155" s="429"/>
      <c r="AC155" s="449">
        <f t="shared" si="42"/>
        <v>0</v>
      </c>
      <c r="AD155" s="429"/>
      <c r="AE155" s="429"/>
      <c r="AF155" s="126"/>
      <c r="AG155" s="265" t="str">
        <f t="shared" si="47"/>
        <v/>
      </c>
      <c r="AH155" s="515" t="str">
        <f t="shared" si="48"/>
        <v/>
      </c>
      <c r="AI155" s="515" t="str">
        <f t="shared" si="49"/>
        <v/>
      </c>
      <c r="AJ155" s="515" t="str">
        <f t="shared" si="50"/>
        <v/>
      </c>
      <c r="AK155" s="187" t="str">
        <f t="shared" si="51"/>
        <v/>
      </c>
      <c r="AL155" s="266" t="str">
        <f t="shared" si="52"/>
        <v/>
      </c>
      <c r="AM155" s="516" t="str">
        <f t="shared" si="53"/>
        <v/>
      </c>
      <c r="AN155" s="516" t="str">
        <f t="shared" si="54"/>
        <v/>
      </c>
      <c r="AO155" s="516" t="str">
        <f t="shared" si="55"/>
        <v/>
      </c>
      <c r="AP155" s="267" t="str">
        <f t="shared" si="56"/>
        <v/>
      </c>
      <c r="AQ155" s="268" t="str">
        <f t="shared" si="57"/>
        <v/>
      </c>
      <c r="AR155" s="450" t="str">
        <f t="shared" si="58"/>
        <v/>
      </c>
      <c r="AS155" s="450" t="str">
        <f t="shared" si="59"/>
        <v/>
      </c>
      <c r="AT155" s="450" t="str">
        <f t="shared" si="60"/>
        <v/>
      </c>
      <c r="AU155" s="269" t="str">
        <f t="shared" si="61"/>
        <v/>
      </c>
    </row>
    <row r="156" spans="1:47" ht="15.75" customHeight="1">
      <c r="A156" s="175">
        <f t="shared" si="44"/>
        <v>2023</v>
      </c>
      <c r="B156" s="454" t="str">
        <f t="shared" si="45"/>
        <v>46</v>
      </c>
      <c r="C156" s="454" t="str">
        <f t="array" ref="C156">_xlfn.IFS(_xlfn.NUMBERVALUE(B156)&lt;=13,"Q1",AND(_xlfn.NUMBERVALUE(B156)&gt;13,_xlfn.NUMBERVALUE(B156)&lt;=26),"Q2", AND(_xlfn.NUMBERVALUE(B156)&gt;26,_xlfn.NUMBERVALUE(B156)&lt;=39),"Q3",_xlfn.NUMBERVALUE(B156)&gt;39,"Q4")</f>
        <v>Q4</v>
      </c>
      <c r="D156" s="448">
        <f t="shared" si="62"/>
        <v>44905</v>
      </c>
      <c r="E156" s="448">
        <f t="shared" si="46"/>
        <v>44911</v>
      </c>
      <c r="F156" s="97">
        <v>202246</v>
      </c>
      <c r="G156" s="241"/>
      <c r="H156" s="467"/>
      <c r="I156" s="521">
        <f t="shared" si="63"/>
        <v>0</v>
      </c>
      <c r="J156" s="467"/>
      <c r="K156" s="242"/>
      <c r="L156" s="522"/>
      <c r="M156" s="522"/>
      <c r="N156" s="469">
        <f t="shared" si="39"/>
        <v>0</v>
      </c>
      <c r="O156" s="522"/>
      <c r="P156" s="522"/>
      <c r="Q156" s="103"/>
      <c r="R156" s="429"/>
      <c r="S156" s="521">
        <f t="shared" si="43"/>
        <v>0</v>
      </c>
      <c r="T156" s="467"/>
      <c r="U156" s="242"/>
      <c r="V156" s="103"/>
      <c r="W156" s="429"/>
      <c r="X156" s="449">
        <f t="shared" si="41"/>
        <v>0</v>
      </c>
      <c r="Y156" s="429"/>
      <c r="Z156" s="532"/>
      <c r="AA156" s="429"/>
      <c r="AB156" s="429"/>
      <c r="AC156" s="449">
        <f t="shared" si="42"/>
        <v>0</v>
      </c>
      <c r="AD156" s="429"/>
      <c r="AE156" s="429"/>
      <c r="AF156" s="126"/>
      <c r="AG156" s="265" t="str">
        <f t="shared" si="47"/>
        <v/>
      </c>
      <c r="AH156" s="515" t="str">
        <f t="shared" si="48"/>
        <v/>
      </c>
      <c r="AI156" s="515" t="str">
        <f t="shared" si="49"/>
        <v/>
      </c>
      <c r="AJ156" s="515" t="str">
        <f t="shared" si="50"/>
        <v/>
      </c>
      <c r="AK156" s="187" t="str">
        <f t="shared" si="51"/>
        <v/>
      </c>
      <c r="AL156" s="266" t="str">
        <f t="shared" si="52"/>
        <v/>
      </c>
      <c r="AM156" s="516" t="str">
        <f t="shared" si="53"/>
        <v/>
      </c>
      <c r="AN156" s="516" t="str">
        <f t="shared" si="54"/>
        <v/>
      </c>
      <c r="AO156" s="516" t="str">
        <f t="shared" si="55"/>
        <v/>
      </c>
      <c r="AP156" s="267" t="str">
        <f t="shared" si="56"/>
        <v/>
      </c>
      <c r="AQ156" s="268" t="str">
        <f t="shared" si="57"/>
        <v/>
      </c>
      <c r="AR156" s="450" t="str">
        <f t="shared" si="58"/>
        <v/>
      </c>
      <c r="AS156" s="450" t="str">
        <f t="shared" si="59"/>
        <v/>
      </c>
      <c r="AT156" s="450" t="str">
        <f t="shared" si="60"/>
        <v/>
      </c>
      <c r="AU156" s="269" t="str">
        <f t="shared" si="61"/>
        <v/>
      </c>
    </row>
    <row r="157" spans="1:47" ht="15.75" customHeight="1">
      <c r="A157" s="175">
        <f t="shared" si="44"/>
        <v>2023</v>
      </c>
      <c r="B157" s="454" t="str">
        <f t="shared" si="45"/>
        <v>47</v>
      </c>
      <c r="C157" s="454" t="str">
        <f t="array" ref="C157">_xlfn.IFS(_xlfn.NUMBERVALUE(B157)&lt;=13,"Q1",AND(_xlfn.NUMBERVALUE(B157)&gt;13,_xlfn.NUMBERVALUE(B157)&lt;=26),"Q2", AND(_xlfn.NUMBERVALUE(B157)&gt;26,_xlfn.NUMBERVALUE(B157)&lt;=39),"Q3",_xlfn.NUMBERVALUE(B157)&gt;39,"Q4")</f>
        <v>Q4</v>
      </c>
      <c r="D157" s="448">
        <f t="shared" si="62"/>
        <v>44912</v>
      </c>
      <c r="E157" s="448">
        <f t="shared" si="46"/>
        <v>44918</v>
      </c>
      <c r="F157" s="97">
        <v>202247</v>
      </c>
      <c r="G157" s="241"/>
      <c r="H157" s="467"/>
      <c r="I157" s="521">
        <f t="shared" si="63"/>
        <v>0</v>
      </c>
      <c r="J157" s="467"/>
      <c r="K157" s="242"/>
      <c r="L157" s="522"/>
      <c r="M157" s="522"/>
      <c r="N157" s="469">
        <f t="shared" si="39"/>
        <v>0</v>
      </c>
      <c r="O157" s="522"/>
      <c r="P157" s="522"/>
      <c r="Q157" s="103"/>
      <c r="R157" s="429"/>
      <c r="S157" s="521">
        <f t="shared" si="43"/>
        <v>0</v>
      </c>
      <c r="T157" s="467"/>
      <c r="U157" s="242"/>
      <c r="V157" s="103"/>
      <c r="W157" s="429"/>
      <c r="X157" s="449">
        <f t="shared" si="41"/>
        <v>0</v>
      </c>
      <c r="Y157" s="429"/>
      <c r="Z157" s="532"/>
      <c r="AA157" s="429"/>
      <c r="AB157" s="429"/>
      <c r="AC157" s="449">
        <f t="shared" si="42"/>
        <v>0</v>
      </c>
      <c r="AD157" s="429"/>
      <c r="AE157" s="429"/>
      <c r="AF157" s="126"/>
      <c r="AG157" s="265" t="str">
        <f t="shared" si="47"/>
        <v/>
      </c>
      <c r="AH157" s="515" t="str">
        <f t="shared" si="48"/>
        <v/>
      </c>
      <c r="AI157" s="515" t="str">
        <f t="shared" si="49"/>
        <v/>
      </c>
      <c r="AJ157" s="515" t="str">
        <f t="shared" si="50"/>
        <v/>
      </c>
      <c r="AK157" s="187" t="str">
        <f t="shared" si="51"/>
        <v/>
      </c>
      <c r="AL157" s="266" t="str">
        <f t="shared" si="52"/>
        <v/>
      </c>
      <c r="AM157" s="516" t="str">
        <f t="shared" si="53"/>
        <v/>
      </c>
      <c r="AN157" s="516" t="str">
        <f t="shared" si="54"/>
        <v/>
      </c>
      <c r="AO157" s="516" t="str">
        <f t="shared" si="55"/>
        <v/>
      </c>
      <c r="AP157" s="267" t="str">
        <f t="shared" si="56"/>
        <v/>
      </c>
      <c r="AQ157" s="268" t="str">
        <f t="shared" si="57"/>
        <v/>
      </c>
      <c r="AR157" s="450" t="str">
        <f t="shared" si="58"/>
        <v/>
      </c>
      <c r="AS157" s="450" t="str">
        <f t="shared" si="59"/>
        <v/>
      </c>
      <c r="AT157" s="450" t="str">
        <f t="shared" si="60"/>
        <v/>
      </c>
      <c r="AU157" s="269" t="str">
        <f t="shared" si="61"/>
        <v/>
      </c>
    </row>
    <row r="158" spans="1:47" ht="16.350000000000001" customHeight="1">
      <c r="A158" s="175">
        <f t="shared" si="44"/>
        <v>2023</v>
      </c>
      <c r="B158" s="454" t="str">
        <f t="shared" si="45"/>
        <v>48</v>
      </c>
      <c r="C158" s="454" t="str">
        <f t="array" ref="C158">_xlfn.IFS(_xlfn.NUMBERVALUE(B158)&lt;=13,"Q1",AND(_xlfn.NUMBERVALUE(B158)&gt;13,_xlfn.NUMBERVALUE(B158)&lt;=26),"Q2", AND(_xlfn.NUMBERVALUE(B158)&gt;26,_xlfn.NUMBERVALUE(B158)&lt;=39),"Q3",_xlfn.NUMBERVALUE(B158)&gt;39,"Q4")</f>
        <v>Q4</v>
      </c>
      <c r="D158" s="448">
        <f t="shared" si="62"/>
        <v>44919</v>
      </c>
      <c r="E158" s="448">
        <f t="shared" si="46"/>
        <v>44925</v>
      </c>
      <c r="F158" s="97">
        <v>202248</v>
      </c>
      <c r="G158" s="241"/>
      <c r="H158" s="467"/>
      <c r="I158" s="521">
        <f t="shared" si="63"/>
        <v>0</v>
      </c>
      <c r="J158" s="467"/>
      <c r="K158" s="242"/>
      <c r="L158" s="522"/>
      <c r="M158" s="522"/>
      <c r="N158" s="469">
        <f t="shared" si="39"/>
        <v>0</v>
      </c>
      <c r="O158" s="522"/>
      <c r="P158" s="522"/>
      <c r="Q158" s="103"/>
      <c r="R158" s="429"/>
      <c r="S158" s="521">
        <f t="shared" si="43"/>
        <v>0</v>
      </c>
      <c r="T158" s="467"/>
      <c r="U158" s="242"/>
      <c r="V158" s="103"/>
      <c r="W158" s="429"/>
      <c r="X158" s="449">
        <f t="shared" si="41"/>
        <v>0</v>
      </c>
      <c r="Y158" s="429"/>
      <c r="Z158" s="532"/>
      <c r="AA158" s="429"/>
      <c r="AB158" s="429"/>
      <c r="AC158" s="449">
        <f t="shared" si="42"/>
        <v>0</v>
      </c>
      <c r="AD158" s="429"/>
      <c r="AE158" s="429"/>
      <c r="AF158" s="126"/>
      <c r="AG158" s="265" t="str">
        <f t="shared" si="47"/>
        <v/>
      </c>
      <c r="AH158" s="515" t="str">
        <f t="shared" si="48"/>
        <v/>
      </c>
      <c r="AI158" s="515" t="str">
        <f t="shared" si="49"/>
        <v/>
      </c>
      <c r="AJ158" s="515" t="str">
        <f t="shared" si="50"/>
        <v/>
      </c>
      <c r="AK158" s="187" t="str">
        <f t="shared" si="51"/>
        <v/>
      </c>
      <c r="AL158" s="266" t="str">
        <f t="shared" si="52"/>
        <v/>
      </c>
      <c r="AM158" s="516" t="str">
        <f t="shared" si="53"/>
        <v/>
      </c>
      <c r="AN158" s="516" t="str">
        <f t="shared" si="54"/>
        <v/>
      </c>
      <c r="AO158" s="516" t="str">
        <f t="shared" si="55"/>
        <v/>
      </c>
      <c r="AP158" s="267" t="str">
        <f t="shared" si="56"/>
        <v/>
      </c>
      <c r="AQ158" s="268" t="str">
        <f t="shared" si="57"/>
        <v/>
      </c>
      <c r="AR158" s="450" t="str">
        <f t="shared" si="58"/>
        <v/>
      </c>
      <c r="AS158" s="450" t="str">
        <f t="shared" si="59"/>
        <v/>
      </c>
      <c r="AT158" s="450" t="str">
        <f t="shared" si="60"/>
        <v/>
      </c>
      <c r="AU158" s="269" t="str">
        <f t="shared" si="61"/>
        <v/>
      </c>
    </row>
    <row r="159" spans="1:47" ht="16.350000000000001" customHeight="1">
      <c r="A159" s="175">
        <f t="shared" si="44"/>
        <v>2023</v>
      </c>
      <c r="B159" s="454" t="str">
        <f t="shared" si="45"/>
        <v>49</v>
      </c>
      <c r="C159" s="454" t="str">
        <f t="array" ref="C159">_xlfn.IFS(_xlfn.NUMBERVALUE(B159)&lt;=13,"Q1",AND(_xlfn.NUMBERVALUE(B159)&gt;13,_xlfn.NUMBERVALUE(B159)&lt;=26),"Q2", AND(_xlfn.NUMBERVALUE(B159)&gt;26,_xlfn.NUMBERVALUE(B159)&lt;=39),"Q3",_xlfn.NUMBERVALUE(B159)&gt;39,"Q4")</f>
        <v>Q4</v>
      </c>
      <c r="D159" s="448">
        <f t="shared" si="62"/>
        <v>44926</v>
      </c>
      <c r="E159" s="448">
        <f t="shared" si="46"/>
        <v>44932</v>
      </c>
      <c r="F159" s="97">
        <v>202249</v>
      </c>
      <c r="G159" s="241"/>
      <c r="H159" s="467"/>
      <c r="I159" s="521">
        <f t="shared" si="63"/>
        <v>0</v>
      </c>
      <c r="J159" s="467"/>
      <c r="K159" s="242"/>
      <c r="L159" s="522"/>
      <c r="M159" s="522"/>
      <c r="N159" s="469">
        <f t="shared" si="39"/>
        <v>0</v>
      </c>
      <c r="O159" s="522"/>
      <c r="P159" s="522"/>
      <c r="Q159" s="103"/>
      <c r="R159" s="429"/>
      <c r="S159" s="521">
        <f t="shared" si="43"/>
        <v>0</v>
      </c>
      <c r="T159" s="467"/>
      <c r="U159" s="242"/>
      <c r="V159" s="103"/>
      <c r="W159" s="429"/>
      <c r="X159" s="449">
        <f t="shared" si="41"/>
        <v>0</v>
      </c>
      <c r="Y159" s="429"/>
      <c r="Z159" s="532"/>
      <c r="AA159" s="429"/>
      <c r="AB159" s="429"/>
      <c r="AC159" s="449">
        <f t="shared" si="42"/>
        <v>0</v>
      </c>
      <c r="AD159" s="429"/>
      <c r="AE159" s="429"/>
      <c r="AF159" s="126"/>
      <c r="AG159" s="265" t="str">
        <f t="shared" si="47"/>
        <v/>
      </c>
      <c r="AH159" s="515" t="str">
        <f t="shared" si="48"/>
        <v/>
      </c>
      <c r="AI159" s="515" t="str">
        <f t="shared" si="49"/>
        <v/>
      </c>
      <c r="AJ159" s="515" t="str">
        <f t="shared" si="50"/>
        <v/>
      </c>
      <c r="AK159" s="187" t="str">
        <f t="shared" si="51"/>
        <v/>
      </c>
      <c r="AL159" s="266" t="str">
        <f t="shared" si="52"/>
        <v/>
      </c>
      <c r="AM159" s="516" t="str">
        <f t="shared" si="53"/>
        <v/>
      </c>
      <c r="AN159" s="516" t="str">
        <f t="shared" si="54"/>
        <v/>
      </c>
      <c r="AO159" s="516" t="str">
        <f t="shared" si="55"/>
        <v/>
      </c>
      <c r="AP159" s="267" t="str">
        <f t="shared" si="56"/>
        <v/>
      </c>
      <c r="AQ159" s="268" t="str">
        <f t="shared" si="57"/>
        <v/>
      </c>
      <c r="AR159" s="450" t="str">
        <f t="shared" si="58"/>
        <v/>
      </c>
      <c r="AS159" s="450" t="str">
        <f t="shared" si="59"/>
        <v/>
      </c>
      <c r="AT159" s="450" t="str">
        <f t="shared" si="60"/>
        <v/>
      </c>
      <c r="AU159" s="269" t="str">
        <f t="shared" si="61"/>
        <v/>
      </c>
    </row>
    <row r="160" spans="1:47" ht="16.350000000000001" customHeight="1">
      <c r="A160" s="175">
        <f t="shared" si="44"/>
        <v>2023</v>
      </c>
      <c r="B160" s="454" t="str">
        <f t="shared" si="45"/>
        <v>50</v>
      </c>
      <c r="C160" s="454" t="str">
        <f t="array" ref="C160">_xlfn.IFS(_xlfn.NUMBERVALUE(B160)&lt;=13,"Q1",AND(_xlfn.NUMBERVALUE(B160)&gt;13,_xlfn.NUMBERVALUE(B160)&lt;=26),"Q2", AND(_xlfn.NUMBERVALUE(B160)&gt;26,_xlfn.NUMBERVALUE(B160)&lt;=39),"Q3",_xlfn.NUMBERVALUE(B160)&gt;39,"Q4")</f>
        <v>Q4</v>
      </c>
      <c r="D160" s="448">
        <f t="shared" si="62"/>
        <v>44933</v>
      </c>
      <c r="E160" s="448">
        <f t="shared" si="46"/>
        <v>44939</v>
      </c>
      <c r="F160" s="97">
        <v>202250</v>
      </c>
      <c r="G160" s="241"/>
      <c r="H160" s="467"/>
      <c r="I160" s="521">
        <f t="shared" si="63"/>
        <v>0</v>
      </c>
      <c r="J160" s="467"/>
      <c r="K160" s="242"/>
      <c r="L160" s="522"/>
      <c r="M160" s="522"/>
      <c r="N160" s="469">
        <f t="shared" si="39"/>
        <v>0</v>
      </c>
      <c r="O160" s="522"/>
      <c r="P160" s="522"/>
      <c r="Q160" s="103"/>
      <c r="R160" s="429"/>
      <c r="S160" s="521">
        <f t="shared" si="43"/>
        <v>0</v>
      </c>
      <c r="T160" s="467"/>
      <c r="U160" s="242"/>
      <c r="V160" s="103"/>
      <c r="W160" s="429"/>
      <c r="X160" s="449">
        <f t="shared" si="41"/>
        <v>0</v>
      </c>
      <c r="Y160" s="429"/>
      <c r="Z160" s="532"/>
      <c r="AA160" s="471"/>
      <c r="AB160" s="471"/>
      <c r="AC160" s="449">
        <f t="shared" si="42"/>
        <v>0</v>
      </c>
      <c r="AD160" s="429"/>
      <c r="AE160" s="429"/>
      <c r="AF160" s="126"/>
      <c r="AG160" s="265" t="str">
        <f t="shared" si="47"/>
        <v/>
      </c>
      <c r="AH160" s="515" t="str">
        <f t="shared" si="48"/>
        <v/>
      </c>
      <c r="AI160" s="515" t="str">
        <f t="shared" si="49"/>
        <v/>
      </c>
      <c r="AJ160" s="515" t="str">
        <f t="shared" si="50"/>
        <v/>
      </c>
      <c r="AK160" s="187" t="str">
        <f t="shared" si="51"/>
        <v/>
      </c>
      <c r="AL160" s="266" t="str">
        <f t="shared" si="52"/>
        <v/>
      </c>
      <c r="AM160" s="516" t="str">
        <f t="shared" si="53"/>
        <v/>
      </c>
      <c r="AN160" s="516" t="str">
        <f t="shared" si="54"/>
        <v/>
      </c>
      <c r="AO160" s="516" t="str">
        <f t="shared" si="55"/>
        <v/>
      </c>
      <c r="AP160" s="267" t="str">
        <f t="shared" si="56"/>
        <v/>
      </c>
      <c r="AQ160" s="268" t="str">
        <f t="shared" si="57"/>
        <v/>
      </c>
      <c r="AR160" s="450" t="str">
        <f t="shared" si="58"/>
        <v/>
      </c>
      <c r="AS160" s="450" t="str">
        <f t="shared" si="59"/>
        <v/>
      </c>
      <c r="AT160" s="450" t="str">
        <f t="shared" si="60"/>
        <v/>
      </c>
      <c r="AU160" s="269" t="str">
        <f t="shared" si="61"/>
        <v/>
      </c>
    </row>
    <row r="161" spans="1:47" ht="16.350000000000001" customHeight="1">
      <c r="A161" s="175">
        <f t="shared" si="44"/>
        <v>2023</v>
      </c>
      <c r="B161" s="454" t="str">
        <f t="shared" si="45"/>
        <v>51</v>
      </c>
      <c r="C161" s="454" t="str">
        <f t="array" ref="C161">_xlfn.IFS(_xlfn.NUMBERVALUE(B161)&lt;=13,"Q1",AND(_xlfn.NUMBERVALUE(B161)&gt;13,_xlfn.NUMBERVALUE(B161)&lt;=26),"Q2", AND(_xlfn.NUMBERVALUE(B161)&gt;26,_xlfn.NUMBERVALUE(B161)&lt;=39),"Q3",_xlfn.NUMBERVALUE(B161)&gt;39,"Q4")</f>
        <v>Q4</v>
      </c>
      <c r="D161" s="448">
        <f t="shared" si="62"/>
        <v>44940</v>
      </c>
      <c r="E161" s="448">
        <f t="shared" si="46"/>
        <v>44946</v>
      </c>
      <c r="F161" s="97">
        <v>202251</v>
      </c>
      <c r="G161" s="241"/>
      <c r="H161" s="467"/>
      <c r="I161" s="521"/>
      <c r="J161" s="467"/>
      <c r="K161" s="242"/>
      <c r="L161" s="522"/>
      <c r="M161" s="522"/>
      <c r="N161" s="469">
        <f t="shared" si="39"/>
        <v>0</v>
      </c>
      <c r="O161" s="522"/>
      <c r="P161" s="522"/>
      <c r="Q161" s="103"/>
      <c r="R161" s="429"/>
      <c r="S161" s="521">
        <v>108566713</v>
      </c>
      <c r="T161" s="467"/>
      <c r="U161" s="242"/>
      <c r="V161" s="103"/>
      <c r="W161" s="429"/>
      <c r="X161" s="449">
        <f t="shared" si="41"/>
        <v>0</v>
      </c>
      <c r="Y161" s="429"/>
      <c r="Z161" s="532"/>
      <c r="AA161" s="471"/>
      <c r="AB161" s="471"/>
      <c r="AC161" s="449">
        <f t="shared" si="42"/>
        <v>0</v>
      </c>
      <c r="AD161" s="429"/>
      <c r="AE161" s="429"/>
      <c r="AF161" s="126"/>
      <c r="AG161" s="265" t="str">
        <f t="shared" si="47"/>
        <v/>
      </c>
      <c r="AH161" s="515" t="str">
        <f t="shared" si="48"/>
        <v/>
      </c>
      <c r="AI161" s="515">
        <f t="shared" si="49"/>
        <v>0</v>
      </c>
      <c r="AJ161" s="515" t="str">
        <f t="shared" si="50"/>
        <v/>
      </c>
      <c r="AK161" s="187" t="str">
        <f t="shared" si="51"/>
        <v/>
      </c>
      <c r="AL161" s="266" t="str">
        <f t="shared" si="52"/>
        <v/>
      </c>
      <c r="AM161" s="516" t="str">
        <f t="shared" si="53"/>
        <v/>
      </c>
      <c r="AN161" s="516" t="str">
        <f t="shared" si="54"/>
        <v/>
      </c>
      <c r="AO161" s="516" t="str">
        <f t="shared" si="55"/>
        <v/>
      </c>
      <c r="AP161" s="267" t="str">
        <f t="shared" si="56"/>
        <v/>
      </c>
      <c r="AQ161" s="268" t="str">
        <f t="shared" si="57"/>
        <v/>
      </c>
      <c r="AR161" s="450" t="str">
        <f t="shared" si="58"/>
        <v/>
      </c>
      <c r="AS161" s="450" t="str">
        <f t="shared" si="59"/>
        <v/>
      </c>
      <c r="AT161" s="450" t="str">
        <f t="shared" si="60"/>
        <v/>
      </c>
      <c r="AU161" s="269" t="str">
        <f t="shared" si="61"/>
        <v/>
      </c>
    </row>
    <row r="162" spans="1:47" ht="16.350000000000001" customHeight="1">
      <c r="A162" s="175">
        <f t="shared" si="44"/>
        <v>2023</v>
      </c>
      <c r="B162" s="454" t="str">
        <f t="shared" si="45"/>
        <v>52</v>
      </c>
      <c r="C162" s="454" t="str">
        <f t="array" ref="C162">_xlfn.IFS(_xlfn.NUMBERVALUE(B162)&lt;=13,"Q1",AND(_xlfn.NUMBERVALUE(B162)&gt;13,_xlfn.NUMBERVALUE(B162)&lt;=26),"Q2", AND(_xlfn.NUMBERVALUE(B162)&gt;26,_xlfn.NUMBERVALUE(B162)&lt;=39),"Q3",_xlfn.NUMBERVALUE(B162)&gt;39,"Q4")</f>
        <v>Q4</v>
      </c>
      <c r="D162" s="448">
        <f t="shared" si="62"/>
        <v>44947</v>
      </c>
      <c r="E162" s="448">
        <f t="shared" si="46"/>
        <v>44953</v>
      </c>
      <c r="F162" s="97">
        <v>202252</v>
      </c>
      <c r="G162" s="241"/>
      <c r="H162" s="467"/>
      <c r="I162" s="521">
        <f t="shared" ref="I162:I193" si="64">SUM(G162:H162)</f>
        <v>0</v>
      </c>
      <c r="J162" s="467"/>
      <c r="K162" s="242"/>
      <c r="L162" s="522"/>
      <c r="M162" s="522"/>
      <c r="N162" s="469">
        <f t="shared" si="39"/>
        <v>0</v>
      </c>
      <c r="O162" s="522"/>
      <c r="P162" s="522"/>
      <c r="Q162" s="103"/>
      <c r="R162" s="429"/>
      <c r="S162" s="521">
        <f t="shared" ref="S162:S193" si="65">SUM(Q162:R162)</f>
        <v>0</v>
      </c>
      <c r="T162" s="467"/>
      <c r="U162" s="242"/>
      <c r="V162" s="103"/>
      <c r="W162" s="429"/>
      <c r="X162" s="449">
        <f t="shared" si="41"/>
        <v>0</v>
      </c>
      <c r="Y162" s="429"/>
      <c r="Z162" s="532"/>
      <c r="AA162" s="471"/>
      <c r="AB162" s="471"/>
      <c r="AC162" s="449">
        <f t="shared" si="42"/>
        <v>0</v>
      </c>
      <c r="AD162" s="429"/>
      <c r="AE162" s="429"/>
      <c r="AF162" s="126"/>
      <c r="AG162" s="265" t="str">
        <f t="shared" si="47"/>
        <v/>
      </c>
      <c r="AH162" s="515" t="str">
        <f t="shared" si="48"/>
        <v/>
      </c>
      <c r="AI162" s="515" t="str">
        <f t="shared" si="49"/>
        <v/>
      </c>
      <c r="AJ162" s="515" t="str">
        <f t="shared" si="50"/>
        <v/>
      </c>
      <c r="AK162" s="187" t="str">
        <f t="shared" si="51"/>
        <v/>
      </c>
      <c r="AL162" s="266" t="str">
        <f t="shared" si="52"/>
        <v/>
      </c>
      <c r="AM162" s="516" t="str">
        <f t="shared" si="53"/>
        <v/>
      </c>
      <c r="AN162" s="516" t="str">
        <f t="shared" si="54"/>
        <v/>
      </c>
      <c r="AO162" s="516" t="str">
        <f t="shared" si="55"/>
        <v/>
      </c>
      <c r="AP162" s="267" t="str">
        <f t="shared" si="56"/>
        <v/>
      </c>
      <c r="AQ162" s="268" t="str">
        <f t="shared" si="57"/>
        <v/>
      </c>
      <c r="AR162" s="450" t="str">
        <f t="shared" si="58"/>
        <v/>
      </c>
      <c r="AS162" s="450" t="str">
        <f t="shared" si="59"/>
        <v/>
      </c>
      <c r="AT162" s="450" t="str">
        <f t="shared" si="60"/>
        <v/>
      </c>
      <c r="AU162" s="269" t="str">
        <f t="shared" si="61"/>
        <v/>
      </c>
    </row>
    <row r="163" spans="1:47" ht="15.75" customHeight="1">
      <c r="A163" s="175">
        <f t="shared" si="44"/>
        <v>2024</v>
      </c>
      <c r="B163" s="454" t="str">
        <f t="shared" si="45"/>
        <v>01</v>
      </c>
      <c r="C163" s="454" t="str">
        <f t="array" ref="C163">_xlfn.IFS(_xlfn.NUMBERVALUE(B163)&lt;=13,"Q1",AND(_xlfn.NUMBERVALUE(B163)&gt;13,_xlfn.NUMBERVALUE(B163)&lt;=26),"Q2", AND(_xlfn.NUMBERVALUE(B163)&gt;26,_xlfn.NUMBERVALUE(B163)&lt;=39),"Q3",_xlfn.NUMBERVALUE(B163)&gt;39,"Q4")</f>
        <v>Q1</v>
      </c>
      <c r="D163" s="448">
        <f t="shared" si="62"/>
        <v>44954</v>
      </c>
      <c r="E163" s="448">
        <f t="shared" si="46"/>
        <v>44960</v>
      </c>
      <c r="F163" s="97">
        <v>202301</v>
      </c>
      <c r="G163" s="241"/>
      <c r="H163" s="467"/>
      <c r="I163" s="521">
        <f t="shared" si="64"/>
        <v>0</v>
      </c>
      <c r="J163" s="467"/>
      <c r="K163" s="242"/>
      <c r="L163" s="522"/>
      <c r="M163" s="522"/>
      <c r="N163" s="469">
        <f t="shared" si="39"/>
        <v>0</v>
      </c>
      <c r="O163" s="522"/>
      <c r="P163" s="522"/>
      <c r="Q163" s="103"/>
      <c r="R163" s="429"/>
      <c r="S163" s="521">
        <f t="shared" si="65"/>
        <v>0</v>
      </c>
      <c r="T163" s="467"/>
      <c r="U163" s="242"/>
      <c r="V163" s="103"/>
      <c r="W163" s="429"/>
      <c r="X163" s="449">
        <f t="shared" si="41"/>
        <v>0</v>
      </c>
      <c r="Y163" s="429"/>
      <c r="Z163" s="532"/>
      <c r="AA163" s="471"/>
      <c r="AB163" s="471"/>
      <c r="AC163" s="449">
        <f t="shared" si="42"/>
        <v>0</v>
      </c>
      <c r="AD163" s="429"/>
      <c r="AE163" s="429"/>
      <c r="AF163" s="126"/>
      <c r="AG163" s="265" t="str">
        <f t="shared" si="47"/>
        <v/>
      </c>
      <c r="AH163" s="515" t="str">
        <f t="shared" si="48"/>
        <v/>
      </c>
      <c r="AI163" s="515" t="str">
        <f t="shared" si="49"/>
        <v/>
      </c>
      <c r="AJ163" s="515" t="str">
        <f t="shared" si="50"/>
        <v/>
      </c>
      <c r="AK163" s="187" t="str">
        <f t="shared" si="51"/>
        <v/>
      </c>
      <c r="AL163" s="266" t="str">
        <f t="shared" si="52"/>
        <v/>
      </c>
      <c r="AM163" s="516" t="str">
        <f t="shared" si="53"/>
        <v/>
      </c>
      <c r="AN163" s="516" t="str">
        <f t="shared" si="54"/>
        <v/>
      </c>
      <c r="AO163" s="516" t="str">
        <f t="shared" si="55"/>
        <v/>
      </c>
      <c r="AP163" s="267" t="str">
        <f t="shared" si="56"/>
        <v/>
      </c>
      <c r="AQ163" s="268" t="str">
        <f t="shared" si="57"/>
        <v/>
      </c>
      <c r="AR163" s="450" t="str">
        <f t="shared" si="58"/>
        <v/>
      </c>
      <c r="AS163" s="450" t="str">
        <f t="shared" si="59"/>
        <v/>
      </c>
      <c r="AT163" s="450" t="str">
        <f t="shared" si="60"/>
        <v/>
      </c>
      <c r="AU163" s="269" t="str">
        <f t="shared" si="61"/>
        <v/>
      </c>
    </row>
    <row r="164" spans="1:47" ht="15.75" customHeight="1">
      <c r="A164" s="175">
        <f t="shared" si="44"/>
        <v>2024</v>
      </c>
      <c r="B164" s="454" t="str">
        <f t="shared" si="45"/>
        <v>02</v>
      </c>
      <c r="C164" s="454" t="str">
        <f t="array" ref="C164">_xlfn.IFS(_xlfn.NUMBERVALUE(B164)&lt;=13,"Q1",AND(_xlfn.NUMBERVALUE(B164)&gt;13,_xlfn.NUMBERVALUE(B164)&lt;=26),"Q2", AND(_xlfn.NUMBERVALUE(B164)&gt;26,_xlfn.NUMBERVALUE(B164)&lt;=39),"Q3",_xlfn.NUMBERVALUE(B164)&gt;39,"Q4")</f>
        <v>Q1</v>
      </c>
      <c r="D164" s="448">
        <f t="shared" si="62"/>
        <v>44961</v>
      </c>
      <c r="E164" s="448">
        <f t="shared" si="46"/>
        <v>44967</v>
      </c>
      <c r="F164" s="97">
        <v>202302</v>
      </c>
      <c r="G164" s="241"/>
      <c r="H164" s="467"/>
      <c r="I164" s="521">
        <f t="shared" si="64"/>
        <v>0</v>
      </c>
      <c r="J164" s="467"/>
      <c r="K164" s="242"/>
      <c r="L164" s="522"/>
      <c r="M164" s="522"/>
      <c r="N164" s="469">
        <f t="shared" si="39"/>
        <v>0</v>
      </c>
      <c r="O164" s="522"/>
      <c r="P164" s="522"/>
      <c r="Q164" s="103"/>
      <c r="R164" s="429"/>
      <c r="S164" s="521">
        <f t="shared" si="65"/>
        <v>0</v>
      </c>
      <c r="T164" s="467"/>
      <c r="U164" s="242"/>
      <c r="V164" s="103"/>
      <c r="W164" s="429"/>
      <c r="X164" s="449">
        <f t="shared" si="41"/>
        <v>0</v>
      </c>
      <c r="Y164" s="429"/>
      <c r="Z164" s="532"/>
      <c r="AA164" s="471"/>
      <c r="AB164" s="471"/>
      <c r="AC164" s="449">
        <f t="shared" si="42"/>
        <v>0</v>
      </c>
      <c r="AD164" s="429"/>
      <c r="AE164" s="429"/>
      <c r="AF164" s="126"/>
      <c r="AG164" s="265" t="str">
        <f t="shared" si="47"/>
        <v/>
      </c>
      <c r="AH164" s="515" t="str">
        <f t="shared" si="48"/>
        <v/>
      </c>
      <c r="AI164" s="515" t="str">
        <f t="shared" si="49"/>
        <v/>
      </c>
      <c r="AJ164" s="515" t="str">
        <f t="shared" si="50"/>
        <v/>
      </c>
      <c r="AK164" s="187" t="str">
        <f t="shared" si="51"/>
        <v/>
      </c>
      <c r="AL164" s="266" t="str">
        <f t="shared" si="52"/>
        <v/>
      </c>
      <c r="AM164" s="516" t="str">
        <f t="shared" si="53"/>
        <v/>
      </c>
      <c r="AN164" s="516" t="str">
        <f t="shared" si="54"/>
        <v/>
      </c>
      <c r="AO164" s="516" t="str">
        <f t="shared" si="55"/>
        <v/>
      </c>
      <c r="AP164" s="267" t="str">
        <f t="shared" si="56"/>
        <v/>
      </c>
      <c r="AQ164" s="268" t="str">
        <f t="shared" si="57"/>
        <v/>
      </c>
      <c r="AR164" s="450" t="str">
        <f t="shared" si="58"/>
        <v/>
      </c>
      <c r="AS164" s="450" t="str">
        <f t="shared" si="59"/>
        <v/>
      </c>
      <c r="AT164" s="450" t="str">
        <f t="shared" si="60"/>
        <v/>
      </c>
      <c r="AU164" s="269" t="str">
        <f t="shared" si="61"/>
        <v/>
      </c>
    </row>
    <row r="165" spans="1:47" ht="15.75" customHeight="1">
      <c r="A165" s="175">
        <f t="shared" si="44"/>
        <v>2024</v>
      </c>
      <c r="B165" s="454" t="str">
        <f t="shared" si="45"/>
        <v>03</v>
      </c>
      <c r="C165" s="454" t="str">
        <f t="array" ref="C165">_xlfn.IFS(_xlfn.NUMBERVALUE(B165)&lt;=13,"Q1",AND(_xlfn.NUMBERVALUE(B165)&gt;13,_xlfn.NUMBERVALUE(B165)&lt;=26),"Q2", AND(_xlfn.NUMBERVALUE(B165)&gt;26,_xlfn.NUMBERVALUE(B165)&lt;=39),"Q3",_xlfn.NUMBERVALUE(B165)&gt;39,"Q4")</f>
        <v>Q1</v>
      </c>
      <c r="D165" s="448">
        <f t="shared" si="62"/>
        <v>44968</v>
      </c>
      <c r="E165" s="448">
        <f t="shared" si="46"/>
        <v>44974</v>
      </c>
      <c r="F165" s="97">
        <v>202303</v>
      </c>
      <c r="G165" s="241"/>
      <c r="H165" s="467"/>
      <c r="I165" s="521">
        <f t="shared" si="64"/>
        <v>0</v>
      </c>
      <c r="J165" s="467"/>
      <c r="K165" s="242"/>
      <c r="L165" s="522"/>
      <c r="M165" s="522"/>
      <c r="N165" s="469">
        <f t="shared" si="39"/>
        <v>0</v>
      </c>
      <c r="O165" s="522"/>
      <c r="P165" s="522"/>
      <c r="Q165" s="103"/>
      <c r="R165" s="429"/>
      <c r="S165" s="521">
        <f t="shared" si="65"/>
        <v>0</v>
      </c>
      <c r="T165" s="467"/>
      <c r="U165" s="242"/>
      <c r="V165" s="103"/>
      <c r="W165" s="429"/>
      <c r="X165" s="449">
        <f t="shared" si="41"/>
        <v>0</v>
      </c>
      <c r="Y165" s="429"/>
      <c r="Z165" s="532"/>
      <c r="AA165" s="523"/>
      <c r="AB165" s="523"/>
      <c r="AC165" s="449">
        <f t="shared" si="42"/>
        <v>0</v>
      </c>
      <c r="AD165" s="429"/>
      <c r="AE165" s="429"/>
      <c r="AF165" s="126"/>
      <c r="AG165" s="265" t="str">
        <f t="shared" si="47"/>
        <v/>
      </c>
      <c r="AH165" s="515" t="str">
        <f t="shared" si="48"/>
        <v/>
      </c>
      <c r="AI165" s="515" t="str">
        <f t="shared" si="49"/>
        <v/>
      </c>
      <c r="AJ165" s="515" t="str">
        <f t="shared" si="50"/>
        <v/>
      </c>
      <c r="AK165" s="187" t="str">
        <f t="shared" si="51"/>
        <v/>
      </c>
      <c r="AL165" s="266" t="str">
        <f t="shared" si="52"/>
        <v/>
      </c>
      <c r="AM165" s="516" t="str">
        <f t="shared" si="53"/>
        <v/>
      </c>
      <c r="AN165" s="516" t="str">
        <f t="shared" si="54"/>
        <v/>
      </c>
      <c r="AO165" s="516" t="str">
        <f t="shared" si="55"/>
        <v/>
      </c>
      <c r="AP165" s="267" t="str">
        <f t="shared" si="56"/>
        <v/>
      </c>
      <c r="AQ165" s="268" t="str">
        <f t="shared" si="57"/>
        <v/>
      </c>
      <c r="AR165" s="450" t="str">
        <f t="shared" si="58"/>
        <v/>
      </c>
      <c r="AS165" s="450" t="str">
        <f t="shared" si="59"/>
        <v/>
      </c>
      <c r="AT165" s="450" t="str">
        <f t="shared" si="60"/>
        <v/>
      </c>
      <c r="AU165" s="269" t="str">
        <f t="shared" si="61"/>
        <v/>
      </c>
    </row>
    <row r="166" spans="1:47" ht="15.75" customHeight="1">
      <c r="A166" s="175">
        <f t="shared" si="44"/>
        <v>2024</v>
      </c>
      <c r="B166" s="454" t="str">
        <f t="shared" si="45"/>
        <v>04</v>
      </c>
      <c r="C166" s="454" t="str">
        <f t="array" ref="C166">_xlfn.IFS(_xlfn.NUMBERVALUE(B166)&lt;=13,"Q1",AND(_xlfn.NUMBERVALUE(B166)&gt;13,_xlfn.NUMBERVALUE(B166)&lt;=26),"Q2", AND(_xlfn.NUMBERVALUE(B166)&gt;26,_xlfn.NUMBERVALUE(B166)&lt;=39),"Q3",_xlfn.NUMBERVALUE(B166)&gt;39,"Q4")</f>
        <v>Q1</v>
      </c>
      <c r="D166" s="448">
        <f t="shared" si="62"/>
        <v>44975</v>
      </c>
      <c r="E166" s="448">
        <f t="shared" si="46"/>
        <v>44981</v>
      </c>
      <c r="F166" s="97">
        <v>202304</v>
      </c>
      <c r="G166" s="241"/>
      <c r="H166" s="467"/>
      <c r="I166" s="521">
        <f t="shared" si="64"/>
        <v>0</v>
      </c>
      <c r="J166" s="467"/>
      <c r="K166" s="242"/>
      <c r="L166" s="522"/>
      <c r="M166" s="522"/>
      <c r="N166" s="469">
        <f t="shared" si="39"/>
        <v>0</v>
      </c>
      <c r="O166" s="522"/>
      <c r="P166" s="522"/>
      <c r="Q166" s="103"/>
      <c r="R166" s="429"/>
      <c r="S166" s="521">
        <f t="shared" si="65"/>
        <v>0</v>
      </c>
      <c r="T166" s="467"/>
      <c r="U166" s="242"/>
      <c r="V166" s="103"/>
      <c r="W166" s="429"/>
      <c r="X166" s="449">
        <f t="shared" si="41"/>
        <v>0</v>
      </c>
      <c r="Y166" s="429"/>
      <c r="Z166" s="532"/>
      <c r="AA166" s="523"/>
      <c r="AB166" s="523"/>
      <c r="AC166" s="449">
        <f t="shared" si="42"/>
        <v>0</v>
      </c>
      <c r="AD166" s="429"/>
      <c r="AE166" s="429"/>
      <c r="AF166" s="126"/>
      <c r="AG166" s="265" t="str">
        <f t="shared" si="47"/>
        <v/>
      </c>
      <c r="AH166" s="515" t="str">
        <f t="shared" si="48"/>
        <v/>
      </c>
      <c r="AI166" s="515" t="str">
        <f t="shared" si="49"/>
        <v/>
      </c>
      <c r="AJ166" s="515" t="str">
        <f t="shared" si="50"/>
        <v/>
      </c>
      <c r="AK166" s="187" t="str">
        <f t="shared" si="51"/>
        <v/>
      </c>
      <c r="AL166" s="266" t="str">
        <f t="shared" si="52"/>
        <v/>
      </c>
      <c r="AM166" s="516" t="str">
        <f t="shared" si="53"/>
        <v/>
      </c>
      <c r="AN166" s="516" t="str">
        <f t="shared" si="54"/>
        <v/>
      </c>
      <c r="AO166" s="516" t="str">
        <f t="shared" si="55"/>
        <v/>
      </c>
      <c r="AP166" s="267" t="str">
        <f t="shared" si="56"/>
        <v/>
      </c>
      <c r="AQ166" s="268" t="str">
        <f t="shared" si="57"/>
        <v/>
      </c>
      <c r="AR166" s="450" t="str">
        <f t="shared" si="58"/>
        <v/>
      </c>
      <c r="AS166" s="450" t="str">
        <f t="shared" si="59"/>
        <v/>
      </c>
      <c r="AT166" s="450" t="str">
        <f t="shared" si="60"/>
        <v/>
      </c>
      <c r="AU166" s="269" t="str">
        <f t="shared" si="61"/>
        <v/>
      </c>
    </row>
    <row r="167" spans="1:47" ht="15.75" customHeight="1">
      <c r="A167" s="175">
        <f t="shared" si="44"/>
        <v>2024</v>
      </c>
      <c r="B167" s="454" t="str">
        <f t="shared" si="45"/>
        <v>05</v>
      </c>
      <c r="C167" s="454" t="str">
        <f t="array" ref="C167">_xlfn.IFS(_xlfn.NUMBERVALUE(B167)&lt;=13,"Q1",AND(_xlfn.NUMBERVALUE(B167)&gt;13,_xlfn.NUMBERVALUE(B167)&lt;=26),"Q2", AND(_xlfn.NUMBERVALUE(B167)&gt;26,_xlfn.NUMBERVALUE(B167)&lt;=39),"Q3",_xlfn.NUMBERVALUE(B167)&gt;39,"Q4")</f>
        <v>Q1</v>
      </c>
      <c r="D167" s="448">
        <f t="shared" si="62"/>
        <v>44982</v>
      </c>
      <c r="E167" s="448">
        <f t="shared" si="46"/>
        <v>44988</v>
      </c>
      <c r="F167" s="97">
        <v>202305</v>
      </c>
      <c r="G167" s="241"/>
      <c r="H167" s="467"/>
      <c r="I167" s="521">
        <f t="shared" si="64"/>
        <v>0</v>
      </c>
      <c r="J167" s="467"/>
      <c r="K167" s="242"/>
      <c r="L167" s="522"/>
      <c r="M167" s="522"/>
      <c r="N167" s="469">
        <f t="shared" si="39"/>
        <v>0</v>
      </c>
      <c r="O167" s="522"/>
      <c r="P167" s="522"/>
      <c r="Q167" s="103"/>
      <c r="R167" s="429"/>
      <c r="S167" s="521">
        <f t="shared" si="65"/>
        <v>0</v>
      </c>
      <c r="T167" s="467"/>
      <c r="U167" s="242"/>
      <c r="V167" s="103"/>
      <c r="W167" s="429"/>
      <c r="X167" s="449">
        <f t="shared" si="41"/>
        <v>0</v>
      </c>
      <c r="Y167" s="429"/>
      <c r="Z167" s="532"/>
      <c r="AA167" s="523"/>
      <c r="AB167" s="523"/>
      <c r="AC167" s="449">
        <f t="shared" si="42"/>
        <v>0</v>
      </c>
      <c r="AD167" s="429"/>
      <c r="AE167" s="429"/>
      <c r="AF167" s="126"/>
      <c r="AG167" s="265" t="str">
        <f t="shared" si="47"/>
        <v/>
      </c>
      <c r="AH167" s="515" t="str">
        <f t="shared" si="48"/>
        <v/>
      </c>
      <c r="AI167" s="515" t="str">
        <f t="shared" si="49"/>
        <v/>
      </c>
      <c r="AJ167" s="515" t="str">
        <f t="shared" si="50"/>
        <v/>
      </c>
      <c r="AK167" s="187" t="str">
        <f t="shared" si="51"/>
        <v/>
      </c>
      <c r="AL167" s="266" t="str">
        <f t="shared" si="52"/>
        <v/>
      </c>
      <c r="AM167" s="516" t="str">
        <f t="shared" si="53"/>
        <v/>
      </c>
      <c r="AN167" s="516" t="str">
        <f t="shared" si="54"/>
        <v/>
      </c>
      <c r="AO167" s="516" t="str">
        <f t="shared" si="55"/>
        <v/>
      </c>
      <c r="AP167" s="267" t="str">
        <f t="shared" si="56"/>
        <v/>
      </c>
      <c r="AQ167" s="268" t="str">
        <f t="shared" si="57"/>
        <v/>
      </c>
      <c r="AR167" s="450" t="str">
        <f t="shared" si="58"/>
        <v/>
      </c>
      <c r="AS167" s="450" t="str">
        <f t="shared" si="59"/>
        <v/>
      </c>
      <c r="AT167" s="450" t="str">
        <f t="shared" si="60"/>
        <v/>
      </c>
      <c r="AU167" s="269" t="str">
        <f t="shared" si="61"/>
        <v/>
      </c>
    </row>
    <row r="168" spans="1:47" ht="15.75" customHeight="1">
      <c r="A168" s="175">
        <f t="shared" si="44"/>
        <v>2024</v>
      </c>
      <c r="B168" s="454" t="str">
        <f t="shared" si="45"/>
        <v>06</v>
      </c>
      <c r="C168" s="454" t="str">
        <f t="array" ref="C168">_xlfn.IFS(_xlfn.NUMBERVALUE(B168)&lt;=13,"Q1",AND(_xlfn.NUMBERVALUE(B168)&gt;13,_xlfn.NUMBERVALUE(B168)&lt;=26),"Q2", AND(_xlfn.NUMBERVALUE(B168)&gt;26,_xlfn.NUMBERVALUE(B168)&lt;=39),"Q3",_xlfn.NUMBERVALUE(B168)&gt;39,"Q4")</f>
        <v>Q1</v>
      </c>
      <c r="D168" s="448">
        <f t="shared" si="62"/>
        <v>44989</v>
      </c>
      <c r="E168" s="448">
        <f t="shared" si="46"/>
        <v>44995</v>
      </c>
      <c r="F168" s="97">
        <v>202306</v>
      </c>
      <c r="G168" s="241"/>
      <c r="H168" s="467"/>
      <c r="I168" s="521">
        <f t="shared" si="64"/>
        <v>0</v>
      </c>
      <c r="J168" s="467"/>
      <c r="K168" s="242"/>
      <c r="L168" s="430"/>
      <c r="M168" s="430"/>
      <c r="N168" s="469">
        <f t="shared" si="39"/>
        <v>0</v>
      </c>
      <c r="O168" s="430"/>
      <c r="P168" s="430"/>
      <c r="Q168" s="103"/>
      <c r="R168" s="429"/>
      <c r="S168" s="521">
        <f t="shared" si="65"/>
        <v>0</v>
      </c>
      <c r="T168" s="467"/>
      <c r="U168" s="242"/>
      <c r="V168" s="103"/>
      <c r="W168" s="429"/>
      <c r="X168" s="449">
        <f t="shared" si="41"/>
        <v>0</v>
      </c>
      <c r="Y168" s="429"/>
      <c r="Z168" s="532"/>
      <c r="AA168" s="523"/>
      <c r="AB168" s="523"/>
      <c r="AC168" s="449">
        <f t="shared" si="42"/>
        <v>0</v>
      </c>
      <c r="AD168" s="429"/>
      <c r="AE168" s="429"/>
      <c r="AF168" s="126"/>
      <c r="AG168" s="265" t="str">
        <f t="shared" si="47"/>
        <v/>
      </c>
      <c r="AH168" s="515" t="str">
        <f t="shared" si="48"/>
        <v/>
      </c>
      <c r="AI168" s="515" t="str">
        <f t="shared" si="49"/>
        <v/>
      </c>
      <c r="AJ168" s="515" t="str">
        <f t="shared" si="50"/>
        <v/>
      </c>
      <c r="AK168" s="187" t="str">
        <f t="shared" si="51"/>
        <v/>
      </c>
      <c r="AL168" s="266" t="str">
        <f t="shared" si="52"/>
        <v/>
      </c>
      <c r="AM168" s="516" t="str">
        <f t="shared" si="53"/>
        <v/>
      </c>
      <c r="AN168" s="516" t="str">
        <f t="shared" si="54"/>
        <v/>
      </c>
      <c r="AO168" s="516" t="str">
        <f t="shared" si="55"/>
        <v/>
      </c>
      <c r="AP168" s="267" t="str">
        <f t="shared" si="56"/>
        <v/>
      </c>
      <c r="AQ168" s="268" t="str">
        <f t="shared" si="57"/>
        <v/>
      </c>
      <c r="AR168" s="450" t="str">
        <f t="shared" si="58"/>
        <v/>
      </c>
      <c r="AS168" s="450" t="str">
        <f t="shared" si="59"/>
        <v/>
      </c>
      <c r="AT168" s="450" t="str">
        <f t="shared" si="60"/>
        <v/>
      </c>
      <c r="AU168" s="269" t="str">
        <f t="shared" si="61"/>
        <v/>
      </c>
    </row>
    <row r="169" spans="1:47" ht="15.75" customHeight="1">
      <c r="A169" s="175">
        <f t="shared" si="44"/>
        <v>2024</v>
      </c>
      <c r="B169" s="454" t="str">
        <f t="shared" si="45"/>
        <v>07</v>
      </c>
      <c r="C169" s="454" t="str">
        <f t="array" ref="C169">_xlfn.IFS(_xlfn.NUMBERVALUE(B169)&lt;=13,"Q1",AND(_xlfn.NUMBERVALUE(B169)&gt;13,_xlfn.NUMBERVALUE(B169)&lt;=26),"Q2", AND(_xlfn.NUMBERVALUE(B169)&gt;26,_xlfn.NUMBERVALUE(B169)&lt;=39),"Q3",_xlfn.NUMBERVALUE(B169)&gt;39,"Q4")</f>
        <v>Q1</v>
      </c>
      <c r="D169" s="448">
        <f t="shared" si="62"/>
        <v>44996</v>
      </c>
      <c r="E169" s="448">
        <f t="shared" si="46"/>
        <v>45002</v>
      </c>
      <c r="F169" s="97">
        <v>202307</v>
      </c>
      <c r="G169" s="241"/>
      <c r="H169" s="467"/>
      <c r="I169" s="521">
        <f t="shared" si="64"/>
        <v>0</v>
      </c>
      <c r="J169" s="467"/>
      <c r="K169" s="242"/>
      <c r="L169" s="430"/>
      <c r="M169" s="430"/>
      <c r="N169" s="469">
        <f t="shared" si="39"/>
        <v>0</v>
      </c>
      <c r="O169" s="430"/>
      <c r="P169" s="430"/>
      <c r="Q169" s="103"/>
      <c r="R169" s="429"/>
      <c r="S169" s="521">
        <f t="shared" si="65"/>
        <v>0</v>
      </c>
      <c r="T169" s="467"/>
      <c r="U169" s="242"/>
      <c r="V169" s="103"/>
      <c r="W169" s="429"/>
      <c r="X169" s="449">
        <f t="shared" si="41"/>
        <v>0</v>
      </c>
      <c r="Y169" s="429"/>
      <c r="Z169" s="532"/>
      <c r="AA169" s="523"/>
      <c r="AB169" s="523"/>
      <c r="AC169" s="449">
        <f t="shared" si="42"/>
        <v>0</v>
      </c>
      <c r="AD169" s="429"/>
      <c r="AE169" s="429"/>
      <c r="AF169" s="126"/>
      <c r="AG169" s="265" t="str">
        <f t="shared" si="47"/>
        <v/>
      </c>
      <c r="AH169" s="515" t="str">
        <f t="shared" si="48"/>
        <v/>
      </c>
      <c r="AI169" s="515" t="str">
        <f t="shared" si="49"/>
        <v/>
      </c>
      <c r="AJ169" s="515" t="str">
        <f t="shared" si="50"/>
        <v/>
      </c>
      <c r="AK169" s="187" t="str">
        <f t="shared" si="51"/>
        <v/>
      </c>
      <c r="AL169" s="266" t="str">
        <f t="shared" si="52"/>
        <v/>
      </c>
      <c r="AM169" s="516" t="str">
        <f t="shared" si="53"/>
        <v/>
      </c>
      <c r="AN169" s="516" t="str">
        <f t="shared" si="54"/>
        <v/>
      </c>
      <c r="AO169" s="516" t="str">
        <f t="shared" si="55"/>
        <v/>
      </c>
      <c r="AP169" s="267" t="str">
        <f t="shared" si="56"/>
        <v/>
      </c>
      <c r="AQ169" s="268" t="str">
        <f t="shared" si="57"/>
        <v/>
      </c>
      <c r="AR169" s="450" t="str">
        <f t="shared" si="58"/>
        <v/>
      </c>
      <c r="AS169" s="450" t="str">
        <f t="shared" si="59"/>
        <v/>
      </c>
      <c r="AT169" s="450" t="str">
        <f t="shared" si="60"/>
        <v/>
      </c>
      <c r="AU169" s="269" t="str">
        <f t="shared" si="61"/>
        <v/>
      </c>
    </row>
    <row r="170" spans="1:47" ht="15.75" customHeight="1">
      <c r="A170" s="175">
        <f t="shared" si="44"/>
        <v>2024</v>
      </c>
      <c r="B170" s="454" t="str">
        <f t="shared" si="45"/>
        <v>08</v>
      </c>
      <c r="C170" s="454" t="str">
        <f t="array" ref="C170">_xlfn.IFS(_xlfn.NUMBERVALUE(B170)&lt;=13,"Q1",AND(_xlfn.NUMBERVALUE(B170)&gt;13,_xlfn.NUMBERVALUE(B170)&lt;=26),"Q2", AND(_xlfn.NUMBERVALUE(B170)&gt;26,_xlfn.NUMBERVALUE(B170)&lt;=39),"Q3",_xlfn.NUMBERVALUE(B170)&gt;39,"Q4")</f>
        <v>Q1</v>
      </c>
      <c r="D170" s="448">
        <f t="shared" si="62"/>
        <v>45003</v>
      </c>
      <c r="E170" s="448">
        <f t="shared" si="46"/>
        <v>45009</v>
      </c>
      <c r="F170" s="97">
        <v>202308</v>
      </c>
      <c r="G170" s="241"/>
      <c r="H170" s="467"/>
      <c r="I170" s="521">
        <f t="shared" si="64"/>
        <v>0</v>
      </c>
      <c r="J170" s="467"/>
      <c r="K170" s="242"/>
      <c r="L170" s="430"/>
      <c r="M170" s="430"/>
      <c r="N170" s="469">
        <f t="shared" si="39"/>
        <v>0</v>
      </c>
      <c r="O170" s="430"/>
      <c r="P170" s="430"/>
      <c r="Q170" s="103"/>
      <c r="R170" s="429"/>
      <c r="S170" s="521">
        <f t="shared" si="65"/>
        <v>0</v>
      </c>
      <c r="T170" s="467"/>
      <c r="U170" s="242"/>
      <c r="V170" s="103"/>
      <c r="W170" s="429"/>
      <c r="X170" s="449">
        <f t="shared" si="41"/>
        <v>0</v>
      </c>
      <c r="Y170" s="429"/>
      <c r="Z170" s="532"/>
      <c r="AA170" s="523"/>
      <c r="AB170" s="523"/>
      <c r="AC170" s="449">
        <f t="shared" si="42"/>
        <v>0</v>
      </c>
      <c r="AD170" s="429"/>
      <c r="AE170" s="429"/>
      <c r="AF170" s="126"/>
      <c r="AG170" s="265" t="str">
        <f t="shared" si="47"/>
        <v/>
      </c>
      <c r="AH170" s="515" t="str">
        <f t="shared" si="48"/>
        <v/>
      </c>
      <c r="AI170" s="515" t="str">
        <f t="shared" si="49"/>
        <v/>
      </c>
      <c r="AJ170" s="515" t="str">
        <f t="shared" si="50"/>
        <v/>
      </c>
      <c r="AK170" s="187" t="str">
        <f t="shared" si="51"/>
        <v/>
      </c>
      <c r="AL170" s="266" t="str">
        <f t="shared" si="52"/>
        <v/>
      </c>
      <c r="AM170" s="516" t="str">
        <f t="shared" si="53"/>
        <v/>
      </c>
      <c r="AN170" s="516" t="str">
        <f t="shared" si="54"/>
        <v/>
      </c>
      <c r="AO170" s="516" t="str">
        <f t="shared" si="55"/>
        <v/>
      </c>
      <c r="AP170" s="267" t="str">
        <f t="shared" si="56"/>
        <v/>
      </c>
      <c r="AQ170" s="268" t="str">
        <f t="shared" si="57"/>
        <v/>
      </c>
      <c r="AR170" s="450" t="str">
        <f t="shared" si="58"/>
        <v/>
      </c>
      <c r="AS170" s="450" t="str">
        <f t="shared" si="59"/>
        <v/>
      </c>
      <c r="AT170" s="450" t="str">
        <f t="shared" si="60"/>
        <v/>
      </c>
      <c r="AU170" s="269" t="str">
        <f t="shared" si="61"/>
        <v/>
      </c>
    </row>
    <row r="171" spans="1:47" ht="15.75" customHeight="1">
      <c r="A171" s="175">
        <f t="shared" si="44"/>
        <v>2024</v>
      </c>
      <c r="B171" s="454" t="str">
        <f t="shared" si="45"/>
        <v>09</v>
      </c>
      <c r="C171" s="454" t="str">
        <f t="array" ref="C171">_xlfn.IFS(_xlfn.NUMBERVALUE(B171)&lt;=13,"Q1",AND(_xlfn.NUMBERVALUE(B171)&gt;13,_xlfn.NUMBERVALUE(B171)&lt;=26),"Q2", AND(_xlfn.NUMBERVALUE(B171)&gt;26,_xlfn.NUMBERVALUE(B171)&lt;=39),"Q3",_xlfn.NUMBERVALUE(B171)&gt;39,"Q4")</f>
        <v>Q1</v>
      </c>
      <c r="D171" s="448">
        <f t="shared" si="62"/>
        <v>45010</v>
      </c>
      <c r="E171" s="448">
        <f t="shared" si="46"/>
        <v>45016</v>
      </c>
      <c r="F171" s="97">
        <v>202309</v>
      </c>
      <c r="G171" s="241"/>
      <c r="H171" s="467"/>
      <c r="I171" s="521">
        <f t="shared" si="64"/>
        <v>0</v>
      </c>
      <c r="J171" s="467"/>
      <c r="K171" s="242"/>
      <c r="L171" s="430"/>
      <c r="M171" s="430"/>
      <c r="N171" s="469">
        <f t="shared" si="39"/>
        <v>0</v>
      </c>
      <c r="O171" s="430"/>
      <c r="P171" s="430"/>
      <c r="Q171" s="103"/>
      <c r="R171" s="429"/>
      <c r="S171" s="521">
        <f t="shared" si="65"/>
        <v>0</v>
      </c>
      <c r="T171" s="467"/>
      <c r="U171" s="242"/>
      <c r="V171" s="103"/>
      <c r="W171" s="429"/>
      <c r="X171" s="449">
        <f t="shared" si="41"/>
        <v>0</v>
      </c>
      <c r="Y171" s="429"/>
      <c r="Z171" s="532"/>
      <c r="AA171" s="523"/>
      <c r="AB171" s="523"/>
      <c r="AC171" s="449">
        <f t="shared" si="42"/>
        <v>0</v>
      </c>
      <c r="AD171" s="429"/>
      <c r="AE171" s="429"/>
      <c r="AF171" s="126"/>
      <c r="AG171" s="265" t="str">
        <f t="shared" si="47"/>
        <v/>
      </c>
      <c r="AH171" s="515" t="str">
        <f t="shared" si="48"/>
        <v/>
      </c>
      <c r="AI171" s="515" t="str">
        <f t="shared" si="49"/>
        <v/>
      </c>
      <c r="AJ171" s="515" t="str">
        <f t="shared" si="50"/>
        <v/>
      </c>
      <c r="AK171" s="187" t="str">
        <f t="shared" si="51"/>
        <v/>
      </c>
      <c r="AL171" s="266" t="str">
        <f t="shared" si="52"/>
        <v/>
      </c>
      <c r="AM171" s="516" t="str">
        <f t="shared" si="53"/>
        <v/>
      </c>
      <c r="AN171" s="516" t="str">
        <f t="shared" si="54"/>
        <v/>
      </c>
      <c r="AO171" s="516" t="str">
        <f t="shared" si="55"/>
        <v/>
      </c>
      <c r="AP171" s="267" t="str">
        <f t="shared" si="56"/>
        <v/>
      </c>
      <c r="AQ171" s="268" t="str">
        <f t="shared" si="57"/>
        <v/>
      </c>
      <c r="AR171" s="450" t="str">
        <f t="shared" si="58"/>
        <v/>
      </c>
      <c r="AS171" s="450" t="str">
        <f t="shared" si="59"/>
        <v/>
      </c>
      <c r="AT171" s="450" t="str">
        <f t="shared" si="60"/>
        <v/>
      </c>
      <c r="AU171" s="269" t="str">
        <f t="shared" si="61"/>
        <v/>
      </c>
    </row>
    <row r="172" spans="1:47" ht="15.75" customHeight="1">
      <c r="A172" s="175">
        <f t="shared" si="44"/>
        <v>2024</v>
      </c>
      <c r="B172" s="454" t="str">
        <f t="shared" si="45"/>
        <v>10</v>
      </c>
      <c r="C172" s="454" t="str">
        <f t="array" ref="C172">_xlfn.IFS(_xlfn.NUMBERVALUE(B172)&lt;=13,"Q1",AND(_xlfn.NUMBERVALUE(B172)&gt;13,_xlfn.NUMBERVALUE(B172)&lt;=26),"Q2", AND(_xlfn.NUMBERVALUE(B172)&gt;26,_xlfn.NUMBERVALUE(B172)&lt;=39),"Q3",_xlfn.NUMBERVALUE(B172)&gt;39,"Q4")</f>
        <v>Q1</v>
      </c>
      <c r="D172" s="448">
        <f t="shared" si="62"/>
        <v>45017</v>
      </c>
      <c r="E172" s="448">
        <f t="shared" si="46"/>
        <v>45023</v>
      </c>
      <c r="F172" s="97">
        <v>202310</v>
      </c>
      <c r="G172" s="241"/>
      <c r="H172" s="467"/>
      <c r="I172" s="521">
        <f t="shared" si="64"/>
        <v>0</v>
      </c>
      <c r="J172" s="467"/>
      <c r="K172" s="242"/>
      <c r="L172" s="430"/>
      <c r="M172" s="430"/>
      <c r="N172" s="469">
        <f t="shared" si="39"/>
        <v>0</v>
      </c>
      <c r="O172" s="430"/>
      <c r="P172" s="430"/>
      <c r="Q172" s="103"/>
      <c r="R172" s="429"/>
      <c r="S172" s="521">
        <f t="shared" si="65"/>
        <v>0</v>
      </c>
      <c r="T172" s="467"/>
      <c r="U172" s="242"/>
      <c r="V172" s="103"/>
      <c r="W172" s="429"/>
      <c r="X172" s="449">
        <f t="shared" si="41"/>
        <v>0</v>
      </c>
      <c r="Y172" s="429"/>
      <c r="Z172" s="532"/>
      <c r="AA172" s="523"/>
      <c r="AB172" s="523"/>
      <c r="AC172" s="449">
        <f t="shared" si="42"/>
        <v>0</v>
      </c>
      <c r="AD172" s="429"/>
      <c r="AE172" s="429"/>
      <c r="AF172" s="126"/>
      <c r="AG172" s="265" t="str">
        <f t="shared" si="47"/>
        <v/>
      </c>
      <c r="AH172" s="515" t="str">
        <f t="shared" si="48"/>
        <v/>
      </c>
      <c r="AI172" s="515" t="str">
        <f t="shared" si="49"/>
        <v/>
      </c>
      <c r="AJ172" s="515" t="str">
        <f t="shared" si="50"/>
        <v/>
      </c>
      <c r="AK172" s="187" t="str">
        <f t="shared" si="51"/>
        <v/>
      </c>
      <c r="AL172" s="266" t="str">
        <f t="shared" si="52"/>
        <v/>
      </c>
      <c r="AM172" s="516" t="str">
        <f t="shared" si="53"/>
        <v/>
      </c>
      <c r="AN172" s="516" t="str">
        <f t="shared" si="54"/>
        <v/>
      </c>
      <c r="AO172" s="516" t="str">
        <f t="shared" si="55"/>
        <v/>
      </c>
      <c r="AP172" s="267" t="str">
        <f t="shared" si="56"/>
        <v/>
      </c>
      <c r="AQ172" s="268" t="str">
        <f t="shared" si="57"/>
        <v/>
      </c>
      <c r="AR172" s="450" t="str">
        <f t="shared" si="58"/>
        <v/>
      </c>
      <c r="AS172" s="450" t="str">
        <f t="shared" si="59"/>
        <v/>
      </c>
      <c r="AT172" s="450" t="str">
        <f t="shared" si="60"/>
        <v/>
      </c>
      <c r="AU172" s="269" t="str">
        <f t="shared" si="61"/>
        <v/>
      </c>
    </row>
    <row r="173" spans="1:47" ht="15.75" customHeight="1">
      <c r="A173" s="175">
        <f t="shared" si="44"/>
        <v>2024</v>
      </c>
      <c r="B173" s="454" t="str">
        <f t="shared" si="45"/>
        <v>11</v>
      </c>
      <c r="C173" s="454" t="str">
        <f t="array" ref="C173">_xlfn.IFS(_xlfn.NUMBERVALUE(B173)&lt;=13,"Q1",AND(_xlfn.NUMBERVALUE(B173)&gt;13,_xlfn.NUMBERVALUE(B173)&lt;=26),"Q2", AND(_xlfn.NUMBERVALUE(B173)&gt;26,_xlfn.NUMBERVALUE(B173)&lt;=39),"Q3",_xlfn.NUMBERVALUE(B173)&gt;39,"Q4")</f>
        <v>Q1</v>
      </c>
      <c r="D173" s="448">
        <f t="shared" si="62"/>
        <v>45024</v>
      </c>
      <c r="E173" s="448">
        <f t="shared" si="46"/>
        <v>45030</v>
      </c>
      <c r="F173" s="97">
        <v>202311</v>
      </c>
      <c r="G173" s="241"/>
      <c r="H173" s="467"/>
      <c r="I173" s="521">
        <f t="shared" si="64"/>
        <v>0</v>
      </c>
      <c r="J173" s="467"/>
      <c r="K173" s="242"/>
      <c r="L173" s="430"/>
      <c r="M173" s="430"/>
      <c r="N173" s="469">
        <f t="shared" si="39"/>
        <v>0</v>
      </c>
      <c r="O173" s="430"/>
      <c r="P173" s="430"/>
      <c r="Q173" s="103"/>
      <c r="R173" s="429"/>
      <c r="S173" s="521">
        <f t="shared" si="65"/>
        <v>0</v>
      </c>
      <c r="T173" s="467"/>
      <c r="U173" s="242"/>
      <c r="V173" s="103"/>
      <c r="W173" s="429"/>
      <c r="X173" s="449">
        <f t="shared" si="41"/>
        <v>0</v>
      </c>
      <c r="Y173" s="429"/>
      <c r="Z173" s="532"/>
      <c r="AA173" s="523"/>
      <c r="AB173" s="523"/>
      <c r="AC173" s="449">
        <f t="shared" si="42"/>
        <v>0</v>
      </c>
      <c r="AD173" s="429"/>
      <c r="AE173" s="429"/>
      <c r="AF173" s="126"/>
      <c r="AG173" s="265" t="str">
        <f t="shared" si="47"/>
        <v/>
      </c>
      <c r="AH173" s="515" t="str">
        <f t="shared" si="48"/>
        <v/>
      </c>
      <c r="AI173" s="515" t="str">
        <f t="shared" si="49"/>
        <v/>
      </c>
      <c r="AJ173" s="515" t="str">
        <f t="shared" si="50"/>
        <v/>
      </c>
      <c r="AK173" s="187" t="str">
        <f t="shared" si="51"/>
        <v/>
      </c>
      <c r="AL173" s="266" t="str">
        <f t="shared" si="52"/>
        <v/>
      </c>
      <c r="AM173" s="516" t="str">
        <f t="shared" si="53"/>
        <v/>
      </c>
      <c r="AN173" s="516" t="str">
        <f t="shared" si="54"/>
        <v/>
      </c>
      <c r="AO173" s="516" t="str">
        <f t="shared" si="55"/>
        <v/>
      </c>
      <c r="AP173" s="267" t="str">
        <f t="shared" si="56"/>
        <v/>
      </c>
      <c r="AQ173" s="268" t="str">
        <f t="shared" si="57"/>
        <v/>
      </c>
      <c r="AR173" s="450" t="str">
        <f t="shared" si="58"/>
        <v/>
      </c>
      <c r="AS173" s="450" t="str">
        <f t="shared" si="59"/>
        <v/>
      </c>
      <c r="AT173" s="450" t="str">
        <f t="shared" si="60"/>
        <v/>
      </c>
      <c r="AU173" s="269" t="str">
        <f t="shared" si="61"/>
        <v/>
      </c>
    </row>
    <row r="174" spans="1:47" ht="15.75" customHeight="1">
      <c r="A174" s="175">
        <f t="shared" si="44"/>
        <v>2024</v>
      </c>
      <c r="B174" s="454" t="str">
        <f t="shared" si="45"/>
        <v>12</v>
      </c>
      <c r="C174" s="454" t="str">
        <f t="array" ref="C174">_xlfn.IFS(_xlfn.NUMBERVALUE(B174)&lt;=13,"Q1",AND(_xlfn.NUMBERVALUE(B174)&gt;13,_xlfn.NUMBERVALUE(B174)&lt;=26),"Q2", AND(_xlfn.NUMBERVALUE(B174)&gt;26,_xlfn.NUMBERVALUE(B174)&lt;=39),"Q3",_xlfn.NUMBERVALUE(B174)&gt;39,"Q4")</f>
        <v>Q1</v>
      </c>
      <c r="D174" s="448">
        <f t="shared" si="62"/>
        <v>45031</v>
      </c>
      <c r="E174" s="448">
        <f t="shared" si="46"/>
        <v>45037</v>
      </c>
      <c r="F174" s="97">
        <v>202312</v>
      </c>
      <c r="G174" s="241"/>
      <c r="H174" s="467"/>
      <c r="I174" s="521">
        <f t="shared" si="64"/>
        <v>0</v>
      </c>
      <c r="J174" s="467"/>
      <c r="K174" s="242"/>
      <c r="L174" s="430"/>
      <c r="M174" s="430"/>
      <c r="N174" s="469">
        <f t="shared" si="39"/>
        <v>0</v>
      </c>
      <c r="O174" s="430"/>
      <c r="P174" s="430"/>
      <c r="Q174" s="103"/>
      <c r="R174" s="429"/>
      <c r="S174" s="521">
        <f t="shared" si="65"/>
        <v>0</v>
      </c>
      <c r="T174" s="467"/>
      <c r="U174" s="242"/>
      <c r="V174" s="103"/>
      <c r="W174" s="429"/>
      <c r="X174" s="449">
        <f t="shared" si="41"/>
        <v>0</v>
      </c>
      <c r="Y174" s="429"/>
      <c r="Z174" s="532"/>
      <c r="AA174" s="523"/>
      <c r="AB174" s="523"/>
      <c r="AC174" s="449">
        <f t="shared" si="42"/>
        <v>0</v>
      </c>
      <c r="AD174" s="429"/>
      <c r="AE174" s="429"/>
      <c r="AF174" s="126"/>
      <c r="AG174" s="265" t="str">
        <f t="shared" si="47"/>
        <v/>
      </c>
      <c r="AH174" s="515" t="str">
        <f t="shared" si="48"/>
        <v/>
      </c>
      <c r="AI174" s="515" t="str">
        <f t="shared" si="49"/>
        <v/>
      </c>
      <c r="AJ174" s="515" t="str">
        <f t="shared" si="50"/>
        <v/>
      </c>
      <c r="AK174" s="187" t="str">
        <f t="shared" si="51"/>
        <v/>
      </c>
      <c r="AL174" s="266" t="str">
        <f t="shared" si="52"/>
        <v/>
      </c>
      <c r="AM174" s="516" t="str">
        <f t="shared" si="53"/>
        <v/>
      </c>
      <c r="AN174" s="516" t="str">
        <f t="shared" si="54"/>
        <v/>
      </c>
      <c r="AO174" s="516" t="str">
        <f t="shared" si="55"/>
        <v/>
      </c>
      <c r="AP174" s="267" t="str">
        <f t="shared" si="56"/>
        <v/>
      </c>
      <c r="AQ174" s="268" t="str">
        <f t="shared" si="57"/>
        <v/>
      </c>
      <c r="AR174" s="450" t="str">
        <f t="shared" si="58"/>
        <v/>
      </c>
      <c r="AS174" s="450" t="str">
        <f t="shared" si="59"/>
        <v/>
      </c>
      <c r="AT174" s="450" t="str">
        <f t="shared" si="60"/>
        <v/>
      </c>
      <c r="AU174" s="269" t="str">
        <f t="shared" si="61"/>
        <v/>
      </c>
    </row>
    <row r="175" spans="1:47" ht="15.75" customHeight="1">
      <c r="A175" s="175">
        <f t="shared" si="44"/>
        <v>2024</v>
      </c>
      <c r="B175" s="454" t="str">
        <f t="shared" si="45"/>
        <v>13</v>
      </c>
      <c r="C175" s="454" t="str">
        <f t="array" ref="C175">_xlfn.IFS(_xlfn.NUMBERVALUE(B175)&lt;=13,"Q1",AND(_xlfn.NUMBERVALUE(B175)&gt;13,_xlfn.NUMBERVALUE(B175)&lt;=26),"Q2", AND(_xlfn.NUMBERVALUE(B175)&gt;26,_xlfn.NUMBERVALUE(B175)&lt;=39),"Q3",_xlfn.NUMBERVALUE(B175)&gt;39,"Q4")</f>
        <v>Q1</v>
      </c>
      <c r="D175" s="448">
        <f t="shared" si="62"/>
        <v>45038</v>
      </c>
      <c r="E175" s="448">
        <f t="shared" si="46"/>
        <v>45044</v>
      </c>
      <c r="F175" s="97">
        <v>202313</v>
      </c>
      <c r="G175" s="241"/>
      <c r="H175" s="467"/>
      <c r="I175" s="521">
        <f t="shared" si="64"/>
        <v>0</v>
      </c>
      <c r="J175" s="467"/>
      <c r="K175" s="242"/>
      <c r="L175" s="430"/>
      <c r="M175" s="430"/>
      <c r="N175" s="469">
        <f t="shared" ref="N175:N238" si="66">SUM(L175:M175)</f>
        <v>0</v>
      </c>
      <c r="O175" s="430"/>
      <c r="P175" s="430"/>
      <c r="Q175" s="103"/>
      <c r="R175" s="429"/>
      <c r="S175" s="521">
        <f t="shared" si="65"/>
        <v>0</v>
      </c>
      <c r="T175" s="467"/>
      <c r="U175" s="242"/>
      <c r="V175" s="103"/>
      <c r="W175" s="429"/>
      <c r="X175" s="449">
        <f t="shared" ref="X175:X238" si="67">SUM(V175:W175)</f>
        <v>0</v>
      </c>
      <c r="Y175" s="429"/>
      <c r="Z175" s="532"/>
      <c r="AA175" s="523"/>
      <c r="AB175" s="523"/>
      <c r="AC175" s="449">
        <f t="shared" si="42"/>
        <v>0</v>
      </c>
      <c r="AD175" s="429"/>
      <c r="AE175" s="429"/>
      <c r="AF175" s="126"/>
      <c r="AG175" s="265" t="str">
        <f t="shared" si="47"/>
        <v/>
      </c>
      <c r="AH175" s="515" t="str">
        <f t="shared" si="48"/>
        <v/>
      </c>
      <c r="AI175" s="515" t="str">
        <f t="shared" si="49"/>
        <v/>
      </c>
      <c r="AJ175" s="515" t="str">
        <f t="shared" si="50"/>
        <v/>
      </c>
      <c r="AK175" s="187" t="str">
        <f t="shared" si="51"/>
        <v/>
      </c>
      <c r="AL175" s="266" t="str">
        <f t="shared" si="52"/>
        <v/>
      </c>
      <c r="AM175" s="516" t="str">
        <f t="shared" si="53"/>
        <v/>
      </c>
      <c r="AN175" s="516" t="str">
        <f t="shared" si="54"/>
        <v/>
      </c>
      <c r="AO175" s="516" t="str">
        <f t="shared" si="55"/>
        <v/>
      </c>
      <c r="AP175" s="267" t="str">
        <f t="shared" si="56"/>
        <v/>
      </c>
      <c r="AQ175" s="268" t="str">
        <f t="shared" si="57"/>
        <v/>
      </c>
      <c r="AR175" s="450" t="str">
        <f t="shared" si="58"/>
        <v/>
      </c>
      <c r="AS175" s="450" t="str">
        <f t="shared" si="59"/>
        <v/>
      </c>
      <c r="AT175" s="450" t="str">
        <f t="shared" si="60"/>
        <v/>
      </c>
      <c r="AU175" s="269" t="str">
        <f t="shared" si="61"/>
        <v/>
      </c>
    </row>
    <row r="176" spans="1:47" ht="15.75" customHeight="1">
      <c r="A176" s="175">
        <f t="shared" si="44"/>
        <v>2024</v>
      </c>
      <c r="B176" s="454" t="str">
        <f t="shared" si="45"/>
        <v>14</v>
      </c>
      <c r="C176" s="454" t="str">
        <f t="array" ref="C176">_xlfn.IFS(_xlfn.NUMBERVALUE(B176)&lt;=13,"Q1",AND(_xlfn.NUMBERVALUE(B176)&gt;13,_xlfn.NUMBERVALUE(B176)&lt;=26),"Q2", AND(_xlfn.NUMBERVALUE(B176)&gt;26,_xlfn.NUMBERVALUE(B176)&lt;=39),"Q3",_xlfn.NUMBERVALUE(B176)&gt;39,"Q4")</f>
        <v>Q2</v>
      </c>
      <c r="D176" s="448">
        <f t="shared" si="62"/>
        <v>45045</v>
      </c>
      <c r="E176" s="448">
        <f t="shared" si="46"/>
        <v>45051</v>
      </c>
      <c r="F176" s="97">
        <v>202314</v>
      </c>
      <c r="G176" s="241"/>
      <c r="H176" s="467"/>
      <c r="I176" s="521">
        <f t="shared" si="64"/>
        <v>0</v>
      </c>
      <c r="J176" s="467"/>
      <c r="K176" s="242"/>
      <c r="L176" s="430"/>
      <c r="M176" s="430"/>
      <c r="N176" s="469">
        <f t="shared" si="66"/>
        <v>0</v>
      </c>
      <c r="O176" s="430"/>
      <c r="P176" s="430"/>
      <c r="Q176" s="103"/>
      <c r="R176" s="429"/>
      <c r="S176" s="521">
        <f t="shared" si="65"/>
        <v>0</v>
      </c>
      <c r="T176" s="467"/>
      <c r="U176" s="242"/>
      <c r="V176" s="103"/>
      <c r="W176" s="429"/>
      <c r="X176" s="449">
        <f t="shared" si="67"/>
        <v>0</v>
      </c>
      <c r="Y176" s="429"/>
      <c r="Z176" s="532"/>
      <c r="AA176" s="523"/>
      <c r="AB176" s="523"/>
      <c r="AC176" s="449">
        <f t="shared" ref="AC176:AC239" si="68">SUM(AA176:AB176)</f>
        <v>0</v>
      </c>
      <c r="AD176" s="429"/>
      <c r="AE176" s="429"/>
      <c r="AF176" s="126"/>
      <c r="AG176" s="265" t="str">
        <f t="shared" si="47"/>
        <v/>
      </c>
      <c r="AH176" s="515" t="str">
        <f t="shared" si="48"/>
        <v/>
      </c>
      <c r="AI176" s="515" t="str">
        <f t="shared" si="49"/>
        <v/>
      </c>
      <c r="AJ176" s="515" t="str">
        <f t="shared" si="50"/>
        <v/>
      </c>
      <c r="AK176" s="187" t="str">
        <f t="shared" si="51"/>
        <v/>
      </c>
      <c r="AL176" s="266" t="str">
        <f t="shared" si="52"/>
        <v/>
      </c>
      <c r="AM176" s="516" t="str">
        <f t="shared" si="53"/>
        <v/>
      </c>
      <c r="AN176" s="516" t="str">
        <f t="shared" si="54"/>
        <v/>
      </c>
      <c r="AO176" s="516" t="str">
        <f t="shared" si="55"/>
        <v/>
      </c>
      <c r="AP176" s="267" t="str">
        <f t="shared" si="56"/>
        <v/>
      </c>
      <c r="AQ176" s="268" t="str">
        <f t="shared" si="57"/>
        <v/>
      </c>
      <c r="AR176" s="450" t="str">
        <f t="shared" si="58"/>
        <v/>
      </c>
      <c r="AS176" s="450" t="str">
        <f t="shared" si="59"/>
        <v/>
      </c>
      <c r="AT176" s="450" t="str">
        <f t="shared" si="60"/>
        <v/>
      </c>
      <c r="AU176" s="269" t="str">
        <f t="shared" si="61"/>
        <v/>
      </c>
    </row>
    <row r="177" spans="1:47" ht="15.75" customHeight="1">
      <c r="A177" s="175">
        <f t="shared" si="44"/>
        <v>2024</v>
      </c>
      <c r="B177" s="454" t="str">
        <f t="shared" si="45"/>
        <v>15</v>
      </c>
      <c r="C177" s="454" t="str">
        <f t="array" ref="C177">_xlfn.IFS(_xlfn.NUMBERVALUE(B177)&lt;=13,"Q1",AND(_xlfn.NUMBERVALUE(B177)&gt;13,_xlfn.NUMBERVALUE(B177)&lt;=26),"Q2", AND(_xlfn.NUMBERVALUE(B177)&gt;26,_xlfn.NUMBERVALUE(B177)&lt;=39),"Q3",_xlfn.NUMBERVALUE(B177)&gt;39,"Q4")</f>
        <v>Q2</v>
      </c>
      <c r="D177" s="448">
        <f t="shared" si="62"/>
        <v>45052</v>
      </c>
      <c r="E177" s="448">
        <f t="shared" si="46"/>
        <v>45058</v>
      </c>
      <c r="F177" s="97">
        <v>202315</v>
      </c>
      <c r="G177" s="241"/>
      <c r="H177" s="467"/>
      <c r="I177" s="521">
        <f t="shared" si="64"/>
        <v>0</v>
      </c>
      <c r="J177" s="467"/>
      <c r="K177" s="242"/>
      <c r="L177" s="430"/>
      <c r="M177" s="430"/>
      <c r="N177" s="469">
        <f t="shared" si="66"/>
        <v>0</v>
      </c>
      <c r="O177" s="430"/>
      <c r="P177" s="430"/>
      <c r="Q177" s="103"/>
      <c r="R177" s="429"/>
      <c r="S177" s="521">
        <f t="shared" si="65"/>
        <v>0</v>
      </c>
      <c r="T177" s="467"/>
      <c r="U177" s="242"/>
      <c r="V177" s="103"/>
      <c r="W177" s="429"/>
      <c r="X177" s="449">
        <f t="shared" si="67"/>
        <v>0</v>
      </c>
      <c r="Y177" s="429"/>
      <c r="Z177" s="532"/>
      <c r="AA177" s="523"/>
      <c r="AB177" s="523"/>
      <c r="AC177" s="449">
        <f t="shared" si="68"/>
        <v>0</v>
      </c>
      <c r="AD177" s="429"/>
      <c r="AE177" s="429"/>
      <c r="AF177" s="126"/>
      <c r="AG177" s="265" t="str">
        <f t="shared" si="47"/>
        <v/>
      </c>
      <c r="AH177" s="515" t="str">
        <f t="shared" si="48"/>
        <v/>
      </c>
      <c r="AI177" s="515" t="str">
        <f t="shared" si="49"/>
        <v/>
      </c>
      <c r="AJ177" s="515" t="str">
        <f t="shared" si="50"/>
        <v/>
      </c>
      <c r="AK177" s="187" t="str">
        <f t="shared" si="51"/>
        <v/>
      </c>
      <c r="AL177" s="266" t="str">
        <f t="shared" si="52"/>
        <v/>
      </c>
      <c r="AM177" s="516" t="str">
        <f t="shared" si="53"/>
        <v/>
      </c>
      <c r="AN177" s="516" t="str">
        <f t="shared" si="54"/>
        <v/>
      </c>
      <c r="AO177" s="516" t="str">
        <f t="shared" si="55"/>
        <v/>
      </c>
      <c r="AP177" s="267" t="str">
        <f t="shared" si="56"/>
        <v/>
      </c>
      <c r="AQ177" s="268" t="str">
        <f t="shared" si="57"/>
        <v/>
      </c>
      <c r="AR177" s="450" t="str">
        <f t="shared" si="58"/>
        <v/>
      </c>
      <c r="AS177" s="450" t="str">
        <f t="shared" si="59"/>
        <v/>
      </c>
      <c r="AT177" s="450" t="str">
        <f t="shared" si="60"/>
        <v/>
      </c>
      <c r="AU177" s="269" t="str">
        <f t="shared" si="61"/>
        <v/>
      </c>
    </row>
    <row r="178" spans="1:47" ht="15.75" customHeight="1">
      <c r="A178" s="175">
        <f t="shared" si="44"/>
        <v>2024</v>
      </c>
      <c r="B178" s="454" t="str">
        <f t="shared" si="45"/>
        <v>16</v>
      </c>
      <c r="C178" s="454" t="str">
        <f t="array" ref="C178">_xlfn.IFS(_xlfn.NUMBERVALUE(B178)&lt;=13,"Q1",AND(_xlfn.NUMBERVALUE(B178)&gt;13,_xlfn.NUMBERVALUE(B178)&lt;=26),"Q2", AND(_xlfn.NUMBERVALUE(B178)&gt;26,_xlfn.NUMBERVALUE(B178)&lt;=39),"Q3",_xlfn.NUMBERVALUE(B178)&gt;39,"Q4")</f>
        <v>Q2</v>
      </c>
      <c r="D178" s="448">
        <f t="shared" si="62"/>
        <v>45059</v>
      </c>
      <c r="E178" s="448">
        <f t="shared" si="46"/>
        <v>45065</v>
      </c>
      <c r="F178" s="97">
        <v>202316</v>
      </c>
      <c r="G178" s="241"/>
      <c r="H178" s="467"/>
      <c r="I178" s="521">
        <f t="shared" si="64"/>
        <v>0</v>
      </c>
      <c r="J178" s="467"/>
      <c r="K178" s="242"/>
      <c r="L178" s="430"/>
      <c r="M178" s="430"/>
      <c r="N178" s="469">
        <f t="shared" si="66"/>
        <v>0</v>
      </c>
      <c r="O178" s="430"/>
      <c r="P178" s="430"/>
      <c r="Q178" s="103"/>
      <c r="R178" s="429"/>
      <c r="S178" s="521">
        <f t="shared" si="65"/>
        <v>0</v>
      </c>
      <c r="T178" s="467"/>
      <c r="U178" s="242"/>
      <c r="V178" s="103"/>
      <c r="W178" s="429"/>
      <c r="X178" s="449">
        <f t="shared" si="67"/>
        <v>0</v>
      </c>
      <c r="Y178" s="429"/>
      <c r="Z178" s="532"/>
      <c r="AA178" s="523"/>
      <c r="AB178" s="523"/>
      <c r="AC178" s="449">
        <f t="shared" si="68"/>
        <v>0</v>
      </c>
      <c r="AD178" s="429"/>
      <c r="AE178" s="429"/>
      <c r="AF178" s="126"/>
      <c r="AG178" s="265" t="str">
        <f t="shared" si="47"/>
        <v/>
      </c>
      <c r="AH178" s="515" t="str">
        <f t="shared" si="48"/>
        <v/>
      </c>
      <c r="AI178" s="515" t="str">
        <f t="shared" si="49"/>
        <v/>
      </c>
      <c r="AJ178" s="515" t="str">
        <f t="shared" si="50"/>
        <v/>
      </c>
      <c r="AK178" s="187" t="str">
        <f t="shared" si="51"/>
        <v/>
      </c>
      <c r="AL178" s="266" t="str">
        <f t="shared" si="52"/>
        <v/>
      </c>
      <c r="AM178" s="516" t="str">
        <f t="shared" si="53"/>
        <v/>
      </c>
      <c r="AN178" s="516" t="str">
        <f t="shared" si="54"/>
        <v/>
      </c>
      <c r="AO178" s="516" t="str">
        <f t="shared" si="55"/>
        <v/>
      </c>
      <c r="AP178" s="267" t="str">
        <f t="shared" si="56"/>
        <v/>
      </c>
      <c r="AQ178" s="268" t="str">
        <f t="shared" si="57"/>
        <v/>
      </c>
      <c r="AR178" s="450" t="str">
        <f t="shared" si="58"/>
        <v/>
      </c>
      <c r="AS178" s="450" t="str">
        <f t="shared" si="59"/>
        <v/>
      </c>
      <c r="AT178" s="450" t="str">
        <f t="shared" si="60"/>
        <v/>
      </c>
      <c r="AU178" s="269" t="str">
        <f t="shared" si="61"/>
        <v/>
      </c>
    </row>
    <row r="179" spans="1:47" ht="15.75" customHeight="1">
      <c r="A179" s="175">
        <f t="shared" si="44"/>
        <v>2024</v>
      </c>
      <c r="B179" s="454" t="str">
        <f t="shared" si="45"/>
        <v>17</v>
      </c>
      <c r="C179" s="454" t="str">
        <f t="array" ref="C179">_xlfn.IFS(_xlfn.NUMBERVALUE(B179)&lt;=13,"Q1",AND(_xlfn.NUMBERVALUE(B179)&gt;13,_xlfn.NUMBERVALUE(B179)&lt;=26),"Q2", AND(_xlfn.NUMBERVALUE(B179)&gt;26,_xlfn.NUMBERVALUE(B179)&lt;=39),"Q3",_xlfn.NUMBERVALUE(B179)&gt;39,"Q4")</f>
        <v>Q2</v>
      </c>
      <c r="D179" s="448">
        <f t="shared" si="62"/>
        <v>45066</v>
      </c>
      <c r="E179" s="448">
        <f t="shared" si="46"/>
        <v>45072</v>
      </c>
      <c r="F179" s="97">
        <v>202317</v>
      </c>
      <c r="G179" s="241"/>
      <c r="H179" s="467"/>
      <c r="I179" s="521">
        <f t="shared" si="64"/>
        <v>0</v>
      </c>
      <c r="J179" s="467"/>
      <c r="K179" s="242"/>
      <c r="L179" s="430"/>
      <c r="M179" s="430"/>
      <c r="N179" s="469">
        <f t="shared" si="66"/>
        <v>0</v>
      </c>
      <c r="O179" s="430"/>
      <c r="P179" s="430"/>
      <c r="Q179" s="103"/>
      <c r="R179" s="429"/>
      <c r="S179" s="521">
        <f t="shared" si="65"/>
        <v>0</v>
      </c>
      <c r="T179" s="467"/>
      <c r="U179" s="242"/>
      <c r="V179" s="103"/>
      <c r="W179" s="429"/>
      <c r="X179" s="449">
        <f t="shared" si="67"/>
        <v>0</v>
      </c>
      <c r="Y179" s="429"/>
      <c r="Z179" s="532"/>
      <c r="AA179" s="523"/>
      <c r="AB179" s="523"/>
      <c r="AC179" s="449">
        <f t="shared" si="68"/>
        <v>0</v>
      </c>
      <c r="AD179" s="429"/>
      <c r="AE179" s="429"/>
      <c r="AF179" s="126"/>
      <c r="AG179" s="265" t="str">
        <f t="shared" si="47"/>
        <v/>
      </c>
      <c r="AH179" s="515" t="str">
        <f t="shared" si="48"/>
        <v/>
      </c>
      <c r="AI179" s="515" t="str">
        <f t="shared" si="49"/>
        <v/>
      </c>
      <c r="AJ179" s="515" t="str">
        <f t="shared" si="50"/>
        <v/>
      </c>
      <c r="AK179" s="187" t="str">
        <f t="shared" si="51"/>
        <v/>
      </c>
      <c r="AL179" s="266" t="str">
        <f t="shared" si="52"/>
        <v/>
      </c>
      <c r="AM179" s="516" t="str">
        <f t="shared" si="53"/>
        <v/>
      </c>
      <c r="AN179" s="516" t="str">
        <f t="shared" si="54"/>
        <v/>
      </c>
      <c r="AO179" s="516" t="str">
        <f t="shared" si="55"/>
        <v/>
      </c>
      <c r="AP179" s="267" t="str">
        <f t="shared" si="56"/>
        <v/>
      </c>
      <c r="AQ179" s="268" t="str">
        <f t="shared" si="57"/>
        <v/>
      </c>
      <c r="AR179" s="450" t="str">
        <f t="shared" si="58"/>
        <v/>
      </c>
      <c r="AS179" s="450" t="str">
        <f t="shared" si="59"/>
        <v/>
      </c>
      <c r="AT179" s="450" t="str">
        <f t="shared" si="60"/>
        <v/>
      </c>
      <c r="AU179" s="269" t="str">
        <f t="shared" si="61"/>
        <v/>
      </c>
    </row>
    <row r="180" spans="1:47" ht="15.75" customHeight="1">
      <c r="A180" s="175">
        <f t="shared" si="44"/>
        <v>2024</v>
      </c>
      <c r="B180" s="454" t="str">
        <f t="shared" si="45"/>
        <v>18</v>
      </c>
      <c r="C180" s="454" t="str">
        <f t="array" ref="C180">_xlfn.IFS(_xlfn.NUMBERVALUE(B180)&lt;=13,"Q1",AND(_xlfn.NUMBERVALUE(B180)&gt;13,_xlfn.NUMBERVALUE(B180)&lt;=26),"Q2", AND(_xlfn.NUMBERVALUE(B180)&gt;26,_xlfn.NUMBERVALUE(B180)&lt;=39),"Q3",_xlfn.NUMBERVALUE(B180)&gt;39,"Q4")</f>
        <v>Q2</v>
      </c>
      <c r="D180" s="448">
        <f t="shared" si="62"/>
        <v>45073</v>
      </c>
      <c r="E180" s="448">
        <f t="shared" si="46"/>
        <v>45079</v>
      </c>
      <c r="F180" s="97">
        <v>202318</v>
      </c>
      <c r="G180" s="241"/>
      <c r="H180" s="467"/>
      <c r="I180" s="521">
        <f t="shared" si="64"/>
        <v>0</v>
      </c>
      <c r="J180" s="467"/>
      <c r="K180" s="242"/>
      <c r="L180" s="430"/>
      <c r="M180" s="430"/>
      <c r="N180" s="469">
        <f t="shared" si="66"/>
        <v>0</v>
      </c>
      <c r="O180" s="430"/>
      <c r="P180" s="430"/>
      <c r="Q180" s="103"/>
      <c r="R180" s="429"/>
      <c r="S180" s="521">
        <f t="shared" si="65"/>
        <v>0</v>
      </c>
      <c r="T180" s="467"/>
      <c r="U180" s="242"/>
      <c r="V180" s="103"/>
      <c r="W180" s="429"/>
      <c r="X180" s="449">
        <f t="shared" si="67"/>
        <v>0</v>
      </c>
      <c r="Y180" s="429"/>
      <c r="Z180" s="532"/>
      <c r="AA180" s="523"/>
      <c r="AB180" s="523"/>
      <c r="AC180" s="449">
        <f t="shared" si="68"/>
        <v>0</v>
      </c>
      <c r="AD180" s="429"/>
      <c r="AE180" s="429"/>
      <c r="AF180" s="126"/>
      <c r="AG180" s="265" t="str">
        <f t="shared" si="47"/>
        <v/>
      </c>
      <c r="AH180" s="515" t="str">
        <f t="shared" si="48"/>
        <v/>
      </c>
      <c r="AI180" s="515" t="str">
        <f t="shared" si="49"/>
        <v/>
      </c>
      <c r="AJ180" s="515" t="str">
        <f t="shared" si="50"/>
        <v/>
      </c>
      <c r="AK180" s="187" t="str">
        <f t="shared" si="51"/>
        <v/>
      </c>
      <c r="AL180" s="266" t="str">
        <f t="shared" si="52"/>
        <v/>
      </c>
      <c r="AM180" s="516" t="str">
        <f t="shared" si="53"/>
        <v/>
      </c>
      <c r="AN180" s="516" t="str">
        <f t="shared" si="54"/>
        <v/>
      </c>
      <c r="AO180" s="516" t="str">
        <f t="shared" si="55"/>
        <v/>
      </c>
      <c r="AP180" s="267" t="str">
        <f t="shared" si="56"/>
        <v/>
      </c>
      <c r="AQ180" s="268" t="str">
        <f t="shared" si="57"/>
        <v/>
      </c>
      <c r="AR180" s="450" t="str">
        <f t="shared" si="58"/>
        <v/>
      </c>
      <c r="AS180" s="450" t="str">
        <f t="shared" si="59"/>
        <v/>
      </c>
      <c r="AT180" s="450" t="str">
        <f t="shared" si="60"/>
        <v/>
      </c>
      <c r="AU180" s="269" t="str">
        <f t="shared" si="61"/>
        <v/>
      </c>
    </row>
    <row r="181" spans="1:47" ht="15.75" customHeight="1">
      <c r="A181" s="175">
        <f t="shared" si="44"/>
        <v>2024</v>
      </c>
      <c r="B181" s="454" t="str">
        <f t="shared" si="45"/>
        <v>19</v>
      </c>
      <c r="C181" s="454" t="str">
        <f t="array" ref="C181">_xlfn.IFS(_xlfn.NUMBERVALUE(B181)&lt;=13,"Q1",AND(_xlfn.NUMBERVALUE(B181)&gt;13,_xlfn.NUMBERVALUE(B181)&lt;=26),"Q2", AND(_xlfn.NUMBERVALUE(B181)&gt;26,_xlfn.NUMBERVALUE(B181)&lt;=39),"Q3",_xlfn.NUMBERVALUE(B181)&gt;39,"Q4")</f>
        <v>Q2</v>
      </c>
      <c r="D181" s="448">
        <f t="shared" si="62"/>
        <v>45080</v>
      </c>
      <c r="E181" s="448">
        <f t="shared" si="46"/>
        <v>45086</v>
      </c>
      <c r="F181" s="97">
        <v>202319</v>
      </c>
      <c r="G181" s="241"/>
      <c r="H181" s="467"/>
      <c r="I181" s="521">
        <f t="shared" si="64"/>
        <v>0</v>
      </c>
      <c r="J181" s="467"/>
      <c r="K181" s="242"/>
      <c r="L181" s="430"/>
      <c r="M181" s="430"/>
      <c r="N181" s="469">
        <f t="shared" si="66"/>
        <v>0</v>
      </c>
      <c r="O181" s="430"/>
      <c r="P181" s="430"/>
      <c r="Q181" s="103"/>
      <c r="R181" s="429"/>
      <c r="S181" s="521">
        <f t="shared" si="65"/>
        <v>0</v>
      </c>
      <c r="T181" s="467"/>
      <c r="U181" s="242"/>
      <c r="V181" s="103"/>
      <c r="W181" s="429"/>
      <c r="X181" s="449">
        <f t="shared" si="67"/>
        <v>0</v>
      </c>
      <c r="Y181" s="429"/>
      <c r="Z181" s="532"/>
      <c r="AA181" s="523"/>
      <c r="AB181" s="523"/>
      <c r="AC181" s="449">
        <f t="shared" si="68"/>
        <v>0</v>
      </c>
      <c r="AD181" s="429"/>
      <c r="AE181" s="429"/>
      <c r="AF181" s="126"/>
      <c r="AG181" s="265" t="str">
        <f t="shared" si="47"/>
        <v/>
      </c>
      <c r="AH181" s="515" t="str">
        <f t="shared" si="48"/>
        <v/>
      </c>
      <c r="AI181" s="515" t="str">
        <f t="shared" si="49"/>
        <v/>
      </c>
      <c r="AJ181" s="515" t="str">
        <f t="shared" si="50"/>
        <v/>
      </c>
      <c r="AK181" s="187" t="str">
        <f t="shared" si="51"/>
        <v/>
      </c>
      <c r="AL181" s="266" t="str">
        <f t="shared" si="52"/>
        <v/>
      </c>
      <c r="AM181" s="516" t="str">
        <f t="shared" si="53"/>
        <v/>
      </c>
      <c r="AN181" s="516" t="str">
        <f t="shared" si="54"/>
        <v/>
      </c>
      <c r="AO181" s="516" t="str">
        <f t="shared" si="55"/>
        <v/>
      </c>
      <c r="AP181" s="267" t="str">
        <f t="shared" si="56"/>
        <v/>
      </c>
      <c r="AQ181" s="268" t="str">
        <f t="shared" si="57"/>
        <v/>
      </c>
      <c r="AR181" s="450" t="str">
        <f t="shared" si="58"/>
        <v/>
      </c>
      <c r="AS181" s="450" t="str">
        <f t="shared" si="59"/>
        <v/>
      </c>
      <c r="AT181" s="450" t="str">
        <f t="shared" si="60"/>
        <v/>
      </c>
      <c r="AU181" s="269" t="str">
        <f t="shared" si="61"/>
        <v/>
      </c>
    </row>
    <row r="182" spans="1:47" ht="15.75" customHeight="1">
      <c r="A182" s="175">
        <f t="shared" si="44"/>
        <v>2024</v>
      </c>
      <c r="B182" s="454" t="str">
        <f t="shared" si="45"/>
        <v>20</v>
      </c>
      <c r="C182" s="454" t="str">
        <f t="array" ref="C182">_xlfn.IFS(_xlfn.NUMBERVALUE(B182)&lt;=13,"Q1",AND(_xlfn.NUMBERVALUE(B182)&gt;13,_xlfn.NUMBERVALUE(B182)&lt;=26),"Q2", AND(_xlfn.NUMBERVALUE(B182)&gt;26,_xlfn.NUMBERVALUE(B182)&lt;=39),"Q3",_xlfn.NUMBERVALUE(B182)&gt;39,"Q4")</f>
        <v>Q2</v>
      </c>
      <c r="D182" s="448">
        <f t="shared" si="62"/>
        <v>45087</v>
      </c>
      <c r="E182" s="448">
        <f t="shared" si="46"/>
        <v>45093</v>
      </c>
      <c r="F182" s="97">
        <v>202320</v>
      </c>
      <c r="G182" s="241"/>
      <c r="H182" s="467"/>
      <c r="I182" s="521">
        <f t="shared" si="64"/>
        <v>0</v>
      </c>
      <c r="J182" s="467"/>
      <c r="K182" s="242"/>
      <c r="L182" s="430"/>
      <c r="M182" s="430"/>
      <c r="N182" s="469">
        <f t="shared" si="66"/>
        <v>0</v>
      </c>
      <c r="O182" s="430"/>
      <c r="P182" s="430"/>
      <c r="Q182" s="103"/>
      <c r="R182" s="429"/>
      <c r="S182" s="521">
        <f t="shared" si="65"/>
        <v>0</v>
      </c>
      <c r="T182" s="467"/>
      <c r="U182" s="242"/>
      <c r="V182" s="103"/>
      <c r="W182" s="429"/>
      <c r="X182" s="449">
        <f t="shared" si="67"/>
        <v>0</v>
      </c>
      <c r="Y182" s="429"/>
      <c r="Z182" s="532"/>
      <c r="AA182" s="523"/>
      <c r="AB182" s="523"/>
      <c r="AC182" s="449">
        <f t="shared" si="68"/>
        <v>0</v>
      </c>
      <c r="AD182" s="429"/>
      <c r="AE182" s="429"/>
      <c r="AF182" s="126"/>
      <c r="AG182" s="265" t="str">
        <f t="shared" si="47"/>
        <v/>
      </c>
      <c r="AH182" s="515" t="str">
        <f t="shared" si="48"/>
        <v/>
      </c>
      <c r="AI182" s="515" t="str">
        <f t="shared" si="49"/>
        <v/>
      </c>
      <c r="AJ182" s="515" t="str">
        <f t="shared" si="50"/>
        <v/>
      </c>
      <c r="AK182" s="187" t="str">
        <f t="shared" si="51"/>
        <v/>
      </c>
      <c r="AL182" s="266" t="str">
        <f t="shared" si="52"/>
        <v/>
      </c>
      <c r="AM182" s="516" t="str">
        <f t="shared" si="53"/>
        <v/>
      </c>
      <c r="AN182" s="516" t="str">
        <f t="shared" si="54"/>
        <v/>
      </c>
      <c r="AO182" s="516" t="str">
        <f t="shared" si="55"/>
        <v/>
      </c>
      <c r="AP182" s="267" t="str">
        <f t="shared" si="56"/>
        <v/>
      </c>
      <c r="AQ182" s="268" t="str">
        <f t="shared" si="57"/>
        <v/>
      </c>
      <c r="AR182" s="450" t="str">
        <f t="shared" si="58"/>
        <v/>
      </c>
      <c r="AS182" s="450" t="str">
        <f t="shared" si="59"/>
        <v/>
      </c>
      <c r="AT182" s="450" t="str">
        <f t="shared" si="60"/>
        <v/>
      </c>
      <c r="AU182" s="269" t="str">
        <f t="shared" si="61"/>
        <v/>
      </c>
    </row>
    <row r="183" spans="1:47" ht="15.75" customHeight="1">
      <c r="A183" s="175">
        <f t="shared" si="44"/>
        <v>2024</v>
      </c>
      <c r="B183" s="454" t="str">
        <f t="shared" si="45"/>
        <v>21</v>
      </c>
      <c r="C183" s="454" t="str">
        <f t="array" ref="C183">_xlfn.IFS(_xlfn.NUMBERVALUE(B183)&lt;=13,"Q1",AND(_xlfn.NUMBERVALUE(B183)&gt;13,_xlfn.NUMBERVALUE(B183)&lt;=26),"Q2", AND(_xlfn.NUMBERVALUE(B183)&gt;26,_xlfn.NUMBERVALUE(B183)&lt;=39),"Q3",_xlfn.NUMBERVALUE(B183)&gt;39,"Q4")</f>
        <v>Q2</v>
      </c>
      <c r="D183" s="448">
        <f t="shared" si="62"/>
        <v>45094</v>
      </c>
      <c r="E183" s="448">
        <f t="shared" si="46"/>
        <v>45100</v>
      </c>
      <c r="F183" s="97">
        <v>202321</v>
      </c>
      <c r="G183" s="241"/>
      <c r="H183" s="467"/>
      <c r="I183" s="521">
        <f t="shared" si="64"/>
        <v>0</v>
      </c>
      <c r="J183" s="467"/>
      <c r="K183" s="242"/>
      <c r="L183" s="430"/>
      <c r="M183" s="430"/>
      <c r="N183" s="469">
        <f t="shared" si="66"/>
        <v>0</v>
      </c>
      <c r="O183" s="430"/>
      <c r="P183" s="430"/>
      <c r="Q183" s="103"/>
      <c r="R183" s="429"/>
      <c r="S183" s="521">
        <f t="shared" si="65"/>
        <v>0</v>
      </c>
      <c r="T183" s="467"/>
      <c r="U183" s="242"/>
      <c r="V183" s="103"/>
      <c r="W183" s="429"/>
      <c r="X183" s="449">
        <f t="shared" si="67"/>
        <v>0</v>
      </c>
      <c r="Y183" s="429"/>
      <c r="Z183" s="532"/>
      <c r="AA183" s="523"/>
      <c r="AB183" s="523"/>
      <c r="AC183" s="449">
        <f t="shared" si="68"/>
        <v>0</v>
      </c>
      <c r="AD183" s="429"/>
      <c r="AE183" s="429"/>
      <c r="AF183" s="126"/>
      <c r="AG183" s="265" t="str">
        <f t="shared" si="47"/>
        <v/>
      </c>
      <c r="AH183" s="515" t="str">
        <f t="shared" si="48"/>
        <v/>
      </c>
      <c r="AI183" s="515" t="str">
        <f t="shared" si="49"/>
        <v/>
      </c>
      <c r="AJ183" s="515" t="str">
        <f t="shared" si="50"/>
        <v/>
      </c>
      <c r="AK183" s="187" t="str">
        <f t="shared" si="51"/>
        <v/>
      </c>
      <c r="AL183" s="266" t="str">
        <f t="shared" si="52"/>
        <v/>
      </c>
      <c r="AM183" s="516" t="str">
        <f t="shared" si="53"/>
        <v/>
      </c>
      <c r="AN183" s="516" t="str">
        <f t="shared" si="54"/>
        <v/>
      </c>
      <c r="AO183" s="516" t="str">
        <f t="shared" si="55"/>
        <v/>
      </c>
      <c r="AP183" s="267" t="str">
        <f t="shared" si="56"/>
        <v/>
      </c>
      <c r="AQ183" s="268" t="str">
        <f t="shared" si="57"/>
        <v/>
      </c>
      <c r="AR183" s="450" t="str">
        <f t="shared" si="58"/>
        <v/>
      </c>
      <c r="AS183" s="450" t="str">
        <f t="shared" si="59"/>
        <v/>
      </c>
      <c r="AT183" s="450" t="str">
        <f t="shared" si="60"/>
        <v/>
      </c>
      <c r="AU183" s="269" t="str">
        <f t="shared" si="61"/>
        <v/>
      </c>
    </row>
    <row r="184" spans="1:47" ht="15.75" customHeight="1">
      <c r="A184" s="175">
        <f t="shared" si="44"/>
        <v>2024</v>
      </c>
      <c r="B184" s="454" t="str">
        <f t="shared" si="45"/>
        <v>22</v>
      </c>
      <c r="C184" s="454" t="str">
        <f t="array" ref="C184">_xlfn.IFS(_xlfn.NUMBERVALUE(B184)&lt;=13,"Q1",AND(_xlfn.NUMBERVALUE(B184)&gt;13,_xlfn.NUMBERVALUE(B184)&lt;=26),"Q2", AND(_xlfn.NUMBERVALUE(B184)&gt;26,_xlfn.NUMBERVALUE(B184)&lt;=39),"Q3",_xlfn.NUMBERVALUE(B184)&gt;39,"Q4")</f>
        <v>Q2</v>
      </c>
      <c r="D184" s="448">
        <f t="shared" si="62"/>
        <v>45101</v>
      </c>
      <c r="E184" s="448">
        <f t="shared" si="46"/>
        <v>45107</v>
      </c>
      <c r="F184" s="97">
        <v>202322</v>
      </c>
      <c r="G184" s="241"/>
      <c r="H184" s="467"/>
      <c r="I184" s="521">
        <f t="shared" si="64"/>
        <v>0</v>
      </c>
      <c r="J184" s="467"/>
      <c r="K184" s="242"/>
      <c r="L184" s="430"/>
      <c r="M184" s="430"/>
      <c r="N184" s="469">
        <f t="shared" si="66"/>
        <v>0</v>
      </c>
      <c r="O184" s="430"/>
      <c r="P184" s="430"/>
      <c r="Q184" s="103"/>
      <c r="R184" s="429"/>
      <c r="S184" s="521">
        <f t="shared" si="65"/>
        <v>0</v>
      </c>
      <c r="T184" s="467"/>
      <c r="U184" s="242"/>
      <c r="V184" s="103"/>
      <c r="W184" s="429"/>
      <c r="X184" s="449">
        <f t="shared" si="67"/>
        <v>0</v>
      </c>
      <c r="Y184" s="429"/>
      <c r="Z184" s="532"/>
      <c r="AA184" s="523"/>
      <c r="AB184" s="523"/>
      <c r="AC184" s="449">
        <f t="shared" si="68"/>
        <v>0</v>
      </c>
      <c r="AD184" s="429"/>
      <c r="AE184" s="429"/>
      <c r="AF184" s="126"/>
      <c r="AG184" s="265" t="str">
        <f t="shared" si="47"/>
        <v/>
      </c>
      <c r="AH184" s="515" t="str">
        <f t="shared" si="48"/>
        <v/>
      </c>
      <c r="AI184" s="515" t="str">
        <f t="shared" si="49"/>
        <v/>
      </c>
      <c r="AJ184" s="515" t="str">
        <f t="shared" si="50"/>
        <v/>
      </c>
      <c r="AK184" s="187" t="str">
        <f t="shared" si="51"/>
        <v/>
      </c>
      <c r="AL184" s="266" t="str">
        <f t="shared" si="52"/>
        <v/>
      </c>
      <c r="AM184" s="516" t="str">
        <f t="shared" si="53"/>
        <v/>
      </c>
      <c r="AN184" s="516" t="str">
        <f t="shared" si="54"/>
        <v/>
      </c>
      <c r="AO184" s="516" t="str">
        <f t="shared" si="55"/>
        <v/>
      </c>
      <c r="AP184" s="267" t="str">
        <f t="shared" si="56"/>
        <v/>
      </c>
      <c r="AQ184" s="268" t="str">
        <f t="shared" si="57"/>
        <v/>
      </c>
      <c r="AR184" s="450" t="str">
        <f t="shared" si="58"/>
        <v/>
      </c>
      <c r="AS184" s="450" t="str">
        <f t="shared" si="59"/>
        <v/>
      </c>
      <c r="AT184" s="450" t="str">
        <f t="shared" si="60"/>
        <v/>
      </c>
      <c r="AU184" s="269" t="str">
        <f t="shared" si="61"/>
        <v/>
      </c>
    </row>
    <row r="185" spans="1:47" ht="15.75" customHeight="1">
      <c r="A185" s="175">
        <f t="shared" si="44"/>
        <v>2024</v>
      </c>
      <c r="B185" s="454" t="str">
        <f t="shared" si="45"/>
        <v>23</v>
      </c>
      <c r="C185" s="454" t="str">
        <f t="array" ref="C185">_xlfn.IFS(_xlfn.NUMBERVALUE(B185)&lt;=13,"Q1",AND(_xlfn.NUMBERVALUE(B185)&gt;13,_xlfn.NUMBERVALUE(B185)&lt;=26),"Q2", AND(_xlfn.NUMBERVALUE(B185)&gt;26,_xlfn.NUMBERVALUE(B185)&lt;=39),"Q3",_xlfn.NUMBERVALUE(B185)&gt;39,"Q4")</f>
        <v>Q2</v>
      </c>
      <c r="D185" s="448">
        <f t="shared" si="62"/>
        <v>45108</v>
      </c>
      <c r="E185" s="448">
        <f t="shared" si="46"/>
        <v>45114</v>
      </c>
      <c r="F185" s="97">
        <v>202323</v>
      </c>
      <c r="G185" s="241"/>
      <c r="H185" s="467"/>
      <c r="I185" s="521">
        <f t="shared" si="64"/>
        <v>0</v>
      </c>
      <c r="J185" s="467"/>
      <c r="K185" s="242"/>
      <c r="L185" s="430"/>
      <c r="M185" s="430"/>
      <c r="N185" s="469">
        <f t="shared" si="66"/>
        <v>0</v>
      </c>
      <c r="O185" s="430"/>
      <c r="P185" s="430"/>
      <c r="Q185" s="103"/>
      <c r="R185" s="429"/>
      <c r="S185" s="521">
        <f t="shared" si="65"/>
        <v>0</v>
      </c>
      <c r="T185" s="467"/>
      <c r="U185" s="242"/>
      <c r="V185" s="103"/>
      <c r="W185" s="429"/>
      <c r="X185" s="449">
        <f t="shared" si="67"/>
        <v>0</v>
      </c>
      <c r="Y185" s="429"/>
      <c r="Z185" s="532"/>
      <c r="AA185" s="523"/>
      <c r="AB185" s="523"/>
      <c r="AC185" s="449">
        <f t="shared" si="68"/>
        <v>0</v>
      </c>
      <c r="AD185" s="429"/>
      <c r="AE185" s="429"/>
      <c r="AF185" s="126"/>
      <c r="AG185" s="265" t="str">
        <f t="shared" si="47"/>
        <v/>
      </c>
      <c r="AH185" s="515" t="str">
        <f t="shared" si="48"/>
        <v/>
      </c>
      <c r="AI185" s="515" t="str">
        <f t="shared" si="49"/>
        <v/>
      </c>
      <c r="AJ185" s="515" t="str">
        <f t="shared" si="50"/>
        <v/>
      </c>
      <c r="AK185" s="187" t="str">
        <f t="shared" si="51"/>
        <v/>
      </c>
      <c r="AL185" s="266" t="str">
        <f t="shared" si="52"/>
        <v/>
      </c>
      <c r="AM185" s="516" t="str">
        <f t="shared" si="53"/>
        <v/>
      </c>
      <c r="AN185" s="516" t="str">
        <f t="shared" si="54"/>
        <v/>
      </c>
      <c r="AO185" s="516" t="str">
        <f t="shared" si="55"/>
        <v/>
      </c>
      <c r="AP185" s="267" t="str">
        <f t="shared" si="56"/>
        <v/>
      </c>
      <c r="AQ185" s="268" t="str">
        <f t="shared" si="57"/>
        <v/>
      </c>
      <c r="AR185" s="450" t="str">
        <f t="shared" si="58"/>
        <v/>
      </c>
      <c r="AS185" s="450" t="str">
        <f t="shared" si="59"/>
        <v/>
      </c>
      <c r="AT185" s="450" t="str">
        <f t="shared" si="60"/>
        <v/>
      </c>
      <c r="AU185" s="269" t="str">
        <f t="shared" si="61"/>
        <v/>
      </c>
    </row>
    <row r="186" spans="1:47" ht="15.75" customHeight="1">
      <c r="A186" s="175">
        <f t="shared" si="44"/>
        <v>2024</v>
      </c>
      <c r="B186" s="454" t="str">
        <f t="shared" si="45"/>
        <v>24</v>
      </c>
      <c r="C186" s="454" t="str">
        <f t="array" ref="C186">_xlfn.IFS(_xlfn.NUMBERVALUE(B186)&lt;=13,"Q1",AND(_xlfn.NUMBERVALUE(B186)&gt;13,_xlfn.NUMBERVALUE(B186)&lt;=26),"Q2", AND(_xlfn.NUMBERVALUE(B186)&gt;26,_xlfn.NUMBERVALUE(B186)&lt;=39),"Q3",_xlfn.NUMBERVALUE(B186)&gt;39,"Q4")</f>
        <v>Q2</v>
      </c>
      <c r="D186" s="448">
        <f t="shared" si="62"/>
        <v>45115</v>
      </c>
      <c r="E186" s="448">
        <f t="shared" si="46"/>
        <v>45121</v>
      </c>
      <c r="F186" s="97">
        <v>202324</v>
      </c>
      <c r="G186" s="241"/>
      <c r="H186" s="467"/>
      <c r="I186" s="521">
        <f t="shared" si="64"/>
        <v>0</v>
      </c>
      <c r="J186" s="467"/>
      <c r="K186" s="242"/>
      <c r="L186" s="430"/>
      <c r="M186" s="430"/>
      <c r="N186" s="469">
        <f t="shared" si="66"/>
        <v>0</v>
      </c>
      <c r="O186" s="430"/>
      <c r="P186" s="430"/>
      <c r="Q186" s="103"/>
      <c r="R186" s="429"/>
      <c r="S186" s="521">
        <f t="shared" si="65"/>
        <v>0</v>
      </c>
      <c r="T186" s="467"/>
      <c r="U186" s="242"/>
      <c r="V186" s="103"/>
      <c r="W186" s="429"/>
      <c r="X186" s="449">
        <f t="shared" si="67"/>
        <v>0</v>
      </c>
      <c r="Y186" s="429"/>
      <c r="Z186" s="532"/>
      <c r="AA186" s="523"/>
      <c r="AB186" s="523"/>
      <c r="AC186" s="449">
        <f t="shared" si="68"/>
        <v>0</v>
      </c>
      <c r="AD186" s="429"/>
      <c r="AE186" s="429"/>
      <c r="AF186" s="126"/>
      <c r="AG186" s="265" t="str">
        <f t="shared" si="47"/>
        <v/>
      </c>
      <c r="AH186" s="515" t="str">
        <f t="shared" si="48"/>
        <v/>
      </c>
      <c r="AI186" s="515" t="str">
        <f t="shared" si="49"/>
        <v/>
      </c>
      <c r="AJ186" s="515" t="str">
        <f t="shared" si="50"/>
        <v/>
      </c>
      <c r="AK186" s="187" t="str">
        <f t="shared" si="51"/>
        <v/>
      </c>
      <c r="AL186" s="266" t="str">
        <f t="shared" si="52"/>
        <v/>
      </c>
      <c r="AM186" s="516" t="str">
        <f t="shared" si="53"/>
        <v/>
      </c>
      <c r="AN186" s="516" t="str">
        <f t="shared" si="54"/>
        <v/>
      </c>
      <c r="AO186" s="516" t="str">
        <f t="shared" si="55"/>
        <v/>
      </c>
      <c r="AP186" s="267" t="str">
        <f t="shared" si="56"/>
        <v/>
      </c>
      <c r="AQ186" s="268" t="str">
        <f t="shared" si="57"/>
        <v/>
      </c>
      <c r="AR186" s="450" t="str">
        <f t="shared" si="58"/>
        <v/>
      </c>
      <c r="AS186" s="450" t="str">
        <f t="shared" si="59"/>
        <v/>
      </c>
      <c r="AT186" s="450" t="str">
        <f t="shared" si="60"/>
        <v/>
      </c>
      <c r="AU186" s="269" t="str">
        <f t="shared" si="61"/>
        <v/>
      </c>
    </row>
    <row r="187" spans="1:47" ht="15.75" customHeight="1">
      <c r="A187" s="175">
        <f t="shared" si="44"/>
        <v>2024</v>
      </c>
      <c r="B187" s="454" t="str">
        <f t="shared" si="45"/>
        <v>25</v>
      </c>
      <c r="C187" s="454" t="str">
        <f t="array" ref="C187">_xlfn.IFS(_xlfn.NUMBERVALUE(B187)&lt;=13,"Q1",AND(_xlfn.NUMBERVALUE(B187)&gt;13,_xlfn.NUMBERVALUE(B187)&lt;=26),"Q2", AND(_xlfn.NUMBERVALUE(B187)&gt;26,_xlfn.NUMBERVALUE(B187)&lt;=39),"Q3",_xlfn.NUMBERVALUE(B187)&gt;39,"Q4")</f>
        <v>Q2</v>
      </c>
      <c r="D187" s="448">
        <f t="shared" si="62"/>
        <v>45122</v>
      </c>
      <c r="E187" s="448">
        <f t="shared" si="46"/>
        <v>45128</v>
      </c>
      <c r="F187" s="97">
        <v>202325</v>
      </c>
      <c r="G187" s="241"/>
      <c r="H187" s="467"/>
      <c r="I187" s="521">
        <f t="shared" si="64"/>
        <v>0</v>
      </c>
      <c r="J187" s="467"/>
      <c r="K187" s="242"/>
      <c r="L187" s="430"/>
      <c r="M187" s="430"/>
      <c r="N187" s="469">
        <f t="shared" si="66"/>
        <v>0</v>
      </c>
      <c r="O187" s="430"/>
      <c r="P187" s="430"/>
      <c r="Q187" s="103"/>
      <c r="R187" s="429"/>
      <c r="S187" s="521">
        <f t="shared" si="65"/>
        <v>0</v>
      </c>
      <c r="T187" s="467"/>
      <c r="U187" s="242"/>
      <c r="V187" s="103"/>
      <c r="W187" s="429"/>
      <c r="X187" s="449">
        <f t="shared" si="67"/>
        <v>0</v>
      </c>
      <c r="Y187" s="429"/>
      <c r="Z187" s="532"/>
      <c r="AA187" s="523"/>
      <c r="AB187" s="523"/>
      <c r="AC187" s="449">
        <f t="shared" si="68"/>
        <v>0</v>
      </c>
      <c r="AD187" s="429"/>
      <c r="AE187" s="429"/>
      <c r="AF187" s="126"/>
      <c r="AG187" s="265" t="str">
        <f t="shared" si="47"/>
        <v/>
      </c>
      <c r="AH187" s="515" t="str">
        <f t="shared" si="48"/>
        <v/>
      </c>
      <c r="AI187" s="515" t="str">
        <f t="shared" si="49"/>
        <v/>
      </c>
      <c r="AJ187" s="515" t="str">
        <f t="shared" si="50"/>
        <v/>
      </c>
      <c r="AK187" s="187" t="str">
        <f t="shared" si="51"/>
        <v/>
      </c>
      <c r="AL187" s="266" t="str">
        <f t="shared" si="52"/>
        <v/>
      </c>
      <c r="AM187" s="516" t="str">
        <f t="shared" si="53"/>
        <v/>
      </c>
      <c r="AN187" s="516" t="str">
        <f t="shared" si="54"/>
        <v/>
      </c>
      <c r="AO187" s="516" t="str">
        <f t="shared" si="55"/>
        <v/>
      </c>
      <c r="AP187" s="267" t="str">
        <f t="shared" si="56"/>
        <v/>
      </c>
      <c r="AQ187" s="268" t="str">
        <f t="shared" si="57"/>
        <v/>
      </c>
      <c r="AR187" s="450" t="str">
        <f t="shared" si="58"/>
        <v/>
      </c>
      <c r="AS187" s="450" t="str">
        <f t="shared" si="59"/>
        <v/>
      </c>
      <c r="AT187" s="450" t="str">
        <f t="shared" si="60"/>
        <v/>
      </c>
      <c r="AU187" s="269" t="str">
        <f t="shared" si="61"/>
        <v/>
      </c>
    </row>
    <row r="188" spans="1:47" ht="15.75" customHeight="1">
      <c r="A188" s="175">
        <f t="shared" si="44"/>
        <v>2024</v>
      </c>
      <c r="B188" s="454" t="str">
        <f t="shared" si="45"/>
        <v>26</v>
      </c>
      <c r="C188" s="454" t="str">
        <f t="array" ref="C188">_xlfn.IFS(_xlfn.NUMBERVALUE(B188)&lt;=13,"Q1",AND(_xlfn.NUMBERVALUE(B188)&gt;13,_xlfn.NUMBERVALUE(B188)&lt;=26),"Q2", AND(_xlfn.NUMBERVALUE(B188)&gt;26,_xlfn.NUMBERVALUE(B188)&lt;=39),"Q3",_xlfn.NUMBERVALUE(B188)&gt;39,"Q4")</f>
        <v>Q2</v>
      </c>
      <c r="D188" s="448">
        <f t="shared" si="62"/>
        <v>45129</v>
      </c>
      <c r="E188" s="448">
        <f t="shared" si="46"/>
        <v>45135</v>
      </c>
      <c r="F188" s="97">
        <v>202326</v>
      </c>
      <c r="G188" s="241"/>
      <c r="H188" s="467"/>
      <c r="I188" s="521">
        <f t="shared" si="64"/>
        <v>0</v>
      </c>
      <c r="J188" s="467"/>
      <c r="K188" s="242"/>
      <c r="L188" s="430"/>
      <c r="M188" s="430"/>
      <c r="N188" s="469">
        <f t="shared" si="66"/>
        <v>0</v>
      </c>
      <c r="O188" s="430"/>
      <c r="P188" s="430"/>
      <c r="Q188" s="103"/>
      <c r="R188" s="429"/>
      <c r="S188" s="521">
        <f t="shared" si="65"/>
        <v>0</v>
      </c>
      <c r="T188" s="467"/>
      <c r="U188" s="242"/>
      <c r="V188" s="103"/>
      <c r="W188" s="429"/>
      <c r="X188" s="449">
        <f t="shared" si="67"/>
        <v>0</v>
      </c>
      <c r="Y188" s="429"/>
      <c r="Z188" s="532"/>
      <c r="AA188" s="523"/>
      <c r="AB188" s="523"/>
      <c r="AC188" s="449">
        <f t="shared" si="68"/>
        <v>0</v>
      </c>
      <c r="AD188" s="429"/>
      <c r="AE188" s="429"/>
      <c r="AF188" s="126"/>
      <c r="AG188" s="265" t="str">
        <f t="shared" si="47"/>
        <v/>
      </c>
      <c r="AH188" s="515" t="str">
        <f t="shared" si="48"/>
        <v/>
      </c>
      <c r="AI188" s="515" t="str">
        <f t="shared" si="49"/>
        <v/>
      </c>
      <c r="AJ188" s="515" t="str">
        <f t="shared" si="50"/>
        <v/>
      </c>
      <c r="AK188" s="187" t="str">
        <f t="shared" si="51"/>
        <v/>
      </c>
      <c r="AL188" s="266" t="str">
        <f t="shared" si="52"/>
        <v/>
      </c>
      <c r="AM188" s="516" t="str">
        <f t="shared" si="53"/>
        <v/>
      </c>
      <c r="AN188" s="516" t="str">
        <f t="shared" si="54"/>
        <v/>
      </c>
      <c r="AO188" s="516" t="str">
        <f t="shared" si="55"/>
        <v/>
      </c>
      <c r="AP188" s="267" t="str">
        <f t="shared" si="56"/>
        <v/>
      </c>
      <c r="AQ188" s="268" t="str">
        <f t="shared" si="57"/>
        <v/>
      </c>
      <c r="AR188" s="450" t="str">
        <f t="shared" si="58"/>
        <v/>
      </c>
      <c r="AS188" s="450" t="str">
        <f t="shared" si="59"/>
        <v/>
      </c>
      <c r="AT188" s="450" t="str">
        <f t="shared" si="60"/>
        <v/>
      </c>
      <c r="AU188" s="269" t="str">
        <f t="shared" si="61"/>
        <v/>
      </c>
    </row>
    <row r="189" spans="1:47" ht="15.75" customHeight="1">
      <c r="A189" s="175">
        <f t="shared" si="44"/>
        <v>2024</v>
      </c>
      <c r="B189" s="454" t="str">
        <f t="shared" si="45"/>
        <v>27</v>
      </c>
      <c r="C189" s="454" t="str">
        <f t="array" ref="C189">_xlfn.IFS(_xlfn.NUMBERVALUE(B189)&lt;=13,"Q1",AND(_xlfn.NUMBERVALUE(B189)&gt;13,_xlfn.NUMBERVALUE(B189)&lt;=26),"Q2", AND(_xlfn.NUMBERVALUE(B189)&gt;26,_xlfn.NUMBERVALUE(B189)&lt;=39),"Q3",_xlfn.NUMBERVALUE(B189)&gt;39,"Q4")</f>
        <v>Q3</v>
      </c>
      <c r="D189" s="448">
        <f t="shared" si="62"/>
        <v>45136</v>
      </c>
      <c r="E189" s="448">
        <f t="shared" si="46"/>
        <v>45142</v>
      </c>
      <c r="F189" s="97">
        <v>202327</v>
      </c>
      <c r="G189" s="241"/>
      <c r="H189" s="467"/>
      <c r="I189" s="521">
        <f t="shared" si="64"/>
        <v>0</v>
      </c>
      <c r="J189" s="467"/>
      <c r="K189" s="242"/>
      <c r="L189" s="430"/>
      <c r="M189" s="430"/>
      <c r="N189" s="469">
        <f t="shared" si="66"/>
        <v>0</v>
      </c>
      <c r="O189" s="430"/>
      <c r="P189" s="524"/>
      <c r="Q189" s="103"/>
      <c r="R189" s="429"/>
      <c r="S189" s="521">
        <f t="shared" si="65"/>
        <v>0</v>
      </c>
      <c r="T189" s="467"/>
      <c r="U189" s="242"/>
      <c r="V189" s="103"/>
      <c r="W189" s="429"/>
      <c r="X189" s="449">
        <f t="shared" si="67"/>
        <v>0</v>
      </c>
      <c r="Y189" s="429"/>
      <c r="Z189" s="532"/>
      <c r="AA189" s="523"/>
      <c r="AB189" s="523"/>
      <c r="AC189" s="449">
        <f t="shared" si="68"/>
        <v>0</v>
      </c>
      <c r="AD189" s="429"/>
      <c r="AE189" s="429"/>
      <c r="AF189" s="126"/>
      <c r="AG189" s="265" t="str">
        <f t="shared" si="47"/>
        <v/>
      </c>
      <c r="AH189" s="515" t="str">
        <f t="shared" si="48"/>
        <v/>
      </c>
      <c r="AI189" s="515" t="str">
        <f t="shared" si="49"/>
        <v/>
      </c>
      <c r="AJ189" s="515" t="str">
        <f t="shared" si="50"/>
        <v/>
      </c>
      <c r="AK189" s="187" t="str">
        <f t="shared" si="51"/>
        <v/>
      </c>
      <c r="AL189" s="266" t="str">
        <f t="shared" si="52"/>
        <v/>
      </c>
      <c r="AM189" s="516" t="str">
        <f t="shared" si="53"/>
        <v/>
      </c>
      <c r="AN189" s="516" t="str">
        <f t="shared" si="54"/>
        <v/>
      </c>
      <c r="AO189" s="516" t="str">
        <f t="shared" si="55"/>
        <v/>
      </c>
      <c r="AP189" s="267" t="str">
        <f t="shared" si="56"/>
        <v/>
      </c>
      <c r="AQ189" s="268" t="str">
        <f t="shared" si="57"/>
        <v/>
      </c>
      <c r="AR189" s="450" t="str">
        <f t="shared" si="58"/>
        <v/>
      </c>
      <c r="AS189" s="450" t="str">
        <f t="shared" si="59"/>
        <v/>
      </c>
      <c r="AT189" s="450" t="str">
        <f t="shared" si="60"/>
        <v/>
      </c>
      <c r="AU189" s="269" t="str">
        <f t="shared" si="61"/>
        <v/>
      </c>
    </row>
    <row r="190" spans="1:47" ht="15.75" customHeight="1">
      <c r="A190" s="175">
        <f t="shared" si="44"/>
        <v>2024</v>
      </c>
      <c r="B190" s="454" t="str">
        <f t="shared" si="45"/>
        <v>28</v>
      </c>
      <c r="C190" s="454" t="str">
        <f t="array" ref="C190">_xlfn.IFS(_xlfn.NUMBERVALUE(B190)&lt;=13,"Q1",AND(_xlfn.NUMBERVALUE(B190)&gt;13,_xlfn.NUMBERVALUE(B190)&lt;=26),"Q2", AND(_xlfn.NUMBERVALUE(B190)&gt;26,_xlfn.NUMBERVALUE(B190)&lt;=39),"Q3",_xlfn.NUMBERVALUE(B190)&gt;39,"Q4")</f>
        <v>Q3</v>
      </c>
      <c r="D190" s="448">
        <f t="shared" si="62"/>
        <v>45143</v>
      </c>
      <c r="E190" s="448">
        <f t="shared" si="46"/>
        <v>45149</v>
      </c>
      <c r="F190" s="97">
        <v>202328</v>
      </c>
      <c r="G190" s="241"/>
      <c r="H190" s="467"/>
      <c r="I190" s="521">
        <f t="shared" si="64"/>
        <v>0</v>
      </c>
      <c r="J190" s="467"/>
      <c r="K190" s="242"/>
      <c r="L190" s="430"/>
      <c r="M190" s="430"/>
      <c r="N190" s="469">
        <f t="shared" si="66"/>
        <v>0</v>
      </c>
      <c r="O190" s="430"/>
      <c r="P190" s="430"/>
      <c r="Q190" s="103"/>
      <c r="R190" s="429"/>
      <c r="S190" s="521">
        <f t="shared" si="65"/>
        <v>0</v>
      </c>
      <c r="T190" s="467"/>
      <c r="U190" s="242"/>
      <c r="V190" s="103"/>
      <c r="W190" s="429"/>
      <c r="X190" s="449">
        <f t="shared" si="67"/>
        <v>0</v>
      </c>
      <c r="Y190" s="429"/>
      <c r="Z190" s="532"/>
      <c r="AA190" s="523"/>
      <c r="AB190" s="523"/>
      <c r="AC190" s="449">
        <f t="shared" si="68"/>
        <v>0</v>
      </c>
      <c r="AD190" s="429"/>
      <c r="AE190" s="429"/>
      <c r="AF190" s="126"/>
      <c r="AG190" s="265" t="str">
        <f t="shared" si="47"/>
        <v/>
      </c>
      <c r="AH190" s="515" t="str">
        <f t="shared" si="48"/>
        <v/>
      </c>
      <c r="AI190" s="515" t="str">
        <f t="shared" si="49"/>
        <v/>
      </c>
      <c r="AJ190" s="515" t="str">
        <f t="shared" si="50"/>
        <v/>
      </c>
      <c r="AK190" s="187" t="str">
        <f t="shared" si="51"/>
        <v/>
      </c>
      <c r="AL190" s="266" t="str">
        <f t="shared" si="52"/>
        <v/>
      </c>
      <c r="AM190" s="516" t="str">
        <f t="shared" si="53"/>
        <v/>
      </c>
      <c r="AN190" s="516" t="str">
        <f t="shared" si="54"/>
        <v/>
      </c>
      <c r="AO190" s="516" t="str">
        <f t="shared" si="55"/>
        <v/>
      </c>
      <c r="AP190" s="267" t="str">
        <f t="shared" si="56"/>
        <v/>
      </c>
      <c r="AQ190" s="268" t="str">
        <f t="shared" si="57"/>
        <v/>
      </c>
      <c r="AR190" s="450" t="str">
        <f t="shared" si="58"/>
        <v/>
      </c>
      <c r="AS190" s="450" t="str">
        <f t="shared" si="59"/>
        <v/>
      </c>
      <c r="AT190" s="450" t="str">
        <f t="shared" si="60"/>
        <v/>
      </c>
      <c r="AU190" s="269" t="str">
        <f t="shared" si="61"/>
        <v/>
      </c>
    </row>
    <row r="191" spans="1:47" ht="15.75" customHeight="1">
      <c r="A191" s="175">
        <f t="shared" si="44"/>
        <v>2024</v>
      </c>
      <c r="B191" s="454" t="str">
        <f t="shared" si="45"/>
        <v>29</v>
      </c>
      <c r="C191" s="454" t="str">
        <f t="array" ref="C191">_xlfn.IFS(_xlfn.NUMBERVALUE(B191)&lt;=13,"Q1",AND(_xlfn.NUMBERVALUE(B191)&gt;13,_xlfn.NUMBERVALUE(B191)&lt;=26),"Q2", AND(_xlfn.NUMBERVALUE(B191)&gt;26,_xlfn.NUMBERVALUE(B191)&lt;=39),"Q3",_xlfn.NUMBERVALUE(B191)&gt;39,"Q4")</f>
        <v>Q3</v>
      </c>
      <c r="D191" s="448">
        <f t="shared" si="62"/>
        <v>45150</v>
      </c>
      <c r="E191" s="448">
        <f t="shared" si="46"/>
        <v>45156</v>
      </c>
      <c r="F191" s="97">
        <v>202329</v>
      </c>
      <c r="G191" s="241"/>
      <c r="H191" s="467"/>
      <c r="I191" s="521">
        <f t="shared" si="64"/>
        <v>0</v>
      </c>
      <c r="J191" s="467"/>
      <c r="K191" s="242"/>
      <c r="L191" s="430"/>
      <c r="M191" s="430"/>
      <c r="N191" s="469">
        <f t="shared" si="66"/>
        <v>0</v>
      </c>
      <c r="O191" s="430"/>
      <c r="P191" s="430"/>
      <c r="Q191" s="103"/>
      <c r="R191" s="429"/>
      <c r="S191" s="521">
        <f t="shared" si="65"/>
        <v>0</v>
      </c>
      <c r="T191" s="467"/>
      <c r="U191" s="242"/>
      <c r="V191" s="103"/>
      <c r="W191" s="429"/>
      <c r="X191" s="449">
        <f t="shared" si="67"/>
        <v>0</v>
      </c>
      <c r="Y191" s="429"/>
      <c r="Z191" s="532"/>
      <c r="AA191" s="523"/>
      <c r="AB191" s="523"/>
      <c r="AC191" s="449">
        <f t="shared" si="68"/>
        <v>0</v>
      </c>
      <c r="AD191" s="429"/>
      <c r="AE191" s="429"/>
      <c r="AF191" s="126"/>
      <c r="AG191" s="265" t="str">
        <f t="shared" si="47"/>
        <v/>
      </c>
      <c r="AH191" s="515" t="str">
        <f t="shared" si="48"/>
        <v/>
      </c>
      <c r="AI191" s="515" t="str">
        <f t="shared" si="49"/>
        <v/>
      </c>
      <c r="AJ191" s="515" t="str">
        <f t="shared" si="50"/>
        <v/>
      </c>
      <c r="AK191" s="187" t="str">
        <f t="shared" si="51"/>
        <v/>
      </c>
      <c r="AL191" s="266" t="str">
        <f t="shared" si="52"/>
        <v/>
      </c>
      <c r="AM191" s="516" t="str">
        <f t="shared" si="53"/>
        <v/>
      </c>
      <c r="AN191" s="516" t="str">
        <f t="shared" si="54"/>
        <v/>
      </c>
      <c r="AO191" s="516" t="str">
        <f t="shared" si="55"/>
        <v/>
      </c>
      <c r="AP191" s="267" t="str">
        <f t="shared" si="56"/>
        <v/>
      </c>
      <c r="AQ191" s="268" t="str">
        <f t="shared" si="57"/>
        <v/>
      </c>
      <c r="AR191" s="450" t="str">
        <f t="shared" si="58"/>
        <v/>
      </c>
      <c r="AS191" s="450" t="str">
        <f t="shared" si="59"/>
        <v/>
      </c>
      <c r="AT191" s="450" t="str">
        <f t="shared" si="60"/>
        <v/>
      </c>
      <c r="AU191" s="269" t="str">
        <f t="shared" si="61"/>
        <v/>
      </c>
    </row>
    <row r="192" spans="1:47" ht="15.75" customHeight="1">
      <c r="A192" s="175">
        <f t="shared" si="44"/>
        <v>2024</v>
      </c>
      <c r="B192" s="454" t="str">
        <f t="shared" si="45"/>
        <v>30</v>
      </c>
      <c r="C192" s="454" t="str">
        <f t="array" ref="C192">_xlfn.IFS(_xlfn.NUMBERVALUE(B192)&lt;=13,"Q1",AND(_xlfn.NUMBERVALUE(B192)&gt;13,_xlfn.NUMBERVALUE(B192)&lt;=26),"Q2", AND(_xlfn.NUMBERVALUE(B192)&gt;26,_xlfn.NUMBERVALUE(B192)&lt;=39),"Q3",_xlfn.NUMBERVALUE(B192)&gt;39,"Q4")</f>
        <v>Q3</v>
      </c>
      <c r="D192" s="448">
        <f t="shared" si="62"/>
        <v>45157</v>
      </c>
      <c r="E192" s="448">
        <f t="shared" si="46"/>
        <v>45163</v>
      </c>
      <c r="F192" s="97">
        <v>202330</v>
      </c>
      <c r="G192" s="241"/>
      <c r="H192" s="467"/>
      <c r="I192" s="521">
        <f t="shared" si="64"/>
        <v>0</v>
      </c>
      <c r="J192" s="467"/>
      <c r="K192" s="242"/>
      <c r="L192" s="430"/>
      <c r="M192" s="430"/>
      <c r="N192" s="469">
        <f t="shared" si="66"/>
        <v>0</v>
      </c>
      <c r="O192" s="524"/>
      <c r="P192" s="430"/>
      <c r="Q192" s="103"/>
      <c r="R192" s="429"/>
      <c r="S192" s="521">
        <f t="shared" si="65"/>
        <v>0</v>
      </c>
      <c r="T192" s="467"/>
      <c r="U192" s="242"/>
      <c r="V192" s="103"/>
      <c r="W192" s="429"/>
      <c r="X192" s="449">
        <f t="shared" si="67"/>
        <v>0</v>
      </c>
      <c r="Y192" s="429"/>
      <c r="Z192" s="532"/>
      <c r="AA192" s="523"/>
      <c r="AB192" s="523"/>
      <c r="AC192" s="449">
        <f t="shared" si="68"/>
        <v>0</v>
      </c>
      <c r="AD192" s="429"/>
      <c r="AE192" s="429"/>
      <c r="AF192" s="126"/>
      <c r="AG192" s="265" t="str">
        <f t="shared" si="47"/>
        <v/>
      </c>
      <c r="AH192" s="515" t="str">
        <f t="shared" si="48"/>
        <v/>
      </c>
      <c r="AI192" s="515" t="str">
        <f t="shared" si="49"/>
        <v/>
      </c>
      <c r="AJ192" s="515" t="str">
        <f t="shared" si="50"/>
        <v/>
      </c>
      <c r="AK192" s="187" t="str">
        <f t="shared" si="51"/>
        <v/>
      </c>
      <c r="AL192" s="266" t="str">
        <f t="shared" si="52"/>
        <v/>
      </c>
      <c r="AM192" s="516" t="str">
        <f t="shared" si="53"/>
        <v/>
      </c>
      <c r="AN192" s="516" t="str">
        <f t="shared" si="54"/>
        <v/>
      </c>
      <c r="AO192" s="516" t="str">
        <f t="shared" si="55"/>
        <v/>
      </c>
      <c r="AP192" s="267" t="str">
        <f t="shared" si="56"/>
        <v/>
      </c>
      <c r="AQ192" s="268" t="str">
        <f t="shared" si="57"/>
        <v/>
      </c>
      <c r="AR192" s="450" t="str">
        <f t="shared" si="58"/>
        <v/>
      </c>
      <c r="AS192" s="450" t="str">
        <f t="shared" si="59"/>
        <v/>
      </c>
      <c r="AT192" s="450" t="str">
        <f t="shared" si="60"/>
        <v/>
      </c>
      <c r="AU192" s="269" t="str">
        <f t="shared" si="61"/>
        <v/>
      </c>
    </row>
    <row r="193" spans="1:47" ht="15.75" customHeight="1">
      <c r="A193" s="175">
        <f t="shared" si="44"/>
        <v>2024</v>
      </c>
      <c r="B193" s="454" t="str">
        <f t="shared" si="45"/>
        <v>31</v>
      </c>
      <c r="C193" s="454" t="str">
        <f t="array" ref="C193">_xlfn.IFS(_xlfn.NUMBERVALUE(B193)&lt;=13,"Q1",AND(_xlfn.NUMBERVALUE(B193)&gt;13,_xlfn.NUMBERVALUE(B193)&lt;=26),"Q2", AND(_xlfn.NUMBERVALUE(B193)&gt;26,_xlfn.NUMBERVALUE(B193)&lt;=39),"Q3",_xlfn.NUMBERVALUE(B193)&gt;39,"Q4")</f>
        <v>Q3</v>
      </c>
      <c r="D193" s="448">
        <f t="shared" si="62"/>
        <v>45164</v>
      </c>
      <c r="E193" s="448">
        <f t="shared" si="46"/>
        <v>45170</v>
      </c>
      <c r="F193" s="97">
        <v>202331</v>
      </c>
      <c r="G193" s="241"/>
      <c r="H193" s="467"/>
      <c r="I193" s="521">
        <f t="shared" si="64"/>
        <v>0</v>
      </c>
      <c r="J193" s="467"/>
      <c r="K193" s="242"/>
      <c r="L193" s="430"/>
      <c r="M193" s="430"/>
      <c r="N193" s="469">
        <f t="shared" si="66"/>
        <v>0</v>
      </c>
      <c r="O193" s="430"/>
      <c r="P193" s="430"/>
      <c r="Q193" s="103"/>
      <c r="R193" s="429"/>
      <c r="S193" s="521">
        <f t="shared" si="65"/>
        <v>0</v>
      </c>
      <c r="T193" s="467"/>
      <c r="U193" s="242"/>
      <c r="V193" s="103"/>
      <c r="W193" s="429"/>
      <c r="X193" s="449">
        <f t="shared" si="67"/>
        <v>0</v>
      </c>
      <c r="Y193" s="429"/>
      <c r="Z193" s="532"/>
      <c r="AA193" s="523"/>
      <c r="AB193" s="523"/>
      <c r="AC193" s="449">
        <f t="shared" si="68"/>
        <v>0</v>
      </c>
      <c r="AD193" s="429"/>
      <c r="AE193" s="429"/>
      <c r="AF193" s="126"/>
      <c r="AG193" s="265" t="str">
        <f t="shared" si="47"/>
        <v/>
      </c>
      <c r="AH193" s="515" t="str">
        <f t="shared" si="48"/>
        <v/>
      </c>
      <c r="AI193" s="515" t="str">
        <f t="shared" si="49"/>
        <v/>
      </c>
      <c r="AJ193" s="515" t="str">
        <f t="shared" si="50"/>
        <v/>
      </c>
      <c r="AK193" s="187" t="str">
        <f t="shared" si="51"/>
        <v/>
      </c>
      <c r="AL193" s="266" t="str">
        <f t="shared" si="52"/>
        <v/>
      </c>
      <c r="AM193" s="516" t="str">
        <f t="shared" si="53"/>
        <v/>
      </c>
      <c r="AN193" s="516" t="str">
        <f t="shared" si="54"/>
        <v/>
      </c>
      <c r="AO193" s="516" t="str">
        <f t="shared" si="55"/>
        <v/>
      </c>
      <c r="AP193" s="267" t="str">
        <f t="shared" si="56"/>
        <v/>
      </c>
      <c r="AQ193" s="268" t="str">
        <f t="shared" si="57"/>
        <v/>
      </c>
      <c r="AR193" s="450" t="str">
        <f t="shared" si="58"/>
        <v/>
      </c>
      <c r="AS193" s="450" t="str">
        <f t="shared" si="59"/>
        <v/>
      </c>
      <c r="AT193" s="450" t="str">
        <f t="shared" si="60"/>
        <v/>
      </c>
      <c r="AU193" s="269" t="str">
        <f t="shared" si="61"/>
        <v/>
      </c>
    </row>
    <row r="194" spans="1:47" ht="15.75" customHeight="1">
      <c r="A194" s="175">
        <f t="shared" si="44"/>
        <v>2024</v>
      </c>
      <c r="B194" s="454" t="str">
        <f t="shared" si="45"/>
        <v>32</v>
      </c>
      <c r="C194" s="454" t="str">
        <f t="array" ref="C194">_xlfn.IFS(_xlfn.NUMBERVALUE(B194)&lt;=13,"Q1",AND(_xlfn.NUMBERVALUE(B194)&gt;13,_xlfn.NUMBERVALUE(B194)&lt;=26),"Q2", AND(_xlfn.NUMBERVALUE(B194)&gt;26,_xlfn.NUMBERVALUE(B194)&lt;=39),"Q3",_xlfn.NUMBERVALUE(B194)&gt;39,"Q4")</f>
        <v>Q3</v>
      </c>
      <c r="D194" s="448">
        <f t="shared" si="62"/>
        <v>45171</v>
      </c>
      <c r="E194" s="448">
        <f t="shared" si="46"/>
        <v>45177</v>
      </c>
      <c r="F194" s="97">
        <v>202332</v>
      </c>
      <c r="G194" s="241"/>
      <c r="H194" s="467"/>
      <c r="I194" s="521">
        <f t="shared" ref="I194:I225" si="69">SUM(G194:H194)</f>
        <v>0</v>
      </c>
      <c r="J194" s="467"/>
      <c r="K194" s="242"/>
      <c r="L194" s="430"/>
      <c r="M194" s="430"/>
      <c r="N194" s="469">
        <f t="shared" si="66"/>
        <v>0</v>
      </c>
      <c r="O194" s="430"/>
      <c r="P194" s="430"/>
      <c r="Q194" s="103"/>
      <c r="R194" s="429"/>
      <c r="S194" s="521">
        <f t="shared" ref="S194:S225" si="70">SUM(Q194:R194)</f>
        <v>0</v>
      </c>
      <c r="T194" s="467"/>
      <c r="U194" s="242"/>
      <c r="V194" s="103"/>
      <c r="W194" s="429"/>
      <c r="X194" s="449">
        <f t="shared" si="67"/>
        <v>0</v>
      </c>
      <c r="Y194" s="429"/>
      <c r="Z194" s="532"/>
      <c r="AA194" s="523"/>
      <c r="AB194" s="523"/>
      <c r="AC194" s="449">
        <f t="shared" si="68"/>
        <v>0</v>
      </c>
      <c r="AD194" s="429"/>
      <c r="AE194" s="429"/>
      <c r="AF194" s="126"/>
      <c r="AG194" s="265" t="str">
        <f t="shared" si="47"/>
        <v/>
      </c>
      <c r="AH194" s="515" t="str">
        <f t="shared" si="48"/>
        <v/>
      </c>
      <c r="AI194" s="515" t="str">
        <f t="shared" si="49"/>
        <v/>
      </c>
      <c r="AJ194" s="515" t="str">
        <f t="shared" si="50"/>
        <v/>
      </c>
      <c r="AK194" s="187" t="str">
        <f t="shared" si="51"/>
        <v/>
      </c>
      <c r="AL194" s="266" t="str">
        <f t="shared" si="52"/>
        <v/>
      </c>
      <c r="AM194" s="516" t="str">
        <f t="shared" si="53"/>
        <v/>
      </c>
      <c r="AN194" s="516" t="str">
        <f t="shared" si="54"/>
        <v/>
      </c>
      <c r="AO194" s="516" t="str">
        <f t="shared" si="55"/>
        <v/>
      </c>
      <c r="AP194" s="267" t="str">
        <f t="shared" si="56"/>
        <v/>
      </c>
      <c r="AQ194" s="268" t="str">
        <f t="shared" si="57"/>
        <v/>
      </c>
      <c r="AR194" s="450" t="str">
        <f t="shared" si="58"/>
        <v/>
      </c>
      <c r="AS194" s="450" t="str">
        <f t="shared" si="59"/>
        <v/>
      </c>
      <c r="AT194" s="450" t="str">
        <f t="shared" si="60"/>
        <v/>
      </c>
      <c r="AU194" s="269" t="str">
        <f t="shared" si="61"/>
        <v/>
      </c>
    </row>
    <row r="195" spans="1:47" ht="15.75" customHeight="1">
      <c r="A195" s="175">
        <f t="shared" si="44"/>
        <v>2024</v>
      </c>
      <c r="B195" s="454" t="str">
        <f t="shared" si="45"/>
        <v>33</v>
      </c>
      <c r="C195" s="454" t="str">
        <f t="array" ref="C195">_xlfn.IFS(_xlfn.NUMBERVALUE(B195)&lt;=13,"Q1",AND(_xlfn.NUMBERVALUE(B195)&gt;13,_xlfn.NUMBERVALUE(B195)&lt;=26),"Q2", AND(_xlfn.NUMBERVALUE(B195)&gt;26,_xlfn.NUMBERVALUE(B195)&lt;=39),"Q3",_xlfn.NUMBERVALUE(B195)&gt;39,"Q4")</f>
        <v>Q3</v>
      </c>
      <c r="D195" s="448">
        <f t="shared" si="62"/>
        <v>45178</v>
      </c>
      <c r="E195" s="448">
        <f t="shared" si="46"/>
        <v>45184</v>
      </c>
      <c r="F195" s="97">
        <v>202333</v>
      </c>
      <c r="G195" s="241"/>
      <c r="H195" s="467"/>
      <c r="I195" s="521">
        <f t="shared" si="69"/>
        <v>0</v>
      </c>
      <c r="J195" s="467"/>
      <c r="K195" s="242"/>
      <c r="L195" s="430"/>
      <c r="M195" s="430"/>
      <c r="N195" s="469">
        <f t="shared" si="66"/>
        <v>0</v>
      </c>
      <c r="O195" s="430"/>
      <c r="P195" s="430"/>
      <c r="Q195" s="103"/>
      <c r="R195" s="429"/>
      <c r="S195" s="521">
        <f t="shared" si="70"/>
        <v>0</v>
      </c>
      <c r="T195" s="467"/>
      <c r="U195" s="242"/>
      <c r="V195" s="404"/>
      <c r="W195" s="340"/>
      <c r="X195" s="449">
        <f t="shared" si="67"/>
        <v>0</v>
      </c>
      <c r="Y195" s="340"/>
      <c r="Z195" s="403"/>
      <c r="AA195" s="523"/>
      <c r="AB195" s="523"/>
      <c r="AC195" s="449">
        <f t="shared" si="68"/>
        <v>0</v>
      </c>
      <c r="AD195" s="429"/>
      <c r="AE195" s="429"/>
      <c r="AF195" s="126"/>
      <c r="AG195" s="265" t="str">
        <f t="shared" si="47"/>
        <v/>
      </c>
      <c r="AH195" s="515" t="str">
        <f t="shared" si="48"/>
        <v/>
      </c>
      <c r="AI195" s="515" t="str">
        <f t="shared" si="49"/>
        <v/>
      </c>
      <c r="AJ195" s="515" t="str">
        <f t="shared" si="50"/>
        <v/>
      </c>
      <c r="AK195" s="187" t="str">
        <f t="shared" si="51"/>
        <v/>
      </c>
      <c r="AL195" s="266" t="str">
        <f t="shared" si="52"/>
        <v/>
      </c>
      <c r="AM195" s="516" t="str">
        <f t="shared" si="53"/>
        <v/>
      </c>
      <c r="AN195" s="516" t="str">
        <f t="shared" si="54"/>
        <v/>
      </c>
      <c r="AO195" s="516" t="str">
        <f t="shared" si="55"/>
        <v/>
      </c>
      <c r="AP195" s="267" t="str">
        <f t="shared" si="56"/>
        <v/>
      </c>
      <c r="AQ195" s="268" t="str">
        <f t="shared" si="57"/>
        <v/>
      </c>
      <c r="AR195" s="450" t="str">
        <f t="shared" si="58"/>
        <v/>
      </c>
      <c r="AS195" s="450" t="str">
        <f t="shared" si="59"/>
        <v/>
      </c>
      <c r="AT195" s="450" t="str">
        <f t="shared" si="60"/>
        <v/>
      </c>
      <c r="AU195" s="269" t="str">
        <f t="shared" si="61"/>
        <v/>
      </c>
    </row>
    <row r="196" spans="1:47" ht="15.75" customHeight="1">
      <c r="A196" s="175">
        <f t="shared" si="44"/>
        <v>2024</v>
      </c>
      <c r="B196" s="454" t="str">
        <f t="shared" si="45"/>
        <v>34</v>
      </c>
      <c r="C196" s="454" t="str">
        <f t="array" ref="C196">_xlfn.IFS(_xlfn.NUMBERVALUE(B196)&lt;=13,"Q1",AND(_xlfn.NUMBERVALUE(B196)&gt;13,_xlfn.NUMBERVALUE(B196)&lt;=26),"Q2", AND(_xlfn.NUMBERVALUE(B196)&gt;26,_xlfn.NUMBERVALUE(B196)&lt;=39),"Q3",_xlfn.NUMBERVALUE(B196)&gt;39,"Q4")</f>
        <v>Q3</v>
      </c>
      <c r="D196" s="448">
        <f t="shared" si="62"/>
        <v>45185</v>
      </c>
      <c r="E196" s="448">
        <f t="shared" si="46"/>
        <v>45191</v>
      </c>
      <c r="F196" s="97">
        <v>202334</v>
      </c>
      <c r="G196" s="241"/>
      <c r="H196" s="467"/>
      <c r="I196" s="521">
        <f t="shared" si="69"/>
        <v>0</v>
      </c>
      <c r="J196" s="467"/>
      <c r="K196" s="242"/>
      <c r="L196" s="430"/>
      <c r="M196" s="430"/>
      <c r="N196" s="469">
        <f t="shared" si="66"/>
        <v>0</v>
      </c>
      <c r="O196" s="430"/>
      <c r="P196" s="430"/>
      <c r="Q196" s="241"/>
      <c r="R196" s="467"/>
      <c r="S196" s="521">
        <f t="shared" si="70"/>
        <v>0</v>
      </c>
      <c r="T196" s="467"/>
      <c r="U196" s="242"/>
      <c r="V196" s="404"/>
      <c r="W196" s="340"/>
      <c r="X196" s="449">
        <f t="shared" si="67"/>
        <v>0</v>
      </c>
      <c r="Y196" s="340"/>
      <c r="Z196" s="403"/>
      <c r="AA196" s="525"/>
      <c r="AB196" s="525"/>
      <c r="AC196" s="449">
        <f t="shared" si="68"/>
        <v>0</v>
      </c>
      <c r="AD196" s="467"/>
      <c r="AE196" s="467"/>
      <c r="AF196" s="403"/>
      <c r="AG196" s="265" t="str">
        <f t="shared" si="47"/>
        <v/>
      </c>
      <c r="AH196" s="515" t="str">
        <f t="shared" si="48"/>
        <v/>
      </c>
      <c r="AI196" s="515" t="str">
        <f t="shared" si="49"/>
        <v/>
      </c>
      <c r="AJ196" s="515" t="str">
        <f t="shared" si="50"/>
        <v/>
      </c>
      <c r="AK196" s="187" t="str">
        <f t="shared" si="51"/>
        <v/>
      </c>
      <c r="AL196" s="266" t="str">
        <f t="shared" si="52"/>
        <v/>
      </c>
      <c r="AM196" s="516" t="str">
        <f t="shared" si="53"/>
        <v/>
      </c>
      <c r="AN196" s="516" t="str">
        <f t="shared" si="54"/>
        <v/>
      </c>
      <c r="AO196" s="516" t="str">
        <f t="shared" si="55"/>
        <v/>
      </c>
      <c r="AP196" s="267" t="str">
        <f t="shared" si="56"/>
        <v/>
      </c>
      <c r="AQ196" s="268" t="str">
        <f t="shared" si="57"/>
        <v/>
      </c>
      <c r="AR196" s="450" t="str">
        <f t="shared" si="58"/>
        <v/>
      </c>
      <c r="AS196" s="450" t="str">
        <f t="shared" si="59"/>
        <v/>
      </c>
      <c r="AT196" s="450" t="str">
        <f t="shared" si="60"/>
        <v/>
      </c>
      <c r="AU196" s="269" t="str">
        <f t="shared" si="61"/>
        <v/>
      </c>
    </row>
    <row r="197" spans="1:47" ht="15.75" customHeight="1">
      <c r="A197" s="175">
        <f t="shared" si="44"/>
        <v>2024</v>
      </c>
      <c r="B197" s="454" t="str">
        <f t="shared" si="45"/>
        <v>35</v>
      </c>
      <c r="C197" s="454" t="str">
        <f t="array" ref="C197">_xlfn.IFS(_xlfn.NUMBERVALUE(B197)&lt;=13,"Q1",AND(_xlfn.NUMBERVALUE(B197)&gt;13,_xlfn.NUMBERVALUE(B197)&lt;=26),"Q2", AND(_xlfn.NUMBERVALUE(B197)&gt;26,_xlfn.NUMBERVALUE(B197)&lt;=39),"Q3",_xlfn.NUMBERVALUE(B197)&gt;39,"Q4")</f>
        <v>Q3</v>
      </c>
      <c r="D197" s="448">
        <f t="shared" si="62"/>
        <v>45192</v>
      </c>
      <c r="E197" s="448">
        <f t="shared" si="46"/>
        <v>45198</v>
      </c>
      <c r="F197" s="97">
        <v>202335</v>
      </c>
      <c r="G197" s="241"/>
      <c r="H197" s="467"/>
      <c r="I197" s="521">
        <f t="shared" si="69"/>
        <v>0</v>
      </c>
      <c r="J197" s="467"/>
      <c r="K197" s="242"/>
      <c r="L197" s="430"/>
      <c r="M197" s="430"/>
      <c r="N197" s="469">
        <f t="shared" si="66"/>
        <v>0</v>
      </c>
      <c r="O197" s="430"/>
      <c r="P197" s="430"/>
      <c r="Q197" s="103"/>
      <c r="R197" s="429"/>
      <c r="S197" s="521">
        <f t="shared" si="70"/>
        <v>0</v>
      </c>
      <c r="T197" s="467"/>
      <c r="U197" s="242"/>
      <c r="V197" s="404"/>
      <c r="W197" s="340"/>
      <c r="X197" s="449">
        <f t="shared" si="67"/>
        <v>0</v>
      </c>
      <c r="Y197" s="340"/>
      <c r="Z197" s="403"/>
      <c r="AA197" s="523"/>
      <c r="AB197" s="523"/>
      <c r="AC197" s="449">
        <f t="shared" si="68"/>
        <v>0</v>
      </c>
      <c r="AD197" s="429"/>
      <c r="AE197" s="429"/>
      <c r="AF197" s="126"/>
      <c r="AG197" s="265" t="str">
        <f t="shared" si="47"/>
        <v/>
      </c>
      <c r="AH197" s="515" t="str">
        <f t="shared" si="48"/>
        <v/>
      </c>
      <c r="AI197" s="515" t="str">
        <f t="shared" si="49"/>
        <v/>
      </c>
      <c r="AJ197" s="515" t="str">
        <f t="shared" si="50"/>
        <v/>
      </c>
      <c r="AK197" s="187" t="str">
        <f t="shared" si="51"/>
        <v/>
      </c>
      <c r="AL197" s="266" t="str">
        <f t="shared" si="52"/>
        <v/>
      </c>
      <c r="AM197" s="516" t="str">
        <f t="shared" si="53"/>
        <v/>
      </c>
      <c r="AN197" s="516" t="str">
        <f t="shared" si="54"/>
        <v/>
      </c>
      <c r="AO197" s="516" t="str">
        <f t="shared" si="55"/>
        <v/>
      </c>
      <c r="AP197" s="267" t="str">
        <f t="shared" si="56"/>
        <v/>
      </c>
      <c r="AQ197" s="268" t="str">
        <f t="shared" si="57"/>
        <v/>
      </c>
      <c r="AR197" s="450" t="str">
        <f t="shared" si="58"/>
        <v/>
      </c>
      <c r="AS197" s="450" t="str">
        <f t="shared" si="59"/>
        <v/>
      </c>
      <c r="AT197" s="450" t="str">
        <f t="shared" si="60"/>
        <v/>
      </c>
      <c r="AU197" s="269" t="str">
        <f t="shared" si="61"/>
        <v/>
      </c>
    </row>
    <row r="198" spans="1:47" ht="15.75" customHeight="1">
      <c r="A198" s="175">
        <f t="shared" si="44"/>
        <v>2024</v>
      </c>
      <c r="B198" s="454" t="str">
        <f t="shared" si="45"/>
        <v>36</v>
      </c>
      <c r="C198" s="454" t="str">
        <f t="array" ref="C198">_xlfn.IFS(_xlfn.NUMBERVALUE(B198)&lt;=13,"Q1",AND(_xlfn.NUMBERVALUE(B198)&gt;13,_xlfn.NUMBERVALUE(B198)&lt;=26),"Q2", AND(_xlfn.NUMBERVALUE(B198)&gt;26,_xlfn.NUMBERVALUE(B198)&lt;=39),"Q3",_xlfn.NUMBERVALUE(B198)&gt;39,"Q4")</f>
        <v>Q3</v>
      </c>
      <c r="D198" s="448">
        <f t="shared" si="62"/>
        <v>45199</v>
      </c>
      <c r="E198" s="448">
        <f t="shared" si="46"/>
        <v>45205</v>
      </c>
      <c r="F198" s="97">
        <v>202336</v>
      </c>
      <c r="G198" s="241"/>
      <c r="H198" s="467"/>
      <c r="I198" s="521">
        <f t="shared" si="69"/>
        <v>0</v>
      </c>
      <c r="J198" s="467"/>
      <c r="K198" s="242"/>
      <c r="L198" s="430"/>
      <c r="M198" s="430"/>
      <c r="N198" s="469">
        <f t="shared" si="66"/>
        <v>0</v>
      </c>
      <c r="O198" s="430"/>
      <c r="P198" s="430"/>
      <c r="Q198" s="103"/>
      <c r="R198" s="429"/>
      <c r="S198" s="521">
        <f t="shared" si="70"/>
        <v>0</v>
      </c>
      <c r="T198" s="467"/>
      <c r="U198" s="242"/>
      <c r="V198" s="404"/>
      <c r="W198" s="340"/>
      <c r="X198" s="449">
        <f t="shared" si="67"/>
        <v>0</v>
      </c>
      <c r="Y198" s="340"/>
      <c r="Z198" s="403"/>
      <c r="AA198" s="523"/>
      <c r="AB198" s="523"/>
      <c r="AC198" s="449">
        <f t="shared" si="68"/>
        <v>0</v>
      </c>
      <c r="AD198" s="429"/>
      <c r="AE198" s="429"/>
      <c r="AF198" s="126"/>
      <c r="AG198" s="265" t="str">
        <f t="shared" si="47"/>
        <v/>
      </c>
      <c r="AH198" s="515" t="str">
        <f t="shared" si="48"/>
        <v/>
      </c>
      <c r="AI198" s="515" t="str">
        <f t="shared" si="49"/>
        <v/>
      </c>
      <c r="AJ198" s="515" t="str">
        <f t="shared" si="50"/>
        <v/>
      </c>
      <c r="AK198" s="187" t="str">
        <f t="shared" si="51"/>
        <v/>
      </c>
      <c r="AL198" s="266" t="str">
        <f t="shared" si="52"/>
        <v/>
      </c>
      <c r="AM198" s="516" t="str">
        <f t="shared" si="53"/>
        <v/>
      </c>
      <c r="AN198" s="516" t="str">
        <f t="shared" si="54"/>
        <v/>
      </c>
      <c r="AO198" s="516" t="str">
        <f t="shared" si="55"/>
        <v/>
      </c>
      <c r="AP198" s="267" t="str">
        <f t="shared" si="56"/>
        <v/>
      </c>
      <c r="AQ198" s="268" t="str">
        <f t="shared" si="57"/>
        <v/>
      </c>
      <c r="AR198" s="450" t="str">
        <f t="shared" si="58"/>
        <v/>
      </c>
      <c r="AS198" s="450" t="str">
        <f t="shared" si="59"/>
        <v/>
      </c>
      <c r="AT198" s="450" t="str">
        <f t="shared" si="60"/>
        <v/>
      </c>
      <c r="AU198" s="269" t="str">
        <f t="shared" si="61"/>
        <v/>
      </c>
    </row>
    <row r="199" spans="1:47" ht="15.75" customHeight="1">
      <c r="A199" s="175">
        <f t="shared" ref="A199:A262" si="71">LEFT(F199,4)+1</f>
        <v>2024</v>
      </c>
      <c r="B199" s="454" t="str">
        <f t="shared" ref="B199:B262" si="72">RIGHT(F199,2)</f>
        <v>37</v>
      </c>
      <c r="C199" s="454" t="str">
        <f t="array" ref="C199">_xlfn.IFS(_xlfn.NUMBERVALUE(B199)&lt;=13,"Q1",AND(_xlfn.NUMBERVALUE(B199)&gt;13,_xlfn.NUMBERVALUE(B199)&lt;=26),"Q2", AND(_xlfn.NUMBERVALUE(B199)&gt;26,_xlfn.NUMBERVALUE(B199)&lt;=39),"Q3",_xlfn.NUMBERVALUE(B199)&gt;39,"Q4")</f>
        <v>Q3</v>
      </c>
      <c r="D199" s="448">
        <f t="shared" si="62"/>
        <v>45206</v>
      </c>
      <c r="E199" s="448">
        <f t="shared" ref="E199:E262" si="73">D199+6</f>
        <v>45212</v>
      </c>
      <c r="F199" s="97">
        <v>202337</v>
      </c>
      <c r="G199" s="241"/>
      <c r="H199" s="467"/>
      <c r="I199" s="521">
        <f t="shared" si="69"/>
        <v>0</v>
      </c>
      <c r="J199" s="467"/>
      <c r="K199" s="242"/>
      <c r="L199" s="430"/>
      <c r="M199" s="430"/>
      <c r="N199" s="469">
        <f t="shared" si="66"/>
        <v>0</v>
      </c>
      <c r="O199" s="430"/>
      <c r="P199" s="430"/>
      <c r="Q199" s="103"/>
      <c r="R199" s="429"/>
      <c r="S199" s="521">
        <f t="shared" si="70"/>
        <v>0</v>
      </c>
      <c r="T199" s="467"/>
      <c r="U199" s="242"/>
      <c r="V199" s="545"/>
      <c r="W199" s="546"/>
      <c r="X199" s="449">
        <f t="shared" si="67"/>
        <v>0</v>
      </c>
      <c r="Y199" s="547"/>
      <c r="Z199" s="548"/>
      <c r="AA199" s="523"/>
      <c r="AB199" s="523"/>
      <c r="AC199" s="449">
        <f t="shared" si="68"/>
        <v>0</v>
      </c>
      <c r="AD199" s="429"/>
      <c r="AE199" s="429"/>
      <c r="AF199" s="126"/>
      <c r="AG199" s="265" t="str">
        <f t="shared" ref="AG199:AG262" si="74">IFERROR(G199/Q199,"")</f>
        <v/>
      </c>
      <c r="AH199" s="515" t="str">
        <f t="shared" ref="AH199:AH262" si="75">IFERROR(H199/R199,"")</f>
        <v/>
      </c>
      <c r="AI199" s="515" t="str">
        <f t="shared" ref="AI199:AI262" si="76">IFERROR(I199/S199,"")</f>
        <v/>
      </c>
      <c r="AJ199" s="515" t="str">
        <f t="shared" ref="AJ199:AJ262" si="77">IFERROR(J199/T199,"")</f>
        <v/>
      </c>
      <c r="AK199" s="187" t="str">
        <f t="shared" ref="AK199:AK262" si="78">IFERROR(K199/U199,"")</f>
        <v/>
      </c>
      <c r="AL199" s="266" t="str">
        <f t="shared" ref="AL199:AL262" si="79">IFERROR(L199/G199,"")</f>
        <v/>
      </c>
      <c r="AM199" s="516" t="str">
        <f t="shared" ref="AM199:AM262" si="80">IFERROR(M199/H199,"")</f>
        <v/>
      </c>
      <c r="AN199" s="516" t="str">
        <f t="shared" ref="AN199:AN262" si="81">IFERROR(N199/I199,"")</f>
        <v/>
      </c>
      <c r="AO199" s="516" t="str">
        <f t="shared" ref="AO199:AO262" si="82">IFERROR(O199/J199,"")</f>
        <v/>
      </c>
      <c r="AP199" s="267" t="str">
        <f t="shared" ref="AP199:AP262" si="83">IFERROR(P199/K199,"")</f>
        <v/>
      </c>
      <c r="AQ199" s="268" t="str">
        <f t="shared" ref="AQ199:AQ262" si="84">IFERROR(L199/SUM($N199:$P199),"")</f>
        <v/>
      </c>
      <c r="AR199" s="450" t="str">
        <f t="shared" ref="AR199:AR262" si="85">IFERROR(M199/SUM($N199:$P199),"")</f>
        <v/>
      </c>
      <c r="AS199" s="450" t="str">
        <f t="shared" ref="AS199:AS262" si="86">IFERROR(N199/SUM($N199:$P199),"")</f>
        <v/>
      </c>
      <c r="AT199" s="450" t="str">
        <f t="shared" ref="AT199:AT262" si="87">IFERROR(O199/SUM($N199:$P199),"")</f>
        <v/>
      </c>
      <c r="AU199" s="269" t="str">
        <f t="shared" ref="AU199:AU262" si="88">IFERROR(P199/SUM($N199:$P199),"")</f>
        <v/>
      </c>
    </row>
    <row r="200" spans="1:47" ht="15.75" customHeight="1">
      <c r="A200" s="175">
        <f t="shared" si="71"/>
        <v>2024</v>
      </c>
      <c r="B200" s="454" t="str">
        <f t="shared" si="72"/>
        <v>38</v>
      </c>
      <c r="C200" s="454" t="str">
        <f t="array" ref="C200">_xlfn.IFS(_xlfn.NUMBERVALUE(B200)&lt;=13,"Q1",AND(_xlfn.NUMBERVALUE(B200)&gt;13,_xlfn.NUMBERVALUE(B200)&lt;=26),"Q2", AND(_xlfn.NUMBERVALUE(B200)&gt;26,_xlfn.NUMBERVALUE(B200)&lt;=39),"Q3",_xlfn.NUMBERVALUE(B200)&gt;39,"Q4")</f>
        <v>Q3</v>
      </c>
      <c r="D200" s="448">
        <f t="shared" ref="D200:D263" si="89">E199+1</f>
        <v>45213</v>
      </c>
      <c r="E200" s="448">
        <f t="shared" si="73"/>
        <v>45219</v>
      </c>
      <c r="F200" s="97">
        <v>202338</v>
      </c>
      <c r="G200" s="241"/>
      <c r="H200" s="467"/>
      <c r="I200" s="521">
        <f t="shared" si="69"/>
        <v>0</v>
      </c>
      <c r="J200" s="467"/>
      <c r="K200" s="242"/>
      <c r="L200" s="430"/>
      <c r="M200" s="430"/>
      <c r="N200" s="469">
        <f t="shared" si="66"/>
        <v>0</v>
      </c>
      <c r="O200" s="430"/>
      <c r="P200" s="430"/>
      <c r="Q200" s="103"/>
      <c r="R200" s="429"/>
      <c r="S200" s="521">
        <f t="shared" si="70"/>
        <v>0</v>
      </c>
      <c r="T200" s="467"/>
      <c r="U200" s="242"/>
      <c r="V200" s="545"/>
      <c r="W200" s="546"/>
      <c r="X200" s="449">
        <f t="shared" si="67"/>
        <v>0</v>
      </c>
      <c r="Y200" s="546"/>
      <c r="Z200" s="549"/>
      <c r="AA200" s="523"/>
      <c r="AB200" s="523"/>
      <c r="AC200" s="449">
        <f t="shared" si="68"/>
        <v>0</v>
      </c>
      <c r="AD200" s="429"/>
      <c r="AE200" s="429"/>
      <c r="AF200" s="126"/>
      <c r="AG200" s="265" t="str">
        <f t="shared" si="74"/>
        <v/>
      </c>
      <c r="AH200" s="515" t="str">
        <f t="shared" si="75"/>
        <v/>
      </c>
      <c r="AI200" s="515" t="str">
        <f t="shared" si="76"/>
        <v/>
      </c>
      <c r="AJ200" s="515" t="str">
        <f t="shared" si="77"/>
        <v/>
      </c>
      <c r="AK200" s="187" t="str">
        <f t="shared" si="78"/>
        <v/>
      </c>
      <c r="AL200" s="266" t="str">
        <f t="shared" si="79"/>
        <v/>
      </c>
      <c r="AM200" s="516" t="str">
        <f t="shared" si="80"/>
        <v/>
      </c>
      <c r="AN200" s="516" t="str">
        <f t="shared" si="81"/>
        <v/>
      </c>
      <c r="AO200" s="516" t="str">
        <f t="shared" si="82"/>
        <v/>
      </c>
      <c r="AP200" s="267" t="str">
        <f t="shared" si="83"/>
        <v/>
      </c>
      <c r="AQ200" s="268" t="str">
        <f t="shared" si="84"/>
        <v/>
      </c>
      <c r="AR200" s="450" t="str">
        <f t="shared" si="85"/>
        <v/>
      </c>
      <c r="AS200" s="450" t="str">
        <f t="shared" si="86"/>
        <v/>
      </c>
      <c r="AT200" s="450" t="str">
        <f t="shared" si="87"/>
        <v/>
      </c>
      <c r="AU200" s="269" t="str">
        <f t="shared" si="88"/>
        <v/>
      </c>
    </row>
    <row r="201" spans="1:47" ht="15.75" customHeight="1">
      <c r="A201" s="175">
        <f t="shared" si="71"/>
        <v>2024</v>
      </c>
      <c r="B201" s="454" t="str">
        <f t="shared" si="72"/>
        <v>39</v>
      </c>
      <c r="C201" s="454" t="str">
        <f t="array" ref="C201">_xlfn.IFS(_xlfn.NUMBERVALUE(B201)&lt;=13,"Q1",AND(_xlfn.NUMBERVALUE(B201)&gt;13,_xlfn.NUMBERVALUE(B201)&lt;=26),"Q2", AND(_xlfn.NUMBERVALUE(B201)&gt;26,_xlfn.NUMBERVALUE(B201)&lt;=39),"Q3",_xlfn.NUMBERVALUE(B201)&gt;39,"Q4")</f>
        <v>Q3</v>
      </c>
      <c r="D201" s="448">
        <f t="shared" si="89"/>
        <v>45220</v>
      </c>
      <c r="E201" s="448">
        <f t="shared" si="73"/>
        <v>45226</v>
      </c>
      <c r="F201" s="97">
        <v>202339</v>
      </c>
      <c r="G201" s="241"/>
      <c r="H201" s="467"/>
      <c r="I201" s="521">
        <f t="shared" si="69"/>
        <v>0</v>
      </c>
      <c r="J201" s="467"/>
      <c r="K201" s="242"/>
      <c r="L201" s="430"/>
      <c r="M201" s="430"/>
      <c r="N201" s="469">
        <f t="shared" si="66"/>
        <v>0</v>
      </c>
      <c r="O201" s="430"/>
      <c r="P201" s="430"/>
      <c r="Q201" s="103"/>
      <c r="R201" s="429"/>
      <c r="S201" s="521">
        <f t="shared" si="70"/>
        <v>0</v>
      </c>
      <c r="T201" s="467"/>
      <c r="U201" s="242"/>
      <c r="V201" s="545"/>
      <c r="W201" s="546"/>
      <c r="X201" s="449">
        <f t="shared" si="67"/>
        <v>0</v>
      </c>
      <c r="Y201" s="546"/>
      <c r="Z201" s="549"/>
      <c r="AA201" s="523"/>
      <c r="AB201" s="523"/>
      <c r="AC201" s="449">
        <f t="shared" si="68"/>
        <v>0</v>
      </c>
      <c r="AD201" s="429"/>
      <c r="AE201" s="429"/>
      <c r="AF201" s="126"/>
      <c r="AG201" s="265" t="str">
        <f t="shared" si="74"/>
        <v/>
      </c>
      <c r="AH201" s="515" t="str">
        <f t="shared" si="75"/>
        <v/>
      </c>
      <c r="AI201" s="515" t="str">
        <f t="shared" si="76"/>
        <v/>
      </c>
      <c r="AJ201" s="515" t="str">
        <f t="shared" si="77"/>
        <v/>
      </c>
      <c r="AK201" s="187" t="str">
        <f t="shared" si="78"/>
        <v/>
      </c>
      <c r="AL201" s="266" t="str">
        <f t="shared" si="79"/>
        <v/>
      </c>
      <c r="AM201" s="516" t="str">
        <f t="shared" si="80"/>
        <v/>
      </c>
      <c r="AN201" s="516" t="str">
        <f t="shared" si="81"/>
        <v/>
      </c>
      <c r="AO201" s="516" t="str">
        <f t="shared" si="82"/>
        <v/>
      </c>
      <c r="AP201" s="267" t="str">
        <f t="shared" si="83"/>
        <v/>
      </c>
      <c r="AQ201" s="268" t="str">
        <f t="shared" si="84"/>
        <v/>
      </c>
      <c r="AR201" s="450" t="str">
        <f t="shared" si="85"/>
        <v/>
      </c>
      <c r="AS201" s="450" t="str">
        <f t="shared" si="86"/>
        <v/>
      </c>
      <c r="AT201" s="450" t="str">
        <f t="shared" si="87"/>
        <v/>
      </c>
      <c r="AU201" s="269" t="str">
        <f t="shared" si="88"/>
        <v/>
      </c>
    </row>
    <row r="202" spans="1:47" ht="15.75" customHeight="1">
      <c r="A202" s="175">
        <f t="shared" si="71"/>
        <v>2024</v>
      </c>
      <c r="B202" s="454" t="str">
        <f t="shared" si="72"/>
        <v>40</v>
      </c>
      <c r="C202" s="454" t="str">
        <f t="array" ref="C202">_xlfn.IFS(_xlfn.NUMBERVALUE(B202)&lt;=13,"Q1",AND(_xlfn.NUMBERVALUE(B202)&gt;13,_xlfn.NUMBERVALUE(B202)&lt;=26),"Q2", AND(_xlfn.NUMBERVALUE(B202)&gt;26,_xlfn.NUMBERVALUE(B202)&lt;=39),"Q3",_xlfn.NUMBERVALUE(B202)&gt;39,"Q4")</f>
        <v>Q4</v>
      </c>
      <c r="D202" s="448">
        <f t="shared" si="89"/>
        <v>45227</v>
      </c>
      <c r="E202" s="448">
        <f t="shared" si="73"/>
        <v>45233</v>
      </c>
      <c r="F202" s="97">
        <v>202340</v>
      </c>
      <c r="G202" s="241"/>
      <c r="H202" s="467"/>
      <c r="I202" s="521">
        <f t="shared" si="69"/>
        <v>0</v>
      </c>
      <c r="J202" s="467"/>
      <c r="K202" s="242"/>
      <c r="L202" s="430"/>
      <c r="M202" s="430"/>
      <c r="N202" s="469">
        <f t="shared" si="66"/>
        <v>0</v>
      </c>
      <c r="O202" s="430"/>
      <c r="P202" s="430"/>
      <c r="Q202" s="103"/>
      <c r="R202" s="429"/>
      <c r="S202" s="521">
        <f t="shared" si="70"/>
        <v>0</v>
      </c>
      <c r="T202" s="467"/>
      <c r="U202" s="242"/>
      <c r="V202" s="545"/>
      <c r="W202" s="546"/>
      <c r="X202" s="449">
        <f t="shared" si="67"/>
        <v>0</v>
      </c>
      <c r="Y202" s="546"/>
      <c r="Z202" s="549"/>
      <c r="AA202" s="523"/>
      <c r="AB202" s="523"/>
      <c r="AC202" s="449">
        <f t="shared" si="68"/>
        <v>0</v>
      </c>
      <c r="AD202" s="429"/>
      <c r="AE202" s="429"/>
      <c r="AF202" s="126"/>
      <c r="AG202" s="265" t="str">
        <f t="shared" si="74"/>
        <v/>
      </c>
      <c r="AH202" s="515" t="str">
        <f t="shared" si="75"/>
        <v/>
      </c>
      <c r="AI202" s="515" t="str">
        <f t="shared" si="76"/>
        <v/>
      </c>
      <c r="AJ202" s="515" t="str">
        <f t="shared" si="77"/>
        <v/>
      </c>
      <c r="AK202" s="187" t="str">
        <f t="shared" si="78"/>
        <v/>
      </c>
      <c r="AL202" s="266" t="str">
        <f t="shared" si="79"/>
        <v/>
      </c>
      <c r="AM202" s="516" t="str">
        <f t="shared" si="80"/>
        <v/>
      </c>
      <c r="AN202" s="516" t="str">
        <f t="shared" si="81"/>
        <v/>
      </c>
      <c r="AO202" s="516" t="str">
        <f t="shared" si="82"/>
        <v/>
      </c>
      <c r="AP202" s="267" t="str">
        <f t="shared" si="83"/>
        <v/>
      </c>
      <c r="AQ202" s="268" t="str">
        <f t="shared" si="84"/>
        <v/>
      </c>
      <c r="AR202" s="450" t="str">
        <f t="shared" si="85"/>
        <v/>
      </c>
      <c r="AS202" s="450" t="str">
        <f t="shared" si="86"/>
        <v/>
      </c>
      <c r="AT202" s="450" t="str">
        <f t="shared" si="87"/>
        <v/>
      </c>
      <c r="AU202" s="269" t="str">
        <f t="shared" si="88"/>
        <v/>
      </c>
    </row>
    <row r="203" spans="1:47" ht="15.75" customHeight="1">
      <c r="A203" s="175">
        <f t="shared" si="71"/>
        <v>2024</v>
      </c>
      <c r="B203" s="454" t="str">
        <f t="shared" si="72"/>
        <v>41</v>
      </c>
      <c r="C203" s="454" t="str">
        <f t="array" ref="C203">_xlfn.IFS(_xlfn.NUMBERVALUE(B203)&lt;=13,"Q1",AND(_xlfn.NUMBERVALUE(B203)&gt;13,_xlfn.NUMBERVALUE(B203)&lt;=26),"Q2", AND(_xlfn.NUMBERVALUE(B203)&gt;26,_xlfn.NUMBERVALUE(B203)&lt;=39),"Q3",_xlfn.NUMBERVALUE(B203)&gt;39,"Q4")</f>
        <v>Q4</v>
      </c>
      <c r="D203" s="448">
        <f t="shared" si="89"/>
        <v>45234</v>
      </c>
      <c r="E203" s="448">
        <f t="shared" si="73"/>
        <v>45240</v>
      </c>
      <c r="F203" s="97">
        <v>202341</v>
      </c>
      <c r="G203" s="241"/>
      <c r="H203" s="467"/>
      <c r="I203" s="521">
        <f t="shared" si="69"/>
        <v>0</v>
      </c>
      <c r="J203" s="467"/>
      <c r="K203" s="242"/>
      <c r="L203" s="430"/>
      <c r="M203" s="430"/>
      <c r="N203" s="469">
        <f t="shared" si="66"/>
        <v>0</v>
      </c>
      <c r="O203" s="430"/>
      <c r="P203" s="430"/>
      <c r="Q203" s="103"/>
      <c r="R203" s="429"/>
      <c r="S203" s="521">
        <f t="shared" si="70"/>
        <v>0</v>
      </c>
      <c r="T203" s="467"/>
      <c r="U203" s="242"/>
      <c r="V203" s="545"/>
      <c r="W203" s="546"/>
      <c r="X203" s="449">
        <f t="shared" si="67"/>
        <v>0</v>
      </c>
      <c r="Y203" s="546"/>
      <c r="Z203" s="549"/>
      <c r="AA203" s="523"/>
      <c r="AB203" s="523"/>
      <c r="AC203" s="449">
        <f t="shared" si="68"/>
        <v>0</v>
      </c>
      <c r="AD203" s="429"/>
      <c r="AE203" s="429"/>
      <c r="AF203" s="126"/>
      <c r="AG203" s="265" t="str">
        <f t="shared" si="74"/>
        <v/>
      </c>
      <c r="AH203" s="515" t="str">
        <f t="shared" si="75"/>
        <v/>
      </c>
      <c r="AI203" s="515" t="str">
        <f t="shared" si="76"/>
        <v/>
      </c>
      <c r="AJ203" s="515" t="str">
        <f t="shared" si="77"/>
        <v/>
      </c>
      <c r="AK203" s="187" t="str">
        <f t="shared" si="78"/>
        <v/>
      </c>
      <c r="AL203" s="266" t="str">
        <f t="shared" si="79"/>
        <v/>
      </c>
      <c r="AM203" s="516" t="str">
        <f t="shared" si="80"/>
        <v/>
      </c>
      <c r="AN203" s="516" t="str">
        <f t="shared" si="81"/>
        <v/>
      </c>
      <c r="AO203" s="516" t="str">
        <f t="shared" si="82"/>
        <v/>
      </c>
      <c r="AP203" s="267" t="str">
        <f t="shared" si="83"/>
        <v/>
      </c>
      <c r="AQ203" s="268" t="str">
        <f t="shared" si="84"/>
        <v/>
      </c>
      <c r="AR203" s="450" t="str">
        <f t="shared" si="85"/>
        <v/>
      </c>
      <c r="AS203" s="450" t="str">
        <f t="shared" si="86"/>
        <v/>
      </c>
      <c r="AT203" s="450" t="str">
        <f t="shared" si="87"/>
        <v/>
      </c>
      <c r="AU203" s="269" t="str">
        <f t="shared" si="88"/>
        <v/>
      </c>
    </row>
    <row r="204" spans="1:47" ht="15.75" customHeight="1">
      <c r="A204" s="175">
        <f t="shared" si="71"/>
        <v>2024</v>
      </c>
      <c r="B204" s="454" t="str">
        <f t="shared" si="72"/>
        <v>42</v>
      </c>
      <c r="C204" s="454" t="str">
        <f t="array" ref="C204">_xlfn.IFS(_xlfn.NUMBERVALUE(B204)&lt;=13,"Q1",AND(_xlfn.NUMBERVALUE(B204)&gt;13,_xlfn.NUMBERVALUE(B204)&lt;=26),"Q2", AND(_xlfn.NUMBERVALUE(B204)&gt;26,_xlfn.NUMBERVALUE(B204)&lt;=39),"Q3",_xlfn.NUMBERVALUE(B204)&gt;39,"Q4")</f>
        <v>Q4</v>
      </c>
      <c r="D204" s="448">
        <f t="shared" si="89"/>
        <v>45241</v>
      </c>
      <c r="E204" s="448">
        <f t="shared" si="73"/>
        <v>45247</v>
      </c>
      <c r="F204" s="97">
        <v>202342</v>
      </c>
      <c r="G204" s="241"/>
      <c r="H204" s="467"/>
      <c r="I204" s="521">
        <f t="shared" si="69"/>
        <v>0</v>
      </c>
      <c r="J204" s="467"/>
      <c r="K204" s="242"/>
      <c r="L204" s="430"/>
      <c r="M204" s="430"/>
      <c r="N204" s="469">
        <f t="shared" si="66"/>
        <v>0</v>
      </c>
      <c r="O204" s="430"/>
      <c r="P204" s="430"/>
      <c r="Q204" s="103"/>
      <c r="R204" s="429"/>
      <c r="S204" s="521">
        <f t="shared" si="70"/>
        <v>0</v>
      </c>
      <c r="T204" s="467"/>
      <c r="U204" s="242"/>
      <c r="V204" s="545"/>
      <c r="W204" s="546"/>
      <c r="X204" s="449">
        <f t="shared" si="67"/>
        <v>0</v>
      </c>
      <c r="Y204" s="546"/>
      <c r="Z204" s="549"/>
      <c r="AA204" s="523"/>
      <c r="AB204" s="523"/>
      <c r="AC204" s="449">
        <f t="shared" si="68"/>
        <v>0</v>
      </c>
      <c r="AD204" s="429"/>
      <c r="AE204" s="429"/>
      <c r="AF204" s="126"/>
      <c r="AG204" s="265" t="str">
        <f t="shared" si="74"/>
        <v/>
      </c>
      <c r="AH204" s="515" t="str">
        <f t="shared" si="75"/>
        <v/>
      </c>
      <c r="AI204" s="515" t="str">
        <f t="shared" si="76"/>
        <v/>
      </c>
      <c r="AJ204" s="515" t="str">
        <f t="shared" si="77"/>
        <v/>
      </c>
      <c r="AK204" s="187" t="str">
        <f t="shared" si="78"/>
        <v/>
      </c>
      <c r="AL204" s="266" t="str">
        <f t="shared" si="79"/>
        <v/>
      </c>
      <c r="AM204" s="516" t="str">
        <f t="shared" si="80"/>
        <v/>
      </c>
      <c r="AN204" s="516" t="str">
        <f t="shared" si="81"/>
        <v/>
      </c>
      <c r="AO204" s="516" t="str">
        <f t="shared" si="82"/>
        <v/>
      </c>
      <c r="AP204" s="267" t="str">
        <f t="shared" si="83"/>
        <v/>
      </c>
      <c r="AQ204" s="268" t="str">
        <f t="shared" si="84"/>
        <v/>
      </c>
      <c r="AR204" s="450" t="str">
        <f t="shared" si="85"/>
        <v/>
      </c>
      <c r="AS204" s="450" t="str">
        <f t="shared" si="86"/>
        <v/>
      </c>
      <c r="AT204" s="450" t="str">
        <f t="shared" si="87"/>
        <v/>
      </c>
      <c r="AU204" s="269" t="str">
        <f t="shared" si="88"/>
        <v/>
      </c>
    </row>
    <row r="205" spans="1:47" ht="15.75" customHeight="1">
      <c r="A205" s="175">
        <f t="shared" si="71"/>
        <v>2024</v>
      </c>
      <c r="B205" s="454" t="str">
        <f t="shared" si="72"/>
        <v>43</v>
      </c>
      <c r="C205" s="454" t="str">
        <f t="array" ref="C205">_xlfn.IFS(_xlfn.NUMBERVALUE(B205)&lt;=13,"Q1",AND(_xlfn.NUMBERVALUE(B205)&gt;13,_xlfn.NUMBERVALUE(B205)&lt;=26),"Q2", AND(_xlfn.NUMBERVALUE(B205)&gt;26,_xlfn.NUMBERVALUE(B205)&lt;=39),"Q3",_xlfn.NUMBERVALUE(B205)&gt;39,"Q4")</f>
        <v>Q4</v>
      </c>
      <c r="D205" s="448">
        <f t="shared" si="89"/>
        <v>45248</v>
      </c>
      <c r="E205" s="448">
        <f t="shared" si="73"/>
        <v>45254</v>
      </c>
      <c r="F205" s="97">
        <v>202343</v>
      </c>
      <c r="G205" s="241"/>
      <c r="H205" s="467"/>
      <c r="I205" s="521">
        <f t="shared" si="69"/>
        <v>0</v>
      </c>
      <c r="J205" s="467"/>
      <c r="K205" s="242"/>
      <c r="L205" s="430"/>
      <c r="M205" s="430"/>
      <c r="N205" s="469">
        <f t="shared" si="66"/>
        <v>0</v>
      </c>
      <c r="O205" s="430"/>
      <c r="P205" s="430"/>
      <c r="Q205" s="103"/>
      <c r="R205" s="429"/>
      <c r="S205" s="521">
        <f t="shared" si="70"/>
        <v>0</v>
      </c>
      <c r="T205" s="467"/>
      <c r="U205" s="242"/>
      <c r="V205" s="545"/>
      <c r="W205" s="546"/>
      <c r="X205" s="449">
        <f t="shared" si="67"/>
        <v>0</v>
      </c>
      <c r="Y205" s="546"/>
      <c r="Z205" s="549"/>
      <c r="AA205" s="523"/>
      <c r="AB205" s="523"/>
      <c r="AC205" s="449">
        <f t="shared" si="68"/>
        <v>0</v>
      </c>
      <c r="AD205" s="429"/>
      <c r="AE205" s="429"/>
      <c r="AF205" s="126"/>
      <c r="AG205" s="265" t="str">
        <f t="shared" si="74"/>
        <v/>
      </c>
      <c r="AH205" s="515" t="str">
        <f t="shared" si="75"/>
        <v/>
      </c>
      <c r="AI205" s="515" t="str">
        <f t="shared" si="76"/>
        <v/>
      </c>
      <c r="AJ205" s="515" t="str">
        <f t="shared" si="77"/>
        <v/>
      </c>
      <c r="AK205" s="187" t="str">
        <f t="shared" si="78"/>
        <v/>
      </c>
      <c r="AL205" s="266" t="str">
        <f t="shared" si="79"/>
        <v/>
      </c>
      <c r="AM205" s="516" t="str">
        <f t="shared" si="80"/>
        <v/>
      </c>
      <c r="AN205" s="516" t="str">
        <f t="shared" si="81"/>
        <v/>
      </c>
      <c r="AO205" s="516" t="str">
        <f t="shared" si="82"/>
        <v/>
      </c>
      <c r="AP205" s="267" t="str">
        <f t="shared" si="83"/>
        <v/>
      </c>
      <c r="AQ205" s="268" t="str">
        <f t="shared" si="84"/>
        <v/>
      </c>
      <c r="AR205" s="450" t="str">
        <f t="shared" si="85"/>
        <v/>
      </c>
      <c r="AS205" s="450" t="str">
        <f t="shared" si="86"/>
        <v/>
      </c>
      <c r="AT205" s="450" t="str">
        <f t="shared" si="87"/>
        <v/>
      </c>
      <c r="AU205" s="269" t="str">
        <f t="shared" si="88"/>
        <v/>
      </c>
    </row>
    <row r="206" spans="1:47" ht="15.75" customHeight="1">
      <c r="A206" s="175">
        <f t="shared" si="71"/>
        <v>2024</v>
      </c>
      <c r="B206" s="454" t="str">
        <f t="shared" si="72"/>
        <v>44</v>
      </c>
      <c r="C206" s="454" t="str">
        <f t="array" ref="C206">_xlfn.IFS(_xlfn.NUMBERVALUE(B206)&lt;=13,"Q1",AND(_xlfn.NUMBERVALUE(B206)&gt;13,_xlfn.NUMBERVALUE(B206)&lt;=26),"Q2", AND(_xlfn.NUMBERVALUE(B206)&gt;26,_xlfn.NUMBERVALUE(B206)&lt;=39),"Q3",_xlfn.NUMBERVALUE(B206)&gt;39,"Q4")</f>
        <v>Q4</v>
      </c>
      <c r="D206" s="448">
        <f t="shared" si="89"/>
        <v>45255</v>
      </c>
      <c r="E206" s="448">
        <f t="shared" si="73"/>
        <v>45261</v>
      </c>
      <c r="F206" s="97">
        <v>202344</v>
      </c>
      <c r="G206" s="241"/>
      <c r="H206" s="467"/>
      <c r="I206" s="521">
        <f t="shared" si="69"/>
        <v>0</v>
      </c>
      <c r="J206" s="467"/>
      <c r="K206" s="242"/>
      <c r="L206" s="430"/>
      <c r="M206" s="430"/>
      <c r="N206" s="469">
        <f t="shared" si="66"/>
        <v>0</v>
      </c>
      <c r="O206" s="430"/>
      <c r="P206" s="430"/>
      <c r="Q206" s="103"/>
      <c r="R206" s="429"/>
      <c r="S206" s="521">
        <f t="shared" si="70"/>
        <v>0</v>
      </c>
      <c r="T206" s="467"/>
      <c r="U206" s="242"/>
      <c r="V206" s="545"/>
      <c r="W206" s="546"/>
      <c r="X206" s="449">
        <f t="shared" si="67"/>
        <v>0</v>
      </c>
      <c r="Y206" s="546"/>
      <c r="Z206" s="549"/>
      <c r="AA206" s="523"/>
      <c r="AB206" s="523"/>
      <c r="AC206" s="449">
        <f t="shared" si="68"/>
        <v>0</v>
      </c>
      <c r="AD206" s="429"/>
      <c r="AE206" s="429"/>
      <c r="AF206" s="126"/>
      <c r="AG206" s="265" t="str">
        <f t="shared" si="74"/>
        <v/>
      </c>
      <c r="AH206" s="515" t="str">
        <f t="shared" si="75"/>
        <v/>
      </c>
      <c r="AI206" s="515" t="str">
        <f t="shared" si="76"/>
        <v/>
      </c>
      <c r="AJ206" s="515" t="str">
        <f t="shared" si="77"/>
        <v/>
      </c>
      <c r="AK206" s="187" t="str">
        <f t="shared" si="78"/>
        <v/>
      </c>
      <c r="AL206" s="266" t="str">
        <f t="shared" si="79"/>
        <v/>
      </c>
      <c r="AM206" s="516" t="str">
        <f t="shared" si="80"/>
        <v/>
      </c>
      <c r="AN206" s="516" t="str">
        <f t="shared" si="81"/>
        <v/>
      </c>
      <c r="AO206" s="516" t="str">
        <f t="shared" si="82"/>
        <v/>
      </c>
      <c r="AP206" s="267" t="str">
        <f t="shared" si="83"/>
        <v/>
      </c>
      <c r="AQ206" s="268" t="str">
        <f t="shared" si="84"/>
        <v/>
      </c>
      <c r="AR206" s="450" t="str">
        <f t="shared" si="85"/>
        <v/>
      </c>
      <c r="AS206" s="450" t="str">
        <f t="shared" si="86"/>
        <v/>
      </c>
      <c r="AT206" s="450" t="str">
        <f t="shared" si="87"/>
        <v/>
      </c>
      <c r="AU206" s="269" t="str">
        <f t="shared" si="88"/>
        <v/>
      </c>
    </row>
    <row r="207" spans="1:47" ht="15.75" customHeight="1">
      <c r="A207" s="175">
        <f t="shared" si="71"/>
        <v>2024</v>
      </c>
      <c r="B207" s="454" t="str">
        <f t="shared" si="72"/>
        <v>45</v>
      </c>
      <c r="C207" s="454" t="str">
        <f t="array" ref="C207">_xlfn.IFS(_xlfn.NUMBERVALUE(B207)&lt;=13,"Q1",AND(_xlfn.NUMBERVALUE(B207)&gt;13,_xlfn.NUMBERVALUE(B207)&lt;=26),"Q2", AND(_xlfn.NUMBERVALUE(B207)&gt;26,_xlfn.NUMBERVALUE(B207)&lt;=39),"Q3",_xlfn.NUMBERVALUE(B207)&gt;39,"Q4")</f>
        <v>Q4</v>
      </c>
      <c r="D207" s="448">
        <f t="shared" si="89"/>
        <v>45262</v>
      </c>
      <c r="E207" s="448">
        <f t="shared" si="73"/>
        <v>45268</v>
      </c>
      <c r="F207" s="97">
        <v>202345</v>
      </c>
      <c r="G207" s="241"/>
      <c r="H207" s="467"/>
      <c r="I207" s="521">
        <f t="shared" si="69"/>
        <v>0</v>
      </c>
      <c r="J207" s="467"/>
      <c r="K207" s="242"/>
      <c r="L207" s="430"/>
      <c r="M207" s="430"/>
      <c r="N207" s="469">
        <f t="shared" si="66"/>
        <v>0</v>
      </c>
      <c r="O207" s="430"/>
      <c r="P207" s="430"/>
      <c r="Q207" s="103"/>
      <c r="R207" s="429"/>
      <c r="S207" s="521">
        <f t="shared" si="70"/>
        <v>0</v>
      </c>
      <c r="T207" s="467"/>
      <c r="U207" s="242"/>
      <c r="V207" s="545"/>
      <c r="W207" s="546"/>
      <c r="X207" s="449">
        <f t="shared" si="67"/>
        <v>0</v>
      </c>
      <c r="Y207" s="546"/>
      <c r="Z207" s="549"/>
      <c r="AA207" s="523"/>
      <c r="AB207" s="523"/>
      <c r="AC207" s="449">
        <f t="shared" si="68"/>
        <v>0</v>
      </c>
      <c r="AD207" s="429"/>
      <c r="AE207" s="429"/>
      <c r="AF207" s="126"/>
      <c r="AG207" s="265" t="str">
        <f t="shared" si="74"/>
        <v/>
      </c>
      <c r="AH207" s="515" t="str">
        <f t="shared" si="75"/>
        <v/>
      </c>
      <c r="AI207" s="515" t="str">
        <f t="shared" si="76"/>
        <v/>
      </c>
      <c r="AJ207" s="515" t="str">
        <f t="shared" si="77"/>
        <v/>
      </c>
      <c r="AK207" s="187" t="str">
        <f t="shared" si="78"/>
        <v/>
      </c>
      <c r="AL207" s="266" t="str">
        <f t="shared" si="79"/>
        <v/>
      </c>
      <c r="AM207" s="516" t="str">
        <f t="shared" si="80"/>
        <v/>
      </c>
      <c r="AN207" s="516" t="str">
        <f t="shared" si="81"/>
        <v/>
      </c>
      <c r="AO207" s="516" t="str">
        <f t="shared" si="82"/>
        <v/>
      </c>
      <c r="AP207" s="267" t="str">
        <f t="shared" si="83"/>
        <v/>
      </c>
      <c r="AQ207" s="268" t="str">
        <f t="shared" si="84"/>
        <v/>
      </c>
      <c r="AR207" s="450" t="str">
        <f t="shared" si="85"/>
        <v/>
      </c>
      <c r="AS207" s="450" t="str">
        <f t="shared" si="86"/>
        <v/>
      </c>
      <c r="AT207" s="450" t="str">
        <f t="shared" si="87"/>
        <v/>
      </c>
      <c r="AU207" s="269" t="str">
        <f t="shared" si="88"/>
        <v/>
      </c>
    </row>
    <row r="208" spans="1:47" ht="15.75" customHeight="1">
      <c r="A208" s="175">
        <f t="shared" si="71"/>
        <v>2024</v>
      </c>
      <c r="B208" s="454" t="str">
        <f t="shared" si="72"/>
        <v>46</v>
      </c>
      <c r="C208" s="454" t="str">
        <f t="array" ref="C208">_xlfn.IFS(_xlfn.NUMBERVALUE(B208)&lt;=13,"Q1",AND(_xlfn.NUMBERVALUE(B208)&gt;13,_xlfn.NUMBERVALUE(B208)&lt;=26),"Q2", AND(_xlfn.NUMBERVALUE(B208)&gt;26,_xlfn.NUMBERVALUE(B208)&lt;=39),"Q3",_xlfn.NUMBERVALUE(B208)&gt;39,"Q4")</f>
        <v>Q4</v>
      </c>
      <c r="D208" s="448">
        <f t="shared" si="89"/>
        <v>45269</v>
      </c>
      <c r="E208" s="448">
        <f t="shared" si="73"/>
        <v>45275</v>
      </c>
      <c r="F208" s="97">
        <v>202346</v>
      </c>
      <c r="G208" s="241"/>
      <c r="H208" s="467"/>
      <c r="I208" s="521">
        <f t="shared" si="69"/>
        <v>0</v>
      </c>
      <c r="J208" s="467"/>
      <c r="K208" s="242"/>
      <c r="L208" s="430"/>
      <c r="M208" s="430"/>
      <c r="N208" s="469">
        <f t="shared" si="66"/>
        <v>0</v>
      </c>
      <c r="O208" s="430"/>
      <c r="P208" s="430"/>
      <c r="Q208" s="103"/>
      <c r="R208" s="429"/>
      <c r="S208" s="521">
        <f t="shared" si="70"/>
        <v>0</v>
      </c>
      <c r="T208" s="467"/>
      <c r="U208" s="242"/>
      <c r="V208" s="545"/>
      <c r="W208" s="546"/>
      <c r="X208" s="449">
        <f t="shared" si="67"/>
        <v>0</v>
      </c>
      <c r="Y208" s="546"/>
      <c r="Z208" s="549"/>
      <c r="AA208" s="523"/>
      <c r="AB208" s="523"/>
      <c r="AC208" s="449">
        <f t="shared" si="68"/>
        <v>0</v>
      </c>
      <c r="AD208" s="429"/>
      <c r="AE208" s="429"/>
      <c r="AF208" s="126"/>
      <c r="AG208" s="265" t="str">
        <f t="shared" si="74"/>
        <v/>
      </c>
      <c r="AH208" s="515" t="str">
        <f t="shared" si="75"/>
        <v/>
      </c>
      <c r="AI208" s="515" t="str">
        <f t="shared" si="76"/>
        <v/>
      </c>
      <c r="AJ208" s="515" t="str">
        <f t="shared" si="77"/>
        <v/>
      </c>
      <c r="AK208" s="187" t="str">
        <f t="shared" si="78"/>
        <v/>
      </c>
      <c r="AL208" s="266" t="str">
        <f t="shared" si="79"/>
        <v/>
      </c>
      <c r="AM208" s="516" t="str">
        <f t="shared" si="80"/>
        <v/>
      </c>
      <c r="AN208" s="516" t="str">
        <f t="shared" si="81"/>
        <v/>
      </c>
      <c r="AO208" s="516" t="str">
        <f t="shared" si="82"/>
        <v/>
      </c>
      <c r="AP208" s="267" t="str">
        <f t="shared" si="83"/>
        <v/>
      </c>
      <c r="AQ208" s="268" t="str">
        <f t="shared" si="84"/>
        <v/>
      </c>
      <c r="AR208" s="450" t="str">
        <f t="shared" si="85"/>
        <v/>
      </c>
      <c r="AS208" s="450" t="str">
        <f t="shared" si="86"/>
        <v/>
      </c>
      <c r="AT208" s="450" t="str">
        <f t="shared" si="87"/>
        <v/>
      </c>
      <c r="AU208" s="269" t="str">
        <f t="shared" si="88"/>
        <v/>
      </c>
    </row>
    <row r="209" spans="1:47" ht="15.75" customHeight="1">
      <c r="A209" s="175">
        <f t="shared" si="71"/>
        <v>2024</v>
      </c>
      <c r="B209" s="454" t="str">
        <f t="shared" si="72"/>
        <v>47</v>
      </c>
      <c r="C209" s="454" t="str">
        <f t="array" ref="C209">_xlfn.IFS(_xlfn.NUMBERVALUE(B209)&lt;=13,"Q1",AND(_xlfn.NUMBERVALUE(B209)&gt;13,_xlfn.NUMBERVALUE(B209)&lt;=26),"Q2", AND(_xlfn.NUMBERVALUE(B209)&gt;26,_xlfn.NUMBERVALUE(B209)&lt;=39),"Q3",_xlfn.NUMBERVALUE(B209)&gt;39,"Q4")</f>
        <v>Q4</v>
      </c>
      <c r="D209" s="448">
        <f t="shared" si="89"/>
        <v>45276</v>
      </c>
      <c r="E209" s="448">
        <f t="shared" si="73"/>
        <v>45282</v>
      </c>
      <c r="F209" s="97">
        <v>202347</v>
      </c>
      <c r="G209" s="241"/>
      <c r="H209" s="467"/>
      <c r="I209" s="521">
        <f t="shared" si="69"/>
        <v>0</v>
      </c>
      <c r="J209" s="467"/>
      <c r="K209" s="242"/>
      <c r="L209" s="430"/>
      <c r="M209" s="430"/>
      <c r="N209" s="469">
        <f t="shared" si="66"/>
        <v>0</v>
      </c>
      <c r="O209" s="430"/>
      <c r="P209" s="430"/>
      <c r="Q209" s="103"/>
      <c r="R209" s="429"/>
      <c r="S209" s="521">
        <f t="shared" si="70"/>
        <v>0</v>
      </c>
      <c r="T209" s="467"/>
      <c r="U209" s="242"/>
      <c r="V209" s="545"/>
      <c r="W209" s="546"/>
      <c r="X209" s="449">
        <f t="shared" si="67"/>
        <v>0</v>
      </c>
      <c r="Y209" s="546"/>
      <c r="Z209" s="549"/>
      <c r="AA209" s="523"/>
      <c r="AB209" s="523"/>
      <c r="AC209" s="449">
        <f t="shared" si="68"/>
        <v>0</v>
      </c>
      <c r="AD209" s="429"/>
      <c r="AE209" s="429"/>
      <c r="AF209" s="126"/>
      <c r="AG209" s="265" t="str">
        <f t="shared" si="74"/>
        <v/>
      </c>
      <c r="AH209" s="515" t="str">
        <f t="shared" si="75"/>
        <v/>
      </c>
      <c r="AI209" s="515" t="str">
        <f t="shared" si="76"/>
        <v/>
      </c>
      <c r="AJ209" s="515" t="str">
        <f t="shared" si="77"/>
        <v/>
      </c>
      <c r="AK209" s="187" t="str">
        <f t="shared" si="78"/>
        <v/>
      </c>
      <c r="AL209" s="266" t="str">
        <f t="shared" si="79"/>
        <v/>
      </c>
      <c r="AM209" s="516" t="str">
        <f t="shared" si="80"/>
        <v/>
      </c>
      <c r="AN209" s="516" t="str">
        <f t="shared" si="81"/>
        <v/>
      </c>
      <c r="AO209" s="516" t="str">
        <f t="shared" si="82"/>
        <v/>
      </c>
      <c r="AP209" s="267" t="str">
        <f t="shared" si="83"/>
        <v/>
      </c>
      <c r="AQ209" s="268" t="str">
        <f t="shared" si="84"/>
        <v/>
      </c>
      <c r="AR209" s="450" t="str">
        <f t="shared" si="85"/>
        <v/>
      </c>
      <c r="AS209" s="450" t="str">
        <f t="shared" si="86"/>
        <v/>
      </c>
      <c r="AT209" s="450" t="str">
        <f t="shared" si="87"/>
        <v/>
      </c>
      <c r="AU209" s="269" t="str">
        <f t="shared" si="88"/>
        <v/>
      </c>
    </row>
    <row r="210" spans="1:47" ht="15.75" customHeight="1">
      <c r="A210" s="175">
        <f t="shared" si="71"/>
        <v>2024</v>
      </c>
      <c r="B210" s="454" t="str">
        <f t="shared" si="72"/>
        <v>48</v>
      </c>
      <c r="C210" s="454" t="str">
        <f t="array" ref="C210">_xlfn.IFS(_xlfn.NUMBERVALUE(B210)&lt;=13,"Q1",AND(_xlfn.NUMBERVALUE(B210)&gt;13,_xlfn.NUMBERVALUE(B210)&lt;=26),"Q2", AND(_xlfn.NUMBERVALUE(B210)&gt;26,_xlfn.NUMBERVALUE(B210)&lt;=39),"Q3",_xlfn.NUMBERVALUE(B210)&gt;39,"Q4")</f>
        <v>Q4</v>
      </c>
      <c r="D210" s="448">
        <f t="shared" si="89"/>
        <v>45283</v>
      </c>
      <c r="E210" s="448">
        <f t="shared" si="73"/>
        <v>45289</v>
      </c>
      <c r="F210" s="97">
        <v>202348</v>
      </c>
      <c r="G210" s="241"/>
      <c r="H210" s="467"/>
      <c r="I210" s="521">
        <f t="shared" si="69"/>
        <v>0</v>
      </c>
      <c r="J210" s="467"/>
      <c r="K210" s="242"/>
      <c r="L210" s="430"/>
      <c r="M210" s="430"/>
      <c r="N210" s="469">
        <f t="shared" si="66"/>
        <v>0</v>
      </c>
      <c r="O210" s="430"/>
      <c r="P210" s="430"/>
      <c r="Q210" s="103"/>
      <c r="R210" s="429"/>
      <c r="S210" s="521">
        <f t="shared" si="70"/>
        <v>0</v>
      </c>
      <c r="T210" s="467"/>
      <c r="U210" s="242"/>
      <c r="V210" s="545"/>
      <c r="W210" s="546"/>
      <c r="X210" s="449">
        <f t="shared" si="67"/>
        <v>0</v>
      </c>
      <c r="Y210" s="546"/>
      <c r="Z210" s="549"/>
      <c r="AA210" s="523"/>
      <c r="AB210" s="523"/>
      <c r="AC210" s="449">
        <f t="shared" si="68"/>
        <v>0</v>
      </c>
      <c r="AD210" s="429"/>
      <c r="AE210" s="429"/>
      <c r="AF210" s="126"/>
      <c r="AG210" s="265" t="str">
        <f t="shared" si="74"/>
        <v/>
      </c>
      <c r="AH210" s="515" t="str">
        <f t="shared" si="75"/>
        <v/>
      </c>
      <c r="AI210" s="515" t="str">
        <f t="shared" si="76"/>
        <v/>
      </c>
      <c r="AJ210" s="515" t="str">
        <f t="shared" si="77"/>
        <v/>
      </c>
      <c r="AK210" s="187" t="str">
        <f t="shared" si="78"/>
        <v/>
      </c>
      <c r="AL210" s="266" t="str">
        <f t="shared" si="79"/>
        <v/>
      </c>
      <c r="AM210" s="516" t="str">
        <f t="shared" si="80"/>
        <v/>
      </c>
      <c r="AN210" s="516" t="str">
        <f t="shared" si="81"/>
        <v/>
      </c>
      <c r="AO210" s="516" t="str">
        <f t="shared" si="82"/>
        <v/>
      </c>
      <c r="AP210" s="267" t="str">
        <f t="shared" si="83"/>
        <v/>
      </c>
      <c r="AQ210" s="268" t="str">
        <f t="shared" si="84"/>
        <v/>
      </c>
      <c r="AR210" s="450" t="str">
        <f t="shared" si="85"/>
        <v/>
      </c>
      <c r="AS210" s="450" t="str">
        <f t="shared" si="86"/>
        <v/>
      </c>
      <c r="AT210" s="450" t="str">
        <f t="shared" si="87"/>
        <v/>
      </c>
      <c r="AU210" s="269" t="str">
        <f t="shared" si="88"/>
        <v/>
      </c>
    </row>
    <row r="211" spans="1:47" ht="15.75" customHeight="1">
      <c r="A211" s="175">
        <f t="shared" si="71"/>
        <v>2024</v>
      </c>
      <c r="B211" s="454" t="str">
        <f t="shared" si="72"/>
        <v>49</v>
      </c>
      <c r="C211" s="454" t="str">
        <f t="array" ref="C211">_xlfn.IFS(_xlfn.NUMBERVALUE(B211)&lt;=13,"Q1",AND(_xlfn.NUMBERVALUE(B211)&gt;13,_xlfn.NUMBERVALUE(B211)&lt;=26),"Q2", AND(_xlfn.NUMBERVALUE(B211)&gt;26,_xlfn.NUMBERVALUE(B211)&lt;=39),"Q3",_xlfn.NUMBERVALUE(B211)&gt;39,"Q4")</f>
        <v>Q4</v>
      </c>
      <c r="D211" s="448">
        <f t="shared" si="89"/>
        <v>45290</v>
      </c>
      <c r="E211" s="448">
        <f t="shared" si="73"/>
        <v>45296</v>
      </c>
      <c r="F211" s="97">
        <v>202349</v>
      </c>
      <c r="G211" s="241">
        <v>56387</v>
      </c>
      <c r="H211" s="467">
        <v>83460</v>
      </c>
      <c r="I211" s="521">
        <f t="shared" si="69"/>
        <v>139847</v>
      </c>
      <c r="J211" s="467">
        <v>54300</v>
      </c>
      <c r="K211" s="242">
        <v>53812</v>
      </c>
      <c r="L211" s="241">
        <v>67112</v>
      </c>
      <c r="M211" s="467">
        <v>96127</v>
      </c>
      <c r="N211" s="469">
        <f t="shared" si="66"/>
        <v>163239</v>
      </c>
      <c r="O211" s="467">
        <v>51156</v>
      </c>
      <c r="P211" s="430">
        <v>77860</v>
      </c>
      <c r="Q211" s="241">
        <v>75766</v>
      </c>
      <c r="R211" s="467">
        <v>91680</v>
      </c>
      <c r="S211" s="521">
        <f t="shared" si="70"/>
        <v>167446</v>
      </c>
      <c r="T211" s="872">
        <v>54171</v>
      </c>
      <c r="U211" s="872">
        <v>71257</v>
      </c>
      <c r="V211" s="241">
        <v>84201</v>
      </c>
      <c r="W211" s="467">
        <v>76869</v>
      </c>
      <c r="X211" s="449">
        <f t="shared" si="67"/>
        <v>161070</v>
      </c>
      <c r="Y211" s="467">
        <v>54838</v>
      </c>
      <c r="Z211" s="467">
        <v>85167</v>
      </c>
      <c r="AA211" s="856">
        <v>62561</v>
      </c>
      <c r="AB211" s="467">
        <v>59610</v>
      </c>
      <c r="AC211" s="449">
        <f t="shared" si="68"/>
        <v>122171</v>
      </c>
      <c r="AD211" s="872">
        <v>63155</v>
      </c>
      <c r="AE211" s="467">
        <v>65907</v>
      </c>
      <c r="AF211" s="467">
        <v>94570</v>
      </c>
      <c r="AG211" s="265">
        <f t="shared" si="74"/>
        <v>0.74422564210859754</v>
      </c>
      <c r="AH211" s="515">
        <f t="shared" si="75"/>
        <v>0.91034031413612571</v>
      </c>
      <c r="AI211" s="515">
        <f t="shared" si="76"/>
        <v>0.83517671368680058</v>
      </c>
      <c r="AJ211" s="515">
        <f t="shared" si="77"/>
        <v>1.0023813479537023</v>
      </c>
      <c r="AK211" s="187">
        <f t="shared" si="78"/>
        <v>0.75518194703678232</v>
      </c>
      <c r="AL211" s="266">
        <f t="shared" si="79"/>
        <v>1.1902034156809194</v>
      </c>
      <c r="AM211" s="516">
        <f t="shared" si="80"/>
        <v>1.1517733045770429</v>
      </c>
      <c r="AN211" s="516">
        <f t="shared" si="81"/>
        <v>1.1672685148769726</v>
      </c>
      <c r="AO211" s="516">
        <f t="shared" si="82"/>
        <v>0.94209944751381214</v>
      </c>
      <c r="AP211" s="267">
        <f t="shared" si="83"/>
        <v>1.4468891697019253</v>
      </c>
      <c r="AQ211" s="268">
        <f t="shared" si="84"/>
        <v>0.22963507895502216</v>
      </c>
      <c r="AR211" s="450">
        <f t="shared" si="85"/>
        <v>0.32891481753947749</v>
      </c>
      <c r="AS211" s="450">
        <f t="shared" si="86"/>
        <v>0.55854989649449971</v>
      </c>
      <c r="AT211" s="450">
        <f t="shared" si="87"/>
        <v>0.17503892148979486</v>
      </c>
      <c r="AU211" s="269">
        <f t="shared" si="88"/>
        <v>0.26641118201570546</v>
      </c>
    </row>
    <row r="212" spans="1:47" ht="15.75" customHeight="1">
      <c r="A212" s="175">
        <f t="shared" si="71"/>
        <v>2024</v>
      </c>
      <c r="B212" s="454" t="str">
        <f t="shared" si="72"/>
        <v>50</v>
      </c>
      <c r="C212" s="454" t="str">
        <f t="array" ref="C212">_xlfn.IFS(_xlfn.NUMBERVALUE(B212)&lt;=13,"Q1",AND(_xlfn.NUMBERVALUE(B212)&gt;13,_xlfn.NUMBERVALUE(B212)&lt;=26),"Q2", AND(_xlfn.NUMBERVALUE(B212)&gt;26,_xlfn.NUMBERVALUE(B212)&lt;=39),"Q3",_xlfn.NUMBERVALUE(B212)&gt;39,"Q4")</f>
        <v>Q4</v>
      </c>
      <c r="D212" s="448">
        <f t="shared" si="89"/>
        <v>45297</v>
      </c>
      <c r="E212" s="448">
        <f t="shared" si="73"/>
        <v>45303</v>
      </c>
      <c r="F212" s="97">
        <v>202350</v>
      </c>
      <c r="G212" s="241">
        <v>69356</v>
      </c>
      <c r="H212" s="872">
        <v>99878</v>
      </c>
      <c r="I212" s="521">
        <f t="shared" si="69"/>
        <v>169234</v>
      </c>
      <c r="J212" s="467">
        <v>84168</v>
      </c>
      <c r="K212" s="857">
        <v>90369</v>
      </c>
      <c r="L212" s="856">
        <v>99693</v>
      </c>
      <c r="M212" s="872">
        <v>59421</v>
      </c>
      <c r="N212" s="469">
        <f t="shared" si="66"/>
        <v>159114</v>
      </c>
      <c r="O212" s="872">
        <v>98000</v>
      </c>
      <c r="P212" s="872">
        <v>53474</v>
      </c>
      <c r="Q212" s="856">
        <v>72169</v>
      </c>
      <c r="R212" s="872">
        <v>89122</v>
      </c>
      <c r="S212" s="521">
        <f t="shared" si="70"/>
        <v>161291</v>
      </c>
      <c r="T212" s="872">
        <v>94036</v>
      </c>
      <c r="U212" s="872">
        <v>58555</v>
      </c>
      <c r="V212" s="856">
        <v>85550</v>
      </c>
      <c r="W212" s="872">
        <v>53233</v>
      </c>
      <c r="X212" s="449">
        <f t="shared" si="67"/>
        <v>138783</v>
      </c>
      <c r="Y212" s="872">
        <v>56309</v>
      </c>
      <c r="Z212" s="467">
        <v>85167</v>
      </c>
      <c r="AA212" s="856">
        <v>65375</v>
      </c>
      <c r="AB212" s="872">
        <v>82267</v>
      </c>
      <c r="AC212" s="449">
        <f t="shared" si="68"/>
        <v>147642</v>
      </c>
      <c r="AD212" s="872">
        <v>84756</v>
      </c>
      <c r="AE212" s="872">
        <v>88781</v>
      </c>
      <c r="AF212" s="872">
        <v>59972</v>
      </c>
      <c r="AG212" s="265">
        <f t="shared" si="74"/>
        <v>0.96102204547658965</v>
      </c>
      <c r="AH212" s="515">
        <f t="shared" si="75"/>
        <v>1.1206884944233746</v>
      </c>
      <c r="AI212" s="515">
        <f t="shared" si="76"/>
        <v>1.0492463931651488</v>
      </c>
      <c r="AJ212" s="515">
        <f t="shared" si="77"/>
        <v>0.89506146582160029</v>
      </c>
      <c r="AK212" s="187">
        <f t="shared" si="78"/>
        <v>1.5433182478012126</v>
      </c>
      <c r="AL212" s="266">
        <f t="shared" si="79"/>
        <v>1.4374098852298287</v>
      </c>
      <c r="AM212" s="516">
        <f t="shared" si="80"/>
        <v>0.59493582170247705</v>
      </c>
      <c r="AN212" s="516">
        <f t="shared" si="81"/>
        <v>0.94020114161456914</v>
      </c>
      <c r="AO212" s="516">
        <f t="shared" si="82"/>
        <v>1.164337990685296</v>
      </c>
      <c r="AP212" s="267">
        <f t="shared" si="83"/>
        <v>0.59172946475008026</v>
      </c>
      <c r="AQ212" s="268">
        <f t="shared" si="84"/>
        <v>0.32098149316779784</v>
      </c>
      <c r="AR212" s="450">
        <f t="shared" si="85"/>
        <v>0.19131775857405953</v>
      </c>
      <c r="AS212" s="450">
        <f t="shared" si="86"/>
        <v>0.51229925174185742</v>
      </c>
      <c r="AT212" s="450">
        <f t="shared" si="87"/>
        <v>0.31553054206859249</v>
      </c>
      <c r="AU212" s="269">
        <f t="shared" si="88"/>
        <v>0.17217020618955015</v>
      </c>
    </row>
    <row r="213" spans="1:47" ht="15.75" customHeight="1">
      <c r="A213" s="175">
        <f t="shared" si="71"/>
        <v>2024</v>
      </c>
      <c r="B213" s="454" t="str">
        <f t="shared" si="72"/>
        <v>51</v>
      </c>
      <c r="C213" s="454" t="str">
        <f t="array" ref="C213">_xlfn.IFS(_xlfn.NUMBERVALUE(B213)&lt;=13,"Q1",AND(_xlfn.NUMBERVALUE(B213)&gt;13,_xlfn.NUMBERVALUE(B213)&lt;=26),"Q2", AND(_xlfn.NUMBERVALUE(B213)&gt;26,_xlfn.NUMBERVALUE(B213)&lt;=39),"Q3",_xlfn.NUMBERVALUE(B213)&gt;39,"Q4")</f>
        <v>Q4</v>
      </c>
      <c r="D213" s="448">
        <f t="shared" si="89"/>
        <v>45304</v>
      </c>
      <c r="E213" s="448">
        <f t="shared" si="73"/>
        <v>45310</v>
      </c>
      <c r="F213" s="97">
        <v>202351</v>
      </c>
      <c r="G213" s="241">
        <v>79811</v>
      </c>
      <c r="H213" s="872">
        <v>99663</v>
      </c>
      <c r="I213" s="521">
        <f t="shared" si="69"/>
        <v>179474</v>
      </c>
      <c r="J213" s="467">
        <v>54300</v>
      </c>
      <c r="K213" s="857">
        <v>90716</v>
      </c>
      <c r="L213" s="856">
        <v>97392</v>
      </c>
      <c r="M213" s="872">
        <v>52030</v>
      </c>
      <c r="N213" s="469">
        <f t="shared" si="66"/>
        <v>149422</v>
      </c>
      <c r="O213" s="872">
        <v>81609</v>
      </c>
      <c r="P213" s="872">
        <v>93589</v>
      </c>
      <c r="Q213" s="856">
        <v>96813</v>
      </c>
      <c r="R213" s="872">
        <v>83752</v>
      </c>
      <c r="S213" s="521">
        <f t="shared" si="70"/>
        <v>180565</v>
      </c>
      <c r="T213" s="872">
        <v>54171</v>
      </c>
      <c r="U213" s="872">
        <v>72569</v>
      </c>
      <c r="V213" s="856">
        <v>73890</v>
      </c>
      <c r="W213" s="872">
        <v>72586</v>
      </c>
      <c r="X213" s="449">
        <f t="shared" si="67"/>
        <v>146476</v>
      </c>
      <c r="Y213" s="872">
        <v>97551</v>
      </c>
      <c r="Z213" s="872">
        <v>56512</v>
      </c>
      <c r="AA213" s="856">
        <v>62561</v>
      </c>
      <c r="AB213" s="872">
        <v>53113</v>
      </c>
      <c r="AC213" s="449">
        <f t="shared" si="68"/>
        <v>115674</v>
      </c>
      <c r="AD213" s="872">
        <v>63155</v>
      </c>
      <c r="AE213" s="872">
        <v>90436</v>
      </c>
      <c r="AF213" s="872">
        <v>70618</v>
      </c>
      <c r="AG213" s="265">
        <f t="shared" si="74"/>
        <v>0.82438308904795843</v>
      </c>
      <c r="AH213" s="515">
        <f t="shared" si="75"/>
        <v>1.1899775527748591</v>
      </c>
      <c r="AI213" s="515">
        <f t="shared" si="76"/>
        <v>0.99395785451222551</v>
      </c>
      <c r="AJ213" s="515">
        <f t="shared" si="77"/>
        <v>1.0023813479537023</v>
      </c>
      <c r="AK213" s="187">
        <f t="shared" si="78"/>
        <v>1.250065454946327</v>
      </c>
      <c r="AL213" s="266">
        <f t="shared" si="79"/>
        <v>1.2202829183947075</v>
      </c>
      <c r="AM213" s="516">
        <f t="shared" si="80"/>
        <v>0.52205933997571818</v>
      </c>
      <c r="AN213" s="516">
        <f t="shared" si="81"/>
        <v>0.83255513333407627</v>
      </c>
      <c r="AO213" s="516">
        <f t="shared" si="82"/>
        <v>1.5029281767955802</v>
      </c>
      <c r="AP213" s="267">
        <f t="shared" si="83"/>
        <v>1.0316702676484855</v>
      </c>
      <c r="AQ213" s="268">
        <f t="shared" si="84"/>
        <v>0.30001848314952867</v>
      </c>
      <c r="AR213" s="450">
        <f t="shared" si="85"/>
        <v>0.16027971166286736</v>
      </c>
      <c r="AS213" s="450">
        <f t="shared" si="86"/>
        <v>0.46029819481239603</v>
      </c>
      <c r="AT213" s="450">
        <f t="shared" si="87"/>
        <v>0.25139855831433677</v>
      </c>
      <c r="AU213" s="269">
        <f t="shared" si="88"/>
        <v>0.28830324687326719</v>
      </c>
    </row>
    <row r="214" spans="1:47" ht="15" customHeight="1">
      <c r="A214" s="175">
        <f t="shared" si="71"/>
        <v>2024</v>
      </c>
      <c r="B214" s="454" t="str">
        <f t="shared" si="72"/>
        <v>52</v>
      </c>
      <c r="C214" s="454" t="str">
        <f t="array" ref="C214">_xlfn.IFS(_xlfn.NUMBERVALUE(B214)&lt;=13,"Q1",AND(_xlfn.NUMBERVALUE(B214)&gt;13,_xlfn.NUMBERVALUE(B214)&lt;=26),"Q2", AND(_xlfn.NUMBERVALUE(B214)&gt;26,_xlfn.NUMBERVALUE(B214)&lt;=39),"Q3",_xlfn.NUMBERVALUE(B214)&gt;39,"Q4")</f>
        <v>Q4</v>
      </c>
      <c r="D214" s="448">
        <f t="shared" si="89"/>
        <v>45311</v>
      </c>
      <c r="E214" s="448">
        <f t="shared" si="73"/>
        <v>45317</v>
      </c>
      <c r="F214" s="97">
        <v>202352</v>
      </c>
      <c r="G214" s="241">
        <v>56387</v>
      </c>
      <c r="H214" s="872">
        <v>99810</v>
      </c>
      <c r="I214" s="521">
        <f t="shared" si="69"/>
        <v>156197</v>
      </c>
      <c r="J214" s="467">
        <v>80051</v>
      </c>
      <c r="K214" s="857">
        <v>89361</v>
      </c>
      <c r="L214" s="856">
        <v>76880</v>
      </c>
      <c r="M214" s="872">
        <v>71994</v>
      </c>
      <c r="N214" s="469">
        <f t="shared" si="66"/>
        <v>148874</v>
      </c>
      <c r="O214" s="872">
        <v>73997</v>
      </c>
      <c r="P214" s="872">
        <v>53866</v>
      </c>
      <c r="Q214" s="856">
        <v>65973</v>
      </c>
      <c r="R214" s="872">
        <v>94573</v>
      </c>
      <c r="S214" s="521">
        <f t="shared" si="70"/>
        <v>160546</v>
      </c>
      <c r="T214" s="872">
        <v>54567</v>
      </c>
      <c r="U214" s="872">
        <v>71257</v>
      </c>
      <c r="V214" s="241">
        <v>80007</v>
      </c>
      <c r="W214" s="872">
        <v>50660</v>
      </c>
      <c r="X214" s="449">
        <f t="shared" si="67"/>
        <v>130667</v>
      </c>
      <c r="Y214" s="872">
        <v>62237</v>
      </c>
      <c r="Z214" s="872">
        <v>98800</v>
      </c>
      <c r="AA214" s="856">
        <v>96791</v>
      </c>
      <c r="AB214" s="872">
        <v>62047</v>
      </c>
      <c r="AC214" s="449">
        <f t="shared" si="68"/>
        <v>158838</v>
      </c>
      <c r="AD214" s="872">
        <v>89590</v>
      </c>
      <c r="AE214" s="872">
        <v>51460</v>
      </c>
      <c r="AF214" s="872">
        <v>91854</v>
      </c>
      <c r="AG214" s="265">
        <f t="shared" si="74"/>
        <v>0.85469813408515605</v>
      </c>
      <c r="AH214" s="515">
        <f t="shared" si="75"/>
        <v>1.0553752127985789</v>
      </c>
      <c r="AI214" s="515">
        <f t="shared" si="76"/>
        <v>0.97291119056220643</v>
      </c>
      <c r="AJ214" s="515">
        <f t="shared" si="77"/>
        <v>1.467022192900471</v>
      </c>
      <c r="AK214" s="187">
        <f t="shared" si="78"/>
        <v>1.2540662671737512</v>
      </c>
      <c r="AL214" s="266">
        <f t="shared" si="79"/>
        <v>1.3634348342703104</v>
      </c>
      <c r="AM214" s="516">
        <f t="shared" si="80"/>
        <v>0.72131048993086866</v>
      </c>
      <c r="AN214" s="516">
        <f t="shared" si="81"/>
        <v>0.95311689725154769</v>
      </c>
      <c r="AO214" s="516">
        <f t="shared" si="82"/>
        <v>0.92437321207730072</v>
      </c>
      <c r="AP214" s="267">
        <f t="shared" si="83"/>
        <v>0.60279092669061451</v>
      </c>
      <c r="AQ214" s="268">
        <f t="shared" si="84"/>
        <v>0.27780889436540829</v>
      </c>
      <c r="AR214" s="450">
        <f t="shared" si="85"/>
        <v>0.26015314179166499</v>
      </c>
      <c r="AS214" s="450">
        <f t="shared" si="86"/>
        <v>0.53796203615707328</v>
      </c>
      <c r="AT214" s="450">
        <f t="shared" si="87"/>
        <v>0.2673910608267055</v>
      </c>
      <c r="AU214" s="269">
        <f t="shared" si="88"/>
        <v>0.19464690301622117</v>
      </c>
    </row>
    <row r="215" spans="1:47" ht="16.350000000000001" customHeight="1">
      <c r="A215" s="175">
        <f t="shared" si="71"/>
        <v>2025</v>
      </c>
      <c r="B215" s="454" t="str">
        <f t="shared" si="72"/>
        <v>01</v>
      </c>
      <c r="C215" s="454" t="str">
        <f t="array" ref="C215">_xlfn.IFS(_xlfn.NUMBERVALUE(B215)&lt;=13,"Q1",AND(_xlfn.NUMBERVALUE(B215)&gt;13,_xlfn.NUMBERVALUE(B215)&lt;=26),"Q2", AND(_xlfn.NUMBERVALUE(B215)&gt;26,_xlfn.NUMBERVALUE(B215)&lt;=39),"Q3",_xlfn.NUMBERVALUE(B215)&gt;39,"Q4")</f>
        <v>Q1</v>
      </c>
      <c r="D215" s="448">
        <f t="shared" si="89"/>
        <v>45318</v>
      </c>
      <c r="E215" s="448">
        <f t="shared" si="73"/>
        <v>45324</v>
      </c>
      <c r="F215" s="97">
        <v>202401</v>
      </c>
      <c r="G215" s="241">
        <v>61875</v>
      </c>
      <c r="H215" s="872">
        <v>62583</v>
      </c>
      <c r="I215" s="521">
        <f t="shared" si="69"/>
        <v>124458</v>
      </c>
      <c r="J215" s="467">
        <v>71326</v>
      </c>
      <c r="K215" s="242">
        <v>50673</v>
      </c>
      <c r="L215" s="241">
        <v>81444</v>
      </c>
      <c r="M215" s="467">
        <v>53931</v>
      </c>
      <c r="N215" s="469">
        <f t="shared" si="66"/>
        <v>135375</v>
      </c>
      <c r="O215" s="467">
        <v>51156</v>
      </c>
      <c r="P215" s="467">
        <v>56001</v>
      </c>
      <c r="Q215" s="241">
        <v>77761</v>
      </c>
      <c r="R215" s="467">
        <v>75188</v>
      </c>
      <c r="S215" s="521">
        <f t="shared" si="70"/>
        <v>152949</v>
      </c>
      <c r="T215" s="467">
        <v>68935</v>
      </c>
      <c r="U215" s="467">
        <v>59163</v>
      </c>
      <c r="V215" s="241">
        <v>84201</v>
      </c>
      <c r="W215" s="467">
        <v>51460</v>
      </c>
      <c r="X215" s="449">
        <f t="shared" si="67"/>
        <v>135661</v>
      </c>
      <c r="Y215" s="467">
        <v>57570</v>
      </c>
      <c r="Z215" s="467">
        <v>93924</v>
      </c>
      <c r="AA215" s="241">
        <v>89370</v>
      </c>
      <c r="AB215" s="467">
        <v>67548</v>
      </c>
      <c r="AC215" s="449">
        <f t="shared" si="68"/>
        <v>156918</v>
      </c>
      <c r="AD215" s="467">
        <v>51437</v>
      </c>
      <c r="AE215" s="467">
        <v>58030</v>
      </c>
      <c r="AF215" s="467">
        <v>94570</v>
      </c>
      <c r="AG215" s="265">
        <f t="shared" si="74"/>
        <v>0.79570735973045614</v>
      </c>
      <c r="AH215" s="515">
        <f t="shared" si="75"/>
        <v>0.83235356705857322</v>
      </c>
      <c r="AI215" s="515">
        <f t="shared" si="76"/>
        <v>0.81372222113253434</v>
      </c>
      <c r="AJ215" s="515">
        <f t="shared" si="77"/>
        <v>1.03468484804526</v>
      </c>
      <c r="AK215" s="187">
        <f t="shared" si="78"/>
        <v>0.85649814918107603</v>
      </c>
      <c r="AL215" s="266">
        <f t="shared" si="79"/>
        <v>1.3162666666666667</v>
      </c>
      <c r="AM215" s="516">
        <f t="shared" si="80"/>
        <v>0.8617515938833229</v>
      </c>
      <c r="AN215" s="516">
        <f t="shared" si="81"/>
        <v>1.0877163380417489</v>
      </c>
      <c r="AO215" s="516">
        <f t="shared" si="82"/>
        <v>0.71721391918795385</v>
      </c>
      <c r="AP215" s="267">
        <f t="shared" si="83"/>
        <v>1.1051447516428867</v>
      </c>
      <c r="AQ215" s="268">
        <f t="shared" si="84"/>
        <v>0.33580723368462717</v>
      </c>
      <c r="AR215" s="450">
        <f t="shared" si="85"/>
        <v>0.2223665330760477</v>
      </c>
      <c r="AS215" s="450">
        <f t="shared" si="86"/>
        <v>0.55817376676067487</v>
      </c>
      <c r="AT215" s="450">
        <f t="shared" si="87"/>
        <v>0.21092474395131364</v>
      </c>
      <c r="AU215" s="269">
        <f t="shared" si="88"/>
        <v>0.23090148928801149</v>
      </c>
    </row>
    <row r="216" spans="1:47" ht="16.350000000000001" customHeight="1">
      <c r="A216" s="175">
        <f t="shared" si="71"/>
        <v>2025</v>
      </c>
      <c r="B216" s="454" t="str">
        <f t="shared" si="72"/>
        <v>02</v>
      </c>
      <c r="C216" s="454" t="str">
        <f t="array" ref="C216">_xlfn.IFS(_xlfn.NUMBERVALUE(B216)&lt;=13,"Q1",AND(_xlfn.NUMBERVALUE(B216)&gt;13,_xlfn.NUMBERVALUE(B216)&lt;=26),"Q2", AND(_xlfn.NUMBERVALUE(B216)&gt;26,_xlfn.NUMBERVALUE(B216)&lt;=39),"Q3",_xlfn.NUMBERVALUE(B216)&gt;39,"Q4")</f>
        <v>Q1</v>
      </c>
      <c r="D216" s="448">
        <f t="shared" si="89"/>
        <v>45325</v>
      </c>
      <c r="E216" s="448">
        <f t="shared" si="73"/>
        <v>45331</v>
      </c>
      <c r="F216" s="97">
        <v>202402</v>
      </c>
      <c r="G216" s="241">
        <v>92083</v>
      </c>
      <c r="H216" s="467">
        <v>83460</v>
      </c>
      <c r="I216" s="521">
        <f t="shared" si="69"/>
        <v>175543</v>
      </c>
      <c r="J216" s="467">
        <v>56908</v>
      </c>
      <c r="K216" s="242">
        <v>78721</v>
      </c>
      <c r="L216" s="241">
        <v>93607</v>
      </c>
      <c r="M216" s="467">
        <v>56452</v>
      </c>
      <c r="N216" s="469">
        <f t="shared" si="66"/>
        <v>150059</v>
      </c>
      <c r="O216" s="467">
        <v>67502</v>
      </c>
      <c r="P216" s="467">
        <v>77860</v>
      </c>
      <c r="Q216" s="241">
        <v>73044</v>
      </c>
      <c r="R216" s="467">
        <v>52074</v>
      </c>
      <c r="S216" s="521">
        <f t="shared" si="70"/>
        <v>125118</v>
      </c>
      <c r="T216" s="467">
        <v>95566</v>
      </c>
      <c r="U216" s="467">
        <v>84606</v>
      </c>
      <c r="V216" s="241">
        <v>59869</v>
      </c>
      <c r="W216" s="467">
        <v>76869</v>
      </c>
      <c r="X216" s="449">
        <f t="shared" si="67"/>
        <v>136738</v>
      </c>
      <c r="Y216" s="467">
        <v>85167</v>
      </c>
      <c r="Z216" s="467">
        <v>98056</v>
      </c>
      <c r="AA216" s="241">
        <v>78328</v>
      </c>
      <c r="AB216" s="467">
        <v>59610</v>
      </c>
      <c r="AC216" s="449">
        <f t="shared" si="68"/>
        <v>137938</v>
      </c>
      <c r="AD216" s="467">
        <v>59900</v>
      </c>
      <c r="AE216" s="467">
        <v>65907</v>
      </c>
      <c r="AF216" s="467">
        <v>64008</v>
      </c>
      <c r="AG216" s="265">
        <f t="shared" si="74"/>
        <v>1.260651114396802</v>
      </c>
      <c r="AH216" s="515">
        <f t="shared" si="75"/>
        <v>1.6027192072819449</v>
      </c>
      <c r="AI216" s="515">
        <f t="shared" si="76"/>
        <v>1.4030195495452293</v>
      </c>
      <c r="AJ216" s="515">
        <f t="shared" si="77"/>
        <v>0.59548374945064142</v>
      </c>
      <c r="AK216" s="187">
        <f t="shared" si="78"/>
        <v>0.93044228541710994</v>
      </c>
      <c r="AL216" s="266">
        <f t="shared" si="79"/>
        <v>1.0165502861548821</v>
      </c>
      <c r="AM216" s="516">
        <f t="shared" si="80"/>
        <v>0.67639587826503711</v>
      </c>
      <c r="AN216" s="516">
        <f t="shared" si="81"/>
        <v>0.8548275920999413</v>
      </c>
      <c r="AO216" s="516">
        <f t="shared" si="82"/>
        <v>1.1861601180853307</v>
      </c>
      <c r="AP216" s="267">
        <f t="shared" si="83"/>
        <v>0.98906263894005408</v>
      </c>
      <c r="AQ216" s="268">
        <f t="shared" si="84"/>
        <v>0.31685966806692822</v>
      </c>
      <c r="AR216" s="450">
        <f t="shared" si="85"/>
        <v>0.19109000375734969</v>
      </c>
      <c r="AS216" s="450">
        <f t="shared" si="86"/>
        <v>0.50794967182427786</v>
      </c>
      <c r="AT216" s="450">
        <f t="shared" si="87"/>
        <v>0.22849425057798869</v>
      </c>
      <c r="AU216" s="269">
        <f t="shared" si="88"/>
        <v>0.26355607759773342</v>
      </c>
    </row>
    <row r="217" spans="1:47" ht="16.350000000000001" customHeight="1">
      <c r="A217" s="175">
        <f t="shared" si="71"/>
        <v>2025</v>
      </c>
      <c r="B217" s="454" t="str">
        <f t="shared" si="72"/>
        <v>03</v>
      </c>
      <c r="C217" s="454" t="str">
        <f t="array" ref="C217">_xlfn.IFS(_xlfn.NUMBERVALUE(B217)&lt;=13,"Q1",AND(_xlfn.NUMBERVALUE(B217)&gt;13,_xlfn.NUMBERVALUE(B217)&lt;=26),"Q2", AND(_xlfn.NUMBERVALUE(B217)&gt;26,_xlfn.NUMBERVALUE(B217)&lt;=39),"Q3",_xlfn.NUMBERVALUE(B217)&gt;39,"Q4")</f>
        <v>Q1</v>
      </c>
      <c r="D217" s="448">
        <f t="shared" si="89"/>
        <v>45332</v>
      </c>
      <c r="E217" s="448">
        <f t="shared" si="73"/>
        <v>45338</v>
      </c>
      <c r="F217" s="97">
        <v>202403</v>
      </c>
      <c r="G217" s="241">
        <v>57879</v>
      </c>
      <c r="H217" s="467">
        <v>68769</v>
      </c>
      <c r="I217" s="521">
        <f t="shared" si="69"/>
        <v>126648</v>
      </c>
      <c r="J217" s="467">
        <v>88577</v>
      </c>
      <c r="K217" s="242">
        <v>53812</v>
      </c>
      <c r="L217" s="241">
        <v>67112</v>
      </c>
      <c r="M217" s="467">
        <v>83458</v>
      </c>
      <c r="N217" s="469">
        <f t="shared" si="66"/>
        <v>150570</v>
      </c>
      <c r="O217" s="467">
        <v>98351</v>
      </c>
      <c r="P217" s="467">
        <v>99020</v>
      </c>
      <c r="Q217" s="241">
        <v>75766</v>
      </c>
      <c r="R217" s="467">
        <v>56592</v>
      </c>
      <c r="S217" s="521">
        <f t="shared" si="70"/>
        <v>132358</v>
      </c>
      <c r="T217" s="467">
        <v>69018</v>
      </c>
      <c r="U217" s="467">
        <v>73203</v>
      </c>
      <c r="V217" s="241">
        <v>67252</v>
      </c>
      <c r="W217" s="467">
        <v>50576</v>
      </c>
      <c r="X217" s="449">
        <f t="shared" si="67"/>
        <v>117828</v>
      </c>
      <c r="Y217" s="467">
        <v>81390</v>
      </c>
      <c r="Z217" s="467">
        <v>54838</v>
      </c>
      <c r="AA217" s="241">
        <v>89756</v>
      </c>
      <c r="AB217" s="467">
        <v>88061</v>
      </c>
      <c r="AC217" s="449">
        <f t="shared" si="68"/>
        <v>177817</v>
      </c>
      <c r="AD217" s="467">
        <v>59706</v>
      </c>
      <c r="AE217" s="467">
        <v>66840</v>
      </c>
      <c r="AF217" s="467">
        <v>68123</v>
      </c>
      <c r="AG217" s="265">
        <f t="shared" si="74"/>
        <v>0.76391785233482035</v>
      </c>
      <c r="AH217" s="515">
        <f t="shared" si="75"/>
        <v>1.2151717557251909</v>
      </c>
      <c r="AI217" s="515">
        <f t="shared" si="76"/>
        <v>0.95685942670635704</v>
      </c>
      <c r="AJ217" s="515">
        <f t="shared" si="77"/>
        <v>1.2833898403315078</v>
      </c>
      <c r="AK217" s="187">
        <f t="shared" si="78"/>
        <v>0.73510648470691087</v>
      </c>
      <c r="AL217" s="266">
        <f t="shared" si="79"/>
        <v>1.159522452011956</v>
      </c>
      <c r="AM217" s="516">
        <f t="shared" si="80"/>
        <v>1.213599150780148</v>
      </c>
      <c r="AN217" s="516">
        <f t="shared" si="81"/>
        <v>1.1888857305287095</v>
      </c>
      <c r="AO217" s="516">
        <f t="shared" si="82"/>
        <v>1.1103446718674148</v>
      </c>
      <c r="AP217" s="267">
        <f t="shared" si="83"/>
        <v>1.8401100126365866</v>
      </c>
      <c r="AQ217" s="268">
        <f t="shared" si="84"/>
        <v>0.19288327618762952</v>
      </c>
      <c r="AR217" s="450">
        <f t="shared" si="85"/>
        <v>0.23986250542477028</v>
      </c>
      <c r="AS217" s="450">
        <f t="shared" si="86"/>
        <v>0.43274578161239979</v>
      </c>
      <c r="AT217" s="450">
        <f t="shared" si="87"/>
        <v>0.28266573930637667</v>
      </c>
      <c r="AU217" s="269">
        <f t="shared" si="88"/>
        <v>0.28458847908122353</v>
      </c>
    </row>
    <row r="218" spans="1:47" ht="16.350000000000001" customHeight="1">
      <c r="A218" s="175">
        <f t="shared" si="71"/>
        <v>2025</v>
      </c>
      <c r="B218" s="454" t="str">
        <f t="shared" si="72"/>
        <v>04</v>
      </c>
      <c r="C218" s="454" t="str">
        <f t="array" ref="C218">_xlfn.IFS(_xlfn.NUMBERVALUE(B218)&lt;=13,"Q1",AND(_xlfn.NUMBERVALUE(B218)&gt;13,_xlfn.NUMBERVALUE(B218)&lt;=26),"Q2", AND(_xlfn.NUMBERVALUE(B218)&gt;26,_xlfn.NUMBERVALUE(B218)&lt;=39),"Q3",_xlfn.NUMBERVALUE(B218)&gt;39,"Q4")</f>
        <v>Q1</v>
      </c>
      <c r="D218" s="448">
        <f t="shared" si="89"/>
        <v>45339</v>
      </c>
      <c r="E218" s="448">
        <f t="shared" si="73"/>
        <v>45345</v>
      </c>
      <c r="F218" s="97">
        <v>202404</v>
      </c>
      <c r="G218" s="241">
        <v>80419</v>
      </c>
      <c r="H218" s="467">
        <v>96849</v>
      </c>
      <c r="I218" s="521">
        <f t="shared" si="69"/>
        <v>177268</v>
      </c>
      <c r="J218" s="467">
        <v>92960</v>
      </c>
      <c r="K218" s="242">
        <v>82276</v>
      </c>
      <c r="L218" s="241">
        <v>82083</v>
      </c>
      <c r="M218" s="467">
        <v>96127</v>
      </c>
      <c r="N218" s="469">
        <f t="shared" si="66"/>
        <v>178210</v>
      </c>
      <c r="O218" s="467">
        <v>73232</v>
      </c>
      <c r="P218" s="467">
        <v>71525</v>
      </c>
      <c r="Q218" s="241">
        <v>50074</v>
      </c>
      <c r="R218" s="467">
        <v>91680</v>
      </c>
      <c r="S218" s="521">
        <f t="shared" si="70"/>
        <v>141754</v>
      </c>
      <c r="T218" s="467">
        <v>73113</v>
      </c>
      <c r="U218" s="467">
        <v>54508</v>
      </c>
      <c r="V218" s="241">
        <v>65745</v>
      </c>
      <c r="W218" s="467">
        <v>83834</v>
      </c>
      <c r="X218" s="449">
        <f t="shared" si="67"/>
        <v>149579</v>
      </c>
      <c r="Y218" s="467">
        <v>53389</v>
      </c>
      <c r="Z218" s="467">
        <v>81211</v>
      </c>
      <c r="AA218" s="241">
        <v>99576</v>
      </c>
      <c r="AB218" s="467">
        <v>72941</v>
      </c>
      <c r="AC218" s="449">
        <f t="shared" si="68"/>
        <v>172517</v>
      </c>
      <c r="AD218" s="467">
        <v>70955</v>
      </c>
      <c r="AE218" s="467">
        <v>97435</v>
      </c>
      <c r="AF218" s="467">
        <v>57378</v>
      </c>
      <c r="AG218" s="265">
        <f t="shared" si="74"/>
        <v>1.606003115389224</v>
      </c>
      <c r="AH218" s="515">
        <f t="shared" si="75"/>
        <v>1.0563808900523559</v>
      </c>
      <c r="AI218" s="515">
        <f t="shared" si="76"/>
        <v>1.2505326128363221</v>
      </c>
      <c r="AJ218" s="515">
        <f t="shared" si="77"/>
        <v>1.271456512521713</v>
      </c>
      <c r="AK218" s="187">
        <f t="shared" si="78"/>
        <v>1.5094298084684816</v>
      </c>
      <c r="AL218" s="266">
        <f t="shared" si="79"/>
        <v>1.0206916276004427</v>
      </c>
      <c r="AM218" s="516">
        <f t="shared" si="80"/>
        <v>0.99254509597414531</v>
      </c>
      <c r="AN218" s="516">
        <f t="shared" si="81"/>
        <v>1.0053139878601891</v>
      </c>
      <c r="AO218" s="516">
        <f t="shared" si="82"/>
        <v>0.7877796901893287</v>
      </c>
      <c r="AP218" s="267">
        <f t="shared" si="83"/>
        <v>0.86933005979872624</v>
      </c>
      <c r="AQ218" s="268">
        <f t="shared" si="84"/>
        <v>0.25415290107038802</v>
      </c>
      <c r="AR218" s="450">
        <f t="shared" si="85"/>
        <v>0.2976372199017237</v>
      </c>
      <c r="AS218" s="450">
        <f t="shared" si="86"/>
        <v>0.55179012097211166</v>
      </c>
      <c r="AT218" s="450">
        <f t="shared" si="87"/>
        <v>0.22674762437029169</v>
      </c>
      <c r="AU218" s="269">
        <f t="shared" si="88"/>
        <v>0.22146225465759659</v>
      </c>
    </row>
    <row r="219" spans="1:47" ht="16.350000000000001" customHeight="1">
      <c r="A219" s="175">
        <f t="shared" si="71"/>
        <v>2025</v>
      </c>
      <c r="B219" s="454" t="str">
        <f t="shared" si="72"/>
        <v>05</v>
      </c>
      <c r="C219" s="454" t="str">
        <f t="array" ref="C219">_xlfn.IFS(_xlfn.NUMBERVALUE(B219)&lt;=13,"Q1",AND(_xlfn.NUMBERVALUE(B219)&gt;13,_xlfn.NUMBERVALUE(B219)&lt;=26),"Q2", AND(_xlfn.NUMBERVALUE(B219)&gt;26,_xlfn.NUMBERVALUE(B219)&lt;=39),"Q3",_xlfn.NUMBERVALUE(B219)&gt;39,"Q4")</f>
        <v>Q1</v>
      </c>
      <c r="D219" s="448">
        <f t="shared" si="89"/>
        <v>45346</v>
      </c>
      <c r="E219" s="448">
        <f t="shared" si="73"/>
        <v>45352</v>
      </c>
      <c r="F219" s="97">
        <v>202405</v>
      </c>
      <c r="G219" s="241">
        <v>82551</v>
      </c>
      <c r="H219" s="467">
        <v>76750</v>
      </c>
      <c r="I219" s="521">
        <f t="shared" si="69"/>
        <v>159301</v>
      </c>
      <c r="J219" s="467">
        <v>55452</v>
      </c>
      <c r="K219" s="242">
        <v>50638</v>
      </c>
      <c r="L219" s="241">
        <v>70839</v>
      </c>
      <c r="M219" s="467">
        <v>53833</v>
      </c>
      <c r="N219" s="469">
        <f t="shared" si="66"/>
        <v>124672</v>
      </c>
      <c r="O219" s="467">
        <v>84577</v>
      </c>
      <c r="P219" s="467">
        <v>88322</v>
      </c>
      <c r="Q219" s="241">
        <v>90579</v>
      </c>
      <c r="R219" s="467">
        <v>77943</v>
      </c>
      <c r="S219" s="521">
        <f t="shared" si="70"/>
        <v>168522</v>
      </c>
      <c r="T219" s="467">
        <v>53683</v>
      </c>
      <c r="U219" s="467">
        <v>77995</v>
      </c>
      <c r="V219" s="241">
        <v>82991</v>
      </c>
      <c r="W219" s="467">
        <v>52418</v>
      </c>
      <c r="X219" s="449">
        <f t="shared" si="67"/>
        <v>135409</v>
      </c>
      <c r="Y219" s="467">
        <v>92186</v>
      </c>
      <c r="Z219" s="467">
        <v>98500</v>
      </c>
      <c r="AA219" s="241">
        <v>79167</v>
      </c>
      <c r="AB219" s="467">
        <v>63183</v>
      </c>
      <c r="AC219" s="449">
        <f t="shared" si="68"/>
        <v>142350</v>
      </c>
      <c r="AD219" s="467">
        <v>72908</v>
      </c>
      <c r="AE219" s="467">
        <v>86141</v>
      </c>
      <c r="AF219" s="467">
        <v>89462</v>
      </c>
      <c r="AG219" s="265">
        <f t="shared" si="74"/>
        <v>0.91137018514225154</v>
      </c>
      <c r="AH219" s="515">
        <f t="shared" si="75"/>
        <v>0.9846939430096352</v>
      </c>
      <c r="AI219" s="515">
        <f t="shared" si="76"/>
        <v>0.94528310843688068</v>
      </c>
      <c r="AJ219" s="515">
        <f t="shared" si="77"/>
        <v>1.0329527038354787</v>
      </c>
      <c r="AK219" s="187">
        <f t="shared" si="78"/>
        <v>0.64924674658631965</v>
      </c>
      <c r="AL219" s="266">
        <f t="shared" si="79"/>
        <v>0.85812406875749536</v>
      </c>
      <c r="AM219" s="516">
        <f t="shared" si="80"/>
        <v>0.70140716612377851</v>
      </c>
      <c r="AN219" s="516">
        <f t="shared" si="81"/>
        <v>0.78261906704917106</v>
      </c>
      <c r="AO219" s="516">
        <f t="shared" si="82"/>
        <v>1.525229026906153</v>
      </c>
      <c r="AP219" s="267">
        <f t="shared" si="83"/>
        <v>1.7441842094869466</v>
      </c>
      <c r="AQ219" s="268">
        <f t="shared" si="84"/>
        <v>0.2380574719982794</v>
      </c>
      <c r="AR219" s="450">
        <f t="shared" si="85"/>
        <v>0.18090808580137177</v>
      </c>
      <c r="AS219" s="450">
        <f t="shared" si="86"/>
        <v>0.41896555779965117</v>
      </c>
      <c r="AT219" s="450">
        <f t="shared" si="87"/>
        <v>0.28422460522026677</v>
      </c>
      <c r="AU219" s="269">
        <f t="shared" si="88"/>
        <v>0.29680983698008206</v>
      </c>
    </row>
    <row r="220" spans="1:47" ht="16.350000000000001" customHeight="1">
      <c r="A220" s="175">
        <f t="shared" si="71"/>
        <v>2025</v>
      </c>
      <c r="B220" s="454" t="str">
        <f t="shared" si="72"/>
        <v>06</v>
      </c>
      <c r="C220" s="454" t="str">
        <f t="array" ref="C220">_xlfn.IFS(_xlfn.NUMBERVALUE(B220)&lt;=13,"Q1",AND(_xlfn.NUMBERVALUE(B220)&gt;13,_xlfn.NUMBERVALUE(B220)&lt;=26),"Q2", AND(_xlfn.NUMBERVALUE(B220)&gt;26,_xlfn.NUMBERVALUE(B220)&lt;=39),"Q3",_xlfn.NUMBERVALUE(B220)&gt;39,"Q4")</f>
        <v>Q1</v>
      </c>
      <c r="D220" s="448">
        <f t="shared" si="89"/>
        <v>45353</v>
      </c>
      <c r="E220" s="448">
        <f t="shared" si="73"/>
        <v>45359</v>
      </c>
      <c r="F220" s="97">
        <v>202406</v>
      </c>
      <c r="G220" s="241">
        <v>71689</v>
      </c>
      <c r="H220" s="467">
        <v>71399</v>
      </c>
      <c r="I220" s="521">
        <f t="shared" si="69"/>
        <v>143088</v>
      </c>
      <c r="J220" s="467">
        <v>79731</v>
      </c>
      <c r="K220" s="242">
        <v>78568</v>
      </c>
      <c r="L220" s="241">
        <v>61814</v>
      </c>
      <c r="M220" s="467">
        <v>75293</v>
      </c>
      <c r="N220" s="469">
        <f t="shared" si="66"/>
        <v>137107</v>
      </c>
      <c r="O220" s="467">
        <v>77900</v>
      </c>
      <c r="P220" s="467">
        <v>72155</v>
      </c>
      <c r="Q220" s="241">
        <v>92693</v>
      </c>
      <c r="R220" s="467">
        <v>57618</v>
      </c>
      <c r="S220" s="521">
        <f t="shared" si="70"/>
        <v>150311</v>
      </c>
      <c r="T220" s="467">
        <v>79679</v>
      </c>
      <c r="U220" s="467">
        <v>68431</v>
      </c>
      <c r="V220" s="241">
        <v>63135</v>
      </c>
      <c r="W220" s="467">
        <v>58682</v>
      </c>
      <c r="X220" s="449">
        <f t="shared" si="67"/>
        <v>121817</v>
      </c>
      <c r="Y220" s="467">
        <v>60194</v>
      </c>
      <c r="Z220" s="467">
        <v>73539</v>
      </c>
      <c r="AA220" s="241">
        <v>59858</v>
      </c>
      <c r="AB220" s="467">
        <v>82768</v>
      </c>
      <c r="AC220" s="449">
        <f t="shared" si="68"/>
        <v>142626</v>
      </c>
      <c r="AD220" s="467">
        <v>90929</v>
      </c>
      <c r="AE220" s="467">
        <v>86784</v>
      </c>
      <c r="AF220" s="467">
        <v>61683</v>
      </c>
      <c r="AG220" s="265">
        <f t="shared" si="74"/>
        <v>0.77340252230481266</v>
      </c>
      <c r="AH220" s="515">
        <f t="shared" si="75"/>
        <v>1.2391787288694505</v>
      </c>
      <c r="AI220" s="515">
        <f t="shared" si="76"/>
        <v>0.95194629800879504</v>
      </c>
      <c r="AJ220" s="515">
        <f t="shared" si="77"/>
        <v>1.000652618632262</v>
      </c>
      <c r="AK220" s="187">
        <f t="shared" si="78"/>
        <v>1.148134617351785</v>
      </c>
      <c r="AL220" s="266">
        <f t="shared" si="79"/>
        <v>0.86225222837534354</v>
      </c>
      <c r="AM220" s="516">
        <f t="shared" si="80"/>
        <v>1.0545385789716943</v>
      </c>
      <c r="AN220" s="516">
        <f t="shared" si="81"/>
        <v>0.9582005479145701</v>
      </c>
      <c r="AO220" s="516">
        <f t="shared" si="82"/>
        <v>0.97703528113280902</v>
      </c>
      <c r="AP220" s="267">
        <f t="shared" si="83"/>
        <v>0.91837643824457793</v>
      </c>
      <c r="AQ220" s="268">
        <f t="shared" si="84"/>
        <v>0.21525828626350282</v>
      </c>
      <c r="AR220" s="450">
        <f t="shared" si="85"/>
        <v>0.26219694806415889</v>
      </c>
      <c r="AS220" s="450">
        <f t="shared" si="86"/>
        <v>0.47745523432766174</v>
      </c>
      <c r="AT220" s="450">
        <f t="shared" si="87"/>
        <v>0.2712754473084879</v>
      </c>
      <c r="AU220" s="269">
        <f t="shared" si="88"/>
        <v>0.25126931836385036</v>
      </c>
    </row>
    <row r="221" spans="1:47" ht="16.350000000000001" customHeight="1">
      <c r="A221" s="175">
        <f t="shared" si="71"/>
        <v>2025</v>
      </c>
      <c r="B221" s="454" t="str">
        <f t="shared" si="72"/>
        <v>07</v>
      </c>
      <c r="C221" s="454" t="str">
        <f t="array" ref="C221">_xlfn.IFS(_xlfn.NUMBERVALUE(B221)&lt;=13,"Q1",AND(_xlfn.NUMBERVALUE(B221)&gt;13,_xlfn.NUMBERVALUE(B221)&lt;=26),"Q2", AND(_xlfn.NUMBERVALUE(B221)&gt;26,_xlfn.NUMBERVALUE(B221)&lt;=39),"Q3",_xlfn.NUMBERVALUE(B221)&gt;39,"Q4")</f>
        <v>Q1</v>
      </c>
      <c r="D221" s="448">
        <f t="shared" si="89"/>
        <v>45360</v>
      </c>
      <c r="E221" s="448">
        <f t="shared" si="73"/>
        <v>45366</v>
      </c>
      <c r="F221" s="97">
        <v>202407</v>
      </c>
      <c r="G221" s="241">
        <v>84635</v>
      </c>
      <c r="H221" s="467">
        <v>57004</v>
      </c>
      <c r="I221" s="521">
        <f t="shared" si="69"/>
        <v>141639</v>
      </c>
      <c r="J221" s="467">
        <v>79809</v>
      </c>
      <c r="K221" s="242">
        <v>58066</v>
      </c>
      <c r="L221" s="241">
        <v>56678</v>
      </c>
      <c r="M221" s="467">
        <v>91748</v>
      </c>
      <c r="N221" s="469">
        <f t="shared" si="66"/>
        <v>148426</v>
      </c>
      <c r="O221" s="467">
        <v>79020</v>
      </c>
      <c r="P221" s="467">
        <v>89683</v>
      </c>
      <c r="Q221" s="241">
        <v>92840</v>
      </c>
      <c r="R221" s="467">
        <v>96582</v>
      </c>
      <c r="S221" s="521">
        <f t="shared" si="70"/>
        <v>189422</v>
      </c>
      <c r="T221" s="467">
        <v>51753</v>
      </c>
      <c r="U221" s="467">
        <v>83444</v>
      </c>
      <c r="V221" s="241">
        <v>60627</v>
      </c>
      <c r="W221" s="467">
        <v>73586</v>
      </c>
      <c r="X221" s="449">
        <f t="shared" si="67"/>
        <v>134213</v>
      </c>
      <c r="Y221" s="467">
        <v>85638</v>
      </c>
      <c r="Z221" s="467">
        <v>72048</v>
      </c>
      <c r="AA221" s="241">
        <v>96791</v>
      </c>
      <c r="AB221" s="467">
        <v>62047</v>
      </c>
      <c r="AC221" s="449">
        <f t="shared" si="68"/>
        <v>158838</v>
      </c>
      <c r="AD221" s="467">
        <v>53353</v>
      </c>
      <c r="AE221" s="467">
        <v>88127</v>
      </c>
      <c r="AF221" s="467">
        <v>60034</v>
      </c>
      <c r="AG221" s="265">
        <f t="shared" si="74"/>
        <v>0.91162214562688493</v>
      </c>
      <c r="AH221" s="515">
        <f t="shared" si="75"/>
        <v>0.59021349733904871</v>
      </c>
      <c r="AI221" s="515">
        <f t="shared" si="76"/>
        <v>0.74774313437721063</v>
      </c>
      <c r="AJ221" s="515">
        <f t="shared" si="77"/>
        <v>1.542113500666628</v>
      </c>
      <c r="AK221" s="187">
        <f t="shared" si="78"/>
        <v>0.69586788744547245</v>
      </c>
      <c r="AL221" s="266">
        <f t="shared" si="79"/>
        <v>0.66967566609558693</v>
      </c>
      <c r="AM221" s="516">
        <f t="shared" si="80"/>
        <v>1.6095010876429725</v>
      </c>
      <c r="AN221" s="516">
        <f t="shared" si="81"/>
        <v>1.0479175933182245</v>
      </c>
      <c r="AO221" s="516">
        <f t="shared" si="82"/>
        <v>0.99011389692891782</v>
      </c>
      <c r="AP221" s="267">
        <f t="shared" si="83"/>
        <v>1.5445010849722729</v>
      </c>
      <c r="AQ221" s="268">
        <f t="shared" si="84"/>
        <v>0.17872222344850203</v>
      </c>
      <c r="AR221" s="450">
        <f t="shared" si="85"/>
        <v>0.28930813643659203</v>
      </c>
      <c r="AS221" s="450">
        <f t="shared" si="86"/>
        <v>0.46803035988509406</v>
      </c>
      <c r="AT221" s="450">
        <f t="shared" si="87"/>
        <v>0.24917304945306168</v>
      </c>
      <c r="AU221" s="269">
        <f t="shared" si="88"/>
        <v>0.28279659066184426</v>
      </c>
    </row>
    <row r="222" spans="1:47" ht="16.350000000000001" customHeight="1">
      <c r="A222" s="175">
        <f t="shared" si="71"/>
        <v>2025</v>
      </c>
      <c r="B222" s="454" t="str">
        <f t="shared" si="72"/>
        <v>08</v>
      </c>
      <c r="C222" s="454" t="str">
        <f t="array" ref="C222">_xlfn.IFS(_xlfn.NUMBERVALUE(B222)&lt;=13,"Q1",AND(_xlfn.NUMBERVALUE(B222)&gt;13,_xlfn.NUMBERVALUE(B222)&lt;=26),"Q2", AND(_xlfn.NUMBERVALUE(B222)&gt;26,_xlfn.NUMBERVALUE(B222)&lt;=39),"Q3",_xlfn.NUMBERVALUE(B222)&gt;39,"Q4")</f>
        <v>Q1</v>
      </c>
      <c r="D222" s="448">
        <f t="shared" si="89"/>
        <v>45367</v>
      </c>
      <c r="E222" s="448">
        <f t="shared" si="73"/>
        <v>45373</v>
      </c>
      <c r="F222" s="97">
        <v>202408</v>
      </c>
      <c r="G222" s="241">
        <v>85802</v>
      </c>
      <c r="H222" s="467">
        <v>85291</v>
      </c>
      <c r="I222" s="521">
        <f t="shared" si="69"/>
        <v>171093</v>
      </c>
      <c r="J222" s="467">
        <v>75924</v>
      </c>
      <c r="K222" s="242">
        <v>80816</v>
      </c>
      <c r="L222" s="241">
        <v>90017</v>
      </c>
      <c r="M222" s="467">
        <v>73054</v>
      </c>
      <c r="N222" s="469">
        <f t="shared" si="66"/>
        <v>163071</v>
      </c>
      <c r="O222" s="467">
        <v>91021</v>
      </c>
      <c r="P222" s="467">
        <v>93122</v>
      </c>
      <c r="Q222" s="241">
        <v>67870</v>
      </c>
      <c r="R222" s="467">
        <v>60908</v>
      </c>
      <c r="S222" s="521">
        <f t="shared" si="70"/>
        <v>128778</v>
      </c>
      <c r="T222" s="467">
        <v>76921</v>
      </c>
      <c r="U222" s="467">
        <v>53571</v>
      </c>
      <c r="V222" s="241">
        <v>60160</v>
      </c>
      <c r="W222" s="467">
        <v>54642</v>
      </c>
      <c r="X222" s="449">
        <f t="shared" si="67"/>
        <v>114802</v>
      </c>
      <c r="Y222" s="467">
        <v>73266</v>
      </c>
      <c r="Z222" s="467">
        <v>58297</v>
      </c>
      <c r="AA222" s="241">
        <v>72313</v>
      </c>
      <c r="AB222" s="467">
        <v>63910</v>
      </c>
      <c r="AC222" s="449">
        <f t="shared" si="68"/>
        <v>136223</v>
      </c>
      <c r="AD222" s="467">
        <v>75521</v>
      </c>
      <c r="AE222" s="467">
        <v>71621</v>
      </c>
      <c r="AF222" s="467">
        <v>62059</v>
      </c>
      <c r="AG222" s="265">
        <f t="shared" si="74"/>
        <v>1.2642109916015913</v>
      </c>
      <c r="AH222" s="515">
        <f t="shared" si="75"/>
        <v>1.400325080449202</v>
      </c>
      <c r="AI222" s="515">
        <f t="shared" si="76"/>
        <v>1.3285887341005451</v>
      </c>
      <c r="AJ222" s="515">
        <f t="shared" si="77"/>
        <v>0.98703865004355118</v>
      </c>
      <c r="AK222" s="187">
        <f t="shared" si="78"/>
        <v>1.5085774019525489</v>
      </c>
      <c r="AL222" s="266">
        <f t="shared" si="79"/>
        <v>1.0491247290272954</v>
      </c>
      <c r="AM222" s="516">
        <f t="shared" si="80"/>
        <v>0.85652647993340447</v>
      </c>
      <c r="AN222" s="516">
        <f t="shared" si="81"/>
        <v>0.95311321912643998</v>
      </c>
      <c r="AO222" s="516">
        <f t="shared" si="82"/>
        <v>1.1988435804225277</v>
      </c>
      <c r="AP222" s="267">
        <f t="shared" si="83"/>
        <v>1.1522718273609187</v>
      </c>
      <c r="AQ222" s="268">
        <f t="shared" si="84"/>
        <v>0.25925509916074813</v>
      </c>
      <c r="AR222" s="450">
        <f t="shared" si="85"/>
        <v>0.21040050228389409</v>
      </c>
      <c r="AS222" s="450">
        <f t="shared" si="86"/>
        <v>0.46965560144464219</v>
      </c>
      <c r="AT222" s="450">
        <f t="shared" si="87"/>
        <v>0.26214668763356314</v>
      </c>
      <c r="AU222" s="269">
        <f t="shared" si="88"/>
        <v>0.26819771092179462</v>
      </c>
    </row>
    <row r="223" spans="1:47" ht="16.350000000000001" customHeight="1">
      <c r="A223" s="175">
        <f t="shared" si="71"/>
        <v>2025</v>
      </c>
      <c r="B223" s="454" t="str">
        <f t="shared" si="72"/>
        <v>09</v>
      </c>
      <c r="C223" s="454" t="str">
        <f t="array" ref="C223">_xlfn.IFS(_xlfn.NUMBERVALUE(B223)&lt;=13,"Q1",AND(_xlfn.NUMBERVALUE(B223)&gt;13,_xlfn.NUMBERVALUE(B223)&lt;=26),"Q2", AND(_xlfn.NUMBERVALUE(B223)&gt;26,_xlfn.NUMBERVALUE(B223)&lt;=39),"Q3",_xlfn.NUMBERVALUE(B223)&gt;39,"Q4")</f>
        <v>Q1</v>
      </c>
      <c r="D223" s="448">
        <f t="shared" si="89"/>
        <v>45374</v>
      </c>
      <c r="E223" s="448">
        <f t="shared" si="73"/>
        <v>45380</v>
      </c>
      <c r="F223" s="97">
        <v>202409</v>
      </c>
      <c r="G223" s="241">
        <v>85598</v>
      </c>
      <c r="H223" s="467">
        <v>56003</v>
      </c>
      <c r="I223" s="521">
        <f t="shared" si="69"/>
        <v>141601</v>
      </c>
      <c r="J223" s="467">
        <v>98574</v>
      </c>
      <c r="K223" s="242">
        <v>78545</v>
      </c>
      <c r="L223" s="241">
        <v>75211</v>
      </c>
      <c r="M223" s="467">
        <v>97536</v>
      </c>
      <c r="N223" s="469">
        <f t="shared" si="66"/>
        <v>172747</v>
      </c>
      <c r="O223" s="467">
        <v>65348</v>
      </c>
      <c r="P223" s="467">
        <v>86924</v>
      </c>
      <c r="Q223" s="241">
        <v>92699</v>
      </c>
      <c r="R223" s="467">
        <v>71164</v>
      </c>
      <c r="S223" s="521">
        <f t="shared" si="70"/>
        <v>163863</v>
      </c>
      <c r="T223" s="467">
        <v>59626</v>
      </c>
      <c r="U223" s="467">
        <v>59481</v>
      </c>
      <c r="V223" s="241">
        <v>64007</v>
      </c>
      <c r="W223" s="467">
        <v>78982</v>
      </c>
      <c r="X223" s="449">
        <f t="shared" si="67"/>
        <v>142989</v>
      </c>
      <c r="Y223" s="467">
        <v>52393</v>
      </c>
      <c r="Z223" s="467">
        <v>71104</v>
      </c>
      <c r="AA223" s="241">
        <v>97855</v>
      </c>
      <c r="AB223" s="467">
        <v>56430</v>
      </c>
      <c r="AC223" s="449">
        <f t="shared" si="68"/>
        <v>154285</v>
      </c>
      <c r="AD223" s="467">
        <v>70510</v>
      </c>
      <c r="AE223" s="467">
        <v>67822</v>
      </c>
      <c r="AF223" s="467">
        <v>81450</v>
      </c>
      <c r="AG223" s="265">
        <f t="shared" si="74"/>
        <v>0.92339723190109924</v>
      </c>
      <c r="AH223" s="515">
        <f t="shared" si="75"/>
        <v>0.78695688831431621</v>
      </c>
      <c r="AI223" s="515">
        <f t="shared" si="76"/>
        <v>0.86414260693384104</v>
      </c>
      <c r="AJ223" s="515">
        <f t="shared" si="77"/>
        <v>1.6532049776942945</v>
      </c>
      <c r="AK223" s="187">
        <f t="shared" si="78"/>
        <v>1.3205057077049813</v>
      </c>
      <c r="AL223" s="266">
        <f t="shared" si="79"/>
        <v>0.87865370686230981</v>
      </c>
      <c r="AM223" s="516">
        <f t="shared" si="80"/>
        <v>1.7416209845901112</v>
      </c>
      <c r="AN223" s="516">
        <f t="shared" si="81"/>
        <v>1.2199560737565414</v>
      </c>
      <c r="AO223" s="516">
        <f t="shared" si="82"/>
        <v>0.66293343072209709</v>
      </c>
      <c r="AP223" s="267">
        <f t="shared" si="83"/>
        <v>1.1066777006811381</v>
      </c>
      <c r="AQ223" s="268">
        <f t="shared" si="84"/>
        <v>0.23140493325005615</v>
      </c>
      <c r="AR223" s="450">
        <f t="shared" si="85"/>
        <v>0.30009322531913518</v>
      </c>
      <c r="AS223" s="450">
        <f t="shared" si="86"/>
        <v>0.53149815856919136</v>
      </c>
      <c r="AT223" s="450">
        <f t="shared" si="87"/>
        <v>0.20105901501143011</v>
      </c>
      <c r="AU223" s="269">
        <f t="shared" si="88"/>
        <v>0.26744282641937855</v>
      </c>
    </row>
    <row r="224" spans="1:47" ht="16.350000000000001" customHeight="1">
      <c r="A224" s="175">
        <f t="shared" si="71"/>
        <v>2025</v>
      </c>
      <c r="B224" s="454" t="str">
        <f t="shared" si="72"/>
        <v>10</v>
      </c>
      <c r="C224" s="454" t="str">
        <f t="array" ref="C224">_xlfn.IFS(_xlfn.NUMBERVALUE(B224)&lt;=13,"Q1",AND(_xlfn.NUMBERVALUE(B224)&gt;13,_xlfn.NUMBERVALUE(B224)&lt;=26),"Q2", AND(_xlfn.NUMBERVALUE(B224)&gt;26,_xlfn.NUMBERVALUE(B224)&lt;=39),"Q3",_xlfn.NUMBERVALUE(B224)&gt;39,"Q4")</f>
        <v>Q1</v>
      </c>
      <c r="D224" s="448">
        <f t="shared" si="89"/>
        <v>45381</v>
      </c>
      <c r="E224" s="448">
        <f t="shared" si="73"/>
        <v>45387</v>
      </c>
      <c r="F224" s="97">
        <v>202410</v>
      </c>
      <c r="G224" s="241">
        <v>99324</v>
      </c>
      <c r="H224" s="467">
        <v>98326</v>
      </c>
      <c r="I224" s="521">
        <f t="shared" si="69"/>
        <v>197650</v>
      </c>
      <c r="J224" s="467">
        <v>86125</v>
      </c>
      <c r="K224" s="242">
        <v>66075</v>
      </c>
      <c r="L224" s="241">
        <v>87132</v>
      </c>
      <c r="M224" s="467">
        <v>78776</v>
      </c>
      <c r="N224" s="469">
        <f t="shared" si="66"/>
        <v>165908</v>
      </c>
      <c r="O224" s="467">
        <v>92842</v>
      </c>
      <c r="P224" s="467">
        <v>71007</v>
      </c>
      <c r="Q224" s="241">
        <v>91448</v>
      </c>
      <c r="R224" s="467">
        <v>79382</v>
      </c>
      <c r="S224" s="521">
        <f t="shared" si="70"/>
        <v>170830</v>
      </c>
      <c r="T224" s="467">
        <v>62473</v>
      </c>
      <c r="U224" s="467">
        <v>88734</v>
      </c>
      <c r="V224" s="241">
        <v>52178</v>
      </c>
      <c r="W224" s="467">
        <v>85603</v>
      </c>
      <c r="X224" s="449">
        <f t="shared" si="67"/>
        <v>137781</v>
      </c>
      <c r="Y224" s="467">
        <v>76303</v>
      </c>
      <c r="Z224" s="467">
        <v>67505</v>
      </c>
      <c r="AA224" s="241">
        <v>68868</v>
      </c>
      <c r="AB224" s="467">
        <v>98720</v>
      </c>
      <c r="AC224" s="449">
        <f t="shared" si="68"/>
        <v>167588</v>
      </c>
      <c r="AD224" s="467">
        <v>98956</v>
      </c>
      <c r="AE224" s="467">
        <v>59177</v>
      </c>
      <c r="AF224" s="467">
        <v>83733</v>
      </c>
      <c r="AG224" s="265">
        <f t="shared" si="74"/>
        <v>1.0861254483422274</v>
      </c>
      <c r="AH224" s="515">
        <f t="shared" si="75"/>
        <v>1.2386435212012799</v>
      </c>
      <c r="AI224" s="515">
        <f t="shared" si="76"/>
        <v>1.1569981853304454</v>
      </c>
      <c r="AJ224" s="515">
        <f t="shared" si="77"/>
        <v>1.3785955532790166</v>
      </c>
      <c r="AK224" s="187">
        <f t="shared" si="78"/>
        <v>0.7446412874433701</v>
      </c>
      <c r="AL224" s="266">
        <f t="shared" si="79"/>
        <v>0.87725021142926185</v>
      </c>
      <c r="AM224" s="516">
        <f t="shared" si="80"/>
        <v>0.80117161279824256</v>
      </c>
      <c r="AN224" s="516">
        <f t="shared" si="81"/>
        <v>0.83940298507462685</v>
      </c>
      <c r="AO224" s="516">
        <f t="shared" si="82"/>
        <v>1.0779912917271408</v>
      </c>
      <c r="AP224" s="267">
        <f t="shared" si="83"/>
        <v>1.0746424517593645</v>
      </c>
      <c r="AQ224" s="268">
        <f t="shared" si="84"/>
        <v>0.26423093368753353</v>
      </c>
      <c r="AR224" s="450">
        <f t="shared" si="85"/>
        <v>0.2388910622064126</v>
      </c>
      <c r="AS224" s="450">
        <f t="shared" si="86"/>
        <v>0.50312199589394613</v>
      </c>
      <c r="AT224" s="450">
        <f t="shared" si="87"/>
        <v>0.28154671470203818</v>
      </c>
      <c r="AU224" s="269">
        <f t="shared" si="88"/>
        <v>0.21533128940401569</v>
      </c>
    </row>
    <row r="225" spans="1:47" ht="16.350000000000001" customHeight="1">
      <c r="A225" s="175">
        <f t="shared" si="71"/>
        <v>2025</v>
      </c>
      <c r="B225" s="454" t="str">
        <f t="shared" si="72"/>
        <v>11</v>
      </c>
      <c r="C225" s="454" t="str">
        <f t="array" ref="C225">_xlfn.IFS(_xlfn.NUMBERVALUE(B225)&lt;=13,"Q1",AND(_xlfn.NUMBERVALUE(B225)&gt;13,_xlfn.NUMBERVALUE(B225)&lt;=26),"Q2", AND(_xlfn.NUMBERVALUE(B225)&gt;26,_xlfn.NUMBERVALUE(B225)&lt;=39),"Q3",_xlfn.NUMBERVALUE(B225)&gt;39,"Q4")</f>
        <v>Q1</v>
      </c>
      <c r="D225" s="448">
        <f t="shared" si="89"/>
        <v>45388</v>
      </c>
      <c r="E225" s="448">
        <f t="shared" si="73"/>
        <v>45394</v>
      </c>
      <c r="F225" s="97">
        <v>202411</v>
      </c>
      <c r="G225" s="241">
        <v>90702</v>
      </c>
      <c r="H225" s="467">
        <v>86544</v>
      </c>
      <c r="I225" s="521">
        <f t="shared" si="69"/>
        <v>177246</v>
      </c>
      <c r="J225" s="467">
        <v>55768</v>
      </c>
      <c r="K225" s="242">
        <v>77606</v>
      </c>
      <c r="L225" s="241">
        <v>61059</v>
      </c>
      <c r="M225" s="467">
        <v>90631</v>
      </c>
      <c r="N225" s="469">
        <f t="shared" si="66"/>
        <v>151690</v>
      </c>
      <c r="O225" s="467">
        <v>50401</v>
      </c>
      <c r="P225" s="467">
        <v>75049</v>
      </c>
      <c r="Q225" s="241">
        <v>81374</v>
      </c>
      <c r="R225" s="467">
        <v>52851</v>
      </c>
      <c r="S225" s="521">
        <f t="shared" si="70"/>
        <v>134225</v>
      </c>
      <c r="T225" s="467">
        <v>62856</v>
      </c>
      <c r="U225" s="467">
        <v>53932</v>
      </c>
      <c r="V225" s="241">
        <v>80358</v>
      </c>
      <c r="W225" s="467">
        <v>89024</v>
      </c>
      <c r="X225" s="449">
        <f t="shared" si="67"/>
        <v>169382</v>
      </c>
      <c r="Y225" s="467">
        <v>70752</v>
      </c>
      <c r="Z225" s="467">
        <v>97510</v>
      </c>
      <c r="AA225" s="241">
        <v>69751</v>
      </c>
      <c r="AB225" s="467">
        <v>53791</v>
      </c>
      <c r="AC225" s="449">
        <f t="shared" si="68"/>
        <v>123542</v>
      </c>
      <c r="AD225" s="467">
        <v>64857</v>
      </c>
      <c r="AE225" s="467">
        <v>80188</v>
      </c>
      <c r="AF225" s="467">
        <v>79187</v>
      </c>
      <c r="AG225" s="265">
        <f t="shared" si="74"/>
        <v>1.1146312089856711</v>
      </c>
      <c r="AH225" s="515">
        <f t="shared" si="75"/>
        <v>1.6375092240449565</v>
      </c>
      <c r="AI225" s="515">
        <f t="shared" si="76"/>
        <v>1.3205140622089775</v>
      </c>
      <c r="AJ225" s="515">
        <f t="shared" si="77"/>
        <v>0.88723431335115188</v>
      </c>
      <c r="AK225" s="187">
        <f t="shared" si="78"/>
        <v>1.4389601720685308</v>
      </c>
      <c r="AL225" s="266">
        <f t="shared" si="79"/>
        <v>0.67318250975722693</v>
      </c>
      <c r="AM225" s="516">
        <f t="shared" si="80"/>
        <v>1.0472245331854317</v>
      </c>
      <c r="AN225" s="516">
        <f t="shared" si="81"/>
        <v>0.855816210238877</v>
      </c>
      <c r="AO225" s="516">
        <f t="shared" si="82"/>
        <v>0.9037620140582413</v>
      </c>
      <c r="AP225" s="267">
        <f t="shared" si="83"/>
        <v>0.96705151663531175</v>
      </c>
      <c r="AQ225" s="268">
        <f t="shared" si="84"/>
        <v>0.22031825070361549</v>
      </c>
      <c r="AR225" s="450">
        <f t="shared" si="85"/>
        <v>0.32702244353034565</v>
      </c>
      <c r="AS225" s="450">
        <f t="shared" si="86"/>
        <v>0.54734069423396114</v>
      </c>
      <c r="AT225" s="450">
        <f t="shared" si="87"/>
        <v>0.18186115320776503</v>
      </c>
      <c r="AU225" s="269">
        <f t="shared" si="88"/>
        <v>0.27079815255827377</v>
      </c>
    </row>
    <row r="226" spans="1:47" ht="16.350000000000001" customHeight="1">
      <c r="A226" s="175">
        <f t="shared" si="71"/>
        <v>2025</v>
      </c>
      <c r="B226" s="454" t="str">
        <f t="shared" si="72"/>
        <v>12</v>
      </c>
      <c r="C226" s="454" t="str">
        <f t="array" ref="C226">_xlfn.IFS(_xlfn.NUMBERVALUE(B226)&lt;=13,"Q1",AND(_xlfn.NUMBERVALUE(B226)&gt;13,_xlfn.NUMBERVALUE(B226)&lt;=26),"Q2", AND(_xlfn.NUMBERVALUE(B226)&gt;26,_xlfn.NUMBERVALUE(B226)&lt;=39),"Q3",_xlfn.NUMBERVALUE(B226)&gt;39,"Q4")</f>
        <v>Q1</v>
      </c>
      <c r="D226" s="448">
        <f t="shared" si="89"/>
        <v>45395</v>
      </c>
      <c r="E226" s="448">
        <f t="shared" si="73"/>
        <v>45401</v>
      </c>
      <c r="F226" s="97">
        <v>202412</v>
      </c>
      <c r="G226" s="241">
        <v>94846</v>
      </c>
      <c r="H226" s="467">
        <v>65407</v>
      </c>
      <c r="I226" s="521">
        <f t="shared" ref="I226:I257" si="90">SUM(G226:H226)</f>
        <v>160253</v>
      </c>
      <c r="J226" s="467">
        <v>83124</v>
      </c>
      <c r="K226" s="242">
        <v>78413</v>
      </c>
      <c r="L226" s="241">
        <v>74400</v>
      </c>
      <c r="M226" s="467">
        <v>83945</v>
      </c>
      <c r="N226" s="469">
        <f t="shared" si="66"/>
        <v>158345</v>
      </c>
      <c r="O226" s="467">
        <v>51841</v>
      </c>
      <c r="P226" s="467">
        <v>97057</v>
      </c>
      <c r="Q226" s="241">
        <v>68050</v>
      </c>
      <c r="R226" s="467">
        <v>77867</v>
      </c>
      <c r="S226" s="521">
        <f t="shared" ref="S226:S257" si="91">SUM(Q226:R226)</f>
        <v>145917</v>
      </c>
      <c r="T226" s="467">
        <v>94213</v>
      </c>
      <c r="U226" s="467">
        <v>87267</v>
      </c>
      <c r="V226" s="241">
        <v>58156</v>
      </c>
      <c r="W226" s="467">
        <v>77201</v>
      </c>
      <c r="X226" s="449">
        <f t="shared" si="67"/>
        <v>135357</v>
      </c>
      <c r="Y226" s="467">
        <v>50432</v>
      </c>
      <c r="Z226" s="467">
        <v>99413</v>
      </c>
      <c r="AA226" s="241">
        <v>68534</v>
      </c>
      <c r="AB226" s="467">
        <v>91314</v>
      </c>
      <c r="AC226" s="449">
        <f t="shared" si="68"/>
        <v>159848</v>
      </c>
      <c r="AD226" s="467">
        <v>98868</v>
      </c>
      <c r="AE226" s="467">
        <v>74197</v>
      </c>
      <c r="AF226" s="467">
        <v>59522</v>
      </c>
      <c r="AG226" s="265">
        <f t="shared" si="74"/>
        <v>1.3937692872887584</v>
      </c>
      <c r="AH226" s="515">
        <f t="shared" si="75"/>
        <v>0.83998356171420496</v>
      </c>
      <c r="AI226" s="515">
        <f t="shared" si="76"/>
        <v>1.0982476339288774</v>
      </c>
      <c r="AJ226" s="515">
        <f t="shared" si="77"/>
        <v>0.88229862120938729</v>
      </c>
      <c r="AK226" s="187">
        <f t="shared" si="78"/>
        <v>0.89854125843675159</v>
      </c>
      <c r="AL226" s="266">
        <f t="shared" si="79"/>
        <v>0.78442949623600366</v>
      </c>
      <c r="AM226" s="516">
        <f t="shared" si="80"/>
        <v>1.2834253214487745</v>
      </c>
      <c r="AN226" s="516">
        <f t="shared" si="81"/>
        <v>0.98809382663663081</v>
      </c>
      <c r="AO226" s="516">
        <f t="shared" si="82"/>
        <v>0.62365863047976522</v>
      </c>
      <c r="AP226" s="267">
        <f t="shared" si="83"/>
        <v>1.2377666968487369</v>
      </c>
      <c r="AQ226" s="268">
        <f t="shared" si="84"/>
        <v>0.24215360480141127</v>
      </c>
      <c r="AR226" s="450">
        <f t="shared" si="85"/>
        <v>0.27322021982600092</v>
      </c>
      <c r="AS226" s="450">
        <f t="shared" si="86"/>
        <v>0.51537382462741221</v>
      </c>
      <c r="AT226" s="450">
        <f t="shared" si="87"/>
        <v>0.16872963745309089</v>
      </c>
      <c r="AU226" s="269">
        <f t="shared" si="88"/>
        <v>0.31589653791949696</v>
      </c>
    </row>
    <row r="227" spans="1:47" ht="16.350000000000001" customHeight="1">
      <c r="A227" s="175">
        <f t="shared" si="71"/>
        <v>2025</v>
      </c>
      <c r="B227" s="454" t="str">
        <f t="shared" si="72"/>
        <v>13</v>
      </c>
      <c r="C227" s="454" t="str">
        <f t="array" ref="C227">_xlfn.IFS(_xlfn.NUMBERVALUE(B227)&lt;=13,"Q1",AND(_xlfn.NUMBERVALUE(B227)&gt;13,_xlfn.NUMBERVALUE(B227)&lt;=26),"Q2", AND(_xlfn.NUMBERVALUE(B227)&gt;26,_xlfn.NUMBERVALUE(B227)&lt;=39),"Q3",_xlfn.NUMBERVALUE(B227)&gt;39,"Q4")</f>
        <v>Q1</v>
      </c>
      <c r="D227" s="448">
        <f t="shared" si="89"/>
        <v>45402</v>
      </c>
      <c r="E227" s="448">
        <f t="shared" si="73"/>
        <v>45408</v>
      </c>
      <c r="F227" s="97">
        <v>202413</v>
      </c>
      <c r="G227" s="241">
        <v>93744</v>
      </c>
      <c r="H227" s="467">
        <v>95462</v>
      </c>
      <c r="I227" s="521">
        <f t="shared" si="90"/>
        <v>189206</v>
      </c>
      <c r="J227" s="467">
        <v>94250</v>
      </c>
      <c r="K227" s="242">
        <v>58986</v>
      </c>
      <c r="L227" s="241">
        <v>75803</v>
      </c>
      <c r="M227" s="467">
        <v>91658</v>
      </c>
      <c r="N227" s="469">
        <f t="shared" si="66"/>
        <v>167461</v>
      </c>
      <c r="O227" s="467">
        <v>95628</v>
      </c>
      <c r="P227" s="467">
        <v>83265</v>
      </c>
      <c r="Q227" s="241">
        <v>85922</v>
      </c>
      <c r="R227" s="467">
        <v>73130</v>
      </c>
      <c r="S227" s="521">
        <f t="shared" si="91"/>
        <v>159052</v>
      </c>
      <c r="T227" s="467">
        <v>92520</v>
      </c>
      <c r="U227" s="467">
        <v>84455</v>
      </c>
      <c r="V227" s="241">
        <v>98749</v>
      </c>
      <c r="W227" s="467">
        <v>78952</v>
      </c>
      <c r="X227" s="449">
        <f t="shared" si="67"/>
        <v>177701</v>
      </c>
      <c r="Y227" s="467">
        <v>65596</v>
      </c>
      <c r="Z227" s="467">
        <v>94837</v>
      </c>
      <c r="AA227" s="241">
        <v>56395</v>
      </c>
      <c r="AB227" s="467">
        <v>84250</v>
      </c>
      <c r="AC227" s="449">
        <f t="shared" si="68"/>
        <v>140645</v>
      </c>
      <c r="AD227" s="467">
        <v>64698</v>
      </c>
      <c r="AE227" s="467">
        <v>63213</v>
      </c>
      <c r="AF227" s="467">
        <v>76825</v>
      </c>
      <c r="AG227" s="265">
        <f t="shared" si="74"/>
        <v>1.091036055957729</v>
      </c>
      <c r="AH227" s="515">
        <f t="shared" si="75"/>
        <v>1.3053739915219471</v>
      </c>
      <c r="AI227" s="515">
        <f t="shared" si="76"/>
        <v>1.1895857958403542</v>
      </c>
      <c r="AJ227" s="515">
        <f t="shared" si="77"/>
        <v>1.0186986597492433</v>
      </c>
      <c r="AK227" s="187">
        <f t="shared" si="78"/>
        <v>0.69843111716298623</v>
      </c>
      <c r="AL227" s="266">
        <f t="shared" si="79"/>
        <v>0.8086170848267622</v>
      </c>
      <c r="AM227" s="516">
        <f t="shared" si="80"/>
        <v>0.96015168339234458</v>
      </c>
      <c r="AN227" s="516">
        <f t="shared" si="81"/>
        <v>0.88507235499931292</v>
      </c>
      <c r="AO227" s="516">
        <f t="shared" si="82"/>
        <v>1.0146206896551724</v>
      </c>
      <c r="AP227" s="267">
        <f t="shared" si="83"/>
        <v>1.4116061438307395</v>
      </c>
      <c r="AQ227" s="268">
        <f t="shared" si="84"/>
        <v>0.21885989478972381</v>
      </c>
      <c r="AR227" s="450">
        <f t="shared" si="85"/>
        <v>0.26463675892295169</v>
      </c>
      <c r="AS227" s="450">
        <f t="shared" si="86"/>
        <v>0.48349665371267547</v>
      </c>
      <c r="AT227" s="450">
        <f t="shared" si="87"/>
        <v>0.27609902007772397</v>
      </c>
      <c r="AU227" s="269">
        <f t="shared" si="88"/>
        <v>0.24040432620960059</v>
      </c>
    </row>
    <row r="228" spans="1:47" ht="16.350000000000001" customHeight="1">
      <c r="A228" s="175">
        <f t="shared" si="71"/>
        <v>2025</v>
      </c>
      <c r="B228" s="454" t="str">
        <f t="shared" si="72"/>
        <v>14</v>
      </c>
      <c r="C228" s="454" t="str">
        <f t="array" ref="C228">_xlfn.IFS(_xlfn.NUMBERVALUE(B228)&lt;=13,"Q1",AND(_xlfn.NUMBERVALUE(B228)&gt;13,_xlfn.NUMBERVALUE(B228)&lt;=26),"Q2", AND(_xlfn.NUMBERVALUE(B228)&gt;26,_xlfn.NUMBERVALUE(B228)&lt;=39),"Q3",_xlfn.NUMBERVALUE(B228)&gt;39,"Q4")</f>
        <v>Q2</v>
      </c>
      <c r="D228" s="448">
        <f t="shared" si="89"/>
        <v>45409</v>
      </c>
      <c r="E228" s="448">
        <f t="shared" si="73"/>
        <v>45415</v>
      </c>
      <c r="F228" s="97">
        <v>202414</v>
      </c>
      <c r="G228" s="241">
        <v>87061</v>
      </c>
      <c r="H228" s="467">
        <v>56728</v>
      </c>
      <c r="I228" s="521">
        <f t="shared" si="90"/>
        <v>143789</v>
      </c>
      <c r="J228" s="467">
        <v>87285</v>
      </c>
      <c r="K228" s="242">
        <v>90660</v>
      </c>
      <c r="L228" s="241">
        <v>95229</v>
      </c>
      <c r="M228" s="467">
        <v>97450</v>
      </c>
      <c r="N228" s="469">
        <f t="shared" si="66"/>
        <v>192679</v>
      </c>
      <c r="O228" s="467">
        <v>59535</v>
      </c>
      <c r="P228" s="467">
        <v>99498</v>
      </c>
      <c r="Q228" s="241">
        <v>78229</v>
      </c>
      <c r="R228" s="467">
        <v>91622</v>
      </c>
      <c r="S228" s="521">
        <f t="shared" si="91"/>
        <v>169851</v>
      </c>
      <c r="T228" s="467">
        <v>96793</v>
      </c>
      <c r="U228" s="467">
        <v>61886</v>
      </c>
      <c r="V228" s="241">
        <v>69433</v>
      </c>
      <c r="W228" s="467">
        <v>83494</v>
      </c>
      <c r="X228" s="449">
        <f t="shared" si="67"/>
        <v>152927</v>
      </c>
      <c r="Y228" s="467">
        <v>81031</v>
      </c>
      <c r="Z228" s="467">
        <v>56591</v>
      </c>
      <c r="AA228" s="241">
        <v>91631</v>
      </c>
      <c r="AB228" s="467">
        <v>84230</v>
      </c>
      <c r="AC228" s="449">
        <f t="shared" si="68"/>
        <v>175861</v>
      </c>
      <c r="AD228" s="467">
        <v>71236</v>
      </c>
      <c r="AE228" s="467">
        <v>95101</v>
      </c>
      <c r="AF228" s="467">
        <v>73016</v>
      </c>
      <c r="AG228" s="265">
        <f t="shared" si="74"/>
        <v>1.1128993084406038</v>
      </c>
      <c r="AH228" s="515">
        <f t="shared" si="75"/>
        <v>0.6191526052694768</v>
      </c>
      <c r="AI228" s="515">
        <f t="shared" si="76"/>
        <v>0.84655963167717585</v>
      </c>
      <c r="AJ228" s="515">
        <f t="shared" si="77"/>
        <v>0.90176975607740228</v>
      </c>
      <c r="AK228" s="187">
        <f t="shared" si="78"/>
        <v>1.4649516853569466</v>
      </c>
      <c r="AL228" s="266">
        <f t="shared" si="79"/>
        <v>1.0938192761397181</v>
      </c>
      <c r="AM228" s="516">
        <f t="shared" si="80"/>
        <v>1.7178465660696658</v>
      </c>
      <c r="AN228" s="516">
        <f t="shared" si="81"/>
        <v>1.3400121010647545</v>
      </c>
      <c r="AO228" s="516">
        <f t="shared" si="82"/>
        <v>0.6820759580683966</v>
      </c>
      <c r="AP228" s="267">
        <f t="shared" si="83"/>
        <v>1.0974851091992057</v>
      </c>
      <c r="AQ228" s="268">
        <f t="shared" si="84"/>
        <v>0.27075846146847421</v>
      </c>
      <c r="AR228" s="450">
        <f t="shared" si="85"/>
        <v>0.27707328723501046</v>
      </c>
      <c r="AS228" s="450">
        <f t="shared" si="86"/>
        <v>0.54783174870348472</v>
      </c>
      <c r="AT228" s="450">
        <f t="shared" si="87"/>
        <v>0.16927201801473934</v>
      </c>
      <c r="AU228" s="269">
        <f t="shared" si="88"/>
        <v>0.28289623328177599</v>
      </c>
    </row>
    <row r="229" spans="1:47" ht="16.350000000000001" customHeight="1">
      <c r="A229" s="175">
        <f t="shared" si="71"/>
        <v>2025</v>
      </c>
      <c r="B229" s="454" t="str">
        <f t="shared" si="72"/>
        <v>15</v>
      </c>
      <c r="C229" s="454" t="str">
        <f t="array" ref="C229">_xlfn.IFS(_xlfn.NUMBERVALUE(B229)&lt;=13,"Q1",AND(_xlfn.NUMBERVALUE(B229)&gt;13,_xlfn.NUMBERVALUE(B229)&lt;=26),"Q2", AND(_xlfn.NUMBERVALUE(B229)&gt;26,_xlfn.NUMBERVALUE(B229)&lt;=39),"Q3",_xlfn.NUMBERVALUE(B229)&gt;39,"Q4")</f>
        <v>Q2</v>
      </c>
      <c r="D229" s="448">
        <f t="shared" si="89"/>
        <v>45416</v>
      </c>
      <c r="E229" s="448">
        <f t="shared" si="73"/>
        <v>45422</v>
      </c>
      <c r="F229" s="97">
        <v>202415</v>
      </c>
      <c r="G229" s="241">
        <v>92706</v>
      </c>
      <c r="H229" s="467">
        <v>81988</v>
      </c>
      <c r="I229" s="521">
        <f t="shared" si="90"/>
        <v>174694</v>
      </c>
      <c r="J229" s="467">
        <v>63518</v>
      </c>
      <c r="K229" s="242">
        <v>87451</v>
      </c>
      <c r="L229" s="241">
        <v>85967</v>
      </c>
      <c r="M229" s="467">
        <v>72337</v>
      </c>
      <c r="N229" s="469">
        <f t="shared" si="66"/>
        <v>158304</v>
      </c>
      <c r="O229" s="467">
        <v>72580</v>
      </c>
      <c r="P229" s="467">
        <v>59383</v>
      </c>
      <c r="Q229" s="241">
        <v>78830</v>
      </c>
      <c r="R229" s="467">
        <v>59396</v>
      </c>
      <c r="S229" s="521">
        <f t="shared" si="91"/>
        <v>138226</v>
      </c>
      <c r="T229" s="467">
        <v>65834</v>
      </c>
      <c r="U229" s="467">
        <v>67396</v>
      </c>
      <c r="V229" s="241">
        <v>99208</v>
      </c>
      <c r="W229" s="467">
        <v>67603</v>
      </c>
      <c r="X229" s="449">
        <f t="shared" si="67"/>
        <v>166811</v>
      </c>
      <c r="Y229" s="467">
        <v>67771</v>
      </c>
      <c r="Z229" s="467">
        <v>97375</v>
      </c>
      <c r="AA229" s="241">
        <v>97359</v>
      </c>
      <c r="AB229" s="467">
        <v>99454</v>
      </c>
      <c r="AC229" s="449">
        <f t="shared" si="68"/>
        <v>196813</v>
      </c>
      <c r="AD229" s="467">
        <v>56977</v>
      </c>
      <c r="AE229" s="467">
        <v>60972</v>
      </c>
      <c r="AF229" s="467">
        <v>84968</v>
      </c>
      <c r="AG229" s="265">
        <f t="shared" si="74"/>
        <v>1.1760243562095649</v>
      </c>
      <c r="AH229" s="515">
        <f t="shared" si="75"/>
        <v>1.3803623139605361</v>
      </c>
      <c r="AI229" s="515">
        <f t="shared" si="76"/>
        <v>1.2638288021066948</v>
      </c>
      <c r="AJ229" s="515">
        <f t="shared" si="77"/>
        <v>0.96482060941155023</v>
      </c>
      <c r="AK229" s="187">
        <f t="shared" si="78"/>
        <v>1.2975695886996261</v>
      </c>
      <c r="AL229" s="266">
        <f t="shared" si="79"/>
        <v>0.92730783336569367</v>
      </c>
      <c r="AM229" s="516">
        <f t="shared" si="80"/>
        <v>0.8822876518514905</v>
      </c>
      <c r="AN229" s="516">
        <f t="shared" si="81"/>
        <v>0.90617880408027751</v>
      </c>
      <c r="AO229" s="516">
        <f t="shared" si="82"/>
        <v>1.142668220032117</v>
      </c>
      <c r="AP229" s="267">
        <f t="shared" si="83"/>
        <v>0.67904312129077993</v>
      </c>
      <c r="AQ229" s="268">
        <f t="shared" si="84"/>
        <v>0.29616525474821459</v>
      </c>
      <c r="AR229" s="450">
        <f t="shared" si="85"/>
        <v>0.2492084873581909</v>
      </c>
      <c r="AS229" s="450">
        <f t="shared" si="86"/>
        <v>0.54537374210640543</v>
      </c>
      <c r="AT229" s="450">
        <f t="shared" si="87"/>
        <v>0.25004564762787362</v>
      </c>
      <c r="AU229" s="269">
        <f t="shared" si="88"/>
        <v>0.20458061026572086</v>
      </c>
    </row>
    <row r="230" spans="1:47" ht="15" customHeight="1">
      <c r="A230" s="175">
        <f t="shared" si="71"/>
        <v>2025</v>
      </c>
      <c r="B230" s="454" t="str">
        <f t="shared" si="72"/>
        <v>16</v>
      </c>
      <c r="C230" s="454" t="str">
        <f t="array" ref="C230">_xlfn.IFS(_xlfn.NUMBERVALUE(B230)&lt;=13,"Q1",AND(_xlfn.NUMBERVALUE(B230)&gt;13,_xlfn.NUMBERVALUE(B230)&lt;=26),"Q2", AND(_xlfn.NUMBERVALUE(B230)&gt;26,_xlfn.NUMBERVALUE(B230)&lt;=39),"Q3",_xlfn.NUMBERVALUE(B230)&gt;39,"Q4")</f>
        <v>Q2</v>
      </c>
      <c r="D230" s="448">
        <f t="shared" si="89"/>
        <v>45423</v>
      </c>
      <c r="E230" s="448">
        <f t="shared" si="73"/>
        <v>45429</v>
      </c>
      <c r="F230" s="97">
        <v>202416</v>
      </c>
      <c r="G230" s="241">
        <v>80419</v>
      </c>
      <c r="H230" s="467">
        <v>89249</v>
      </c>
      <c r="I230" s="521">
        <f t="shared" si="90"/>
        <v>169668</v>
      </c>
      <c r="J230" s="467">
        <v>66992</v>
      </c>
      <c r="K230" s="242">
        <v>51985</v>
      </c>
      <c r="L230" s="241">
        <v>85063</v>
      </c>
      <c r="M230" s="467">
        <v>92283</v>
      </c>
      <c r="N230" s="469">
        <f t="shared" si="66"/>
        <v>177346</v>
      </c>
      <c r="O230" s="467">
        <v>87358</v>
      </c>
      <c r="P230" s="467">
        <v>99390</v>
      </c>
      <c r="Q230" s="241">
        <v>75611</v>
      </c>
      <c r="R230" s="467">
        <v>86670</v>
      </c>
      <c r="S230" s="521">
        <f t="shared" si="91"/>
        <v>162281</v>
      </c>
      <c r="T230" s="467">
        <v>70825</v>
      </c>
      <c r="U230" s="467">
        <v>60493</v>
      </c>
      <c r="V230" s="241">
        <v>53234</v>
      </c>
      <c r="W230" s="467">
        <v>54544</v>
      </c>
      <c r="X230" s="449">
        <f t="shared" si="67"/>
        <v>107778</v>
      </c>
      <c r="Y230" s="467">
        <v>66810</v>
      </c>
      <c r="Z230" s="467">
        <v>95968</v>
      </c>
      <c r="AA230" s="241">
        <v>55391</v>
      </c>
      <c r="AB230" s="467">
        <v>50047</v>
      </c>
      <c r="AC230" s="449">
        <f t="shared" si="68"/>
        <v>105438</v>
      </c>
      <c r="AD230" s="467">
        <v>58283</v>
      </c>
      <c r="AE230" s="467">
        <v>96796</v>
      </c>
      <c r="AF230" s="467">
        <v>93128</v>
      </c>
      <c r="AG230" s="265">
        <f t="shared" si="74"/>
        <v>1.0635886312838079</v>
      </c>
      <c r="AH230" s="515">
        <f t="shared" si="75"/>
        <v>1.0297565478250836</v>
      </c>
      <c r="AI230" s="515">
        <f t="shared" si="76"/>
        <v>1.0455198082338659</v>
      </c>
      <c r="AJ230" s="515">
        <f t="shared" si="77"/>
        <v>0.94588069184609957</v>
      </c>
      <c r="AK230" s="187">
        <f t="shared" si="78"/>
        <v>0.85935562792389197</v>
      </c>
      <c r="AL230" s="266">
        <f t="shared" si="79"/>
        <v>1.0577475472214277</v>
      </c>
      <c r="AM230" s="516">
        <f t="shared" si="80"/>
        <v>1.0339947786529822</v>
      </c>
      <c r="AN230" s="516">
        <f t="shared" si="81"/>
        <v>1.0452530824905109</v>
      </c>
      <c r="AO230" s="516">
        <f t="shared" si="82"/>
        <v>1.304006448531168</v>
      </c>
      <c r="AP230" s="267">
        <f t="shared" si="83"/>
        <v>1.9118976627873425</v>
      </c>
      <c r="AQ230" s="268">
        <f t="shared" si="84"/>
        <v>0.23362922761704394</v>
      </c>
      <c r="AR230" s="450">
        <f t="shared" si="85"/>
        <v>0.25345927150680869</v>
      </c>
      <c r="AS230" s="450">
        <f t="shared" si="86"/>
        <v>0.48708849912385266</v>
      </c>
      <c r="AT230" s="450">
        <f t="shared" si="87"/>
        <v>0.2399325448922531</v>
      </c>
      <c r="AU230" s="269">
        <f t="shared" si="88"/>
        <v>0.27297895598389427</v>
      </c>
    </row>
    <row r="231" spans="1:47" ht="16.350000000000001" customHeight="1">
      <c r="A231" s="175">
        <f t="shared" si="71"/>
        <v>2025</v>
      </c>
      <c r="B231" s="454" t="str">
        <f t="shared" si="72"/>
        <v>17</v>
      </c>
      <c r="C231" s="454" t="str">
        <f t="array" ref="C231">_xlfn.IFS(_xlfn.NUMBERVALUE(B231)&lt;=13,"Q1",AND(_xlfn.NUMBERVALUE(B231)&gt;13,_xlfn.NUMBERVALUE(B231)&lt;=26),"Q2", AND(_xlfn.NUMBERVALUE(B231)&gt;26,_xlfn.NUMBERVALUE(B231)&lt;=39),"Q3",_xlfn.NUMBERVALUE(B231)&gt;39,"Q4")</f>
        <v>Q2</v>
      </c>
      <c r="D231" s="448">
        <f t="shared" si="89"/>
        <v>45430</v>
      </c>
      <c r="E231" s="448">
        <f t="shared" si="73"/>
        <v>45436</v>
      </c>
      <c r="F231" s="97">
        <v>202417</v>
      </c>
      <c r="G231" s="241">
        <v>63745</v>
      </c>
      <c r="H231" s="467">
        <v>92112</v>
      </c>
      <c r="I231" s="521">
        <f t="shared" si="90"/>
        <v>155857</v>
      </c>
      <c r="J231" s="467">
        <v>74367</v>
      </c>
      <c r="K231" s="242">
        <v>55355</v>
      </c>
      <c r="L231" s="241">
        <v>68132</v>
      </c>
      <c r="M231" s="467">
        <v>69027</v>
      </c>
      <c r="N231" s="469">
        <f t="shared" si="66"/>
        <v>137159</v>
      </c>
      <c r="O231" s="467">
        <v>50384</v>
      </c>
      <c r="P231" s="467">
        <v>58909</v>
      </c>
      <c r="Q231" s="241">
        <v>87325</v>
      </c>
      <c r="R231" s="467">
        <v>88335</v>
      </c>
      <c r="S231" s="521">
        <f t="shared" si="91"/>
        <v>175660</v>
      </c>
      <c r="T231" s="467">
        <v>69045</v>
      </c>
      <c r="U231" s="467">
        <v>94752</v>
      </c>
      <c r="V231" s="241">
        <v>77553</v>
      </c>
      <c r="W231" s="467">
        <v>80853</v>
      </c>
      <c r="X231" s="449">
        <f t="shared" si="67"/>
        <v>158406</v>
      </c>
      <c r="Y231" s="467">
        <v>63779</v>
      </c>
      <c r="Z231" s="467">
        <v>76660</v>
      </c>
      <c r="AA231" s="241">
        <v>99715</v>
      </c>
      <c r="AB231" s="467">
        <v>77135</v>
      </c>
      <c r="AC231" s="449">
        <f t="shared" si="68"/>
        <v>176850</v>
      </c>
      <c r="AD231" s="467">
        <v>58918</v>
      </c>
      <c r="AE231" s="467">
        <v>69996</v>
      </c>
      <c r="AF231" s="467">
        <v>59890</v>
      </c>
      <c r="AG231" s="265">
        <f t="shared" si="74"/>
        <v>0.72997423418265106</v>
      </c>
      <c r="AH231" s="515">
        <f t="shared" si="75"/>
        <v>1.0427576838172865</v>
      </c>
      <c r="AI231" s="515">
        <f t="shared" si="76"/>
        <v>0.8872651713537516</v>
      </c>
      <c r="AJ231" s="515">
        <f t="shared" si="77"/>
        <v>1.0770801651097111</v>
      </c>
      <c r="AK231" s="187">
        <f t="shared" si="78"/>
        <v>0.58420930428909157</v>
      </c>
      <c r="AL231" s="266">
        <f t="shared" si="79"/>
        <v>1.0688210840065888</v>
      </c>
      <c r="AM231" s="516">
        <f t="shared" si="80"/>
        <v>0.74938118811881194</v>
      </c>
      <c r="AN231" s="516">
        <f t="shared" si="81"/>
        <v>0.88003105410729066</v>
      </c>
      <c r="AO231" s="516">
        <f t="shared" si="82"/>
        <v>0.67750480723977036</v>
      </c>
      <c r="AP231" s="267">
        <f t="shared" si="83"/>
        <v>1.0642037756300244</v>
      </c>
      <c r="AQ231" s="268">
        <f t="shared" si="84"/>
        <v>0.2764513982438771</v>
      </c>
      <c r="AR231" s="450">
        <f t="shared" si="85"/>
        <v>0.28008293704250725</v>
      </c>
      <c r="AS231" s="450">
        <f t="shared" si="86"/>
        <v>0.55653433528638441</v>
      </c>
      <c r="AT231" s="450">
        <f t="shared" si="87"/>
        <v>0.20443737522925357</v>
      </c>
      <c r="AU231" s="269">
        <f t="shared" si="88"/>
        <v>0.23902828948436206</v>
      </c>
    </row>
    <row r="232" spans="1:47" ht="16.350000000000001" customHeight="1">
      <c r="A232" s="175">
        <f t="shared" si="71"/>
        <v>2025</v>
      </c>
      <c r="B232" s="454" t="str">
        <f t="shared" si="72"/>
        <v>18</v>
      </c>
      <c r="C232" s="454" t="str">
        <f t="array" ref="C232">_xlfn.IFS(_xlfn.NUMBERVALUE(B232)&lt;=13,"Q1",AND(_xlfn.NUMBERVALUE(B232)&gt;13,_xlfn.NUMBERVALUE(B232)&lt;=26),"Q2", AND(_xlfn.NUMBERVALUE(B232)&gt;26,_xlfn.NUMBERVALUE(B232)&lt;=39),"Q3",_xlfn.NUMBERVALUE(B232)&gt;39,"Q4")</f>
        <v>Q2</v>
      </c>
      <c r="D232" s="448">
        <f t="shared" si="89"/>
        <v>45437</v>
      </c>
      <c r="E232" s="448">
        <f t="shared" si="73"/>
        <v>45443</v>
      </c>
      <c r="F232" s="97">
        <v>202418</v>
      </c>
      <c r="G232" s="241">
        <v>82375</v>
      </c>
      <c r="H232" s="467">
        <v>85938</v>
      </c>
      <c r="I232" s="521">
        <f t="shared" si="90"/>
        <v>168313</v>
      </c>
      <c r="J232" s="467">
        <v>96008</v>
      </c>
      <c r="K232" s="242">
        <v>87646</v>
      </c>
      <c r="L232" s="241">
        <v>77393</v>
      </c>
      <c r="M232" s="467">
        <v>99303</v>
      </c>
      <c r="N232" s="469">
        <f t="shared" si="66"/>
        <v>176696</v>
      </c>
      <c r="O232" s="467">
        <v>56216</v>
      </c>
      <c r="P232" s="467">
        <v>79149</v>
      </c>
      <c r="Q232" s="241">
        <v>57192</v>
      </c>
      <c r="R232" s="467">
        <v>67296</v>
      </c>
      <c r="S232" s="521">
        <f t="shared" si="91"/>
        <v>124488</v>
      </c>
      <c r="T232" s="467">
        <v>58396</v>
      </c>
      <c r="U232" s="467">
        <v>75067</v>
      </c>
      <c r="V232" s="241">
        <v>97270</v>
      </c>
      <c r="W232" s="467">
        <v>93273</v>
      </c>
      <c r="X232" s="449">
        <f t="shared" si="67"/>
        <v>190543</v>
      </c>
      <c r="Y232" s="467">
        <v>64273</v>
      </c>
      <c r="Z232" s="467">
        <v>92702</v>
      </c>
      <c r="AA232" s="241">
        <v>64768</v>
      </c>
      <c r="AB232" s="467">
        <v>88757</v>
      </c>
      <c r="AC232" s="449">
        <f t="shared" si="68"/>
        <v>153525</v>
      </c>
      <c r="AD232" s="467">
        <v>75955</v>
      </c>
      <c r="AE232" s="467">
        <v>83144</v>
      </c>
      <c r="AF232" s="467">
        <v>50417</v>
      </c>
      <c r="AG232" s="265">
        <f t="shared" si="74"/>
        <v>1.4403238215134984</v>
      </c>
      <c r="AH232" s="515">
        <f t="shared" si="75"/>
        <v>1.2770149786019971</v>
      </c>
      <c r="AI232" s="515">
        <f t="shared" si="76"/>
        <v>1.3520419638840691</v>
      </c>
      <c r="AJ232" s="515">
        <f t="shared" si="77"/>
        <v>1.6440852113158435</v>
      </c>
      <c r="AK232" s="187">
        <f t="shared" si="78"/>
        <v>1.1675703038618834</v>
      </c>
      <c r="AL232" s="266">
        <f t="shared" si="79"/>
        <v>0.93952048558421852</v>
      </c>
      <c r="AM232" s="516">
        <f t="shared" si="80"/>
        <v>1.1555190951616281</v>
      </c>
      <c r="AN232" s="516">
        <f t="shared" si="81"/>
        <v>1.0498060161722504</v>
      </c>
      <c r="AO232" s="516">
        <f t="shared" si="82"/>
        <v>0.58553453878843431</v>
      </c>
      <c r="AP232" s="267">
        <f t="shared" si="83"/>
        <v>0.90305319124660566</v>
      </c>
      <c r="AQ232" s="268">
        <f t="shared" si="84"/>
        <v>0.24800599882715238</v>
      </c>
      <c r="AR232" s="450">
        <f t="shared" si="85"/>
        <v>0.31821663072283946</v>
      </c>
      <c r="AS232" s="450">
        <f t="shared" si="86"/>
        <v>0.56622262954999181</v>
      </c>
      <c r="AT232" s="450">
        <f t="shared" si="87"/>
        <v>0.18014426666581212</v>
      </c>
      <c r="AU232" s="269">
        <f t="shared" si="88"/>
        <v>0.25363310378419601</v>
      </c>
    </row>
    <row r="233" spans="1:47" ht="16.350000000000001" customHeight="1">
      <c r="A233" s="175">
        <f t="shared" si="71"/>
        <v>2025</v>
      </c>
      <c r="B233" s="454" t="str">
        <f t="shared" si="72"/>
        <v>19</v>
      </c>
      <c r="C233" s="454" t="str">
        <f t="array" ref="C233">_xlfn.IFS(_xlfn.NUMBERVALUE(B233)&lt;=13,"Q1",AND(_xlfn.NUMBERVALUE(B233)&gt;13,_xlfn.NUMBERVALUE(B233)&lt;=26),"Q2", AND(_xlfn.NUMBERVALUE(B233)&gt;26,_xlfn.NUMBERVALUE(B233)&lt;=39),"Q3",_xlfn.NUMBERVALUE(B233)&gt;39,"Q4")</f>
        <v>Q2</v>
      </c>
      <c r="D233" s="448">
        <f t="shared" si="89"/>
        <v>45444</v>
      </c>
      <c r="E233" s="448">
        <f t="shared" si="73"/>
        <v>45450</v>
      </c>
      <c r="F233" s="97">
        <v>202419</v>
      </c>
      <c r="G233" s="241">
        <v>88363</v>
      </c>
      <c r="H233" s="467">
        <v>96857</v>
      </c>
      <c r="I233" s="521">
        <f t="shared" si="90"/>
        <v>185220</v>
      </c>
      <c r="J233" s="467">
        <v>84640</v>
      </c>
      <c r="K233" s="242">
        <v>52222</v>
      </c>
      <c r="L233" s="241">
        <v>69494</v>
      </c>
      <c r="M233" s="467">
        <v>55481</v>
      </c>
      <c r="N233" s="469">
        <f t="shared" si="66"/>
        <v>124975</v>
      </c>
      <c r="O233" s="467">
        <v>59308</v>
      </c>
      <c r="P233" s="467">
        <v>52598</v>
      </c>
      <c r="Q233" s="241">
        <v>85960</v>
      </c>
      <c r="R233" s="467">
        <v>78224</v>
      </c>
      <c r="S233" s="521">
        <f t="shared" si="91"/>
        <v>164184</v>
      </c>
      <c r="T233" s="467">
        <v>77475</v>
      </c>
      <c r="U233" s="467">
        <v>53189</v>
      </c>
      <c r="V233" s="241">
        <v>78637</v>
      </c>
      <c r="W233" s="467">
        <v>80995</v>
      </c>
      <c r="X233" s="449">
        <f t="shared" si="67"/>
        <v>159632</v>
      </c>
      <c r="Y233" s="467">
        <v>60452</v>
      </c>
      <c r="Z233" s="467">
        <v>90877</v>
      </c>
      <c r="AA233" s="241">
        <v>53584</v>
      </c>
      <c r="AB233" s="467">
        <v>61726</v>
      </c>
      <c r="AC233" s="449">
        <f t="shared" si="68"/>
        <v>115310</v>
      </c>
      <c r="AD233" s="467">
        <v>73823</v>
      </c>
      <c r="AE233" s="467">
        <v>74595</v>
      </c>
      <c r="AF233" s="467">
        <v>62041</v>
      </c>
      <c r="AG233" s="265">
        <f t="shared" si="74"/>
        <v>1.0279548627268498</v>
      </c>
      <c r="AH233" s="515">
        <f t="shared" si="75"/>
        <v>1.238200552260176</v>
      </c>
      <c r="AI233" s="515">
        <f t="shared" si="76"/>
        <v>1.1281245431954392</v>
      </c>
      <c r="AJ233" s="515">
        <f t="shared" si="77"/>
        <v>1.0924814456276217</v>
      </c>
      <c r="AK233" s="187">
        <f t="shared" si="78"/>
        <v>0.98181954915490044</v>
      </c>
      <c r="AL233" s="266">
        <f t="shared" si="79"/>
        <v>0.78646039631972653</v>
      </c>
      <c r="AM233" s="516">
        <f t="shared" si="80"/>
        <v>0.57281352922349438</v>
      </c>
      <c r="AN233" s="516">
        <f t="shared" si="81"/>
        <v>0.67473814922794517</v>
      </c>
      <c r="AO233" s="516">
        <f t="shared" si="82"/>
        <v>0.70070888468809078</v>
      </c>
      <c r="AP233" s="267">
        <f t="shared" si="83"/>
        <v>1.0072000306384283</v>
      </c>
      <c r="AQ233" s="268">
        <f t="shared" si="84"/>
        <v>0.29337093308454454</v>
      </c>
      <c r="AR233" s="450">
        <f t="shared" si="85"/>
        <v>0.23421464786116236</v>
      </c>
      <c r="AS233" s="450">
        <f t="shared" si="86"/>
        <v>0.52758558094570696</v>
      </c>
      <c r="AT233" s="450">
        <f t="shared" si="87"/>
        <v>0.25037043916565704</v>
      </c>
      <c r="AU233" s="269">
        <f t="shared" si="88"/>
        <v>0.22204397988863606</v>
      </c>
    </row>
    <row r="234" spans="1:47" ht="16.350000000000001" customHeight="1">
      <c r="A234" s="175">
        <f t="shared" si="71"/>
        <v>2025</v>
      </c>
      <c r="B234" s="454" t="str">
        <f t="shared" si="72"/>
        <v>20</v>
      </c>
      <c r="C234" s="454" t="str">
        <f t="array" ref="C234">_xlfn.IFS(_xlfn.NUMBERVALUE(B234)&lt;=13,"Q1",AND(_xlfn.NUMBERVALUE(B234)&gt;13,_xlfn.NUMBERVALUE(B234)&lt;=26),"Q2", AND(_xlfn.NUMBERVALUE(B234)&gt;26,_xlfn.NUMBERVALUE(B234)&lt;=39),"Q3",_xlfn.NUMBERVALUE(B234)&gt;39,"Q4")</f>
        <v>Q2</v>
      </c>
      <c r="D234" s="448">
        <f t="shared" si="89"/>
        <v>45451</v>
      </c>
      <c r="E234" s="448">
        <f t="shared" si="73"/>
        <v>45457</v>
      </c>
      <c r="F234" s="97">
        <v>202420</v>
      </c>
      <c r="G234" s="241">
        <v>61729</v>
      </c>
      <c r="H234" s="467">
        <v>87308</v>
      </c>
      <c r="I234" s="521">
        <f t="shared" si="90"/>
        <v>149037</v>
      </c>
      <c r="J234" s="467">
        <v>98885</v>
      </c>
      <c r="K234" s="242">
        <v>88017</v>
      </c>
      <c r="L234" s="241">
        <v>75332</v>
      </c>
      <c r="M234" s="467">
        <v>59197</v>
      </c>
      <c r="N234" s="469">
        <f t="shared" si="66"/>
        <v>134529</v>
      </c>
      <c r="O234" s="467">
        <v>96120</v>
      </c>
      <c r="P234" s="467">
        <v>67896</v>
      </c>
      <c r="Q234" s="241">
        <v>89759</v>
      </c>
      <c r="R234" s="467">
        <v>84217</v>
      </c>
      <c r="S234" s="521">
        <f t="shared" si="91"/>
        <v>173976</v>
      </c>
      <c r="T234" s="467">
        <v>50925</v>
      </c>
      <c r="U234" s="467">
        <v>65375</v>
      </c>
      <c r="V234" s="241">
        <v>70619</v>
      </c>
      <c r="W234" s="467">
        <v>50228</v>
      </c>
      <c r="X234" s="449">
        <f t="shared" si="67"/>
        <v>120847</v>
      </c>
      <c r="Y234" s="467">
        <v>78303</v>
      </c>
      <c r="Z234" s="467">
        <v>68659</v>
      </c>
      <c r="AA234" s="241">
        <v>85025</v>
      </c>
      <c r="AB234" s="467">
        <v>68391</v>
      </c>
      <c r="AC234" s="449">
        <f t="shared" si="68"/>
        <v>153416</v>
      </c>
      <c r="AD234" s="467">
        <v>83192</v>
      </c>
      <c r="AE234" s="467">
        <v>68349</v>
      </c>
      <c r="AF234" s="467">
        <v>55862</v>
      </c>
      <c r="AG234" s="265">
        <f t="shared" si="74"/>
        <v>0.68771933733664592</v>
      </c>
      <c r="AH234" s="515">
        <f t="shared" si="75"/>
        <v>1.0367028034719832</v>
      </c>
      <c r="AI234" s="515">
        <f t="shared" si="76"/>
        <v>0.85665264174368883</v>
      </c>
      <c r="AJ234" s="515">
        <f t="shared" si="77"/>
        <v>1.9417771232204222</v>
      </c>
      <c r="AK234" s="187">
        <f t="shared" si="78"/>
        <v>1.34634034416826</v>
      </c>
      <c r="AL234" s="266">
        <f t="shared" si="79"/>
        <v>1.2203664404088841</v>
      </c>
      <c r="AM234" s="516">
        <f t="shared" si="80"/>
        <v>0.67802492326018238</v>
      </c>
      <c r="AN234" s="516">
        <f t="shared" si="81"/>
        <v>0.90265504539141284</v>
      </c>
      <c r="AO234" s="516">
        <f t="shared" si="82"/>
        <v>0.97203822622237956</v>
      </c>
      <c r="AP234" s="267">
        <f t="shared" si="83"/>
        <v>0.77139643477964481</v>
      </c>
      <c r="AQ234" s="268">
        <f t="shared" si="84"/>
        <v>0.25233046944346749</v>
      </c>
      <c r="AR234" s="450">
        <f t="shared" si="85"/>
        <v>0.19828501565928083</v>
      </c>
      <c r="AS234" s="450">
        <f t="shared" si="86"/>
        <v>0.45061548510274835</v>
      </c>
      <c r="AT234" s="450">
        <f t="shared" si="87"/>
        <v>0.32196151333969752</v>
      </c>
      <c r="AU234" s="269">
        <f t="shared" si="88"/>
        <v>0.22742300155755413</v>
      </c>
    </row>
    <row r="235" spans="1:47" ht="16.350000000000001" customHeight="1">
      <c r="A235" s="175">
        <f t="shared" si="71"/>
        <v>2025</v>
      </c>
      <c r="B235" s="454" t="str">
        <f t="shared" si="72"/>
        <v>21</v>
      </c>
      <c r="C235" s="454" t="str">
        <f t="array" ref="C235">_xlfn.IFS(_xlfn.NUMBERVALUE(B235)&lt;=13,"Q1",AND(_xlfn.NUMBERVALUE(B235)&gt;13,_xlfn.NUMBERVALUE(B235)&lt;=26),"Q2", AND(_xlfn.NUMBERVALUE(B235)&gt;26,_xlfn.NUMBERVALUE(B235)&lt;=39),"Q3",_xlfn.NUMBERVALUE(B235)&gt;39,"Q4")</f>
        <v>Q2</v>
      </c>
      <c r="D235" s="448">
        <f t="shared" si="89"/>
        <v>45458</v>
      </c>
      <c r="E235" s="448">
        <f t="shared" si="73"/>
        <v>45464</v>
      </c>
      <c r="F235" s="97">
        <v>202421</v>
      </c>
      <c r="G235" s="241">
        <v>88595</v>
      </c>
      <c r="H235" s="467">
        <v>51406</v>
      </c>
      <c r="I235" s="521">
        <f t="shared" si="90"/>
        <v>140001</v>
      </c>
      <c r="J235" s="467">
        <v>95097</v>
      </c>
      <c r="K235" s="242">
        <v>84855</v>
      </c>
      <c r="L235" s="241">
        <v>55616</v>
      </c>
      <c r="M235" s="467">
        <v>72018</v>
      </c>
      <c r="N235" s="469">
        <f t="shared" si="66"/>
        <v>127634</v>
      </c>
      <c r="O235" s="467">
        <v>83419</v>
      </c>
      <c r="P235" s="467">
        <v>59003</v>
      </c>
      <c r="Q235" s="241">
        <v>90067</v>
      </c>
      <c r="R235" s="467">
        <v>84765</v>
      </c>
      <c r="S235" s="521">
        <f t="shared" si="91"/>
        <v>174832</v>
      </c>
      <c r="T235" s="467">
        <v>66791</v>
      </c>
      <c r="U235" s="467">
        <v>67096</v>
      </c>
      <c r="V235" s="241">
        <v>98847</v>
      </c>
      <c r="W235" s="467">
        <v>98074</v>
      </c>
      <c r="X235" s="449">
        <f t="shared" si="67"/>
        <v>196921</v>
      </c>
      <c r="Y235" s="467">
        <v>73468</v>
      </c>
      <c r="Z235" s="467">
        <v>58415</v>
      </c>
      <c r="AA235" s="241">
        <v>92056</v>
      </c>
      <c r="AB235" s="467">
        <v>61829</v>
      </c>
      <c r="AC235" s="449">
        <f t="shared" si="68"/>
        <v>153885</v>
      </c>
      <c r="AD235" s="467">
        <v>95847</v>
      </c>
      <c r="AE235" s="467">
        <v>59599</v>
      </c>
      <c r="AF235" s="467">
        <v>58662</v>
      </c>
      <c r="AG235" s="265">
        <f t="shared" si="74"/>
        <v>0.9836566111894478</v>
      </c>
      <c r="AH235" s="515">
        <f t="shared" si="75"/>
        <v>0.60645313513832355</v>
      </c>
      <c r="AI235" s="515">
        <f t="shared" si="76"/>
        <v>0.80077445776516887</v>
      </c>
      <c r="AJ235" s="515">
        <f t="shared" si="77"/>
        <v>1.4237996137204114</v>
      </c>
      <c r="AK235" s="187">
        <f t="shared" si="78"/>
        <v>1.2646804578514368</v>
      </c>
      <c r="AL235" s="266">
        <f t="shared" si="79"/>
        <v>0.62775551667701335</v>
      </c>
      <c r="AM235" s="516">
        <f t="shared" si="80"/>
        <v>1.4009648679142512</v>
      </c>
      <c r="AN235" s="516">
        <f t="shared" si="81"/>
        <v>0.9116649166791666</v>
      </c>
      <c r="AO235" s="516">
        <f t="shared" si="82"/>
        <v>0.87719907042283141</v>
      </c>
      <c r="AP235" s="267">
        <f t="shared" si="83"/>
        <v>0.69533910788992992</v>
      </c>
      <c r="AQ235" s="268">
        <f t="shared" si="84"/>
        <v>0.20594247119116035</v>
      </c>
      <c r="AR235" s="450">
        <f t="shared" si="85"/>
        <v>0.26667802233610804</v>
      </c>
      <c r="AS235" s="450">
        <f t="shared" si="86"/>
        <v>0.47262049352726843</v>
      </c>
      <c r="AT235" s="450">
        <f t="shared" si="87"/>
        <v>0.30889519210830346</v>
      </c>
      <c r="AU235" s="269">
        <f t="shared" si="88"/>
        <v>0.21848431436442811</v>
      </c>
    </row>
    <row r="236" spans="1:47" ht="16.350000000000001" customHeight="1">
      <c r="A236" s="175">
        <f t="shared" si="71"/>
        <v>2025</v>
      </c>
      <c r="B236" s="454" t="str">
        <f t="shared" si="72"/>
        <v>22</v>
      </c>
      <c r="C236" s="454" t="str">
        <f t="array" ref="C236">_xlfn.IFS(_xlfn.NUMBERVALUE(B236)&lt;=13,"Q1",AND(_xlfn.NUMBERVALUE(B236)&gt;13,_xlfn.NUMBERVALUE(B236)&lt;=26),"Q2", AND(_xlfn.NUMBERVALUE(B236)&gt;26,_xlfn.NUMBERVALUE(B236)&lt;=39),"Q3",_xlfn.NUMBERVALUE(B236)&gt;39,"Q4")</f>
        <v>Q2</v>
      </c>
      <c r="D236" s="448">
        <f t="shared" si="89"/>
        <v>45465</v>
      </c>
      <c r="E236" s="448">
        <f t="shared" si="73"/>
        <v>45471</v>
      </c>
      <c r="F236" s="97">
        <v>202422</v>
      </c>
      <c r="G236" s="241">
        <v>79890</v>
      </c>
      <c r="H236" s="467">
        <v>53956</v>
      </c>
      <c r="I236" s="521">
        <f t="shared" si="90"/>
        <v>133846</v>
      </c>
      <c r="J236" s="467">
        <v>76461</v>
      </c>
      <c r="K236" s="242">
        <v>50597</v>
      </c>
      <c r="L236" s="241">
        <v>77488</v>
      </c>
      <c r="M236" s="467">
        <v>90662</v>
      </c>
      <c r="N236" s="469">
        <f t="shared" si="66"/>
        <v>168150</v>
      </c>
      <c r="O236" s="467">
        <v>86412</v>
      </c>
      <c r="P236" s="467">
        <v>67197</v>
      </c>
      <c r="Q236" s="241">
        <v>91921</v>
      </c>
      <c r="R236" s="467">
        <v>70392</v>
      </c>
      <c r="S236" s="521">
        <f t="shared" si="91"/>
        <v>162313</v>
      </c>
      <c r="T236" s="467">
        <v>73764</v>
      </c>
      <c r="U236" s="467">
        <v>62750</v>
      </c>
      <c r="V236" s="241">
        <v>72586</v>
      </c>
      <c r="W236" s="467">
        <v>56694</v>
      </c>
      <c r="X236" s="449">
        <f t="shared" si="67"/>
        <v>129280</v>
      </c>
      <c r="Y236" s="467">
        <v>99790</v>
      </c>
      <c r="Z236" s="467">
        <v>61961</v>
      </c>
      <c r="AA236" s="241">
        <v>65082</v>
      </c>
      <c r="AB236" s="467">
        <v>91960</v>
      </c>
      <c r="AC236" s="449">
        <f t="shared" si="68"/>
        <v>157042</v>
      </c>
      <c r="AD236" s="467">
        <v>57506</v>
      </c>
      <c r="AE236" s="467">
        <v>91794</v>
      </c>
      <c r="AF236" s="467">
        <v>83647</v>
      </c>
      <c r="AG236" s="265">
        <f t="shared" si="74"/>
        <v>0.86911587123725809</v>
      </c>
      <c r="AH236" s="515">
        <f t="shared" si="75"/>
        <v>0.76650755767700873</v>
      </c>
      <c r="AI236" s="515">
        <f t="shared" si="76"/>
        <v>0.82461663575930455</v>
      </c>
      <c r="AJ236" s="515">
        <f t="shared" si="77"/>
        <v>1.0365625508378071</v>
      </c>
      <c r="AK236" s="187">
        <f t="shared" si="78"/>
        <v>0.80632669322709161</v>
      </c>
      <c r="AL236" s="266">
        <f t="shared" si="79"/>
        <v>0.9699336587808236</v>
      </c>
      <c r="AM236" s="516">
        <f t="shared" si="80"/>
        <v>1.6802950552301876</v>
      </c>
      <c r="AN236" s="516">
        <f t="shared" si="81"/>
        <v>1.2562945474649971</v>
      </c>
      <c r="AO236" s="516">
        <f t="shared" si="82"/>
        <v>1.1301447796916075</v>
      </c>
      <c r="AP236" s="267">
        <f t="shared" si="83"/>
        <v>1.3280826926497618</v>
      </c>
      <c r="AQ236" s="268">
        <f t="shared" si="84"/>
        <v>0.24082620843550609</v>
      </c>
      <c r="AR236" s="450">
        <f t="shared" si="85"/>
        <v>0.2817698961023623</v>
      </c>
      <c r="AS236" s="450">
        <f t="shared" si="86"/>
        <v>0.52259610453786842</v>
      </c>
      <c r="AT236" s="450">
        <f t="shared" si="87"/>
        <v>0.26856125236590117</v>
      </c>
      <c r="AU236" s="269">
        <f t="shared" si="88"/>
        <v>0.20884264309623041</v>
      </c>
    </row>
    <row r="237" spans="1:47" ht="16.350000000000001" customHeight="1">
      <c r="A237" s="175">
        <f t="shared" si="71"/>
        <v>2025</v>
      </c>
      <c r="B237" s="454" t="str">
        <f t="shared" si="72"/>
        <v>23</v>
      </c>
      <c r="C237" s="454" t="str">
        <f t="array" ref="C237">_xlfn.IFS(_xlfn.NUMBERVALUE(B237)&lt;=13,"Q1",AND(_xlfn.NUMBERVALUE(B237)&gt;13,_xlfn.NUMBERVALUE(B237)&lt;=26),"Q2", AND(_xlfn.NUMBERVALUE(B237)&gt;26,_xlfn.NUMBERVALUE(B237)&lt;=39),"Q3",_xlfn.NUMBERVALUE(B237)&gt;39,"Q4")</f>
        <v>Q2</v>
      </c>
      <c r="D237" s="448">
        <f t="shared" si="89"/>
        <v>45472</v>
      </c>
      <c r="E237" s="448">
        <f t="shared" si="73"/>
        <v>45478</v>
      </c>
      <c r="F237" s="97">
        <v>202423</v>
      </c>
      <c r="G237" s="241">
        <v>53868</v>
      </c>
      <c r="H237" s="467">
        <v>55348</v>
      </c>
      <c r="I237" s="521">
        <f t="shared" si="90"/>
        <v>109216</v>
      </c>
      <c r="J237" s="467">
        <v>54437</v>
      </c>
      <c r="K237" s="242">
        <v>74138</v>
      </c>
      <c r="L237" s="241">
        <v>56317</v>
      </c>
      <c r="M237" s="467">
        <v>98576</v>
      </c>
      <c r="N237" s="469">
        <f t="shared" si="66"/>
        <v>154893</v>
      </c>
      <c r="O237" s="467">
        <v>57008</v>
      </c>
      <c r="P237" s="467">
        <v>76522</v>
      </c>
      <c r="Q237" s="241">
        <v>77345</v>
      </c>
      <c r="R237" s="467">
        <v>80171</v>
      </c>
      <c r="S237" s="521">
        <f t="shared" si="91"/>
        <v>157516</v>
      </c>
      <c r="T237" s="467">
        <v>52415</v>
      </c>
      <c r="U237" s="467">
        <v>84715</v>
      </c>
      <c r="V237" s="241">
        <v>70021</v>
      </c>
      <c r="W237" s="467">
        <v>88527</v>
      </c>
      <c r="X237" s="449">
        <f t="shared" si="67"/>
        <v>158548</v>
      </c>
      <c r="Y237" s="467">
        <v>63632</v>
      </c>
      <c r="Z237" s="467">
        <v>99343</v>
      </c>
      <c r="AA237" s="241">
        <v>61336</v>
      </c>
      <c r="AB237" s="467">
        <v>73791</v>
      </c>
      <c r="AC237" s="449">
        <f t="shared" si="68"/>
        <v>135127</v>
      </c>
      <c r="AD237" s="467">
        <v>56155</v>
      </c>
      <c r="AE237" s="467">
        <v>73074</v>
      </c>
      <c r="AF237" s="467">
        <v>73078</v>
      </c>
      <c r="AG237" s="265">
        <f t="shared" si="74"/>
        <v>0.69646389553300148</v>
      </c>
      <c r="AH237" s="515">
        <f t="shared" si="75"/>
        <v>0.69037432488056782</v>
      </c>
      <c r="AI237" s="515">
        <f t="shared" si="76"/>
        <v>0.69336448360801439</v>
      </c>
      <c r="AJ237" s="515">
        <f t="shared" si="77"/>
        <v>1.0385767432986741</v>
      </c>
      <c r="AK237" s="187">
        <f t="shared" si="78"/>
        <v>0.8751460780263236</v>
      </c>
      <c r="AL237" s="266">
        <f t="shared" si="79"/>
        <v>1.0454629835895151</v>
      </c>
      <c r="AM237" s="516">
        <f t="shared" si="80"/>
        <v>1.781021897810219</v>
      </c>
      <c r="AN237" s="516">
        <f t="shared" si="81"/>
        <v>1.418226267213595</v>
      </c>
      <c r="AO237" s="516">
        <f t="shared" si="82"/>
        <v>1.0472289068097067</v>
      </c>
      <c r="AP237" s="267">
        <f t="shared" si="83"/>
        <v>1.0321562491569776</v>
      </c>
      <c r="AQ237" s="268">
        <f t="shared" si="84"/>
        <v>0.19525835318265186</v>
      </c>
      <c r="AR237" s="450">
        <f t="shared" si="85"/>
        <v>0.34177579457948914</v>
      </c>
      <c r="AS237" s="450">
        <f t="shared" si="86"/>
        <v>0.53703414776214098</v>
      </c>
      <c r="AT237" s="450">
        <f t="shared" si="87"/>
        <v>0.1976541399264275</v>
      </c>
      <c r="AU237" s="269">
        <f t="shared" si="88"/>
        <v>0.26531171231143147</v>
      </c>
    </row>
    <row r="238" spans="1:47" ht="16.350000000000001" customHeight="1">
      <c r="A238" s="175">
        <f t="shared" si="71"/>
        <v>2025</v>
      </c>
      <c r="B238" s="454" t="str">
        <f t="shared" si="72"/>
        <v>24</v>
      </c>
      <c r="C238" s="454" t="str">
        <f t="array" ref="C238">_xlfn.IFS(_xlfn.NUMBERVALUE(B238)&lt;=13,"Q1",AND(_xlfn.NUMBERVALUE(B238)&gt;13,_xlfn.NUMBERVALUE(B238)&lt;=26),"Q2", AND(_xlfn.NUMBERVALUE(B238)&gt;26,_xlfn.NUMBERVALUE(B238)&lt;=39),"Q3",_xlfn.NUMBERVALUE(B238)&gt;39,"Q4")</f>
        <v>Q2</v>
      </c>
      <c r="D238" s="448">
        <f t="shared" si="89"/>
        <v>45479</v>
      </c>
      <c r="E238" s="448">
        <f t="shared" si="73"/>
        <v>45485</v>
      </c>
      <c r="F238" s="97">
        <v>202424</v>
      </c>
      <c r="G238" s="241">
        <v>67584</v>
      </c>
      <c r="H238" s="467">
        <v>68565</v>
      </c>
      <c r="I238" s="521">
        <f t="shared" si="90"/>
        <v>136149</v>
      </c>
      <c r="J238" s="467">
        <v>73927</v>
      </c>
      <c r="K238" s="242">
        <v>52422</v>
      </c>
      <c r="L238" s="241">
        <v>83828</v>
      </c>
      <c r="M238" s="467">
        <v>61707</v>
      </c>
      <c r="N238" s="469">
        <f t="shared" si="66"/>
        <v>145535</v>
      </c>
      <c r="O238" s="467">
        <v>77032</v>
      </c>
      <c r="P238" s="467">
        <v>79250</v>
      </c>
      <c r="Q238" s="241">
        <v>79195</v>
      </c>
      <c r="R238" s="467">
        <v>69916</v>
      </c>
      <c r="S238" s="521">
        <f t="shared" si="91"/>
        <v>149111</v>
      </c>
      <c r="T238" s="467">
        <v>93923</v>
      </c>
      <c r="U238" s="467">
        <v>63068</v>
      </c>
      <c r="V238" s="241">
        <v>55666</v>
      </c>
      <c r="W238" s="467">
        <v>57779</v>
      </c>
      <c r="X238" s="449">
        <f t="shared" si="67"/>
        <v>113445</v>
      </c>
      <c r="Y238" s="467">
        <v>70260</v>
      </c>
      <c r="Z238" s="467">
        <v>66121</v>
      </c>
      <c r="AA238" s="241">
        <v>54292</v>
      </c>
      <c r="AB238" s="467">
        <v>79717</v>
      </c>
      <c r="AC238" s="449">
        <f t="shared" si="68"/>
        <v>134009</v>
      </c>
      <c r="AD238" s="467">
        <v>54612</v>
      </c>
      <c r="AE238" s="467">
        <v>92321</v>
      </c>
      <c r="AF238" s="467">
        <v>55503</v>
      </c>
      <c r="AG238" s="265">
        <f t="shared" si="74"/>
        <v>0.85338720878843366</v>
      </c>
      <c r="AH238" s="515">
        <f t="shared" si="75"/>
        <v>0.98067681217460956</v>
      </c>
      <c r="AI238" s="515">
        <f t="shared" si="76"/>
        <v>0.9130714702469972</v>
      </c>
      <c r="AJ238" s="515">
        <f t="shared" si="77"/>
        <v>0.78710220073890313</v>
      </c>
      <c r="AK238" s="187">
        <f t="shared" si="78"/>
        <v>0.8311980719223695</v>
      </c>
      <c r="AL238" s="266">
        <f t="shared" si="79"/>
        <v>1.2403527462121211</v>
      </c>
      <c r="AM238" s="516">
        <f t="shared" si="80"/>
        <v>0.89997812294902646</v>
      </c>
      <c r="AN238" s="516">
        <f t="shared" si="81"/>
        <v>1.0689391769311563</v>
      </c>
      <c r="AO238" s="516">
        <f t="shared" si="82"/>
        <v>1.0420008927726001</v>
      </c>
      <c r="AP238" s="267">
        <f t="shared" si="83"/>
        <v>1.5117698676128344</v>
      </c>
      <c r="AQ238" s="268">
        <f t="shared" si="84"/>
        <v>0.27774446104758843</v>
      </c>
      <c r="AR238" s="450">
        <f t="shared" si="85"/>
        <v>0.20445170417835973</v>
      </c>
      <c r="AS238" s="450">
        <f t="shared" si="86"/>
        <v>0.48219616522594816</v>
      </c>
      <c r="AT238" s="450">
        <f t="shared" si="87"/>
        <v>0.25522750540890671</v>
      </c>
      <c r="AU238" s="269">
        <f t="shared" si="88"/>
        <v>0.26257632936514508</v>
      </c>
    </row>
    <row r="239" spans="1:47" ht="16.350000000000001" customHeight="1">
      <c r="A239" s="175">
        <f t="shared" si="71"/>
        <v>2025</v>
      </c>
      <c r="B239" s="454" t="str">
        <f t="shared" si="72"/>
        <v>25</v>
      </c>
      <c r="C239" s="454" t="str">
        <f t="array" ref="C239">_xlfn.IFS(_xlfn.NUMBERVALUE(B239)&lt;=13,"Q1",AND(_xlfn.NUMBERVALUE(B239)&gt;13,_xlfn.NUMBERVALUE(B239)&lt;=26),"Q2", AND(_xlfn.NUMBERVALUE(B239)&gt;26,_xlfn.NUMBERVALUE(B239)&lt;=39),"Q3",_xlfn.NUMBERVALUE(B239)&gt;39,"Q4")</f>
        <v>Q2</v>
      </c>
      <c r="D239" s="448">
        <f t="shared" si="89"/>
        <v>45486</v>
      </c>
      <c r="E239" s="448">
        <f t="shared" si="73"/>
        <v>45492</v>
      </c>
      <c r="F239" s="97">
        <v>202425</v>
      </c>
      <c r="G239" s="241">
        <v>96833</v>
      </c>
      <c r="H239" s="467">
        <v>52317</v>
      </c>
      <c r="I239" s="521">
        <f t="shared" si="90"/>
        <v>149150</v>
      </c>
      <c r="J239" s="467">
        <v>91870</v>
      </c>
      <c r="K239" s="242">
        <v>81525</v>
      </c>
      <c r="L239" s="241">
        <v>50166</v>
      </c>
      <c r="M239" s="467">
        <v>83039</v>
      </c>
      <c r="N239" s="469">
        <f t="shared" ref="N239:N302" si="92">SUM(L239:M239)</f>
        <v>133205</v>
      </c>
      <c r="O239" s="467">
        <v>76104</v>
      </c>
      <c r="P239" s="467">
        <v>58882</v>
      </c>
      <c r="Q239" s="241">
        <v>51572</v>
      </c>
      <c r="R239" s="467">
        <v>91325</v>
      </c>
      <c r="S239" s="521">
        <f t="shared" si="91"/>
        <v>142897</v>
      </c>
      <c r="T239" s="467">
        <v>95994</v>
      </c>
      <c r="U239" s="467">
        <v>99682</v>
      </c>
      <c r="V239" s="241">
        <v>95646</v>
      </c>
      <c r="W239" s="467">
        <v>73442</v>
      </c>
      <c r="X239" s="449">
        <f t="shared" ref="X239:X302" si="93">SUM(V239:W239)</f>
        <v>169088</v>
      </c>
      <c r="Y239" s="467">
        <v>56043</v>
      </c>
      <c r="Z239" s="467">
        <v>81413</v>
      </c>
      <c r="AA239" s="241">
        <v>90890</v>
      </c>
      <c r="AB239" s="467">
        <v>66538</v>
      </c>
      <c r="AC239" s="449">
        <f t="shared" si="68"/>
        <v>157428</v>
      </c>
      <c r="AD239" s="467">
        <v>51513</v>
      </c>
      <c r="AE239" s="467">
        <v>87396</v>
      </c>
      <c r="AF239" s="467">
        <v>71097</v>
      </c>
      <c r="AG239" s="265">
        <f t="shared" si="74"/>
        <v>1.8776273947103079</v>
      </c>
      <c r="AH239" s="515">
        <f t="shared" si="75"/>
        <v>0.57286613742129755</v>
      </c>
      <c r="AI239" s="515">
        <f t="shared" si="76"/>
        <v>1.0437587912972282</v>
      </c>
      <c r="AJ239" s="515">
        <f t="shared" si="77"/>
        <v>0.95703898160301681</v>
      </c>
      <c r="AK239" s="187">
        <f t="shared" si="78"/>
        <v>0.81785076543408042</v>
      </c>
      <c r="AL239" s="266">
        <f t="shared" si="79"/>
        <v>0.51806718783885664</v>
      </c>
      <c r="AM239" s="516">
        <f t="shared" si="80"/>
        <v>1.5872278609247472</v>
      </c>
      <c r="AN239" s="516">
        <f t="shared" si="81"/>
        <v>0.89309420046932619</v>
      </c>
      <c r="AO239" s="516">
        <f t="shared" si="82"/>
        <v>0.82838793947969958</v>
      </c>
      <c r="AP239" s="267">
        <f t="shared" si="83"/>
        <v>0.72225697638761122</v>
      </c>
      <c r="AQ239" s="268">
        <f t="shared" si="84"/>
        <v>0.18705325682069868</v>
      </c>
      <c r="AR239" s="450">
        <f t="shared" si="85"/>
        <v>0.30962634838603831</v>
      </c>
      <c r="AS239" s="450">
        <f t="shared" si="86"/>
        <v>0.49667960520673698</v>
      </c>
      <c r="AT239" s="450">
        <f t="shared" si="87"/>
        <v>0.28376791167488841</v>
      </c>
      <c r="AU239" s="269">
        <f t="shared" si="88"/>
        <v>0.21955248311837458</v>
      </c>
    </row>
    <row r="240" spans="1:47" ht="16.350000000000001" customHeight="1">
      <c r="A240" s="175">
        <f t="shared" si="71"/>
        <v>2025</v>
      </c>
      <c r="B240" s="454" t="str">
        <f t="shared" si="72"/>
        <v>26</v>
      </c>
      <c r="C240" s="454" t="str">
        <f t="array" ref="C240">_xlfn.IFS(_xlfn.NUMBERVALUE(B240)&lt;=13,"Q1",AND(_xlfn.NUMBERVALUE(B240)&gt;13,_xlfn.NUMBERVALUE(B240)&lt;=26),"Q2", AND(_xlfn.NUMBERVALUE(B240)&gt;26,_xlfn.NUMBERVALUE(B240)&lt;=39),"Q3",_xlfn.NUMBERVALUE(B240)&gt;39,"Q4")</f>
        <v>Q2</v>
      </c>
      <c r="D240" s="448">
        <f t="shared" si="89"/>
        <v>45493</v>
      </c>
      <c r="E240" s="448">
        <f t="shared" si="73"/>
        <v>45499</v>
      </c>
      <c r="F240" s="97">
        <v>202426</v>
      </c>
      <c r="G240" s="241">
        <v>95233</v>
      </c>
      <c r="H240" s="467">
        <v>60855</v>
      </c>
      <c r="I240" s="521">
        <f t="shared" si="90"/>
        <v>156088</v>
      </c>
      <c r="J240" s="467">
        <v>86962</v>
      </c>
      <c r="K240" s="242">
        <v>70322</v>
      </c>
      <c r="L240" s="241">
        <v>89400</v>
      </c>
      <c r="M240" s="467">
        <v>79780</v>
      </c>
      <c r="N240" s="469">
        <f t="shared" si="92"/>
        <v>169180</v>
      </c>
      <c r="O240" s="467">
        <v>56852</v>
      </c>
      <c r="P240" s="467">
        <v>88083</v>
      </c>
      <c r="Q240" s="241">
        <v>77959</v>
      </c>
      <c r="R240" s="467">
        <v>83962</v>
      </c>
      <c r="S240" s="521">
        <f t="shared" si="91"/>
        <v>161921</v>
      </c>
      <c r="T240" s="467">
        <v>64255</v>
      </c>
      <c r="U240" s="467">
        <v>56483</v>
      </c>
      <c r="V240" s="241">
        <v>76989</v>
      </c>
      <c r="W240" s="467">
        <v>94149</v>
      </c>
      <c r="X240" s="449">
        <f t="shared" si="93"/>
        <v>171138</v>
      </c>
      <c r="Y240" s="467">
        <v>73361</v>
      </c>
      <c r="Z240" s="467">
        <v>88535</v>
      </c>
      <c r="AA240" s="241">
        <v>75384</v>
      </c>
      <c r="AB240" s="467">
        <v>71949</v>
      </c>
      <c r="AC240" s="449">
        <f t="shared" ref="AC240:AC303" si="94">SUM(AA240:AB240)</f>
        <v>147333</v>
      </c>
      <c r="AD240" s="467">
        <v>59841</v>
      </c>
      <c r="AE240" s="467">
        <v>97859</v>
      </c>
      <c r="AF240" s="467">
        <v>70614</v>
      </c>
      <c r="AG240" s="265">
        <f t="shared" si="74"/>
        <v>1.2215780089534243</v>
      </c>
      <c r="AH240" s="515">
        <f t="shared" si="75"/>
        <v>0.72479216788547196</v>
      </c>
      <c r="AI240" s="515">
        <f t="shared" si="76"/>
        <v>0.96397626002803838</v>
      </c>
      <c r="AJ240" s="515">
        <f t="shared" si="77"/>
        <v>1.3533888413353046</v>
      </c>
      <c r="AK240" s="187">
        <f t="shared" si="78"/>
        <v>1.2450117734539596</v>
      </c>
      <c r="AL240" s="266">
        <f t="shared" si="79"/>
        <v>0.93875022313693779</v>
      </c>
      <c r="AM240" s="516">
        <f t="shared" si="80"/>
        <v>1.3109851285843399</v>
      </c>
      <c r="AN240" s="516">
        <f t="shared" si="81"/>
        <v>1.0838757623904465</v>
      </c>
      <c r="AO240" s="516">
        <f t="shared" si="82"/>
        <v>0.65375681332076074</v>
      </c>
      <c r="AP240" s="267">
        <f t="shared" si="83"/>
        <v>1.2525667643127329</v>
      </c>
      <c r="AQ240" s="268">
        <f t="shared" si="84"/>
        <v>0.28460913996466264</v>
      </c>
      <c r="AR240" s="450">
        <f t="shared" si="85"/>
        <v>0.25398341371790584</v>
      </c>
      <c r="AS240" s="450">
        <f t="shared" si="86"/>
        <v>0.53859255368256853</v>
      </c>
      <c r="AT240" s="450">
        <f t="shared" si="87"/>
        <v>0.1809910383139933</v>
      </c>
      <c r="AU240" s="269">
        <f t="shared" si="88"/>
        <v>0.28041640800343826</v>
      </c>
    </row>
    <row r="241" spans="1:47" ht="16.350000000000001" customHeight="1">
      <c r="A241" s="175">
        <f t="shared" si="71"/>
        <v>2025</v>
      </c>
      <c r="B241" s="454" t="str">
        <f t="shared" si="72"/>
        <v>27</v>
      </c>
      <c r="C241" s="454" t="str">
        <f t="array" ref="C241">_xlfn.IFS(_xlfn.NUMBERVALUE(B241)&lt;=13,"Q1",AND(_xlfn.NUMBERVALUE(B241)&gt;13,_xlfn.NUMBERVALUE(B241)&lt;=26),"Q2", AND(_xlfn.NUMBERVALUE(B241)&gt;26,_xlfn.NUMBERVALUE(B241)&lt;=39),"Q3",_xlfn.NUMBERVALUE(B241)&gt;39,"Q4")</f>
        <v>Q3</v>
      </c>
      <c r="D241" s="448">
        <f t="shared" si="89"/>
        <v>45500</v>
      </c>
      <c r="E241" s="448">
        <f t="shared" si="73"/>
        <v>45506</v>
      </c>
      <c r="F241" s="97">
        <v>202427</v>
      </c>
      <c r="G241" s="241">
        <v>93164</v>
      </c>
      <c r="H241" s="467">
        <v>90619</v>
      </c>
      <c r="I241" s="521">
        <f t="shared" si="90"/>
        <v>183783</v>
      </c>
      <c r="J241" s="467">
        <v>84885</v>
      </c>
      <c r="K241" s="242">
        <v>98286</v>
      </c>
      <c r="L241" s="241">
        <v>66983</v>
      </c>
      <c r="M241" s="467">
        <v>88430</v>
      </c>
      <c r="N241" s="469">
        <f t="shared" si="92"/>
        <v>155413</v>
      </c>
      <c r="O241" s="467">
        <v>53945</v>
      </c>
      <c r="P241" s="467">
        <v>77075</v>
      </c>
      <c r="Q241" s="241">
        <v>87849</v>
      </c>
      <c r="R241" s="467">
        <v>60825</v>
      </c>
      <c r="S241" s="521">
        <f t="shared" si="91"/>
        <v>148674</v>
      </c>
      <c r="T241" s="467">
        <v>51437</v>
      </c>
      <c r="U241" s="467">
        <v>63155</v>
      </c>
      <c r="V241" s="241">
        <v>92190</v>
      </c>
      <c r="W241" s="467">
        <v>50784</v>
      </c>
      <c r="X241" s="449">
        <f t="shared" si="93"/>
        <v>142974</v>
      </c>
      <c r="Y241" s="467">
        <v>91552</v>
      </c>
      <c r="Z241" s="467">
        <v>66098</v>
      </c>
      <c r="AA241" s="241">
        <v>72605</v>
      </c>
      <c r="AB241" s="467">
        <v>68473</v>
      </c>
      <c r="AC241" s="449">
        <f t="shared" si="94"/>
        <v>141078</v>
      </c>
      <c r="AD241" s="467">
        <v>81519</v>
      </c>
      <c r="AE241" s="467">
        <v>83787</v>
      </c>
      <c r="AF241" s="467">
        <v>56001</v>
      </c>
      <c r="AG241" s="265">
        <f t="shared" si="74"/>
        <v>1.0605015424193787</v>
      </c>
      <c r="AH241" s="515">
        <f t="shared" si="75"/>
        <v>1.4898314837648994</v>
      </c>
      <c r="AI241" s="515">
        <f t="shared" si="76"/>
        <v>1.2361475442915373</v>
      </c>
      <c r="AJ241" s="515">
        <f t="shared" si="77"/>
        <v>1.6502712055524233</v>
      </c>
      <c r="AK241" s="187">
        <f t="shared" si="78"/>
        <v>1.5562663288734067</v>
      </c>
      <c r="AL241" s="266">
        <f t="shared" si="79"/>
        <v>0.71897943411618226</v>
      </c>
      <c r="AM241" s="516">
        <f t="shared" si="80"/>
        <v>0.97584391794215342</v>
      </c>
      <c r="AN241" s="516">
        <f t="shared" si="81"/>
        <v>0.84563316520026333</v>
      </c>
      <c r="AO241" s="516">
        <f t="shared" si="82"/>
        <v>0.63550686222536368</v>
      </c>
      <c r="AP241" s="267">
        <f t="shared" si="83"/>
        <v>0.78419103432838855</v>
      </c>
      <c r="AQ241" s="268">
        <f t="shared" si="84"/>
        <v>0.23385224467851121</v>
      </c>
      <c r="AR241" s="450">
        <f t="shared" si="85"/>
        <v>0.30872839372558331</v>
      </c>
      <c r="AS241" s="450">
        <f t="shared" si="86"/>
        <v>0.54258063840409454</v>
      </c>
      <c r="AT241" s="450">
        <f t="shared" si="87"/>
        <v>0.18833374646077791</v>
      </c>
      <c r="AU241" s="269">
        <f t="shared" si="88"/>
        <v>0.26908561513512758</v>
      </c>
    </row>
    <row r="242" spans="1:47" ht="16.350000000000001" customHeight="1">
      <c r="A242" s="175">
        <f t="shared" si="71"/>
        <v>2025</v>
      </c>
      <c r="B242" s="454" t="str">
        <f t="shared" si="72"/>
        <v>28</v>
      </c>
      <c r="C242" s="454" t="str">
        <f t="array" ref="C242">_xlfn.IFS(_xlfn.NUMBERVALUE(B242)&lt;=13,"Q1",AND(_xlfn.NUMBERVALUE(B242)&gt;13,_xlfn.NUMBERVALUE(B242)&lt;=26),"Q2", AND(_xlfn.NUMBERVALUE(B242)&gt;26,_xlfn.NUMBERVALUE(B242)&lt;=39),"Q3",_xlfn.NUMBERVALUE(B242)&gt;39,"Q4")</f>
        <v>Q3</v>
      </c>
      <c r="D242" s="448">
        <f t="shared" si="89"/>
        <v>45507</v>
      </c>
      <c r="E242" s="448">
        <f t="shared" si="73"/>
        <v>45513</v>
      </c>
      <c r="F242" s="97">
        <v>202428</v>
      </c>
      <c r="G242" s="241">
        <v>89411</v>
      </c>
      <c r="H242" s="467">
        <v>75083</v>
      </c>
      <c r="I242" s="521">
        <f t="shared" si="90"/>
        <v>164494</v>
      </c>
      <c r="J242" s="467">
        <v>52936</v>
      </c>
      <c r="K242" s="242">
        <v>63708</v>
      </c>
      <c r="L242" s="241">
        <v>62331</v>
      </c>
      <c r="M242" s="467">
        <v>83493</v>
      </c>
      <c r="N242" s="469">
        <f t="shared" si="92"/>
        <v>145824</v>
      </c>
      <c r="O242" s="467">
        <v>54533</v>
      </c>
      <c r="P242" s="467">
        <v>71347</v>
      </c>
      <c r="Q242" s="241">
        <v>92114</v>
      </c>
      <c r="R242" s="467">
        <v>57731</v>
      </c>
      <c r="S242" s="521">
        <f t="shared" si="91"/>
        <v>149845</v>
      </c>
      <c r="T242" s="467">
        <v>85800</v>
      </c>
      <c r="U242" s="467">
        <v>71308</v>
      </c>
      <c r="V242" s="241">
        <v>59613</v>
      </c>
      <c r="W242" s="467">
        <v>99156</v>
      </c>
      <c r="X242" s="449">
        <f t="shared" si="93"/>
        <v>158769</v>
      </c>
      <c r="Y242" s="467">
        <v>55495</v>
      </c>
      <c r="Z242" s="467">
        <v>66437</v>
      </c>
      <c r="AA242" s="241">
        <v>54675</v>
      </c>
      <c r="AB242" s="467">
        <v>54354</v>
      </c>
      <c r="AC242" s="449">
        <f t="shared" si="94"/>
        <v>109029</v>
      </c>
      <c r="AD242" s="467">
        <v>92110</v>
      </c>
      <c r="AE242" s="467">
        <v>53220</v>
      </c>
      <c r="AF242" s="467">
        <v>54738</v>
      </c>
      <c r="AG242" s="265">
        <f t="shared" si="74"/>
        <v>0.97065592635212883</v>
      </c>
      <c r="AH242" s="515">
        <f t="shared" si="75"/>
        <v>1.3005664201209055</v>
      </c>
      <c r="AI242" s="515">
        <f t="shared" si="76"/>
        <v>1.0977610197203778</v>
      </c>
      <c r="AJ242" s="515">
        <f t="shared" si="77"/>
        <v>0.61696969696969695</v>
      </c>
      <c r="AK242" s="187">
        <f t="shared" si="78"/>
        <v>0.89342009311718185</v>
      </c>
      <c r="AL242" s="266">
        <f t="shared" si="79"/>
        <v>0.69712898860319195</v>
      </c>
      <c r="AM242" s="516">
        <f t="shared" si="80"/>
        <v>1.1120093762902388</v>
      </c>
      <c r="AN242" s="516">
        <f t="shared" si="81"/>
        <v>0.88650041946818725</v>
      </c>
      <c r="AO242" s="516">
        <f t="shared" si="82"/>
        <v>1.030168505364969</v>
      </c>
      <c r="AP242" s="267">
        <f t="shared" si="83"/>
        <v>1.1199064481697747</v>
      </c>
      <c r="AQ242" s="268">
        <f t="shared" si="84"/>
        <v>0.22940773783234697</v>
      </c>
      <c r="AR242" s="450">
        <f t="shared" si="85"/>
        <v>0.30729396696404909</v>
      </c>
      <c r="AS242" s="450">
        <f t="shared" si="86"/>
        <v>0.53670170479639612</v>
      </c>
      <c r="AT242" s="450">
        <f t="shared" si="87"/>
        <v>0.20070738745104968</v>
      </c>
      <c r="AU242" s="269">
        <f t="shared" si="88"/>
        <v>0.26259090775255423</v>
      </c>
    </row>
    <row r="243" spans="1:47" ht="16.350000000000001" customHeight="1">
      <c r="A243" s="175">
        <f t="shared" si="71"/>
        <v>2025</v>
      </c>
      <c r="B243" s="454" t="str">
        <f t="shared" si="72"/>
        <v>29</v>
      </c>
      <c r="C243" s="454" t="str">
        <f t="array" ref="C243">_xlfn.IFS(_xlfn.NUMBERVALUE(B243)&lt;=13,"Q1",AND(_xlfn.NUMBERVALUE(B243)&gt;13,_xlfn.NUMBERVALUE(B243)&lt;=26),"Q2", AND(_xlfn.NUMBERVALUE(B243)&gt;26,_xlfn.NUMBERVALUE(B243)&lt;=39),"Q3",_xlfn.NUMBERVALUE(B243)&gt;39,"Q4")</f>
        <v>Q3</v>
      </c>
      <c r="D243" s="448">
        <f t="shared" si="89"/>
        <v>45514</v>
      </c>
      <c r="E243" s="448">
        <f t="shared" si="73"/>
        <v>45520</v>
      </c>
      <c r="F243" s="97">
        <v>202429</v>
      </c>
      <c r="G243" s="241">
        <v>64395</v>
      </c>
      <c r="H243" s="467">
        <v>62931</v>
      </c>
      <c r="I243" s="521">
        <f t="shared" si="90"/>
        <v>127326</v>
      </c>
      <c r="J243" s="467">
        <v>89972</v>
      </c>
      <c r="K243" s="242">
        <v>64383</v>
      </c>
      <c r="L243" s="241">
        <v>85012</v>
      </c>
      <c r="M243" s="467">
        <v>81912</v>
      </c>
      <c r="N243" s="469">
        <f t="shared" si="92"/>
        <v>166924</v>
      </c>
      <c r="O243" s="467">
        <v>60703</v>
      </c>
      <c r="P243" s="467">
        <v>60887</v>
      </c>
      <c r="Q243" s="241">
        <v>58198</v>
      </c>
      <c r="R243" s="467">
        <v>86278</v>
      </c>
      <c r="S243" s="521">
        <f t="shared" si="91"/>
        <v>144476</v>
      </c>
      <c r="T243" s="467">
        <v>81825</v>
      </c>
      <c r="U243" s="467">
        <v>69918</v>
      </c>
      <c r="V243" s="241">
        <v>93380</v>
      </c>
      <c r="W243" s="467">
        <v>58514</v>
      </c>
      <c r="X243" s="449">
        <f t="shared" si="93"/>
        <v>151894</v>
      </c>
      <c r="Y243" s="467">
        <v>89139</v>
      </c>
      <c r="Z243" s="467">
        <v>89332</v>
      </c>
      <c r="AA243" s="241">
        <v>89152</v>
      </c>
      <c r="AB243" s="467">
        <v>96351</v>
      </c>
      <c r="AC243" s="449">
        <f t="shared" si="94"/>
        <v>185503</v>
      </c>
      <c r="AD243" s="467">
        <v>74548</v>
      </c>
      <c r="AE243" s="467">
        <v>99613</v>
      </c>
      <c r="AF243" s="467">
        <v>97319</v>
      </c>
      <c r="AG243" s="265">
        <f t="shared" si="74"/>
        <v>1.1064813223822125</v>
      </c>
      <c r="AH243" s="515">
        <f t="shared" si="75"/>
        <v>0.72939799253575655</v>
      </c>
      <c r="AI243" s="515">
        <f t="shared" si="76"/>
        <v>0.88129516321049861</v>
      </c>
      <c r="AJ243" s="515">
        <f t="shared" si="77"/>
        <v>1.0995661472655056</v>
      </c>
      <c r="AK243" s="187">
        <f t="shared" si="78"/>
        <v>0.92083583626533938</v>
      </c>
      <c r="AL243" s="266">
        <f t="shared" si="79"/>
        <v>1.320164609053498</v>
      </c>
      <c r="AM243" s="516">
        <f t="shared" si="80"/>
        <v>1.3016160556800305</v>
      </c>
      <c r="AN243" s="516">
        <f t="shared" si="81"/>
        <v>1.3109969684117933</v>
      </c>
      <c r="AO243" s="516">
        <f t="shared" si="82"/>
        <v>0.67468768061174589</v>
      </c>
      <c r="AP243" s="267">
        <f t="shared" si="83"/>
        <v>0.94569995185064382</v>
      </c>
      <c r="AQ243" s="268">
        <f t="shared" si="84"/>
        <v>0.29465467880241514</v>
      </c>
      <c r="AR243" s="450">
        <f t="shared" si="85"/>
        <v>0.28390996624080633</v>
      </c>
      <c r="AS243" s="450">
        <f t="shared" si="86"/>
        <v>0.57856464504322147</v>
      </c>
      <c r="AT243" s="450">
        <f t="shared" si="87"/>
        <v>0.2103988021378512</v>
      </c>
      <c r="AU243" s="269">
        <f t="shared" si="88"/>
        <v>0.21103655281892733</v>
      </c>
    </row>
    <row r="244" spans="1:47" ht="16.350000000000001" customHeight="1">
      <c r="A244" s="175">
        <f t="shared" si="71"/>
        <v>2025</v>
      </c>
      <c r="B244" s="454" t="str">
        <f t="shared" si="72"/>
        <v>30</v>
      </c>
      <c r="C244" s="454" t="str">
        <f t="array" ref="C244">_xlfn.IFS(_xlfn.NUMBERVALUE(B244)&lt;=13,"Q1",AND(_xlfn.NUMBERVALUE(B244)&gt;13,_xlfn.NUMBERVALUE(B244)&lt;=26),"Q2", AND(_xlfn.NUMBERVALUE(B244)&gt;26,_xlfn.NUMBERVALUE(B244)&lt;=39),"Q3",_xlfn.NUMBERVALUE(B244)&gt;39,"Q4")</f>
        <v>Q3</v>
      </c>
      <c r="D244" s="448">
        <f t="shared" si="89"/>
        <v>45521</v>
      </c>
      <c r="E244" s="448">
        <f t="shared" si="73"/>
        <v>45527</v>
      </c>
      <c r="F244" s="97">
        <v>202430</v>
      </c>
      <c r="G244" s="241">
        <v>71591</v>
      </c>
      <c r="H244" s="467">
        <v>99127</v>
      </c>
      <c r="I244" s="521">
        <f t="shared" si="90"/>
        <v>170718</v>
      </c>
      <c r="J244" s="467">
        <v>97767</v>
      </c>
      <c r="K244" s="242">
        <v>79437</v>
      </c>
      <c r="L244" s="241">
        <v>83991</v>
      </c>
      <c r="M244" s="467">
        <v>80826</v>
      </c>
      <c r="N244" s="469">
        <f t="shared" si="92"/>
        <v>164817</v>
      </c>
      <c r="O244" s="467">
        <v>79147</v>
      </c>
      <c r="P244" s="467">
        <v>78130</v>
      </c>
      <c r="Q244" s="241">
        <v>75809</v>
      </c>
      <c r="R244" s="467">
        <v>66656</v>
      </c>
      <c r="S244" s="521">
        <f t="shared" si="91"/>
        <v>142465</v>
      </c>
      <c r="T244" s="467">
        <v>92784</v>
      </c>
      <c r="U244" s="467">
        <v>50141</v>
      </c>
      <c r="V244" s="241">
        <v>58441</v>
      </c>
      <c r="W244" s="467">
        <v>71796</v>
      </c>
      <c r="X244" s="449">
        <f t="shared" si="93"/>
        <v>130237</v>
      </c>
      <c r="Y244" s="467">
        <v>79872</v>
      </c>
      <c r="Z244" s="467">
        <v>93990</v>
      </c>
      <c r="AA244" s="241">
        <v>83274</v>
      </c>
      <c r="AB244" s="467">
        <v>79938</v>
      </c>
      <c r="AC244" s="449">
        <f t="shared" si="94"/>
        <v>163212</v>
      </c>
      <c r="AD244" s="467">
        <v>80064</v>
      </c>
      <c r="AE244" s="467">
        <v>83979</v>
      </c>
      <c r="AF244" s="467">
        <v>78529</v>
      </c>
      <c r="AG244" s="265">
        <f t="shared" si="74"/>
        <v>0.94436016831774594</v>
      </c>
      <c r="AH244" s="515">
        <f t="shared" si="75"/>
        <v>1.4871429428708594</v>
      </c>
      <c r="AI244" s="515">
        <f t="shared" si="76"/>
        <v>1.1983153757063139</v>
      </c>
      <c r="AJ244" s="515">
        <f t="shared" si="77"/>
        <v>1.0537053802379721</v>
      </c>
      <c r="AK244" s="187">
        <f t="shared" si="78"/>
        <v>1.5842723519674518</v>
      </c>
      <c r="AL244" s="266">
        <f t="shared" si="79"/>
        <v>1.1732061292620581</v>
      </c>
      <c r="AM244" s="516">
        <f t="shared" si="80"/>
        <v>0.81537825214119264</v>
      </c>
      <c r="AN244" s="516">
        <f t="shared" si="81"/>
        <v>0.96543422486205321</v>
      </c>
      <c r="AO244" s="516">
        <f t="shared" si="82"/>
        <v>0.80954718872421161</v>
      </c>
      <c r="AP244" s="267">
        <f t="shared" si="83"/>
        <v>0.9835467099714239</v>
      </c>
      <c r="AQ244" s="268">
        <f t="shared" si="84"/>
        <v>0.26076549081945022</v>
      </c>
      <c r="AR244" s="450">
        <f t="shared" si="85"/>
        <v>0.25093916682707534</v>
      </c>
      <c r="AS244" s="450">
        <f t="shared" si="86"/>
        <v>0.51170465764652551</v>
      </c>
      <c r="AT244" s="450">
        <f t="shared" si="87"/>
        <v>0.24572640285134154</v>
      </c>
      <c r="AU244" s="269">
        <f t="shared" si="88"/>
        <v>0.24256893950213293</v>
      </c>
    </row>
    <row r="245" spans="1:47" ht="16.350000000000001" customHeight="1">
      <c r="A245" s="175">
        <f t="shared" si="71"/>
        <v>2025</v>
      </c>
      <c r="B245" s="454" t="str">
        <f t="shared" si="72"/>
        <v>31</v>
      </c>
      <c r="C245" s="454" t="str">
        <f t="array" ref="C245">_xlfn.IFS(_xlfn.NUMBERVALUE(B245)&lt;=13,"Q1",AND(_xlfn.NUMBERVALUE(B245)&gt;13,_xlfn.NUMBERVALUE(B245)&lt;=26),"Q2", AND(_xlfn.NUMBERVALUE(B245)&gt;26,_xlfn.NUMBERVALUE(B245)&lt;=39),"Q3",_xlfn.NUMBERVALUE(B245)&gt;39,"Q4")</f>
        <v>Q3</v>
      </c>
      <c r="D245" s="448">
        <f t="shared" si="89"/>
        <v>45528</v>
      </c>
      <c r="E245" s="448">
        <f t="shared" si="73"/>
        <v>45534</v>
      </c>
      <c r="F245" s="97">
        <v>202431</v>
      </c>
      <c r="G245" s="241">
        <v>63246</v>
      </c>
      <c r="H245" s="467">
        <v>52915</v>
      </c>
      <c r="I245" s="521">
        <f t="shared" si="90"/>
        <v>116161</v>
      </c>
      <c r="J245" s="467">
        <v>64764</v>
      </c>
      <c r="K245" s="242">
        <v>56212</v>
      </c>
      <c r="L245" s="241">
        <v>95553</v>
      </c>
      <c r="M245" s="467">
        <v>68404</v>
      </c>
      <c r="N245" s="469">
        <f t="shared" si="92"/>
        <v>163957</v>
      </c>
      <c r="O245" s="467">
        <v>79684</v>
      </c>
      <c r="P245" s="467">
        <v>55265</v>
      </c>
      <c r="Q245" s="241">
        <v>65247</v>
      </c>
      <c r="R245" s="467">
        <v>51706</v>
      </c>
      <c r="S245" s="521">
        <f t="shared" si="91"/>
        <v>116953</v>
      </c>
      <c r="T245" s="467">
        <v>86845</v>
      </c>
      <c r="U245" s="467">
        <v>91065</v>
      </c>
      <c r="V245" s="241">
        <v>64398</v>
      </c>
      <c r="W245" s="467">
        <v>72367</v>
      </c>
      <c r="X245" s="449">
        <f t="shared" si="93"/>
        <v>136765</v>
      </c>
      <c r="Y245" s="467">
        <v>69708</v>
      </c>
      <c r="Z245" s="467">
        <v>88947</v>
      </c>
      <c r="AA245" s="241">
        <v>93293</v>
      </c>
      <c r="AB245" s="467">
        <v>63768</v>
      </c>
      <c r="AC245" s="449">
        <f t="shared" si="94"/>
        <v>157061</v>
      </c>
      <c r="AD245" s="467">
        <v>85351</v>
      </c>
      <c r="AE245" s="467">
        <v>64856</v>
      </c>
      <c r="AF245" s="467">
        <v>52767</v>
      </c>
      <c r="AG245" s="265">
        <f t="shared" si="74"/>
        <v>0.96933192330681872</v>
      </c>
      <c r="AH245" s="515">
        <f t="shared" si="75"/>
        <v>1.0233821993579082</v>
      </c>
      <c r="AI245" s="515">
        <f t="shared" si="76"/>
        <v>0.99322804887433414</v>
      </c>
      <c r="AJ245" s="515">
        <f t="shared" si="77"/>
        <v>0.74574241464678448</v>
      </c>
      <c r="AK245" s="187">
        <f t="shared" si="78"/>
        <v>0.61727337615988576</v>
      </c>
      <c r="AL245" s="266">
        <f t="shared" si="79"/>
        <v>1.5108149131960915</v>
      </c>
      <c r="AM245" s="516">
        <f t="shared" si="80"/>
        <v>1.2927147311726355</v>
      </c>
      <c r="AN245" s="516">
        <f t="shared" si="81"/>
        <v>1.4114633999362953</v>
      </c>
      <c r="AO245" s="516">
        <f t="shared" si="82"/>
        <v>1.2303748996356001</v>
      </c>
      <c r="AP245" s="267">
        <f t="shared" si="83"/>
        <v>0.98315306340283215</v>
      </c>
      <c r="AQ245" s="268">
        <f t="shared" si="84"/>
        <v>0.3196757509049668</v>
      </c>
      <c r="AR245" s="450">
        <f t="shared" si="85"/>
        <v>0.22884786521515124</v>
      </c>
      <c r="AS245" s="450">
        <f t="shared" si="86"/>
        <v>0.54852361612011802</v>
      </c>
      <c r="AT245" s="450">
        <f t="shared" si="87"/>
        <v>0.26658548172335117</v>
      </c>
      <c r="AU245" s="269">
        <f t="shared" si="88"/>
        <v>0.18489090215653081</v>
      </c>
    </row>
    <row r="246" spans="1:47" ht="16.350000000000001" customHeight="1">
      <c r="A246" s="175">
        <f t="shared" si="71"/>
        <v>2025</v>
      </c>
      <c r="B246" s="454" t="str">
        <f t="shared" si="72"/>
        <v>32</v>
      </c>
      <c r="C246" s="454" t="str">
        <f t="array" ref="C246">_xlfn.IFS(_xlfn.NUMBERVALUE(B246)&lt;=13,"Q1",AND(_xlfn.NUMBERVALUE(B246)&gt;13,_xlfn.NUMBERVALUE(B246)&lt;=26),"Q2", AND(_xlfn.NUMBERVALUE(B246)&gt;26,_xlfn.NUMBERVALUE(B246)&lt;=39),"Q3",_xlfn.NUMBERVALUE(B246)&gt;39,"Q4")</f>
        <v>Q3</v>
      </c>
      <c r="D246" s="448">
        <f t="shared" si="89"/>
        <v>45535</v>
      </c>
      <c r="E246" s="448">
        <f t="shared" si="73"/>
        <v>45541</v>
      </c>
      <c r="F246" s="97">
        <v>202432</v>
      </c>
      <c r="G246" s="241">
        <v>91806</v>
      </c>
      <c r="H246" s="467">
        <v>77293</v>
      </c>
      <c r="I246" s="521">
        <f t="shared" si="90"/>
        <v>169099</v>
      </c>
      <c r="J246" s="467">
        <v>57756</v>
      </c>
      <c r="K246" s="242">
        <v>60171</v>
      </c>
      <c r="L246" s="241">
        <v>96892</v>
      </c>
      <c r="M246" s="467">
        <v>97686</v>
      </c>
      <c r="N246" s="469">
        <f t="shared" si="92"/>
        <v>194578</v>
      </c>
      <c r="O246" s="467">
        <v>79829</v>
      </c>
      <c r="P246" s="467">
        <v>88528</v>
      </c>
      <c r="Q246" s="241">
        <v>99756</v>
      </c>
      <c r="R246" s="467">
        <v>92532</v>
      </c>
      <c r="S246" s="521">
        <f t="shared" si="91"/>
        <v>192288</v>
      </c>
      <c r="T246" s="467">
        <v>61152</v>
      </c>
      <c r="U246" s="467">
        <v>69594</v>
      </c>
      <c r="V246" s="241">
        <v>57584</v>
      </c>
      <c r="W246" s="467">
        <v>73818</v>
      </c>
      <c r="X246" s="449">
        <f t="shared" si="93"/>
        <v>131402</v>
      </c>
      <c r="Y246" s="467">
        <v>87143</v>
      </c>
      <c r="Z246" s="467">
        <v>83297</v>
      </c>
      <c r="AA246" s="241">
        <v>69875</v>
      </c>
      <c r="AB246" s="467">
        <v>85453</v>
      </c>
      <c r="AC246" s="449">
        <f t="shared" si="94"/>
        <v>155328</v>
      </c>
      <c r="AD246" s="467">
        <v>99312</v>
      </c>
      <c r="AE246" s="467">
        <v>55483</v>
      </c>
      <c r="AF246" s="467">
        <v>54479</v>
      </c>
      <c r="AG246" s="265">
        <f t="shared" si="74"/>
        <v>0.92030554553109589</v>
      </c>
      <c r="AH246" s="515">
        <f t="shared" si="75"/>
        <v>0.83531102753641984</v>
      </c>
      <c r="AI246" s="515">
        <f t="shared" si="76"/>
        <v>0.87940485105674826</v>
      </c>
      <c r="AJ246" s="515">
        <f t="shared" si="77"/>
        <v>0.94446624803767665</v>
      </c>
      <c r="AK246" s="187">
        <f t="shared" si="78"/>
        <v>0.86460039658591259</v>
      </c>
      <c r="AL246" s="266">
        <f t="shared" si="79"/>
        <v>1.055399429231205</v>
      </c>
      <c r="AM246" s="516">
        <f t="shared" si="80"/>
        <v>1.2638401925141993</v>
      </c>
      <c r="AN246" s="516">
        <f t="shared" si="81"/>
        <v>1.150675048344461</v>
      </c>
      <c r="AO246" s="516">
        <f t="shared" si="82"/>
        <v>1.3821767435417964</v>
      </c>
      <c r="AP246" s="267">
        <f t="shared" si="83"/>
        <v>1.4712735370859717</v>
      </c>
      <c r="AQ246" s="268">
        <f t="shared" si="84"/>
        <v>0.26696791436483119</v>
      </c>
      <c r="AR246" s="450">
        <f t="shared" si="85"/>
        <v>0.26915563392894043</v>
      </c>
      <c r="AS246" s="450">
        <f t="shared" si="86"/>
        <v>0.53612354829377162</v>
      </c>
      <c r="AT246" s="450">
        <f t="shared" si="87"/>
        <v>0.21995398625098159</v>
      </c>
      <c r="AU246" s="269">
        <f t="shared" si="88"/>
        <v>0.24392246545524682</v>
      </c>
    </row>
    <row r="247" spans="1:47" ht="16.350000000000001" customHeight="1">
      <c r="A247" s="175">
        <f t="shared" si="71"/>
        <v>2025</v>
      </c>
      <c r="B247" s="454" t="str">
        <f t="shared" si="72"/>
        <v>33</v>
      </c>
      <c r="C247" s="454" t="str">
        <f t="array" ref="C247">_xlfn.IFS(_xlfn.NUMBERVALUE(B247)&lt;=13,"Q1",AND(_xlfn.NUMBERVALUE(B247)&gt;13,_xlfn.NUMBERVALUE(B247)&lt;=26),"Q2", AND(_xlfn.NUMBERVALUE(B247)&gt;26,_xlfn.NUMBERVALUE(B247)&lt;=39),"Q3",_xlfn.NUMBERVALUE(B247)&gt;39,"Q4")</f>
        <v>Q3</v>
      </c>
      <c r="D247" s="448">
        <f t="shared" si="89"/>
        <v>45542</v>
      </c>
      <c r="E247" s="448">
        <f t="shared" si="73"/>
        <v>45548</v>
      </c>
      <c r="F247" s="97">
        <v>202433</v>
      </c>
      <c r="G247" s="241">
        <v>56696</v>
      </c>
      <c r="H247" s="467">
        <v>85844</v>
      </c>
      <c r="I247" s="521">
        <f t="shared" si="90"/>
        <v>142540</v>
      </c>
      <c r="J247" s="467">
        <v>86550</v>
      </c>
      <c r="K247" s="242">
        <v>50618</v>
      </c>
      <c r="L247" s="241">
        <v>62909</v>
      </c>
      <c r="M247" s="467">
        <v>96341</v>
      </c>
      <c r="N247" s="469">
        <f t="shared" si="92"/>
        <v>159250</v>
      </c>
      <c r="O247" s="467">
        <v>58965</v>
      </c>
      <c r="P247" s="467">
        <v>84337</v>
      </c>
      <c r="Q247" s="241">
        <v>94430</v>
      </c>
      <c r="R247" s="467">
        <v>89691</v>
      </c>
      <c r="S247" s="521">
        <f t="shared" si="91"/>
        <v>184121</v>
      </c>
      <c r="T247" s="467">
        <v>94299</v>
      </c>
      <c r="U247" s="467">
        <v>92645</v>
      </c>
      <c r="V247" s="241">
        <v>61132</v>
      </c>
      <c r="W247" s="467">
        <v>58603</v>
      </c>
      <c r="X247" s="449">
        <f t="shared" si="93"/>
        <v>119735</v>
      </c>
      <c r="Y247" s="467">
        <v>91540</v>
      </c>
      <c r="Z247" s="467">
        <v>81767</v>
      </c>
      <c r="AA247" s="241">
        <v>62228</v>
      </c>
      <c r="AB247" s="467">
        <v>58722</v>
      </c>
      <c r="AC247" s="449">
        <f t="shared" si="94"/>
        <v>120950</v>
      </c>
      <c r="AD247" s="467">
        <v>83921</v>
      </c>
      <c r="AE247" s="467">
        <v>91656</v>
      </c>
      <c r="AF247" s="467">
        <v>59173</v>
      </c>
      <c r="AG247" s="265">
        <f t="shared" si="74"/>
        <v>0.60040241448692155</v>
      </c>
      <c r="AH247" s="515">
        <f t="shared" si="75"/>
        <v>0.95710829403173114</v>
      </c>
      <c r="AI247" s="515">
        <f t="shared" si="76"/>
        <v>0.77416481552891847</v>
      </c>
      <c r="AJ247" s="515">
        <f t="shared" si="77"/>
        <v>0.9178252155378106</v>
      </c>
      <c r="AK247" s="187">
        <f t="shared" si="78"/>
        <v>0.54636515732095636</v>
      </c>
      <c r="AL247" s="266">
        <f t="shared" si="79"/>
        <v>1.1095844504021448</v>
      </c>
      <c r="AM247" s="516">
        <f t="shared" si="80"/>
        <v>1.1222799496761569</v>
      </c>
      <c r="AN247" s="516">
        <f t="shared" si="81"/>
        <v>1.1172302511575698</v>
      </c>
      <c r="AO247" s="516">
        <f t="shared" si="82"/>
        <v>0.68128249566724441</v>
      </c>
      <c r="AP247" s="267">
        <f t="shared" si="83"/>
        <v>1.6661464301236715</v>
      </c>
      <c r="AQ247" s="268">
        <f t="shared" si="84"/>
        <v>0.20792789338692191</v>
      </c>
      <c r="AR247" s="450">
        <f t="shared" si="85"/>
        <v>0.31842790660778975</v>
      </c>
      <c r="AS247" s="450">
        <f t="shared" si="86"/>
        <v>0.5263557999947116</v>
      </c>
      <c r="AT247" s="450">
        <f t="shared" si="87"/>
        <v>0.19489211771860704</v>
      </c>
      <c r="AU247" s="269">
        <f t="shared" si="88"/>
        <v>0.2787520822866813</v>
      </c>
    </row>
    <row r="248" spans="1:47" ht="16.350000000000001" customHeight="1">
      <c r="A248" s="175">
        <f t="shared" si="71"/>
        <v>2025</v>
      </c>
      <c r="B248" s="454" t="str">
        <f t="shared" si="72"/>
        <v>34</v>
      </c>
      <c r="C248" s="454" t="str">
        <f t="array" ref="C248">_xlfn.IFS(_xlfn.NUMBERVALUE(B248)&lt;=13,"Q1",AND(_xlfn.NUMBERVALUE(B248)&gt;13,_xlfn.NUMBERVALUE(B248)&lt;=26),"Q2", AND(_xlfn.NUMBERVALUE(B248)&gt;26,_xlfn.NUMBERVALUE(B248)&lt;=39),"Q3",_xlfn.NUMBERVALUE(B248)&gt;39,"Q4")</f>
        <v>Q3</v>
      </c>
      <c r="D248" s="448">
        <f t="shared" si="89"/>
        <v>45549</v>
      </c>
      <c r="E248" s="448">
        <f t="shared" si="73"/>
        <v>45555</v>
      </c>
      <c r="F248" s="97">
        <v>202434</v>
      </c>
      <c r="G248" s="241">
        <v>56616</v>
      </c>
      <c r="H248" s="467">
        <v>85873</v>
      </c>
      <c r="I248" s="521">
        <f t="shared" si="90"/>
        <v>142489</v>
      </c>
      <c r="J248" s="467">
        <v>58200</v>
      </c>
      <c r="K248" s="242">
        <v>55315</v>
      </c>
      <c r="L248" s="241">
        <v>62866</v>
      </c>
      <c r="M248" s="467">
        <v>87187</v>
      </c>
      <c r="N248" s="469">
        <f t="shared" si="92"/>
        <v>150053</v>
      </c>
      <c r="O248" s="467">
        <v>67263</v>
      </c>
      <c r="P248" s="467">
        <v>78792</v>
      </c>
      <c r="Q248" s="241">
        <v>70253</v>
      </c>
      <c r="R248" s="467">
        <v>67933</v>
      </c>
      <c r="S248" s="521">
        <f t="shared" si="91"/>
        <v>138186</v>
      </c>
      <c r="T248" s="467">
        <v>79367</v>
      </c>
      <c r="U248" s="467">
        <v>91347</v>
      </c>
      <c r="V248" s="241">
        <v>99365</v>
      </c>
      <c r="W248" s="467">
        <v>98864</v>
      </c>
      <c r="X248" s="449">
        <f t="shared" si="93"/>
        <v>198229</v>
      </c>
      <c r="Y248" s="467">
        <v>70879</v>
      </c>
      <c r="Z248" s="467">
        <v>76165</v>
      </c>
      <c r="AA248" s="241">
        <v>96742</v>
      </c>
      <c r="AB248" s="467">
        <v>68236</v>
      </c>
      <c r="AC248" s="449">
        <f t="shared" si="94"/>
        <v>164978</v>
      </c>
      <c r="AD248" s="467">
        <v>97422</v>
      </c>
      <c r="AE248" s="467">
        <v>76451</v>
      </c>
      <c r="AF248" s="467">
        <v>96793</v>
      </c>
      <c r="AG248" s="265">
        <f t="shared" si="74"/>
        <v>0.80588729306933515</v>
      </c>
      <c r="AH248" s="515">
        <f t="shared" si="75"/>
        <v>1.2640837295570635</v>
      </c>
      <c r="AI248" s="515">
        <f t="shared" si="76"/>
        <v>1.0311391892087476</v>
      </c>
      <c r="AJ248" s="515">
        <f t="shared" si="77"/>
        <v>0.73330225408545113</v>
      </c>
      <c r="AK248" s="187">
        <f t="shared" si="78"/>
        <v>0.60554807492309548</v>
      </c>
      <c r="AL248" s="266">
        <f t="shared" si="79"/>
        <v>1.1103928218171542</v>
      </c>
      <c r="AM248" s="516">
        <f t="shared" si="80"/>
        <v>1.0153016664143562</v>
      </c>
      <c r="AN248" s="516">
        <f t="shared" si="81"/>
        <v>1.0530847995283847</v>
      </c>
      <c r="AO248" s="516">
        <f t="shared" si="82"/>
        <v>1.1557216494845362</v>
      </c>
      <c r="AP248" s="267">
        <f t="shared" si="83"/>
        <v>1.4244237548585374</v>
      </c>
      <c r="AQ248" s="268">
        <f t="shared" si="84"/>
        <v>0.21230767152525429</v>
      </c>
      <c r="AR248" s="450">
        <f t="shared" si="85"/>
        <v>0.29444324368135949</v>
      </c>
      <c r="AS248" s="450">
        <f t="shared" si="86"/>
        <v>0.50675091520661375</v>
      </c>
      <c r="AT248" s="450">
        <f t="shared" si="87"/>
        <v>0.22715698326286354</v>
      </c>
      <c r="AU248" s="269">
        <f t="shared" si="88"/>
        <v>0.26609210153052265</v>
      </c>
    </row>
    <row r="249" spans="1:47" ht="16.350000000000001" customHeight="1">
      <c r="A249" s="175">
        <f t="shared" si="71"/>
        <v>2025</v>
      </c>
      <c r="B249" s="454" t="str">
        <f t="shared" si="72"/>
        <v>35</v>
      </c>
      <c r="C249" s="454" t="str">
        <f t="array" ref="C249">_xlfn.IFS(_xlfn.NUMBERVALUE(B249)&lt;=13,"Q1",AND(_xlfn.NUMBERVALUE(B249)&gt;13,_xlfn.NUMBERVALUE(B249)&lt;=26),"Q2", AND(_xlfn.NUMBERVALUE(B249)&gt;26,_xlfn.NUMBERVALUE(B249)&lt;=39),"Q3",_xlfn.NUMBERVALUE(B249)&gt;39,"Q4")</f>
        <v>Q3</v>
      </c>
      <c r="D249" s="448">
        <f t="shared" si="89"/>
        <v>45556</v>
      </c>
      <c r="E249" s="448">
        <f t="shared" si="73"/>
        <v>45562</v>
      </c>
      <c r="F249" s="97">
        <v>202435</v>
      </c>
      <c r="G249" s="241">
        <v>80682</v>
      </c>
      <c r="H249" s="467">
        <v>52132</v>
      </c>
      <c r="I249" s="521">
        <f t="shared" si="90"/>
        <v>132814</v>
      </c>
      <c r="J249" s="467">
        <v>83594</v>
      </c>
      <c r="K249" s="242">
        <v>93857</v>
      </c>
      <c r="L249" s="241">
        <v>70815</v>
      </c>
      <c r="M249" s="467">
        <v>79237</v>
      </c>
      <c r="N249" s="469">
        <f t="shared" si="92"/>
        <v>150052</v>
      </c>
      <c r="O249" s="467">
        <v>81079</v>
      </c>
      <c r="P249" s="467">
        <v>73413</v>
      </c>
      <c r="Q249" s="241">
        <v>82553</v>
      </c>
      <c r="R249" s="467">
        <v>91074</v>
      </c>
      <c r="S249" s="521">
        <f t="shared" si="91"/>
        <v>173627</v>
      </c>
      <c r="T249" s="467">
        <v>73684</v>
      </c>
      <c r="U249" s="467">
        <v>82682</v>
      </c>
      <c r="V249" s="241">
        <v>76825</v>
      </c>
      <c r="W249" s="467">
        <v>69215</v>
      </c>
      <c r="X249" s="449">
        <f t="shared" si="93"/>
        <v>146040</v>
      </c>
      <c r="Y249" s="467">
        <v>99470</v>
      </c>
      <c r="Z249" s="467">
        <v>57713</v>
      </c>
      <c r="AA249" s="241">
        <v>89408</v>
      </c>
      <c r="AB249" s="467">
        <v>91031</v>
      </c>
      <c r="AC249" s="449">
        <f t="shared" si="94"/>
        <v>180439</v>
      </c>
      <c r="AD249" s="467">
        <v>67219</v>
      </c>
      <c r="AE249" s="467">
        <v>81700</v>
      </c>
      <c r="AF249" s="467">
        <v>71456</v>
      </c>
      <c r="AG249" s="265">
        <f t="shared" si="74"/>
        <v>0.97733577217060552</v>
      </c>
      <c r="AH249" s="515">
        <f t="shared" si="75"/>
        <v>0.57241364165403952</v>
      </c>
      <c r="AI249" s="515">
        <f t="shared" si="76"/>
        <v>0.76493863281632468</v>
      </c>
      <c r="AJ249" s="515">
        <f t="shared" si="77"/>
        <v>1.1344932414092612</v>
      </c>
      <c r="AK249" s="187">
        <f t="shared" si="78"/>
        <v>1.1351563822839312</v>
      </c>
      <c r="AL249" s="266">
        <f t="shared" si="79"/>
        <v>0.87770506432661555</v>
      </c>
      <c r="AM249" s="516">
        <f t="shared" si="80"/>
        <v>1.5199301772423848</v>
      </c>
      <c r="AN249" s="516">
        <f t="shared" si="81"/>
        <v>1.129790534130438</v>
      </c>
      <c r="AO249" s="516">
        <f t="shared" si="82"/>
        <v>0.96991410866808625</v>
      </c>
      <c r="AP249" s="267">
        <f t="shared" si="83"/>
        <v>0.78217927272339838</v>
      </c>
      <c r="AQ249" s="268">
        <f t="shared" si="84"/>
        <v>0.23252797625302091</v>
      </c>
      <c r="AR249" s="450">
        <f t="shared" si="85"/>
        <v>0.26018243669223495</v>
      </c>
      <c r="AS249" s="450">
        <f t="shared" si="86"/>
        <v>0.49271041294525586</v>
      </c>
      <c r="AT249" s="450">
        <f t="shared" si="87"/>
        <v>0.26623082378900914</v>
      </c>
      <c r="AU249" s="269">
        <f t="shared" si="88"/>
        <v>0.241058763265735</v>
      </c>
    </row>
    <row r="250" spans="1:47" ht="16.350000000000001" customHeight="1">
      <c r="A250" s="175">
        <f t="shared" si="71"/>
        <v>2025</v>
      </c>
      <c r="B250" s="454" t="str">
        <f t="shared" si="72"/>
        <v>36</v>
      </c>
      <c r="C250" s="454" t="str">
        <f t="array" ref="C250">_xlfn.IFS(_xlfn.NUMBERVALUE(B250)&lt;=13,"Q1",AND(_xlfn.NUMBERVALUE(B250)&gt;13,_xlfn.NUMBERVALUE(B250)&lt;=26),"Q2", AND(_xlfn.NUMBERVALUE(B250)&gt;26,_xlfn.NUMBERVALUE(B250)&lt;=39),"Q3",_xlfn.NUMBERVALUE(B250)&gt;39,"Q4")</f>
        <v>Q3</v>
      </c>
      <c r="D250" s="448">
        <f t="shared" si="89"/>
        <v>45563</v>
      </c>
      <c r="E250" s="448">
        <f t="shared" si="73"/>
        <v>45569</v>
      </c>
      <c r="F250" s="97">
        <v>202436</v>
      </c>
      <c r="G250" s="241">
        <v>97879</v>
      </c>
      <c r="H250" s="467">
        <v>96400</v>
      </c>
      <c r="I250" s="521">
        <f t="shared" si="90"/>
        <v>194279</v>
      </c>
      <c r="J250" s="467">
        <v>63877</v>
      </c>
      <c r="K250" s="242">
        <v>53166</v>
      </c>
      <c r="L250" s="241">
        <v>76884</v>
      </c>
      <c r="M250" s="467">
        <v>91410</v>
      </c>
      <c r="N250" s="469">
        <f t="shared" si="92"/>
        <v>168294</v>
      </c>
      <c r="O250" s="467">
        <v>95241</v>
      </c>
      <c r="P250" s="467">
        <v>91566</v>
      </c>
      <c r="Q250" s="241">
        <v>78072</v>
      </c>
      <c r="R250" s="467">
        <v>57910</v>
      </c>
      <c r="S250" s="521">
        <f t="shared" si="91"/>
        <v>135982</v>
      </c>
      <c r="T250" s="467">
        <v>56305</v>
      </c>
      <c r="U250" s="467">
        <v>87142</v>
      </c>
      <c r="V250" s="241">
        <v>73716</v>
      </c>
      <c r="W250" s="467">
        <v>65347</v>
      </c>
      <c r="X250" s="449">
        <f t="shared" si="93"/>
        <v>139063</v>
      </c>
      <c r="Y250" s="467">
        <v>79268</v>
      </c>
      <c r="Z250" s="467">
        <v>76648</v>
      </c>
      <c r="AA250" s="241">
        <v>56072</v>
      </c>
      <c r="AB250" s="467">
        <v>95753</v>
      </c>
      <c r="AC250" s="449">
        <f t="shared" si="94"/>
        <v>151825</v>
      </c>
      <c r="AD250" s="467">
        <v>91221</v>
      </c>
      <c r="AE250" s="467">
        <v>93147</v>
      </c>
      <c r="AF250" s="467">
        <v>56371</v>
      </c>
      <c r="AG250" s="265">
        <f t="shared" si="74"/>
        <v>1.2537017112409059</v>
      </c>
      <c r="AH250" s="515">
        <f t="shared" si="75"/>
        <v>1.6646520462787084</v>
      </c>
      <c r="AI250" s="515">
        <f t="shared" si="76"/>
        <v>1.4287111529467136</v>
      </c>
      <c r="AJ250" s="515">
        <f t="shared" si="77"/>
        <v>1.1344818399786876</v>
      </c>
      <c r="AK250" s="187">
        <f t="shared" si="78"/>
        <v>0.61010764040302035</v>
      </c>
      <c r="AL250" s="266">
        <f t="shared" si="79"/>
        <v>0.78550046485967373</v>
      </c>
      <c r="AM250" s="516">
        <f t="shared" si="80"/>
        <v>0.94823651452282154</v>
      </c>
      <c r="AN250" s="516">
        <f t="shared" si="81"/>
        <v>0.86624905419525533</v>
      </c>
      <c r="AO250" s="516">
        <f t="shared" si="82"/>
        <v>1.4910061524492384</v>
      </c>
      <c r="AP250" s="267">
        <f t="shared" si="83"/>
        <v>1.7222661099198735</v>
      </c>
      <c r="AQ250" s="268">
        <f t="shared" si="84"/>
        <v>0.21651304840031427</v>
      </c>
      <c r="AR250" s="450">
        <f t="shared" si="85"/>
        <v>0.25741972002331731</v>
      </c>
      <c r="AS250" s="450">
        <f t="shared" si="86"/>
        <v>0.47393276842363158</v>
      </c>
      <c r="AT250" s="450">
        <f t="shared" si="87"/>
        <v>0.26820819992058598</v>
      </c>
      <c r="AU250" s="269">
        <f t="shared" si="88"/>
        <v>0.25785903165578244</v>
      </c>
    </row>
    <row r="251" spans="1:47" ht="16.350000000000001" customHeight="1">
      <c r="A251" s="175">
        <f t="shared" si="71"/>
        <v>2025</v>
      </c>
      <c r="B251" s="454" t="str">
        <f t="shared" si="72"/>
        <v>37</v>
      </c>
      <c r="C251" s="454" t="str">
        <f t="array" ref="C251">_xlfn.IFS(_xlfn.NUMBERVALUE(B251)&lt;=13,"Q1",AND(_xlfn.NUMBERVALUE(B251)&gt;13,_xlfn.NUMBERVALUE(B251)&lt;=26),"Q2", AND(_xlfn.NUMBERVALUE(B251)&gt;26,_xlfn.NUMBERVALUE(B251)&lt;=39),"Q3",_xlfn.NUMBERVALUE(B251)&gt;39,"Q4")</f>
        <v>Q3</v>
      </c>
      <c r="D251" s="448">
        <f t="shared" si="89"/>
        <v>45570</v>
      </c>
      <c r="E251" s="448">
        <f t="shared" si="73"/>
        <v>45576</v>
      </c>
      <c r="F251" s="97">
        <v>202437</v>
      </c>
      <c r="G251" s="241">
        <v>88031</v>
      </c>
      <c r="H251" s="467">
        <v>70081</v>
      </c>
      <c r="I251" s="521">
        <f t="shared" si="90"/>
        <v>158112</v>
      </c>
      <c r="J251" s="467">
        <v>75280</v>
      </c>
      <c r="K251" s="242">
        <v>53145</v>
      </c>
      <c r="L251" s="241">
        <v>83328</v>
      </c>
      <c r="M251" s="467">
        <v>70529</v>
      </c>
      <c r="N251" s="469">
        <f t="shared" si="92"/>
        <v>153857</v>
      </c>
      <c r="O251" s="467">
        <v>57066</v>
      </c>
      <c r="P251" s="467">
        <v>64258</v>
      </c>
      <c r="Q251" s="241">
        <v>98937</v>
      </c>
      <c r="R251" s="467">
        <v>66407</v>
      </c>
      <c r="S251" s="521">
        <f t="shared" si="91"/>
        <v>165344</v>
      </c>
      <c r="T251" s="467">
        <v>56381</v>
      </c>
      <c r="U251" s="467">
        <v>78247</v>
      </c>
      <c r="V251" s="241">
        <v>50668</v>
      </c>
      <c r="W251" s="467">
        <v>61736</v>
      </c>
      <c r="X251" s="449">
        <f t="shared" si="93"/>
        <v>112404</v>
      </c>
      <c r="Y251" s="467">
        <v>66842</v>
      </c>
      <c r="Z251" s="467">
        <v>76352</v>
      </c>
      <c r="AA251" s="241">
        <v>72738</v>
      </c>
      <c r="AB251" s="467">
        <v>63182</v>
      </c>
      <c r="AC251" s="449">
        <f t="shared" si="94"/>
        <v>135920</v>
      </c>
      <c r="AD251" s="467">
        <v>96857</v>
      </c>
      <c r="AE251" s="467">
        <v>51372</v>
      </c>
      <c r="AF251" s="467">
        <v>94350</v>
      </c>
      <c r="AG251" s="265">
        <f t="shared" si="74"/>
        <v>0.8897682363524263</v>
      </c>
      <c r="AH251" s="515">
        <f t="shared" si="75"/>
        <v>1.0553254927944342</v>
      </c>
      <c r="AI251" s="515">
        <f t="shared" si="76"/>
        <v>0.95626088639442619</v>
      </c>
      <c r="AJ251" s="515">
        <f t="shared" si="77"/>
        <v>1.3352015749986699</v>
      </c>
      <c r="AK251" s="187">
        <f t="shared" si="78"/>
        <v>0.67919536851253082</v>
      </c>
      <c r="AL251" s="266">
        <f t="shared" si="79"/>
        <v>0.9465756381274778</v>
      </c>
      <c r="AM251" s="516">
        <f t="shared" si="80"/>
        <v>1.006392602845279</v>
      </c>
      <c r="AN251" s="516">
        <f t="shared" si="81"/>
        <v>0.97308869662011743</v>
      </c>
      <c r="AO251" s="516">
        <f t="shared" si="82"/>
        <v>0.75804994686503724</v>
      </c>
      <c r="AP251" s="267">
        <f t="shared" si="83"/>
        <v>1.2091071596575407</v>
      </c>
      <c r="AQ251" s="268">
        <f t="shared" si="84"/>
        <v>0.30281160399882262</v>
      </c>
      <c r="AR251" s="450">
        <f t="shared" si="85"/>
        <v>0.25630039864670889</v>
      </c>
      <c r="AS251" s="450">
        <f t="shared" si="86"/>
        <v>0.55911200264553151</v>
      </c>
      <c r="AT251" s="450">
        <f t="shared" si="87"/>
        <v>0.20737623600466601</v>
      </c>
      <c r="AU251" s="269">
        <f t="shared" si="88"/>
        <v>0.2335117613498025</v>
      </c>
    </row>
    <row r="252" spans="1:47" ht="16.350000000000001" customHeight="1">
      <c r="A252" s="175">
        <f t="shared" si="71"/>
        <v>2025</v>
      </c>
      <c r="B252" s="454" t="str">
        <f t="shared" si="72"/>
        <v>38</v>
      </c>
      <c r="C252" s="454" t="str">
        <f t="array" ref="C252">_xlfn.IFS(_xlfn.NUMBERVALUE(B252)&lt;=13,"Q1",AND(_xlfn.NUMBERVALUE(B252)&gt;13,_xlfn.NUMBERVALUE(B252)&lt;=26),"Q2", AND(_xlfn.NUMBERVALUE(B252)&gt;26,_xlfn.NUMBERVALUE(B252)&lt;=39),"Q3",_xlfn.NUMBERVALUE(B252)&gt;39,"Q4")</f>
        <v>Q3</v>
      </c>
      <c r="D252" s="448">
        <f t="shared" si="89"/>
        <v>45577</v>
      </c>
      <c r="E252" s="448">
        <f t="shared" si="73"/>
        <v>45583</v>
      </c>
      <c r="F252" s="97">
        <v>202438</v>
      </c>
      <c r="G252" s="241">
        <v>55275</v>
      </c>
      <c r="H252" s="467">
        <v>56174</v>
      </c>
      <c r="I252" s="521">
        <f t="shared" si="90"/>
        <v>111449</v>
      </c>
      <c r="J252" s="467">
        <v>62715</v>
      </c>
      <c r="K252" s="242">
        <v>59512</v>
      </c>
      <c r="L252" s="241">
        <v>99769</v>
      </c>
      <c r="M252" s="467">
        <v>80845</v>
      </c>
      <c r="N252" s="469">
        <f t="shared" si="92"/>
        <v>180614</v>
      </c>
      <c r="O252" s="467">
        <v>83889</v>
      </c>
      <c r="P252" s="467">
        <v>54540</v>
      </c>
      <c r="Q252" s="241">
        <v>82687</v>
      </c>
      <c r="R252" s="467">
        <v>65387</v>
      </c>
      <c r="S252" s="521">
        <f t="shared" si="91"/>
        <v>148074</v>
      </c>
      <c r="T252" s="467">
        <v>91766</v>
      </c>
      <c r="U252" s="467">
        <v>62203</v>
      </c>
      <c r="V252" s="241">
        <v>92875</v>
      </c>
      <c r="W252" s="467">
        <v>99114</v>
      </c>
      <c r="X252" s="449">
        <f t="shared" si="93"/>
        <v>191989</v>
      </c>
      <c r="Y252" s="467">
        <v>90741</v>
      </c>
      <c r="Z252" s="467">
        <v>81850</v>
      </c>
      <c r="AA252" s="241">
        <v>79926</v>
      </c>
      <c r="AB252" s="467">
        <v>65963</v>
      </c>
      <c r="AC252" s="449">
        <f t="shared" si="94"/>
        <v>145889</v>
      </c>
      <c r="AD252" s="467">
        <v>59090</v>
      </c>
      <c r="AE252" s="467">
        <v>50519</v>
      </c>
      <c r="AF252" s="467">
        <v>96211</v>
      </c>
      <c r="AG252" s="265">
        <f t="shared" si="74"/>
        <v>0.66848476785951838</v>
      </c>
      <c r="AH252" s="515">
        <f t="shared" si="75"/>
        <v>0.85910043280774462</v>
      </c>
      <c r="AI252" s="515">
        <f t="shared" si="76"/>
        <v>0.7526574550562557</v>
      </c>
      <c r="AJ252" s="515">
        <f t="shared" si="77"/>
        <v>0.68342305429025996</v>
      </c>
      <c r="AK252" s="187">
        <f t="shared" si="78"/>
        <v>0.95673842097648021</v>
      </c>
      <c r="AL252" s="266">
        <f t="shared" si="79"/>
        <v>1.8049570330167346</v>
      </c>
      <c r="AM252" s="516">
        <f t="shared" si="80"/>
        <v>1.4391889486239184</v>
      </c>
      <c r="AN252" s="516">
        <f t="shared" si="81"/>
        <v>1.6205977622051342</v>
      </c>
      <c r="AO252" s="516">
        <f t="shared" si="82"/>
        <v>1.3376225783305429</v>
      </c>
      <c r="AP252" s="267">
        <f t="shared" si="83"/>
        <v>0.91645382443876866</v>
      </c>
      <c r="AQ252" s="268">
        <f t="shared" si="84"/>
        <v>0.3127133333124375</v>
      </c>
      <c r="AR252" s="450">
        <f t="shared" si="85"/>
        <v>0.25339844472375195</v>
      </c>
      <c r="AS252" s="450">
        <f t="shared" si="86"/>
        <v>0.56611177803618951</v>
      </c>
      <c r="AT252" s="450">
        <f t="shared" si="87"/>
        <v>0.2629394783775228</v>
      </c>
      <c r="AU252" s="269">
        <f t="shared" si="88"/>
        <v>0.17094874358628775</v>
      </c>
    </row>
    <row r="253" spans="1:47" ht="16.350000000000001" customHeight="1">
      <c r="A253" s="175">
        <f t="shared" si="71"/>
        <v>2025</v>
      </c>
      <c r="B253" s="454" t="str">
        <f t="shared" si="72"/>
        <v>39</v>
      </c>
      <c r="C253" s="454" t="str">
        <f t="array" ref="C253">_xlfn.IFS(_xlfn.NUMBERVALUE(B253)&lt;=13,"Q1",AND(_xlfn.NUMBERVALUE(B253)&gt;13,_xlfn.NUMBERVALUE(B253)&lt;=26),"Q2", AND(_xlfn.NUMBERVALUE(B253)&gt;26,_xlfn.NUMBERVALUE(B253)&lt;=39),"Q3",_xlfn.NUMBERVALUE(B253)&gt;39,"Q4")</f>
        <v>Q3</v>
      </c>
      <c r="D253" s="448">
        <f t="shared" si="89"/>
        <v>45584</v>
      </c>
      <c r="E253" s="448">
        <f t="shared" si="73"/>
        <v>45590</v>
      </c>
      <c r="F253" s="97">
        <v>202439</v>
      </c>
      <c r="G253" s="241">
        <v>50754</v>
      </c>
      <c r="H253" s="467">
        <v>64633</v>
      </c>
      <c r="I253" s="521">
        <f t="shared" si="90"/>
        <v>115387</v>
      </c>
      <c r="J253" s="467">
        <v>96357</v>
      </c>
      <c r="K253" s="242">
        <v>58586</v>
      </c>
      <c r="L253" s="241">
        <v>87327</v>
      </c>
      <c r="M253" s="467">
        <v>81589</v>
      </c>
      <c r="N253" s="469">
        <f t="shared" si="92"/>
        <v>168916</v>
      </c>
      <c r="O253" s="467">
        <v>64868</v>
      </c>
      <c r="P253" s="467">
        <v>69732</v>
      </c>
      <c r="Q253" s="241">
        <v>87713</v>
      </c>
      <c r="R253" s="467">
        <v>98577</v>
      </c>
      <c r="S253" s="521">
        <f t="shared" si="91"/>
        <v>186290</v>
      </c>
      <c r="T253" s="467">
        <v>76456</v>
      </c>
      <c r="U253" s="467">
        <v>98213</v>
      </c>
      <c r="V253" s="241">
        <v>67295</v>
      </c>
      <c r="W253" s="467">
        <v>78454</v>
      </c>
      <c r="X253" s="449">
        <f t="shared" si="93"/>
        <v>145749</v>
      </c>
      <c r="Y253" s="467">
        <v>75054</v>
      </c>
      <c r="Z253" s="467">
        <v>82801</v>
      </c>
      <c r="AA253" s="241">
        <v>65579</v>
      </c>
      <c r="AB253" s="467">
        <v>83938</v>
      </c>
      <c r="AC253" s="449">
        <f t="shared" si="94"/>
        <v>149517</v>
      </c>
      <c r="AD253" s="467">
        <v>63854</v>
      </c>
      <c r="AE253" s="467">
        <v>57084</v>
      </c>
      <c r="AF253" s="467">
        <v>97693</v>
      </c>
      <c r="AG253" s="265">
        <f t="shared" si="74"/>
        <v>0.57863714614709338</v>
      </c>
      <c r="AH253" s="515">
        <f t="shared" si="75"/>
        <v>0.65566004240340037</v>
      </c>
      <c r="AI253" s="515">
        <f t="shared" si="76"/>
        <v>0.6193944924579956</v>
      </c>
      <c r="AJ253" s="515">
        <f t="shared" si="77"/>
        <v>1.2602935021450246</v>
      </c>
      <c r="AK253" s="187">
        <f t="shared" si="78"/>
        <v>0.59651980898659041</v>
      </c>
      <c r="AL253" s="266">
        <f t="shared" si="79"/>
        <v>1.7205934507625016</v>
      </c>
      <c r="AM253" s="516">
        <f t="shared" si="80"/>
        <v>1.2623427660792474</v>
      </c>
      <c r="AN253" s="516">
        <f t="shared" si="81"/>
        <v>1.4639084125594737</v>
      </c>
      <c r="AO253" s="516">
        <f t="shared" si="82"/>
        <v>0.67320485278703157</v>
      </c>
      <c r="AP253" s="267">
        <f t="shared" si="83"/>
        <v>1.1902502304304783</v>
      </c>
      <c r="AQ253" s="268">
        <f t="shared" si="84"/>
        <v>0.28771794567666942</v>
      </c>
      <c r="AR253" s="450">
        <f t="shared" si="85"/>
        <v>0.26881284676919831</v>
      </c>
      <c r="AS253" s="450">
        <f t="shared" si="86"/>
        <v>0.55653079244586778</v>
      </c>
      <c r="AT253" s="450">
        <f t="shared" si="87"/>
        <v>0.21372184662423069</v>
      </c>
      <c r="AU253" s="269">
        <f t="shared" si="88"/>
        <v>0.22974736092990156</v>
      </c>
    </row>
    <row r="254" spans="1:47" ht="16.350000000000001" customHeight="1">
      <c r="A254" s="175">
        <f t="shared" si="71"/>
        <v>2025</v>
      </c>
      <c r="B254" s="454" t="str">
        <f t="shared" si="72"/>
        <v>40</v>
      </c>
      <c r="C254" s="454" t="str">
        <f t="array" ref="C254">_xlfn.IFS(_xlfn.NUMBERVALUE(B254)&lt;=13,"Q1",AND(_xlfn.NUMBERVALUE(B254)&gt;13,_xlfn.NUMBERVALUE(B254)&lt;=26),"Q2", AND(_xlfn.NUMBERVALUE(B254)&gt;26,_xlfn.NUMBERVALUE(B254)&lt;=39),"Q3",_xlfn.NUMBERVALUE(B254)&gt;39,"Q4")</f>
        <v>Q4</v>
      </c>
      <c r="D254" s="448">
        <f t="shared" si="89"/>
        <v>45591</v>
      </c>
      <c r="E254" s="448">
        <f t="shared" si="73"/>
        <v>45597</v>
      </c>
      <c r="F254" s="97">
        <v>202440</v>
      </c>
      <c r="G254" s="241">
        <v>90355</v>
      </c>
      <c r="H254" s="467">
        <v>76951</v>
      </c>
      <c r="I254" s="521">
        <f t="shared" si="90"/>
        <v>167306</v>
      </c>
      <c r="J254" s="467">
        <v>83021</v>
      </c>
      <c r="K254" s="242">
        <v>53775</v>
      </c>
      <c r="L254" s="241">
        <v>53513</v>
      </c>
      <c r="M254" s="467">
        <v>77515</v>
      </c>
      <c r="N254" s="469">
        <f t="shared" si="92"/>
        <v>131028</v>
      </c>
      <c r="O254" s="467">
        <v>65079</v>
      </c>
      <c r="P254" s="467">
        <v>52926</v>
      </c>
      <c r="Q254" s="241">
        <v>65593</v>
      </c>
      <c r="R254" s="467">
        <v>50945</v>
      </c>
      <c r="S254" s="521">
        <f t="shared" si="91"/>
        <v>116538</v>
      </c>
      <c r="T254" s="467">
        <v>90379</v>
      </c>
      <c r="U254" s="467">
        <v>81863</v>
      </c>
      <c r="V254" s="241">
        <v>58973</v>
      </c>
      <c r="W254" s="467">
        <v>64902</v>
      </c>
      <c r="X254" s="449">
        <f t="shared" si="93"/>
        <v>123875</v>
      </c>
      <c r="Y254" s="467">
        <v>58142</v>
      </c>
      <c r="Z254" s="467">
        <v>82767</v>
      </c>
      <c r="AA254" s="241">
        <v>53728</v>
      </c>
      <c r="AB254" s="467">
        <v>65764</v>
      </c>
      <c r="AC254" s="449">
        <f t="shared" si="94"/>
        <v>119492</v>
      </c>
      <c r="AD254" s="467">
        <v>86117</v>
      </c>
      <c r="AE254" s="467">
        <v>97749</v>
      </c>
      <c r="AF254" s="467">
        <v>73192</v>
      </c>
      <c r="AG254" s="265">
        <f t="shared" si="74"/>
        <v>1.3775097952525421</v>
      </c>
      <c r="AH254" s="515">
        <f t="shared" si="75"/>
        <v>1.5104720777308862</v>
      </c>
      <c r="AI254" s="515">
        <f t="shared" si="76"/>
        <v>1.4356347285863837</v>
      </c>
      <c r="AJ254" s="515">
        <f t="shared" si="77"/>
        <v>0.91858728244393051</v>
      </c>
      <c r="AK254" s="187">
        <f t="shared" si="78"/>
        <v>0.65689017016234441</v>
      </c>
      <c r="AL254" s="266">
        <f t="shared" si="79"/>
        <v>0.59225278069835652</v>
      </c>
      <c r="AM254" s="516">
        <f t="shared" si="80"/>
        <v>1.0073293394497798</v>
      </c>
      <c r="AN254" s="516">
        <f t="shared" si="81"/>
        <v>0.78316378372562845</v>
      </c>
      <c r="AO254" s="516">
        <f t="shared" si="82"/>
        <v>0.78388600474578718</v>
      </c>
      <c r="AP254" s="267">
        <f t="shared" si="83"/>
        <v>0.98421199442119944</v>
      </c>
      <c r="AQ254" s="268">
        <f t="shared" si="84"/>
        <v>0.21488316809418831</v>
      </c>
      <c r="AR254" s="450">
        <f t="shared" si="85"/>
        <v>0.31126396903221659</v>
      </c>
      <c r="AS254" s="450">
        <f t="shared" si="86"/>
        <v>0.52614713712640493</v>
      </c>
      <c r="AT254" s="450">
        <f t="shared" si="87"/>
        <v>0.26132681210923853</v>
      </c>
      <c r="AU254" s="269">
        <f t="shared" si="88"/>
        <v>0.21252605076435654</v>
      </c>
    </row>
    <row r="255" spans="1:47" ht="16.350000000000001" customHeight="1">
      <c r="A255" s="175">
        <f t="shared" si="71"/>
        <v>2025</v>
      </c>
      <c r="B255" s="454" t="str">
        <f t="shared" si="72"/>
        <v>41</v>
      </c>
      <c r="C255" s="454" t="str">
        <f t="array" ref="C255">_xlfn.IFS(_xlfn.NUMBERVALUE(B255)&lt;=13,"Q1",AND(_xlfn.NUMBERVALUE(B255)&gt;13,_xlfn.NUMBERVALUE(B255)&lt;=26),"Q2", AND(_xlfn.NUMBERVALUE(B255)&gt;26,_xlfn.NUMBERVALUE(B255)&lt;=39),"Q3",_xlfn.NUMBERVALUE(B255)&gt;39,"Q4")</f>
        <v>Q4</v>
      </c>
      <c r="D255" s="448">
        <f t="shared" si="89"/>
        <v>45598</v>
      </c>
      <c r="E255" s="448">
        <f t="shared" si="73"/>
        <v>45604</v>
      </c>
      <c r="F255" s="97">
        <v>202441</v>
      </c>
      <c r="G255" s="241">
        <v>65949</v>
      </c>
      <c r="H255" s="467">
        <v>57975</v>
      </c>
      <c r="I255" s="521">
        <f t="shared" si="90"/>
        <v>123924</v>
      </c>
      <c r="J255" s="467">
        <v>91544</v>
      </c>
      <c r="K255" s="242">
        <v>73516</v>
      </c>
      <c r="L255" s="241">
        <v>52801</v>
      </c>
      <c r="M255" s="467">
        <v>58677</v>
      </c>
      <c r="N255" s="469">
        <f t="shared" si="92"/>
        <v>111478</v>
      </c>
      <c r="O255" s="467">
        <v>64004</v>
      </c>
      <c r="P255" s="467">
        <v>87292</v>
      </c>
      <c r="Q255" s="241">
        <v>55657</v>
      </c>
      <c r="R255" s="467">
        <v>90045</v>
      </c>
      <c r="S255" s="521">
        <f t="shared" si="91"/>
        <v>145702</v>
      </c>
      <c r="T255" s="467">
        <v>78816</v>
      </c>
      <c r="U255" s="467">
        <v>76307</v>
      </c>
      <c r="V255" s="241">
        <v>71693</v>
      </c>
      <c r="W255" s="467">
        <v>92654</v>
      </c>
      <c r="X255" s="449">
        <f t="shared" si="93"/>
        <v>164347</v>
      </c>
      <c r="Y255" s="467">
        <v>60767</v>
      </c>
      <c r="Z255" s="467">
        <v>62778</v>
      </c>
      <c r="AA255" s="241">
        <v>71219</v>
      </c>
      <c r="AB255" s="467">
        <v>81417</v>
      </c>
      <c r="AC255" s="449">
        <f t="shared" si="94"/>
        <v>152636</v>
      </c>
      <c r="AD255" s="467">
        <v>76052</v>
      </c>
      <c r="AE255" s="467">
        <v>57350</v>
      </c>
      <c r="AF255" s="467">
        <v>84253</v>
      </c>
      <c r="AG255" s="265">
        <f t="shared" si="74"/>
        <v>1.18491833911278</v>
      </c>
      <c r="AH255" s="515">
        <f t="shared" si="75"/>
        <v>0.64384474429451943</v>
      </c>
      <c r="AI255" s="515">
        <f t="shared" si="76"/>
        <v>0.85053053492745467</v>
      </c>
      <c r="AJ255" s="515">
        <f t="shared" si="77"/>
        <v>1.1614900527811611</v>
      </c>
      <c r="AK255" s="187">
        <f t="shared" si="78"/>
        <v>0.96342406332315511</v>
      </c>
      <c r="AL255" s="266">
        <f t="shared" si="79"/>
        <v>0.80063382310573317</v>
      </c>
      <c r="AM255" s="516">
        <f t="shared" si="80"/>
        <v>1.0121086675291073</v>
      </c>
      <c r="AN255" s="516">
        <f t="shared" si="81"/>
        <v>0.89956747684064431</v>
      </c>
      <c r="AO255" s="516">
        <f t="shared" si="82"/>
        <v>0.69916105916280691</v>
      </c>
      <c r="AP255" s="267">
        <f t="shared" si="83"/>
        <v>1.1873877795309864</v>
      </c>
      <c r="AQ255" s="268">
        <f t="shared" si="84"/>
        <v>0.20093692678879951</v>
      </c>
      <c r="AR255" s="450">
        <f t="shared" si="85"/>
        <v>0.22329834762952194</v>
      </c>
      <c r="AS255" s="450">
        <f t="shared" si="86"/>
        <v>0.42423527441832143</v>
      </c>
      <c r="AT255" s="450">
        <f t="shared" si="87"/>
        <v>0.24357052067556151</v>
      </c>
      <c r="AU255" s="269">
        <f t="shared" si="88"/>
        <v>0.33219420490611706</v>
      </c>
    </row>
    <row r="256" spans="1:47" ht="16.350000000000001" customHeight="1">
      <c r="A256" s="175">
        <f t="shared" si="71"/>
        <v>2025</v>
      </c>
      <c r="B256" s="454" t="str">
        <f t="shared" si="72"/>
        <v>42</v>
      </c>
      <c r="C256" s="454" t="str">
        <f t="array" ref="C256">_xlfn.IFS(_xlfn.NUMBERVALUE(B256)&lt;=13,"Q1",AND(_xlfn.NUMBERVALUE(B256)&gt;13,_xlfn.NUMBERVALUE(B256)&lt;=26),"Q2", AND(_xlfn.NUMBERVALUE(B256)&gt;26,_xlfn.NUMBERVALUE(B256)&lt;=39),"Q3",_xlfn.NUMBERVALUE(B256)&gt;39,"Q4")</f>
        <v>Q4</v>
      </c>
      <c r="D256" s="448">
        <f t="shared" si="89"/>
        <v>45605</v>
      </c>
      <c r="E256" s="448">
        <f t="shared" si="73"/>
        <v>45611</v>
      </c>
      <c r="F256" s="97">
        <v>202442</v>
      </c>
      <c r="G256" s="241">
        <v>79387</v>
      </c>
      <c r="H256" s="467">
        <v>97425</v>
      </c>
      <c r="I256" s="521">
        <f t="shared" si="90"/>
        <v>176812</v>
      </c>
      <c r="J256" s="467">
        <v>66185</v>
      </c>
      <c r="K256" s="242">
        <v>52678</v>
      </c>
      <c r="L256" s="241">
        <v>85675</v>
      </c>
      <c r="M256" s="467">
        <v>62416</v>
      </c>
      <c r="N256" s="469">
        <f t="shared" si="92"/>
        <v>148091</v>
      </c>
      <c r="O256" s="467">
        <v>84586</v>
      </c>
      <c r="P256" s="467">
        <v>56139</v>
      </c>
      <c r="Q256" s="241">
        <v>75375</v>
      </c>
      <c r="R256" s="467">
        <v>67850</v>
      </c>
      <c r="S256" s="521">
        <f t="shared" si="91"/>
        <v>143225</v>
      </c>
      <c r="T256" s="467">
        <v>92036</v>
      </c>
      <c r="U256" s="467">
        <v>57484</v>
      </c>
      <c r="V256" s="241">
        <v>83775</v>
      </c>
      <c r="W256" s="467">
        <v>70042</v>
      </c>
      <c r="X256" s="449">
        <f t="shared" si="93"/>
        <v>153817</v>
      </c>
      <c r="Y256" s="467">
        <v>70834</v>
      </c>
      <c r="Z256" s="467">
        <v>77292</v>
      </c>
      <c r="AA256" s="241">
        <v>97362</v>
      </c>
      <c r="AB256" s="467">
        <v>84785</v>
      </c>
      <c r="AC256" s="449">
        <f t="shared" si="94"/>
        <v>182147</v>
      </c>
      <c r="AD256" s="467">
        <v>87742</v>
      </c>
      <c r="AE256" s="467">
        <v>57201</v>
      </c>
      <c r="AF256" s="467">
        <v>79690</v>
      </c>
      <c r="AG256" s="265">
        <f t="shared" si="74"/>
        <v>1.0532271973466003</v>
      </c>
      <c r="AH256" s="515">
        <f t="shared" si="75"/>
        <v>1.4358879882092852</v>
      </c>
      <c r="AI256" s="515">
        <f t="shared" si="76"/>
        <v>1.2345051492407051</v>
      </c>
      <c r="AJ256" s="515">
        <f t="shared" si="77"/>
        <v>0.71912077882567693</v>
      </c>
      <c r="AK256" s="187">
        <f t="shared" si="78"/>
        <v>0.91639412706144319</v>
      </c>
      <c r="AL256" s="266">
        <f t="shared" si="79"/>
        <v>1.0792069230478543</v>
      </c>
      <c r="AM256" s="516">
        <f t="shared" si="80"/>
        <v>0.64065691557608417</v>
      </c>
      <c r="AN256" s="516">
        <f t="shared" si="81"/>
        <v>0.83756193018573399</v>
      </c>
      <c r="AO256" s="516">
        <f t="shared" si="82"/>
        <v>1.2780237213870211</v>
      </c>
      <c r="AP256" s="267">
        <f t="shared" si="83"/>
        <v>1.065701051672425</v>
      </c>
      <c r="AQ256" s="268">
        <f t="shared" si="84"/>
        <v>0.29664215278931916</v>
      </c>
      <c r="AR256" s="450">
        <f t="shared" si="85"/>
        <v>0.21610991080826547</v>
      </c>
      <c r="AS256" s="450">
        <f t="shared" si="86"/>
        <v>0.51275206359758463</v>
      </c>
      <c r="AT256" s="450">
        <f t="shared" si="87"/>
        <v>0.29287158606171404</v>
      </c>
      <c r="AU256" s="269">
        <f t="shared" si="88"/>
        <v>0.19437635034070136</v>
      </c>
    </row>
    <row r="257" spans="1:47" ht="16.350000000000001" customHeight="1">
      <c r="A257" s="175">
        <f t="shared" si="71"/>
        <v>2025</v>
      </c>
      <c r="B257" s="454" t="str">
        <f t="shared" si="72"/>
        <v>43</v>
      </c>
      <c r="C257" s="454" t="str">
        <f t="array" ref="C257">_xlfn.IFS(_xlfn.NUMBERVALUE(B257)&lt;=13,"Q1",AND(_xlfn.NUMBERVALUE(B257)&gt;13,_xlfn.NUMBERVALUE(B257)&lt;=26),"Q2", AND(_xlfn.NUMBERVALUE(B257)&gt;26,_xlfn.NUMBERVALUE(B257)&lt;=39),"Q3",_xlfn.NUMBERVALUE(B257)&gt;39,"Q4")</f>
        <v>Q4</v>
      </c>
      <c r="D257" s="448">
        <f t="shared" si="89"/>
        <v>45612</v>
      </c>
      <c r="E257" s="448">
        <f t="shared" si="73"/>
        <v>45618</v>
      </c>
      <c r="F257" s="97">
        <v>202443</v>
      </c>
      <c r="G257" s="241">
        <v>71202</v>
      </c>
      <c r="H257" s="467">
        <v>53753</v>
      </c>
      <c r="I257" s="521">
        <f t="shared" si="90"/>
        <v>124955</v>
      </c>
      <c r="J257" s="467">
        <v>89699</v>
      </c>
      <c r="K257" s="242">
        <v>87648</v>
      </c>
      <c r="L257" s="241">
        <v>75105</v>
      </c>
      <c r="M257" s="467">
        <v>75163</v>
      </c>
      <c r="N257" s="469">
        <f t="shared" si="92"/>
        <v>150268</v>
      </c>
      <c r="O257" s="467">
        <v>50590</v>
      </c>
      <c r="P257" s="467">
        <v>76919</v>
      </c>
      <c r="Q257" s="241">
        <v>62029</v>
      </c>
      <c r="R257" s="467">
        <v>66105</v>
      </c>
      <c r="S257" s="521">
        <f t="shared" si="91"/>
        <v>128134</v>
      </c>
      <c r="T257" s="467">
        <v>74572</v>
      </c>
      <c r="U257" s="467">
        <v>58462</v>
      </c>
      <c r="V257" s="241">
        <v>85586</v>
      </c>
      <c r="W257" s="467">
        <v>60939</v>
      </c>
      <c r="X257" s="449">
        <f t="shared" si="93"/>
        <v>146525</v>
      </c>
      <c r="Y257" s="467">
        <v>54558</v>
      </c>
      <c r="Z257" s="467">
        <v>72097</v>
      </c>
      <c r="AA257" s="241">
        <v>75496</v>
      </c>
      <c r="AB257" s="467">
        <v>61427</v>
      </c>
      <c r="AC257" s="449">
        <f t="shared" si="94"/>
        <v>136923</v>
      </c>
      <c r="AD257" s="467">
        <v>88889</v>
      </c>
      <c r="AE257" s="467">
        <v>73126</v>
      </c>
      <c r="AF257" s="467">
        <v>91988</v>
      </c>
      <c r="AG257" s="265">
        <f t="shared" si="74"/>
        <v>1.1478824420835416</v>
      </c>
      <c r="AH257" s="515">
        <f t="shared" si="75"/>
        <v>0.81314575296876179</v>
      </c>
      <c r="AI257" s="515">
        <f t="shared" si="76"/>
        <v>0.9751900354316575</v>
      </c>
      <c r="AJ257" s="515">
        <f t="shared" si="77"/>
        <v>1.2028509360081532</v>
      </c>
      <c r="AK257" s="187">
        <f t="shared" si="78"/>
        <v>1.4992302692347166</v>
      </c>
      <c r="AL257" s="266">
        <f t="shared" si="79"/>
        <v>1.0548158759585404</v>
      </c>
      <c r="AM257" s="516">
        <f t="shared" si="80"/>
        <v>1.3983033505106692</v>
      </c>
      <c r="AN257" s="516">
        <f t="shared" si="81"/>
        <v>1.2025769276939697</v>
      </c>
      <c r="AO257" s="516">
        <f t="shared" si="82"/>
        <v>0.56399736897847241</v>
      </c>
      <c r="AP257" s="267">
        <f t="shared" si="83"/>
        <v>0.8775899050748448</v>
      </c>
      <c r="AQ257" s="268">
        <f t="shared" si="84"/>
        <v>0.27037875706051978</v>
      </c>
      <c r="AR257" s="450">
        <f t="shared" si="85"/>
        <v>0.2705875576451614</v>
      </c>
      <c r="AS257" s="450">
        <f t="shared" si="86"/>
        <v>0.54096631470568113</v>
      </c>
      <c r="AT257" s="450">
        <f t="shared" si="87"/>
        <v>0.18212450994862786</v>
      </c>
      <c r="AU257" s="269">
        <f t="shared" si="88"/>
        <v>0.27690917534569098</v>
      </c>
    </row>
    <row r="258" spans="1:47" ht="16.350000000000001" customHeight="1">
      <c r="A258" s="175">
        <f t="shared" si="71"/>
        <v>2025</v>
      </c>
      <c r="B258" s="454" t="str">
        <f t="shared" si="72"/>
        <v>44</v>
      </c>
      <c r="C258" s="454" t="str">
        <f t="array" ref="C258">_xlfn.IFS(_xlfn.NUMBERVALUE(B258)&lt;=13,"Q1",AND(_xlfn.NUMBERVALUE(B258)&gt;13,_xlfn.NUMBERVALUE(B258)&lt;=26),"Q2", AND(_xlfn.NUMBERVALUE(B258)&gt;26,_xlfn.NUMBERVALUE(B258)&lt;=39),"Q3",_xlfn.NUMBERVALUE(B258)&gt;39,"Q4")</f>
        <v>Q4</v>
      </c>
      <c r="D258" s="448">
        <f t="shared" si="89"/>
        <v>45619</v>
      </c>
      <c r="E258" s="448">
        <f t="shared" si="73"/>
        <v>45625</v>
      </c>
      <c r="F258" s="97">
        <v>202444</v>
      </c>
      <c r="G258" s="241">
        <v>65480</v>
      </c>
      <c r="H258" s="467">
        <v>70610</v>
      </c>
      <c r="I258" s="521">
        <f t="shared" ref="I258:I289" si="95">SUM(G258:H258)</f>
        <v>136090</v>
      </c>
      <c r="J258" s="467">
        <v>88865</v>
      </c>
      <c r="K258" s="242">
        <v>72561</v>
      </c>
      <c r="L258" s="241">
        <v>92097</v>
      </c>
      <c r="M258" s="467">
        <v>88976</v>
      </c>
      <c r="N258" s="469">
        <f t="shared" si="92"/>
        <v>181073</v>
      </c>
      <c r="O258" s="467">
        <v>93954</v>
      </c>
      <c r="P258" s="467">
        <v>54935</v>
      </c>
      <c r="Q258" s="241">
        <v>51878</v>
      </c>
      <c r="R258" s="467">
        <v>78222</v>
      </c>
      <c r="S258" s="521">
        <f t="shared" ref="S258:S289" si="96">SUM(Q258:R258)</f>
        <v>130100</v>
      </c>
      <c r="T258" s="467">
        <v>90174</v>
      </c>
      <c r="U258" s="467">
        <v>90663</v>
      </c>
      <c r="V258" s="241">
        <v>78206</v>
      </c>
      <c r="W258" s="467">
        <v>68807</v>
      </c>
      <c r="X258" s="449">
        <f t="shared" si="93"/>
        <v>147013</v>
      </c>
      <c r="Y258" s="467">
        <v>70483</v>
      </c>
      <c r="Z258" s="467">
        <v>52453</v>
      </c>
      <c r="AA258" s="241">
        <v>75381</v>
      </c>
      <c r="AB258" s="467">
        <v>67656</v>
      </c>
      <c r="AC258" s="449">
        <f t="shared" si="94"/>
        <v>143037</v>
      </c>
      <c r="AD258" s="467">
        <v>82593</v>
      </c>
      <c r="AE258" s="467">
        <v>79018</v>
      </c>
      <c r="AF258" s="467">
        <v>53560</v>
      </c>
      <c r="AG258" s="265">
        <f t="shared" si="74"/>
        <v>1.2621920660010024</v>
      </c>
      <c r="AH258" s="515">
        <f t="shared" si="75"/>
        <v>0.90268722354324871</v>
      </c>
      <c r="AI258" s="515">
        <f t="shared" si="76"/>
        <v>1.0460415065334359</v>
      </c>
      <c r="AJ258" s="515">
        <f t="shared" si="77"/>
        <v>0.98548362055581429</v>
      </c>
      <c r="AK258" s="187">
        <f t="shared" si="78"/>
        <v>0.80033751364944905</v>
      </c>
      <c r="AL258" s="266">
        <f t="shared" si="79"/>
        <v>1.4064905314599878</v>
      </c>
      <c r="AM258" s="516">
        <f t="shared" si="80"/>
        <v>1.2601048010196856</v>
      </c>
      <c r="AN258" s="516">
        <f t="shared" si="81"/>
        <v>1.3305386141523992</v>
      </c>
      <c r="AO258" s="516">
        <f t="shared" si="82"/>
        <v>1.05726664040961</v>
      </c>
      <c r="AP258" s="267">
        <f t="shared" si="83"/>
        <v>0.75708714047491077</v>
      </c>
      <c r="AQ258" s="268">
        <f t="shared" si="84"/>
        <v>0.27911395857704829</v>
      </c>
      <c r="AR258" s="450">
        <f t="shared" si="85"/>
        <v>0.26965529363987367</v>
      </c>
      <c r="AS258" s="450">
        <f t="shared" si="86"/>
        <v>0.54876925221692197</v>
      </c>
      <c r="AT258" s="450">
        <f t="shared" si="87"/>
        <v>0.28474187936792722</v>
      </c>
      <c r="AU258" s="269">
        <f t="shared" si="88"/>
        <v>0.16648886841515084</v>
      </c>
    </row>
    <row r="259" spans="1:47" ht="16.350000000000001" customHeight="1">
      <c r="A259" s="175">
        <f t="shared" si="71"/>
        <v>2025</v>
      </c>
      <c r="B259" s="454" t="str">
        <f t="shared" si="72"/>
        <v>45</v>
      </c>
      <c r="C259" s="454" t="str">
        <f t="array" ref="C259">_xlfn.IFS(_xlfn.NUMBERVALUE(B259)&lt;=13,"Q1",AND(_xlfn.NUMBERVALUE(B259)&gt;13,_xlfn.NUMBERVALUE(B259)&lt;=26),"Q2", AND(_xlfn.NUMBERVALUE(B259)&gt;26,_xlfn.NUMBERVALUE(B259)&lt;=39),"Q3",_xlfn.NUMBERVALUE(B259)&gt;39,"Q4")</f>
        <v>Q4</v>
      </c>
      <c r="D259" s="448">
        <f t="shared" si="89"/>
        <v>45626</v>
      </c>
      <c r="E259" s="448">
        <f t="shared" si="73"/>
        <v>45632</v>
      </c>
      <c r="F259" s="97">
        <v>202445</v>
      </c>
      <c r="G259" s="241">
        <v>68253</v>
      </c>
      <c r="H259" s="467">
        <v>88629</v>
      </c>
      <c r="I259" s="521">
        <f t="shared" si="95"/>
        <v>156882</v>
      </c>
      <c r="J259" s="467">
        <v>95030</v>
      </c>
      <c r="K259" s="242">
        <v>58009</v>
      </c>
      <c r="L259" s="241">
        <v>84670</v>
      </c>
      <c r="M259" s="467">
        <v>74020</v>
      </c>
      <c r="N259" s="469">
        <f t="shared" si="92"/>
        <v>158690</v>
      </c>
      <c r="O259" s="467">
        <v>74897</v>
      </c>
      <c r="P259" s="467">
        <v>98131</v>
      </c>
      <c r="Q259" s="241">
        <v>84376</v>
      </c>
      <c r="R259" s="467">
        <v>76276</v>
      </c>
      <c r="S259" s="521">
        <f t="shared" si="96"/>
        <v>160652</v>
      </c>
      <c r="T259" s="467">
        <v>53797</v>
      </c>
      <c r="U259" s="467">
        <v>94650</v>
      </c>
      <c r="V259" s="241">
        <v>64822</v>
      </c>
      <c r="W259" s="467">
        <v>59303</v>
      </c>
      <c r="X259" s="449">
        <f t="shared" si="93"/>
        <v>124125</v>
      </c>
      <c r="Y259" s="467">
        <v>63540</v>
      </c>
      <c r="Z259" s="467">
        <v>61133</v>
      </c>
      <c r="AA259" s="241">
        <v>94524</v>
      </c>
      <c r="AB259" s="467">
        <v>91364</v>
      </c>
      <c r="AC259" s="449">
        <f t="shared" si="94"/>
        <v>185888</v>
      </c>
      <c r="AD259" s="467">
        <v>52967</v>
      </c>
      <c r="AE259" s="467">
        <v>57992</v>
      </c>
      <c r="AF259" s="467">
        <v>63923</v>
      </c>
      <c r="AG259" s="265">
        <f t="shared" si="74"/>
        <v>0.80891485730539492</v>
      </c>
      <c r="AH259" s="515">
        <f t="shared" si="75"/>
        <v>1.1619513346268813</v>
      </c>
      <c r="AI259" s="515">
        <f t="shared" si="76"/>
        <v>0.97653312750541543</v>
      </c>
      <c r="AJ259" s="515">
        <f t="shared" si="77"/>
        <v>1.7664553785527073</v>
      </c>
      <c r="AK259" s="187">
        <f t="shared" si="78"/>
        <v>0.61287902799788696</v>
      </c>
      <c r="AL259" s="266">
        <f t="shared" si="79"/>
        <v>1.240531551726664</v>
      </c>
      <c r="AM259" s="516">
        <f t="shared" si="80"/>
        <v>0.83516681898701328</v>
      </c>
      <c r="AN259" s="516">
        <f t="shared" si="81"/>
        <v>1.0115245853571475</v>
      </c>
      <c r="AO259" s="516">
        <f t="shared" si="82"/>
        <v>0.78814058718299485</v>
      </c>
      <c r="AP259" s="267">
        <f t="shared" si="83"/>
        <v>1.6916512954886311</v>
      </c>
      <c r="AQ259" s="268">
        <f t="shared" si="84"/>
        <v>0.2552469266063343</v>
      </c>
      <c r="AR259" s="450">
        <f t="shared" si="85"/>
        <v>0.22314134294792565</v>
      </c>
      <c r="AS259" s="450">
        <f t="shared" si="86"/>
        <v>0.47838826955425995</v>
      </c>
      <c r="AT259" s="450">
        <f t="shared" si="87"/>
        <v>0.22578515486045375</v>
      </c>
      <c r="AU259" s="269">
        <f t="shared" si="88"/>
        <v>0.2958265755852863</v>
      </c>
    </row>
    <row r="260" spans="1:47" ht="16.350000000000001" customHeight="1">
      <c r="A260" s="175">
        <f t="shared" si="71"/>
        <v>2025</v>
      </c>
      <c r="B260" s="454" t="str">
        <f t="shared" si="72"/>
        <v>46</v>
      </c>
      <c r="C260" s="454" t="str">
        <f t="array" ref="C260">_xlfn.IFS(_xlfn.NUMBERVALUE(B260)&lt;=13,"Q1",AND(_xlfn.NUMBERVALUE(B260)&gt;13,_xlfn.NUMBERVALUE(B260)&lt;=26),"Q2", AND(_xlfn.NUMBERVALUE(B260)&gt;26,_xlfn.NUMBERVALUE(B260)&lt;=39),"Q3",_xlfn.NUMBERVALUE(B260)&gt;39,"Q4")</f>
        <v>Q4</v>
      </c>
      <c r="D260" s="448">
        <f t="shared" si="89"/>
        <v>45633</v>
      </c>
      <c r="E260" s="448">
        <f t="shared" si="73"/>
        <v>45639</v>
      </c>
      <c r="F260" s="97">
        <v>202446</v>
      </c>
      <c r="G260" s="241">
        <v>52145</v>
      </c>
      <c r="H260" s="467">
        <v>90308</v>
      </c>
      <c r="I260" s="521">
        <f t="shared" si="95"/>
        <v>142453</v>
      </c>
      <c r="J260" s="467">
        <v>90817</v>
      </c>
      <c r="K260" s="242">
        <v>81906</v>
      </c>
      <c r="L260" s="241">
        <v>81069</v>
      </c>
      <c r="M260" s="467">
        <v>81302</v>
      </c>
      <c r="N260" s="469">
        <f t="shared" si="92"/>
        <v>162371</v>
      </c>
      <c r="O260" s="467">
        <v>87786</v>
      </c>
      <c r="P260" s="467">
        <v>91657</v>
      </c>
      <c r="Q260" s="241">
        <v>74560</v>
      </c>
      <c r="R260" s="467">
        <v>93871</v>
      </c>
      <c r="S260" s="521">
        <f t="shared" si="96"/>
        <v>168431</v>
      </c>
      <c r="T260" s="467">
        <v>68421</v>
      </c>
      <c r="U260" s="467">
        <v>98552</v>
      </c>
      <c r="V260" s="241">
        <v>92390</v>
      </c>
      <c r="W260" s="467">
        <v>66709</v>
      </c>
      <c r="X260" s="449">
        <f t="shared" si="93"/>
        <v>159099</v>
      </c>
      <c r="Y260" s="467">
        <v>99594</v>
      </c>
      <c r="Z260" s="467">
        <v>52597</v>
      </c>
      <c r="AA260" s="241">
        <v>80766</v>
      </c>
      <c r="AB260" s="467">
        <v>79006</v>
      </c>
      <c r="AC260" s="449">
        <f t="shared" si="94"/>
        <v>159772</v>
      </c>
      <c r="AD260" s="467">
        <v>71083</v>
      </c>
      <c r="AE260" s="467">
        <v>78386</v>
      </c>
      <c r="AF260" s="467">
        <v>84710</v>
      </c>
      <c r="AG260" s="265">
        <f t="shared" si="74"/>
        <v>0.699369635193133</v>
      </c>
      <c r="AH260" s="515">
        <f t="shared" si="75"/>
        <v>0.96204365565510119</v>
      </c>
      <c r="AI260" s="515">
        <f t="shared" si="76"/>
        <v>0.84576473452036738</v>
      </c>
      <c r="AJ260" s="515">
        <f t="shared" si="77"/>
        <v>1.3273264056356966</v>
      </c>
      <c r="AK260" s="187">
        <f t="shared" si="78"/>
        <v>0.83109424466271609</v>
      </c>
      <c r="AL260" s="266">
        <f t="shared" si="79"/>
        <v>1.5546840540799693</v>
      </c>
      <c r="AM260" s="516">
        <f t="shared" si="80"/>
        <v>0.90027461575940115</v>
      </c>
      <c r="AN260" s="516">
        <f t="shared" si="81"/>
        <v>1.1398215551796032</v>
      </c>
      <c r="AO260" s="516">
        <f t="shared" si="82"/>
        <v>0.96662519131880598</v>
      </c>
      <c r="AP260" s="267">
        <f t="shared" si="83"/>
        <v>1.1190511073669818</v>
      </c>
      <c r="AQ260" s="268">
        <f t="shared" si="84"/>
        <v>0.23717284839123032</v>
      </c>
      <c r="AR260" s="450">
        <f t="shared" si="85"/>
        <v>0.23785450566682464</v>
      </c>
      <c r="AS260" s="450">
        <f t="shared" si="86"/>
        <v>0.47502735405805496</v>
      </c>
      <c r="AT260" s="450">
        <f t="shared" si="87"/>
        <v>0.25682388667520933</v>
      </c>
      <c r="AU260" s="269">
        <f t="shared" si="88"/>
        <v>0.2681487592667357</v>
      </c>
    </row>
    <row r="261" spans="1:47" ht="16.350000000000001" customHeight="1">
      <c r="A261" s="175">
        <f t="shared" si="71"/>
        <v>2025</v>
      </c>
      <c r="B261" s="454" t="str">
        <f t="shared" si="72"/>
        <v>47</v>
      </c>
      <c r="C261" s="454" t="str">
        <f t="array" ref="C261">_xlfn.IFS(_xlfn.NUMBERVALUE(B261)&lt;=13,"Q1",AND(_xlfn.NUMBERVALUE(B261)&gt;13,_xlfn.NUMBERVALUE(B261)&lt;=26),"Q2", AND(_xlfn.NUMBERVALUE(B261)&gt;26,_xlfn.NUMBERVALUE(B261)&lt;=39),"Q3",_xlfn.NUMBERVALUE(B261)&gt;39,"Q4")</f>
        <v>Q4</v>
      </c>
      <c r="D261" s="448">
        <f t="shared" si="89"/>
        <v>45640</v>
      </c>
      <c r="E261" s="448">
        <f t="shared" si="73"/>
        <v>45646</v>
      </c>
      <c r="F261" s="97">
        <v>202447</v>
      </c>
      <c r="G261" s="241">
        <v>62969</v>
      </c>
      <c r="H261" s="467">
        <v>69981</v>
      </c>
      <c r="I261" s="521">
        <f t="shared" si="95"/>
        <v>132950</v>
      </c>
      <c r="J261" s="467">
        <v>82082</v>
      </c>
      <c r="K261" s="242">
        <v>82660</v>
      </c>
      <c r="L261" s="241">
        <v>91717</v>
      </c>
      <c r="M261" s="467">
        <v>62439</v>
      </c>
      <c r="N261" s="469">
        <f t="shared" si="92"/>
        <v>154156</v>
      </c>
      <c r="O261" s="467">
        <v>79144</v>
      </c>
      <c r="P261" s="467">
        <v>96254</v>
      </c>
      <c r="Q261" s="241">
        <v>63780</v>
      </c>
      <c r="R261" s="467">
        <v>87837</v>
      </c>
      <c r="S261" s="521">
        <f t="shared" si="96"/>
        <v>151617</v>
      </c>
      <c r="T261" s="467">
        <v>56364</v>
      </c>
      <c r="U261" s="467">
        <v>90545</v>
      </c>
      <c r="V261" s="241">
        <v>57678</v>
      </c>
      <c r="W261" s="467">
        <v>82363</v>
      </c>
      <c r="X261" s="449">
        <f t="shared" si="93"/>
        <v>140041</v>
      </c>
      <c r="Y261" s="467">
        <v>85303</v>
      </c>
      <c r="Z261" s="467">
        <v>81092</v>
      </c>
      <c r="AA261" s="241">
        <v>98041</v>
      </c>
      <c r="AB261" s="467">
        <v>59774</v>
      </c>
      <c r="AC261" s="449">
        <f t="shared" si="94"/>
        <v>157815</v>
      </c>
      <c r="AD261" s="467">
        <v>66737</v>
      </c>
      <c r="AE261" s="467">
        <v>67336</v>
      </c>
      <c r="AF261" s="467">
        <v>57419</v>
      </c>
      <c r="AG261" s="265">
        <f t="shared" si="74"/>
        <v>0.98728441517717158</v>
      </c>
      <c r="AH261" s="515">
        <f t="shared" si="75"/>
        <v>0.79671436866013179</v>
      </c>
      <c r="AI261" s="515">
        <f t="shared" si="76"/>
        <v>0.87688056088697175</v>
      </c>
      <c r="AJ261" s="515">
        <f t="shared" si="77"/>
        <v>1.4562841530054644</v>
      </c>
      <c r="AK261" s="187">
        <f t="shared" si="78"/>
        <v>0.91291622949914408</v>
      </c>
      <c r="AL261" s="266">
        <f t="shared" si="79"/>
        <v>1.4565421080214074</v>
      </c>
      <c r="AM261" s="516">
        <f t="shared" si="80"/>
        <v>0.89222789042740169</v>
      </c>
      <c r="AN261" s="516">
        <f t="shared" si="81"/>
        <v>1.1595035727717187</v>
      </c>
      <c r="AO261" s="516">
        <f t="shared" si="82"/>
        <v>0.9642065251821349</v>
      </c>
      <c r="AP261" s="267">
        <f t="shared" si="83"/>
        <v>1.1644568110331479</v>
      </c>
      <c r="AQ261" s="268">
        <f t="shared" si="84"/>
        <v>0.27830643839856289</v>
      </c>
      <c r="AR261" s="450">
        <f t="shared" si="85"/>
        <v>0.18946515593802532</v>
      </c>
      <c r="AS261" s="450">
        <f t="shared" si="86"/>
        <v>0.46777159433658821</v>
      </c>
      <c r="AT261" s="450">
        <f t="shared" si="87"/>
        <v>0.24015487598390553</v>
      </c>
      <c r="AU261" s="269">
        <f t="shared" si="88"/>
        <v>0.29207352967950623</v>
      </c>
    </row>
    <row r="262" spans="1:47" ht="16.350000000000001" customHeight="1">
      <c r="A262" s="175">
        <f t="shared" si="71"/>
        <v>2025</v>
      </c>
      <c r="B262" s="454" t="str">
        <f t="shared" si="72"/>
        <v>48</v>
      </c>
      <c r="C262" s="454" t="str">
        <f t="array" ref="C262">_xlfn.IFS(_xlfn.NUMBERVALUE(B262)&lt;=13,"Q1",AND(_xlfn.NUMBERVALUE(B262)&gt;13,_xlfn.NUMBERVALUE(B262)&lt;=26),"Q2", AND(_xlfn.NUMBERVALUE(B262)&gt;26,_xlfn.NUMBERVALUE(B262)&lt;=39),"Q3",_xlfn.NUMBERVALUE(B262)&gt;39,"Q4")</f>
        <v>Q4</v>
      </c>
      <c r="D262" s="448">
        <f t="shared" si="89"/>
        <v>45647</v>
      </c>
      <c r="E262" s="448">
        <f t="shared" si="73"/>
        <v>45653</v>
      </c>
      <c r="F262" s="97">
        <v>202448</v>
      </c>
      <c r="G262" s="241">
        <v>70079</v>
      </c>
      <c r="H262" s="467">
        <v>89147</v>
      </c>
      <c r="I262" s="521">
        <f t="shared" si="95"/>
        <v>159226</v>
      </c>
      <c r="J262" s="467">
        <v>94659</v>
      </c>
      <c r="K262" s="242">
        <v>89463</v>
      </c>
      <c r="L262" s="241">
        <v>73860</v>
      </c>
      <c r="M262" s="467">
        <v>73673</v>
      </c>
      <c r="N262" s="469">
        <f t="shared" si="92"/>
        <v>147533</v>
      </c>
      <c r="O262" s="467">
        <v>75931</v>
      </c>
      <c r="P262" s="467">
        <v>92343</v>
      </c>
      <c r="Q262" s="241">
        <v>92026</v>
      </c>
      <c r="R262" s="467">
        <v>73831</v>
      </c>
      <c r="S262" s="521">
        <f t="shared" si="96"/>
        <v>165857</v>
      </c>
      <c r="T262" s="467">
        <v>98636</v>
      </c>
      <c r="U262" s="467">
        <v>53370</v>
      </c>
      <c r="V262" s="241">
        <v>83660</v>
      </c>
      <c r="W262" s="467">
        <v>98594</v>
      </c>
      <c r="X262" s="449">
        <f t="shared" si="93"/>
        <v>182254</v>
      </c>
      <c r="Y262" s="467">
        <v>77522</v>
      </c>
      <c r="Z262" s="467">
        <v>78266</v>
      </c>
      <c r="AA262" s="241">
        <v>56424</v>
      </c>
      <c r="AB262" s="467">
        <v>51774</v>
      </c>
      <c r="AC262" s="449">
        <f t="shared" si="94"/>
        <v>108198</v>
      </c>
      <c r="AD262" s="467">
        <v>64073</v>
      </c>
      <c r="AE262" s="467">
        <v>93443</v>
      </c>
      <c r="AF262" s="467">
        <v>65915</v>
      </c>
      <c r="AG262" s="265">
        <f t="shared" si="74"/>
        <v>0.76151305065959618</v>
      </c>
      <c r="AH262" s="515">
        <f t="shared" si="75"/>
        <v>1.2074467364657122</v>
      </c>
      <c r="AI262" s="515">
        <f t="shared" si="76"/>
        <v>0.96001977607215849</v>
      </c>
      <c r="AJ262" s="515">
        <f t="shared" si="77"/>
        <v>0.95968003568676752</v>
      </c>
      <c r="AK262" s="187">
        <f t="shared" si="78"/>
        <v>1.6762788083192806</v>
      </c>
      <c r="AL262" s="266">
        <f t="shared" si="79"/>
        <v>1.0539533954537021</v>
      </c>
      <c r="AM262" s="516">
        <f t="shared" si="80"/>
        <v>0.82642152848665684</v>
      </c>
      <c r="AN262" s="516">
        <f t="shared" si="81"/>
        <v>0.92656350093577677</v>
      </c>
      <c r="AO262" s="516">
        <f t="shared" si="82"/>
        <v>0.80215299126337691</v>
      </c>
      <c r="AP262" s="267">
        <f t="shared" si="83"/>
        <v>1.0321920794071293</v>
      </c>
      <c r="AQ262" s="268">
        <f t="shared" si="84"/>
        <v>0.23387701982539968</v>
      </c>
      <c r="AR262" s="450">
        <f t="shared" si="85"/>
        <v>0.2332848860221591</v>
      </c>
      <c r="AS262" s="450">
        <f t="shared" si="86"/>
        <v>0.46716190584755879</v>
      </c>
      <c r="AT262" s="450">
        <f t="shared" si="87"/>
        <v>0.24043482253401602</v>
      </c>
      <c r="AU262" s="269">
        <f t="shared" si="88"/>
        <v>0.29240327161842516</v>
      </c>
    </row>
    <row r="263" spans="1:47" ht="16.350000000000001" customHeight="1">
      <c r="A263" s="175">
        <f t="shared" ref="A263:A319" si="97">LEFT(F263,4)+1</f>
        <v>2025</v>
      </c>
      <c r="B263" s="454" t="str">
        <f t="shared" ref="B263:B319" si="98">RIGHT(F263,2)</f>
        <v>49</v>
      </c>
      <c r="C263" s="454" t="str">
        <f t="array" ref="C263">_xlfn.IFS(_xlfn.NUMBERVALUE(B263)&lt;=13,"Q1",AND(_xlfn.NUMBERVALUE(B263)&gt;13,_xlfn.NUMBERVALUE(B263)&lt;=26),"Q2", AND(_xlfn.NUMBERVALUE(B263)&gt;26,_xlfn.NUMBERVALUE(B263)&lt;=39),"Q3",_xlfn.NUMBERVALUE(B263)&gt;39,"Q4")</f>
        <v>Q4</v>
      </c>
      <c r="D263" s="448">
        <f t="shared" si="89"/>
        <v>45654</v>
      </c>
      <c r="E263" s="448">
        <f t="shared" ref="E263:E319" si="99">D263+6</f>
        <v>45660</v>
      </c>
      <c r="F263" s="97">
        <v>202449</v>
      </c>
      <c r="G263" s="241">
        <v>50073</v>
      </c>
      <c r="H263" s="467">
        <v>92640</v>
      </c>
      <c r="I263" s="521">
        <f t="shared" si="95"/>
        <v>142713</v>
      </c>
      <c r="J263" s="467">
        <v>72849</v>
      </c>
      <c r="K263" s="242">
        <v>69866</v>
      </c>
      <c r="L263" s="241">
        <v>95861</v>
      </c>
      <c r="M263" s="467">
        <v>98098</v>
      </c>
      <c r="N263" s="469">
        <f t="shared" si="92"/>
        <v>193959</v>
      </c>
      <c r="O263" s="467">
        <v>63425</v>
      </c>
      <c r="P263" s="467">
        <v>97848</v>
      </c>
      <c r="Q263" s="241">
        <v>74562</v>
      </c>
      <c r="R263" s="467">
        <v>73303</v>
      </c>
      <c r="S263" s="521">
        <f t="shared" si="96"/>
        <v>147865</v>
      </c>
      <c r="T263" s="467">
        <v>86373</v>
      </c>
      <c r="U263" s="467">
        <v>73187</v>
      </c>
      <c r="V263" s="241">
        <v>94710</v>
      </c>
      <c r="W263" s="467">
        <v>74133</v>
      </c>
      <c r="X263" s="449">
        <f t="shared" si="93"/>
        <v>168843</v>
      </c>
      <c r="Y263" s="467">
        <v>67235</v>
      </c>
      <c r="Z263" s="467">
        <v>71103</v>
      </c>
      <c r="AA263" s="241">
        <v>95043</v>
      </c>
      <c r="AB263" s="467">
        <v>91426</v>
      </c>
      <c r="AC263" s="449">
        <f t="shared" si="94"/>
        <v>186469</v>
      </c>
      <c r="AD263" s="467">
        <v>59797</v>
      </c>
      <c r="AE263" s="467">
        <v>76532</v>
      </c>
      <c r="AF263" s="467">
        <v>75459</v>
      </c>
      <c r="AG263" s="265">
        <f t="shared" ref="AG263:AG319" si="100">IFERROR(G263/Q263,"")</f>
        <v>0.67156192162227413</v>
      </c>
      <c r="AH263" s="515">
        <f t="shared" ref="AH263:AH319" si="101">IFERROR(H263/R263,"")</f>
        <v>1.2637954790390571</v>
      </c>
      <c r="AI263" s="515">
        <f t="shared" ref="AI263:AI319" si="102">IFERROR(I263/S263,"")</f>
        <v>0.96515740709430897</v>
      </c>
      <c r="AJ263" s="515">
        <f t="shared" ref="AJ263:AJ319" si="103">IFERROR(J263/T263,"")</f>
        <v>0.84342329200097255</v>
      </c>
      <c r="AK263" s="187">
        <f t="shared" ref="AK263:AK319" si="104">IFERROR(K263/U263,"")</f>
        <v>0.95462308879992352</v>
      </c>
      <c r="AL263" s="266">
        <f t="shared" ref="AL263:AL319" si="105">IFERROR(L263/G263,"")</f>
        <v>1.9144249395882011</v>
      </c>
      <c r="AM263" s="516">
        <f t="shared" ref="AM263:AM319" si="106">IFERROR(M263/H263,"")</f>
        <v>1.0589162348877375</v>
      </c>
      <c r="AN263" s="516">
        <f t="shared" ref="AN263:AN319" si="107">IFERROR(N263/I263,"")</f>
        <v>1.3590843160749195</v>
      </c>
      <c r="AO263" s="516">
        <f t="shared" ref="AO263:AO319" si="108">IFERROR(O263/J263,"")</f>
        <v>0.87063652212109977</v>
      </c>
      <c r="AP263" s="267">
        <f t="shared" ref="AP263:AP319" si="109">IFERROR(P263/K263,"")</f>
        <v>1.4005095468468212</v>
      </c>
      <c r="AQ263" s="268">
        <f t="shared" ref="AQ263:AQ319" si="110">IFERROR(L263/SUM($N263:$P263),"")</f>
        <v>0.26985463021349426</v>
      </c>
      <c r="AR263" s="450">
        <f t="shared" ref="AR263:AR319" si="111">IFERROR(M263/SUM($N263:$P263),"")</f>
        <v>0.27615192325015764</v>
      </c>
      <c r="AS263" s="450">
        <f t="shared" ref="AS263:AS319" si="112">IFERROR(N263/SUM($N263:$P263),"")</f>
        <v>0.5460065534636519</v>
      </c>
      <c r="AT263" s="450">
        <f t="shared" ref="AT263:AT319" si="113">IFERROR(O263/SUM($N263:$P263),"")</f>
        <v>0.17854528871272859</v>
      </c>
      <c r="AU263" s="269">
        <f t="shared" ref="AU263:AU319" si="114">IFERROR(P263/SUM($N263:$P263),"")</f>
        <v>0.27544815782361948</v>
      </c>
    </row>
    <row r="264" spans="1:47" ht="16.350000000000001" customHeight="1">
      <c r="A264" s="175">
        <f t="shared" si="97"/>
        <v>2025</v>
      </c>
      <c r="B264" s="454" t="str">
        <f t="shared" si="98"/>
        <v>50</v>
      </c>
      <c r="C264" s="454" t="str">
        <f t="array" ref="C264">_xlfn.IFS(_xlfn.NUMBERVALUE(B264)&lt;=13,"Q1",AND(_xlfn.NUMBERVALUE(B264)&gt;13,_xlfn.NUMBERVALUE(B264)&lt;=26),"Q2", AND(_xlfn.NUMBERVALUE(B264)&gt;26,_xlfn.NUMBERVALUE(B264)&lt;=39),"Q3",_xlfn.NUMBERVALUE(B264)&gt;39,"Q4")</f>
        <v>Q4</v>
      </c>
      <c r="D264" s="448">
        <f t="shared" ref="D264:D319" si="115">E263+1</f>
        <v>45661</v>
      </c>
      <c r="E264" s="448">
        <f t="shared" si="99"/>
        <v>45667</v>
      </c>
      <c r="F264" s="97">
        <v>202450</v>
      </c>
      <c r="G264" s="241">
        <v>90380</v>
      </c>
      <c r="H264" s="467">
        <v>55417</v>
      </c>
      <c r="I264" s="521">
        <f t="shared" si="95"/>
        <v>145797</v>
      </c>
      <c r="J264" s="467">
        <v>53221</v>
      </c>
      <c r="K264" s="242">
        <v>94212</v>
      </c>
      <c r="L264" s="241">
        <v>92913</v>
      </c>
      <c r="M264" s="467">
        <v>60805</v>
      </c>
      <c r="N264" s="469">
        <f t="shared" si="92"/>
        <v>153718</v>
      </c>
      <c r="O264" s="467">
        <v>69502</v>
      </c>
      <c r="P264" s="467">
        <v>69004</v>
      </c>
      <c r="Q264" s="241">
        <v>83203</v>
      </c>
      <c r="R264" s="467">
        <v>87956</v>
      </c>
      <c r="S264" s="521">
        <f t="shared" si="96"/>
        <v>171159</v>
      </c>
      <c r="T264" s="467">
        <v>84163</v>
      </c>
      <c r="U264" s="467">
        <v>61828</v>
      </c>
      <c r="V264" s="241">
        <v>91894</v>
      </c>
      <c r="W264" s="467">
        <v>52182</v>
      </c>
      <c r="X264" s="449">
        <f t="shared" si="93"/>
        <v>144076</v>
      </c>
      <c r="Y264" s="467">
        <v>73898</v>
      </c>
      <c r="Z264" s="467">
        <v>54084</v>
      </c>
      <c r="AA264" s="241">
        <v>72845</v>
      </c>
      <c r="AB264" s="467">
        <v>50607</v>
      </c>
      <c r="AC264" s="449">
        <f t="shared" si="94"/>
        <v>123452</v>
      </c>
      <c r="AD264" s="467">
        <v>89551</v>
      </c>
      <c r="AE264" s="467">
        <v>69989</v>
      </c>
      <c r="AF264" s="467">
        <v>85471</v>
      </c>
      <c r="AG264" s="265">
        <f t="shared" si="100"/>
        <v>1.0862589089335721</v>
      </c>
      <c r="AH264" s="515">
        <f t="shared" si="101"/>
        <v>0.63005366319523393</v>
      </c>
      <c r="AI264" s="515">
        <f t="shared" si="102"/>
        <v>0.85182199007939985</v>
      </c>
      <c r="AJ264" s="515">
        <f t="shared" si="103"/>
        <v>0.63235626106483844</v>
      </c>
      <c r="AK264" s="187">
        <f t="shared" si="104"/>
        <v>1.5237756356343404</v>
      </c>
      <c r="AL264" s="266">
        <f t="shared" si="105"/>
        <v>1.0280261119716751</v>
      </c>
      <c r="AM264" s="516">
        <f t="shared" si="106"/>
        <v>1.0972264828482234</v>
      </c>
      <c r="AN264" s="516">
        <f t="shared" si="107"/>
        <v>1.0543289642448062</v>
      </c>
      <c r="AO264" s="516">
        <f t="shared" si="108"/>
        <v>1.3059130794235358</v>
      </c>
      <c r="AP264" s="267">
        <f t="shared" si="109"/>
        <v>0.73243323568122953</v>
      </c>
      <c r="AQ264" s="268">
        <f t="shared" si="110"/>
        <v>0.31795129763469121</v>
      </c>
      <c r="AR264" s="450">
        <f t="shared" si="111"/>
        <v>0.20807668090232151</v>
      </c>
      <c r="AS264" s="450">
        <f t="shared" si="112"/>
        <v>0.52602797853701266</v>
      </c>
      <c r="AT264" s="450">
        <f t="shared" si="113"/>
        <v>0.23783809680245291</v>
      </c>
      <c r="AU264" s="269">
        <f t="shared" si="114"/>
        <v>0.23613392466053437</v>
      </c>
    </row>
    <row r="265" spans="1:47" ht="16.350000000000001" customHeight="1">
      <c r="A265" s="175">
        <f t="shared" si="97"/>
        <v>2025</v>
      </c>
      <c r="B265" s="454" t="str">
        <f t="shared" si="98"/>
        <v>51</v>
      </c>
      <c r="C265" s="454" t="str">
        <f t="array" ref="C265">_xlfn.IFS(_xlfn.NUMBERVALUE(B265)&lt;=13,"Q1",AND(_xlfn.NUMBERVALUE(B265)&gt;13,_xlfn.NUMBERVALUE(B265)&lt;=26),"Q2", AND(_xlfn.NUMBERVALUE(B265)&gt;26,_xlfn.NUMBERVALUE(B265)&lt;=39),"Q3",_xlfn.NUMBERVALUE(B265)&gt;39,"Q4")</f>
        <v>Q4</v>
      </c>
      <c r="D265" s="448">
        <f t="shared" si="115"/>
        <v>45668</v>
      </c>
      <c r="E265" s="448">
        <f t="shared" si="99"/>
        <v>45674</v>
      </c>
      <c r="F265" s="97">
        <v>202451</v>
      </c>
      <c r="G265" s="241">
        <v>88725</v>
      </c>
      <c r="H265" s="467">
        <v>60164</v>
      </c>
      <c r="I265" s="521">
        <f t="shared" si="95"/>
        <v>148889</v>
      </c>
      <c r="J265" s="467">
        <v>91145</v>
      </c>
      <c r="K265" s="242">
        <v>95125</v>
      </c>
      <c r="L265" s="241">
        <v>56316</v>
      </c>
      <c r="M265" s="467">
        <v>67480</v>
      </c>
      <c r="N265" s="469">
        <f t="shared" si="92"/>
        <v>123796</v>
      </c>
      <c r="O265" s="467">
        <v>73339</v>
      </c>
      <c r="P265" s="467">
        <v>71015</v>
      </c>
      <c r="Q265" s="241">
        <v>67668</v>
      </c>
      <c r="R265" s="467">
        <v>80813</v>
      </c>
      <c r="S265" s="521">
        <f t="shared" si="96"/>
        <v>148481</v>
      </c>
      <c r="T265" s="467">
        <v>86768</v>
      </c>
      <c r="U265" s="467">
        <v>93509</v>
      </c>
      <c r="V265" s="241">
        <v>89424</v>
      </c>
      <c r="W265" s="467">
        <v>98829</v>
      </c>
      <c r="X265" s="449">
        <f t="shared" si="93"/>
        <v>188253</v>
      </c>
      <c r="Y265" s="467">
        <v>94900</v>
      </c>
      <c r="Z265" s="467">
        <v>74467</v>
      </c>
      <c r="AA265" s="241">
        <v>79200</v>
      </c>
      <c r="AB265" s="467">
        <v>81843</v>
      </c>
      <c r="AC265" s="449">
        <f t="shared" si="94"/>
        <v>161043</v>
      </c>
      <c r="AD265" s="467">
        <v>73700</v>
      </c>
      <c r="AE265" s="467">
        <v>61674</v>
      </c>
      <c r="AF265" s="467">
        <v>77842</v>
      </c>
      <c r="AG265" s="265">
        <f t="shared" si="100"/>
        <v>1.3111810604717149</v>
      </c>
      <c r="AH265" s="515">
        <f t="shared" si="101"/>
        <v>0.74448417952557133</v>
      </c>
      <c r="AI265" s="515">
        <f t="shared" si="102"/>
        <v>1.0027478263212128</v>
      </c>
      <c r="AJ265" s="515">
        <f t="shared" si="103"/>
        <v>1.0504448644661626</v>
      </c>
      <c r="AK265" s="187">
        <f t="shared" si="104"/>
        <v>1.017281758975072</v>
      </c>
      <c r="AL265" s="266">
        <f t="shared" si="105"/>
        <v>0.63472527472527474</v>
      </c>
      <c r="AM265" s="516">
        <f t="shared" si="106"/>
        <v>1.1216009573831527</v>
      </c>
      <c r="AN265" s="516">
        <f t="shared" si="107"/>
        <v>0.83146505114548419</v>
      </c>
      <c r="AO265" s="516">
        <f t="shared" si="108"/>
        <v>0.80464095671731861</v>
      </c>
      <c r="AP265" s="267">
        <f t="shared" si="109"/>
        <v>0.7465440210249672</v>
      </c>
      <c r="AQ265" s="268">
        <f t="shared" si="110"/>
        <v>0.21001678165206042</v>
      </c>
      <c r="AR265" s="450">
        <f t="shared" si="111"/>
        <v>0.25165019578594072</v>
      </c>
      <c r="AS265" s="450">
        <f t="shared" si="112"/>
        <v>0.46166697743800111</v>
      </c>
      <c r="AT265" s="450">
        <f t="shared" si="113"/>
        <v>0.27349990676859964</v>
      </c>
      <c r="AU265" s="269">
        <f t="shared" si="114"/>
        <v>0.26483311579339924</v>
      </c>
    </row>
    <row r="266" spans="1:47" ht="16.350000000000001" customHeight="1">
      <c r="A266" s="175">
        <f t="shared" si="97"/>
        <v>2025</v>
      </c>
      <c r="B266" s="454" t="str">
        <f t="shared" si="98"/>
        <v>52</v>
      </c>
      <c r="C266" s="454" t="str">
        <f t="array" ref="C266">_xlfn.IFS(_xlfn.NUMBERVALUE(B266)&lt;=13,"Q1",AND(_xlfn.NUMBERVALUE(B266)&gt;13,_xlfn.NUMBERVALUE(B266)&lt;=26),"Q2", AND(_xlfn.NUMBERVALUE(B266)&gt;26,_xlfn.NUMBERVALUE(B266)&lt;=39),"Q3",_xlfn.NUMBERVALUE(B266)&gt;39,"Q4")</f>
        <v>Q4</v>
      </c>
      <c r="D266" s="448">
        <f t="shared" si="115"/>
        <v>45675</v>
      </c>
      <c r="E266" s="448">
        <f t="shared" si="99"/>
        <v>45681</v>
      </c>
      <c r="F266" s="97">
        <v>202452</v>
      </c>
      <c r="G266" s="241">
        <v>91967</v>
      </c>
      <c r="H266" s="467">
        <v>62014</v>
      </c>
      <c r="I266" s="521">
        <f t="shared" si="95"/>
        <v>153981</v>
      </c>
      <c r="J266" s="467">
        <v>88594</v>
      </c>
      <c r="K266" s="242">
        <v>82673</v>
      </c>
      <c r="L266" s="241">
        <v>73486</v>
      </c>
      <c r="M266" s="467">
        <v>73102</v>
      </c>
      <c r="N266" s="469">
        <f t="shared" si="92"/>
        <v>146588</v>
      </c>
      <c r="O266" s="467">
        <v>95264</v>
      </c>
      <c r="P266" s="467">
        <v>50095</v>
      </c>
      <c r="Q266" s="241">
        <v>87812</v>
      </c>
      <c r="R266" s="467">
        <v>65587</v>
      </c>
      <c r="S266" s="521">
        <f t="shared" si="96"/>
        <v>153399</v>
      </c>
      <c r="T266" s="467">
        <v>91374</v>
      </c>
      <c r="U266" s="467">
        <v>57009</v>
      </c>
      <c r="V266" s="241">
        <v>71079</v>
      </c>
      <c r="W266" s="467">
        <v>58548</v>
      </c>
      <c r="X266" s="449">
        <f t="shared" si="93"/>
        <v>129627</v>
      </c>
      <c r="Y266" s="467">
        <v>72603</v>
      </c>
      <c r="Z266" s="467">
        <v>97132</v>
      </c>
      <c r="AA266" s="241">
        <v>60538</v>
      </c>
      <c r="AB266" s="467">
        <v>54756</v>
      </c>
      <c r="AC266" s="449">
        <f t="shared" si="94"/>
        <v>115294</v>
      </c>
      <c r="AD266" s="467">
        <v>62267</v>
      </c>
      <c r="AE266" s="467">
        <v>75637</v>
      </c>
      <c r="AF266" s="467">
        <v>88388</v>
      </c>
      <c r="AG266" s="265">
        <f t="shared" si="100"/>
        <v>1.047316995399262</v>
      </c>
      <c r="AH266" s="515">
        <f t="shared" si="101"/>
        <v>0.94552274078704623</v>
      </c>
      <c r="AI266" s="515">
        <f t="shared" si="102"/>
        <v>1.0037940273404651</v>
      </c>
      <c r="AJ266" s="515">
        <f t="shared" si="103"/>
        <v>0.9695755904305382</v>
      </c>
      <c r="AK266" s="187">
        <f t="shared" si="104"/>
        <v>1.4501745338455332</v>
      </c>
      <c r="AL266" s="266">
        <f t="shared" si="105"/>
        <v>0.79904748442376072</v>
      </c>
      <c r="AM266" s="516">
        <f t="shared" si="106"/>
        <v>1.1787983358596446</v>
      </c>
      <c r="AN266" s="516">
        <f t="shared" si="107"/>
        <v>0.95198758288360252</v>
      </c>
      <c r="AO266" s="516">
        <f t="shared" si="108"/>
        <v>1.0752872655033072</v>
      </c>
      <c r="AP266" s="267">
        <f t="shared" si="109"/>
        <v>0.60594148028981654</v>
      </c>
      <c r="AQ266" s="268">
        <f t="shared" si="110"/>
        <v>0.25171007066351087</v>
      </c>
      <c r="AR266" s="450">
        <f t="shared" si="111"/>
        <v>0.25039476343308886</v>
      </c>
      <c r="AS266" s="450">
        <f t="shared" si="112"/>
        <v>0.50210483409659967</v>
      </c>
      <c r="AT266" s="450">
        <f t="shared" si="113"/>
        <v>0.32630580208051463</v>
      </c>
      <c r="AU266" s="269">
        <f t="shared" si="114"/>
        <v>0.17158936382288567</v>
      </c>
    </row>
    <row r="267" spans="1:47" ht="17.100000000000001" customHeight="1">
      <c r="A267" s="175">
        <f t="shared" si="97"/>
        <v>2025</v>
      </c>
      <c r="B267" s="454" t="str">
        <f t="shared" si="98"/>
        <v>53</v>
      </c>
      <c r="C267" s="454" t="str">
        <f t="array" ref="C267">_xlfn.IFS(_xlfn.NUMBERVALUE(B267)&lt;=13,"Q1",AND(_xlfn.NUMBERVALUE(B267)&gt;13,_xlfn.NUMBERVALUE(B267)&lt;=26),"Q2", AND(_xlfn.NUMBERVALUE(B267)&gt;26,_xlfn.NUMBERVALUE(B267)&lt;=39),"Q3",_xlfn.NUMBERVALUE(B267)&gt;39,"Q4")</f>
        <v>Q4</v>
      </c>
      <c r="D267" s="448">
        <f t="shared" si="115"/>
        <v>45682</v>
      </c>
      <c r="E267" s="448">
        <f t="shared" si="99"/>
        <v>45688</v>
      </c>
      <c r="F267" s="97">
        <v>202453</v>
      </c>
      <c r="G267" s="241">
        <v>69154</v>
      </c>
      <c r="H267" s="467">
        <v>61933</v>
      </c>
      <c r="I267" s="521">
        <f t="shared" si="95"/>
        <v>131087</v>
      </c>
      <c r="J267" s="467">
        <v>62262</v>
      </c>
      <c r="K267" s="242">
        <v>61162</v>
      </c>
      <c r="L267" s="241">
        <v>98152</v>
      </c>
      <c r="M267" s="467">
        <v>94882</v>
      </c>
      <c r="N267" s="469">
        <f t="shared" si="92"/>
        <v>193034</v>
      </c>
      <c r="O267" s="467">
        <v>96457</v>
      </c>
      <c r="P267" s="467">
        <v>75084</v>
      </c>
      <c r="Q267" s="241">
        <v>72083</v>
      </c>
      <c r="R267" s="467">
        <v>80702</v>
      </c>
      <c r="S267" s="521">
        <f t="shared" si="96"/>
        <v>152785</v>
      </c>
      <c r="T267" s="467">
        <v>58699</v>
      </c>
      <c r="U267" s="467">
        <v>56615</v>
      </c>
      <c r="V267" s="241">
        <v>74964</v>
      </c>
      <c r="W267" s="467">
        <v>79719</v>
      </c>
      <c r="X267" s="449">
        <f t="shared" si="93"/>
        <v>154683</v>
      </c>
      <c r="Y267" s="467">
        <v>64794</v>
      </c>
      <c r="Z267" s="467">
        <v>63222</v>
      </c>
      <c r="AA267" s="241">
        <v>81908</v>
      </c>
      <c r="AB267" s="467">
        <v>94717</v>
      </c>
      <c r="AC267" s="449">
        <f t="shared" si="94"/>
        <v>176625</v>
      </c>
      <c r="AD267" s="467">
        <v>75614</v>
      </c>
      <c r="AE267" s="467">
        <v>82613</v>
      </c>
      <c r="AF267" s="467">
        <v>72384</v>
      </c>
      <c r="AG267" s="265">
        <f t="shared" si="100"/>
        <v>0.95936628608687213</v>
      </c>
      <c r="AH267" s="515">
        <f t="shared" si="101"/>
        <v>0.76742831652251497</v>
      </c>
      <c r="AI267" s="515">
        <f t="shared" si="102"/>
        <v>0.85798344078279931</v>
      </c>
      <c r="AJ267" s="515">
        <f t="shared" si="103"/>
        <v>1.0606995008432851</v>
      </c>
      <c r="AK267" s="187">
        <f t="shared" si="104"/>
        <v>1.0803144043098118</v>
      </c>
      <c r="AL267" s="266">
        <f t="shared" si="105"/>
        <v>1.4193249848164966</v>
      </c>
      <c r="AM267" s="516">
        <f t="shared" si="106"/>
        <v>1.5320103983336832</v>
      </c>
      <c r="AN267" s="516">
        <f t="shared" si="107"/>
        <v>1.472564022366825</v>
      </c>
      <c r="AO267" s="516">
        <f t="shared" si="108"/>
        <v>1.5492113969997752</v>
      </c>
      <c r="AP267" s="267">
        <f t="shared" si="109"/>
        <v>1.2276249959124947</v>
      </c>
      <c r="AQ267" s="268">
        <f t="shared" si="110"/>
        <v>0.269223067955839</v>
      </c>
      <c r="AR267" s="450">
        <f t="shared" si="111"/>
        <v>0.2602537200850305</v>
      </c>
      <c r="AS267" s="450">
        <f t="shared" si="112"/>
        <v>0.52947678804086951</v>
      </c>
      <c r="AT267" s="450">
        <f t="shared" si="113"/>
        <v>0.26457381883014469</v>
      </c>
      <c r="AU267" s="269">
        <f t="shared" si="114"/>
        <v>0.2059493931289858</v>
      </c>
    </row>
    <row r="268" spans="1:47" ht="15.75" customHeight="1">
      <c r="A268" s="175">
        <f t="shared" si="97"/>
        <v>2026</v>
      </c>
      <c r="B268" s="454" t="str">
        <f t="shared" si="98"/>
        <v>01</v>
      </c>
      <c r="C268" s="454" t="str">
        <f t="array" ref="C268">_xlfn.IFS(_xlfn.NUMBERVALUE(B268)&lt;=13,"Q1",AND(_xlfn.NUMBERVALUE(B268)&gt;13,_xlfn.NUMBERVALUE(B268)&lt;=26),"Q2", AND(_xlfn.NUMBERVALUE(B268)&gt;26,_xlfn.NUMBERVALUE(B268)&lt;=39),"Q3",_xlfn.NUMBERVALUE(B268)&gt;39,"Q4")</f>
        <v>Q1</v>
      </c>
      <c r="D268" s="448">
        <f t="shared" si="115"/>
        <v>45689</v>
      </c>
      <c r="E268" s="448">
        <f t="shared" si="99"/>
        <v>45695</v>
      </c>
      <c r="F268" s="97">
        <v>202501</v>
      </c>
      <c r="G268" s="241">
        <v>51661</v>
      </c>
      <c r="H268" s="467">
        <v>77824</v>
      </c>
      <c r="I268" s="521">
        <f t="shared" si="95"/>
        <v>129485</v>
      </c>
      <c r="J268" s="467">
        <v>80381</v>
      </c>
      <c r="K268" s="242">
        <v>73793</v>
      </c>
      <c r="L268" s="241">
        <v>85753</v>
      </c>
      <c r="M268" s="467">
        <v>68256</v>
      </c>
      <c r="N268" s="469">
        <f t="shared" si="92"/>
        <v>154009</v>
      </c>
      <c r="O268" s="467">
        <v>93071</v>
      </c>
      <c r="P268" s="467">
        <v>71416</v>
      </c>
      <c r="Q268" s="241">
        <v>53759</v>
      </c>
      <c r="R268" s="467">
        <v>89855</v>
      </c>
      <c r="S268" s="521">
        <f t="shared" si="96"/>
        <v>143614</v>
      </c>
      <c r="T268" s="467">
        <v>86329</v>
      </c>
      <c r="U268" s="467">
        <v>87361</v>
      </c>
      <c r="V268" s="241">
        <v>73471</v>
      </c>
      <c r="W268" s="467">
        <v>88170</v>
      </c>
      <c r="X268" s="449">
        <f t="shared" si="93"/>
        <v>161641</v>
      </c>
      <c r="Y268" s="467">
        <v>83965</v>
      </c>
      <c r="Z268" s="467">
        <v>70505</v>
      </c>
      <c r="AA268" s="241">
        <v>94876</v>
      </c>
      <c r="AB268" s="467">
        <v>80862</v>
      </c>
      <c r="AC268" s="449">
        <f t="shared" si="94"/>
        <v>175738</v>
      </c>
      <c r="AD268" s="467">
        <v>66578</v>
      </c>
      <c r="AE268" s="467">
        <v>79407</v>
      </c>
      <c r="AF268" s="467">
        <v>97194</v>
      </c>
      <c r="AG268" s="265">
        <f t="shared" si="100"/>
        <v>0.96097397645045479</v>
      </c>
      <c r="AH268" s="515">
        <f t="shared" si="101"/>
        <v>0.86610650492460073</v>
      </c>
      <c r="AI268" s="515">
        <f t="shared" si="102"/>
        <v>0.90161822663528624</v>
      </c>
      <c r="AJ268" s="515">
        <f t="shared" si="103"/>
        <v>0.93110078884268321</v>
      </c>
      <c r="AK268" s="187">
        <f t="shared" si="104"/>
        <v>0.84469042249974247</v>
      </c>
      <c r="AL268" s="266">
        <f t="shared" si="105"/>
        <v>1.6599175393430248</v>
      </c>
      <c r="AM268" s="516">
        <f t="shared" si="106"/>
        <v>0.87705592105263153</v>
      </c>
      <c r="AN268" s="516">
        <f t="shared" si="107"/>
        <v>1.1893964551878595</v>
      </c>
      <c r="AO268" s="516">
        <f t="shared" si="108"/>
        <v>1.1578731292220799</v>
      </c>
      <c r="AP268" s="267">
        <f t="shared" si="109"/>
        <v>0.96778827260038214</v>
      </c>
      <c r="AQ268" s="268">
        <f t="shared" si="110"/>
        <v>0.26924356977795638</v>
      </c>
      <c r="AR268" s="450">
        <f t="shared" si="111"/>
        <v>0.21430724404702101</v>
      </c>
      <c r="AS268" s="450">
        <f t="shared" si="112"/>
        <v>0.48355081382497739</v>
      </c>
      <c r="AT268" s="450">
        <f t="shared" si="113"/>
        <v>0.29222031045915803</v>
      </c>
      <c r="AU268" s="269">
        <f t="shared" si="114"/>
        <v>0.22422887571586456</v>
      </c>
    </row>
    <row r="269" spans="1:47" ht="15.75" customHeight="1">
      <c r="A269" s="175">
        <f t="shared" si="97"/>
        <v>2026</v>
      </c>
      <c r="B269" s="454" t="str">
        <f t="shared" si="98"/>
        <v>02</v>
      </c>
      <c r="C269" s="454" t="str">
        <f t="array" ref="C269">_xlfn.IFS(_xlfn.NUMBERVALUE(B269)&lt;=13,"Q1",AND(_xlfn.NUMBERVALUE(B269)&gt;13,_xlfn.NUMBERVALUE(B269)&lt;=26),"Q2", AND(_xlfn.NUMBERVALUE(B269)&gt;26,_xlfn.NUMBERVALUE(B269)&lt;=39),"Q3",_xlfn.NUMBERVALUE(B269)&gt;39,"Q4")</f>
        <v>Q1</v>
      </c>
      <c r="D269" s="448">
        <f t="shared" si="115"/>
        <v>45696</v>
      </c>
      <c r="E269" s="448">
        <f t="shared" si="99"/>
        <v>45702</v>
      </c>
      <c r="F269" s="97">
        <v>202502</v>
      </c>
      <c r="G269" s="241">
        <v>92405</v>
      </c>
      <c r="H269" s="467">
        <v>51949</v>
      </c>
      <c r="I269" s="521">
        <f t="shared" si="95"/>
        <v>144354</v>
      </c>
      <c r="J269" s="467">
        <v>59005</v>
      </c>
      <c r="K269" s="242">
        <v>66167</v>
      </c>
      <c r="L269" s="241">
        <v>54798</v>
      </c>
      <c r="M269" s="467">
        <v>90007</v>
      </c>
      <c r="N269" s="469">
        <f t="shared" si="92"/>
        <v>144805</v>
      </c>
      <c r="O269" s="467">
        <v>98702</v>
      </c>
      <c r="P269" s="467">
        <v>91398</v>
      </c>
      <c r="Q269" s="241">
        <v>50886</v>
      </c>
      <c r="R269" s="467">
        <v>66704</v>
      </c>
      <c r="S269" s="521">
        <f t="shared" si="96"/>
        <v>117590</v>
      </c>
      <c r="T269" s="467">
        <v>58999</v>
      </c>
      <c r="U269" s="467">
        <v>70966</v>
      </c>
      <c r="V269" s="241">
        <v>96434</v>
      </c>
      <c r="W269" s="467">
        <v>57494</v>
      </c>
      <c r="X269" s="449">
        <f t="shared" si="93"/>
        <v>153928</v>
      </c>
      <c r="Y269" s="467">
        <v>52726</v>
      </c>
      <c r="Z269" s="467">
        <v>59339</v>
      </c>
      <c r="AA269" s="241">
        <v>84232</v>
      </c>
      <c r="AB269" s="467">
        <v>88902</v>
      </c>
      <c r="AC269" s="449">
        <f t="shared" si="94"/>
        <v>173134</v>
      </c>
      <c r="AD269" s="467">
        <v>63596</v>
      </c>
      <c r="AE269" s="467">
        <v>84375</v>
      </c>
      <c r="AF269" s="467">
        <v>77053</v>
      </c>
      <c r="AG269" s="265">
        <f t="shared" si="100"/>
        <v>1.8159218645599968</v>
      </c>
      <c r="AH269" s="515">
        <f t="shared" si="101"/>
        <v>0.77879887263132641</v>
      </c>
      <c r="AI269" s="515">
        <f t="shared" si="102"/>
        <v>1.2276043881282421</v>
      </c>
      <c r="AJ269" s="515">
        <f t="shared" si="103"/>
        <v>1.000101696638926</v>
      </c>
      <c r="AK269" s="187">
        <f t="shared" si="104"/>
        <v>0.93237606741256374</v>
      </c>
      <c r="AL269" s="266">
        <f t="shared" si="105"/>
        <v>0.59301985823277958</v>
      </c>
      <c r="AM269" s="516">
        <f t="shared" si="106"/>
        <v>1.7326031299928777</v>
      </c>
      <c r="AN269" s="516">
        <f t="shared" si="107"/>
        <v>1.003124263962204</v>
      </c>
      <c r="AO269" s="516">
        <f t="shared" si="108"/>
        <v>1.6727734937717142</v>
      </c>
      <c r="AP269" s="267">
        <f t="shared" si="109"/>
        <v>1.3813230160049572</v>
      </c>
      <c r="AQ269" s="268">
        <f t="shared" si="110"/>
        <v>0.16362251981905315</v>
      </c>
      <c r="AR269" s="450">
        <f t="shared" si="111"/>
        <v>0.26875382571176903</v>
      </c>
      <c r="AS269" s="450">
        <f t="shared" si="112"/>
        <v>0.43237634553082216</v>
      </c>
      <c r="AT269" s="450">
        <f t="shared" si="113"/>
        <v>0.29471641211686894</v>
      </c>
      <c r="AU269" s="269">
        <f t="shared" si="114"/>
        <v>0.27290724235230884</v>
      </c>
    </row>
    <row r="270" spans="1:47" ht="15.75" customHeight="1">
      <c r="A270" s="175">
        <f t="shared" si="97"/>
        <v>2026</v>
      </c>
      <c r="B270" s="454" t="str">
        <f t="shared" si="98"/>
        <v>03</v>
      </c>
      <c r="C270" s="454" t="str">
        <f t="array" ref="C270">_xlfn.IFS(_xlfn.NUMBERVALUE(B270)&lt;=13,"Q1",AND(_xlfn.NUMBERVALUE(B270)&gt;13,_xlfn.NUMBERVALUE(B270)&lt;=26),"Q2", AND(_xlfn.NUMBERVALUE(B270)&gt;26,_xlfn.NUMBERVALUE(B270)&lt;=39),"Q3",_xlfn.NUMBERVALUE(B270)&gt;39,"Q4")</f>
        <v>Q1</v>
      </c>
      <c r="D270" s="448">
        <f t="shared" si="115"/>
        <v>45703</v>
      </c>
      <c r="E270" s="448">
        <f t="shared" si="99"/>
        <v>45709</v>
      </c>
      <c r="F270" s="97">
        <v>202503</v>
      </c>
      <c r="G270" s="241">
        <v>99523</v>
      </c>
      <c r="H270" s="467">
        <v>50855</v>
      </c>
      <c r="I270" s="521">
        <f t="shared" si="95"/>
        <v>150378</v>
      </c>
      <c r="J270" s="467">
        <v>68206</v>
      </c>
      <c r="K270" s="242">
        <v>91271</v>
      </c>
      <c r="L270" s="241">
        <v>85451</v>
      </c>
      <c r="M270" s="467">
        <v>87441</v>
      </c>
      <c r="N270" s="469">
        <f t="shared" si="92"/>
        <v>172892</v>
      </c>
      <c r="O270" s="467">
        <v>65235</v>
      </c>
      <c r="P270" s="467">
        <v>87609</v>
      </c>
      <c r="Q270" s="241">
        <v>64177</v>
      </c>
      <c r="R270" s="467">
        <v>88589</v>
      </c>
      <c r="S270" s="521">
        <f t="shared" si="96"/>
        <v>152766</v>
      </c>
      <c r="T270" s="467">
        <v>60735</v>
      </c>
      <c r="U270" s="467">
        <v>82784</v>
      </c>
      <c r="V270" s="241">
        <v>61684</v>
      </c>
      <c r="W270" s="467">
        <v>81977</v>
      </c>
      <c r="X270" s="449">
        <f t="shared" si="93"/>
        <v>143661</v>
      </c>
      <c r="Y270" s="467">
        <v>69051</v>
      </c>
      <c r="Z270" s="467">
        <v>96044</v>
      </c>
      <c r="AA270" s="241">
        <v>83671</v>
      </c>
      <c r="AB270" s="467">
        <v>99175</v>
      </c>
      <c r="AC270" s="449">
        <f t="shared" si="94"/>
        <v>182846</v>
      </c>
      <c r="AD270" s="467">
        <v>60413</v>
      </c>
      <c r="AE270" s="467">
        <v>54941</v>
      </c>
      <c r="AF270" s="467">
        <v>96861</v>
      </c>
      <c r="AG270" s="265">
        <f t="shared" si="100"/>
        <v>1.5507580597410286</v>
      </c>
      <c r="AH270" s="515">
        <f t="shared" si="101"/>
        <v>0.57405546964070031</v>
      </c>
      <c r="AI270" s="515">
        <f t="shared" si="102"/>
        <v>0.98436824947959622</v>
      </c>
      <c r="AJ270" s="515">
        <f t="shared" si="103"/>
        <v>1.1230097966576109</v>
      </c>
      <c r="AK270" s="187">
        <f t="shared" si="104"/>
        <v>1.1025198105914187</v>
      </c>
      <c r="AL270" s="266">
        <f t="shared" si="105"/>
        <v>0.85860554846618364</v>
      </c>
      <c r="AM270" s="516">
        <f t="shared" si="106"/>
        <v>1.7194179530036378</v>
      </c>
      <c r="AN270" s="516">
        <f t="shared" si="107"/>
        <v>1.1497160488901301</v>
      </c>
      <c r="AO270" s="516">
        <f t="shared" si="108"/>
        <v>0.95644078233586483</v>
      </c>
      <c r="AP270" s="267">
        <f t="shared" si="109"/>
        <v>0.95987772676972971</v>
      </c>
      <c r="AQ270" s="268">
        <f t="shared" si="110"/>
        <v>0.26233207259866886</v>
      </c>
      <c r="AR270" s="450">
        <f t="shared" si="111"/>
        <v>0.26844131443868652</v>
      </c>
      <c r="AS270" s="450">
        <f t="shared" si="112"/>
        <v>0.53077338703735544</v>
      </c>
      <c r="AT270" s="450">
        <f t="shared" si="113"/>
        <v>0.20026954343394651</v>
      </c>
      <c r="AU270" s="269">
        <f t="shared" si="114"/>
        <v>0.26895706952869808</v>
      </c>
    </row>
    <row r="271" spans="1:47" ht="15.75" customHeight="1">
      <c r="A271" s="175">
        <f t="shared" si="97"/>
        <v>2026</v>
      </c>
      <c r="B271" s="454" t="str">
        <f t="shared" si="98"/>
        <v>04</v>
      </c>
      <c r="C271" s="454" t="str">
        <f t="array" ref="C271">_xlfn.IFS(_xlfn.NUMBERVALUE(B271)&lt;=13,"Q1",AND(_xlfn.NUMBERVALUE(B271)&gt;13,_xlfn.NUMBERVALUE(B271)&lt;=26),"Q2", AND(_xlfn.NUMBERVALUE(B271)&gt;26,_xlfn.NUMBERVALUE(B271)&lt;=39),"Q3",_xlfn.NUMBERVALUE(B271)&gt;39,"Q4")</f>
        <v>Q1</v>
      </c>
      <c r="D271" s="448">
        <f t="shared" si="115"/>
        <v>45710</v>
      </c>
      <c r="E271" s="448">
        <f t="shared" si="99"/>
        <v>45716</v>
      </c>
      <c r="F271" s="97">
        <v>202504</v>
      </c>
      <c r="G271" s="241">
        <v>55758</v>
      </c>
      <c r="H271" s="467">
        <v>91112</v>
      </c>
      <c r="I271" s="521">
        <f t="shared" si="95"/>
        <v>146870</v>
      </c>
      <c r="J271" s="467">
        <v>89396</v>
      </c>
      <c r="K271" s="242">
        <v>50253</v>
      </c>
      <c r="L271" s="241">
        <v>88099</v>
      </c>
      <c r="M271" s="467">
        <v>84800</v>
      </c>
      <c r="N271" s="469">
        <f t="shared" si="92"/>
        <v>172899</v>
      </c>
      <c r="O271" s="467">
        <v>82564</v>
      </c>
      <c r="P271" s="467">
        <v>61166</v>
      </c>
      <c r="Q271" s="241">
        <v>91474</v>
      </c>
      <c r="R271" s="467">
        <v>52808</v>
      </c>
      <c r="S271" s="521">
        <f t="shared" si="96"/>
        <v>144282</v>
      </c>
      <c r="T271" s="467">
        <v>97978</v>
      </c>
      <c r="U271" s="467">
        <v>53924</v>
      </c>
      <c r="V271" s="241">
        <v>53565</v>
      </c>
      <c r="W271" s="467">
        <v>65782</v>
      </c>
      <c r="X271" s="449">
        <f t="shared" si="93"/>
        <v>119347</v>
      </c>
      <c r="Y271" s="467">
        <v>66226</v>
      </c>
      <c r="Z271" s="467">
        <v>91950</v>
      </c>
      <c r="AA271" s="241">
        <v>75597</v>
      </c>
      <c r="AB271" s="467">
        <v>51718</v>
      </c>
      <c r="AC271" s="449">
        <f t="shared" si="94"/>
        <v>127315</v>
      </c>
      <c r="AD271" s="467">
        <v>91063</v>
      </c>
      <c r="AE271" s="467">
        <v>91868</v>
      </c>
      <c r="AF271" s="467">
        <v>76511</v>
      </c>
      <c r="AG271" s="265">
        <f t="shared" si="100"/>
        <v>0.60955025471718738</v>
      </c>
      <c r="AH271" s="515">
        <f t="shared" si="101"/>
        <v>1.7253446447507954</v>
      </c>
      <c r="AI271" s="515">
        <f t="shared" si="102"/>
        <v>1.0179370954103768</v>
      </c>
      <c r="AJ271" s="515">
        <f t="shared" si="103"/>
        <v>0.91240890812223152</v>
      </c>
      <c r="AK271" s="187">
        <f t="shared" si="104"/>
        <v>0.93192270603070992</v>
      </c>
      <c r="AL271" s="266">
        <f t="shared" si="105"/>
        <v>1.5800243911187632</v>
      </c>
      <c r="AM271" s="516">
        <f t="shared" si="106"/>
        <v>0.93072262709632103</v>
      </c>
      <c r="AN271" s="516">
        <f t="shared" si="107"/>
        <v>1.1772247565874583</v>
      </c>
      <c r="AO271" s="516">
        <f t="shared" si="108"/>
        <v>0.92357599892612641</v>
      </c>
      <c r="AP271" s="267">
        <f t="shared" si="109"/>
        <v>1.2171611645075915</v>
      </c>
      <c r="AQ271" s="268">
        <f t="shared" si="110"/>
        <v>0.27824046439208033</v>
      </c>
      <c r="AR271" s="450">
        <f t="shared" si="111"/>
        <v>0.26782133032665989</v>
      </c>
      <c r="AS271" s="450">
        <f t="shared" si="112"/>
        <v>0.54606179471874028</v>
      </c>
      <c r="AT271" s="450">
        <f t="shared" si="113"/>
        <v>0.26075943770153714</v>
      </c>
      <c r="AU271" s="269">
        <f t="shared" si="114"/>
        <v>0.19317876757972263</v>
      </c>
    </row>
    <row r="272" spans="1:47" ht="15.75" customHeight="1">
      <c r="A272" s="175">
        <f t="shared" si="97"/>
        <v>2026</v>
      </c>
      <c r="B272" s="454" t="str">
        <f t="shared" si="98"/>
        <v>05</v>
      </c>
      <c r="C272" s="454" t="str">
        <f t="array" ref="C272">_xlfn.IFS(_xlfn.NUMBERVALUE(B272)&lt;=13,"Q1",AND(_xlfn.NUMBERVALUE(B272)&gt;13,_xlfn.NUMBERVALUE(B272)&lt;=26),"Q2", AND(_xlfn.NUMBERVALUE(B272)&gt;26,_xlfn.NUMBERVALUE(B272)&lt;=39),"Q3",_xlfn.NUMBERVALUE(B272)&gt;39,"Q4")</f>
        <v>Q1</v>
      </c>
      <c r="D272" s="448">
        <f t="shared" si="115"/>
        <v>45717</v>
      </c>
      <c r="E272" s="448">
        <f t="shared" si="99"/>
        <v>45723</v>
      </c>
      <c r="F272" s="97">
        <v>202505</v>
      </c>
      <c r="G272" s="241">
        <v>64542</v>
      </c>
      <c r="H272" s="467">
        <v>57221</v>
      </c>
      <c r="I272" s="521">
        <f t="shared" si="95"/>
        <v>121763</v>
      </c>
      <c r="J272" s="467">
        <v>51637</v>
      </c>
      <c r="K272" s="242">
        <v>55160</v>
      </c>
      <c r="L272" s="241">
        <v>52559</v>
      </c>
      <c r="M272" s="467">
        <v>91207</v>
      </c>
      <c r="N272" s="469">
        <f t="shared" si="92"/>
        <v>143766</v>
      </c>
      <c r="O272" s="467">
        <v>55507</v>
      </c>
      <c r="P272" s="467">
        <v>97195</v>
      </c>
      <c r="Q272" s="241">
        <v>85905</v>
      </c>
      <c r="R272" s="467">
        <v>83163</v>
      </c>
      <c r="S272" s="521">
        <f t="shared" si="96"/>
        <v>169068</v>
      </c>
      <c r="T272" s="467">
        <v>79507</v>
      </c>
      <c r="U272" s="467">
        <v>92887</v>
      </c>
      <c r="V272" s="241">
        <v>67931</v>
      </c>
      <c r="W272" s="467">
        <v>63714</v>
      </c>
      <c r="X272" s="449">
        <f t="shared" si="93"/>
        <v>131645</v>
      </c>
      <c r="Y272" s="467">
        <v>56340</v>
      </c>
      <c r="Z272" s="467">
        <v>68153</v>
      </c>
      <c r="AA272" s="241">
        <v>56424</v>
      </c>
      <c r="AB272" s="467">
        <v>51774</v>
      </c>
      <c r="AC272" s="449">
        <f t="shared" si="94"/>
        <v>108198</v>
      </c>
      <c r="AD272" s="467">
        <v>69500</v>
      </c>
      <c r="AE272" s="467">
        <v>51322</v>
      </c>
      <c r="AF272" s="467">
        <v>74564</v>
      </c>
      <c r="AG272" s="265">
        <f t="shared" si="100"/>
        <v>0.75131831674524185</v>
      </c>
      <c r="AH272" s="515">
        <f t="shared" si="101"/>
        <v>0.68805839135192337</v>
      </c>
      <c r="AI272" s="515">
        <f t="shared" si="102"/>
        <v>0.72020133910615847</v>
      </c>
      <c r="AJ272" s="515">
        <f t="shared" si="103"/>
        <v>0.6494648269963651</v>
      </c>
      <c r="AK272" s="187">
        <f t="shared" si="104"/>
        <v>0.59383982688643189</v>
      </c>
      <c r="AL272" s="266">
        <f t="shared" si="105"/>
        <v>0.81433795048185675</v>
      </c>
      <c r="AM272" s="516">
        <f t="shared" si="106"/>
        <v>1.5939427832439139</v>
      </c>
      <c r="AN272" s="516">
        <f t="shared" si="107"/>
        <v>1.1807034977784714</v>
      </c>
      <c r="AO272" s="516">
        <f t="shared" si="108"/>
        <v>1.0749462594651122</v>
      </c>
      <c r="AP272" s="267">
        <f t="shared" si="109"/>
        <v>1.7620558375634519</v>
      </c>
      <c r="AQ272" s="268">
        <f t="shared" si="110"/>
        <v>0.17728388898633243</v>
      </c>
      <c r="AR272" s="450">
        <f t="shared" si="111"/>
        <v>0.30764534452284903</v>
      </c>
      <c r="AS272" s="450">
        <f t="shared" si="112"/>
        <v>0.48492923350918143</v>
      </c>
      <c r="AT272" s="450">
        <f t="shared" si="113"/>
        <v>0.18722762659039086</v>
      </c>
      <c r="AU272" s="269">
        <f t="shared" si="114"/>
        <v>0.32784313990042768</v>
      </c>
    </row>
    <row r="273" spans="1:47" ht="15.75" customHeight="1">
      <c r="A273" s="175">
        <f t="shared" si="97"/>
        <v>2026</v>
      </c>
      <c r="B273" s="454" t="str">
        <f t="shared" si="98"/>
        <v>06</v>
      </c>
      <c r="C273" s="454" t="str">
        <f t="array" ref="C273">_xlfn.IFS(_xlfn.NUMBERVALUE(B273)&lt;=13,"Q1",AND(_xlfn.NUMBERVALUE(B273)&gt;13,_xlfn.NUMBERVALUE(B273)&lt;=26),"Q2", AND(_xlfn.NUMBERVALUE(B273)&gt;26,_xlfn.NUMBERVALUE(B273)&lt;=39),"Q3",_xlfn.NUMBERVALUE(B273)&gt;39,"Q4")</f>
        <v>Q1</v>
      </c>
      <c r="D273" s="448">
        <f t="shared" si="115"/>
        <v>45724</v>
      </c>
      <c r="E273" s="448">
        <f t="shared" si="99"/>
        <v>45730</v>
      </c>
      <c r="F273" s="97">
        <v>202506</v>
      </c>
      <c r="G273" s="241">
        <v>68253</v>
      </c>
      <c r="H273" s="467">
        <v>88629</v>
      </c>
      <c r="I273" s="521">
        <f t="shared" si="95"/>
        <v>156882</v>
      </c>
      <c r="J273" s="467">
        <v>95030</v>
      </c>
      <c r="K273" s="242">
        <v>58009</v>
      </c>
      <c r="L273" s="241">
        <v>84670</v>
      </c>
      <c r="M273" s="467">
        <v>74020</v>
      </c>
      <c r="N273" s="469">
        <f t="shared" si="92"/>
        <v>158690</v>
      </c>
      <c r="O273" s="467">
        <v>74897</v>
      </c>
      <c r="P273" s="467">
        <v>98131</v>
      </c>
      <c r="Q273" s="241">
        <v>84376</v>
      </c>
      <c r="R273" s="467">
        <v>76276</v>
      </c>
      <c r="S273" s="521">
        <f t="shared" si="96"/>
        <v>160652</v>
      </c>
      <c r="T273" s="467">
        <v>53797</v>
      </c>
      <c r="U273" s="467">
        <v>94650</v>
      </c>
      <c r="V273" s="241">
        <v>64822</v>
      </c>
      <c r="W273" s="467">
        <v>59303</v>
      </c>
      <c r="X273" s="449">
        <f t="shared" si="93"/>
        <v>124125</v>
      </c>
      <c r="Y273" s="467">
        <v>63540</v>
      </c>
      <c r="Z273" s="467">
        <v>61133</v>
      </c>
      <c r="AA273" s="241">
        <v>95043</v>
      </c>
      <c r="AB273" s="467">
        <v>91426</v>
      </c>
      <c r="AC273" s="449">
        <f t="shared" si="94"/>
        <v>186469</v>
      </c>
      <c r="AD273" s="467">
        <v>52967</v>
      </c>
      <c r="AE273" s="467">
        <v>57992</v>
      </c>
      <c r="AF273" s="467">
        <v>63923</v>
      </c>
      <c r="AG273" s="265">
        <f t="shared" si="100"/>
        <v>0.80891485730539492</v>
      </c>
      <c r="AH273" s="515">
        <f t="shared" si="101"/>
        <v>1.1619513346268813</v>
      </c>
      <c r="AI273" s="515">
        <f t="shared" si="102"/>
        <v>0.97653312750541543</v>
      </c>
      <c r="AJ273" s="515">
        <f t="shared" si="103"/>
        <v>1.7664553785527073</v>
      </c>
      <c r="AK273" s="187">
        <f t="shared" si="104"/>
        <v>0.61287902799788696</v>
      </c>
      <c r="AL273" s="266">
        <f t="shared" si="105"/>
        <v>1.240531551726664</v>
      </c>
      <c r="AM273" s="516">
        <f t="shared" si="106"/>
        <v>0.83516681898701328</v>
      </c>
      <c r="AN273" s="516">
        <f t="shared" si="107"/>
        <v>1.0115245853571475</v>
      </c>
      <c r="AO273" s="516">
        <f t="shared" si="108"/>
        <v>0.78814058718299485</v>
      </c>
      <c r="AP273" s="267">
        <f t="shared" si="109"/>
        <v>1.6916512954886311</v>
      </c>
      <c r="AQ273" s="268">
        <f t="shared" si="110"/>
        <v>0.2552469266063343</v>
      </c>
      <c r="AR273" s="450">
        <f t="shared" si="111"/>
        <v>0.22314134294792565</v>
      </c>
      <c r="AS273" s="450">
        <f t="shared" si="112"/>
        <v>0.47838826955425995</v>
      </c>
      <c r="AT273" s="450">
        <f t="shared" si="113"/>
        <v>0.22578515486045375</v>
      </c>
      <c r="AU273" s="269">
        <f t="shared" si="114"/>
        <v>0.2958265755852863</v>
      </c>
    </row>
    <row r="274" spans="1:47" ht="15.75" customHeight="1">
      <c r="A274" s="175">
        <f t="shared" si="97"/>
        <v>2026</v>
      </c>
      <c r="B274" s="454" t="str">
        <f t="shared" si="98"/>
        <v>07</v>
      </c>
      <c r="C274" s="454" t="str">
        <f t="array" ref="C274">_xlfn.IFS(_xlfn.NUMBERVALUE(B274)&lt;=13,"Q1",AND(_xlfn.NUMBERVALUE(B274)&gt;13,_xlfn.NUMBERVALUE(B274)&lt;=26),"Q2", AND(_xlfn.NUMBERVALUE(B274)&gt;26,_xlfn.NUMBERVALUE(B274)&lt;=39),"Q3",_xlfn.NUMBERVALUE(B274)&gt;39,"Q4")</f>
        <v>Q1</v>
      </c>
      <c r="D274" s="448">
        <f t="shared" si="115"/>
        <v>45731</v>
      </c>
      <c r="E274" s="448">
        <f t="shared" si="99"/>
        <v>45737</v>
      </c>
      <c r="F274" s="97">
        <v>202507</v>
      </c>
      <c r="G274" s="241"/>
      <c r="H274" s="467"/>
      <c r="I274" s="521">
        <f t="shared" si="95"/>
        <v>0</v>
      </c>
      <c r="J274" s="467"/>
      <c r="K274" s="242"/>
      <c r="L274" s="241"/>
      <c r="M274" s="467"/>
      <c r="N274" s="469">
        <f t="shared" si="92"/>
        <v>0</v>
      </c>
      <c r="O274" s="467"/>
      <c r="P274" s="467"/>
      <c r="Q274" s="241"/>
      <c r="R274" s="467"/>
      <c r="S274" s="521">
        <f t="shared" si="96"/>
        <v>0</v>
      </c>
      <c r="T274" s="467"/>
      <c r="U274" s="467"/>
      <c r="V274" s="241"/>
      <c r="W274" s="467"/>
      <c r="X274" s="449">
        <f t="shared" si="93"/>
        <v>0</v>
      </c>
      <c r="Y274" s="467"/>
      <c r="Z274" s="467"/>
      <c r="AA274" s="241"/>
      <c r="AB274" s="467"/>
      <c r="AC274" s="449">
        <f t="shared" si="94"/>
        <v>0</v>
      </c>
      <c r="AD274" s="467"/>
      <c r="AE274" s="467"/>
      <c r="AF274" s="467"/>
      <c r="AG274" s="265" t="str">
        <f t="shared" si="100"/>
        <v/>
      </c>
      <c r="AH274" s="515" t="str">
        <f t="shared" si="101"/>
        <v/>
      </c>
      <c r="AI274" s="515" t="str">
        <f t="shared" si="102"/>
        <v/>
      </c>
      <c r="AJ274" s="515" t="str">
        <f t="shared" si="103"/>
        <v/>
      </c>
      <c r="AK274" s="187" t="str">
        <f t="shared" si="104"/>
        <v/>
      </c>
      <c r="AL274" s="266" t="str">
        <f t="shared" si="105"/>
        <v/>
      </c>
      <c r="AM274" s="516" t="str">
        <f t="shared" si="106"/>
        <v/>
      </c>
      <c r="AN274" s="516" t="str">
        <f t="shared" si="107"/>
        <v/>
      </c>
      <c r="AO274" s="516" t="str">
        <f t="shared" si="108"/>
        <v/>
      </c>
      <c r="AP274" s="267" t="str">
        <f t="shared" si="109"/>
        <v/>
      </c>
      <c r="AQ274" s="268" t="str">
        <f t="shared" si="110"/>
        <v/>
      </c>
      <c r="AR274" s="450" t="str">
        <f t="shared" si="111"/>
        <v/>
      </c>
      <c r="AS274" s="450" t="str">
        <f t="shared" si="112"/>
        <v/>
      </c>
      <c r="AT274" s="450" t="str">
        <f t="shared" si="113"/>
        <v/>
      </c>
      <c r="AU274" s="269" t="str">
        <f t="shared" si="114"/>
        <v/>
      </c>
    </row>
    <row r="275" spans="1:47" ht="15.75" customHeight="1">
      <c r="A275" s="175">
        <f t="shared" si="97"/>
        <v>2026</v>
      </c>
      <c r="B275" s="454" t="str">
        <f t="shared" si="98"/>
        <v>08</v>
      </c>
      <c r="C275" s="454" t="str">
        <f t="array" ref="C275">_xlfn.IFS(_xlfn.NUMBERVALUE(B275)&lt;=13,"Q1",AND(_xlfn.NUMBERVALUE(B275)&gt;13,_xlfn.NUMBERVALUE(B275)&lt;=26),"Q2", AND(_xlfn.NUMBERVALUE(B275)&gt;26,_xlfn.NUMBERVALUE(B275)&lt;=39),"Q3",_xlfn.NUMBERVALUE(B275)&gt;39,"Q4")</f>
        <v>Q1</v>
      </c>
      <c r="D275" s="448">
        <f t="shared" si="115"/>
        <v>45738</v>
      </c>
      <c r="E275" s="448">
        <f t="shared" si="99"/>
        <v>45744</v>
      </c>
      <c r="F275" s="97">
        <v>202508</v>
      </c>
      <c r="G275" s="241"/>
      <c r="H275" s="467"/>
      <c r="I275" s="521">
        <f t="shared" si="95"/>
        <v>0</v>
      </c>
      <c r="J275" s="467"/>
      <c r="K275" s="242"/>
      <c r="L275" s="430"/>
      <c r="M275" s="430"/>
      <c r="N275" s="469">
        <f t="shared" si="92"/>
        <v>0</v>
      </c>
      <c r="O275" s="430"/>
      <c r="P275" s="430"/>
      <c r="Q275" s="103"/>
      <c r="R275" s="429"/>
      <c r="S275" s="521">
        <f t="shared" si="96"/>
        <v>0</v>
      </c>
      <c r="T275" s="467"/>
      <c r="U275" s="242"/>
      <c r="V275" s="467"/>
      <c r="W275" s="467"/>
      <c r="X275" s="449">
        <f t="shared" si="93"/>
        <v>0</v>
      </c>
      <c r="Y275" s="467"/>
      <c r="Z275" s="242"/>
      <c r="AA275" s="523"/>
      <c r="AB275" s="523"/>
      <c r="AC275" s="449">
        <f t="shared" si="94"/>
        <v>0</v>
      </c>
      <c r="AD275" s="429"/>
      <c r="AE275" s="429"/>
      <c r="AF275" s="126"/>
      <c r="AG275" s="265" t="str">
        <f t="shared" si="100"/>
        <v/>
      </c>
      <c r="AH275" s="515" t="str">
        <f t="shared" si="101"/>
        <v/>
      </c>
      <c r="AI275" s="515" t="str">
        <f t="shared" si="102"/>
        <v/>
      </c>
      <c r="AJ275" s="515" t="str">
        <f t="shared" si="103"/>
        <v/>
      </c>
      <c r="AK275" s="187" t="str">
        <f t="shared" si="104"/>
        <v/>
      </c>
      <c r="AL275" s="266" t="str">
        <f t="shared" si="105"/>
        <v/>
      </c>
      <c r="AM275" s="516" t="str">
        <f t="shared" si="106"/>
        <v/>
      </c>
      <c r="AN275" s="516" t="str">
        <f t="shared" si="107"/>
        <v/>
      </c>
      <c r="AO275" s="516" t="str">
        <f t="shared" si="108"/>
        <v/>
      </c>
      <c r="AP275" s="267" t="str">
        <f t="shared" si="109"/>
        <v/>
      </c>
      <c r="AQ275" s="268" t="str">
        <f t="shared" si="110"/>
        <v/>
      </c>
      <c r="AR275" s="450" t="str">
        <f t="shared" si="111"/>
        <v/>
      </c>
      <c r="AS275" s="450" t="str">
        <f t="shared" si="112"/>
        <v/>
      </c>
      <c r="AT275" s="450" t="str">
        <f t="shared" si="113"/>
        <v/>
      </c>
      <c r="AU275" s="269" t="str">
        <f t="shared" si="114"/>
        <v/>
      </c>
    </row>
    <row r="276" spans="1:47" ht="15.75" customHeight="1">
      <c r="A276" s="175">
        <f t="shared" si="97"/>
        <v>2026</v>
      </c>
      <c r="B276" s="454" t="str">
        <f t="shared" si="98"/>
        <v>09</v>
      </c>
      <c r="C276" s="454" t="str">
        <f t="array" ref="C276">_xlfn.IFS(_xlfn.NUMBERVALUE(B276)&lt;=13,"Q1",AND(_xlfn.NUMBERVALUE(B276)&gt;13,_xlfn.NUMBERVALUE(B276)&lt;=26),"Q2", AND(_xlfn.NUMBERVALUE(B276)&gt;26,_xlfn.NUMBERVALUE(B276)&lt;=39),"Q3",_xlfn.NUMBERVALUE(B276)&gt;39,"Q4")</f>
        <v>Q1</v>
      </c>
      <c r="D276" s="448">
        <f t="shared" si="115"/>
        <v>45745</v>
      </c>
      <c r="E276" s="448">
        <f t="shared" si="99"/>
        <v>45751</v>
      </c>
      <c r="F276" s="97">
        <v>202509</v>
      </c>
      <c r="G276" s="241"/>
      <c r="H276" s="467"/>
      <c r="I276" s="521">
        <f t="shared" si="95"/>
        <v>0</v>
      </c>
      <c r="J276" s="467"/>
      <c r="K276" s="242"/>
      <c r="L276" s="430"/>
      <c r="M276" s="430"/>
      <c r="N276" s="469">
        <f t="shared" si="92"/>
        <v>0</v>
      </c>
      <c r="O276" s="430"/>
      <c r="P276" s="430"/>
      <c r="Q276" s="103"/>
      <c r="R276" s="429"/>
      <c r="S276" s="521">
        <f t="shared" si="96"/>
        <v>0</v>
      </c>
      <c r="T276" s="467"/>
      <c r="U276" s="242"/>
      <c r="V276" s="467"/>
      <c r="W276" s="467"/>
      <c r="X276" s="449">
        <f t="shared" si="93"/>
        <v>0</v>
      </c>
      <c r="Y276" s="467"/>
      <c r="Z276" s="242"/>
      <c r="AA276" s="523"/>
      <c r="AB276" s="523"/>
      <c r="AC276" s="449">
        <f t="shared" si="94"/>
        <v>0</v>
      </c>
      <c r="AD276" s="429"/>
      <c r="AE276" s="429"/>
      <c r="AF276" s="126"/>
      <c r="AG276" s="265" t="str">
        <f t="shared" si="100"/>
        <v/>
      </c>
      <c r="AH276" s="515" t="str">
        <f t="shared" si="101"/>
        <v/>
      </c>
      <c r="AI276" s="515" t="str">
        <f t="shared" si="102"/>
        <v/>
      </c>
      <c r="AJ276" s="515" t="str">
        <f t="shared" si="103"/>
        <v/>
      </c>
      <c r="AK276" s="187" t="str">
        <f t="shared" si="104"/>
        <v/>
      </c>
      <c r="AL276" s="266" t="str">
        <f t="shared" si="105"/>
        <v/>
      </c>
      <c r="AM276" s="516" t="str">
        <f t="shared" si="106"/>
        <v/>
      </c>
      <c r="AN276" s="516" t="str">
        <f t="shared" si="107"/>
        <v/>
      </c>
      <c r="AO276" s="516" t="str">
        <f t="shared" si="108"/>
        <v/>
      </c>
      <c r="AP276" s="267" t="str">
        <f t="shared" si="109"/>
        <v/>
      </c>
      <c r="AQ276" s="268" t="str">
        <f t="shared" si="110"/>
        <v/>
      </c>
      <c r="AR276" s="450" t="str">
        <f t="shared" si="111"/>
        <v/>
      </c>
      <c r="AS276" s="450" t="str">
        <f t="shared" si="112"/>
        <v/>
      </c>
      <c r="AT276" s="450" t="str">
        <f t="shared" si="113"/>
        <v/>
      </c>
      <c r="AU276" s="269" t="str">
        <f t="shared" si="114"/>
        <v/>
      </c>
    </row>
    <row r="277" spans="1:47" ht="15.75" customHeight="1">
      <c r="A277" s="175">
        <f t="shared" si="97"/>
        <v>2026</v>
      </c>
      <c r="B277" s="454" t="str">
        <f t="shared" si="98"/>
        <v>10</v>
      </c>
      <c r="C277" s="454" t="str">
        <f t="array" ref="C277">_xlfn.IFS(_xlfn.NUMBERVALUE(B277)&lt;=13,"Q1",AND(_xlfn.NUMBERVALUE(B277)&gt;13,_xlfn.NUMBERVALUE(B277)&lt;=26),"Q2", AND(_xlfn.NUMBERVALUE(B277)&gt;26,_xlfn.NUMBERVALUE(B277)&lt;=39),"Q3",_xlfn.NUMBERVALUE(B277)&gt;39,"Q4")</f>
        <v>Q1</v>
      </c>
      <c r="D277" s="448">
        <f t="shared" si="115"/>
        <v>45752</v>
      </c>
      <c r="E277" s="448">
        <f t="shared" si="99"/>
        <v>45758</v>
      </c>
      <c r="F277" s="97">
        <v>202510</v>
      </c>
      <c r="G277" s="241"/>
      <c r="H277" s="467"/>
      <c r="I277" s="521">
        <f t="shared" si="95"/>
        <v>0</v>
      </c>
      <c r="J277" s="467"/>
      <c r="K277" s="242"/>
      <c r="L277" s="430"/>
      <c r="M277" s="430"/>
      <c r="N277" s="469">
        <f t="shared" si="92"/>
        <v>0</v>
      </c>
      <c r="O277" s="430"/>
      <c r="P277" s="430"/>
      <c r="Q277" s="103"/>
      <c r="R277" s="429"/>
      <c r="S277" s="521">
        <f t="shared" si="96"/>
        <v>0</v>
      </c>
      <c r="T277" s="467"/>
      <c r="U277" s="242"/>
      <c r="V277" s="467"/>
      <c r="W277" s="467"/>
      <c r="X277" s="449">
        <f t="shared" si="93"/>
        <v>0</v>
      </c>
      <c r="Y277" s="467"/>
      <c r="Z277" s="242"/>
      <c r="AA277" s="523"/>
      <c r="AB277" s="523"/>
      <c r="AC277" s="449">
        <f t="shared" si="94"/>
        <v>0</v>
      </c>
      <c r="AD277" s="429"/>
      <c r="AE277" s="429"/>
      <c r="AF277" s="126"/>
      <c r="AG277" s="265" t="str">
        <f t="shared" si="100"/>
        <v/>
      </c>
      <c r="AH277" s="515" t="str">
        <f t="shared" si="101"/>
        <v/>
      </c>
      <c r="AI277" s="515" t="str">
        <f t="shared" si="102"/>
        <v/>
      </c>
      <c r="AJ277" s="515" t="str">
        <f t="shared" si="103"/>
        <v/>
      </c>
      <c r="AK277" s="187" t="str">
        <f t="shared" si="104"/>
        <v/>
      </c>
      <c r="AL277" s="266" t="str">
        <f t="shared" si="105"/>
        <v/>
      </c>
      <c r="AM277" s="516" t="str">
        <f t="shared" si="106"/>
        <v/>
      </c>
      <c r="AN277" s="516" t="str">
        <f t="shared" si="107"/>
        <v/>
      </c>
      <c r="AO277" s="516" t="str">
        <f t="shared" si="108"/>
        <v/>
      </c>
      <c r="AP277" s="267" t="str">
        <f t="shared" si="109"/>
        <v/>
      </c>
      <c r="AQ277" s="268" t="str">
        <f t="shared" si="110"/>
        <v/>
      </c>
      <c r="AR277" s="450" t="str">
        <f t="shared" si="111"/>
        <v/>
      </c>
      <c r="AS277" s="450" t="str">
        <f t="shared" si="112"/>
        <v/>
      </c>
      <c r="AT277" s="450" t="str">
        <f t="shared" si="113"/>
        <v/>
      </c>
      <c r="AU277" s="269" t="str">
        <f t="shared" si="114"/>
        <v/>
      </c>
    </row>
    <row r="278" spans="1:47" ht="15.75" customHeight="1">
      <c r="A278" s="175">
        <f t="shared" si="97"/>
        <v>2026</v>
      </c>
      <c r="B278" s="454" t="str">
        <f t="shared" si="98"/>
        <v>11</v>
      </c>
      <c r="C278" s="454" t="str">
        <f t="array" ref="C278">_xlfn.IFS(_xlfn.NUMBERVALUE(B278)&lt;=13,"Q1",AND(_xlfn.NUMBERVALUE(B278)&gt;13,_xlfn.NUMBERVALUE(B278)&lt;=26),"Q2", AND(_xlfn.NUMBERVALUE(B278)&gt;26,_xlfn.NUMBERVALUE(B278)&lt;=39),"Q3",_xlfn.NUMBERVALUE(B278)&gt;39,"Q4")</f>
        <v>Q1</v>
      </c>
      <c r="D278" s="448">
        <f t="shared" si="115"/>
        <v>45759</v>
      </c>
      <c r="E278" s="448">
        <f t="shared" si="99"/>
        <v>45765</v>
      </c>
      <c r="F278" s="97">
        <v>202511</v>
      </c>
      <c r="G278" s="241"/>
      <c r="H278" s="467"/>
      <c r="I278" s="521">
        <f t="shared" si="95"/>
        <v>0</v>
      </c>
      <c r="J278" s="467"/>
      <c r="K278" s="242"/>
      <c r="L278" s="430"/>
      <c r="M278" s="430"/>
      <c r="N278" s="469">
        <f t="shared" si="92"/>
        <v>0</v>
      </c>
      <c r="O278" s="430"/>
      <c r="P278" s="430"/>
      <c r="Q278" s="103"/>
      <c r="R278" s="429"/>
      <c r="S278" s="521">
        <f t="shared" si="96"/>
        <v>0</v>
      </c>
      <c r="T278" s="467"/>
      <c r="U278" s="242"/>
      <c r="V278" s="467"/>
      <c r="W278" s="467"/>
      <c r="X278" s="449">
        <f t="shared" si="93"/>
        <v>0</v>
      </c>
      <c r="Y278" s="467"/>
      <c r="Z278" s="242"/>
      <c r="AA278" s="523"/>
      <c r="AB278" s="523"/>
      <c r="AC278" s="449">
        <f t="shared" si="94"/>
        <v>0</v>
      </c>
      <c r="AD278" s="429"/>
      <c r="AE278" s="429"/>
      <c r="AF278" s="126"/>
      <c r="AG278" s="265" t="str">
        <f t="shared" si="100"/>
        <v/>
      </c>
      <c r="AH278" s="515" t="str">
        <f t="shared" si="101"/>
        <v/>
      </c>
      <c r="AI278" s="515" t="str">
        <f t="shared" si="102"/>
        <v/>
      </c>
      <c r="AJ278" s="515" t="str">
        <f t="shared" si="103"/>
        <v/>
      </c>
      <c r="AK278" s="187" t="str">
        <f t="shared" si="104"/>
        <v/>
      </c>
      <c r="AL278" s="266" t="str">
        <f t="shared" si="105"/>
        <v/>
      </c>
      <c r="AM278" s="516" t="str">
        <f t="shared" si="106"/>
        <v/>
      </c>
      <c r="AN278" s="516" t="str">
        <f t="shared" si="107"/>
        <v/>
      </c>
      <c r="AO278" s="516" t="str">
        <f t="shared" si="108"/>
        <v/>
      </c>
      <c r="AP278" s="267" t="str">
        <f t="shared" si="109"/>
        <v/>
      </c>
      <c r="AQ278" s="268" t="str">
        <f t="shared" si="110"/>
        <v/>
      </c>
      <c r="AR278" s="450" t="str">
        <f t="shared" si="111"/>
        <v/>
      </c>
      <c r="AS278" s="450" t="str">
        <f t="shared" si="112"/>
        <v/>
      </c>
      <c r="AT278" s="450" t="str">
        <f t="shared" si="113"/>
        <v/>
      </c>
      <c r="AU278" s="269" t="str">
        <f t="shared" si="114"/>
        <v/>
      </c>
    </row>
    <row r="279" spans="1:47" ht="15.75" customHeight="1">
      <c r="A279" s="175">
        <f t="shared" si="97"/>
        <v>2026</v>
      </c>
      <c r="B279" s="454" t="str">
        <f t="shared" si="98"/>
        <v>12</v>
      </c>
      <c r="C279" s="454" t="str">
        <f t="array" ref="C279">_xlfn.IFS(_xlfn.NUMBERVALUE(B279)&lt;=13,"Q1",AND(_xlfn.NUMBERVALUE(B279)&gt;13,_xlfn.NUMBERVALUE(B279)&lt;=26),"Q2", AND(_xlfn.NUMBERVALUE(B279)&gt;26,_xlfn.NUMBERVALUE(B279)&lt;=39),"Q3",_xlfn.NUMBERVALUE(B279)&gt;39,"Q4")</f>
        <v>Q1</v>
      </c>
      <c r="D279" s="448">
        <f t="shared" si="115"/>
        <v>45766</v>
      </c>
      <c r="E279" s="448">
        <f t="shared" si="99"/>
        <v>45772</v>
      </c>
      <c r="F279" s="97">
        <v>202512</v>
      </c>
      <c r="G279" s="241"/>
      <c r="H279" s="467"/>
      <c r="I279" s="521">
        <f t="shared" si="95"/>
        <v>0</v>
      </c>
      <c r="J279" s="467"/>
      <c r="K279" s="242"/>
      <c r="L279" s="430"/>
      <c r="M279" s="430"/>
      <c r="N279" s="469">
        <f t="shared" si="92"/>
        <v>0</v>
      </c>
      <c r="O279" s="430"/>
      <c r="P279" s="430"/>
      <c r="Q279" s="103"/>
      <c r="R279" s="429"/>
      <c r="S279" s="521">
        <f t="shared" si="96"/>
        <v>0</v>
      </c>
      <c r="T279" s="467"/>
      <c r="U279" s="242"/>
      <c r="V279" s="467"/>
      <c r="W279" s="467"/>
      <c r="X279" s="449">
        <f t="shared" si="93"/>
        <v>0</v>
      </c>
      <c r="Y279" s="467"/>
      <c r="Z279" s="242"/>
      <c r="AA279" s="523"/>
      <c r="AB279" s="523"/>
      <c r="AC279" s="449">
        <f t="shared" si="94"/>
        <v>0</v>
      </c>
      <c r="AD279" s="429"/>
      <c r="AE279" s="762"/>
      <c r="AF279" s="126"/>
      <c r="AG279" s="265" t="str">
        <f t="shared" si="100"/>
        <v/>
      </c>
      <c r="AH279" s="515" t="str">
        <f t="shared" si="101"/>
        <v/>
      </c>
      <c r="AI279" s="515" t="str">
        <f t="shared" si="102"/>
        <v/>
      </c>
      <c r="AJ279" s="515" t="str">
        <f t="shared" si="103"/>
        <v/>
      </c>
      <c r="AK279" s="187" t="str">
        <f t="shared" si="104"/>
        <v/>
      </c>
      <c r="AL279" s="266" t="str">
        <f t="shared" si="105"/>
        <v/>
      </c>
      <c r="AM279" s="516" t="str">
        <f t="shared" si="106"/>
        <v/>
      </c>
      <c r="AN279" s="516" t="str">
        <f t="shared" si="107"/>
        <v/>
      </c>
      <c r="AO279" s="516" t="str">
        <f t="shared" si="108"/>
        <v/>
      </c>
      <c r="AP279" s="267" t="str">
        <f t="shared" si="109"/>
        <v/>
      </c>
      <c r="AQ279" s="268" t="str">
        <f t="shared" si="110"/>
        <v/>
      </c>
      <c r="AR279" s="450" t="str">
        <f t="shared" si="111"/>
        <v/>
      </c>
      <c r="AS279" s="450" t="str">
        <f t="shared" si="112"/>
        <v/>
      </c>
      <c r="AT279" s="450" t="str">
        <f t="shared" si="113"/>
        <v/>
      </c>
      <c r="AU279" s="269" t="str">
        <f t="shared" si="114"/>
        <v/>
      </c>
    </row>
    <row r="280" spans="1:47" ht="15.75" customHeight="1">
      <c r="A280" s="175">
        <f t="shared" si="97"/>
        <v>2026</v>
      </c>
      <c r="B280" s="454" t="str">
        <f t="shared" si="98"/>
        <v>13</v>
      </c>
      <c r="C280" s="454" t="str">
        <f t="array" ref="C280">_xlfn.IFS(_xlfn.NUMBERVALUE(B280)&lt;=13,"Q1",AND(_xlfn.NUMBERVALUE(B280)&gt;13,_xlfn.NUMBERVALUE(B280)&lt;=26),"Q2", AND(_xlfn.NUMBERVALUE(B280)&gt;26,_xlfn.NUMBERVALUE(B280)&lt;=39),"Q3",_xlfn.NUMBERVALUE(B280)&gt;39,"Q4")</f>
        <v>Q1</v>
      </c>
      <c r="D280" s="448">
        <f t="shared" si="115"/>
        <v>45773</v>
      </c>
      <c r="E280" s="448">
        <f t="shared" si="99"/>
        <v>45779</v>
      </c>
      <c r="F280" s="97">
        <v>202513</v>
      </c>
      <c r="G280" s="241"/>
      <c r="H280" s="467"/>
      <c r="I280" s="521">
        <f t="shared" si="95"/>
        <v>0</v>
      </c>
      <c r="J280" s="467"/>
      <c r="K280" s="242"/>
      <c r="L280" s="430"/>
      <c r="M280" s="430"/>
      <c r="N280" s="469">
        <f t="shared" si="92"/>
        <v>0</v>
      </c>
      <c r="O280" s="430"/>
      <c r="P280" s="430"/>
      <c r="Q280" s="103"/>
      <c r="R280" s="429"/>
      <c r="S280" s="521">
        <f t="shared" si="96"/>
        <v>0</v>
      </c>
      <c r="T280" s="467"/>
      <c r="U280" s="242"/>
      <c r="V280" s="467"/>
      <c r="W280" s="467"/>
      <c r="X280" s="449">
        <f t="shared" si="93"/>
        <v>0</v>
      </c>
      <c r="Y280" s="467"/>
      <c r="Z280" s="242"/>
      <c r="AA280" s="523"/>
      <c r="AB280" s="523"/>
      <c r="AC280" s="449">
        <f t="shared" si="94"/>
        <v>0</v>
      </c>
      <c r="AD280" s="429"/>
      <c r="AE280" s="429"/>
      <c r="AF280" s="126"/>
      <c r="AG280" s="265" t="str">
        <f t="shared" si="100"/>
        <v/>
      </c>
      <c r="AH280" s="515" t="str">
        <f t="shared" si="101"/>
        <v/>
      </c>
      <c r="AI280" s="515" t="str">
        <f t="shared" si="102"/>
        <v/>
      </c>
      <c r="AJ280" s="515" t="str">
        <f t="shared" si="103"/>
        <v/>
      </c>
      <c r="AK280" s="187" t="str">
        <f t="shared" si="104"/>
        <v/>
      </c>
      <c r="AL280" s="266" t="str">
        <f t="shared" si="105"/>
        <v/>
      </c>
      <c r="AM280" s="516" t="str">
        <f t="shared" si="106"/>
        <v/>
      </c>
      <c r="AN280" s="516" t="str">
        <f t="shared" si="107"/>
        <v/>
      </c>
      <c r="AO280" s="516" t="str">
        <f t="shared" si="108"/>
        <v/>
      </c>
      <c r="AP280" s="267" t="str">
        <f t="shared" si="109"/>
        <v/>
      </c>
      <c r="AQ280" s="268" t="str">
        <f t="shared" si="110"/>
        <v/>
      </c>
      <c r="AR280" s="450" t="str">
        <f t="shared" si="111"/>
        <v/>
      </c>
      <c r="AS280" s="450" t="str">
        <f t="shared" si="112"/>
        <v/>
      </c>
      <c r="AT280" s="450" t="str">
        <f t="shared" si="113"/>
        <v/>
      </c>
      <c r="AU280" s="269" t="str">
        <f t="shared" si="114"/>
        <v/>
      </c>
    </row>
    <row r="281" spans="1:47" ht="15.75" customHeight="1">
      <c r="A281" s="175">
        <f t="shared" si="97"/>
        <v>2026</v>
      </c>
      <c r="B281" s="454" t="str">
        <f t="shared" si="98"/>
        <v>14</v>
      </c>
      <c r="C281" s="454" t="str">
        <f t="array" ref="C281">_xlfn.IFS(_xlfn.NUMBERVALUE(B281)&lt;=13,"Q1",AND(_xlfn.NUMBERVALUE(B281)&gt;13,_xlfn.NUMBERVALUE(B281)&lt;=26),"Q2", AND(_xlfn.NUMBERVALUE(B281)&gt;26,_xlfn.NUMBERVALUE(B281)&lt;=39),"Q3",_xlfn.NUMBERVALUE(B281)&gt;39,"Q4")</f>
        <v>Q2</v>
      </c>
      <c r="D281" s="448">
        <f t="shared" si="115"/>
        <v>45780</v>
      </c>
      <c r="E281" s="448">
        <f t="shared" si="99"/>
        <v>45786</v>
      </c>
      <c r="F281" s="97">
        <v>202514</v>
      </c>
      <c r="G281" s="241"/>
      <c r="H281" s="467"/>
      <c r="I281" s="521">
        <f t="shared" si="95"/>
        <v>0</v>
      </c>
      <c r="J281" s="467"/>
      <c r="K281" s="242"/>
      <c r="L281" s="430"/>
      <c r="M281" s="430"/>
      <c r="N281" s="469">
        <f t="shared" si="92"/>
        <v>0</v>
      </c>
      <c r="O281" s="430"/>
      <c r="P281" s="430"/>
      <c r="Q281" s="103"/>
      <c r="R281" s="429"/>
      <c r="S281" s="521">
        <f t="shared" si="96"/>
        <v>0</v>
      </c>
      <c r="T281" s="467"/>
      <c r="U281" s="242"/>
      <c r="V281" s="467"/>
      <c r="W281" s="467"/>
      <c r="X281" s="449">
        <f t="shared" si="93"/>
        <v>0</v>
      </c>
      <c r="Y281" s="467"/>
      <c r="Z281" s="242"/>
      <c r="AA281" s="523"/>
      <c r="AB281" s="523"/>
      <c r="AC281" s="449">
        <f t="shared" si="94"/>
        <v>0</v>
      </c>
      <c r="AD281" s="429"/>
      <c r="AE281" s="429"/>
      <c r="AF281" s="126"/>
      <c r="AG281" s="265" t="str">
        <f t="shared" si="100"/>
        <v/>
      </c>
      <c r="AH281" s="515" t="str">
        <f t="shared" si="101"/>
        <v/>
      </c>
      <c r="AI281" s="515" t="str">
        <f t="shared" si="102"/>
        <v/>
      </c>
      <c r="AJ281" s="515" t="str">
        <f t="shared" si="103"/>
        <v/>
      </c>
      <c r="AK281" s="187" t="str">
        <f t="shared" si="104"/>
        <v/>
      </c>
      <c r="AL281" s="266" t="str">
        <f t="shared" si="105"/>
        <v/>
      </c>
      <c r="AM281" s="516" t="str">
        <f t="shared" si="106"/>
        <v/>
      </c>
      <c r="AN281" s="516" t="str">
        <f t="shared" si="107"/>
        <v/>
      </c>
      <c r="AO281" s="516" t="str">
        <f t="shared" si="108"/>
        <v/>
      </c>
      <c r="AP281" s="267" t="str">
        <f t="shared" si="109"/>
        <v/>
      </c>
      <c r="AQ281" s="268" t="str">
        <f t="shared" si="110"/>
        <v/>
      </c>
      <c r="AR281" s="450" t="str">
        <f t="shared" si="111"/>
        <v/>
      </c>
      <c r="AS281" s="450" t="str">
        <f t="shared" si="112"/>
        <v/>
      </c>
      <c r="AT281" s="450" t="str">
        <f t="shared" si="113"/>
        <v/>
      </c>
      <c r="AU281" s="269" t="str">
        <f t="shared" si="114"/>
        <v/>
      </c>
    </row>
    <row r="282" spans="1:47" ht="15.75" customHeight="1">
      <c r="A282" s="175">
        <f t="shared" si="97"/>
        <v>2026</v>
      </c>
      <c r="B282" s="454" t="str">
        <f t="shared" si="98"/>
        <v>15</v>
      </c>
      <c r="C282" s="454" t="str">
        <f t="array" ref="C282">_xlfn.IFS(_xlfn.NUMBERVALUE(B282)&lt;=13,"Q1",AND(_xlfn.NUMBERVALUE(B282)&gt;13,_xlfn.NUMBERVALUE(B282)&lt;=26),"Q2", AND(_xlfn.NUMBERVALUE(B282)&gt;26,_xlfn.NUMBERVALUE(B282)&lt;=39),"Q3",_xlfn.NUMBERVALUE(B282)&gt;39,"Q4")</f>
        <v>Q2</v>
      </c>
      <c r="D282" s="448">
        <f t="shared" si="115"/>
        <v>45787</v>
      </c>
      <c r="E282" s="448">
        <f t="shared" si="99"/>
        <v>45793</v>
      </c>
      <c r="F282" s="97">
        <v>202515</v>
      </c>
      <c r="G282" s="241"/>
      <c r="H282" s="467"/>
      <c r="I282" s="521">
        <f t="shared" si="95"/>
        <v>0</v>
      </c>
      <c r="J282" s="467"/>
      <c r="K282" s="242"/>
      <c r="L282" s="430"/>
      <c r="M282" s="430"/>
      <c r="N282" s="469">
        <f t="shared" si="92"/>
        <v>0</v>
      </c>
      <c r="O282" s="430"/>
      <c r="P282" s="430"/>
      <c r="Q282" s="103"/>
      <c r="R282" s="429"/>
      <c r="S282" s="521">
        <f t="shared" si="96"/>
        <v>0</v>
      </c>
      <c r="T282" s="467"/>
      <c r="U282" s="242"/>
      <c r="V282" s="467"/>
      <c r="W282" s="467"/>
      <c r="X282" s="449">
        <f t="shared" si="93"/>
        <v>0</v>
      </c>
      <c r="Y282" s="467"/>
      <c r="Z282" s="242"/>
      <c r="AA282" s="523"/>
      <c r="AB282" s="523"/>
      <c r="AC282" s="449">
        <f t="shared" si="94"/>
        <v>0</v>
      </c>
      <c r="AD282" s="429"/>
      <c r="AE282" s="429"/>
      <c r="AF282" s="126"/>
      <c r="AG282" s="265" t="str">
        <f t="shared" si="100"/>
        <v/>
      </c>
      <c r="AH282" s="515" t="str">
        <f t="shared" si="101"/>
        <v/>
      </c>
      <c r="AI282" s="515" t="str">
        <f t="shared" si="102"/>
        <v/>
      </c>
      <c r="AJ282" s="515" t="str">
        <f t="shared" si="103"/>
        <v/>
      </c>
      <c r="AK282" s="187" t="str">
        <f t="shared" si="104"/>
        <v/>
      </c>
      <c r="AL282" s="266" t="str">
        <f t="shared" si="105"/>
        <v/>
      </c>
      <c r="AM282" s="516" t="str">
        <f t="shared" si="106"/>
        <v/>
      </c>
      <c r="AN282" s="516" t="str">
        <f t="shared" si="107"/>
        <v/>
      </c>
      <c r="AO282" s="516" t="str">
        <f t="shared" si="108"/>
        <v/>
      </c>
      <c r="AP282" s="267" t="str">
        <f t="shared" si="109"/>
        <v/>
      </c>
      <c r="AQ282" s="268" t="str">
        <f t="shared" si="110"/>
        <v/>
      </c>
      <c r="AR282" s="450" t="str">
        <f t="shared" si="111"/>
        <v/>
      </c>
      <c r="AS282" s="450" t="str">
        <f t="shared" si="112"/>
        <v/>
      </c>
      <c r="AT282" s="450" t="str">
        <f t="shared" si="113"/>
        <v/>
      </c>
      <c r="AU282" s="269" t="str">
        <f t="shared" si="114"/>
        <v/>
      </c>
    </row>
    <row r="283" spans="1:47" ht="15.75" customHeight="1">
      <c r="A283" s="175">
        <f t="shared" si="97"/>
        <v>2026</v>
      </c>
      <c r="B283" s="454" t="str">
        <f t="shared" si="98"/>
        <v>16</v>
      </c>
      <c r="C283" s="454" t="str">
        <f t="array" ref="C283">_xlfn.IFS(_xlfn.NUMBERVALUE(B283)&lt;=13,"Q1",AND(_xlfn.NUMBERVALUE(B283)&gt;13,_xlfn.NUMBERVALUE(B283)&lt;=26),"Q2", AND(_xlfn.NUMBERVALUE(B283)&gt;26,_xlfn.NUMBERVALUE(B283)&lt;=39),"Q3",_xlfn.NUMBERVALUE(B283)&gt;39,"Q4")</f>
        <v>Q2</v>
      </c>
      <c r="D283" s="448">
        <f t="shared" si="115"/>
        <v>45794</v>
      </c>
      <c r="E283" s="448">
        <f t="shared" si="99"/>
        <v>45800</v>
      </c>
      <c r="F283" s="97">
        <v>202516</v>
      </c>
      <c r="G283" s="241"/>
      <c r="H283" s="467"/>
      <c r="I283" s="521">
        <f t="shared" si="95"/>
        <v>0</v>
      </c>
      <c r="J283" s="467"/>
      <c r="K283" s="242"/>
      <c r="L283" s="430"/>
      <c r="M283" s="430"/>
      <c r="N283" s="469">
        <f t="shared" si="92"/>
        <v>0</v>
      </c>
      <c r="O283" s="430"/>
      <c r="P283" s="430"/>
      <c r="Q283" s="103"/>
      <c r="R283" s="429"/>
      <c r="S283" s="521">
        <f t="shared" si="96"/>
        <v>0</v>
      </c>
      <c r="T283" s="467"/>
      <c r="U283" s="242"/>
      <c r="V283" s="467"/>
      <c r="W283" s="467"/>
      <c r="X283" s="449">
        <f t="shared" si="93"/>
        <v>0</v>
      </c>
      <c r="Y283" s="467"/>
      <c r="Z283" s="242"/>
      <c r="AA283" s="523"/>
      <c r="AB283" s="523"/>
      <c r="AC283" s="449">
        <f t="shared" si="94"/>
        <v>0</v>
      </c>
      <c r="AD283" s="429"/>
      <c r="AE283" s="429"/>
      <c r="AF283" s="126"/>
      <c r="AG283" s="265" t="str">
        <f t="shared" si="100"/>
        <v/>
      </c>
      <c r="AH283" s="515" t="str">
        <f t="shared" si="101"/>
        <v/>
      </c>
      <c r="AI283" s="515" t="str">
        <f t="shared" si="102"/>
        <v/>
      </c>
      <c r="AJ283" s="515" t="str">
        <f t="shared" si="103"/>
        <v/>
      </c>
      <c r="AK283" s="187" t="str">
        <f t="shared" si="104"/>
        <v/>
      </c>
      <c r="AL283" s="266" t="str">
        <f t="shared" si="105"/>
        <v/>
      </c>
      <c r="AM283" s="516" t="str">
        <f t="shared" si="106"/>
        <v/>
      </c>
      <c r="AN283" s="516" t="str">
        <f t="shared" si="107"/>
        <v/>
      </c>
      <c r="AO283" s="516" t="str">
        <f t="shared" si="108"/>
        <v/>
      </c>
      <c r="AP283" s="267" t="str">
        <f t="shared" si="109"/>
        <v/>
      </c>
      <c r="AQ283" s="268" t="str">
        <f t="shared" si="110"/>
        <v/>
      </c>
      <c r="AR283" s="450" t="str">
        <f t="shared" si="111"/>
        <v/>
      </c>
      <c r="AS283" s="450" t="str">
        <f t="shared" si="112"/>
        <v/>
      </c>
      <c r="AT283" s="450" t="str">
        <f t="shared" si="113"/>
        <v/>
      </c>
      <c r="AU283" s="269" t="str">
        <f t="shared" si="114"/>
        <v/>
      </c>
    </row>
    <row r="284" spans="1:47" ht="15.75" customHeight="1">
      <c r="A284" s="175">
        <f t="shared" si="97"/>
        <v>2026</v>
      </c>
      <c r="B284" s="454" t="str">
        <f t="shared" si="98"/>
        <v>17</v>
      </c>
      <c r="C284" s="454" t="str">
        <f t="array" ref="C284">_xlfn.IFS(_xlfn.NUMBERVALUE(B284)&lt;=13,"Q1",AND(_xlfn.NUMBERVALUE(B284)&gt;13,_xlfn.NUMBERVALUE(B284)&lt;=26),"Q2", AND(_xlfn.NUMBERVALUE(B284)&gt;26,_xlfn.NUMBERVALUE(B284)&lt;=39),"Q3",_xlfn.NUMBERVALUE(B284)&gt;39,"Q4")</f>
        <v>Q2</v>
      </c>
      <c r="D284" s="448">
        <f t="shared" si="115"/>
        <v>45801</v>
      </c>
      <c r="E284" s="448">
        <f t="shared" si="99"/>
        <v>45807</v>
      </c>
      <c r="F284" s="97">
        <v>202517</v>
      </c>
      <c r="G284" s="241"/>
      <c r="H284" s="467"/>
      <c r="I284" s="521">
        <f t="shared" si="95"/>
        <v>0</v>
      </c>
      <c r="J284" s="467"/>
      <c r="K284" s="242"/>
      <c r="L284" s="430"/>
      <c r="M284" s="430"/>
      <c r="N284" s="469">
        <f t="shared" si="92"/>
        <v>0</v>
      </c>
      <c r="O284" s="430"/>
      <c r="P284" s="430"/>
      <c r="Q284" s="103"/>
      <c r="R284" s="429"/>
      <c r="S284" s="521">
        <f t="shared" si="96"/>
        <v>0</v>
      </c>
      <c r="T284" s="467"/>
      <c r="U284" s="242"/>
      <c r="V284" s="467"/>
      <c r="W284" s="467"/>
      <c r="X284" s="449">
        <f t="shared" si="93"/>
        <v>0</v>
      </c>
      <c r="Y284" s="467"/>
      <c r="Z284" s="242"/>
      <c r="AA284" s="523"/>
      <c r="AB284" s="523"/>
      <c r="AC284" s="449">
        <f t="shared" si="94"/>
        <v>0</v>
      </c>
      <c r="AD284" s="429"/>
      <c r="AE284" s="429"/>
      <c r="AF284" s="126"/>
      <c r="AG284" s="265" t="str">
        <f t="shared" si="100"/>
        <v/>
      </c>
      <c r="AH284" s="515" t="str">
        <f t="shared" si="101"/>
        <v/>
      </c>
      <c r="AI284" s="515" t="str">
        <f t="shared" si="102"/>
        <v/>
      </c>
      <c r="AJ284" s="515" t="str">
        <f t="shared" si="103"/>
        <v/>
      </c>
      <c r="AK284" s="187" t="str">
        <f t="shared" si="104"/>
        <v/>
      </c>
      <c r="AL284" s="266" t="str">
        <f t="shared" si="105"/>
        <v/>
      </c>
      <c r="AM284" s="516" t="str">
        <f t="shared" si="106"/>
        <v/>
      </c>
      <c r="AN284" s="516" t="str">
        <f t="shared" si="107"/>
        <v/>
      </c>
      <c r="AO284" s="516" t="str">
        <f t="shared" si="108"/>
        <v/>
      </c>
      <c r="AP284" s="267" t="str">
        <f t="shared" si="109"/>
        <v/>
      </c>
      <c r="AQ284" s="268" t="str">
        <f t="shared" si="110"/>
        <v/>
      </c>
      <c r="AR284" s="450" t="str">
        <f t="shared" si="111"/>
        <v/>
      </c>
      <c r="AS284" s="450" t="str">
        <f t="shared" si="112"/>
        <v/>
      </c>
      <c r="AT284" s="450" t="str">
        <f t="shared" si="113"/>
        <v/>
      </c>
      <c r="AU284" s="269" t="str">
        <f t="shared" si="114"/>
        <v/>
      </c>
    </row>
    <row r="285" spans="1:47" ht="15.75" customHeight="1">
      <c r="A285" s="175">
        <f t="shared" si="97"/>
        <v>2026</v>
      </c>
      <c r="B285" s="454" t="str">
        <f t="shared" si="98"/>
        <v>18</v>
      </c>
      <c r="C285" s="454" t="str">
        <f t="array" ref="C285">_xlfn.IFS(_xlfn.NUMBERVALUE(B285)&lt;=13,"Q1",AND(_xlfn.NUMBERVALUE(B285)&gt;13,_xlfn.NUMBERVALUE(B285)&lt;=26),"Q2", AND(_xlfn.NUMBERVALUE(B285)&gt;26,_xlfn.NUMBERVALUE(B285)&lt;=39),"Q3",_xlfn.NUMBERVALUE(B285)&gt;39,"Q4")</f>
        <v>Q2</v>
      </c>
      <c r="D285" s="448">
        <f t="shared" si="115"/>
        <v>45808</v>
      </c>
      <c r="E285" s="448">
        <f t="shared" si="99"/>
        <v>45814</v>
      </c>
      <c r="F285" s="97">
        <v>202518</v>
      </c>
      <c r="G285" s="241"/>
      <c r="H285" s="467"/>
      <c r="I285" s="521">
        <f t="shared" si="95"/>
        <v>0</v>
      </c>
      <c r="J285" s="467"/>
      <c r="K285" s="242"/>
      <c r="L285" s="430"/>
      <c r="M285" s="430"/>
      <c r="N285" s="469">
        <f t="shared" si="92"/>
        <v>0</v>
      </c>
      <c r="O285" s="430"/>
      <c r="P285" s="430"/>
      <c r="Q285" s="103"/>
      <c r="R285" s="429"/>
      <c r="S285" s="521">
        <f t="shared" si="96"/>
        <v>0</v>
      </c>
      <c r="T285" s="467"/>
      <c r="U285" s="242"/>
      <c r="V285" s="467"/>
      <c r="W285" s="467"/>
      <c r="X285" s="449">
        <f t="shared" si="93"/>
        <v>0</v>
      </c>
      <c r="Y285" s="467"/>
      <c r="Z285" s="242"/>
      <c r="AA285" s="523"/>
      <c r="AB285" s="523"/>
      <c r="AC285" s="449">
        <f t="shared" si="94"/>
        <v>0</v>
      </c>
      <c r="AD285" s="429"/>
      <c r="AE285" s="429"/>
      <c r="AF285" s="126"/>
      <c r="AG285" s="265" t="str">
        <f t="shared" si="100"/>
        <v/>
      </c>
      <c r="AH285" s="515" t="str">
        <f t="shared" si="101"/>
        <v/>
      </c>
      <c r="AI285" s="515" t="str">
        <f t="shared" si="102"/>
        <v/>
      </c>
      <c r="AJ285" s="515" t="str">
        <f t="shared" si="103"/>
        <v/>
      </c>
      <c r="AK285" s="187" t="str">
        <f t="shared" si="104"/>
        <v/>
      </c>
      <c r="AL285" s="266" t="str">
        <f t="shared" si="105"/>
        <v/>
      </c>
      <c r="AM285" s="516" t="str">
        <f t="shared" si="106"/>
        <v/>
      </c>
      <c r="AN285" s="516" t="str">
        <f t="shared" si="107"/>
        <v/>
      </c>
      <c r="AO285" s="516" t="str">
        <f t="shared" si="108"/>
        <v/>
      </c>
      <c r="AP285" s="267" t="str">
        <f t="shared" si="109"/>
        <v/>
      </c>
      <c r="AQ285" s="268" t="str">
        <f t="shared" si="110"/>
        <v/>
      </c>
      <c r="AR285" s="450" t="str">
        <f t="shared" si="111"/>
        <v/>
      </c>
      <c r="AS285" s="450" t="str">
        <f t="shared" si="112"/>
        <v/>
      </c>
      <c r="AT285" s="450" t="str">
        <f t="shared" si="113"/>
        <v/>
      </c>
      <c r="AU285" s="269" t="str">
        <f t="shared" si="114"/>
        <v/>
      </c>
    </row>
    <row r="286" spans="1:47" ht="15.75" customHeight="1">
      <c r="A286" s="175">
        <f t="shared" si="97"/>
        <v>2026</v>
      </c>
      <c r="B286" s="454" t="str">
        <f t="shared" si="98"/>
        <v>19</v>
      </c>
      <c r="C286" s="454" t="str">
        <f t="array" ref="C286">_xlfn.IFS(_xlfn.NUMBERVALUE(B286)&lt;=13,"Q1",AND(_xlfn.NUMBERVALUE(B286)&gt;13,_xlfn.NUMBERVALUE(B286)&lt;=26),"Q2", AND(_xlfn.NUMBERVALUE(B286)&gt;26,_xlfn.NUMBERVALUE(B286)&lt;=39),"Q3",_xlfn.NUMBERVALUE(B286)&gt;39,"Q4")</f>
        <v>Q2</v>
      </c>
      <c r="D286" s="448">
        <f t="shared" si="115"/>
        <v>45815</v>
      </c>
      <c r="E286" s="448">
        <f t="shared" si="99"/>
        <v>45821</v>
      </c>
      <c r="F286" s="97">
        <v>202519</v>
      </c>
      <c r="G286" s="241"/>
      <c r="H286" s="467"/>
      <c r="I286" s="521">
        <f t="shared" si="95"/>
        <v>0</v>
      </c>
      <c r="J286" s="467"/>
      <c r="K286" s="242"/>
      <c r="L286" s="430"/>
      <c r="M286" s="430"/>
      <c r="N286" s="469">
        <f t="shared" si="92"/>
        <v>0</v>
      </c>
      <c r="O286" s="430"/>
      <c r="P286" s="430"/>
      <c r="Q286" s="103"/>
      <c r="R286" s="429"/>
      <c r="S286" s="521">
        <f t="shared" si="96"/>
        <v>0</v>
      </c>
      <c r="T286" s="467"/>
      <c r="U286" s="242"/>
      <c r="V286" s="467"/>
      <c r="W286" s="467"/>
      <c r="X286" s="449">
        <f t="shared" si="93"/>
        <v>0</v>
      </c>
      <c r="Y286" s="467"/>
      <c r="Z286" s="242"/>
      <c r="AA286" s="523"/>
      <c r="AB286" s="523"/>
      <c r="AC286" s="449">
        <f t="shared" si="94"/>
        <v>0</v>
      </c>
      <c r="AD286" s="429"/>
      <c r="AE286" s="429"/>
      <c r="AF286" s="126"/>
      <c r="AG286" s="265" t="str">
        <f t="shared" si="100"/>
        <v/>
      </c>
      <c r="AH286" s="515" t="str">
        <f t="shared" si="101"/>
        <v/>
      </c>
      <c r="AI286" s="515" t="str">
        <f t="shared" si="102"/>
        <v/>
      </c>
      <c r="AJ286" s="515" t="str">
        <f t="shared" si="103"/>
        <v/>
      </c>
      <c r="AK286" s="187" t="str">
        <f t="shared" si="104"/>
        <v/>
      </c>
      <c r="AL286" s="266" t="str">
        <f t="shared" si="105"/>
        <v/>
      </c>
      <c r="AM286" s="516" t="str">
        <f t="shared" si="106"/>
        <v/>
      </c>
      <c r="AN286" s="516" t="str">
        <f t="shared" si="107"/>
        <v/>
      </c>
      <c r="AO286" s="516" t="str">
        <f t="shared" si="108"/>
        <v/>
      </c>
      <c r="AP286" s="267" t="str">
        <f t="shared" si="109"/>
        <v/>
      </c>
      <c r="AQ286" s="268" t="str">
        <f t="shared" si="110"/>
        <v/>
      </c>
      <c r="AR286" s="450" t="str">
        <f t="shared" si="111"/>
        <v/>
      </c>
      <c r="AS286" s="450" t="str">
        <f t="shared" si="112"/>
        <v/>
      </c>
      <c r="AT286" s="450" t="str">
        <f t="shared" si="113"/>
        <v/>
      </c>
      <c r="AU286" s="269" t="str">
        <f t="shared" si="114"/>
        <v/>
      </c>
    </row>
    <row r="287" spans="1:47" ht="15.75" customHeight="1">
      <c r="A287" s="175">
        <f t="shared" si="97"/>
        <v>2026</v>
      </c>
      <c r="B287" s="454" t="str">
        <f t="shared" si="98"/>
        <v>20</v>
      </c>
      <c r="C287" s="454" t="str">
        <f t="array" ref="C287">_xlfn.IFS(_xlfn.NUMBERVALUE(B287)&lt;=13,"Q1",AND(_xlfn.NUMBERVALUE(B287)&gt;13,_xlfn.NUMBERVALUE(B287)&lt;=26),"Q2", AND(_xlfn.NUMBERVALUE(B287)&gt;26,_xlfn.NUMBERVALUE(B287)&lt;=39),"Q3",_xlfn.NUMBERVALUE(B287)&gt;39,"Q4")</f>
        <v>Q2</v>
      </c>
      <c r="D287" s="448">
        <f t="shared" si="115"/>
        <v>45822</v>
      </c>
      <c r="E287" s="448">
        <f t="shared" si="99"/>
        <v>45828</v>
      </c>
      <c r="F287" s="97">
        <v>202520</v>
      </c>
      <c r="G287" s="241"/>
      <c r="H287" s="467"/>
      <c r="I287" s="521">
        <f t="shared" si="95"/>
        <v>0</v>
      </c>
      <c r="J287" s="467"/>
      <c r="K287" s="242"/>
      <c r="L287" s="430"/>
      <c r="M287" s="430"/>
      <c r="N287" s="469">
        <f t="shared" si="92"/>
        <v>0</v>
      </c>
      <c r="O287" s="430"/>
      <c r="P287" s="430"/>
      <c r="Q287" s="103"/>
      <c r="R287" s="429"/>
      <c r="S287" s="521">
        <f t="shared" si="96"/>
        <v>0</v>
      </c>
      <c r="T287" s="467"/>
      <c r="U287" s="242"/>
      <c r="V287" s="467"/>
      <c r="W287" s="467"/>
      <c r="X287" s="449">
        <f t="shared" si="93"/>
        <v>0</v>
      </c>
      <c r="Y287" s="467"/>
      <c r="Z287" s="242"/>
      <c r="AA287" s="523"/>
      <c r="AB287" s="523"/>
      <c r="AC287" s="449">
        <f t="shared" si="94"/>
        <v>0</v>
      </c>
      <c r="AD287" s="429"/>
      <c r="AE287" s="429"/>
      <c r="AF287" s="126"/>
      <c r="AG287" s="265" t="str">
        <f t="shared" si="100"/>
        <v/>
      </c>
      <c r="AH287" s="515" t="str">
        <f t="shared" si="101"/>
        <v/>
      </c>
      <c r="AI287" s="515" t="str">
        <f t="shared" si="102"/>
        <v/>
      </c>
      <c r="AJ287" s="515" t="str">
        <f t="shared" si="103"/>
        <v/>
      </c>
      <c r="AK287" s="187" t="str">
        <f t="shared" si="104"/>
        <v/>
      </c>
      <c r="AL287" s="266" t="str">
        <f t="shared" si="105"/>
        <v/>
      </c>
      <c r="AM287" s="516" t="str">
        <f t="shared" si="106"/>
        <v/>
      </c>
      <c r="AN287" s="516" t="str">
        <f t="shared" si="107"/>
        <v/>
      </c>
      <c r="AO287" s="516" t="str">
        <f t="shared" si="108"/>
        <v/>
      </c>
      <c r="AP287" s="267" t="str">
        <f t="shared" si="109"/>
        <v/>
      </c>
      <c r="AQ287" s="268" t="str">
        <f t="shared" si="110"/>
        <v/>
      </c>
      <c r="AR287" s="450" t="str">
        <f t="shared" si="111"/>
        <v/>
      </c>
      <c r="AS287" s="450" t="str">
        <f t="shared" si="112"/>
        <v/>
      </c>
      <c r="AT287" s="450" t="str">
        <f t="shared" si="113"/>
        <v/>
      </c>
      <c r="AU287" s="269" t="str">
        <f t="shared" si="114"/>
        <v/>
      </c>
    </row>
    <row r="288" spans="1:47" ht="15.75" customHeight="1">
      <c r="A288" s="175">
        <f t="shared" si="97"/>
        <v>2026</v>
      </c>
      <c r="B288" s="454" t="str">
        <f t="shared" si="98"/>
        <v>21</v>
      </c>
      <c r="C288" s="454" t="str">
        <f t="array" ref="C288">_xlfn.IFS(_xlfn.NUMBERVALUE(B288)&lt;=13,"Q1",AND(_xlfn.NUMBERVALUE(B288)&gt;13,_xlfn.NUMBERVALUE(B288)&lt;=26),"Q2", AND(_xlfn.NUMBERVALUE(B288)&gt;26,_xlfn.NUMBERVALUE(B288)&lt;=39),"Q3",_xlfn.NUMBERVALUE(B288)&gt;39,"Q4")</f>
        <v>Q2</v>
      </c>
      <c r="D288" s="448">
        <f t="shared" si="115"/>
        <v>45829</v>
      </c>
      <c r="E288" s="448">
        <f t="shared" si="99"/>
        <v>45835</v>
      </c>
      <c r="F288" s="97">
        <v>202521</v>
      </c>
      <c r="G288" s="241"/>
      <c r="H288" s="467"/>
      <c r="I288" s="521">
        <f t="shared" si="95"/>
        <v>0</v>
      </c>
      <c r="J288" s="467"/>
      <c r="K288" s="242"/>
      <c r="L288" s="430"/>
      <c r="M288" s="430"/>
      <c r="N288" s="469">
        <f t="shared" si="92"/>
        <v>0</v>
      </c>
      <c r="O288" s="430"/>
      <c r="P288" s="430"/>
      <c r="Q288" s="103"/>
      <c r="R288" s="429"/>
      <c r="S288" s="521">
        <f t="shared" si="96"/>
        <v>0</v>
      </c>
      <c r="T288" s="467"/>
      <c r="U288" s="242"/>
      <c r="V288" s="467"/>
      <c r="W288" s="467"/>
      <c r="X288" s="449">
        <f t="shared" si="93"/>
        <v>0</v>
      </c>
      <c r="Y288" s="467"/>
      <c r="Z288" s="242"/>
      <c r="AA288" s="523"/>
      <c r="AB288" s="523"/>
      <c r="AC288" s="449">
        <f t="shared" si="94"/>
        <v>0</v>
      </c>
      <c r="AD288" s="429"/>
      <c r="AE288" s="429"/>
      <c r="AF288" s="126"/>
      <c r="AG288" s="265" t="str">
        <f t="shared" si="100"/>
        <v/>
      </c>
      <c r="AH288" s="515" t="str">
        <f t="shared" si="101"/>
        <v/>
      </c>
      <c r="AI288" s="515" t="str">
        <f t="shared" si="102"/>
        <v/>
      </c>
      <c r="AJ288" s="515" t="str">
        <f t="shared" si="103"/>
        <v/>
      </c>
      <c r="AK288" s="187" t="str">
        <f t="shared" si="104"/>
        <v/>
      </c>
      <c r="AL288" s="266" t="str">
        <f t="shared" si="105"/>
        <v/>
      </c>
      <c r="AM288" s="516" t="str">
        <f t="shared" si="106"/>
        <v/>
      </c>
      <c r="AN288" s="516" t="str">
        <f t="shared" si="107"/>
        <v/>
      </c>
      <c r="AO288" s="516" t="str">
        <f t="shared" si="108"/>
        <v/>
      </c>
      <c r="AP288" s="267" t="str">
        <f t="shared" si="109"/>
        <v/>
      </c>
      <c r="AQ288" s="268" t="str">
        <f t="shared" si="110"/>
        <v/>
      </c>
      <c r="AR288" s="450" t="str">
        <f t="shared" si="111"/>
        <v/>
      </c>
      <c r="AS288" s="450" t="str">
        <f t="shared" si="112"/>
        <v/>
      </c>
      <c r="AT288" s="450" t="str">
        <f t="shared" si="113"/>
        <v/>
      </c>
      <c r="AU288" s="269" t="str">
        <f t="shared" si="114"/>
        <v/>
      </c>
    </row>
    <row r="289" spans="1:47" ht="15.75" customHeight="1">
      <c r="A289" s="175">
        <f t="shared" si="97"/>
        <v>2026</v>
      </c>
      <c r="B289" s="454" t="str">
        <f t="shared" si="98"/>
        <v>22</v>
      </c>
      <c r="C289" s="454" t="str">
        <f t="array" ref="C289">_xlfn.IFS(_xlfn.NUMBERVALUE(B289)&lt;=13,"Q1",AND(_xlfn.NUMBERVALUE(B289)&gt;13,_xlfn.NUMBERVALUE(B289)&lt;=26),"Q2", AND(_xlfn.NUMBERVALUE(B289)&gt;26,_xlfn.NUMBERVALUE(B289)&lt;=39),"Q3",_xlfn.NUMBERVALUE(B289)&gt;39,"Q4")</f>
        <v>Q2</v>
      </c>
      <c r="D289" s="448">
        <f t="shared" si="115"/>
        <v>45836</v>
      </c>
      <c r="E289" s="448">
        <f t="shared" si="99"/>
        <v>45842</v>
      </c>
      <c r="F289" s="97">
        <v>202522</v>
      </c>
      <c r="G289" s="241"/>
      <c r="H289" s="467"/>
      <c r="I289" s="521">
        <f t="shared" si="95"/>
        <v>0</v>
      </c>
      <c r="J289" s="467"/>
      <c r="K289" s="242"/>
      <c r="L289" s="430"/>
      <c r="M289" s="430"/>
      <c r="N289" s="469">
        <f t="shared" si="92"/>
        <v>0</v>
      </c>
      <c r="O289" s="430"/>
      <c r="P289" s="430"/>
      <c r="Q289" s="103"/>
      <c r="R289" s="429"/>
      <c r="S289" s="521">
        <f t="shared" si="96"/>
        <v>0</v>
      </c>
      <c r="T289" s="467"/>
      <c r="U289" s="242"/>
      <c r="V289" s="467"/>
      <c r="W289" s="467"/>
      <c r="X289" s="449">
        <f t="shared" si="93"/>
        <v>0</v>
      </c>
      <c r="Y289" s="467"/>
      <c r="Z289" s="242"/>
      <c r="AA289" s="523"/>
      <c r="AB289" s="523"/>
      <c r="AC289" s="449">
        <f t="shared" si="94"/>
        <v>0</v>
      </c>
      <c r="AD289" s="429"/>
      <c r="AE289" s="429"/>
      <c r="AF289" s="126"/>
      <c r="AG289" s="265" t="str">
        <f t="shared" si="100"/>
        <v/>
      </c>
      <c r="AH289" s="515" t="str">
        <f t="shared" si="101"/>
        <v/>
      </c>
      <c r="AI289" s="515" t="str">
        <f t="shared" si="102"/>
        <v/>
      </c>
      <c r="AJ289" s="515" t="str">
        <f t="shared" si="103"/>
        <v/>
      </c>
      <c r="AK289" s="187" t="str">
        <f t="shared" si="104"/>
        <v/>
      </c>
      <c r="AL289" s="266" t="str">
        <f t="shared" si="105"/>
        <v/>
      </c>
      <c r="AM289" s="516" t="str">
        <f t="shared" si="106"/>
        <v/>
      </c>
      <c r="AN289" s="516" t="str">
        <f t="shared" si="107"/>
        <v/>
      </c>
      <c r="AO289" s="516" t="str">
        <f t="shared" si="108"/>
        <v/>
      </c>
      <c r="AP289" s="267" t="str">
        <f t="shared" si="109"/>
        <v/>
      </c>
      <c r="AQ289" s="268" t="str">
        <f t="shared" si="110"/>
        <v/>
      </c>
      <c r="AR289" s="450" t="str">
        <f t="shared" si="111"/>
        <v/>
      </c>
      <c r="AS289" s="450" t="str">
        <f t="shared" si="112"/>
        <v/>
      </c>
      <c r="AT289" s="450" t="str">
        <f t="shared" si="113"/>
        <v/>
      </c>
      <c r="AU289" s="269" t="str">
        <f t="shared" si="114"/>
        <v/>
      </c>
    </row>
    <row r="290" spans="1:47" ht="15.75" customHeight="1">
      <c r="A290" s="175">
        <f t="shared" si="97"/>
        <v>2026</v>
      </c>
      <c r="B290" s="454" t="str">
        <f t="shared" si="98"/>
        <v>23</v>
      </c>
      <c r="C290" s="454" t="str">
        <f t="array" ref="C290">_xlfn.IFS(_xlfn.NUMBERVALUE(B290)&lt;=13,"Q1",AND(_xlfn.NUMBERVALUE(B290)&gt;13,_xlfn.NUMBERVALUE(B290)&lt;=26),"Q2", AND(_xlfn.NUMBERVALUE(B290)&gt;26,_xlfn.NUMBERVALUE(B290)&lt;=39),"Q3",_xlfn.NUMBERVALUE(B290)&gt;39,"Q4")</f>
        <v>Q2</v>
      </c>
      <c r="D290" s="448">
        <f t="shared" si="115"/>
        <v>45843</v>
      </c>
      <c r="E290" s="448">
        <f t="shared" si="99"/>
        <v>45849</v>
      </c>
      <c r="F290" s="97">
        <v>202523</v>
      </c>
      <c r="G290" s="241"/>
      <c r="H290" s="467"/>
      <c r="I290" s="521">
        <f t="shared" ref="I290:I319" si="116">SUM(G290:H290)</f>
        <v>0</v>
      </c>
      <c r="J290" s="467"/>
      <c r="K290" s="242"/>
      <c r="L290" s="430"/>
      <c r="M290" s="430"/>
      <c r="N290" s="469">
        <f t="shared" si="92"/>
        <v>0</v>
      </c>
      <c r="O290" s="430"/>
      <c r="P290" s="430"/>
      <c r="Q290" s="103"/>
      <c r="R290" s="429"/>
      <c r="S290" s="521">
        <f t="shared" ref="S290:S319" si="117">SUM(Q290:R290)</f>
        <v>0</v>
      </c>
      <c r="T290" s="467"/>
      <c r="U290" s="242"/>
      <c r="V290" s="467"/>
      <c r="W290" s="467"/>
      <c r="X290" s="449">
        <f t="shared" si="93"/>
        <v>0</v>
      </c>
      <c r="Y290" s="467"/>
      <c r="Z290" s="242"/>
      <c r="AA290" s="523"/>
      <c r="AB290" s="523"/>
      <c r="AC290" s="449">
        <f t="shared" si="94"/>
        <v>0</v>
      </c>
      <c r="AD290" s="429"/>
      <c r="AE290" s="429"/>
      <c r="AF290" s="126"/>
      <c r="AG290" s="265" t="str">
        <f t="shared" si="100"/>
        <v/>
      </c>
      <c r="AH290" s="515" t="str">
        <f t="shared" si="101"/>
        <v/>
      </c>
      <c r="AI290" s="515" t="str">
        <f t="shared" si="102"/>
        <v/>
      </c>
      <c r="AJ290" s="515" t="str">
        <f t="shared" si="103"/>
        <v/>
      </c>
      <c r="AK290" s="187" t="str">
        <f t="shared" si="104"/>
        <v/>
      </c>
      <c r="AL290" s="266" t="str">
        <f t="shared" si="105"/>
        <v/>
      </c>
      <c r="AM290" s="516" t="str">
        <f t="shared" si="106"/>
        <v/>
      </c>
      <c r="AN290" s="516" t="str">
        <f t="shared" si="107"/>
        <v/>
      </c>
      <c r="AO290" s="516" t="str">
        <f t="shared" si="108"/>
        <v/>
      </c>
      <c r="AP290" s="267" t="str">
        <f t="shared" si="109"/>
        <v/>
      </c>
      <c r="AQ290" s="268" t="str">
        <f t="shared" si="110"/>
        <v/>
      </c>
      <c r="AR290" s="450" t="str">
        <f t="shared" si="111"/>
        <v/>
      </c>
      <c r="AS290" s="450" t="str">
        <f t="shared" si="112"/>
        <v/>
      </c>
      <c r="AT290" s="450" t="str">
        <f t="shared" si="113"/>
        <v/>
      </c>
      <c r="AU290" s="269" t="str">
        <f t="shared" si="114"/>
        <v/>
      </c>
    </row>
    <row r="291" spans="1:47" ht="15.75" customHeight="1">
      <c r="A291" s="175">
        <f t="shared" si="97"/>
        <v>2026</v>
      </c>
      <c r="B291" s="454" t="str">
        <f t="shared" si="98"/>
        <v>24</v>
      </c>
      <c r="C291" s="454" t="str">
        <f t="array" ref="C291">_xlfn.IFS(_xlfn.NUMBERVALUE(B291)&lt;=13,"Q1",AND(_xlfn.NUMBERVALUE(B291)&gt;13,_xlfn.NUMBERVALUE(B291)&lt;=26),"Q2", AND(_xlfn.NUMBERVALUE(B291)&gt;26,_xlfn.NUMBERVALUE(B291)&lt;=39),"Q3",_xlfn.NUMBERVALUE(B291)&gt;39,"Q4")</f>
        <v>Q2</v>
      </c>
      <c r="D291" s="448">
        <f t="shared" si="115"/>
        <v>45850</v>
      </c>
      <c r="E291" s="448">
        <f t="shared" si="99"/>
        <v>45856</v>
      </c>
      <c r="F291" s="97">
        <v>202524</v>
      </c>
      <c r="G291" s="241"/>
      <c r="H291" s="467"/>
      <c r="I291" s="521">
        <f t="shared" si="116"/>
        <v>0</v>
      </c>
      <c r="J291" s="467"/>
      <c r="K291" s="242"/>
      <c r="L291" s="430"/>
      <c r="M291" s="430"/>
      <c r="N291" s="469">
        <f t="shared" si="92"/>
        <v>0</v>
      </c>
      <c r="O291" s="430"/>
      <c r="P291" s="430"/>
      <c r="Q291" s="103"/>
      <c r="R291" s="429"/>
      <c r="S291" s="521">
        <f t="shared" si="117"/>
        <v>0</v>
      </c>
      <c r="T291" s="467"/>
      <c r="U291" s="242"/>
      <c r="V291" s="467"/>
      <c r="W291" s="467"/>
      <c r="X291" s="449">
        <f t="shared" si="93"/>
        <v>0</v>
      </c>
      <c r="Y291" s="467"/>
      <c r="Z291" s="242"/>
      <c r="AA291" s="523"/>
      <c r="AB291" s="523"/>
      <c r="AC291" s="449">
        <f t="shared" si="94"/>
        <v>0</v>
      </c>
      <c r="AD291" s="429"/>
      <c r="AE291" s="429"/>
      <c r="AF291" s="126"/>
      <c r="AG291" s="265" t="str">
        <f t="shared" si="100"/>
        <v/>
      </c>
      <c r="AH291" s="515" t="str">
        <f t="shared" si="101"/>
        <v/>
      </c>
      <c r="AI291" s="515" t="str">
        <f t="shared" si="102"/>
        <v/>
      </c>
      <c r="AJ291" s="515" t="str">
        <f t="shared" si="103"/>
        <v/>
      </c>
      <c r="AK291" s="187" t="str">
        <f t="shared" si="104"/>
        <v/>
      </c>
      <c r="AL291" s="266" t="str">
        <f t="shared" si="105"/>
        <v/>
      </c>
      <c r="AM291" s="516" t="str">
        <f t="shared" si="106"/>
        <v/>
      </c>
      <c r="AN291" s="516" t="str">
        <f t="shared" si="107"/>
        <v/>
      </c>
      <c r="AO291" s="516" t="str">
        <f t="shared" si="108"/>
        <v/>
      </c>
      <c r="AP291" s="267" t="str">
        <f t="shared" si="109"/>
        <v/>
      </c>
      <c r="AQ291" s="268" t="str">
        <f t="shared" si="110"/>
        <v/>
      </c>
      <c r="AR291" s="450" t="str">
        <f t="shared" si="111"/>
        <v/>
      </c>
      <c r="AS291" s="450" t="str">
        <f t="shared" si="112"/>
        <v/>
      </c>
      <c r="AT291" s="450" t="str">
        <f t="shared" si="113"/>
        <v/>
      </c>
      <c r="AU291" s="269" t="str">
        <f t="shared" si="114"/>
        <v/>
      </c>
    </row>
    <row r="292" spans="1:47" ht="15.75" customHeight="1">
      <c r="A292" s="175">
        <f t="shared" si="97"/>
        <v>2026</v>
      </c>
      <c r="B292" s="454" t="str">
        <f t="shared" si="98"/>
        <v>25</v>
      </c>
      <c r="C292" s="454" t="str">
        <f t="array" ref="C292">_xlfn.IFS(_xlfn.NUMBERVALUE(B292)&lt;=13,"Q1",AND(_xlfn.NUMBERVALUE(B292)&gt;13,_xlfn.NUMBERVALUE(B292)&lt;=26),"Q2", AND(_xlfn.NUMBERVALUE(B292)&gt;26,_xlfn.NUMBERVALUE(B292)&lt;=39),"Q3",_xlfn.NUMBERVALUE(B292)&gt;39,"Q4")</f>
        <v>Q2</v>
      </c>
      <c r="D292" s="448">
        <f t="shared" si="115"/>
        <v>45857</v>
      </c>
      <c r="E292" s="448">
        <f t="shared" si="99"/>
        <v>45863</v>
      </c>
      <c r="F292" s="97">
        <v>202525</v>
      </c>
      <c r="G292" s="241"/>
      <c r="H292" s="467"/>
      <c r="I292" s="521">
        <f t="shared" si="116"/>
        <v>0</v>
      </c>
      <c r="J292" s="467"/>
      <c r="K292" s="242"/>
      <c r="L292" s="430"/>
      <c r="M292" s="430"/>
      <c r="N292" s="469">
        <f t="shared" si="92"/>
        <v>0</v>
      </c>
      <c r="O292" s="430"/>
      <c r="P292" s="430"/>
      <c r="Q292" s="103"/>
      <c r="R292" s="429"/>
      <c r="S292" s="521">
        <f t="shared" si="117"/>
        <v>0</v>
      </c>
      <c r="T292" s="467"/>
      <c r="U292" s="242"/>
      <c r="V292" s="467"/>
      <c r="W292" s="467"/>
      <c r="X292" s="449">
        <f t="shared" si="93"/>
        <v>0</v>
      </c>
      <c r="Y292" s="467"/>
      <c r="Z292" s="242"/>
      <c r="AA292" s="523"/>
      <c r="AB292" s="523"/>
      <c r="AC292" s="449">
        <f t="shared" si="94"/>
        <v>0</v>
      </c>
      <c r="AD292" s="429"/>
      <c r="AE292" s="429"/>
      <c r="AF292" s="126"/>
      <c r="AG292" s="265" t="str">
        <f t="shared" si="100"/>
        <v/>
      </c>
      <c r="AH292" s="515" t="str">
        <f t="shared" si="101"/>
        <v/>
      </c>
      <c r="AI292" s="515" t="str">
        <f t="shared" si="102"/>
        <v/>
      </c>
      <c r="AJ292" s="515" t="str">
        <f t="shared" si="103"/>
        <v/>
      </c>
      <c r="AK292" s="187" t="str">
        <f t="shared" si="104"/>
        <v/>
      </c>
      <c r="AL292" s="266" t="str">
        <f t="shared" si="105"/>
        <v/>
      </c>
      <c r="AM292" s="516" t="str">
        <f t="shared" si="106"/>
        <v/>
      </c>
      <c r="AN292" s="516" t="str">
        <f t="shared" si="107"/>
        <v/>
      </c>
      <c r="AO292" s="516" t="str">
        <f t="shared" si="108"/>
        <v/>
      </c>
      <c r="AP292" s="267" t="str">
        <f t="shared" si="109"/>
        <v/>
      </c>
      <c r="AQ292" s="268" t="str">
        <f t="shared" si="110"/>
        <v/>
      </c>
      <c r="AR292" s="450" t="str">
        <f t="shared" si="111"/>
        <v/>
      </c>
      <c r="AS292" s="450" t="str">
        <f t="shared" si="112"/>
        <v/>
      </c>
      <c r="AT292" s="450" t="str">
        <f t="shared" si="113"/>
        <v/>
      </c>
      <c r="AU292" s="269" t="str">
        <f t="shared" si="114"/>
        <v/>
      </c>
    </row>
    <row r="293" spans="1:47" ht="15.75" customHeight="1">
      <c r="A293" s="175">
        <f t="shared" si="97"/>
        <v>2026</v>
      </c>
      <c r="B293" s="454" t="str">
        <f t="shared" si="98"/>
        <v>26</v>
      </c>
      <c r="C293" s="454" t="str">
        <f t="array" ref="C293">_xlfn.IFS(_xlfn.NUMBERVALUE(B293)&lt;=13,"Q1",AND(_xlfn.NUMBERVALUE(B293)&gt;13,_xlfn.NUMBERVALUE(B293)&lt;=26),"Q2", AND(_xlfn.NUMBERVALUE(B293)&gt;26,_xlfn.NUMBERVALUE(B293)&lt;=39),"Q3",_xlfn.NUMBERVALUE(B293)&gt;39,"Q4")</f>
        <v>Q2</v>
      </c>
      <c r="D293" s="448">
        <f t="shared" si="115"/>
        <v>45864</v>
      </c>
      <c r="E293" s="448">
        <f t="shared" si="99"/>
        <v>45870</v>
      </c>
      <c r="F293" s="97">
        <v>202526</v>
      </c>
      <c r="G293" s="241"/>
      <c r="H293" s="467"/>
      <c r="I293" s="521">
        <f t="shared" si="116"/>
        <v>0</v>
      </c>
      <c r="J293" s="467"/>
      <c r="K293" s="242"/>
      <c r="L293" s="430"/>
      <c r="M293" s="430"/>
      <c r="N293" s="469">
        <f t="shared" si="92"/>
        <v>0</v>
      </c>
      <c r="O293" s="430"/>
      <c r="P293" s="430"/>
      <c r="Q293" s="103"/>
      <c r="R293" s="429"/>
      <c r="S293" s="521">
        <f t="shared" si="117"/>
        <v>0</v>
      </c>
      <c r="T293" s="467"/>
      <c r="U293" s="242"/>
      <c r="V293" s="467"/>
      <c r="W293" s="467"/>
      <c r="X293" s="449">
        <f t="shared" si="93"/>
        <v>0</v>
      </c>
      <c r="Y293" s="467"/>
      <c r="Z293" s="242"/>
      <c r="AA293" s="523"/>
      <c r="AB293" s="523"/>
      <c r="AC293" s="449">
        <f t="shared" si="94"/>
        <v>0</v>
      </c>
      <c r="AD293" s="429"/>
      <c r="AE293" s="429"/>
      <c r="AF293" s="126"/>
      <c r="AG293" s="265" t="str">
        <f t="shared" si="100"/>
        <v/>
      </c>
      <c r="AH293" s="515" t="str">
        <f t="shared" si="101"/>
        <v/>
      </c>
      <c r="AI293" s="515" t="str">
        <f t="shared" si="102"/>
        <v/>
      </c>
      <c r="AJ293" s="515" t="str">
        <f t="shared" si="103"/>
        <v/>
      </c>
      <c r="AK293" s="187" t="str">
        <f t="shared" si="104"/>
        <v/>
      </c>
      <c r="AL293" s="266" t="str">
        <f t="shared" si="105"/>
        <v/>
      </c>
      <c r="AM293" s="516" t="str">
        <f t="shared" si="106"/>
        <v/>
      </c>
      <c r="AN293" s="516" t="str">
        <f t="shared" si="107"/>
        <v/>
      </c>
      <c r="AO293" s="516" t="str">
        <f t="shared" si="108"/>
        <v/>
      </c>
      <c r="AP293" s="267" t="str">
        <f t="shared" si="109"/>
        <v/>
      </c>
      <c r="AQ293" s="268" t="str">
        <f t="shared" si="110"/>
        <v/>
      </c>
      <c r="AR293" s="450" t="str">
        <f t="shared" si="111"/>
        <v/>
      </c>
      <c r="AS293" s="450" t="str">
        <f t="shared" si="112"/>
        <v/>
      </c>
      <c r="AT293" s="450" t="str">
        <f t="shared" si="113"/>
        <v/>
      </c>
      <c r="AU293" s="269" t="str">
        <f t="shared" si="114"/>
        <v/>
      </c>
    </row>
    <row r="294" spans="1:47" ht="15.75" customHeight="1">
      <c r="A294" s="175">
        <f t="shared" si="97"/>
        <v>2026</v>
      </c>
      <c r="B294" s="454" t="str">
        <f t="shared" si="98"/>
        <v>27</v>
      </c>
      <c r="C294" s="454" t="str">
        <f t="array" ref="C294">_xlfn.IFS(_xlfn.NUMBERVALUE(B294)&lt;=13,"Q1",AND(_xlfn.NUMBERVALUE(B294)&gt;13,_xlfn.NUMBERVALUE(B294)&lt;=26),"Q2", AND(_xlfn.NUMBERVALUE(B294)&gt;26,_xlfn.NUMBERVALUE(B294)&lt;=39),"Q3",_xlfn.NUMBERVALUE(B294)&gt;39,"Q4")</f>
        <v>Q3</v>
      </c>
      <c r="D294" s="448">
        <f t="shared" si="115"/>
        <v>45871</v>
      </c>
      <c r="E294" s="448">
        <f t="shared" si="99"/>
        <v>45877</v>
      </c>
      <c r="F294" s="97">
        <v>202527</v>
      </c>
      <c r="G294" s="241"/>
      <c r="H294" s="467"/>
      <c r="I294" s="521">
        <f t="shared" si="116"/>
        <v>0</v>
      </c>
      <c r="J294" s="467"/>
      <c r="K294" s="242"/>
      <c r="L294" s="430"/>
      <c r="M294" s="430"/>
      <c r="N294" s="469">
        <f t="shared" si="92"/>
        <v>0</v>
      </c>
      <c r="O294" s="430"/>
      <c r="P294" s="430"/>
      <c r="Q294" s="103"/>
      <c r="R294" s="429"/>
      <c r="S294" s="521">
        <f t="shared" si="117"/>
        <v>0</v>
      </c>
      <c r="T294" s="467"/>
      <c r="U294" s="242"/>
      <c r="V294" s="467"/>
      <c r="W294" s="467"/>
      <c r="X294" s="449">
        <f t="shared" si="93"/>
        <v>0</v>
      </c>
      <c r="Y294" s="467"/>
      <c r="Z294" s="242"/>
      <c r="AA294" s="523"/>
      <c r="AB294" s="523"/>
      <c r="AC294" s="449">
        <f t="shared" si="94"/>
        <v>0</v>
      </c>
      <c r="AD294" s="429"/>
      <c r="AE294" s="429"/>
      <c r="AF294" s="126"/>
      <c r="AG294" s="265" t="str">
        <f t="shared" si="100"/>
        <v/>
      </c>
      <c r="AH294" s="515" t="str">
        <f t="shared" si="101"/>
        <v/>
      </c>
      <c r="AI294" s="515" t="str">
        <f t="shared" si="102"/>
        <v/>
      </c>
      <c r="AJ294" s="515" t="str">
        <f t="shared" si="103"/>
        <v/>
      </c>
      <c r="AK294" s="187" t="str">
        <f t="shared" si="104"/>
        <v/>
      </c>
      <c r="AL294" s="266" t="str">
        <f t="shared" si="105"/>
        <v/>
      </c>
      <c r="AM294" s="516" t="str">
        <f t="shared" si="106"/>
        <v/>
      </c>
      <c r="AN294" s="516" t="str">
        <f t="shared" si="107"/>
        <v/>
      </c>
      <c r="AO294" s="516" t="str">
        <f t="shared" si="108"/>
        <v/>
      </c>
      <c r="AP294" s="267" t="str">
        <f t="shared" si="109"/>
        <v/>
      </c>
      <c r="AQ294" s="268" t="str">
        <f t="shared" si="110"/>
        <v/>
      </c>
      <c r="AR294" s="450" t="str">
        <f t="shared" si="111"/>
        <v/>
      </c>
      <c r="AS294" s="450" t="str">
        <f t="shared" si="112"/>
        <v/>
      </c>
      <c r="AT294" s="450" t="str">
        <f t="shared" si="113"/>
        <v/>
      </c>
      <c r="AU294" s="269" t="str">
        <f t="shared" si="114"/>
        <v/>
      </c>
    </row>
    <row r="295" spans="1:47" ht="15.75" customHeight="1">
      <c r="A295" s="175">
        <f t="shared" si="97"/>
        <v>2026</v>
      </c>
      <c r="B295" s="454" t="str">
        <f t="shared" si="98"/>
        <v>28</v>
      </c>
      <c r="C295" s="454" t="str">
        <f t="array" ref="C295">_xlfn.IFS(_xlfn.NUMBERVALUE(B295)&lt;=13,"Q1",AND(_xlfn.NUMBERVALUE(B295)&gt;13,_xlfn.NUMBERVALUE(B295)&lt;=26),"Q2", AND(_xlfn.NUMBERVALUE(B295)&gt;26,_xlfn.NUMBERVALUE(B295)&lt;=39),"Q3",_xlfn.NUMBERVALUE(B295)&gt;39,"Q4")</f>
        <v>Q3</v>
      </c>
      <c r="D295" s="448">
        <f t="shared" si="115"/>
        <v>45878</v>
      </c>
      <c r="E295" s="448">
        <f t="shared" si="99"/>
        <v>45884</v>
      </c>
      <c r="F295" s="97">
        <v>202528</v>
      </c>
      <c r="G295" s="241"/>
      <c r="H295" s="467"/>
      <c r="I295" s="521">
        <f t="shared" si="116"/>
        <v>0</v>
      </c>
      <c r="J295" s="467"/>
      <c r="K295" s="242"/>
      <c r="L295" s="430"/>
      <c r="M295" s="430"/>
      <c r="N295" s="469">
        <f t="shared" si="92"/>
        <v>0</v>
      </c>
      <c r="O295" s="430"/>
      <c r="P295" s="430"/>
      <c r="Q295" s="103"/>
      <c r="R295" s="429"/>
      <c r="S295" s="521">
        <f t="shared" si="117"/>
        <v>0</v>
      </c>
      <c r="T295" s="467"/>
      <c r="U295" s="242"/>
      <c r="V295" s="467"/>
      <c r="W295" s="467"/>
      <c r="X295" s="449">
        <f t="shared" si="93"/>
        <v>0</v>
      </c>
      <c r="Y295" s="467"/>
      <c r="Z295" s="242"/>
      <c r="AA295" s="523"/>
      <c r="AB295" s="523"/>
      <c r="AC295" s="449">
        <f t="shared" si="94"/>
        <v>0</v>
      </c>
      <c r="AD295" s="429"/>
      <c r="AE295" s="429"/>
      <c r="AF295" s="126"/>
      <c r="AG295" s="265" t="str">
        <f t="shared" si="100"/>
        <v/>
      </c>
      <c r="AH295" s="515" t="str">
        <f t="shared" si="101"/>
        <v/>
      </c>
      <c r="AI295" s="515" t="str">
        <f t="shared" si="102"/>
        <v/>
      </c>
      <c r="AJ295" s="515" t="str">
        <f t="shared" si="103"/>
        <v/>
      </c>
      <c r="AK295" s="187" t="str">
        <f t="shared" si="104"/>
        <v/>
      </c>
      <c r="AL295" s="266" t="str">
        <f t="shared" si="105"/>
        <v/>
      </c>
      <c r="AM295" s="516" t="str">
        <f t="shared" si="106"/>
        <v/>
      </c>
      <c r="AN295" s="516" t="str">
        <f t="shared" si="107"/>
        <v/>
      </c>
      <c r="AO295" s="516" t="str">
        <f t="shared" si="108"/>
        <v/>
      </c>
      <c r="AP295" s="267" t="str">
        <f t="shared" si="109"/>
        <v/>
      </c>
      <c r="AQ295" s="268" t="str">
        <f t="shared" si="110"/>
        <v/>
      </c>
      <c r="AR295" s="450" t="str">
        <f t="shared" si="111"/>
        <v/>
      </c>
      <c r="AS295" s="450" t="str">
        <f t="shared" si="112"/>
        <v/>
      </c>
      <c r="AT295" s="450" t="str">
        <f t="shared" si="113"/>
        <v/>
      </c>
      <c r="AU295" s="269" t="str">
        <f t="shared" si="114"/>
        <v/>
      </c>
    </row>
    <row r="296" spans="1:47" ht="15.75" customHeight="1">
      <c r="A296" s="175">
        <f t="shared" si="97"/>
        <v>2026</v>
      </c>
      <c r="B296" s="454" t="str">
        <f t="shared" si="98"/>
        <v>29</v>
      </c>
      <c r="C296" s="454" t="str">
        <f t="array" ref="C296">_xlfn.IFS(_xlfn.NUMBERVALUE(B296)&lt;=13,"Q1",AND(_xlfn.NUMBERVALUE(B296)&gt;13,_xlfn.NUMBERVALUE(B296)&lt;=26),"Q2", AND(_xlfn.NUMBERVALUE(B296)&gt;26,_xlfn.NUMBERVALUE(B296)&lt;=39),"Q3",_xlfn.NUMBERVALUE(B296)&gt;39,"Q4")</f>
        <v>Q3</v>
      </c>
      <c r="D296" s="448">
        <f t="shared" si="115"/>
        <v>45885</v>
      </c>
      <c r="E296" s="448">
        <f t="shared" si="99"/>
        <v>45891</v>
      </c>
      <c r="F296" s="97">
        <v>202529</v>
      </c>
      <c r="G296" s="241"/>
      <c r="H296" s="467"/>
      <c r="I296" s="521">
        <f t="shared" si="116"/>
        <v>0</v>
      </c>
      <c r="J296" s="467"/>
      <c r="K296" s="242"/>
      <c r="L296" s="430"/>
      <c r="M296" s="430"/>
      <c r="N296" s="469">
        <f t="shared" si="92"/>
        <v>0</v>
      </c>
      <c r="O296" s="430"/>
      <c r="P296" s="430"/>
      <c r="Q296" s="103"/>
      <c r="R296" s="429"/>
      <c r="S296" s="521">
        <f t="shared" si="117"/>
        <v>0</v>
      </c>
      <c r="T296" s="467"/>
      <c r="U296" s="242"/>
      <c r="V296" s="467"/>
      <c r="W296" s="467"/>
      <c r="X296" s="449">
        <f t="shared" si="93"/>
        <v>0</v>
      </c>
      <c r="Y296" s="467"/>
      <c r="Z296" s="242"/>
      <c r="AA296" s="523"/>
      <c r="AB296" s="523"/>
      <c r="AC296" s="449">
        <f t="shared" si="94"/>
        <v>0</v>
      </c>
      <c r="AD296" s="429"/>
      <c r="AE296" s="429"/>
      <c r="AF296" s="126"/>
      <c r="AG296" s="265" t="str">
        <f t="shared" si="100"/>
        <v/>
      </c>
      <c r="AH296" s="515" t="str">
        <f t="shared" si="101"/>
        <v/>
      </c>
      <c r="AI296" s="515" t="str">
        <f t="shared" si="102"/>
        <v/>
      </c>
      <c r="AJ296" s="515" t="str">
        <f t="shared" si="103"/>
        <v/>
      </c>
      <c r="AK296" s="187" t="str">
        <f t="shared" si="104"/>
        <v/>
      </c>
      <c r="AL296" s="266" t="str">
        <f t="shared" si="105"/>
        <v/>
      </c>
      <c r="AM296" s="516" t="str">
        <f t="shared" si="106"/>
        <v/>
      </c>
      <c r="AN296" s="516" t="str">
        <f t="shared" si="107"/>
        <v/>
      </c>
      <c r="AO296" s="516" t="str">
        <f t="shared" si="108"/>
        <v/>
      </c>
      <c r="AP296" s="267" t="str">
        <f t="shared" si="109"/>
        <v/>
      </c>
      <c r="AQ296" s="268" t="str">
        <f t="shared" si="110"/>
        <v/>
      </c>
      <c r="AR296" s="450" t="str">
        <f t="shared" si="111"/>
        <v/>
      </c>
      <c r="AS296" s="450" t="str">
        <f t="shared" si="112"/>
        <v/>
      </c>
      <c r="AT296" s="450" t="str">
        <f t="shared" si="113"/>
        <v/>
      </c>
      <c r="AU296" s="269" t="str">
        <f t="shared" si="114"/>
        <v/>
      </c>
    </row>
    <row r="297" spans="1:47" ht="15.75" customHeight="1">
      <c r="A297" s="175">
        <f t="shared" si="97"/>
        <v>2026</v>
      </c>
      <c r="B297" s="454" t="str">
        <f t="shared" si="98"/>
        <v>30</v>
      </c>
      <c r="C297" s="454" t="str">
        <f t="array" ref="C297">_xlfn.IFS(_xlfn.NUMBERVALUE(B297)&lt;=13,"Q1",AND(_xlfn.NUMBERVALUE(B297)&gt;13,_xlfn.NUMBERVALUE(B297)&lt;=26),"Q2", AND(_xlfn.NUMBERVALUE(B297)&gt;26,_xlfn.NUMBERVALUE(B297)&lt;=39),"Q3",_xlfn.NUMBERVALUE(B297)&gt;39,"Q4")</f>
        <v>Q3</v>
      </c>
      <c r="D297" s="448">
        <f t="shared" si="115"/>
        <v>45892</v>
      </c>
      <c r="E297" s="448">
        <f t="shared" si="99"/>
        <v>45898</v>
      </c>
      <c r="F297" s="97">
        <v>202530</v>
      </c>
      <c r="G297" s="241"/>
      <c r="H297" s="467"/>
      <c r="I297" s="521">
        <f t="shared" si="116"/>
        <v>0</v>
      </c>
      <c r="J297" s="467"/>
      <c r="K297" s="242"/>
      <c r="L297" s="430"/>
      <c r="M297" s="430"/>
      <c r="N297" s="469">
        <f t="shared" si="92"/>
        <v>0</v>
      </c>
      <c r="O297" s="430"/>
      <c r="P297" s="430"/>
      <c r="Q297" s="103"/>
      <c r="R297" s="429"/>
      <c r="S297" s="521">
        <f t="shared" si="117"/>
        <v>0</v>
      </c>
      <c r="T297" s="467"/>
      <c r="U297" s="242"/>
      <c r="V297" s="467"/>
      <c r="W297" s="467"/>
      <c r="X297" s="449">
        <f t="shared" si="93"/>
        <v>0</v>
      </c>
      <c r="Y297" s="467"/>
      <c r="Z297" s="242"/>
      <c r="AA297" s="523"/>
      <c r="AB297" s="523"/>
      <c r="AC297" s="449">
        <f t="shared" si="94"/>
        <v>0</v>
      </c>
      <c r="AD297" s="429"/>
      <c r="AE297" s="429"/>
      <c r="AF297" s="126"/>
      <c r="AG297" s="265" t="str">
        <f t="shared" si="100"/>
        <v/>
      </c>
      <c r="AH297" s="515" t="str">
        <f t="shared" si="101"/>
        <v/>
      </c>
      <c r="AI297" s="515" t="str">
        <f t="shared" si="102"/>
        <v/>
      </c>
      <c r="AJ297" s="515" t="str">
        <f t="shared" si="103"/>
        <v/>
      </c>
      <c r="AK297" s="187" t="str">
        <f t="shared" si="104"/>
        <v/>
      </c>
      <c r="AL297" s="266" t="str">
        <f t="shared" si="105"/>
        <v/>
      </c>
      <c r="AM297" s="516" t="str">
        <f t="shared" si="106"/>
        <v/>
      </c>
      <c r="AN297" s="516" t="str">
        <f t="shared" si="107"/>
        <v/>
      </c>
      <c r="AO297" s="516" t="str">
        <f t="shared" si="108"/>
        <v/>
      </c>
      <c r="AP297" s="267" t="str">
        <f t="shared" si="109"/>
        <v/>
      </c>
      <c r="AQ297" s="268" t="str">
        <f t="shared" si="110"/>
        <v/>
      </c>
      <c r="AR297" s="450" t="str">
        <f t="shared" si="111"/>
        <v/>
      </c>
      <c r="AS297" s="450" t="str">
        <f t="shared" si="112"/>
        <v/>
      </c>
      <c r="AT297" s="450" t="str">
        <f t="shared" si="113"/>
        <v/>
      </c>
      <c r="AU297" s="269" t="str">
        <f t="shared" si="114"/>
        <v/>
      </c>
    </row>
    <row r="298" spans="1:47" ht="15.75" customHeight="1">
      <c r="A298" s="175">
        <f t="shared" si="97"/>
        <v>2026</v>
      </c>
      <c r="B298" s="454" t="str">
        <f t="shared" si="98"/>
        <v>31</v>
      </c>
      <c r="C298" s="454" t="str">
        <f t="array" ref="C298">_xlfn.IFS(_xlfn.NUMBERVALUE(B298)&lt;=13,"Q1",AND(_xlfn.NUMBERVALUE(B298)&gt;13,_xlfn.NUMBERVALUE(B298)&lt;=26),"Q2", AND(_xlfn.NUMBERVALUE(B298)&gt;26,_xlfn.NUMBERVALUE(B298)&lt;=39),"Q3",_xlfn.NUMBERVALUE(B298)&gt;39,"Q4")</f>
        <v>Q3</v>
      </c>
      <c r="D298" s="448">
        <f t="shared" si="115"/>
        <v>45899</v>
      </c>
      <c r="E298" s="448">
        <f t="shared" si="99"/>
        <v>45905</v>
      </c>
      <c r="F298" s="97">
        <v>202531</v>
      </c>
      <c r="G298" s="241"/>
      <c r="H298" s="467"/>
      <c r="I298" s="521">
        <f t="shared" si="116"/>
        <v>0</v>
      </c>
      <c r="J298" s="467"/>
      <c r="K298" s="242"/>
      <c r="L298" s="430"/>
      <c r="M298" s="430"/>
      <c r="N298" s="469">
        <f t="shared" si="92"/>
        <v>0</v>
      </c>
      <c r="O298" s="430"/>
      <c r="P298" s="430"/>
      <c r="Q298" s="103"/>
      <c r="R298" s="429"/>
      <c r="S298" s="521">
        <f t="shared" si="117"/>
        <v>0</v>
      </c>
      <c r="T298" s="467"/>
      <c r="U298" s="242"/>
      <c r="V298" s="467"/>
      <c r="W298" s="467"/>
      <c r="X298" s="449">
        <f t="shared" si="93"/>
        <v>0</v>
      </c>
      <c r="Y298" s="467"/>
      <c r="Z298" s="242"/>
      <c r="AA298" s="523"/>
      <c r="AB298" s="523"/>
      <c r="AC298" s="449">
        <f t="shared" si="94"/>
        <v>0</v>
      </c>
      <c r="AD298" s="429"/>
      <c r="AE298" s="429"/>
      <c r="AF298" s="126"/>
      <c r="AG298" s="265" t="str">
        <f t="shared" si="100"/>
        <v/>
      </c>
      <c r="AH298" s="515" t="str">
        <f t="shared" si="101"/>
        <v/>
      </c>
      <c r="AI298" s="515" t="str">
        <f t="shared" si="102"/>
        <v/>
      </c>
      <c r="AJ298" s="515" t="str">
        <f t="shared" si="103"/>
        <v/>
      </c>
      <c r="AK298" s="187" t="str">
        <f t="shared" si="104"/>
        <v/>
      </c>
      <c r="AL298" s="266" t="str">
        <f t="shared" si="105"/>
        <v/>
      </c>
      <c r="AM298" s="516" t="str">
        <f t="shared" si="106"/>
        <v/>
      </c>
      <c r="AN298" s="516" t="str">
        <f t="shared" si="107"/>
        <v/>
      </c>
      <c r="AO298" s="516" t="str">
        <f t="shared" si="108"/>
        <v/>
      </c>
      <c r="AP298" s="267" t="str">
        <f t="shared" si="109"/>
        <v/>
      </c>
      <c r="AQ298" s="268" t="str">
        <f t="shared" si="110"/>
        <v/>
      </c>
      <c r="AR298" s="450" t="str">
        <f t="shared" si="111"/>
        <v/>
      </c>
      <c r="AS298" s="450" t="str">
        <f t="shared" si="112"/>
        <v/>
      </c>
      <c r="AT298" s="450" t="str">
        <f t="shared" si="113"/>
        <v/>
      </c>
      <c r="AU298" s="269" t="str">
        <f t="shared" si="114"/>
        <v/>
      </c>
    </row>
    <row r="299" spans="1:47" ht="15.75" customHeight="1">
      <c r="A299" s="175">
        <f t="shared" si="97"/>
        <v>2026</v>
      </c>
      <c r="B299" s="454" t="str">
        <f t="shared" si="98"/>
        <v>32</v>
      </c>
      <c r="C299" s="454" t="str">
        <f t="array" ref="C299">_xlfn.IFS(_xlfn.NUMBERVALUE(B299)&lt;=13,"Q1",AND(_xlfn.NUMBERVALUE(B299)&gt;13,_xlfn.NUMBERVALUE(B299)&lt;=26),"Q2", AND(_xlfn.NUMBERVALUE(B299)&gt;26,_xlfn.NUMBERVALUE(B299)&lt;=39),"Q3",_xlfn.NUMBERVALUE(B299)&gt;39,"Q4")</f>
        <v>Q3</v>
      </c>
      <c r="D299" s="448">
        <f t="shared" si="115"/>
        <v>45906</v>
      </c>
      <c r="E299" s="448">
        <f t="shared" si="99"/>
        <v>45912</v>
      </c>
      <c r="F299" s="97">
        <v>202532</v>
      </c>
      <c r="G299" s="241"/>
      <c r="H299" s="467"/>
      <c r="I299" s="521">
        <f t="shared" si="116"/>
        <v>0</v>
      </c>
      <c r="J299" s="467"/>
      <c r="K299" s="242"/>
      <c r="L299" s="430"/>
      <c r="M299" s="430"/>
      <c r="N299" s="469">
        <f t="shared" si="92"/>
        <v>0</v>
      </c>
      <c r="O299" s="430"/>
      <c r="P299" s="430"/>
      <c r="Q299" s="103"/>
      <c r="R299" s="429"/>
      <c r="S299" s="521">
        <f t="shared" si="117"/>
        <v>0</v>
      </c>
      <c r="T299" s="467"/>
      <c r="U299" s="242"/>
      <c r="V299" s="467"/>
      <c r="W299" s="467"/>
      <c r="X299" s="449">
        <f t="shared" si="93"/>
        <v>0</v>
      </c>
      <c r="Y299" s="467"/>
      <c r="Z299" s="242"/>
      <c r="AA299" s="523"/>
      <c r="AB299" s="523"/>
      <c r="AC299" s="449">
        <f t="shared" si="94"/>
        <v>0</v>
      </c>
      <c r="AD299" s="429"/>
      <c r="AE299" s="429"/>
      <c r="AF299" s="126"/>
      <c r="AG299" s="265" t="str">
        <f t="shared" si="100"/>
        <v/>
      </c>
      <c r="AH299" s="515" t="str">
        <f t="shared" si="101"/>
        <v/>
      </c>
      <c r="AI299" s="515" t="str">
        <f t="shared" si="102"/>
        <v/>
      </c>
      <c r="AJ299" s="515" t="str">
        <f t="shared" si="103"/>
        <v/>
      </c>
      <c r="AK299" s="187" t="str">
        <f t="shared" si="104"/>
        <v/>
      </c>
      <c r="AL299" s="266" t="str">
        <f t="shared" si="105"/>
        <v/>
      </c>
      <c r="AM299" s="516" t="str">
        <f t="shared" si="106"/>
        <v/>
      </c>
      <c r="AN299" s="516" t="str">
        <f t="shared" si="107"/>
        <v/>
      </c>
      <c r="AO299" s="516" t="str">
        <f t="shared" si="108"/>
        <v/>
      </c>
      <c r="AP299" s="267" t="str">
        <f t="shared" si="109"/>
        <v/>
      </c>
      <c r="AQ299" s="268" t="str">
        <f t="shared" si="110"/>
        <v/>
      </c>
      <c r="AR299" s="450" t="str">
        <f t="shared" si="111"/>
        <v/>
      </c>
      <c r="AS299" s="450" t="str">
        <f t="shared" si="112"/>
        <v/>
      </c>
      <c r="AT299" s="450" t="str">
        <f t="shared" si="113"/>
        <v/>
      </c>
      <c r="AU299" s="269" t="str">
        <f t="shared" si="114"/>
        <v/>
      </c>
    </row>
    <row r="300" spans="1:47" ht="15.75" customHeight="1">
      <c r="A300" s="175">
        <f t="shared" si="97"/>
        <v>2026</v>
      </c>
      <c r="B300" s="454" t="str">
        <f t="shared" si="98"/>
        <v>33</v>
      </c>
      <c r="C300" s="454" t="str">
        <f t="array" ref="C300">_xlfn.IFS(_xlfn.NUMBERVALUE(B300)&lt;=13,"Q1",AND(_xlfn.NUMBERVALUE(B300)&gt;13,_xlfn.NUMBERVALUE(B300)&lt;=26),"Q2", AND(_xlfn.NUMBERVALUE(B300)&gt;26,_xlfn.NUMBERVALUE(B300)&lt;=39),"Q3",_xlfn.NUMBERVALUE(B300)&gt;39,"Q4")</f>
        <v>Q3</v>
      </c>
      <c r="D300" s="448">
        <f t="shared" si="115"/>
        <v>45913</v>
      </c>
      <c r="E300" s="448">
        <f t="shared" si="99"/>
        <v>45919</v>
      </c>
      <c r="F300" s="97">
        <v>202533</v>
      </c>
      <c r="G300" s="241"/>
      <c r="H300" s="467"/>
      <c r="I300" s="521">
        <f t="shared" si="116"/>
        <v>0</v>
      </c>
      <c r="J300" s="467"/>
      <c r="K300" s="242"/>
      <c r="L300" s="430"/>
      <c r="M300" s="430"/>
      <c r="N300" s="469">
        <f t="shared" si="92"/>
        <v>0</v>
      </c>
      <c r="O300" s="430"/>
      <c r="P300" s="430"/>
      <c r="Q300" s="103"/>
      <c r="R300" s="429"/>
      <c r="S300" s="521">
        <f t="shared" si="117"/>
        <v>0</v>
      </c>
      <c r="T300" s="467"/>
      <c r="U300" s="242"/>
      <c r="V300" s="467"/>
      <c r="W300" s="467"/>
      <c r="X300" s="449">
        <f t="shared" si="93"/>
        <v>0</v>
      </c>
      <c r="Y300" s="467"/>
      <c r="Z300" s="242"/>
      <c r="AA300" s="523"/>
      <c r="AB300" s="523"/>
      <c r="AC300" s="449">
        <f t="shared" si="94"/>
        <v>0</v>
      </c>
      <c r="AD300" s="429"/>
      <c r="AE300" s="429"/>
      <c r="AF300" s="126"/>
      <c r="AG300" s="265" t="str">
        <f t="shared" si="100"/>
        <v/>
      </c>
      <c r="AH300" s="515" t="str">
        <f t="shared" si="101"/>
        <v/>
      </c>
      <c r="AI300" s="515" t="str">
        <f t="shared" si="102"/>
        <v/>
      </c>
      <c r="AJ300" s="515" t="str">
        <f t="shared" si="103"/>
        <v/>
      </c>
      <c r="AK300" s="187" t="str">
        <f t="shared" si="104"/>
        <v/>
      </c>
      <c r="AL300" s="266" t="str">
        <f t="shared" si="105"/>
        <v/>
      </c>
      <c r="AM300" s="516" t="str">
        <f t="shared" si="106"/>
        <v/>
      </c>
      <c r="AN300" s="516" t="str">
        <f t="shared" si="107"/>
        <v/>
      </c>
      <c r="AO300" s="516" t="str">
        <f t="shared" si="108"/>
        <v/>
      </c>
      <c r="AP300" s="267" t="str">
        <f t="shared" si="109"/>
        <v/>
      </c>
      <c r="AQ300" s="268" t="str">
        <f t="shared" si="110"/>
        <v/>
      </c>
      <c r="AR300" s="450" t="str">
        <f t="shared" si="111"/>
        <v/>
      </c>
      <c r="AS300" s="450" t="str">
        <f t="shared" si="112"/>
        <v/>
      </c>
      <c r="AT300" s="450" t="str">
        <f t="shared" si="113"/>
        <v/>
      </c>
      <c r="AU300" s="269" t="str">
        <f t="shared" si="114"/>
        <v/>
      </c>
    </row>
    <row r="301" spans="1:47" ht="15.75" customHeight="1">
      <c r="A301" s="175">
        <f t="shared" si="97"/>
        <v>2026</v>
      </c>
      <c r="B301" s="454" t="str">
        <f t="shared" si="98"/>
        <v>34</v>
      </c>
      <c r="C301" s="454" t="str">
        <f t="array" ref="C301">_xlfn.IFS(_xlfn.NUMBERVALUE(B301)&lt;=13,"Q1",AND(_xlfn.NUMBERVALUE(B301)&gt;13,_xlfn.NUMBERVALUE(B301)&lt;=26),"Q2", AND(_xlfn.NUMBERVALUE(B301)&gt;26,_xlfn.NUMBERVALUE(B301)&lt;=39),"Q3",_xlfn.NUMBERVALUE(B301)&gt;39,"Q4")</f>
        <v>Q3</v>
      </c>
      <c r="D301" s="448">
        <f t="shared" si="115"/>
        <v>45920</v>
      </c>
      <c r="E301" s="448">
        <f t="shared" si="99"/>
        <v>45926</v>
      </c>
      <c r="F301" s="97">
        <v>202534</v>
      </c>
      <c r="G301" s="241"/>
      <c r="H301" s="467"/>
      <c r="I301" s="521">
        <f t="shared" si="116"/>
        <v>0</v>
      </c>
      <c r="J301" s="467"/>
      <c r="K301" s="242"/>
      <c r="L301" s="430"/>
      <c r="M301" s="430"/>
      <c r="N301" s="469">
        <f t="shared" si="92"/>
        <v>0</v>
      </c>
      <c r="O301" s="430"/>
      <c r="P301" s="430"/>
      <c r="Q301" s="103"/>
      <c r="R301" s="429"/>
      <c r="S301" s="521">
        <f t="shared" si="117"/>
        <v>0</v>
      </c>
      <c r="T301" s="467"/>
      <c r="U301" s="242"/>
      <c r="V301" s="467"/>
      <c r="W301" s="467"/>
      <c r="X301" s="449">
        <f t="shared" si="93"/>
        <v>0</v>
      </c>
      <c r="Y301" s="467"/>
      <c r="Z301" s="242"/>
      <c r="AA301" s="523"/>
      <c r="AB301" s="523"/>
      <c r="AC301" s="449">
        <f t="shared" si="94"/>
        <v>0</v>
      </c>
      <c r="AD301" s="429"/>
      <c r="AE301" s="429"/>
      <c r="AF301" s="126"/>
      <c r="AG301" s="265" t="str">
        <f t="shared" si="100"/>
        <v/>
      </c>
      <c r="AH301" s="515" t="str">
        <f t="shared" si="101"/>
        <v/>
      </c>
      <c r="AI301" s="515" t="str">
        <f t="shared" si="102"/>
        <v/>
      </c>
      <c r="AJ301" s="515" t="str">
        <f t="shared" si="103"/>
        <v/>
      </c>
      <c r="AK301" s="187" t="str">
        <f t="shared" si="104"/>
        <v/>
      </c>
      <c r="AL301" s="266" t="str">
        <f t="shared" si="105"/>
        <v/>
      </c>
      <c r="AM301" s="516" t="str">
        <f t="shared" si="106"/>
        <v/>
      </c>
      <c r="AN301" s="516" t="str">
        <f t="shared" si="107"/>
        <v/>
      </c>
      <c r="AO301" s="516" t="str">
        <f t="shared" si="108"/>
        <v/>
      </c>
      <c r="AP301" s="267" t="str">
        <f t="shared" si="109"/>
        <v/>
      </c>
      <c r="AQ301" s="268" t="str">
        <f t="shared" si="110"/>
        <v/>
      </c>
      <c r="AR301" s="450" t="str">
        <f t="shared" si="111"/>
        <v/>
      </c>
      <c r="AS301" s="450" t="str">
        <f t="shared" si="112"/>
        <v/>
      </c>
      <c r="AT301" s="450" t="str">
        <f t="shared" si="113"/>
        <v/>
      </c>
      <c r="AU301" s="269" t="str">
        <f t="shared" si="114"/>
        <v/>
      </c>
    </row>
    <row r="302" spans="1:47" ht="15.75" customHeight="1">
      <c r="A302" s="175">
        <f t="shared" si="97"/>
        <v>2026</v>
      </c>
      <c r="B302" s="454" t="str">
        <f t="shared" si="98"/>
        <v>35</v>
      </c>
      <c r="C302" s="454" t="str">
        <f t="array" ref="C302">_xlfn.IFS(_xlfn.NUMBERVALUE(B302)&lt;=13,"Q1",AND(_xlfn.NUMBERVALUE(B302)&gt;13,_xlfn.NUMBERVALUE(B302)&lt;=26),"Q2", AND(_xlfn.NUMBERVALUE(B302)&gt;26,_xlfn.NUMBERVALUE(B302)&lt;=39),"Q3",_xlfn.NUMBERVALUE(B302)&gt;39,"Q4")</f>
        <v>Q3</v>
      </c>
      <c r="D302" s="448">
        <f t="shared" si="115"/>
        <v>45927</v>
      </c>
      <c r="E302" s="448">
        <f t="shared" si="99"/>
        <v>45933</v>
      </c>
      <c r="F302" s="97">
        <v>202535</v>
      </c>
      <c r="G302" s="241"/>
      <c r="H302" s="467"/>
      <c r="I302" s="521">
        <f t="shared" si="116"/>
        <v>0</v>
      </c>
      <c r="J302" s="467"/>
      <c r="K302" s="242"/>
      <c r="L302" s="430"/>
      <c r="M302" s="430"/>
      <c r="N302" s="469">
        <f t="shared" si="92"/>
        <v>0</v>
      </c>
      <c r="O302" s="430"/>
      <c r="P302" s="430"/>
      <c r="Q302" s="103"/>
      <c r="R302" s="429"/>
      <c r="S302" s="521">
        <f t="shared" si="117"/>
        <v>0</v>
      </c>
      <c r="T302" s="467"/>
      <c r="U302" s="242"/>
      <c r="V302" s="467"/>
      <c r="W302" s="467"/>
      <c r="X302" s="449">
        <f t="shared" si="93"/>
        <v>0</v>
      </c>
      <c r="Y302" s="467"/>
      <c r="Z302" s="242"/>
      <c r="AA302" s="523"/>
      <c r="AB302" s="523"/>
      <c r="AC302" s="449">
        <f t="shared" si="94"/>
        <v>0</v>
      </c>
      <c r="AD302" s="429"/>
      <c r="AE302" s="429"/>
      <c r="AF302" s="126"/>
      <c r="AG302" s="265" t="str">
        <f t="shared" si="100"/>
        <v/>
      </c>
      <c r="AH302" s="515" t="str">
        <f t="shared" si="101"/>
        <v/>
      </c>
      <c r="AI302" s="515" t="str">
        <f t="shared" si="102"/>
        <v/>
      </c>
      <c r="AJ302" s="515" t="str">
        <f t="shared" si="103"/>
        <v/>
      </c>
      <c r="AK302" s="187" t="str">
        <f t="shared" si="104"/>
        <v/>
      </c>
      <c r="AL302" s="266" t="str">
        <f t="shared" si="105"/>
        <v/>
      </c>
      <c r="AM302" s="516" t="str">
        <f t="shared" si="106"/>
        <v/>
      </c>
      <c r="AN302" s="516" t="str">
        <f t="shared" si="107"/>
        <v/>
      </c>
      <c r="AO302" s="516" t="str">
        <f t="shared" si="108"/>
        <v/>
      </c>
      <c r="AP302" s="267" t="str">
        <f t="shared" si="109"/>
        <v/>
      </c>
      <c r="AQ302" s="268" t="str">
        <f t="shared" si="110"/>
        <v/>
      </c>
      <c r="AR302" s="450" t="str">
        <f t="shared" si="111"/>
        <v/>
      </c>
      <c r="AS302" s="450" t="str">
        <f t="shared" si="112"/>
        <v/>
      </c>
      <c r="AT302" s="450" t="str">
        <f t="shared" si="113"/>
        <v/>
      </c>
      <c r="AU302" s="269" t="str">
        <f t="shared" si="114"/>
        <v/>
      </c>
    </row>
    <row r="303" spans="1:47" ht="15.75" customHeight="1">
      <c r="A303" s="175">
        <f t="shared" si="97"/>
        <v>2026</v>
      </c>
      <c r="B303" s="454" t="str">
        <f t="shared" si="98"/>
        <v>36</v>
      </c>
      <c r="C303" s="454" t="str">
        <f t="array" ref="C303">_xlfn.IFS(_xlfn.NUMBERVALUE(B303)&lt;=13,"Q1",AND(_xlfn.NUMBERVALUE(B303)&gt;13,_xlfn.NUMBERVALUE(B303)&lt;=26),"Q2", AND(_xlfn.NUMBERVALUE(B303)&gt;26,_xlfn.NUMBERVALUE(B303)&lt;=39),"Q3",_xlfn.NUMBERVALUE(B303)&gt;39,"Q4")</f>
        <v>Q3</v>
      </c>
      <c r="D303" s="448">
        <f t="shared" si="115"/>
        <v>45934</v>
      </c>
      <c r="E303" s="448">
        <f t="shared" si="99"/>
        <v>45940</v>
      </c>
      <c r="F303" s="97">
        <v>202536</v>
      </c>
      <c r="G303" s="241"/>
      <c r="H303" s="467"/>
      <c r="I303" s="521">
        <f t="shared" si="116"/>
        <v>0</v>
      </c>
      <c r="J303" s="467"/>
      <c r="K303" s="242"/>
      <c r="L303" s="430"/>
      <c r="M303" s="430"/>
      <c r="N303" s="469">
        <f t="shared" ref="N303:N319" si="118">SUM(L303:M303)</f>
        <v>0</v>
      </c>
      <c r="O303" s="430"/>
      <c r="P303" s="430"/>
      <c r="Q303" s="103"/>
      <c r="R303" s="429"/>
      <c r="S303" s="521">
        <f t="shared" si="117"/>
        <v>0</v>
      </c>
      <c r="T303" s="467"/>
      <c r="U303" s="242"/>
      <c r="V303" s="467"/>
      <c r="W303" s="467"/>
      <c r="X303" s="449">
        <f t="shared" ref="X303:X319" si="119">SUM(V303:W303)</f>
        <v>0</v>
      </c>
      <c r="Y303" s="467"/>
      <c r="Z303" s="242"/>
      <c r="AA303" s="523"/>
      <c r="AB303" s="523"/>
      <c r="AC303" s="449">
        <f t="shared" si="94"/>
        <v>0</v>
      </c>
      <c r="AD303" s="429"/>
      <c r="AE303" s="429"/>
      <c r="AF303" s="126"/>
      <c r="AG303" s="265" t="str">
        <f t="shared" si="100"/>
        <v/>
      </c>
      <c r="AH303" s="515" t="str">
        <f t="shared" si="101"/>
        <v/>
      </c>
      <c r="AI303" s="515" t="str">
        <f t="shared" si="102"/>
        <v/>
      </c>
      <c r="AJ303" s="515" t="str">
        <f t="shared" si="103"/>
        <v/>
      </c>
      <c r="AK303" s="187" t="str">
        <f t="shared" si="104"/>
        <v/>
      </c>
      <c r="AL303" s="266" t="str">
        <f t="shared" si="105"/>
        <v/>
      </c>
      <c r="AM303" s="516" t="str">
        <f t="shared" si="106"/>
        <v/>
      </c>
      <c r="AN303" s="516" t="str">
        <f t="shared" si="107"/>
        <v/>
      </c>
      <c r="AO303" s="516" t="str">
        <f t="shared" si="108"/>
        <v/>
      </c>
      <c r="AP303" s="267" t="str">
        <f t="shared" si="109"/>
        <v/>
      </c>
      <c r="AQ303" s="268" t="str">
        <f t="shared" si="110"/>
        <v/>
      </c>
      <c r="AR303" s="450" t="str">
        <f t="shared" si="111"/>
        <v/>
      </c>
      <c r="AS303" s="450" t="str">
        <f t="shared" si="112"/>
        <v/>
      </c>
      <c r="AT303" s="450" t="str">
        <f t="shared" si="113"/>
        <v/>
      </c>
      <c r="AU303" s="269" t="str">
        <f t="shared" si="114"/>
        <v/>
      </c>
    </row>
    <row r="304" spans="1:47" ht="15.75" customHeight="1">
      <c r="A304" s="175">
        <f t="shared" si="97"/>
        <v>2026</v>
      </c>
      <c r="B304" s="454" t="str">
        <f t="shared" si="98"/>
        <v>37</v>
      </c>
      <c r="C304" s="454" t="str">
        <f t="array" ref="C304">_xlfn.IFS(_xlfn.NUMBERVALUE(B304)&lt;=13,"Q1",AND(_xlfn.NUMBERVALUE(B304)&gt;13,_xlfn.NUMBERVALUE(B304)&lt;=26),"Q2", AND(_xlfn.NUMBERVALUE(B304)&gt;26,_xlfn.NUMBERVALUE(B304)&lt;=39),"Q3",_xlfn.NUMBERVALUE(B304)&gt;39,"Q4")</f>
        <v>Q3</v>
      </c>
      <c r="D304" s="448">
        <f t="shared" si="115"/>
        <v>45941</v>
      </c>
      <c r="E304" s="448">
        <f t="shared" si="99"/>
        <v>45947</v>
      </c>
      <c r="F304" s="97">
        <v>202537</v>
      </c>
      <c r="G304" s="241"/>
      <c r="H304" s="467"/>
      <c r="I304" s="521">
        <f t="shared" si="116"/>
        <v>0</v>
      </c>
      <c r="J304" s="467"/>
      <c r="K304" s="242"/>
      <c r="L304" s="430"/>
      <c r="M304" s="430"/>
      <c r="N304" s="469">
        <f t="shared" si="118"/>
        <v>0</v>
      </c>
      <c r="O304" s="430"/>
      <c r="P304" s="430"/>
      <c r="Q304" s="103"/>
      <c r="R304" s="429"/>
      <c r="S304" s="521">
        <f t="shared" si="117"/>
        <v>0</v>
      </c>
      <c r="T304" s="467"/>
      <c r="U304" s="242"/>
      <c r="V304" s="467"/>
      <c r="W304" s="467"/>
      <c r="X304" s="449">
        <f t="shared" si="119"/>
        <v>0</v>
      </c>
      <c r="Y304" s="467"/>
      <c r="Z304" s="242"/>
      <c r="AA304" s="523"/>
      <c r="AB304" s="523"/>
      <c r="AC304" s="449">
        <f t="shared" ref="AC304:AC319" si="120">SUM(AA304:AB304)</f>
        <v>0</v>
      </c>
      <c r="AD304" s="429"/>
      <c r="AE304" s="429"/>
      <c r="AF304" s="126"/>
      <c r="AG304" s="265" t="str">
        <f t="shared" si="100"/>
        <v/>
      </c>
      <c r="AH304" s="515" t="str">
        <f t="shared" si="101"/>
        <v/>
      </c>
      <c r="AI304" s="515" t="str">
        <f t="shared" si="102"/>
        <v/>
      </c>
      <c r="AJ304" s="515" t="str">
        <f t="shared" si="103"/>
        <v/>
      </c>
      <c r="AK304" s="187" t="str">
        <f t="shared" si="104"/>
        <v/>
      </c>
      <c r="AL304" s="266" t="str">
        <f t="shared" si="105"/>
        <v/>
      </c>
      <c r="AM304" s="516" t="str">
        <f t="shared" si="106"/>
        <v/>
      </c>
      <c r="AN304" s="516" t="str">
        <f t="shared" si="107"/>
        <v/>
      </c>
      <c r="AO304" s="516" t="str">
        <f t="shared" si="108"/>
        <v/>
      </c>
      <c r="AP304" s="267" t="str">
        <f t="shared" si="109"/>
        <v/>
      </c>
      <c r="AQ304" s="268" t="str">
        <f t="shared" si="110"/>
        <v/>
      </c>
      <c r="AR304" s="450" t="str">
        <f t="shared" si="111"/>
        <v/>
      </c>
      <c r="AS304" s="450" t="str">
        <f t="shared" si="112"/>
        <v/>
      </c>
      <c r="AT304" s="450" t="str">
        <f t="shared" si="113"/>
        <v/>
      </c>
      <c r="AU304" s="269" t="str">
        <f t="shared" si="114"/>
        <v/>
      </c>
    </row>
    <row r="305" spans="1:47" ht="15.75" customHeight="1">
      <c r="A305" s="175">
        <f t="shared" si="97"/>
        <v>2026</v>
      </c>
      <c r="B305" s="454" t="str">
        <f t="shared" si="98"/>
        <v>38</v>
      </c>
      <c r="C305" s="454" t="str">
        <f t="array" ref="C305">_xlfn.IFS(_xlfn.NUMBERVALUE(B305)&lt;=13,"Q1",AND(_xlfn.NUMBERVALUE(B305)&gt;13,_xlfn.NUMBERVALUE(B305)&lt;=26),"Q2", AND(_xlfn.NUMBERVALUE(B305)&gt;26,_xlfn.NUMBERVALUE(B305)&lt;=39),"Q3",_xlfn.NUMBERVALUE(B305)&gt;39,"Q4")</f>
        <v>Q3</v>
      </c>
      <c r="D305" s="448">
        <f t="shared" si="115"/>
        <v>45948</v>
      </c>
      <c r="E305" s="448">
        <f t="shared" si="99"/>
        <v>45954</v>
      </c>
      <c r="F305" s="97">
        <v>202538</v>
      </c>
      <c r="G305" s="241"/>
      <c r="H305" s="467"/>
      <c r="I305" s="521">
        <f t="shared" si="116"/>
        <v>0</v>
      </c>
      <c r="J305" s="467"/>
      <c r="K305" s="242"/>
      <c r="L305" s="430"/>
      <c r="M305" s="430"/>
      <c r="N305" s="469">
        <f t="shared" si="118"/>
        <v>0</v>
      </c>
      <c r="O305" s="430"/>
      <c r="P305" s="430"/>
      <c r="Q305" s="103"/>
      <c r="R305" s="429"/>
      <c r="S305" s="521">
        <f t="shared" si="117"/>
        <v>0</v>
      </c>
      <c r="T305" s="467"/>
      <c r="U305" s="242"/>
      <c r="V305" s="467"/>
      <c r="W305" s="467"/>
      <c r="X305" s="449">
        <f t="shared" si="119"/>
        <v>0</v>
      </c>
      <c r="Y305" s="467"/>
      <c r="Z305" s="242"/>
      <c r="AA305" s="523"/>
      <c r="AB305" s="523"/>
      <c r="AC305" s="449">
        <f t="shared" si="120"/>
        <v>0</v>
      </c>
      <c r="AD305" s="429"/>
      <c r="AE305" s="429"/>
      <c r="AF305" s="126"/>
      <c r="AG305" s="265" t="str">
        <f t="shared" si="100"/>
        <v/>
      </c>
      <c r="AH305" s="515" t="str">
        <f t="shared" si="101"/>
        <v/>
      </c>
      <c r="AI305" s="515" t="str">
        <f t="shared" si="102"/>
        <v/>
      </c>
      <c r="AJ305" s="515" t="str">
        <f t="shared" si="103"/>
        <v/>
      </c>
      <c r="AK305" s="187" t="str">
        <f t="shared" si="104"/>
        <v/>
      </c>
      <c r="AL305" s="266" t="str">
        <f t="shared" si="105"/>
        <v/>
      </c>
      <c r="AM305" s="516" t="str">
        <f t="shared" si="106"/>
        <v/>
      </c>
      <c r="AN305" s="516" t="str">
        <f t="shared" si="107"/>
        <v/>
      </c>
      <c r="AO305" s="516" t="str">
        <f t="shared" si="108"/>
        <v/>
      </c>
      <c r="AP305" s="267" t="str">
        <f t="shared" si="109"/>
        <v/>
      </c>
      <c r="AQ305" s="268" t="str">
        <f t="shared" si="110"/>
        <v/>
      </c>
      <c r="AR305" s="450" t="str">
        <f t="shared" si="111"/>
        <v/>
      </c>
      <c r="AS305" s="450" t="str">
        <f t="shared" si="112"/>
        <v/>
      </c>
      <c r="AT305" s="450" t="str">
        <f t="shared" si="113"/>
        <v/>
      </c>
      <c r="AU305" s="269" t="str">
        <f t="shared" si="114"/>
        <v/>
      </c>
    </row>
    <row r="306" spans="1:47" ht="15.75" customHeight="1">
      <c r="A306" s="175">
        <f t="shared" si="97"/>
        <v>2026</v>
      </c>
      <c r="B306" s="454" t="str">
        <f t="shared" si="98"/>
        <v>39</v>
      </c>
      <c r="C306" s="454" t="str">
        <f t="array" ref="C306">_xlfn.IFS(_xlfn.NUMBERVALUE(B306)&lt;=13,"Q1",AND(_xlfn.NUMBERVALUE(B306)&gt;13,_xlfn.NUMBERVALUE(B306)&lt;=26),"Q2", AND(_xlfn.NUMBERVALUE(B306)&gt;26,_xlfn.NUMBERVALUE(B306)&lt;=39),"Q3",_xlfn.NUMBERVALUE(B306)&gt;39,"Q4")</f>
        <v>Q3</v>
      </c>
      <c r="D306" s="448">
        <f t="shared" si="115"/>
        <v>45955</v>
      </c>
      <c r="E306" s="448">
        <f t="shared" si="99"/>
        <v>45961</v>
      </c>
      <c r="F306" s="97">
        <v>202539</v>
      </c>
      <c r="G306" s="241"/>
      <c r="H306" s="467"/>
      <c r="I306" s="521">
        <f t="shared" si="116"/>
        <v>0</v>
      </c>
      <c r="J306" s="467"/>
      <c r="K306" s="242"/>
      <c r="L306" s="430"/>
      <c r="M306" s="430"/>
      <c r="N306" s="469">
        <f t="shared" si="118"/>
        <v>0</v>
      </c>
      <c r="O306" s="430"/>
      <c r="P306" s="430"/>
      <c r="Q306" s="103"/>
      <c r="R306" s="429"/>
      <c r="S306" s="521">
        <f t="shared" si="117"/>
        <v>0</v>
      </c>
      <c r="T306" s="467"/>
      <c r="U306" s="242"/>
      <c r="V306" s="467"/>
      <c r="W306" s="467"/>
      <c r="X306" s="449">
        <f t="shared" si="119"/>
        <v>0</v>
      </c>
      <c r="Y306" s="467"/>
      <c r="Z306" s="242"/>
      <c r="AA306" s="523"/>
      <c r="AB306" s="523"/>
      <c r="AC306" s="449">
        <f t="shared" si="120"/>
        <v>0</v>
      </c>
      <c r="AD306" s="429"/>
      <c r="AE306" s="429"/>
      <c r="AF306" s="126"/>
      <c r="AG306" s="265" t="str">
        <f t="shared" si="100"/>
        <v/>
      </c>
      <c r="AH306" s="515" t="str">
        <f t="shared" si="101"/>
        <v/>
      </c>
      <c r="AI306" s="515" t="str">
        <f t="shared" si="102"/>
        <v/>
      </c>
      <c r="AJ306" s="515" t="str">
        <f t="shared" si="103"/>
        <v/>
      </c>
      <c r="AK306" s="187" t="str">
        <f t="shared" si="104"/>
        <v/>
      </c>
      <c r="AL306" s="266" t="str">
        <f t="shared" si="105"/>
        <v/>
      </c>
      <c r="AM306" s="516" t="str">
        <f t="shared" si="106"/>
        <v/>
      </c>
      <c r="AN306" s="516" t="str">
        <f t="shared" si="107"/>
        <v/>
      </c>
      <c r="AO306" s="516" t="str">
        <f t="shared" si="108"/>
        <v/>
      </c>
      <c r="AP306" s="267" t="str">
        <f t="shared" si="109"/>
        <v/>
      </c>
      <c r="AQ306" s="268" t="str">
        <f t="shared" si="110"/>
        <v/>
      </c>
      <c r="AR306" s="450" t="str">
        <f t="shared" si="111"/>
        <v/>
      </c>
      <c r="AS306" s="450" t="str">
        <f t="shared" si="112"/>
        <v/>
      </c>
      <c r="AT306" s="450" t="str">
        <f t="shared" si="113"/>
        <v/>
      </c>
      <c r="AU306" s="269" t="str">
        <f t="shared" si="114"/>
        <v/>
      </c>
    </row>
    <row r="307" spans="1:47" ht="15.75" customHeight="1">
      <c r="A307" s="175">
        <f t="shared" si="97"/>
        <v>2026</v>
      </c>
      <c r="B307" s="454" t="str">
        <f t="shared" si="98"/>
        <v>40</v>
      </c>
      <c r="C307" s="454" t="str">
        <f t="array" ref="C307">_xlfn.IFS(_xlfn.NUMBERVALUE(B307)&lt;=13,"Q1",AND(_xlfn.NUMBERVALUE(B307)&gt;13,_xlfn.NUMBERVALUE(B307)&lt;=26),"Q2", AND(_xlfn.NUMBERVALUE(B307)&gt;26,_xlfn.NUMBERVALUE(B307)&lt;=39),"Q3",_xlfn.NUMBERVALUE(B307)&gt;39,"Q4")</f>
        <v>Q4</v>
      </c>
      <c r="D307" s="448">
        <f t="shared" si="115"/>
        <v>45962</v>
      </c>
      <c r="E307" s="448">
        <f t="shared" si="99"/>
        <v>45968</v>
      </c>
      <c r="F307" s="97">
        <v>202540</v>
      </c>
      <c r="G307" s="241"/>
      <c r="H307" s="467"/>
      <c r="I307" s="521">
        <f t="shared" si="116"/>
        <v>0</v>
      </c>
      <c r="J307" s="467"/>
      <c r="K307" s="242"/>
      <c r="L307" s="430"/>
      <c r="M307" s="430"/>
      <c r="N307" s="469">
        <f t="shared" si="118"/>
        <v>0</v>
      </c>
      <c r="O307" s="430"/>
      <c r="P307" s="430"/>
      <c r="Q307" s="103"/>
      <c r="R307" s="429"/>
      <c r="S307" s="521">
        <f t="shared" si="117"/>
        <v>0</v>
      </c>
      <c r="T307" s="467"/>
      <c r="U307" s="242"/>
      <c r="V307" s="467"/>
      <c r="W307" s="467"/>
      <c r="X307" s="449">
        <f t="shared" si="119"/>
        <v>0</v>
      </c>
      <c r="Y307" s="467"/>
      <c r="Z307" s="242"/>
      <c r="AA307" s="523"/>
      <c r="AB307" s="523"/>
      <c r="AC307" s="449">
        <f t="shared" si="120"/>
        <v>0</v>
      </c>
      <c r="AD307" s="429"/>
      <c r="AE307" s="429"/>
      <c r="AF307" s="126"/>
      <c r="AG307" s="265" t="str">
        <f t="shared" si="100"/>
        <v/>
      </c>
      <c r="AH307" s="515" t="str">
        <f t="shared" si="101"/>
        <v/>
      </c>
      <c r="AI307" s="515" t="str">
        <f t="shared" si="102"/>
        <v/>
      </c>
      <c r="AJ307" s="515" t="str">
        <f t="shared" si="103"/>
        <v/>
      </c>
      <c r="AK307" s="187" t="str">
        <f t="shared" si="104"/>
        <v/>
      </c>
      <c r="AL307" s="266" t="str">
        <f t="shared" si="105"/>
        <v/>
      </c>
      <c r="AM307" s="516" t="str">
        <f t="shared" si="106"/>
        <v/>
      </c>
      <c r="AN307" s="516" t="str">
        <f t="shared" si="107"/>
        <v/>
      </c>
      <c r="AO307" s="516" t="str">
        <f t="shared" si="108"/>
        <v/>
      </c>
      <c r="AP307" s="267" t="str">
        <f t="shared" si="109"/>
        <v/>
      </c>
      <c r="AQ307" s="268" t="str">
        <f t="shared" si="110"/>
        <v/>
      </c>
      <c r="AR307" s="450" t="str">
        <f t="shared" si="111"/>
        <v/>
      </c>
      <c r="AS307" s="450" t="str">
        <f t="shared" si="112"/>
        <v/>
      </c>
      <c r="AT307" s="450" t="str">
        <f t="shared" si="113"/>
        <v/>
      </c>
      <c r="AU307" s="269" t="str">
        <f t="shared" si="114"/>
        <v/>
      </c>
    </row>
    <row r="308" spans="1:47" ht="15.75" customHeight="1">
      <c r="A308" s="175">
        <f t="shared" si="97"/>
        <v>2026</v>
      </c>
      <c r="B308" s="454" t="str">
        <f t="shared" si="98"/>
        <v>41</v>
      </c>
      <c r="C308" s="454" t="str">
        <f t="array" ref="C308">_xlfn.IFS(_xlfn.NUMBERVALUE(B308)&lt;=13,"Q1",AND(_xlfn.NUMBERVALUE(B308)&gt;13,_xlfn.NUMBERVALUE(B308)&lt;=26),"Q2", AND(_xlfn.NUMBERVALUE(B308)&gt;26,_xlfn.NUMBERVALUE(B308)&lt;=39),"Q3",_xlfn.NUMBERVALUE(B308)&gt;39,"Q4")</f>
        <v>Q4</v>
      </c>
      <c r="D308" s="448">
        <f t="shared" si="115"/>
        <v>45969</v>
      </c>
      <c r="E308" s="448">
        <f t="shared" si="99"/>
        <v>45975</v>
      </c>
      <c r="F308" s="97">
        <v>202541</v>
      </c>
      <c r="G308" s="241"/>
      <c r="H308" s="467"/>
      <c r="I308" s="521">
        <f t="shared" si="116"/>
        <v>0</v>
      </c>
      <c r="J308" s="467"/>
      <c r="K308" s="242"/>
      <c r="L308" s="430"/>
      <c r="M308" s="430"/>
      <c r="N308" s="469">
        <f t="shared" si="118"/>
        <v>0</v>
      </c>
      <c r="O308" s="430"/>
      <c r="P308" s="430"/>
      <c r="Q308" s="103"/>
      <c r="R308" s="429"/>
      <c r="S308" s="521">
        <f t="shared" si="117"/>
        <v>0</v>
      </c>
      <c r="T308" s="467"/>
      <c r="U308" s="242"/>
      <c r="V308" s="467"/>
      <c r="W308" s="467"/>
      <c r="X308" s="449">
        <f t="shared" si="119"/>
        <v>0</v>
      </c>
      <c r="Y308" s="467"/>
      <c r="Z308" s="242"/>
      <c r="AA308" s="523"/>
      <c r="AB308" s="523"/>
      <c r="AC308" s="449">
        <f t="shared" si="120"/>
        <v>0</v>
      </c>
      <c r="AD308" s="429"/>
      <c r="AE308" s="429"/>
      <c r="AF308" s="126"/>
      <c r="AG308" s="265" t="str">
        <f t="shared" si="100"/>
        <v/>
      </c>
      <c r="AH308" s="515" t="str">
        <f t="shared" si="101"/>
        <v/>
      </c>
      <c r="AI308" s="515" t="str">
        <f t="shared" si="102"/>
        <v/>
      </c>
      <c r="AJ308" s="515" t="str">
        <f t="shared" si="103"/>
        <v/>
      </c>
      <c r="AK308" s="187" t="str">
        <f t="shared" si="104"/>
        <v/>
      </c>
      <c r="AL308" s="266" t="str">
        <f t="shared" si="105"/>
        <v/>
      </c>
      <c r="AM308" s="516" t="str">
        <f t="shared" si="106"/>
        <v/>
      </c>
      <c r="AN308" s="516" t="str">
        <f t="shared" si="107"/>
        <v/>
      </c>
      <c r="AO308" s="516" t="str">
        <f t="shared" si="108"/>
        <v/>
      </c>
      <c r="AP308" s="267" t="str">
        <f t="shared" si="109"/>
        <v/>
      </c>
      <c r="AQ308" s="268" t="str">
        <f t="shared" si="110"/>
        <v/>
      </c>
      <c r="AR308" s="450" t="str">
        <f t="shared" si="111"/>
        <v/>
      </c>
      <c r="AS308" s="450" t="str">
        <f t="shared" si="112"/>
        <v/>
      </c>
      <c r="AT308" s="450" t="str">
        <f t="shared" si="113"/>
        <v/>
      </c>
      <c r="AU308" s="269" t="str">
        <f t="shared" si="114"/>
        <v/>
      </c>
    </row>
    <row r="309" spans="1:47" ht="15.75" customHeight="1">
      <c r="A309" s="175">
        <f t="shared" si="97"/>
        <v>2026</v>
      </c>
      <c r="B309" s="454" t="str">
        <f t="shared" si="98"/>
        <v>42</v>
      </c>
      <c r="C309" s="454" t="str">
        <f t="array" ref="C309">_xlfn.IFS(_xlfn.NUMBERVALUE(B309)&lt;=13,"Q1",AND(_xlfn.NUMBERVALUE(B309)&gt;13,_xlfn.NUMBERVALUE(B309)&lt;=26),"Q2", AND(_xlfn.NUMBERVALUE(B309)&gt;26,_xlfn.NUMBERVALUE(B309)&lt;=39),"Q3",_xlfn.NUMBERVALUE(B309)&gt;39,"Q4")</f>
        <v>Q4</v>
      </c>
      <c r="D309" s="448">
        <f t="shared" si="115"/>
        <v>45976</v>
      </c>
      <c r="E309" s="448">
        <f t="shared" si="99"/>
        <v>45982</v>
      </c>
      <c r="F309" s="97">
        <v>202542</v>
      </c>
      <c r="G309" s="241"/>
      <c r="H309" s="467"/>
      <c r="I309" s="521">
        <f t="shared" si="116"/>
        <v>0</v>
      </c>
      <c r="J309" s="467"/>
      <c r="K309" s="242"/>
      <c r="L309" s="430"/>
      <c r="M309" s="430"/>
      <c r="N309" s="469">
        <f t="shared" si="118"/>
        <v>0</v>
      </c>
      <c r="O309" s="430"/>
      <c r="P309" s="430"/>
      <c r="Q309" s="103"/>
      <c r="R309" s="429"/>
      <c r="S309" s="521">
        <f t="shared" si="117"/>
        <v>0</v>
      </c>
      <c r="T309" s="467"/>
      <c r="U309" s="242"/>
      <c r="V309" s="467"/>
      <c r="W309" s="467"/>
      <c r="X309" s="449">
        <f t="shared" si="119"/>
        <v>0</v>
      </c>
      <c r="Y309" s="467"/>
      <c r="Z309" s="242"/>
      <c r="AA309" s="523"/>
      <c r="AB309" s="523"/>
      <c r="AC309" s="449">
        <f t="shared" si="120"/>
        <v>0</v>
      </c>
      <c r="AD309" s="429"/>
      <c r="AE309" s="429"/>
      <c r="AF309" s="126"/>
      <c r="AG309" s="265" t="str">
        <f t="shared" si="100"/>
        <v/>
      </c>
      <c r="AH309" s="515" t="str">
        <f t="shared" si="101"/>
        <v/>
      </c>
      <c r="AI309" s="515" t="str">
        <f t="shared" si="102"/>
        <v/>
      </c>
      <c r="AJ309" s="515" t="str">
        <f t="shared" si="103"/>
        <v/>
      </c>
      <c r="AK309" s="187" t="str">
        <f t="shared" si="104"/>
        <v/>
      </c>
      <c r="AL309" s="266" t="str">
        <f t="shared" si="105"/>
        <v/>
      </c>
      <c r="AM309" s="516" t="str">
        <f t="shared" si="106"/>
        <v/>
      </c>
      <c r="AN309" s="516" t="str">
        <f t="shared" si="107"/>
        <v/>
      </c>
      <c r="AO309" s="516" t="str">
        <f t="shared" si="108"/>
        <v/>
      </c>
      <c r="AP309" s="267" t="str">
        <f t="shared" si="109"/>
        <v/>
      </c>
      <c r="AQ309" s="268" t="str">
        <f t="shared" si="110"/>
        <v/>
      </c>
      <c r="AR309" s="450" t="str">
        <f t="shared" si="111"/>
        <v/>
      </c>
      <c r="AS309" s="450" t="str">
        <f t="shared" si="112"/>
        <v/>
      </c>
      <c r="AT309" s="450" t="str">
        <f t="shared" si="113"/>
        <v/>
      </c>
      <c r="AU309" s="269" t="str">
        <f t="shared" si="114"/>
        <v/>
      </c>
    </row>
    <row r="310" spans="1:47" ht="15.75" customHeight="1">
      <c r="A310" s="175">
        <f t="shared" si="97"/>
        <v>2026</v>
      </c>
      <c r="B310" s="454" t="str">
        <f t="shared" si="98"/>
        <v>43</v>
      </c>
      <c r="C310" s="454" t="str">
        <f t="array" ref="C310">_xlfn.IFS(_xlfn.NUMBERVALUE(B310)&lt;=13,"Q1",AND(_xlfn.NUMBERVALUE(B310)&gt;13,_xlfn.NUMBERVALUE(B310)&lt;=26),"Q2", AND(_xlfn.NUMBERVALUE(B310)&gt;26,_xlfn.NUMBERVALUE(B310)&lt;=39),"Q3",_xlfn.NUMBERVALUE(B310)&gt;39,"Q4")</f>
        <v>Q4</v>
      </c>
      <c r="D310" s="448">
        <f t="shared" si="115"/>
        <v>45983</v>
      </c>
      <c r="E310" s="448">
        <f t="shared" si="99"/>
        <v>45989</v>
      </c>
      <c r="F310" s="97">
        <v>202543</v>
      </c>
      <c r="G310" s="241"/>
      <c r="H310" s="467"/>
      <c r="I310" s="521">
        <f t="shared" si="116"/>
        <v>0</v>
      </c>
      <c r="J310" s="467"/>
      <c r="K310" s="242"/>
      <c r="L310" s="430"/>
      <c r="M310" s="430"/>
      <c r="N310" s="469">
        <f t="shared" si="118"/>
        <v>0</v>
      </c>
      <c r="O310" s="430"/>
      <c r="P310" s="430"/>
      <c r="Q310" s="103"/>
      <c r="R310" s="429"/>
      <c r="S310" s="521">
        <f t="shared" si="117"/>
        <v>0</v>
      </c>
      <c r="T310" s="467"/>
      <c r="U310" s="242"/>
      <c r="V310" s="467"/>
      <c r="W310" s="467"/>
      <c r="X310" s="449">
        <f t="shared" si="119"/>
        <v>0</v>
      </c>
      <c r="Y310" s="467"/>
      <c r="Z310" s="242"/>
      <c r="AA310" s="523"/>
      <c r="AB310" s="523"/>
      <c r="AC310" s="449">
        <f t="shared" si="120"/>
        <v>0</v>
      </c>
      <c r="AD310" s="429"/>
      <c r="AE310" s="429"/>
      <c r="AF310" s="126"/>
      <c r="AG310" s="265" t="str">
        <f t="shared" si="100"/>
        <v/>
      </c>
      <c r="AH310" s="515" t="str">
        <f t="shared" si="101"/>
        <v/>
      </c>
      <c r="AI310" s="515" t="str">
        <f t="shared" si="102"/>
        <v/>
      </c>
      <c r="AJ310" s="515" t="str">
        <f t="shared" si="103"/>
        <v/>
      </c>
      <c r="AK310" s="187" t="str">
        <f t="shared" si="104"/>
        <v/>
      </c>
      <c r="AL310" s="266" t="str">
        <f t="shared" si="105"/>
        <v/>
      </c>
      <c r="AM310" s="516" t="str">
        <f t="shared" si="106"/>
        <v/>
      </c>
      <c r="AN310" s="516" t="str">
        <f t="shared" si="107"/>
        <v/>
      </c>
      <c r="AO310" s="516" t="str">
        <f t="shared" si="108"/>
        <v/>
      </c>
      <c r="AP310" s="267" t="str">
        <f t="shared" si="109"/>
        <v/>
      </c>
      <c r="AQ310" s="268" t="str">
        <f t="shared" si="110"/>
        <v/>
      </c>
      <c r="AR310" s="450" t="str">
        <f t="shared" si="111"/>
        <v/>
      </c>
      <c r="AS310" s="450" t="str">
        <f t="shared" si="112"/>
        <v/>
      </c>
      <c r="AT310" s="450" t="str">
        <f t="shared" si="113"/>
        <v/>
      </c>
      <c r="AU310" s="269" t="str">
        <f t="shared" si="114"/>
        <v/>
      </c>
    </row>
    <row r="311" spans="1:47" ht="15.75" customHeight="1">
      <c r="A311" s="175">
        <f t="shared" si="97"/>
        <v>2026</v>
      </c>
      <c r="B311" s="454" t="str">
        <f t="shared" si="98"/>
        <v>44</v>
      </c>
      <c r="C311" s="454" t="str">
        <f t="array" ref="C311">_xlfn.IFS(_xlfn.NUMBERVALUE(B311)&lt;=13,"Q1",AND(_xlfn.NUMBERVALUE(B311)&gt;13,_xlfn.NUMBERVALUE(B311)&lt;=26),"Q2", AND(_xlfn.NUMBERVALUE(B311)&gt;26,_xlfn.NUMBERVALUE(B311)&lt;=39),"Q3",_xlfn.NUMBERVALUE(B311)&gt;39,"Q4")</f>
        <v>Q4</v>
      </c>
      <c r="D311" s="448">
        <f t="shared" si="115"/>
        <v>45990</v>
      </c>
      <c r="E311" s="448">
        <f t="shared" si="99"/>
        <v>45996</v>
      </c>
      <c r="F311" s="97">
        <v>202544</v>
      </c>
      <c r="G311" s="241"/>
      <c r="H311" s="467"/>
      <c r="I311" s="521">
        <f t="shared" si="116"/>
        <v>0</v>
      </c>
      <c r="J311" s="467"/>
      <c r="K311" s="242"/>
      <c r="L311" s="430"/>
      <c r="M311" s="430"/>
      <c r="N311" s="469">
        <f t="shared" si="118"/>
        <v>0</v>
      </c>
      <c r="O311" s="430"/>
      <c r="P311" s="430"/>
      <c r="Q311" s="103"/>
      <c r="R311" s="429"/>
      <c r="S311" s="521">
        <f t="shared" si="117"/>
        <v>0</v>
      </c>
      <c r="T311" s="467"/>
      <c r="U311" s="242"/>
      <c r="V311" s="467"/>
      <c r="W311" s="467"/>
      <c r="X311" s="449">
        <f t="shared" si="119"/>
        <v>0</v>
      </c>
      <c r="Y311" s="467"/>
      <c r="Z311" s="242"/>
      <c r="AA311" s="523"/>
      <c r="AB311" s="523"/>
      <c r="AC311" s="449">
        <f t="shared" si="120"/>
        <v>0</v>
      </c>
      <c r="AD311" s="429"/>
      <c r="AE311" s="429"/>
      <c r="AF311" s="126"/>
      <c r="AG311" s="265" t="str">
        <f t="shared" si="100"/>
        <v/>
      </c>
      <c r="AH311" s="515" t="str">
        <f t="shared" si="101"/>
        <v/>
      </c>
      <c r="AI311" s="515" t="str">
        <f t="shared" si="102"/>
        <v/>
      </c>
      <c r="AJ311" s="515" t="str">
        <f t="shared" si="103"/>
        <v/>
      </c>
      <c r="AK311" s="187" t="str">
        <f t="shared" si="104"/>
        <v/>
      </c>
      <c r="AL311" s="266" t="str">
        <f t="shared" si="105"/>
        <v/>
      </c>
      <c r="AM311" s="516" t="str">
        <f t="shared" si="106"/>
        <v/>
      </c>
      <c r="AN311" s="516" t="str">
        <f t="shared" si="107"/>
        <v/>
      </c>
      <c r="AO311" s="516" t="str">
        <f t="shared" si="108"/>
        <v/>
      </c>
      <c r="AP311" s="267" t="str">
        <f t="shared" si="109"/>
        <v/>
      </c>
      <c r="AQ311" s="268" t="str">
        <f t="shared" si="110"/>
        <v/>
      </c>
      <c r="AR311" s="450" t="str">
        <f t="shared" si="111"/>
        <v/>
      </c>
      <c r="AS311" s="450" t="str">
        <f t="shared" si="112"/>
        <v/>
      </c>
      <c r="AT311" s="450" t="str">
        <f t="shared" si="113"/>
        <v/>
      </c>
      <c r="AU311" s="269" t="str">
        <f t="shared" si="114"/>
        <v/>
      </c>
    </row>
    <row r="312" spans="1:47" ht="15.75" customHeight="1">
      <c r="A312" s="175">
        <f t="shared" si="97"/>
        <v>2026</v>
      </c>
      <c r="B312" s="454" t="str">
        <f t="shared" si="98"/>
        <v>45</v>
      </c>
      <c r="C312" s="454" t="str">
        <f t="array" ref="C312">_xlfn.IFS(_xlfn.NUMBERVALUE(B312)&lt;=13,"Q1",AND(_xlfn.NUMBERVALUE(B312)&gt;13,_xlfn.NUMBERVALUE(B312)&lt;=26),"Q2", AND(_xlfn.NUMBERVALUE(B312)&gt;26,_xlfn.NUMBERVALUE(B312)&lt;=39),"Q3",_xlfn.NUMBERVALUE(B312)&gt;39,"Q4")</f>
        <v>Q4</v>
      </c>
      <c r="D312" s="448">
        <f t="shared" si="115"/>
        <v>45997</v>
      </c>
      <c r="E312" s="448">
        <f t="shared" si="99"/>
        <v>46003</v>
      </c>
      <c r="F312" s="97">
        <v>202545</v>
      </c>
      <c r="G312" s="241"/>
      <c r="H312" s="467"/>
      <c r="I312" s="521">
        <f t="shared" si="116"/>
        <v>0</v>
      </c>
      <c r="J312" s="467"/>
      <c r="K312" s="242"/>
      <c r="L312" s="430"/>
      <c r="M312" s="430"/>
      <c r="N312" s="469">
        <f t="shared" si="118"/>
        <v>0</v>
      </c>
      <c r="O312" s="430"/>
      <c r="P312" s="430"/>
      <c r="Q312" s="103"/>
      <c r="R312" s="429"/>
      <c r="S312" s="521">
        <f t="shared" si="117"/>
        <v>0</v>
      </c>
      <c r="T312" s="467"/>
      <c r="U312" s="242"/>
      <c r="V312" s="467"/>
      <c r="W312" s="467"/>
      <c r="X312" s="449">
        <f t="shared" si="119"/>
        <v>0</v>
      </c>
      <c r="Y312" s="467"/>
      <c r="Z312" s="242"/>
      <c r="AA312" s="523"/>
      <c r="AB312" s="523"/>
      <c r="AC312" s="449">
        <f t="shared" si="120"/>
        <v>0</v>
      </c>
      <c r="AD312" s="429"/>
      <c r="AE312" s="429"/>
      <c r="AF312" s="126"/>
      <c r="AG312" s="265" t="str">
        <f t="shared" si="100"/>
        <v/>
      </c>
      <c r="AH312" s="515" t="str">
        <f t="shared" si="101"/>
        <v/>
      </c>
      <c r="AI312" s="515" t="str">
        <f t="shared" si="102"/>
        <v/>
      </c>
      <c r="AJ312" s="515" t="str">
        <f t="shared" si="103"/>
        <v/>
      </c>
      <c r="AK312" s="187" t="str">
        <f t="shared" si="104"/>
        <v/>
      </c>
      <c r="AL312" s="266" t="str">
        <f t="shared" si="105"/>
        <v/>
      </c>
      <c r="AM312" s="516" t="str">
        <f t="shared" si="106"/>
        <v/>
      </c>
      <c r="AN312" s="516" t="str">
        <f t="shared" si="107"/>
        <v/>
      </c>
      <c r="AO312" s="516" t="str">
        <f t="shared" si="108"/>
        <v/>
      </c>
      <c r="AP312" s="267" t="str">
        <f t="shared" si="109"/>
        <v/>
      </c>
      <c r="AQ312" s="268" t="str">
        <f t="shared" si="110"/>
        <v/>
      </c>
      <c r="AR312" s="450" t="str">
        <f t="shared" si="111"/>
        <v/>
      </c>
      <c r="AS312" s="450" t="str">
        <f t="shared" si="112"/>
        <v/>
      </c>
      <c r="AT312" s="450" t="str">
        <f t="shared" si="113"/>
        <v/>
      </c>
      <c r="AU312" s="269" t="str">
        <f t="shared" si="114"/>
        <v/>
      </c>
    </row>
    <row r="313" spans="1:47" ht="15.75" customHeight="1">
      <c r="A313" s="175">
        <f t="shared" si="97"/>
        <v>2026</v>
      </c>
      <c r="B313" s="454" t="str">
        <f t="shared" si="98"/>
        <v>46</v>
      </c>
      <c r="C313" s="454" t="str">
        <f t="array" ref="C313">_xlfn.IFS(_xlfn.NUMBERVALUE(B313)&lt;=13,"Q1",AND(_xlfn.NUMBERVALUE(B313)&gt;13,_xlfn.NUMBERVALUE(B313)&lt;=26),"Q2", AND(_xlfn.NUMBERVALUE(B313)&gt;26,_xlfn.NUMBERVALUE(B313)&lt;=39),"Q3",_xlfn.NUMBERVALUE(B313)&gt;39,"Q4")</f>
        <v>Q4</v>
      </c>
      <c r="D313" s="448">
        <f t="shared" si="115"/>
        <v>46004</v>
      </c>
      <c r="E313" s="448">
        <f t="shared" si="99"/>
        <v>46010</v>
      </c>
      <c r="F313" s="97">
        <v>202546</v>
      </c>
      <c r="G313" s="241"/>
      <c r="H313" s="467"/>
      <c r="I313" s="521">
        <f t="shared" si="116"/>
        <v>0</v>
      </c>
      <c r="J313" s="467"/>
      <c r="K313" s="242"/>
      <c r="L313" s="430"/>
      <c r="M313" s="430"/>
      <c r="N313" s="469">
        <f t="shared" si="118"/>
        <v>0</v>
      </c>
      <c r="O313" s="430"/>
      <c r="P313" s="430"/>
      <c r="Q313" s="103"/>
      <c r="R313" s="429"/>
      <c r="S313" s="521">
        <f t="shared" si="117"/>
        <v>0</v>
      </c>
      <c r="T313" s="467"/>
      <c r="U313" s="242"/>
      <c r="V313" s="467"/>
      <c r="W313" s="467"/>
      <c r="X313" s="449">
        <f t="shared" si="119"/>
        <v>0</v>
      </c>
      <c r="Y313" s="467"/>
      <c r="Z313" s="242"/>
      <c r="AA313" s="523"/>
      <c r="AB313" s="523"/>
      <c r="AC313" s="449">
        <f t="shared" si="120"/>
        <v>0</v>
      </c>
      <c r="AD313" s="429"/>
      <c r="AE313" s="429"/>
      <c r="AF313" s="126"/>
      <c r="AG313" s="265" t="str">
        <f t="shared" si="100"/>
        <v/>
      </c>
      <c r="AH313" s="515" t="str">
        <f t="shared" si="101"/>
        <v/>
      </c>
      <c r="AI313" s="515" t="str">
        <f t="shared" si="102"/>
        <v/>
      </c>
      <c r="AJ313" s="515" t="str">
        <f t="shared" si="103"/>
        <v/>
      </c>
      <c r="AK313" s="187" t="str">
        <f t="shared" si="104"/>
        <v/>
      </c>
      <c r="AL313" s="266" t="str">
        <f t="shared" si="105"/>
        <v/>
      </c>
      <c r="AM313" s="516" t="str">
        <f t="shared" si="106"/>
        <v/>
      </c>
      <c r="AN313" s="516" t="str">
        <f t="shared" si="107"/>
        <v/>
      </c>
      <c r="AO313" s="516" t="str">
        <f t="shared" si="108"/>
        <v/>
      </c>
      <c r="AP313" s="267" t="str">
        <f t="shared" si="109"/>
        <v/>
      </c>
      <c r="AQ313" s="268" t="str">
        <f t="shared" si="110"/>
        <v/>
      </c>
      <c r="AR313" s="450" t="str">
        <f t="shared" si="111"/>
        <v/>
      </c>
      <c r="AS313" s="450" t="str">
        <f t="shared" si="112"/>
        <v/>
      </c>
      <c r="AT313" s="450" t="str">
        <f t="shared" si="113"/>
        <v/>
      </c>
      <c r="AU313" s="269" t="str">
        <f t="shared" si="114"/>
        <v/>
      </c>
    </row>
    <row r="314" spans="1:47" ht="15.75" customHeight="1">
      <c r="A314" s="175">
        <f t="shared" si="97"/>
        <v>2026</v>
      </c>
      <c r="B314" s="454" t="str">
        <f t="shared" si="98"/>
        <v>47</v>
      </c>
      <c r="C314" s="454" t="str">
        <f t="array" ref="C314">_xlfn.IFS(_xlfn.NUMBERVALUE(B314)&lt;=13,"Q1",AND(_xlfn.NUMBERVALUE(B314)&gt;13,_xlfn.NUMBERVALUE(B314)&lt;=26),"Q2", AND(_xlfn.NUMBERVALUE(B314)&gt;26,_xlfn.NUMBERVALUE(B314)&lt;=39),"Q3",_xlfn.NUMBERVALUE(B314)&gt;39,"Q4")</f>
        <v>Q4</v>
      </c>
      <c r="D314" s="448">
        <f t="shared" si="115"/>
        <v>46011</v>
      </c>
      <c r="E314" s="448">
        <f t="shared" si="99"/>
        <v>46017</v>
      </c>
      <c r="F314" s="97">
        <v>202547</v>
      </c>
      <c r="G314" s="241"/>
      <c r="H314" s="467"/>
      <c r="I314" s="521">
        <f t="shared" si="116"/>
        <v>0</v>
      </c>
      <c r="J314" s="467"/>
      <c r="K314" s="242"/>
      <c r="L314" s="430"/>
      <c r="M314" s="430"/>
      <c r="N314" s="469">
        <f t="shared" si="118"/>
        <v>0</v>
      </c>
      <c r="O314" s="430"/>
      <c r="P314" s="430"/>
      <c r="Q314" s="103"/>
      <c r="R314" s="429"/>
      <c r="S314" s="521">
        <f t="shared" si="117"/>
        <v>0</v>
      </c>
      <c r="T314" s="467"/>
      <c r="U314" s="242"/>
      <c r="V314" s="467"/>
      <c r="W314" s="467"/>
      <c r="X314" s="449">
        <f t="shared" si="119"/>
        <v>0</v>
      </c>
      <c r="Y314" s="467"/>
      <c r="Z314" s="242"/>
      <c r="AA314" s="523"/>
      <c r="AB314" s="523"/>
      <c r="AC314" s="449">
        <f t="shared" si="120"/>
        <v>0</v>
      </c>
      <c r="AD314" s="429"/>
      <c r="AE314" s="429"/>
      <c r="AF314" s="126"/>
      <c r="AG314" s="265" t="str">
        <f t="shared" si="100"/>
        <v/>
      </c>
      <c r="AH314" s="515" t="str">
        <f t="shared" si="101"/>
        <v/>
      </c>
      <c r="AI314" s="515" t="str">
        <f t="shared" si="102"/>
        <v/>
      </c>
      <c r="AJ314" s="515" t="str">
        <f t="shared" si="103"/>
        <v/>
      </c>
      <c r="AK314" s="187" t="str">
        <f t="shared" si="104"/>
        <v/>
      </c>
      <c r="AL314" s="266" t="str">
        <f t="shared" si="105"/>
        <v/>
      </c>
      <c r="AM314" s="516" t="str">
        <f t="shared" si="106"/>
        <v/>
      </c>
      <c r="AN314" s="516" t="str">
        <f t="shared" si="107"/>
        <v/>
      </c>
      <c r="AO314" s="516" t="str">
        <f t="shared" si="108"/>
        <v/>
      </c>
      <c r="AP314" s="267" t="str">
        <f t="shared" si="109"/>
        <v/>
      </c>
      <c r="AQ314" s="268" t="str">
        <f t="shared" si="110"/>
        <v/>
      </c>
      <c r="AR314" s="450" t="str">
        <f t="shared" si="111"/>
        <v/>
      </c>
      <c r="AS314" s="450" t="str">
        <f t="shared" si="112"/>
        <v/>
      </c>
      <c r="AT314" s="450" t="str">
        <f t="shared" si="113"/>
        <v/>
      </c>
      <c r="AU314" s="269" t="str">
        <f t="shared" si="114"/>
        <v/>
      </c>
    </row>
    <row r="315" spans="1:47" ht="15.75" customHeight="1">
      <c r="A315" s="175">
        <f t="shared" si="97"/>
        <v>2026</v>
      </c>
      <c r="B315" s="454" t="str">
        <f t="shared" si="98"/>
        <v>48</v>
      </c>
      <c r="C315" s="454" t="str">
        <f t="array" ref="C315">_xlfn.IFS(_xlfn.NUMBERVALUE(B315)&lt;=13,"Q1",AND(_xlfn.NUMBERVALUE(B315)&gt;13,_xlfn.NUMBERVALUE(B315)&lt;=26),"Q2", AND(_xlfn.NUMBERVALUE(B315)&gt;26,_xlfn.NUMBERVALUE(B315)&lt;=39),"Q3",_xlfn.NUMBERVALUE(B315)&gt;39,"Q4")</f>
        <v>Q4</v>
      </c>
      <c r="D315" s="448">
        <f t="shared" si="115"/>
        <v>46018</v>
      </c>
      <c r="E315" s="448">
        <f t="shared" si="99"/>
        <v>46024</v>
      </c>
      <c r="F315" s="97">
        <v>202548</v>
      </c>
      <c r="G315" s="241"/>
      <c r="H315" s="467"/>
      <c r="I315" s="521">
        <f t="shared" si="116"/>
        <v>0</v>
      </c>
      <c r="J315" s="467"/>
      <c r="K315" s="242"/>
      <c r="L315" s="430"/>
      <c r="M315" s="430"/>
      <c r="N315" s="469">
        <f t="shared" si="118"/>
        <v>0</v>
      </c>
      <c r="O315" s="430"/>
      <c r="P315" s="430"/>
      <c r="Q315" s="103"/>
      <c r="R315" s="429"/>
      <c r="S315" s="521">
        <f t="shared" si="117"/>
        <v>0</v>
      </c>
      <c r="T315" s="467"/>
      <c r="U315" s="242"/>
      <c r="V315" s="467"/>
      <c r="W315" s="467"/>
      <c r="X315" s="449">
        <f t="shared" si="119"/>
        <v>0</v>
      </c>
      <c r="Y315" s="467"/>
      <c r="Z315" s="242"/>
      <c r="AA315" s="523"/>
      <c r="AB315" s="523"/>
      <c r="AC315" s="449">
        <f t="shared" si="120"/>
        <v>0</v>
      </c>
      <c r="AD315" s="429"/>
      <c r="AE315" s="429"/>
      <c r="AF315" s="126"/>
      <c r="AG315" s="265" t="str">
        <f t="shared" si="100"/>
        <v/>
      </c>
      <c r="AH315" s="515" t="str">
        <f t="shared" si="101"/>
        <v/>
      </c>
      <c r="AI315" s="515" t="str">
        <f t="shared" si="102"/>
        <v/>
      </c>
      <c r="AJ315" s="515" t="str">
        <f t="shared" si="103"/>
        <v/>
      </c>
      <c r="AK315" s="187" t="str">
        <f t="shared" si="104"/>
        <v/>
      </c>
      <c r="AL315" s="266" t="str">
        <f t="shared" si="105"/>
        <v/>
      </c>
      <c r="AM315" s="516" t="str">
        <f t="shared" si="106"/>
        <v/>
      </c>
      <c r="AN315" s="516" t="str">
        <f t="shared" si="107"/>
        <v/>
      </c>
      <c r="AO315" s="516" t="str">
        <f t="shared" si="108"/>
        <v/>
      </c>
      <c r="AP315" s="267" t="str">
        <f t="shared" si="109"/>
        <v/>
      </c>
      <c r="AQ315" s="268" t="str">
        <f t="shared" si="110"/>
        <v/>
      </c>
      <c r="AR315" s="450" t="str">
        <f t="shared" si="111"/>
        <v/>
      </c>
      <c r="AS315" s="450" t="str">
        <f t="shared" si="112"/>
        <v/>
      </c>
      <c r="AT315" s="450" t="str">
        <f t="shared" si="113"/>
        <v/>
      </c>
      <c r="AU315" s="269" t="str">
        <f t="shared" si="114"/>
        <v/>
      </c>
    </row>
    <row r="316" spans="1:47" ht="15.75" customHeight="1">
      <c r="A316" s="175">
        <f t="shared" si="97"/>
        <v>2026</v>
      </c>
      <c r="B316" s="454" t="str">
        <f t="shared" si="98"/>
        <v>49</v>
      </c>
      <c r="C316" s="454" t="str">
        <f t="array" ref="C316">_xlfn.IFS(_xlfn.NUMBERVALUE(B316)&lt;=13,"Q1",AND(_xlfn.NUMBERVALUE(B316)&gt;13,_xlfn.NUMBERVALUE(B316)&lt;=26),"Q2", AND(_xlfn.NUMBERVALUE(B316)&gt;26,_xlfn.NUMBERVALUE(B316)&lt;=39),"Q3",_xlfn.NUMBERVALUE(B316)&gt;39,"Q4")</f>
        <v>Q4</v>
      </c>
      <c r="D316" s="448">
        <f t="shared" si="115"/>
        <v>46025</v>
      </c>
      <c r="E316" s="448">
        <f t="shared" si="99"/>
        <v>46031</v>
      </c>
      <c r="F316" s="97">
        <v>202549</v>
      </c>
      <c r="G316" s="241"/>
      <c r="H316" s="467"/>
      <c r="I316" s="521">
        <f t="shared" si="116"/>
        <v>0</v>
      </c>
      <c r="J316" s="467"/>
      <c r="K316" s="242"/>
      <c r="L316" s="430"/>
      <c r="M316" s="430"/>
      <c r="N316" s="469">
        <f t="shared" si="118"/>
        <v>0</v>
      </c>
      <c r="O316" s="430"/>
      <c r="P316" s="430"/>
      <c r="Q316" s="103"/>
      <c r="R316" s="429"/>
      <c r="S316" s="521">
        <f t="shared" si="117"/>
        <v>0</v>
      </c>
      <c r="T316" s="467"/>
      <c r="U316" s="242"/>
      <c r="V316" s="467"/>
      <c r="W316" s="467"/>
      <c r="X316" s="449">
        <f t="shared" si="119"/>
        <v>0</v>
      </c>
      <c r="Y316" s="467"/>
      <c r="Z316" s="242"/>
      <c r="AA316" s="523"/>
      <c r="AB316" s="523"/>
      <c r="AC316" s="449">
        <f t="shared" si="120"/>
        <v>0</v>
      </c>
      <c r="AD316" s="429"/>
      <c r="AE316" s="429"/>
      <c r="AF316" s="126"/>
      <c r="AG316" s="265" t="str">
        <f t="shared" si="100"/>
        <v/>
      </c>
      <c r="AH316" s="515" t="str">
        <f t="shared" si="101"/>
        <v/>
      </c>
      <c r="AI316" s="515" t="str">
        <f t="shared" si="102"/>
        <v/>
      </c>
      <c r="AJ316" s="515" t="str">
        <f t="shared" si="103"/>
        <v/>
      </c>
      <c r="AK316" s="187" t="str">
        <f t="shared" si="104"/>
        <v/>
      </c>
      <c r="AL316" s="266" t="str">
        <f t="shared" si="105"/>
        <v/>
      </c>
      <c r="AM316" s="516" t="str">
        <f t="shared" si="106"/>
        <v/>
      </c>
      <c r="AN316" s="516" t="str">
        <f t="shared" si="107"/>
        <v/>
      </c>
      <c r="AO316" s="516" t="str">
        <f t="shared" si="108"/>
        <v/>
      </c>
      <c r="AP316" s="267" t="str">
        <f t="shared" si="109"/>
        <v/>
      </c>
      <c r="AQ316" s="268" t="str">
        <f t="shared" si="110"/>
        <v/>
      </c>
      <c r="AR316" s="450" t="str">
        <f t="shared" si="111"/>
        <v/>
      </c>
      <c r="AS316" s="450" t="str">
        <f t="shared" si="112"/>
        <v/>
      </c>
      <c r="AT316" s="450" t="str">
        <f t="shared" si="113"/>
        <v/>
      </c>
      <c r="AU316" s="269" t="str">
        <f t="shared" si="114"/>
        <v/>
      </c>
    </row>
    <row r="317" spans="1:47" ht="15.75" customHeight="1">
      <c r="A317" s="175">
        <f t="shared" si="97"/>
        <v>2026</v>
      </c>
      <c r="B317" s="454" t="str">
        <f t="shared" si="98"/>
        <v>50</v>
      </c>
      <c r="C317" s="454" t="str">
        <f t="array" ref="C317">_xlfn.IFS(_xlfn.NUMBERVALUE(B317)&lt;=13,"Q1",AND(_xlfn.NUMBERVALUE(B317)&gt;13,_xlfn.NUMBERVALUE(B317)&lt;=26),"Q2", AND(_xlfn.NUMBERVALUE(B317)&gt;26,_xlfn.NUMBERVALUE(B317)&lt;=39),"Q3",_xlfn.NUMBERVALUE(B317)&gt;39,"Q4")</f>
        <v>Q4</v>
      </c>
      <c r="D317" s="448">
        <f t="shared" si="115"/>
        <v>46032</v>
      </c>
      <c r="E317" s="448">
        <f t="shared" si="99"/>
        <v>46038</v>
      </c>
      <c r="F317" s="97">
        <v>202550</v>
      </c>
      <c r="G317" s="241"/>
      <c r="H317" s="467"/>
      <c r="I317" s="521">
        <f t="shared" si="116"/>
        <v>0</v>
      </c>
      <c r="J317" s="467"/>
      <c r="K317" s="242"/>
      <c r="L317" s="430"/>
      <c r="M317" s="430"/>
      <c r="N317" s="469">
        <f t="shared" si="118"/>
        <v>0</v>
      </c>
      <c r="O317" s="430"/>
      <c r="P317" s="430"/>
      <c r="Q317" s="103"/>
      <c r="R317" s="429"/>
      <c r="S317" s="521">
        <f t="shared" si="117"/>
        <v>0</v>
      </c>
      <c r="T317" s="467"/>
      <c r="U317" s="242"/>
      <c r="V317" s="467"/>
      <c r="W317" s="467"/>
      <c r="X317" s="449">
        <f t="shared" si="119"/>
        <v>0</v>
      </c>
      <c r="Y317" s="467"/>
      <c r="Z317" s="242"/>
      <c r="AA317" s="523"/>
      <c r="AB317" s="523"/>
      <c r="AC317" s="449">
        <f t="shared" si="120"/>
        <v>0</v>
      </c>
      <c r="AD317" s="429"/>
      <c r="AE317" s="429"/>
      <c r="AF317" s="126"/>
      <c r="AG317" s="265" t="str">
        <f t="shared" si="100"/>
        <v/>
      </c>
      <c r="AH317" s="515" t="str">
        <f t="shared" si="101"/>
        <v/>
      </c>
      <c r="AI317" s="515" t="str">
        <f t="shared" si="102"/>
        <v/>
      </c>
      <c r="AJ317" s="515" t="str">
        <f t="shared" si="103"/>
        <v/>
      </c>
      <c r="AK317" s="187" t="str">
        <f t="shared" si="104"/>
        <v/>
      </c>
      <c r="AL317" s="266" t="str">
        <f t="shared" si="105"/>
        <v/>
      </c>
      <c r="AM317" s="516" t="str">
        <f t="shared" si="106"/>
        <v/>
      </c>
      <c r="AN317" s="516" t="str">
        <f t="shared" si="107"/>
        <v/>
      </c>
      <c r="AO317" s="516" t="str">
        <f t="shared" si="108"/>
        <v/>
      </c>
      <c r="AP317" s="267" t="str">
        <f t="shared" si="109"/>
        <v/>
      </c>
      <c r="AQ317" s="268" t="str">
        <f t="shared" si="110"/>
        <v/>
      </c>
      <c r="AR317" s="450" t="str">
        <f t="shared" si="111"/>
        <v/>
      </c>
      <c r="AS317" s="450" t="str">
        <f t="shared" si="112"/>
        <v/>
      </c>
      <c r="AT317" s="450" t="str">
        <f t="shared" si="113"/>
        <v/>
      </c>
      <c r="AU317" s="269" t="str">
        <f t="shared" si="114"/>
        <v/>
      </c>
    </row>
    <row r="318" spans="1:47" ht="15.75" customHeight="1">
      <c r="A318" s="175">
        <f t="shared" si="97"/>
        <v>2026</v>
      </c>
      <c r="B318" s="454" t="str">
        <f t="shared" si="98"/>
        <v>51</v>
      </c>
      <c r="C318" s="454" t="str">
        <f t="array" ref="C318">_xlfn.IFS(_xlfn.NUMBERVALUE(B318)&lt;=13,"Q1",AND(_xlfn.NUMBERVALUE(B318)&gt;13,_xlfn.NUMBERVALUE(B318)&lt;=26),"Q2", AND(_xlfn.NUMBERVALUE(B318)&gt;26,_xlfn.NUMBERVALUE(B318)&lt;=39),"Q3",_xlfn.NUMBERVALUE(B318)&gt;39,"Q4")</f>
        <v>Q4</v>
      </c>
      <c r="D318" s="448">
        <f t="shared" si="115"/>
        <v>46039</v>
      </c>
      <c r="E318" s="448">
        <f t="shared" si="99"/>
        <v>46045</v>
      </c>
      <c r="F318" s="97">
        <v>202551</v>
      </c>
      <c r="G318" s="241"/>
      <c r="H318" s="467"/>
      <c r="I318" s="521">
        <f t="shared" si="116"/>
        <v>0</v>
      </c>
      <c r="J318" s="467"/>
      <c r="K318" s="242"/>
      <c r="L318" s="430"/>
      <c r="M318" s="430"/>
      <c r="N318" s="469">
        <f t="shared" si="118"/>
        <v>0</v>
      </c>
      <c r="O318" s="430"/>
      <c r="P318" s="430"/>
      <c r="Q318" s="103"/>
      <c r="R318" s="429"/>
      <c r="S318" s="521">
        <f t="shared" si="117"/>
        <v>0</v>
      </c>
      <c r="T318" s="467"/>
      <c r="U318" s="242"/>
      <c r="V318" s="467"/>
      <c r="W318" s="467"/>
      <c r="X318" s="449">
        <f t="shared" si="119"/>
        <v>0</v>
      </c>
      <c r="Y318" s="467"/>
      <c r="Z318" s="242"/>
      <c r="AA318" s="523"/>
      <c r="AB318" s="523"/>
      <c r="AC318" s="449">
        <f t="shared" si="120"/>
        <v>0</v>
      </c>
      <c r="AD318" s="429"/>
      <c r="AE318" s="429"/>
      <c r="AF318" s="126"/>
      <c r="AG318" s="265" t="str">
        <f t="shared" si="100"/>
        <v/>
      </c>
      <c r="AH318" s="515" t="str">
        <f t="shared" si="101"/>
        <v/>
      </c>
      <c r="AI318" s="515" t="str">
        <f t="shared" si="102"/>
        <v/>
      </c>
      <c r="AJ318" s="515" t="str">
        <f t="shared" si="103"/>
        <v/>
      </c>
      <c r="AK318" s="187" t="str">
        <f t="shared" si="104"/>
        <v/>
      </c>
      <c r="AL318" s="266" t="str">
        <f t="shared" si="105"/>
        <v/>
      </c>
      <c r="AM318" s="516" t="str">
        <f t="shared" si="106"/>
        <v/>
      </c>
      <c r="AN318" s="516" t="str">
        <f t="shared" si="107"/>
        <v/>
      </c>
      <c r="AO318" s="516" t="str">
        <f t="shared" si="108"/>
        <v/>
      </c>
      <c r="AP318" s="267" t="str">
        <f t="shared" si="109"/>
        <v/>
      </c>
      <c r="AQ318" s="268" t="str">
        <f t="shared" si="110"/>
        <v/>
      </c>
      <c r="AR318" s="450" t="str">
        <f t="shared" si="111"/>
        <v/>
      </c>
      <c r="AS318" s="450" t="str">
        <f t="shared" si="112"/>
        <v/>
      </c>
      <c r="AT318" s="450" t="str">
        <f t="shared" si="113"/>
        <v/>
      </c>
      <c r="AU318" s="269" t="str">
        <f t="shared" si="114"/>
        <v/>
      </c>
    </row>
    <row r="319" spans="1:47" ht="15.75" customHeight="1" thickBot="1">
      <c r="A319" s="176">
        <f t="shared" si="97"/>
        <v>2026</v>
      </c>
      <c r="B319" s="177" t="str">
        <f t="shared" si="98"/>
        <v>52</v>
      </c>
      <c r="C319" s="177" t="str">
        <f t="array" ref="C319">_xlfn.IFS(_xlfn.NUMBERVALUE(B319)&lt;=13,"Q1",AND(_xlfn.NUMBERVALUE(B319)&gt;13,_xlfn.NUMBERVALUE(B319)&lt;=26),"Q2", AND(_xlfn.NUMBERVALUE(B319)&gt;26,_xlfn.NUMBERVALUE(B319)&lt;=39),"Q3",_xlfn.NUMBERVALUE(B319)&gt;39,"Q4")</f>
        <v>Q4</v>
      </c>
      <c r="D319" s="178">
        <f t="shared" si="115"/>
        <v>46046</v>
      </c>
      <c r="E319" s="178">
        <f t="shared" si="99"/>
        <v>46052</v>
      </c>
      <c r="F319" s="98">
        <v>202552</v>
      </c>
      <c r="G319" s="833"/>
      <c r="H319" s="245"/>
      <c r="I319" s="834">
        <f t="shared" si="116"/>
        <v>0</v>
      </c>
      <c r="J319" s="245"/>
      <c r="K319" s="246"/>
      <c r="L319" s="835"/>
      <c r="M319" s="835"/>
      <c r="N319" s="183">
        <f t="shared" si="118"/>
        <v>0</v>
      </c>
      <c r="O319" s="835"/>
      <c r="P319" s="835"/>
      <c r="Q319" s="104"/>
      <c r="R319" s="105"/>
      <c r="S319" s="834">
        <f t="shared" si="117"/>
        <v>0</v>
      </c>
      <c r="T319" s="245"/>
      <c r="U319" s="246"/>
      <c r="V319" s="245"/>
      <c r="W319" s="245"/>
      <c r="X319" s="189">
        <f t="shared" si="119"/>
        <v>0</v>
      </c>
      <c r="Y319" s="245"/>
      <c r="Z319" s="246"/>
      <c r="AA319" s="836"/>
      <c r="AB319" s="836"/>
      <c r="AC319" s="189">
        <f t="shared" si="120"/>
        <v>0</v>
      </c>
      <c r="AD319" s="105"/>
      <c r="AE319" s="105"/>
      <c r="AF319" s="837"/>
      <c r="AG319" s="437" t="str">
        <f t="shared" si="100"/>
        <v/>
      </c>
      <c r="AH319" s="438" t="str">
        <f t="shared" si="101"/>
        <v/>
      </c>
      <c r="AI319" s="438" t="str">
        <f t="shared" si="102"/>
        <v/>
      </c>
      <c r="AJ319" s="438" t="str">
        <f t="shared" si="103"/>
        <v/>
      </c>
      <c r="AK319" s="439" t="str">
        <f t="shared" si="104"/>
        <v/>
      </c>
      <c r="AL319" s="440" t="str">
        <f t="shared" si="105"/>
        <v/>
      </c>
      <c r="AM319" s="441" t="str">
        <f t="shared" si="106"/>
        <v/>
      </c>
      <c r="AN319" s="441" t="str">
        <f t="shared" si="107"/>
        <v/>
      </c>
      <c r="AO319" s="441" t="str">
        <f t="shared" si="108"/>
        <v/>
      </c>
      <c r="AP319" s="442" t="str">
        <f t="shared" si="109"/>
        <v/>
      </c>
      <c r="AQ319" s="270" t="str">
        <f t="shared" si="110"/>
        <v/>
      </c>
      <c r="AR319" s="271" t="str">
        <f t="shared" si="111"/>
        <v/>
      </c>
      <c r="AS319" s="271" t="str">
        <f t="shared" si="112"/>
        <v/>
      </c>
      <c r="AT319" s="271" t="str">
        <f t="shared" si="113"/>
        <v/>
      </c>
      <c r="AU319" s="272" t="str">
        <f t="shared" si="114"/>
        <v/>
      </c>
    </row>
    <row r="322" spans="32:32">
      <c r="AF322" s="315"/>
    </row>
  </sheetData>
  <mergeCells count="3">
    <mergeCell ref="D1:D4"/>
    <mergeCell ref="A1:C4"/>
    <mergeCell ref="E1:E4"/>
  </mergeCells>
  <conditionalFormatting sqref="G1:AU2 G4:K4 V4:Z4 AF4:AU4">
    <cfRule type="cellIs" dxfId="83" priority="1" operator="between">
      <formula>-0.1</formula>
      <formula>0</formula>
    </cfRule>
    <cfRule type="cellIs" dxfId="82" priority="2" operator="between">
      <formula>0</formula>
      <formula>0.1</formula>
    </cfRule>
    <cfRule type="cellIs" dxfId="81" priority="3" operator="lessThanOrEqual">
      <formula>-0.1</formula>
    </cfRule>
    <cfRule type="cellIs" dxfId="80" priority="4" operator="greaterThanOrEqual">
      <formula>0.1</formula>
    </cfRule>
  </conditionalFormatting>
  <pageMargins left="0.7" right="0.7" top="0.75" bottom="0.75" header="0.3" footer="0.3"/>
  <pageSetup orientation="portrait"/>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A1:Y318"/>
  <sheetViews>
    <sheetView showGridLines="0" zoomScale="80" zoomScaleNormal="80" workbookViewId="0">
      <pane xSplit="6" ySplit="5" topLeftCell="G253" activePane="bottomRight" state="frozen"/>
      <selection pane="topRight" activeCell="W230" sqref="W230:AA230"/>
      <selection pane="bottomLeft" activeCell="W230" sqref="W230:AA230"/>
      <selection pane="bottomRight" activeCell="H2" sqref="H2"/>
    </sheetView>
  </sheetViews>
  <sheetFormatPr defaultColWidth="9.42578125" defaultRowHeight="15"/>
  <cols>
    <col min="1" max="1" width="6.42578125" style="78" bestFit="1" customWidth="1"/>
    <col min="2" max="2" width="7" style="78" bestFit="1" customWidth="1"/>
    <col min="3" max="3" width="8" style="78" customWidth="1"/>
    <col min="4" max="4" width="11" style="78" bestFit="1" customWidth="1"/>
    <col min="5" max="5" width="10.5703125" style="78" customWidth="1"/>
    <col min="6" max="6" width="10.42578125" style="158" bestFit="1" customWidth="1"/>
    <col min="7" max="7" width="13" style="200" bestFit="1" customWidth="1"/>
    <col min="8" max="8" width="12.42578125" style="200" bestFit="1" customWidth="1"/>
    <col min="9" max="9" width="13.42578125" style="200" bestFit="1" customWidth="1"/>
    <col min="10" max="10" width="17" style="200" bestFit="1" customWidth="1"/>
    <col min="11" max="11" width="13.5703125" style="200" bestFit="1" customWidth="1"/>
    <col min="12" max="13" width="14.42578125" style="200" bestFit="1" customWidth="1"/>
    <col min="14" max="14" width="16.5703125" style="200" bestFit="1" customWidth="1"/>
    <col min="15" max="15" width="17.42578125" style="276" bestFit="1" customWidth="1"/>
    <col min="16" max="16" width="19.42578125" style="276" bestFit="1" customWidth="1"/>
    <col min="17" max="17" width="18.42578125" style="276" bestFit="1" customWidth="1"/>
    <col min="18" max="18" width="19.42578125" style="276" bestFit="1" customWidth="1"/>
    <col min="19" max="19" width="22.42578125" style="277" bestFit="1" customWidth="1"/>
    <col min="20" max="20" width="20.42578125" style="277" bestFit="1" customWidth="1"/>
    <col min="21" max="24" width="9.42578125" style="277" bestFit="1" customWidth="1"/>
    <col min="25" max="25" width="10.5703125" style="158" bestFit="1" customWidth="1"/>
    <col min="26" max="95" width="9.42578125" style="78" customWidth="1"/>
    <col min="96" max="16384" width="9.42578125" style="78"/>
  </cols>
  <sheetData>
    <row r="1" spans="1:25" ht="16.350000000000001" customHeight="1" thickBot="1">
      <c r="A1" s="979">
        <f>VLOOKUP(E1,E6:F318,2,FALSE)</f>
        <v>202505</v>
      </c>
      <c r="B1" s="980"/>
      <c r="C1" s="980"/>
      <c r="D1" s="976">
        <f>E1-6</f>
        <v>45717</v>
      </c>
      <c r="E1" s="976">
        <f>'Overall Metrics'!E1</f>
        <v>45723</v>
      </c>
      <c r="F1" s="94" t="s">
        <v>162</v>
      </c>
      <c r="G1" s="535">
        <f>IFERROR(VLOOKUP($A$1,$F$6:G318,COLUMNS($F$6:G318),FALSE)/VLOOKUP(($A$1-IF(RIGHT($A$1,2)="01",48,1)),$F$6:G318,COLUMNS($F$6:G318),FALSE)-1,"NA")</f>
        <v>-0.1112240928401681</v>
      </c>
      <c r="H1" s="535">
        <f>IFERROR(VLOOKUP($A$1,$F$6:H318,COLUMNS($F$6:H318),FALSE)/VLOOKUP(($A$1-IF(RIGHT($A$1,2)="01",48,1)),$F$6:H318,COLUMNS($F$6:H318),FALSE)-1,"NA")</f>
        <v>-9.9760122718334232E-3</v>
      </c>
      <c r="I1" s="535">
        <f>IFERROR(VLOOKUP($A$1,$F$6:I318,COLUMNS($F$6:I318),FALSE)/VLOOKUP(($A$1-IF(RIGHT($A$1,2)="01",48,1)),$F$6:I318,COLUMNS($F$6:I318),FALSE)-1,"NA")</f>
        <v>-0.33345720589943095</v>
      </c>
      <c r="J1" s="535">
        <f>IFERROR(VLOOKUP($A$1,$F$6:J318,COLUMNS($F$6:J318),FALSE)/VLOOKUP(($A$1-IF(RIGHT($A$1,2)="01",48,1)),$F$6:J318,COLUMNS($F$6:J318),FALSE)-1,"NA")</f>
        <v>1.0551671772314197E-2</v>
      </c>
      <c r="K1" s="251">
        <f>IFERROR(VLOOKUP($A$1,$F$6:K318,COLUMNS($F$6:K318),FALSE)/VLOOKUP(($A$1-IF(RIGHT($A$1,2)="01",48,1)),$F$6:K318,COLUMNS($F$6:K318),FALSE)-1,"NA")</f>
        <v>-0.19478352963164214</v>
      </c>
      <c r="L1" s="535">
        <f>IFERROR(VLOOKUP($A$1,$F$6:L318,COLUMNS($F$6:L318),FALSE)/VLOOKUP(($A$1-IF(RIGHT($A$1,2)="01",48,1)),$F$6:L318,COLUMNS($F$6:L318),FALSE)-1,"NA")</f>
        <v>6.5393409846568051E-3</v>
      </c>
      <c r="M1" s="535">
        <f>IFERROR(VLOOKUP($A$1,$F$6:M318,COLUMNS($F$6:M318),FALSE)/VLOOKUP(($A$1-IF(RIGHT($A$1,2)="01",48,1)),$F$6:M318,COLUMNS($F$6:M318),FALSE)-1,"NA")</f>
        <v>-0.15114997796209484</v>
      </c>
      <c r="N1" s="535">
        <f>IFERROR(VLOOKUP($A$1,$F$6:N318,COLUMNS($F$6:N318),FALSE)/VLOOKUP(($A$1-IF(RIGHT($A$1,2)="01",48,1)),$F$6:N318,COLUMNS($F$6:N318),FALSE)-1,"NA")</f>
        <v>-0.42386430498914518</v>
      </c>
      <c r="O1" s="248">
        <f>IFERROR(VLOOKUP($A$1,$F$6:O318,COLUMNS($F$6:O318),FALSE)-VLOOKUP(($A$1-IF(RIGHT($A$1,2)="01",48,1)),$F$6:O318,COLUMNS($F$6:O318),FALSE),"NA")</f>
        <v>4.2619478097022101E-2</v>
      </c>
      <c r="P1" s="249">
        <f>IFERROR(VLOOKUP($A$1,$F$6:P318,COLUMNS($F$6:P318),FALSE)-VLOOKUP(($A$1-IF(RIGHT($A$1,2)="01",48,1)),$F$6:P318,COLUMNS($F$6:P318),FALSE),"NA")</f>
        <v>-8.2930996765068654E-2</v>
      </c>
      <c r="Q1" s="249">
        <f>IFERROR(VLOOKUP($A$1,$F$6:Q318,COLUMNS($F$6:Q318),FALSE)-VLOOKUP(($A$1-IF(RIGHT($A$1,2)="01",48,1)),$F$6:Q318,COLUMNS($F$6:Q318),FALSE),"NA")</f>
        <v>4.0311518668046553E-2</v>
      </c>
      <c r="R1" s="248">
        <f>IFERROR(VLOOKUP($A$1,$F$6:R318,COLUMNS($F$6:R318),FALSE)-VLOOKUP(($A$1-IF(RIGHT($A$1,2)="01",48,1)),$F$6:R318,COLUMNS($F$6:R318),FALSE),"NA")</f>
        <v>7.8338282731388209E-2</v>
      </c>
      <c r="S1" s="249">
        <f>IFERROR(VLOOKUP($A$1,$F$6:S318,COLUMNS($F$6:S318),FALSE)-VLOOKUP(($A$1-IF(RIGHT($A$1,2)="01",48,1)),$F$6:S318,COLUMNS($F$6:S318),FALSE),"NA")</f>
        <v>1.8722599401971962E-2</v>
      </c>
      <c r="T1" s="249">
        <f>IFERROR(VLOOKUP($A$1,$F$6:T318,COLUMNS($F$6:T318),FALSE)-VLOOKUP(($A$1-IF(RIGHT($A$1,2)="01",48,1)),$F$6:T318,COLUMNS($F$6:T318),FALSE),"NA")</f>
        <v>-9.7060882133360143E-2</v>
      </c>
      <c r="U1" s="248">
        <f t="array" ref="U1">IFERROR(VLOOKUP($A$1-IF(RIGHT($A$1,2)="01",48,1),$F$6:U318,COLUMNS($F$6:U318),FALSE)-VLOOKUP(($A$1-IFERROR(_xlfn.IFS(RIGHT($A$1,2)="01",49,RIGHT($A$1,2)="02",49),2)),$F$6:U318,COLUMNS($F$6:U318),FALSE),"NA")</f>
        <v>0.49782912447747574</v>
      </c>
      <c r="V1" s="249">
        <f t="array" ref="V1">IFERROR(VLOOKUP($A$1-IF(RIGHT($A$1,2)="01",48,1),$F$6:V318,COLUMNS($F$6:V318),FALSE)-VLOOKUP(($A$1-IFERROR(_xlfn.IFS(RIGHT($A$1,2)="01",49,RIGHT($A$1,2)="02",49),2)),$F$6:V318,COLUMNS($F$6:V318),FALSE),"NA")</f>
        <v>0.73978679437474393</v>
      </c>
      <c r="W1" s="249">
        <f t="array" ref="W1">IFERROR(VLOOKUP($A$1-IF(RIGHT($A$1,2)="01",48,1),$F$6:W318,COLUMNS($F$6:W318),FALSE)-VLOOKUP(($A$1-IFERROR(_xlfn.IFS(RIGHT($A$1,2)="01",49,RIGHT($A$1,2)="02",49),2)),$F$6:W318,COLUMNS($F$6:W318),FALSE),"NA")</f>
        <v>0.24719546988459984</v>
      </c>
      <c r="X1" s="249">
        <f t="array" ref="X1">IFERROR(VLOOKUP($A$1-IF(RIGHT($A$1,2)="01",48,1),$F$6:X318,COLUMNS($F$6:X318),FALSE)-VLOOKUP(($A$1-IFERROR(_xlfn.IFS(RIGHT($A$1,2)="01",49,RIGHT($A$1,2)="02",49),2)),$F$6:X318,COLUMNS($F$6:X318),FALSE),"NA")</f>
        <v>0.62089676275218086</v>
      </c>
      <c r="Y1" s="278">
        <f>IFERROR(VLOOKUP($A$1,$F$58:Y318,COLUMNS($F$58:Y318),FALSE)-VLOOKUP(($A$1-IF(RIGHT($A$1,2)="01",48,1)),$F$58:Y318,COLUMNS($F$58:Y318),FALSE),"NA")</f>
        <v>0.14457491566009706</v>
      </c>
    </row>
    <row r="2" spans="1:25" ht="16.350000000000001" customHeight="1">
      <c r="A2" s="981"/>
      <c r="B2" s="986"/>
      <c r="C2" s="986"/>
      <c r="D2" s="986"/>
      <c r="E2" s="986"/>
      <c r="F2" s="95" t="s">
        <v>163</v>
      </c>
      <c r="G2" s="535">
        <f>IFERROR(VLOOKUP(($A$1),$F$6:G318,COLUMNS($F$6:G318),FALSE)/VLOOKUP(($A$1-99),$F$6:G318,COLUMNS($F$6:G318),FALSE)-1,"NA")</f>
        <v>-3.3766581803564288E-2</v>
      </c>
      <c r="H2" s="535">
        <f>IFERROR(VLOOKUP(($A$1),$F$6:H318,COLUMNS($F$6:H318),FALSE)/VLOOKUP(($A$1-99),$F$6:H318,COLUMNS($F$6:H318),FALSE)-1,"NA")</f>
        <v>3.8510550983822611E-2</v>
      </c>
      <c r="I2" s="535">
        <f>IFERROR(VLOOKUP(($A$1),$F$6:I318,COLUMNS($F$6:I318),FALSE)/VLOOKUP(($A$1-99),$F$6:I318,COLUMNS($F$6:I318),FALSE)-1,"NA")</f>
        <v>4.3146377812511405E-2</v>
      </c>
      <c r="J2" s="535">
        <f>IFERROR(VLOOKUP(($A$1),$F$6:J318,COLUMNS($F$6:J318),FALSE)/VLOOKUP(($A$1-99),$F$6:J318,COLUMNS($F$6:J318),FALSE)-1,"NA")</f>
        <v>-0.1535593666388877</v>
      </c>
      <c r="K2" s="251">
        <f>IFERROR(VLOOKUP(($A$1),$F$6:K318,COLUMNS($F$6:K318),FALSE)/VLOOKUP(($A$1-99),$F$6:K318,COLUMNS($F$6:K318),FALSE)-1,"NA")</f>
        <v>-8.1302000860840051E-2</v>
      </c>
      <c r="L2" s="535">
        <f>IFERROR(VLOOKUP(($A$1),$F$6:L318,COLUMNS($F$6:L318),FALSE)/VLOOKUP(($A$1-99),$F$6:L318,COLUMNS($F$6:L318),FALSE)-1,"NA")</f>
        <v>0.26208119226028059</v>
      </c>
      <c r="M2" s="535">
        <f>IFERROR(VLOOKUP(($A$1),$F$6:M318,COLUMNS($F$6:M318),FALSE)/VLOOKUP(($A$1-99),$F$6:M318,COLUMNS($F$6:M318),FALSE)-1,"NA")</f>
        <v>-0.13419431303832519</v>
      </c>
      <c r="N2" s="535">
        <f>IFERROR(VLOOKUP(($A$1),$F$6:N318,COLUMNS($F$6:N318),FALSE)/VLOOKUP(($A$1-99),$F$6:N318,COLUMNS($F$6:N318),FALSE)-1,"NA")</f>
        <v>-0.31714941865358492</v>
      </c>
      <c r="O2" s="253">
        <f>IFERROR(VLOOKUP(($A$1),$F$6:O318,COLUMNS($F$6:O318),FALSE)-VLOOKUP(($A$1-99),$F$6:O318,COLUMNS($F$6:O318),FALSE),"NA")</f>
        <v>2.9003943375773333E-2</v>
      </c>
      <c r="P2" s="788">
        <f>IFERROR(VLOOKUP(($A$1),$F$6:P318,COLUMNS($F$6:P318),FALSE)-VLOOKUP(($A$1-99),$F$6:P318,COLUMNS($F$6:P318),FALSE),"NA")</f>
        <v>1.8339623769222879E-2</v>
      </c>
      <c r="Q2" s="788">
        <f>IFERROR(VLOOKUP(($A$1),$F$6:Q318,COLUMNS($F$6:Q318),FALSE)-VLOOKUP(($A$1-99),$F$6:Q318,COLUMNS($F$6:Q318),FALSE),"NA")</f>
        <v>-4.7343567144996213E-2</v>
      </c>
      <c r="R2" s="253">
        <f>IFERROR(VLOOKUP(($A$1),$F$6:R318,COLUMNS($F$6:R318),FALSE)-VLOOKUP(($A$1-99),$F$6:R318,COLUMNS($F$6:R318),FALSE),"NA")</f>
        <v>0.10656226106008887</v>
      </c>
      <c r="S2" s="788">
        <f>IFERROR(VLOOKUP(($A$1),$F$6:S318,COLUMNS($F$6:S318),FALSE)-VLOOKUP(($A$1-99),$F$6:S318,COLUMNS($F$6:S318),FALSE),"NA")</f>
        <v>-2.2250955374323034E-2</v>
      </c>
      <c r="T2" s="788">
        <f>IFERROR(VLOOKUP(($A$1),$F$6:T318,COLUMNS($F$6:T318),FALSE)-VLOOKUP(($A$1-99),$F$6:T318,COLUMNS($F$6:T318),FALSE),"NA")</f>
        <v>-8.4311305685765808E-2</v>
      </c>
      <c r="U2" s="253">
        <f>IFERROR(VLOOKUP(($A$1-IF(RIGHT($A$1,2)="01",48,1)),$F$6:U318,COLUMNS($F$6:U318),FALSE)-VLOOKUP(($A$1-IF(RIGHT($A$1,2)="01",100,100)),$F$6:U318,COLUMNS($F$6:U318),FALSE),"NA")</f>
        <v>4.7743310433509975E-2</v>
      </c>
      <c r="V2" s="788">
        <f>IFERROR(VLOOKUP(($A$1-IF(RIGHT($A$1,2)="01",48,1)),$F$6:V318,COLUMNS($F$6:V318),FALSE)-VLOOKUP(($A$1-IF(RIGHT($A$1,2)="01",100,100)),$F$6:V318,COLUMNS($F$6:V318),FALSE),"NA")</f>
        <v>-0.20186180663465575</v>
      </c>
      <c r="W2" s="788">
        <f>IFERROR(VLOOKUP(($A$1-IF(RIGHT($A$1,2)="01",48,1)),$F$6:W318,COLUMNS($F$6:W318),FALSE)-VLOOKUP(($A$1-IF(RIGHT($A$1,2)="01",100,100)),$F$6:W318,COLUMNS($F$6:W318),FALSE),"NA")</f>
        <v>4.0458547337196851E-2</v>
      </c>
      <c r="X2" s="788">
        <f>IFERROR(VLOOKUP(($A$1-IF(RIGHT($A$1,2)="01",48,1)),$F$6:X318,COLUMNS($F$6:X318),FALSE)-VLOOKUP(($A$1-IF(RIGHT($A$1,2)="01",100,100)),$F$6:X318,COLUMNS($F$6:X318),FALSE),"NA")</f>
        <v>0.36963314703604799</v>
      </c>
      <c r="Y2" s="279">
        <f>IFERROR(VLOOKUP(($A$1),$F$58:Y318,COLUMNS($F$58:Y318),FALSE)-VLOOKUP(($A$1-99),$F$58:Y318,COLUMNS($F$58:Y318),FALSE),"NA")</f>
        <v>1.9362910897895769E-2</v>
      </c>
    </row>
    <row r="3" spans="1:25" s="274" customFormat="1" ht="15.75" customHeight="1" thickBot="1">
      <c r="A3" s="982"/>
      <c r="B3" s="978"/>
      <c r="C3" s="978"/>
      <c r="D3" s="978"/>
      <c r="E3" s="978"/>
      <c r="F3" s="96" t="s">
        <v>368</v>
      </c>
      <c r="G3" s="88" t="s">
        <v>166</v>
      </c>
      <c r="H3" s="245" t="s">
        <v>172</v>
      </c>
      <c r="I3" s="273" t="s">
        <v>172</v>
      </c>
      <c r="J3" s="245" t="s">
        <v>172</v>
      </c>
      <c r="K3" s="87" t="s">
        <v>166</v>
      </c>
      <c r="L3" s="245" t="s">
        <v>172</v>
      </c>
      <c r="M3" s="273" t="s">
        <v>172</v>
      </c>
      <c r="N3" s="246" t="s">
        <v>172</v>
      </c>
      <c r="O3" s="87" t="s">
        <v>166</v>
      </c>
      <c r="P3" s="273" t="s">
        <v>166</v>
      </c>
      <c r="Q3" s="246" t="s">
        <v>166</v>
      </c>
      <c r="R3" s="87" t="s">
        <v>166</v>
      </c>
      <c r="S3" s="273" t="s">
        <v>166</v>
      </c>
      <c r="T3" s="246" t="s">
        <v>166</v>
      </c>
      <c r="U3" s="87" t="s">
        <v>166</v>
      </c>
      <c r="V3" s="273" t="s">
        <v>166</v>
      </c>
      <c r="W3" s="273" t="s">
        <v>166</v>
      </c>
      <c r="X3" s="273" t="s">
        <v>166</v>
      </c>
      <c r="Y3" s="246" t="s">
        <v>166</v>
      </c>
    </row>
    <row r="4" spans="1:25" ht="15.75" customHeight="1" thickBot="1">
      <c r="F4" s="78"/>
      <c r="G4" s="78"/>
      <c r="H4" s="78"/>
      <c r="I4" s="78"/>
      <c r="J4" s="78"/>
      <c r="K4" s="78"/>
      <c r="L4" s="78"/>
      <c r="M4" s="78"/>
      <c r="N4" s="78"/>
      <c r="O4" s="78"/>
      <c r="P4" s="78"/>
      <c r="Q4" s="78"/>
      <c r="R4" s="78"/>
      <c r="S4" s="78"/>
      <c r="T4" s="78"/>
      <c r="U4" s="78"/>
      <c r="V4" s="78"/>
      <c r="W4" s="78"/>
      <c r="X4" s="78"/>
      <c r="Y4" s="78"/>
    </row>
    <row r="5" spans="1:25" s="275" customFormat="1" ht="30.75" customHeight="1" thickBot="1">
      <c r="A5" s="81" t="s">
        <v>41</v>
      </c>
      <c r="B5" s="82" t="s">
        <v>44</v>
      </c>
      <c r="C5" s="82" t="s">
        <v>177</v>
      </c>
      <c r="D5" s="82" t="s">
        <v>323</v>
      </c>
      <c r="E5" s="82" t="s">
        <v>48</v>
      </c>
      <c r="F5" s="83" t="s">
        <v>178</v>
      </c>
      <c r="G5" s="81" t="s">
        <v>369</v>
      </c>
      <c r="H5" s="82" t="s">
        <v>370</v>
      </c>
      <c r="I5" s="82" t="s">
        <v>371</v>
      </c>
      <c r="J5" s="83" t="s">
        <v>372</v>
      </c>
      <c r="K5" s="81" t="s">
        <v>373</v>
      </c>
      <c r="L5" s="82" t="s">
        <v>374</v>
      </c>
      <c r="M5" s="82" t="s">
        <v>375</v>
      </c>
      <c r="N5" s="83" t="s">
        <v>376</v>
      </c>
      <c r="O5" s="131" t="s">
        <v>377</v>
      </c>
      <c r="P5" s="132" t="s">
        <v>378</v>
      </c>
      <c r="Q5" s="133" t="s">
        <v>379</v>
      </c>
      <c r="R5" s="131" t="s">
        <v>380</v>
      </c>
      <c r="S5" s="132" t="s">
        <v>381</v>
      </c>
      <c r="T5" s="133" t="s">
        <v>382</v>
      </c>
      <c r="U5" s="131" t="s">
        <v>383</v>
      </c>
      <c r="V5" s="132" t="s">
        <v>384</v>
      </c>
      <c r="W5" s="132" t="s">
        <v>385</v>
      </c>
      <c r="X5" s="132" t="s">
        <v>386</v>
      </c>
      <c r="Y5" s="83" t="s">
        <v>387</v>
      </c>
    </row>
    <row r="6" spans="1:25" ht="15.75" customHeight="1">
      <c r="A6" s="188">
        <f t="shared" ref="A6:A69" si="0">LEFT(F6,4)+1</f>
        <v>2021</v>
      </c>
      <c r="B6" s="172" t="str">
        <f t="shared" ref="B6:B69" si="1">RIGHT(F6,2)</f>
        <v>01</v>
      </c>
      <c r="C6" s="172" t="str">
        <f t="array" ref="C6">_xlfn.IFS(_xlfn.NUMBERVALUE(B6)&lt;=13,"Q1",AND(_xlfn.NUMBERVALUE(B6)&gt;13,_xlfn.NUMBERVALUE(B6)&lt;=26),"Q2", AND(_xlfn.NUMBERVALUE(B6)&gt;26,_xlfn.NUMBERVALUE(B6)&lt;=39),"Q3",_xlfn.NUMBERVALUE(B6)&gt;39,"Q4")</f>
        <v>Q1</v>
      </c>
      <c r="D6" s="173">
        <v>43862</v>
      </c>
      <c r="E6" s="174">
        <f t="shared" ref="E6:E69" si="2">D6+6</f>
        <v>43868</v>
      </c>
      <c r="F6" s="85">
        <v>202001</v>
      </c>
      <c r="G6" s="179">
        <f t="shared" ref="G6:G69" si="3">SUM(H6:J6)</f>
        <v>0</v>
      </c>
      <c r="H6" s="100"/>
      <c r="I6" s="100"/>
      <c r="J6" s="100"/>
      <c r="K6" s="179">
        <f t="shared" ref="K6:K37" si="4">SUM(L6:N6)</f>
        <v>0</v>
      </c>
      <c r="L6" s="100"/>
      <c r="M6" s="100"/>
      <c r="N6" s="531"/>
      <c r="O6" s="280" t="str">
        <f t="shared" ref="O6:O69" si="5">IFERROR(H6/$G6,"")</f>
        <v/>
      </c>
      <c r="P6" s="281" t="str">
        <f t="shared" ref="P6:P69" si="6">IFERROR(I6/$G6,"")</f>
        <v/>
      </c>
      <c r="Q6" s="281" t="str">
        <f t="shared" ref="Q6:Q69" si="7">IFERROR(J6/$G6,"")</f>
        <v/>
      </c>
      <c r="R6" s="280" t="str">
        <f t="shared" ref="R6:R37" si="8">IFERROR(L6/$K6,"")</f>
        <v/>
      </c>
      <c r="S6" s="281" t="str">
        <f t="shared" ref="S6:S37" si="9">IFERROR(M6/$K6,"")</f>
        <v/>
      </c>
      <c r="T6" s="281" t="str">
        <f t="shared" ref="T6:T37" si="10">IFERROR(N6/$K6,"")</f>
        <v/>
      </c>
      <c r="U6" s="280" t="str">
        <f t="shared" ref="U6:U69" si="11">IFERROR(IF(K7=0,"",(G6-K7)/G6),"")</f>
        <v/>
      </c>
      <c r="V6" s="281" t="str">
        <f t="shared" ref="V6:V69" si="12">IFERROR(IF(L7=0,"",(H6-L7)/H6),"")</f>
        <v/>
      </c>
      <c r="W6" s="281" t="str">
        <f t="shared" ref="W6:W69" si="13">IFERROR(IF(M7=0,"",(I6-M7)/I6),"")</f>
        <v/>
      </c>
      <c r="X6" s="281" t="str">
        <f t="shared" ref="X6:X69" si="14">IFERROR(IF(N7=0,"",(J6-N7)/J6),"")</f>
        <v/>
      </c>
      <c r="Y6" s="282" t="str">
        <f t="shared" ref="Y6:Y69" si="15">IFERROR((H6+J6)/K6,"")</f>
        <v/>
      </c>
    </row>
    <row r="7" spans="1:25" ht="16.350000000000001" customHeight="1">
      <c r="A7" s="175">
        <f t="shared" si="0"/>
        <v>2021</v>
      </c>
      <c r="B7" s="454" t="str">
        <f t="shared" si="1"/>
        <v>02</v>
      </c>
      <c r="C7" s="454" t="str">
        <f t="array" ref="C7">_xlfn.IFS(_xlfn.NUMBERVALUE(B7)&lt;=13,"Q1",AND(_xlfn.NUMBERVALUE(B7)&gt;13,_xlfn.NUMBERVALUE(B7)&lt;=26),"Q2", AND(_xlfn.NUMBERVALUE(B7)&gt;26,_xlfn.NUMBERVALUE(B7)&lt;=39),"Q3",_xlfn.NUMBERVALUE(B7)&gt;39,"Q4")</f>
        <v>Q1</v>
      </c>
      <c r="D7" s="448">
        <f t="shared" ref="D7:D70" si="16">E6+1</f>
        <v>43869</v>
      </c>
      <c r="E7" s="448">
        <f t="shared" si="2"/>
        <v>43875</v>
      </c>
      <c r="F7" s="79">
        <v>202002</v>
      </c>
      <c r="G7" s="180">
        <f t="shared" si="3"/>
        <v>0</v>
      </c>
      <c r="H7" s="429"/>
      <c r="I7" s="429"/>
      <c r="J7" s="429"/>
      <c r="K7" s="180">
        <f t="shared" si="4"/>
        <v>0</v>
      </c>
      <c r="L7" s="429"/>
      <c r="M7" s="429"/>
      <c r="N7" s="532"/>
      <c r="O7" s="186" t="str">
        <f t="shared" si="5"/>
        <v/>
      </c>
      <c r="P7" s="468" t="str">
        <f t="shared" si="6"/>
        <v/>
      </c>
      <c r="Q7" s="468" t="str">
        <f t="shared" si="7"/>
        <v/>
      </c>
      <c r="R7" s="186" t="str">
        <f t="shared" si="8"/>
        <v/>
      </c>
      <c r="S7" s="468" t="str">
        <f t="shared" si="9"/>
        <v/>
      </c>
      <c r="T7" s="468" t="str">
        <f t="shared" si="10"/>
        <v/>
      </c>
      <c r="U7" s="186" t="str">
        <f t="shared" si="11"/>
        <v/>
      </c>
      <c r="V7" s="468" t="str">
        <f t="shared" si="12"/>
        <v/>
      </c>
      <c r="W7" s="468" t="str">
        <f t="shared" si="13"/>
        <v/>
      </c>
      <c r="X7" s="468" t="str">
        <f t="shared" si="14"/>
        <v/>
      </c>
      <c r="Y7" s="283" t="str">
        <f t="shared" si="15"/>
        <v/>
      </c>
    </row>
    <row r="8" spans="1:25" ht="16.350000000000001" customHeight="1">
      <c r="A8" s="175">
        <f t="shared" si="0"/>
        <v>2021</v>
      </c>
      <c r="B8" s="454" t="str">
        <f t="shared" si="1"/>
        <v>03</v>
      </c>
      <c r="C8" s="454" t="str">
        <f t="array" ref="C8">_xlfn.IFS(_xlfn.NUMBERVALUE(B8)&lt;=13,"Q1",AND(_xlfn.NUMBERVALUE(B8)&gt;13,_xlfn.NUMBERVALUE(B8)&lt;=26),"Q2", AND(_xlfn.NUMBERVALUE(B8)&gt;26,_xlfn.NUMBERVALUE(B8)&lt;=39),"Q3",_xlfn.NUMBERVALUE(B8)&gt;39,"Q4")</f>
        <v>Q1</v>
      </c>
      <c r="D8" s="448">
        <f t="shared" si="16"/>
        <v>43876</v>
      </c>
      <c r="E8" s="448">
        <f t="shared" si="2"/>
        <v>43882</v>
      </c>
      <c r="F8" s="79">
        <v>202003</v>
      </c>
      <c r="G8" s="180">
        <f t="shared" si="3"/>
        <v>0</v>
      </c>
      <c r="H8" s="429"/>
      <c r="I8" s="429"/>
      <c r="J8" s="429"/>
      <c r="K8" s="180">
        <f t="shared" si="4"/>
        <v>0</v>
      </c>
      <c r="L8" s="429"/>
      <c r="M8" s="429"/>
      <c r="N8" s="532"/>
      <c r="O8" s="186" t="str">
        <f t="shared" si="5"/>
        <v/>
      </c>
      <c r="P8" s="468" t="str">
        <f t="shared" si="6"/>
        <v/>
      </c>
      <c r="Q8" s="468" t="str">
        <f t="shared" si="7"/>
        <v/>
      </c>
      <c r="R8" s="186" t="str">
        <f t="shared" si="8"/>
        <v/>
      </c>
      <c r="S8" s="468" t="str">
        <f t="shared" si="9"/>
        <v/>
      </c>
      <c r="T8" s="468" t="str">
        <f t="shared" si="10"/>
        <v/>
      </c>
      <c r="U8" s="186" t="str">
        <f t="shared" si="11"/>
        <v/>
      </c>
      <c r="V8" s="468" t="str">
        <f t="shared" si="12"/>
        <v/>
      </c>
      <c r="W8" s="468" t="str">
        <f t="shared" si="13"/>
        <v/>
      </c>
      <c r="X8" s="468" t="str">
        <f t="shared" si="14"/>
        <v/>
      </c>
      <c r="Y8" s="283" t="str">
        <f t="shared" si="15"/>
        <v/>
      </c>
    </row>
    <row r="9" spans="1:25" ht="16.350000000000001" customHeight="1">
      <c r="A9" s="175">
        <f t="shared" si="0"/>
        <v>2021</v>
      </c>
      <c r="B9" s="454" t="str">
        <f t="shared" si="1"/>
        <v>04</v>
      </c>
      <c r="C9" s="454" t="str">
        <f t="array" ref="C9">_xlfn.IFS(_xlfn.NUMBERVALUE(B9)&lt;=13,"Q1",AND(_xlfn.NUMBERVALUE(B9)&gt;13,_xlfn.NUMBERVALUE(B9)&lt;=26),"Q2", AND(_xlfn.NUMBERVALUE(B9)&gt;26,_xlfn.NUMBERVALUE(B9)&lt;=39),"Q3",_xlfn.NUMBERVALUE(B9)&gt;39,"Q4")</f>
        <v>Q1</v>
      </c>
      <c r="D9" s="448">
        <f t="shared" si="16"/>
        <v>43883</v>
      </c>
      <c r="E9" s="448">
        <f t="shared" si="2"/>
        <v>43889</v>
      </c>
      <c r="F9" s="79">
        <v>202004</v>
      </c>
      <c r="G9" s="180">
        <f t="shared" si="3"/>
        <v>0</v>
      </c>
      <c r="H9" s="429"/>
      <c r="I9" s="429"/>
      <c r="J9" s="429"/>
      <c r="K9" s="180">
        <f t="shared" si="4"/>
        <v>0</v>
      </c>
      <c r="L9" s="429"/>
      <c r="M9" s="429"/>
      <c r="N9" s="532"/>
      <c r="O9" s="186" t="str">
        <f t="shared" si="5"/>
        <v/>
      </c>
      <c r="P9" s="468" t="str">
        <f t="shared" si="6"/>
        <v/>
      </c>
      <c r="Q9" s="468" t="str">
        <f t="shared" si="7"/>
        <v/>
      </c>
      <c r="R9" s="186" t="str">
        <f t="shared" si="8"/>
        <v/>
      </c>
      <c r="S9" s="468" t="str">
        <f t="shared" si="9"/>
        <v/>
      </c>
      <c r="T9" s="468" t="str">
        <f t="shared" si="10"/>
        <v/>
      </c>
      <c r="U9" s="186" t="str">
        <f t="shared" si="11"/>
        <v/>
      </c>
      <c r="V9" s="468" t="str">
        <f t="shared" si="12"/>
        <v/>
      </c>
      <c r="W9" s="468" t="str">
        <f t="shared" si="13"/>
        <v/>
      </c>
      <c r="X9" s="468" t="str">
        <f t="shared" si="14"/>
        <v/>
      </c>
      <c r="Y9" s="283" t="str">
        <f t="shared" si="15"/>
        <v/>
      </c>
    </row>
    <row r="10" spans="1:25" ht="16.350000000000001" customHeight="1">
      <c r="A10" s="175">
        <f t="shared" si="0"/>
        <v>2021</v>
      </c>
      <c r="B10" s="454" t="str">
        <f t="shared" si="1"/>
        <v>05</v>
      </c>
      <c r="C10" s="454" t="str">
        <f t="array" ref="C10">_xlfn.IFS(_xlfn.NUMBERVALUE(B10)&lt;=13,"Q1",AND(_xlfn.NUMBERVALUE(B10)&gt;13,_xlfn.NUMBERVALUE(B10)&lt;=26),"Q2", AND(_xlfn.NUMBERVALUE(B10)&gt;26,_xlfn.NUMBERVALUE(B10)&lt;=39),"Q3",_xlfn.NUMBERVALUE(B10)&gt;39,"Q4")</f>
        <v>Q1</v>
      </c>
      <c r="D10" s="448">
        <f t="shared" si="16"/>
        <v>43890</v>
      </c>
      <c r="E10" s="448">
        <f t="shared" si="2"/>
        <v>43896</v>
      </c>
      <c r="F10" s="79">
        <v>202005</v>
      </c>
      <c r="G10" s="180">
        <f t="shared" si="3"/>
        <v>0</v>
      </c>
      <c r="H10" s="429"/>
      <c r="I10" s="429"/>
      <c r="J10" s="429"/>
      <c r="K10" s="180">
        <f t="shared" si="4"/>
        <v>0</v>
      </c>
      <c r="L10" s="429"/>
      <c r="M10" s="429"/>
      <c r="N10" s="532"/>
      <c r="O10" s="186" t="str">
        <f t="shared" si="5"/>
        <v/>
      </c>
      <c r="P10" s="468" t="str">
        <f t="shared" si="6"/>
        <v/>
      </c>
      <c r="Q10" s="468" t="str">
        <f t="shared" si="7"/>
        <v/>
      </c>
      <c r="R10" s="186" t="str">
        <f t="shared" si="8"/>
        <v/>
      </c>
      <c r="S10" s="468" t="str">
        <f t="shared" si="9"/>
        <v/>
      </c>
      <c r="T10" s="468" t="str">
        <f t="shared" si="10"/>
        <v/>
      </c>
      <c r="U10" s="186" t="str">
        <f t="shared" si="11"/>
        <v/>
      </c>
      <c r="V10" s="468" t="str">
        <f t="shared" si="12"/>
        <v/>
      </c>
      <c r="W10" s="468" t="str">
        <f t="shared" si="13"/>
        <v/>
      </c>
      <c r="X10" s="468" t="str">
        <f t="shared" si="14"/>
        <v/>
      </c>
      <c r="Y10" s="283" t="str">
        <f t="shared" si="15"/>
        <v/>
      </c>
    </row>
    <row r="11" spans="1:25" ht="16.350000000000001" customHeight="1">
      <c r="A11" s="175">
        <f t="shared" si="0"/>
        <v>2021</v>
      </c>
      <c r="B11" s="454" t="str">
        <f t="shared" si="1"/>
        <v>06</v>
      </c>
      <c r="C11" s="454" t="str">
        <f t="array" ref="C11">_xlfn.IFS(_xlfn.NUMBERVALUE(B11)&lt;=13,"Q1",AND(_xlfn.NUMBERVALUE(B11)&gt;13,_xlfn.NUMBERVALUE(B11)&lt;=26),"Q2", AND(_xlfn.NUMBERVALUE(B11)&gt;26,_xlfn.NUMBERVALUE(B11)&lt;=39),"Q3",_xlfn.NUMBERVALUE(B11)&gt;39,"Q4")</f>
        <v>Q1</v>
      </c>
      <c r="D11" s="448">
        <f t="shared" si="16"/>
        <v>43897</v>
      </c>
      <c r="E11" s="448">
        <f t="shared" si="2"/>
        <v>43903</v>
      </c>
      <c r="F11" s="79">
        <v>202006</v>
      </c>
      <c r="G11" s="180">
        <f t="shared" si="3"/>
        <v>0</v>
      </c>
      <c r="H11" s="429"/>
      <c r="I11" s="429"/>
      <c r="J11" s="429"/>
      <c r="K11" s="180">
        <f t="shared" si="4"/>
        <v>0</v>
      </c>
      <c r="L11" s="429"/>
      <c r="M11" s="429"/>
      <c r="N11" s="532"/>
      <c r="O11" s="186" t="str">
        <f t="shared" si="5"/>
        <v/>
      </c>
      <c r="P11" s="468" t="str">
        <f t="shared" si="6"/>
        <v/>
      </c>
      <c r="Q11" s="468" t="str">
        <f t="shared" si="7"/>
        <v/>
      </c>
      <c r="R11" s="186" t="str">
        <f t="shared" si="8"/>
        <v/>
      </c>
      <c r="S11" s="468" t="str">
        <f t="shared" si="9"/>
        <v/>
      </c>
      <c r="T11" s="468" t="str">
        <f t="shared" si="10"/>
        <v/>
      </c>
      <c r="U11" s="186" t="str">
        <f t="shared" si="11"/>
        <v/>
      </c>
      <c r="V11" s="468" t="str">
        <f t="shared" si="12"/>
        <v/>
      </c>
      <c r="W11" s="468" t="str">
        <f t="shared" si="13"/>
        <v/>
      </c>
      <c r="X11" s="468" t="str">
        <f t="shared" si="14"/>
        <v/>
      </c>
      <c r="Y11" s="283" t="str">
        <f t="shared" si="15"/>
        <v/>
      </c>
    </row>
    <row r="12" spans="1:25" ht="16.350000000000001" customHeight="1">
      <c r="A12" s="175">
        <f t="shared" si="0"/>
        <v>2021</v>
      </c>
      <c r="B12" s="454" t="str">
        <f t="shared" si="1"/>
        <v>07</v>
      </c>
      <c r="C12" s="454" t="str">
        <f t="array" ref="C12">_xlfn.IFS(_xlfn.NUMBERVALUE(B12)&lt;=13,"Q1",AND(_xlfn.NUMBERVALUE(B12)&gt;13,_xlfn.NUMBERVALUE(B12)&lt;=26),"Q2", AND(_xlfn.NUMBERVALUE(B12)&gt;26,_xlfn.NUMBERVALUE(B12)&lt;=39),"Q3",_xlfn.NUMBERVALUE(B12)&gt;39,"Q4")</f>
        <v>Q1</v>
      </c>
      <c r="D12" s="448">
        <f t="shared" si="16"/>
        <v>43904</v>
      </c>
      <c r="E12" s="448">
        <f t="shared" si="2"/>
        <v>43910</v>
      </c>
      <c r="F12" s="79">
        <v>202007</v>
      </c>
      <c r="G12" s="180">
        <f t="shared" si="3"/>
        <v>0</v>
      </c>
      <c r="H12" s="429"/>
      <c r="I12" s="429"/>
      <c r="J12" s="429"/>
      <c r="K12" s="180">
        <f t="shared" si="4"/>
        <v>0</v>
      </c>
      <c r="L12" s="429"/>
      <c r="M12" s="429"/>
      <c r="N12" s="532"/>
      <c r="O12" s="186" t="str">
        <f t="shared" si="5"/>
        <v/>
      </c>
      <c r="P12" s="468" t="str">
        <f t="shared" si="6"/>
        <v/>
      </c>
      <c r="Q12" s="468" t="str">
        <f t="shared" si="7"/>
        <v/>
      </c>
      <c r="R12" s="186" t="str">
        <f t="shared" si="8"/>
        <v/>
      </c>
      <c r="S12" s="468" t="str">
        <f t="shared" si="9"/>
        <v/>
      </c>
      <c r="T12" s="468" t="str">
        <f t="shared" si="10"/>
        <v/>
      </c>
      <c r="U12" s="186" t="str">
        <f t="shared" si="11"/>
        <v/>
      </c>
      <c r="V12" s="468" t="str">
        <f t="shared" si="12"/>
        <v/>
      </c>
      <c r="W12" s="468" t="str">
        <f t="shared" si="13"/>
        <v/>
      </c>
      <c r="X12" s="468" t="str">
        <f t="shared" si="14"/>
        <v/>
      </c>
      <c r="Y12" s="283" t="str">
        <f t="shared" si="15"/>
        <v/>
      </c>
    </row>
    <row r="13" spans="1:25" ht="16.350000000000001" customHeight="1">
      <c r="A13" s="175">
        <f t="shared" si="0"/>
        <v>2021</v>
      </c>
      <c r="B13" s="454" t="str">
        <f t="shared" si="1"/>
        <v>08</v>
      </c>
      <c r="C13" s="454" t="str">
        <f t="array" ref="C13">_xlfn.IFS(_xlfn.NUMBERVALUE(B13)&lt;=13,"Q1",AND(_xlfn.NUMBERVALUE(B13)&gt;13,_xlfn.NUMBERVALUE(B13)&lt;=26),"Q2", AND(_xlfn.NUMBERVALUE(B13)&gt;26,_xlfn.NUMBERVALUE(B13)&lt;=39),"Q3",_xlfn.NUMBERVALUE(B13)&gt;39,"Q4")</f>
        <v>Q1</v>
      </c>
      <c r="D13" s="448">
        <f t="shared" si="16"/>
        <v>43911</v>
      </c>
      <c r="E13" s="448">
        <f t="shared" si="2"/>
        <v>43917</v>
      </c>
      <c r="F13" s="79">
        <v>202008</v>
      </c>
      <c r="G13" s="180">
        <f t="shared" si="3"/>
        <v>0</v>
      </c>
      <c r="H13" s="429"/>
      <c r="I13" s="429"/>
      <c r="J13" s="429"/>
      <c r="K13" s="180">
        <f t="shared" si="4"/>
        <v>0</v>
      </c>
      <c r="L13" s="429"/>
      <c r="M13" s="429"/>
      <c r="N13" s="532"/>
      <c r="O13" s="186" t="str">
        <f t="shared" si="5"/>
        <v/>
      </c>
      <c r="P13" s="468" t="str">
        <f t="shared" si="6"/>
        <v/>
      </c>
      <c r="Q13" s="468" t="str">
        <f t="shared" si="7"/>
        <v/>
      </c>
      <c r="R13" s="186" t="str">
        <f t="shared" si="8"/>
        <v/>
      </c>
      <c r="S13" s="468" t="str">
        <f t="shared" si="9"/>
        <v/>
      </c>
      <c r="T13" s="468" t="str">
        <f t="shared" si="10"/>
        <v/>
      </c>
      <c r="U13" s="186" t="str">
        <f t="shared" si="11"/>
        <v/>
      </c>
      <c r="V13" s="468" t="str">
        <f t="shared" si="12"/>
        <v/>
      </c>
      <c r="W13" s="468" t="str">
        <f t="shared" si="13"/>
        <v/>
      </c>
      <c r="X13" s="468" t="str">
        <f t="shared" si="14"/>
        <v/>
      </c>
      <c r="Y13" s="283" t="str">
        <f t="shared" si="15"/>
        <v/>
      </c>
    </row>
    <row r="14" spans="1:25" ht="16.350000000000001" customHeight="1">
      <c r="A14" s="175">
        <f t="shared" si="0"/>
        <v>2021</v>
      </c>
      <c r="B14" s="454" t="str">
        <f t="shared" si="1"/>
        <v>09</v>
      </c>
      <c r="C14" s="454" t="str">
        <f t="array" ref="C14">_xlfn.IFS(_xlfn.NUMBERVALUE(B14)&lt;=13,"Q1",AND(_xlfn.NUMBERVALUE(B14)&gt;13,_xlfn.NUMBERVALUE(B14)&lt;=26),"Q2", AND(_xlfn.NUMBERVALUE(B14)&gt;26,_xlfn.NUMBERVALUE(B14)&lt;=39),"Q3",_xlfn.NUMBERVALUE(B14)&gt;39,"Q4")</f>
        <v>Q1</v>
      </c>
      <c r="D14" s="448">
        <f t="shared" si="16"/>
        <v>43918</v>
      </c>
      <c r="E14" s="448">
        <f t="shared" si="2"/>
        <v>43924</v>
      </c>
      <c r="F14" s="79">
        <v>202009</v>
      </c>
      <c r="G14" s="180">
        <f t="shared" si="3"/>
        <v>0</v>
      </c>
      <c r="H14" s="429"/>
      <c r="I14" s="429"/>
      <c r="J14" s="429"/>
      <c r="K14" s="180">
        <f t="shared" si="4"/>
        <v>0</v>
      </c>
      <c r="L14" s="429"/>
      <c r="M14" s="429"/>
      <c r="N14" s="532"/>
      <c r="O14" s="186" t="str">
        <f t="shared" si="5"/>
        <v/>
      </c>
      <c r="P14" s="468" t="str">
        <f t="shared" si="6"/>
        <v/>
      </c>
      <c r="Q14" s="468" t="str">
        <f t="shared" si="7"/>
        <v/>
      </c>
      <c r="R14" s="186" t="str">
        <f t="shared" si="8"/>
        <v/>
      </c>
      <c r="S14" s="468" t="str">
        <f t="shared" si="9"/>
        <v/>
      </c>
      <c r="T14" s="468" t="str">
        <f t="shared" si="10"/>
        <v/>
      </c>
      <c r="U14" s="186" t="str">
        <f t="shared" si="11"/>
        <v/>
      </c>
      <c r="V14" s="468" t="str">
        <f t="shared" si="12"/>
        <v/>
      </c>
      <c r="W14" s="468" t="str">
        <f t="shared" si="13"/>
        <v/>
      </c>
      <c r="X14" s="468" t="str">
        <f t="shared" si="14"/>
        <v/>
      </c>
      <c r="Y14" s="283" t="str">
        <f t="shared" si="15"/>
        <v/>
      </c>
    </row>
    <row r="15" spans="1:25" ht="16.350000000000001" customHeight="1">
      <c r="A15" s="175">
        <f t="shared" si="0"/>
        <v>2021</v>
      </c>
      <c r="B15" s="454" t="str">
        <f t="shared" si="1"/>
        <v>10</v>
      </c>
      <c r="C15" s="454" t="str">
        <f t="array" ref="C15">_xlfn.IFS(_xlfn.NUMBERVALUE(B15)&lt;=13,"Q1",AND(_xlfn.NUMBERVALUE(B15)&gt;13,_xlfn.NUMBERVALUE(B15)&lt;=26),"Q2", AND(_xlfn.NUMBERVALUE(B15)&gt;26,_xlfn.NUMBERVALUE(B15)&lt;=39),"Q3",_xlfn.NUMBERVALUE(B15)&gt;39,"Q4")</f>
        <v>Q1</v>
      </c>
      <c r="D15" s="448">
        <f t="shared" si="16"/>
        <v>43925</v>
      </c>
      <c r="E15" s="448">
        <f t="shared" si="2"/>
        <v>43931</v>
      </c>
      <c r="F15" s="79">
        <v>202010</v>
      </c>
      <c r="G15" s="180">
        <f t="shared" si="3"/>
        <v>0</v>
      </c>
      <c r="H15" s="429"/>
      <c r="I15" s="429"/>
      <c r="J15" s="429"/>
      <c r="K15" s="180">
        <f t="shared" si="4"/>
        <v>0</v>
      </c>
      <c r="L15" s="429"/>
      <c r="M15" s="429"/>
      <c r="N15" s="532"/>
      <c r="O15" s="186" t="str">
        <f t="shared" si="5"/>
        <v/>
      </c>
      <c r="P15" s="468" t="str">
        <f t="shared" si="6"/>
        <v/>
      </c>
      <c r="Q15" s="468" t="str">
        <f t="shared" si="7"/>
        <v/>
      </c>
      <c r="R15" s="186" t="str">
        <f t="shared" si="8"/>
        <v/>
      </c>
      <c r="S15" s="468" t="str">
        <f t="shared" si="9"/>
        <v/>
      </c>
      <c r="T15" s="468" t="str">
        <f t="shared" si="10"/>
        <v/>
      </c>
      <c r="U15" s="186" t="str">
        <f t="shared" si="11"/>
        <v/>
      </c>
      <c r="V15" s="468" t="str">
        <f t="shared" si="12"/>
        <v/>
      </c>
      <c r="W15" s="468" t="str">
        <f t="shared" si="13"/>
        <v/>
      </c>
      <c r="X15" s="468" t="str">
        <f t="shared" si="14"/>
        <v/>
      </c>
      <c r="Y15" s="283" t="str">
        <f t="shared" si="15"/>
        <v/>
      </c>
    </row>
    <row r="16" spans="1:25" ht="16.350000000000001" customHeight="1">
      <c r="A16" s="175">
        <f t="shared" si="0"/>
        <v>2021</v>
      </c>
      <c r="B16" s="454" t="str">
        <f t="shared" si="1"/>
        <v>11</v>
      </c>
      <c r="C16" s="454" t="str">
        <f t="array" ref="C16">_xlfn.IFS(_xlfn.NUMBERVALUE(B16)&lt;=13,"Q1",AND(_xlfn.NUMBERVALUE(B16)&gt;13,_xlfn.NUMBERVALUE(B16)&lt;=26),"Q2", AND(_xlfn.NUMBERVALUE(B16)&gt;26,_xlfn.NUMBERVALUE(B16)&lt;=39),"Q3",_xlfn.NUMBERVALUE(B16)&gt;39,"Q4")</f>
        <v>Q1</v>
      </c>
      <c r="D16" s="448">
        <f t="shared" si="16"/>
        <v>43932</v>
      </c>
      <c r="E16" s="448">
        <f t="shared" si="2"/>
        <v>43938</v>
      </c>
      <c r="F16" s="79">
        <v>202011</v>
      </c>
      <c r="G16" s="180">
        <f t="shared" si="3"/>
        <v>0</v>
      </c>
      <c r="H16" s="429"/>
      <c r="I16" s="429"/>
      <c r="J16" s="429"/>
      <c r="K16" s="180">
        <f t="shared" si="4"/>
        <v>0</v>
      </c>
      <c r="L16" s="429"/>
      <c r="M16" s="429"/>
      <c r="N16" s="532"/>
      <c r="O16" s="186" t="str">
        <f t="shared" si="5"/>
        <v/>
      </c>
      <c r="P16" s="468" t="str">
        <f t="shared" si="6"/>
        <v/>
      </c>
      <c r="Q16" s="468" t="str">
        <f t="shared" si="7"/>
        <v/>
      </c>
      <c r="R16" s="186" t="str">
        <f t="shared" si="8"/>
        <v/>
      </c>
      <c r="S16" s="468" t="str">
        <f t="shared" si="9"/>
        <v/>
      </c>
      <c r="T16" s="468" t="str">
        <f t="shared" si="10"/>
        <v/>
      </c>
      <c r="U16" s="186" t="str">
        <f t="shared" si="11"/>
        <v/>
      </c>
      <c r="V16" s="468" t="str">
        <f t="shared" si="12"/>
        <v/>
      </c>
      <c r="W16" s="468" t="str">
        <f t="shared" si="13"/>
        <v/>
      </c>
      <c r="X16" s="468" t="str">
        <f t="shared" si="14"/>
        <v/>
      </c>
      <c r="Y16" s="283" t="str">
        <f t="shared" si="15"/>
        <v/>
      </c>
    </row>
    <row r="17" spans="1:25" ht="16.350000000000001" customHeight="1">
      <c r="A17" s="175">
        <f t="shared" si="0"/>
        <v>2021</v>
      </c>
      <c r="B17" s="454" t="str">
        <f t="shared" si="1"/>
        <v>12</v>
      </c>
      <c r="C17" s="454" t="str">
        <f t="array" ref="C17">_xlfn.IFS(_xlfn.NUMBERVALUE(B17)&lt;=13,"Q1",AND(_xlfn.NUMBERVALUE(B17)&gt;13,_xlfn.NUMBERVALUE(B17)&lt;=26),"Q2", AND(_xlfn.NUMBERVALUE(B17)&gt;26,_xlfn.NUMBERVALUE(B17)&lt;=39),"Q3",_xlfn.NUMBERVALUE(B17)&gt;39,"Q4")</f>
        <v>Q1</v>
      </c>
      <c r="D17" s="448">
        <f t="shared" si="16"/>
        <v>43939</v>
      </c>
      <c r="E17" s="448">
        <f t="shared" si="2"/>
        <v>43945</v>
      </c>
      <c r="F17" s="79">
        <v>202012</v>
      </c>
      <c r="G17" s="180">
        <f t="shared" si="3"/>
        <v>0</v>
      </c>
      <c r="H17" s="429"/>
      <c r="I17" s="429"/>
      <c r="J17" s="429"/>
      <c r="K17" s="180">
        <f t="shared" si="4"/>
        <v>0</v>
      </c>
      <c r="L17" s="429"/>
      <c r="M17" s="429"/>
      <c r="N17" s="532"/>
      <c r="O17" s="186" t="str">
        <f t="shared" si="5"/>
        <v/>
      </c>
      <c r="P17" s="468" t="str">
        <f t="shared" si="6"/>
        <v/>
      </c>
      <c r="Q17" s="468" t="str">
        <f t="shared" si="7"/>
        <v/>
      </c>
      <c r="R17" s="186" t="str">
        <f t="shared" si="8"/>
        <v/>
      </c>
      <c r="S17" s="468" t="str">
        <f t="shared" si="9"/>
        <v/>
      </c>
      <c r="T17" s="468" t="str">
        <f t="shared" si="10"/>
        <v/>
      </c>
      <c r="U17" s="186" t="str">
        <f t="shared" si="11"/>
        <v/>
      </c>
      <c r="V17" s="468" t="str">
        <f t="shared" si="12"/>
        <v/>
      </c>
      <c r="W17" s="468" t="str">
        <f t="shared" si="13"/>
        <v/>
      </c>
      <c r="X17" s="468" t="str">
        <f t="shared" si="14"/>
        <v/>
      </c>
      <c r="Y17" s="283" t="str">
        <f t="shared" si="15"/>
        <v/>
      </c>
    </row>
    <row r="18" spans="1:25" ht="16.350000000000001" customHeight="1">
      <c r="A18" s="175">
        <f t="shared" si="0"/>
        <v>2021</v>
      </c>
      <c r="B18" s="454" t="str">
        <f t="shared" si="1"/>
        <v>13</v>
      </c>
      <c r="C18" s="454" t="str">
        <f t="array" ref="C18">_xlfn.IFS(_xlfn.NUMBERVALUE(B18)&lt;=13,"Q1",AND(_xlfn.NUMBERVALUE(B18)&gt;13,_xlfn.NUMBERVALUE(B18)&lt;=26),"Q2", AND(_xlfn.NUMBERVALUE(B18)&gt;26,_xlfn.NUMBERVALUE(B18)&lt;=39),"Q3",_xlfn.NUMBERVALUE(B18)&gt;39,"Q4")</f>
        <v>Q1</v>
      </c>
      <c r="D18" s="448">
        <f t="shared" si="16"/>
        <v>43946</v>
      </c>
      <c r="E18" s="448">
        <f t="shared" si="2"/>
        <v>43952</v>
      </c>
      <c r="F18" s="79">
        <v>202013</v>
      </c>
      <c r="G18" s="180">
        <f t="shared" si="3"/>
        <v>0</v>
      </c>
      <c r="H18" s="429"/>
      <c r="I18" s="429"/>
      <c r="J18" s="429"/>
      <c r="K18" s="180">
        <f t="shared" si="4"/>
        <v>0</v>
      </c>
      <c r="L18" s="429"/>
      <c r="M18" s="429"/>
      <c r="N18" s="532"/>
      <c r="O18" s="186" t="str">
        <f t="shared" si="5"/>
        <v/>
      </c>
      <c r="P18" s="468" t="str">
        <f t="shared" si="6"/>
        <v/>
      </c>
      <c r="Q18" s="468" t="str">
        <f t="shared" si="7"/>
        <v/>
      </c>
      <c r="R18" s="186" t="str">
        <f t="shared" si="8"/>
        <v/>
      </c>
      <c r="S18" s="468" t="str">
        <f t="shared" si="9"/>
        <v/>
      </c>
      <c r="T18" s="468" t="str">
        <f t="shared" si="10"/>
        <v/>
      </c>
      <c r="U18" s="186" t="str">
        <f t="shared" si="11"/>
        <v/>
      </c>
      <c r="V18" s="468" t="str">
        <f t="shared" si="12"/>
        <v/>
      </c>
      <c r="W18" s="468" t="str">
        <f t="shared" si="13"/>
        <v/>
      </c>
      <c r="X18" s="468" t="str">
        <f t="shared" si="14"/>
        <v/>
      </c>
      <c r="Y18" s="283" t="str">
        <f t="shared" si="15"/>
        <v/>
      </c>
    </row>
    <row r="19" spans="1:25" ht="16.350000000000001" customHeight="1">
      <c r="A19" s="175">
        <f t="shared" si="0"/>
        <v>2021</v>
      </c>
      <c r="B19" s="454" t="str">
        <f t="shared" si="1"/>
        <v>14</v>
      </c>
      <c r="C19" s="454" t="str">
        <f t="array" ref="C19">_xlfn.IFS(_xlfn.NUMBERVALUE(B19)&lt;=13,"Q1",AND(_xlfn.NUMBERVALUE(B19)&gt;13,_xlfn.NUMBERVALUE(B19)&lt;=26),"Q2", AND(_xlfn.NUMBERVALUE(B19)&gt;26,_xlfn.NUMBERVALUE(B19)&lt;=39),"Q3",_xlfn.NUMBERVALUE(B19)&gt;39,"Q4")</f>
        <v>Q2</v>
      </c>
      <c r="D19" s="448">
        <f t="shared" si="16"/>
        <v>43953</v>
      </c>
      <c r="E19" s="448">
        <f t="shared" si="2"/>
        <v>43959</v>
      </c>
      <c r="F19" s="79">
        <v>202014</v>
      </c>
      <c r="G19" s="180">
        <f t="shared" si="3"/>
        <v>0</v>
      </c>
      <c r="H19" s="429"/>
      <c r="I19" s="429"/>
      <c r="J19" s="429"/>
      <c r="K19" s="180">
        <f t="shared" si="4"/>
        <v>0</v>
      </c>
      <c r="L19" s="429"/>
      <c r="M19" s="429"/>
      <c r="N19" s="532"/>
      <c r="O19" s="186" t="str">
        <f t="shared" si="5"/>
        <v/>
      </c>
      <c r="P19" s="468" t="str">
        <f t="shared" si="6"/>
        <v/>
      </c>
      <c r="Q19" s="468" t="str">
        <f t="shared" si="7"/>
        <v/>
      </c>
      <c r="R19" s="186" t="str">
        <f t="shared" si="8"/>
        <v/>
      </c>
      <c r="S19" s="468" t="str">
        <f t="shared" si="9"/>
        <v/>
      </c>
      <c r="T19" s="468" t="str">
        <f t="shared" si="10"/>
        <v/>
      </c>
      <c r="U19" s="186" t="str">
        <f t="shared" si="11"/>
        <v/>
      </c>
      <c r="V19" s="468" t="str">
        <f t="shared" si="12"/>
        <v/>
      </c>
      <c r="W19" s="468" t="str">
        <f t="shared" si="13"/>
        <v/>
      </c>
      <c r="X19" s="468" t="str">
        <f t="shared" si="14"/>
        <v/>
      </c>
      <c r="Y19" s="283" t="str">
        <f t="shared" si="15"/>
        <v/>
      </c>
    </row>
    <row r="20" spans="1:25" ht="16.350000000000001" customHeight="1">
      <c r="A20" s="175">
        <f t="shared" si="0"/>
        <v>2021</v>
      </c>
      <c r="B20" s="454" t="str">
        <f t="shared" si="1"/>
        <v>15</v>
      </c>
      <c r="C20" s="454" t="str">
        <f t="array" ref="C20">_xlfn.IFS(_xlfn.NUMBERVALUE(B20)&lt;=13,"Q1",AND(_xlfn.NUMBERVALUE(B20)&gt;13,_xlfn.NUMBERVALUE(B20)&lt;=26),"Q2", AND(_xlfn.NUMBERVALUE(B20)&gt;26,_xlfn.NUMBERVALUE(B20)&lt;=39),"Q3",_xlfn.NUMBERVALUE(B20)&gt;39,"Q4")</f>
        <v>Q2</v>
      </c>
      <c r="D20" s="448">
        <f t="shared" si="16"/>
        <v>43960</v>
      </c>
      <c r="E20" s="448">
        <f t="shared" si="2"/>
        <v>43966</v>
      </c>
      <c r="F20" s="79">
        <v>202015</v>
      </c>
      <c r="G20" s="180">
        <f t="shared" si="3"/>
        <v>0</v>
      </c>
      <c r="H20" s="429"/>
      <c r="I20" s="429"/>
      <c r="J20" s="429"/>
      <c r="K20" s="180">
        <f t="shared" si="4"/>
        <v>0</v>
      </c>
      <c r="L20" s="429"/>
      <c r="M20" s="429"/>
      <c r="N20" s="532"/>
      <c r="O20" s="186" t="str">
        <f t="shared" si="5"/>
        <v/>
      </c>
      <c r="P20" s="468" t="str">
        <f t="shared" si="6"/>
        <v/>
      </c>
      <c r="Q20" s="468" t="str">
        <f t="shared" si="7"/>
        <v/>
      </c>
      <c r="R20" s="186" t="str">
        <f t="shared" si="8"/>
        <v/>
      </c>
      <c r="S20" s="468" t="str">
        <f t="shared" si="9"/>
        <v/>
      </c>
      <c r="T20" s="468" t="str">
        <f t="shared" si="10"/>
        <v/>
      </c>
      <c r="U20" s="186" t="str">
        <f t="shared" si="11"/>
        <v/>
      </c>
      <c r="V20" s="468" t="str">
        <f t="shared" si="12"/>
        <v/>
      </c>
      <c r="W20" s="468" t="str">
        <f t="shared" si="13"/>
        <v/>
      </c>
      <c r="X20" s="468" t="str">
        <f t="shared" si="14"/>
        <v/>
      </c>
      <c r="Y20" s="283" t="str">
        <f t="shared" si="15"/>
        <v/>
      </c>
    </row>
    <row r="21" spans="1:25" ht="16.350000000000001" customHeight="1">
      <c r="A21" s="175">
        <f t="shared" si="0"/>
        <v>2021</v>
      </c>
      <c r="B21" s="454" t="str">
        <f t="shared" si="1"/>
        <v>16</v>
      </c>
      <c r="C21" s="454" t="str">
        <f t="array" ref="C21">_xlfn.IFS(_xlfn.NUMBERVALUE(B21)&lt;=13,"Q1",AND(_xlfn.NUMBERVALUE(B21)&gt;13,_xlfn.NUMBERVALUE(B21)&lt;=26),"Q2", AND(_xlfn.NUMBERVALUE(B21)&gt;26,_xlfn.NUMBERVALUE(B21)&lt;=39),"Q3",_xlfn.NUMBERVALUE(B21)&gt;39,"Q4")</f>
        <v>Q2</v>
      </c>
      <c r="D21" s="448">
        <f t="shared" si="16"/>
        <v>43967</v>
      </c>
      <c r="E21" s="448">
        <f t="shared" si="2"/>
        <v>43973</v>
      </c>
      <c r="F21" s="79">
        <v>202016</v>
      </c>
      <c r="G21" s="180">
        <f t="shared" si="3"/>
        <v>0</v>
      </c>
      <c r="H21" s="429"/>
      <c r="I21" s="429"/>
      <c r="J21" s="429"/>
      <c r="K21" s="180">
        <f t="shared" si="4"/>
        <v>0</v>
      </c>
      <c r="L21" s="429"/>
      <c r="M21" s="429"/>
      <c r="N21" s="532"/>
      <c r="O21" s="186" t="str">
        <f t="shared" si="5"/>
        <v/>
      </c>
      <c r="P21" s="468" t="str">
        <f t="shared" si="6"/>
        <v/>
      </c>
      <c r="Q21" s="468" t="str">
        <f t="shared" si="7"/>
        <v/>
      </c>
      <c r="R21" s="186" t="str">
        <f t="shared" si="8"/>
        <v/>
      </c>
      <c r="S21" s="468" t="str">
        <f t="shared" si="9"/>
        <v/>
      </c>
      <c r="T21" s="468" t="str">
        <f t="shared" si="10"/>
        <v/>
      </c>
      <c r="U21" s="186" t="str">
        <f t="shared" si="11"/>
        <v/>
      </c>
      <c r="V21" s="468" t="str">
        <f t="shared" si="12"/>
        <v/>
      </c>
      <c r="W21" s="468" t="str">
        <f t="shared" si="13"/>
        <v/>
      </c>
      <c r="X21" s="468" t="str">
        <f t="shared" si="14"/>
        <v/>
      </c>
      <c r="Y21" s="283" t="str">
        <f t="shared" si="15"/>
        <v/>
      </c>
    </row>
    <row r="22" spans="1:25" ht="16.350000000000001" customHeight="1">
      <c r="A22" s="175">
        <f t="shared" si="0"/>
        <v>2021</v>
      </c>
      <c r="B22" s="454" t="str">
        <f t="shared" si="1"/>
        <v>17</v>
      </c>
      <c r="C22" s="454" t="str">
        <f t="array" ref="C22">_xlfn.IFS(_xlfn.NUMBERVALUE(B22)&lt;=13,"Q1",AND(_xlfn.NUMBERVALUE(B22)&gt;13,_xlfn.NUMBERVALUE(B22)&lt;=26),"Q2", AND(_xlfn.NUMBERVALUE(B22)&gt;26,_xlfn.NUMBERVALUE(B22)&lt;=39),"Q3",_xlfn.NUMBERVALUE(B22)&gt;39,"Q4")</f>
        <v>Q2</v>
      </c>
      <c r="D22" s="448">
        <f t="shared" si="16"/>
        <v>43974</v>
      </c>
      <c r="E22" s="448">
        <f t="shared" si="2"/>
        <v>43980</v>
      </c>
      <c r="F22" s="79">
        <v>202017</v>
      </c>
      <c r="G22" s="180">
        <f t="shared" si="3"/>
        <v>0</v>
      </c>
      <c r="H22" s="429"/>
      <c r="I22" s="429"/>
      <c r="J22" s="429"/>
      <c r="K22" s="180">
        <f t="shared" si="4"/>
        <v>0</v>
      </c>
      <c r="L22" s="429"/>
      <c r="M22" s="429"/>
      <c r="N22" s="532"/>
      <c r="O22" s="186" t="str">
        <f t="shared" si="5"/>
        <v/>
      </c>
      <c r="P22" s="468" t="str">
        <f t="shared" si="6"/>
        <v/>
      </c>
      <c r="Q22" s="468" t="str">
        <f t="shared" si="7"/>
        <v/>
      </c>
      <c r="R22" s="186" t="str">
        <f t="shared" si="8"/>
        <v/>
      </c>
      <c r="S22" s="468" t="str">
        <f t="shared" si="9"/>
        <v/>
      </c>
      <c r="T22" s="468" t="str">
        <f t="shared" si="10"/>
        <v/>
      </c>
      <c r="U22" s="186" t="str">
        <f t="shared" si="11"/>
        <v/>
      </c>
      <c r="V22" s="468" t="str">
        <f t="shared" si="12"/>
        <v/>
      </c>
      <c r="W22" s="468" t="str">
        <f t="shared" si="13"/>
        <v/>
      </c>
      <c r="X22" s="468" t="str">
        <f t="shared" si="14"/>
        <v/>
      </c>
      <c r="Y22" s="283" t="str">
        <f t="shared" si="15"/>
        <v/>
      </c>
    </row>
    <row r="23" spans="1:25" ht="16.350000000000001" customHeight="1">
      <c r="A23" s="175">
        <f t="shared" si="0"/>
        <v>2021</v>
      </c>
      <c r="B23" s="454" t="str">
        <f t="shared" si="1"/>
        <v>18</v>
      </c>
      <c r="C23" s="454" t="str">
        <f t="array" ref="C23">_xlfn.IFS(_xlfn.NUMBERVALUE(B23)&lt;=13,"Q1",AND(_xlfn.NUMBERVALUE(B23)&gt;13,_xlfn.NUMBERVALUE(B23)&lt;=26),"Q2", AND(_xlfn.NUMBERVALUE(B23)&gt;26,_xlfn.NUMBERVALUE(B23)&lt;=39),"Q3",_xlfn.NUMBERVALUE(B23)&gt;39,"Q4")</f>
        <v>Q2</v>
      </c>
      <c r="D23" s="448">
        <f t="shared" si="16"/>
        <v>43981</v>
      </c>
      <c r="E23" s="448">
        <f t="shared" si="2"/>
        <v>43987</v>
      </c>
      <c r="F23" s="79">
        <v>202018</v>
      </c>
      <c r="G23" s="180">
        <f t="shared" si="3"/>
        <v>0</v>
      </c>
      <c r="H23" s="429"/>
      <c r="I23" s="429"/>
      <c r="J23" s="429"/>
      <c r="K23" s="180">
        <f t="shared" si="4"/>
        <v>0</v>
      </c>
      <c r="L23" s="429"/>
      <c r="M23" s="429"/>
      <c r="N23" s="532"/>
      <c r="O23" s="186" t="str">
        <f t="shared" si="5"/>
        <v/>
      </c>
      <c r="P23" s="468" t="str">
        <f t="shared" si="6"/>
        <v/>
      </c>
      <c r="Q23" s="468" t="str">
        <f t="shared" si="7"/>
        <v/>
      </c>
      <c r="R23" s="186" t="str">
        <f t="shared" si="8"/>
        <v/>
      </c>
      <c r="S23" s="468" t="str">
        <f t="shared" si="9"/>
        <v/>
      </c>
      <c r="T23" s="468" t="str">
        <f t="shared" si="10"/>
        <v/>
      </c>
      <c r="U23" s="186" t="str">
        <f t="shared" si="11"/>
        <v/>
      </c>
      <c r="V23" s="468" t="str">
        <f t="shared" si="12"/>
        <v/>
      </c>
      <c r="W23" s="468" t="str">
        <f t="shared" si="13"/>
        <v/>
      </c>
      <c r="X23" s="468" t="str">
        <f t="shared" si="14"/>
        <v/>
      </c>
      <c r="Y23" s="283" t="str">
        <f t="shared" si="15"/>
        <v/>
      </c>
    </row>
    <row r="24" spans="1:25" ht="16.350000000000001" customHeight="1">
      <c r="A24" s="175">
        <f t="shared" si="0"/>
        <v>2021</v>
      </c>
      <c r="B24" s="454" t="str">
        <f t="shared" si="1"/>
        <v>19</v>
      </c>
      <c r="C24" s="454" t="str">
        <f t="array" ref="C24">_xlfn.IFS(_xlfn.NUMBERVALUE(B24)&lt;=13,"Q1",AND(_xlfn.NUMBERVALUE(B24)&gt;13,_xlfn.NUMBERVALUE(B24)&lt;=26),"Q2", AND(_xlfn.NUMBERVALUE(B24)&gt;26,_xlfn.NUMBERVALUE(B24)&lt;=39),"Q3",_xlfn.NUMBERVALUE(B24)&gt;39,"Q4")</f>
        <v>Q2</v>
      </c>
      <c r="D24" s="448">
        <f t="shared" si="16"/>
        <v>43988</v>
      </c>
      <c r="E24" s="448">
        <f t="shared" si="2"/>
        <v>43994</v>
      </c>
      <c r="F24" s="79">
        <v>202019</v>
      </c>
      <c r="G24" s="180">
        <f t="shared" si="3"/>
        <v>0</v>
      </c>
      <c r="H24" s="429"/>
      <c r="I24" s="429"/>
      <c r="J24" s="429"/>
      <c r="K24" s="180">
        <f t="shared" si="4"/>
        <v>0</v>
      </c>
      <c r="L24" s="429"/>
      <c r="M24" s="429"/>
      <c r="N24" s="532"/>
      <c r="O24" s="186" t="str">
        <f t="shared" si="5"/>
        <v/>
      </c>
      <c r="P24" s="468" t="str">
        <f t="shared" si="6"/>
        <v/>
      </c>
      <c r="Q24" s="468" t="str">
        <f t="shared" si="7"/>
        <v/>
      </c>
      <c r="R24" s="186" t="str">
        <f t="shared" si="8"/>
        <v/>
      </c>
      <c r="S24" s="468" t="str">
        <f t="shared" si="9"/>
        <v/>
      </c>
      <c r="T24" s="468" t="str">
        <f t="shared" si="10"/>
        <v/>
      </c>
      <c r="U24" s="186" t="str">
        <f t="shared" si="11"/>
        <v/>
      </c>
      <c r="V24" s="468" t="str">
        <f t="shared" si="12"/>
        <v/>
      </c>
      <c r="W24" s="468" t="str">
        <f t="shared" si="13"/>
        <v/>
      </c>
      <c r="X24" s="468" t="str">
        <f t="shared" si="14"/>
        <v/>
      </c>
      <c r="Y24" s="283" t="str">
        <f t="shared" si="15"/>
        <v/>
      </c>
    </row>
    <row r="25" spans="1:25" ht="16.350000000000001" customHeight="1">
      <c r="A25" s="175">
        <f t="shared" si="0"/>
        <v>2021</v>
      </c>
      <c r="B25" s="454" t="str">
        <f t="shared" si="1"/>
        <v>20</v>
      </c>
      <c r="C25" s="454" t="str">
        <f t="array" ref="C25">_xlfn.IFS(_xlfn.NUMBERVALUE(B25)&lt;=13,"Q1",AND(_xlfn.NUMBERVALUE(B25)&gt;13,_xlfn.NUMBERVALUE(B25)&lt;=26),"Q2", AND(_xlfn.NUMBERVALUE(B25)&gt;26,_xlfn.NUMBERVALUE(B25)&lt;=39),"Q3",_xlfn.NUMBERVALUE(B25)&gt;39,"Q4")</f>
        <v>Q2</v>
      </c>
      <c r="D25" s="448">
        <f t="shared" si="16"/>
        <v>43995</v>
      </c>
      <c r="E25" s="448">
        <f t="shared" si="2"/>
        <v>44001</v>
      </c>
      <c r="F25" s="79">
        <v>202020</v>
      </c>
      <c r="G25" s="180">
        <f t="shared" si="3"/>
        <v>0</v>
      </c>
      <c r="H25" s="429"/>
      <c r="I25" s="429"/>
      <c r="J25" s="429"/>
      <c r="K25" s="180">
        <f t="shared" si="4"/>
        <v>0</v>
      </c>
      <c r="L25" s="429"/>
      <c r="M25" s="429"/>
      <c r="N25" s="532"/>
      <c r="O25" s="186" t="str">
        <f t="shared" si="5"/>
        <v/>
      </c>
      <c r="P25" s="468" t="str">
        <f t="shared" si="6"/>
        <v/>
      </c>
      <c r="Q25" s="468" t="str">
        <f t="shared" si="7"/>
        <v/>
      </c>
      <c r="R25" s="186" t="str">
        <f t="shared" si="8"/>
        <v/>
      </c>
      <c r="S25" s="468" t="str">
        <f t="shared" si="9"/>
        <v/>
      </c>
      <c r="T25" s="468" t="str">
        <f t="shared" si="10"/>
        <v/>
      </c>
      <c r="U25" s="186" t="str">
        <f t="shared" si="11"/>
        <v/>
      </c>
      <c r="V25" s="468" t="str">
        <f t="shared" si="12"/>
        <v/>
      </c>
      <c r="W25" s="468" t="str">
        <f t="shared" si="13"/>
        <v/>
      </c>
      <c r="X25" s="468" t="str">
        <f t="shared" si="14"/>
        <v/>
      </c>
      <c r="Y25" s="283" t="str">
        <f t="shared" si="15"/>
        <v/>
      </c>
    </row>
    <row r="26" spans="1:25" ht="16.350000000000001" customHeight="1">
      <c r="A26" s="175">
        <f t="shared" si="0"/>
        <v>2021</v>
      </c>
      <c r="B26" s="454" t="str">
        <f t="shared" si="1"/>
        <v>21</v>
      </c>
      <c r="C26" s="454" t="str">
        <f t="array" ref="C26">_xlfn.IFS(_xlfn.NUMBERVALUE(B26)&lt;=13,"Q1",AND(_xlfn.NUMBERVALUE(B26)&gt;13,_xlfn.NUMBERVALUE(B26)&lt;=26),"Q2", AND(_xlfn.NUMBERVALUE(B26)&gt;26,_xlfn.NUMBERVALUE(B26)&lt;=39),"Q3",_xlfn.NUMBERVALUE(B26)&gt;39,"Q4")</f>
        <v>Q2</v>
      </c>
      <c r="D26" s="448">
        <f t="shared" si="16"/>
        <v>44002</v>
      </c>
      <c r="E26" s="448">
        <f t="shared" si="2"/>
        <v>44008</v>
      </c>
      <c r="F26" s="79">
        <v>202021</v>
      </c>
      <c r="G26" s="180">
        <f t="shared" si="3"/>
        <v>0</v>
      </c>
      <c r="H26" s="429"/>
      <c r="I26" s="429"/>
      <c r="J26" s="429"/>
      <c r="K26" s="180">
        <f t="shared" si="4"/>
        <v>0</v>
      </c>
      <c r="L26" s="429"/>
      <c r="M26" s="429"/>
      <c r="N26" s="532"/>
      <c r="O26" s="186" t="str">
        <f t="shared" si="5"/>
        <v/>
      </c>
      <c r="P26" s="468" t="str">
        <f t="shared" si="6"/>
        <v/>
      </c>
      <c r="Q26" s="468" t="str">
        <f t="shared" si="7"/>
        <v/>
      </c>
      <c r="R26" s="186" t="str">
        <f t="shared" si="8"/>
        <v/>
      </c>
      <c r="S26" s="468" t="str">
        <f t="shared" si="9"/>
        <v/>
      </c>
      <c r="T26" s="468" t="str">
        <f t="shared" si="10"/>
        <v/>
      </c>
      <c r="U26" s="186" t="str">
        <f t="shared" si="11"/>
        <v/>
      </c>
      <c r="V26" s="468" t="str">
        <f t="shared" si="12"/>
        <v/>
      </c>
      <c r="W26" s="468" t="str">
        <f t="shared" si="13"/>
        <v/>
      </c>
      <c r="X26" s="468" t="str">
        <f t="shared" si="14"/>
        <v/>
      </c>
      <c r="Y26" s="283" t="str">
        <f t="shared" si="15"/>
        <v/>
      </c>
    </row>
    <row r="27" spans="1:25" ht="16.350000000000001" customHeight="1">
      <c r="A27" s="175">
        <f t="shared" si="0"/>
        <v>2021</v>
      </c>
      <c r="B27" s="454" t="str">
        <f t="shared" si="1"/>
        <v>22</v>
      </c>
      <c r="C27" s="454" t="str">
        <f t="array" ref="C27">_xlfn.IFS(_xlfn.NUMBERVALUE(B27)&lt;=13,"Q1",AND(_xlfn.NUMBERVALUE(B27)&gt;13,_xlfn.NUMBERVALUE(B27)&lt;=26),"Q2", AND(_xlfn.NUMBERVALUE(B27)&gt;26,_xlfn.NUMBERVALUE(B27)&lt;=39),"Q3",_xlfn.NUMBERVALUE(B27)&gt;39,"Q4")</f>
        <v>Q2</v>
      </c>
      <c r="D27" s="448">
        <f t="shared" si="16"/>
        <v>44009</v>
      </c>
      <c r="E27" s="448">
        <f t="shared" si="2"/>
        <v>44015</v>
      </c>
      <c r="F27" s="79">
        <v>202022</v>
      </c>
      <c r="G27" s="180">
        <f t="shared" si="3"/>
        <v>0</v>
      </c>
      <c r="H27" s="429"/>
      <c r="I27" s="429"/>
      <c r="J27" s="429"/>
      <c r="K27" s="180">
        <f t="shared" si="4"/>
        <v>0</v>
      </c>
      <c r="L27" s="429"/>
      <c r="M27" s="429"/>
      <c r="N27" s="532"/>
      <c r="O27" s="186" t="str">
        <f t="shared" si="5"/>
        <v/>
      </c>
      <c r="P27" s="468" t="str">
        <f t="shared" si="6"/>
        <v/>
      </c>
      <c r="Q27" s="468" t="str">
        <f t="shared" si="7"/>
        <v/>
      </c>
      <c r="R27" s="186" t="str">
        <f t="shared" si="8"/>
        <v/>
      </c>
      <c r="S27" s="468" t="str">
        <f t="shared" si="9"/>
        <v/>
      </c>
      <c r="T27" s="468" t="str">
        <f t="shared" si="10"/>
        <v/>
      </c>
      <c r="U27" s="186" t="str">
        <f t="shared" si="11"/>
        <v/>
      </c>
      <c r="V27" s="468" t="str">
        <f t="shared" si="12"/>
        <v/>
      </c>
      <c r="W27" s="468" t="str">
        <f t="shared" si="13"/>
        <v/>
      </c>
      <c r="X27" s="468" t="str">
        <f t="shared" si="14"/>
        <v/>
      </c>
      <c r="Y27" s="283" t="str">
        <f t="shared" si="15"/>
        <v/>
      </c>
    </row>
    <row r="28" spans="1:25" ht="16.350000000000001" customHeight="1">
      <c r="A28" s="175">
        <f t="shared" si="0"/>
        <v>2021</v>
      </c>
      <c r="B28" s="454" t="str">
        <f t="shared" si="1"/>
        <v>23</v>
      </c>
      <c r="C28" s="454" t="str">
        <f t="array" ref="C28">_xlfn.IFS(_xlfn.NUMBERVALUE(B28)&lt;=13,"Q1",AND(_xlfn.NUMBERVALUE(B28)&gt;13,_xlfn.NUMBERVALUE(B28)&lt;=26),"Q2", AND(_xlfn.NUMBERVALUE(B28)&gt;26,_xlfn.NUMBERVALUE(B28)&lt;=39),"Q3",_xlfn.NUMBERVALUE(B28)&gt;39,"Q4")</f>
        <v>Q2</v>
      </c>
      <c r="D28" s="448">
        <f t="shared" si="16"/>
        <v>44016</v>
      </c>
      <c r="E28" s="448">
        <f t="shared" si="2"/>
        <v>44022</v>
      </c>
      <c r="F28" s="79">
        <v>202023</v>
      </c>
      <c r="G28" s="180">
        <f t="shared" si="3"/>
        <v>0</v>
      </c>
      <c r="H28" s="429"/>
      <c r="I28" s="429"/>
      <c r="J28" s="429"/>
      <c r="K28" s="180">
        <f t="shared" si="4"/>
        <v>0</v>
      </c>
      <c r="L28" s="429"/>
      <c r="M28" s="429"/>
      <c r="N28" s="532"/>
      <c r="O28" s="186" t="str">
        <f t="shared" si="5"/>
        <v/>
      </c>
      <c r="P28" s="468" t="str">
        <f t="shared" si="6"/>
        <v/>
      </c>
      <c r="Q28" s="468" t="str">
        <f t="shared" si="7"/>
        <v/>
      </c>
      <c r="R28" s="186" t="str">
        <f t="shared" si="8"/>
        <v/>
      </c>
      <c r="S28" s="468" t="str">
        <f t="shared" si="9"/>
        <v/>
      </c>
      <c r="T28" s="468" t="str">
        <f t="shared" si="10"/>
        <v/>
      </c>
      <c r="U28" s="186" t="str">
        <f t="shared" si="11"/>
        <v/>
      </c>
      <c r="V28" s="468" t="str">
        <f t="shared" si="12"/>
        <v/>
      </c>
      <c r="W28" s="468" t="str">
        <f t="shared" si="13"/>
        <v/>
      </c>
      <c r="X28" s="468" t="str">
        <f t="shared" si="14"/>
        <v/>
      </c>
      <c r="Y28" s="283" t="str">
        <f t="shared" si="15"/>
        <v/>
      </c>
    </row>
    <row r="29" spans="1:25" ht="16.350000000000001" customHeight="1">
      <c r="A29" s="175">
        <f t="shared" si="0"/>
        <v>2021</v>
      </c>
      <c r="B29" s="454" t="str">
        <f t="shared" si="1"/>
        <v>24</v>
      </c>
      <c r="C29" s="454" t="str">
        <f t="array" ref="C29">_xlfn.IFS(_xlfn.NUMBERVALUE(B29)&lt;=13,"Q1",AND(_xlfn.NUMBERVALUE(B29)&gt;13,_xlfn.NUMBERVALUE(B29)&lt;=26),"Q2", AND(_xlfn.NUMBERVALUE(B29)&gt;26,_xlfn.NUMBERVALUE(B29)&lt;=39),"Q3",_xlfn.NUMBERVALUE(B29)&gt;39,"Q4")</f>
        <v>Q2</v>
      </c>
      <c r="D29" s="448">
        <f t="shared" si="16"/>
        <v>44023</v>
      </c>
      <c r="E29" s="448">
        <f t="shared" si="2"/>
        <v>44029</v>
      </c>
      <c r="F29" s="79">
        <v>202024</v>
      </c>
      <c r="G29" s="180">
        <f t="shared" si="3"/>
        <v>0</v>
      </c>
      <c r="H29" s="429"/>
      <c r="I29" s="429"/>
      <c r="J29" s="429"/>
      <c r="K29" s="180">
        <f t="shared" si="4"/>
        <v>0</v>
      </c>
      <c r="L29" s="429"/>
      <c r="M29" s="429"/>
      <c r="N29" s="532"/>
      <c r="O29" s="186" t="str">
        <f t="shared" si="5"/>
        <v/>
      </c>
      <c r="P29" s="468" t="str">
        <f t="shared" si="6"/>
        <v/>
      </c>
      <c r="Q29" s="468" t="str">
        <f t="shared" si="7"/>
        <v/>
      </c>
      <c r="R29" s="186" t="str">
        <f t="shared" si="8"/>
        <v/>
      </c>
      <c r="S29" s="468" t="str">
        <f t="shared" si="9"/>
        <v/>
      </c>
      <c r="T29" s="468" t="str">
        <f t="shared" si="10"/>
        <v/>
      </c>
      <c r="U29" s="186" t="str">
        <f t="shared" si="11"/>
        <v/>
      </c>
      <c r="V29" s="468" t="str">
        <f t="shared" si="12"/>
        <v/>
      </c>
      <c r="W29" s="468" t="str">
        <f t="shared" si="13"/>
        <v/>
      </c>
      <c r="X29" s="468" t="str">
        <f t="shared" si="14"/>
        <v/>
      </c>
      <c r="Y29" s="283" t="str">
        <f t="shared" si="15"/>
        <v/>
      </c>
    </row>
    <row r="30" spans="1:25" ht="16.350000000000001" customHeight="1">
      <c r="A30" s="175">
        <f t="shared" si="0"/>
        <v>2021</v>
      </c>
      <c r="B30" s="454" t="str">
        <f t="shared" si="1"/>
        <v>25</v>
      </c>
      <c r="C30" s="454" t="str">
        <f t="array" ref="C30">_xlfn.IFS(_xlfn.NUMBERVALUE(B30)&lt;=13,"Q1",AND(_xlfn.NUMBERVALUE(B30)&gt;13,_xlfn.NUMBERVALUE(B30)&lt;=26),"Q2", AND(_xlfn.NUMBERVALUE(B30)&gt;26,_xlfn.NUMBERVALUE(B30)&lt;=39),"Q3",_xlfn.NUMBERVALUE(B30)&gt;39,"Q4")</f>
        <v>Q2</v>
      </c>
      <c r="D30" s="448">
        <f t="shared" si="16"/>
        <v>44030</v>
      </c>
      <c r="E30" s="448">
        <f t="shared" si="2"/>
        <v>44036</v>
      </c>
      <c r="F30" s="79">
        <v>202025</v>
      </c>
      <c r="G30" s="180">
        <f t="shared" si="3"/>
        <v>0</v>
      </c>
      <c r="H30" s="429"/>
      <c r="I30" s="429"/>
      <c r="J30" s="429"/>
      <c r="K30" s="180">
        <f t="shared" si="4"/>
        <v>0</v>
      </c>
      <c r="L30" s="429"/>
      <c r="M30" s="429"/>
      <c r="N30" s="532"/>
      <c r="O30" s="186" t="str">
        <f t="shared" si="5"/>
        <v/>
      </c>
      <c r="P30" s="468" t="str">
        <f t="shared" si="6"/>
        <v/>
      </c>
      <c r="Q30" s="468" t="str">
        <f t="shared" si="7"/>
        <v/>
      </c>
      <c r="R30" s="186" t="str">
        <f t="shared" si="8"/>
        <v/>
      </c>
      <c r="S30" s="468" t="str">
        <f t="shared" si="9"/>
        <v/>
      </c>
      <c r="T30" s="468" t="str">
        <f t="shared" si="10"/>
        <v/>
      </c>
      <c r="U30" s="186" t="str">
        <f t="shared" si="11"/>
        <v/>
      </c>
      <c r="V30" s="468" t="str">
        <f t="shared" si="12"/>
        <v/>
      </c>
      <c r="W30" s="468" t="str">
        <f t="shared" si="13"/>
        <v/>
      </c>
      <c r="X30" s="468" t="str">
        <f t="shared" si="14"/>
        <v/>
      </c>
      <c r="Y30" s="283" t="str">
        <f t="shared" si="15"/>
        <v/>
      </c>
    </row>
    <row r="31" spans="1:25" ht="16.350000000000001" customHeight="1">
      <c r="A31" s="175">
        <f t="shared" si="0"/>
        <v>2021</v>
      </c>
      <c r="B31" s="454" t="str">
        <f t="shared" si="1"/>
        <v>26</v>
      </c>
      <c r="C31" s="454" t="str">
        <f t="array" ref="C31">_xlfn.IFS(_xlfn.NUMBERVALUE(B31)&lt;=13,"Q1",AND(_xlfn.NUMBERVALUE(B31)&gt;13,_xlfn.NUMBERVALUE(B31)&lt;=26),"Q2", AND(_xlfn.NUMBERVALUE(B31)&gt;26,_xlfn.NUMBERVALUE(B31)&lt;=39),"Q3",_xlfn.NUMBERVALUE(B31)&gt;39,"Q4")</f>
        <v>Q2</v>
      </c>
      <c r="D31" s="448">
        <f t="shared" si="16"/>
        <v>44037</v>
      </c>
      <c r="E31" s="448">
        <f t="shared" si="2"/>
        <v>44043</v>
      </c>
      <c r="F31" s="79">
        <v>202026</v>
      </c>
      <c r="G31" s="180">
        <f t="shared" si="3"/>
        <v>0</v>
      </c>
      <c r="H31" s="429"/>
      <c r="I31" s="429"/>
      <c r="J31" s="429"/>
      <c r="K31" s="180">
        <f t="shared" si="4"/>
        <v>0</v>
      </c>
      <c r="L31" s="429"/>
      <c r="M31" s="429"/>
      <c r="N31" s="532"/>
      <c r="O31" s="186" t="str">
        <f t="shared" si="5"/>
        <v/>
      </c>
      <c r="P31" s="468" t="str">
        <f t="shared" si="6"/>
        <v/>
      </c>
      <c r="Q31" s="468" t="str">
        <f t="shared" si="7"/>
        <v/>
      </c>
      <c r="R31" s="186" t="str">
        <f t="shared" si="8"/>
        <v/>
      </c>
      <c r="S31" s="468" t="str">
        <f t="shared" si="9"/>
        <v/>
      </c>
      <c r="T31" s="468" t="str">
        <f t="shared" si="10"/>
        <v/>
      </c>
      <c r="U31" s="186" t="str">
        <f t="shared" si="11"/>
        <v/>
      </c>
      <c r="V31" s="468" t="str">
        <f t="shared" si="12"/>
        <v/>
      </c>
      <c r="W31" s="468" t="str">
        <f t="shared" si="13"/>
        <v/>
      </c>
      <c r="X31" s="468" t="str">
        <f t="shared" si="14"/>
        <v/>
      </c>
      <c r="Y31" s="283" t="str">
        <f t="shared" si="15"/>
        <v/>
      </c>
    </row>
    <row r="32" spans="1:25" ht="16.350000000000001" customHeight="1">
      <c r="A32" s="175">
        <f t="shared" si="0"/>
        <v>2021</v>
      </c>
      <c r="B32" s="454" t="str">
        <f t="shared" si="1"/>
        <v>27</v>
      </c>
      <c r="C32" s="454" t="str">
        <f t="array" ref="C32">_xlfn.IFS(_xlfn.NUMBERVALUE(B32)&lt;=13,"Q1",AND(_xlfn.NUMBERVALUE(B32)&gt;13,_xlfn.NUMBERVALUE(B32)&lt;=26),"Q2", AND(_xlfn.NUMBERVALUE(B32)&gt;26,_xlfn.NUMBERVALUE(B32)&lt;=39),"Q3",_xlfn.NUMBERVALUE(B32)&gt;39,"Q4")</f>
        <v>Q3</v>
      </c>
      <c r="D32" s="448">
        <f t="shared" si="16"/>
        <v>44044</v>
      </c>
      <c r="E32" s="448">
        <f t="shared" si="2"/>
        <v>44050</v>
      </c>
      <c r="F32" s="79">
        <v>202027</v>
      </c>
      <c r="G32" s="180">
        <f t="shared" si="3"/>
        <v>0</v>
      </c>
      <c r="H32" s="429"/>
      <c r="I32" s="429"/>
      <c r="J32" s="429"/>
      <c r="K32" s="180">
        <f t="shared" si="4"/>
        <v>0</v>
      </c>
      <c r="L32" s="429"/>
      <c r="M32" s="429"/>
      <c r="N32" s="532"/>
      <c r="O32" s="186" t="str">
        <f t="shared" si="5"/>
        <v/>
      </c>
      <c r="P32" s="468" t="str">
        <f t="shared" si="6"/>
        <v/>
      </c>
      <c r="Q32" s="468" t="str">
        <f t="shared" si="7"/>
        <v/>
      </c>
      <c r="R32" s="186" t="str">
        <f t="shared" si="8"/>
        <v/>
      </c>
      <c r="S32" s="468" t="str">
        <f t="shared" si="9"/>
        <v/>
      </c>
      <c r="T32" s="468" t="str">
        <f t="shared" si="10"/>
        <v/>
      </c>
      <c r="U32" s="186" t="str">
        <f t="shared" si="11"/>
        <v/>
      </c>
      <c r="V32" s="468" t="str">
        <f t="shared" si="12"/>
        <v/>
      </c>
      <c r="W32" s="468" t="str">
        <f t="shared" si="13"/>
        <v/>
      </c>
      <c r="X32" s="468" t="str">
        <f t="shared" si="14"/>
        <v/>
      </c>
      <c r="Y32" s="283" t="str">
        <f t="shared" si="15"/>
        <v/>
      </c>
    </row>
    <row r="33" spans="1:25" ht="16.350000000000001" customHeight="1">
      <c r="A33" s="175">
        <f t="shared" si="0"/>
        <v>2021</v>
      </c>
      <c r="B33" s="454" t="str">
        <f t="shared" si="1"/>
        <v>28</v>
      </c>
      <c r="C33" s="454" t="str">
        <f t="array" ref="C33">_xlfn.IFS(_xlfn.NUMBERVALUE(B33)&lt;=13,"Q1",AND(_xlfn.NUMBERVALUE(B33)&gt;13,_xlfn.NUMBERVALUE(B33)&lt;=26),"Q2", AND(_xlfn.NUMBERVALUE(B33)&gt;26,_xlfn.NUMBERVALUE(B33)&lt;=39),"Q3",_xlfn.NUMBERVALUE(B33)&gt;39,"Q4")</f>
        <v>Q3</v>
      </c>
      <c r="D33" s="448">
        <f t="shared" si="16"/>
        <v>44051</v>
      </c>
      <c r="E33" s="448">
        <f t="shared" si="2"/>
        <v>44057</v>
      </c>
      <c r="F33" s="79">
        <v>202028</v>
      </c>
      <c r="G33" s="180">
        <f t="shared" si="3"/>
        <v>0</v>
      </c>
      <c r="H33" s="429"/>
      <c r="I33" s="429"/>
      <c r="J33" s="429"/>
      <c r="K33" s="180">
        <f t="shared" si="4"/>
        <v>0</v>
      </c>
      <c r="L33" s="429"/>
      <c r="M33" s="429"/>
      <c r="N33" s="532"/>
      <c r="O33" s="186" t="str">
        <f t="shared" si="5"/>
        <v/>
      </c>
      <c r="P33" s="468" t="str">
        <f t="shared" si="6"/>
        <v/>
      </c>
      <c r="Q33" s="468" t="str">
        <f t="shared" si="7"/>
        <v/>
      </c>
      <c r="R33" s="186" t="str">
        <f t="shared" si="8"/>
        <v/>
      </c>
      <c r="S33" s="468" t="str">
        <f t="shared" si="9"/>
        <v/>
      </c>
      <c r="T33" s="468" t="str">
        <f t="shared" si="10"/>
        <v/>
      </c>
      <c r="U33" s="186" t="str">
        <f t="shared" si="11"/>
        <v/>
      </c>
      <c r="V33" s="468" t="str">
        <f t="shared" si="12"/>
        <v/>
      </c>
      <c r="W33" s="468" t="str">
        <f t="shared" si="13"/>
        <v/>
      </c>
      <c r="X33" s="468" t="str">
        <f t="shared" si="14"/>
        <v/>
      </c>
      <c r="Y33" s="283" t="str">
        <f t="shared" si="15"/>
        <v/>
      </c>
    </row>
    <row r="34" spans="1:25" ht="16.350000000000001" customHeight="1">
      <c r="A34" s="175">
        <f t="shared" si="0"/>
        <v>2021</v>
      </c>
      <c r="B34" s="454" t="str">
        <f t="shared" si="1"/>
        <v>29</v>
      </c>
      <c r="C34" s="454" t="str">
        <f t="array" ref="C34">_xlfn.IFS(_xlfn.NUMBERVALUE(B34)&lt;=13,"Q1",AND(_xlfn.NUMBERVALUE(B34)&gt;13,_xlfn.NUMBERVALUE(B34)&lt;=26),"Q2", AND(_xlfn.NUMBERVALUE(B34)&gt;26,_xlfn.NUMBERVALUE(B34)&lt;=39),"Q3",_xlfn.NUMBERVALUE(B34)&gt;39,"Q4")</f>
        <v>Q3</v>
      </c>
      <c r="D34" s="448">
        <f t="shared" si="16"/>
        <v>44058</v>
      </c>
      <c r="E34" s="448">
        <f t="shared" si="2"/>
        <v>44064</v>
      </c>
      <c r="F34" s="79">
        <v>202029</v>
      </c>
      <c r="G34" s="180">
        <f t="shared" si="3"/>
        <v>0</v>
      </c>
      <c r="H34" s="429"/>
      <c r="I34" s="429"/>
      <c r="J34" s="429"/>
      <c r="K34" s="180">
        <f t="shared" si="4"/>
        <v>0</v>
      </c>
      <c r="L34" s="429"/>
      <c r="M34" s="429"/>
      <c r="N34" s="532"/>
      <c r="O34" s="186" t="str">
        <f t="shared" si="5"/>
        <v/>
      </c>
      <c r="P34" s="468" t="str">
        <f t="shared" si="6"/>
        <v/>
      </c>
      <c r="Q34" s="468" t="str">
        <f t="shared" si="7"/>
        <v/>
      </c>
      <c r="R34" s="186" t="str">
        <f t="shared" si="8"/>
        <v/>
      </c>
      <c r="S34" s="468" t="str">
        <f t="shared" si="9"/>
        <v/>
      </c>
      <c r="T34" s="468" t="str">
        <f t="shared" si="10"/>
        <v/>
      </c>
      <c r="U34" s="186" t="str">
        <f t="shared" si="11"/>
        <v/>
      </c>
      <c r="V34" s="468" t="str">
        <f t="shared" si="12"/>
        <v/>
      </c>
      <c r="W34" s="468" t="str">
        <f t="shared" si="13"/>
        <v/>
      </c>
      <c r="X34" s="468" t="str">
        <f t="shared" si="14"/>
        <v/>
      </c>
      <c r="Y34" s="283" t="str">
        <f t="shared" si="15"/>
        <v/>
      </c>
    </row>
    <row r="35" spans="1:25" ht="16.350000000000001" customHeight="1">
      <c r="A35" s="175">
        <f t="shared" si="0"/>
        <v>2021</v>
      </c>
      <c r="B35" s="454" t="str">
        <f t="shared" si="1"/>
        <v>30</v>
      </c>
      <c r="C35" s="454" t="str">
        <f t="array" ref="C35">_xlfn.IFS(_xlfn.NUMBERVALUE(B35)&lt;=13,"Q1",AND(_xlfn.NUMBERVALUE(B35)&gt;13,_xlfn.NUMBERVALUE(B35)&lt;=26),"Q2", AND(_xlfn.NUMBERVALUE(B35)&gt;26,_xlfn.NUMBERVALUE(B35)&lt;=39),"Q3",_xlfn.NUMBERVALUE(B35)&gt;39,"Q4")</f>
        <v>Q3</v>
      </c>
      <c r="D35" s="448">
        <f t="shared" si="16"/>
        <v>44065</v>
      </c>
      <c r="E35" s="448">
        <f t="shared" si="2"/>
        <v>44071</v>
      </c>
      <c r="F35" s="79">
        <v>202030</v>
      </c>
      <c r="G35" s="180">
        <f t="shared" si="3"/>
        <v>0</v>
      </c>
      <c r="H35" s="429"/>
      <c r="I35" s="429"/>
      <c r="J35" s="429"/>
      <c r="K35" s="180">
        <f t="shared" si="4"/>
        <v>0</v>
      </c>
      <c r="L35" s="429"/>
      <c r="M35" s="429"/>
      <c r="N35" s="532"/>
      <c r="O35" s="186" t="str">
        <f t="shared" si="5"/>
        <v/>
      </c>
      <c r="P35" s="468" t="str">
        <f t="shared" si="6"/>
        <v/>
      </c>
      <c r="Q35" s="468" t="str">
        <f t="shared" si="7"/>
        <v/>
      </c>
      <c r="R35" s="186" t="str">
        <f t="shared" si="8"/>
        <v/>
      </c>
      <c r="S35" s="468" t="str">
        <f t="shared" si="9"/>
        <v/>
      </c>
      <c r="T35" s="468" t="str">
        <f t="shared" si="10"/>
        <v/>
      </c>
      <c r="U35" s="186" t="str">
        <f t="shared" si="11"/>
        <v/>
      </c>
      <c r="V35" s="468" t="str">
        <f t="shared" si="12"/>
        <v/>
      </c>
      <c r="W35" s="468" t="str">
        <f t="shared" si="13"/>
        <v/>
      </c>
      <c r="X35" s="468" t="str">
        <f t="shared" si="14"/>
        <v/>
      </c>
      <c r="Y35" s="283" t="str">
        <f t="shared" si="15"/>
        <v/>
      </c>
    </row>
    <row r="36" spans="1:25" ht="16.350000000000001" customHeight="1">
      <c r="A36" s="175">
        <f t="shared" si="0"/>
        <v>2021</v>
      </c>
      <c r="B36" s="454" t="str">
        <f t="shared" si="1"/>
        <v>31</v>
      </c>
      <c r="C36" s="454" t="str">
        <f t="array" ref="C36">_xlfn.IFS(_xlfn.NUMBERVALUE(B36)&lt;=13,"Q1",AND(_xlfn.NUMBERVALUE(B36)&gt;13,_xlfn.NUMBERVALUE(B36)&lt;=26),"Q2", AND(_xlfn.NUMBERVALUE(B36)&gt;26,_xlfn.NUMBERVALUE(B36)&lt;=39),"Q3",_xlfn.NUMBERVALUE(B36)&gt;39,"Q4")</f>
        <v>Q3</v>
      </c>
      <c r="D36" s="448">
        <f t="shared" si="16"/>
        <v>44072</v>
      </c>
      <c r="E36" s="448">
        <f t="shared" si="2"/>
        <v>44078</v>
      </c>
      <c r="F36" s="79">
        <v>202031</v>
      </c>
      <c r="G36" s="180">
        <f t="shared" si="3"/>
        <v>0</v>
      </c>
      <c r="H36" s="429"/>
      <c r="I36" s="429"/>
      <c r="J36" s="429"/>
      <c r="K36" s="180">
        <f t="shared" si="4"/>
        <v>0</v>
      </c>
      <c r="L36" s="429"/>
      <c r="M36" s="429"/>
      <c r="N36" s="532"/>
      <c r="O36" s="186" t="str">
        <f t="shared" si="5"/>
        <v/>
      </c>
      <c r="P36" s="468" t="str">
        <f t="shared" si="6"/>
        <v/>
      </c>
      <c r="Q36" s="468" t="str">
        <f t="shared" si="7"/>
        <v/>
      </c>
      <c r="R36" s="186" t="str">
        <f t="shared" si="8"/>
        <v/>
      </c>
      <c r="S36" s="468" t="str">
        <f t="shared" si="9"/>
        <v/>
      </c>
      <c r="T36" s="468" t="str">
        <f t="shared" si="10"/>
        <v/>
      </c>
      <c r="U36" s="186" t="str">
        <f t="shared" si="11"/>
        <v/>
      </c>
      <c r="V36" s="468" t="str">
        <f t="shared" si="12"/>
        <v/>
      </c>
      <c r="W36" s="468" t="str">
        <f t="shared" si="13"/>
        <v/>
      </c>
      <c r="X36" s="468" t="str">
        <f t="shared" si="14"/>
        <v/>
      </c>
      <c r="Y36" s="283" t="str">
        <f t="shared" si="15"/>
        <v/>
      </c>
    </row>
    <row r="37" spans="1:25" ht="16.350000000000001" customHeight="1">
      <c r="A37" s="175">
        <f t="shared" si="0"/>
        <v>2021</v>
      </c>
      <c r="B37" s="454" t="str">
        <f t="shared" si="1"/>
        <v>32</v>
      </c>
      <c r="C37" s="454" t="str">
        <f t="array" ref="C37">_xlfn.IFS(_xlfn.NUMBERVALUE(B37)&lt;=13,"Q1",AND(_xlfn.NUMBERVALUE(B37)&gt;13,_xlfn.NUMBERVALUE(B37)&lt;=26),"Q2", AND(_xlfn.NUMBERVALUE(B37)&gt;26,_xlfn.NUMBERVALUE(B37)&lt;=39),"Q3",_xlfn.NUMBERVALUE(B37)&gt;39,"Q4")</f>
        <v>Q3</v>
      </c>
      <c r="D37" s="448">
        <f t="shared" si="16"/>
        <v>44079</v>
      </c>
      <c r="E37" s="448">
        <f t="shared" si="2"/>
        <v>44085</v>
      </c>
      <c r="F37" s="79">
        <v>202032</v>
      </c>
      <c r="G37" s="180">
        <f t="shared" si="3"/>
        <v>0</v>
      </c>
      <c r="H37" s="429"/>
      <c r="I37" s="429"/>
      <c r="J37" s="429"/>
      <c r="K37" s="180">
        <f t="shared" si="4"/>
        <v>0</v>
      </c>
      <c r="L37" s="429"/>
      <c r="M37" s="429"/>
      <c r="N37" s="532"/>
      <c r="O37" s="186" t="str">
        <f t="shared" si="5"/>
        <v/>
      </c>
      <c r="P37" s="468" t="str">
        <f t="shared" si="6"/>
        <v/>
      </c>
      <c r="Q37" s="468" t="str">
        <f t="shared" si="7"/>
        <v/>
      </c>
      <c r="R37" s="186" t="str">
        <f t="shared" si="8"/>
        <v/>
      </c>
      <c r="S37" s="468" t="str">
        <f t="shared" si="9"/>
        <v/>
      </c>
      <c r="T37" s="468" t="str">
        <f t="shared" si="10"/>
        <v/>
      </c>
      <c r="U37" s="186" t="str">
        <f t="shared" si="11"/>
        <v/>
      </c>
      <c r="V37" s="468" t="str">
        <f t="shared" si="12"/>
        <v/>
      </c>
      <c r="W37" s="468" t="str">
        <f t="shared" si="13"/>
        <v/>
      </c>
      <c r="X37" s="468" t="str">
        <f t="shared" si="14"/>
        <v/>
      </c>
      <c r="Y37" s="283" t="str">
        <f t="shared" si="15"/>
        <v/>
      </c>
    </row>
    <row r="38" spans="1:25" ht="16.350000000000001" customHeight="1">
      <c r="A38" s="175">
        <f t="shared" si="0"/>
        <v>2021</v>
      </c>
      <c r="B38" s="454" t="str">
        <f t="shared" si="1"/>
        <v>33</v>
      </c>
      <c r="C38" s="454" t="str">
        <f t="array" ref="C38">_xlfn.IFS(_xlfn.NUMBERVALUE(B38)&lt;=13,"Q1",AND(_xlfn.NUMBERVALUE(B38)&gt;13,_xlfn.NUMBERVALUE(B38)&lt;=26),"Q2", AND(_xlfn.NUMBERVALUE(B38)&gt;26,_xlfn.NUMBERVALUE(B38)&lt;=39),"Q3",_xlfn.NUMBERVALUE(B38)&gt;39,"Q4")</f>
        <v>Q3</v>
      </c>
      <c r="D38" s="448">
        <f t="shared" si="16"/>
        <v>44086</v>
      </c>
      <c r="E38" s="448">
        <f t="shared" si="2"/>
        <v>44092</v>
      </c>
      <c r="F38" s="79">
        <v>202033</v>
      </c>
      <c r="G38" s="180">
        <f t="shared" si="3"/>
        <v>0</v>
      </c>
      <c r="H38" s="429"/>
      <c r="I38" s="429"/>
      <c r="J38" s="429"/>
      <c r="K38" s="180">
        <f t="shared" ref="K38:K69" si="17">SUM(L38:N38)</f>
        <v>0</v>
      </c>
      <c r="L38" s="429"/>
      <c r="M38" s="429"/>
      <c r="N38" s="532"/>
      <c r="O38" s="186" t="str">
        <f t="shared" si="5"/>
        <v/>
      </c>
      <c r="P38" s="468" t="str">
        <f t="shared" si="6"/>
        <v/>
      </c>
      <c r="Q38" s="468" t="str">
        <f t="shared" si="7"/>
        <v/>
      </c>
      <c r="R38" s="186" t="str">
        <f t="shared" ref="R38:R69" si="18">IFERROR(L38/$K38,"")</f>
        <v/>
      </c>
      <c r="S38" s="468" t="str">
        <f t="shared" ref="S38:S69" si="19">IFERROR(M38/$K38,"")</f>
        <v/>
      </c>
      <c r="T38" s="468" t="str">
        <f t="shared" ref="T38:T69" si="20">IFERROR(N38/$K38,"")</f>
        <v/>
      </c>
      <c r="U38" s="186" t="str">
        <f t="shared" si="11"/>
        <v/>
      </c>
      <c r="V38" s="468" t="str">
        <f t="shared" si="12"/>
        <v/>
      </c>
      <c r="W38" s="468" t="str">
        <f t="shared" si="13"/>
        <v/>
      </c>
      <c r="X38" s="468" t="str">
        <f t="shared" si="14"/>
        <v/>
      </c>
      <c r="Y38" s="283" t="str">
        <f t="shared" si="15"/>
        <v/>
      </c>
    </row>
    <row r="39" spans="1:25" ht="16.350000000000001" customHeight="1">
      <c r="A39" s="175">
        <f t="shared" si="0"/>
        <v>2021</v>
      </c>
      <c r="B39" s="454" t="str">
        <f t="shared" si="1"/>
        <v>34</v>
      </c>
      <c r="C39" s="454" t="str">
        <f t="array" ref="C39">_xlfn.IFS(_xlfn.NUMBERVALUE(B39)&lt;=13,"Q1",AND(_xlfn.NUMBERVALUE(B39)&gt;13,_xlfn.NUMBERVALUE(B39)&lt;=26),"Q2", AND(_xlfn.NUMBERVALUE(B39)&gt;26,_xlfn.NUMBERVALUE(B39)&lt;=39),"Q3",_xlfn.NUMBERVALUE(B39)&gt;39,"Q4")</f>
        <v>Q3</v>
      </c>
      <c r="D39" s="448">
        <f t="shared" si="16"/>
        <v>44093</v>
      </c>
      <c r="E39" s="448">
        <f t="shared" si="2"/>
        <v>44099</v>
      </c>
      <c r="F39" s="79">
        <v>202034</v>
      </c>
      <c r="G39" s="180">
        <f t="shared" si="3"/>
        <v>0</v>
      </c>
      <c r="H39" s="429"/>
      <c r="I39" s="429"/>
      <c r="J39" s="429"/>
      <c r="K39" s="180">
        <f t="shared" si="17"/>
        <v>0</v>
      </c>
      <c r="L39" s="429"/>
      <c r="M39" s="429"/>
      <c r="N39" s="532"/>
      <c r="O39" s="186" t="str">
        <f t="shared" si="5"/>
        <v/>
      </c>
      <c r="P39" s="468" t="str">
        <f t="shared" si="6"/>
        <v/>
      </c>
      <c r="Q39" s="468" t="str">
        <f t="shared" si="7"/>
        <v/>
      </c>
      <c r="R39" s="186" t="str">
        <f t="shared" si="18"/>
        <v/>
      </c>
      <c r="S39" s="468" t="str">
        <f t="shared" si="19"/>
        <v/>
      </c>
      <c r="T39" s="468" t="str">
        <f t="shared" si="20"/>
        <v/>
      </c>
      <c r="U39" s="186" t="str">
        <f t="shared" si="11"/>
        <v/>
      </c>
      <c r="V39" s="468" t="str">
        <f t="shared" si="12"/>
        <v/>
      </c>
      <c r="W39" s="468" t="str">
        <f t="shared" si="13"/>
        <v/>
      </c>
      <c r="X39" s="468" t="str">
        <f t="shared" si="14"/>
        <v/>
      </c>
      <c r="Y39" s="283" t="str">
        <f t="shared" si="15"/>
        <v/>
      </c>
    </row>
    <row r="40" spans="1:25" ht="16.350000000000001" customHeight="1">
      <c r="A40" s="175">
        <f t="shared" si="0"/>
        <v>2021</v>
      </c>
      <c r="B40" s="454" t="str">
        <f t="shared" si="1"/>
        <v>35</v>
      </c>
      <c r="C40" s="454" t="str">
        <f t="array" ref="C40">_xlfn.IFS(_xlfn.NUMBERVALUE(B40)&lt;=13,"Q1",AND(_xlfn.NUMBERVALUE(B40)&gt;13,_xlfn.NUMBERVALUE(B40)&lt;=26),"Q2", AND(_xlfn.NUMBERVALUE(B40)&gt;26,_xlfn.NUMBERVALUE(B40)&lt;=39),"Q3",_xlfn.NUMBERVALUE(B40)&gt;39,"Q4")</f>
        <v>Q3</v>
      </c>
      <c r="D40" s="448">
        <f t="shared" si="16"/>
        <v>44100</v>
      </c>
      <c r="E40" s="448">
        <f t="shared" si="2"/>
        <v>44106</v>
      </c>
      <c r="F40" s="79">
        <v>202035</v>
      </c>
      <c r="G40" s="180">
        <f t="shared" si="3"/>
        <v>0</v>
      </c>
      <c r="H40" s="429"/>
      <c r="I40" s="429"/>
      <c r="J40" s="429"/>
      <c r="K40" s="180">
        <f t="shared" si="17"/>
        <v>0</v>
      </c>
      <c r="L40" s="429"/>
      <c r="M40" s="429"/>
      <c r="N40" s="532"/>
      <c r="O40" s="186" t="str">
        <f t="shared" si="5"/>
        <v/>
      </c>
      <c r="P40" s="468" t="str">
        <f t="shared" si="6"/>
        <v/>
      </c>
      <c r="Q40" s="468" t="str">
        <f t="shared" si="7"/>
        <v/>
      </c>
      <c r="R40" s="186" t="str">
        <f t="shared" si="18"/>
        <v/>
      </c>
      <c r="S40" s="468" t="str">
        <f t="shared" si="19"/>
        <v/>
      </c>
      <c r="T40" s="468" t="str">
        <f t="shared" si="20"/>
        <v/>
      </c>
      <c r="U40" s="186" t="str">
        <f t="shared" si="11"/>
        <v/>
      </c>
      <c r="V40" s="468" t="str">
        <f t="shared" si="12"/>
        <v/>
      </c>
      <c r="W40" s="468" t="str">
        <f t="shared" si="13"/>
        <v/>
      </c>
      <c r="X40" s="468" t="str">
        <f t="shared" si="14"/>
        <v/>
      </c>
      <c r="Y40" s="283" t="str">
        <f t="shared" si="15"/>
        <v/>
      </c>
    </row>
    <row r="41" spans="1:25" ht="16.350000000000001" customHeight="1">
      <c r="A41" s="175">
        <f t="shared" si="0"/>
        <v>2021</v>
      </c>
      <c r="B41" s="454" t="str">
        <f t="shared" si="1"/>
        <v>36</v>
      </c>
      <c r="C41" s="454" t="str">
        <f t="array" ref="C41">_xlfn.IFS(_xlfn.NUMBERVALUE(B41)&lt;=13,"Q1",AND(_xlfn.NUMBERVALUE(B41)&gt;13,_xlfn.NUMBERVALUE(B41)&lt;=26),"Q2", AND(_xlfn.NUMBERVALUE(B41)&gt;26,_xlfn.NUMBERVALUE(B41)&lt;=39),"Q3",_xlfn.NUMBERVALUE(B41)&gt;39,"Q4")</f>
        <v>Q3</v>
      </c>
      <c r="D41" s="448">
        <f t="shared" si="16"/>
        <v>44107</v>
      </c>
      <c r="E41" s="448">
        <f t="shared" si="2"/>
        <v>44113</v>
      </c>
      <c r="F41" s="79">
        <v>202036</v>
      </c>
      <c r="G41" s="180">
        <f t="shared" si="3"/>
        <v>0</v>
      </c>
      <c r="H41" s="429"/>
      <c r="I41" s="429"/>
      <c r="J41" s="429"/>
      <c r="K41" s="180">
        <f t="shared" si="17"/>
        <v>0</v>
      </c>
      <c r="L41" s="429"/>
      <c r="M41" s="429"/>
      <c r="N41" s="532"/>
      <c r="O41" s="186" t="str">
        <f t="shared" si="5"/>
        <v/>
      </c>
      <c r="P41" s="468" t="str">
        <f t="shared" si="6"/>
        <v/>
      </c>
      <c r="Q41" s="468" t="str">
        <f t="shared" si="7"/>
        <v/>
      </c>
      <c r="R41" s="186" t="str">
        <f t="shared" si="18"/>
        <v/>
      </c>
      <c r="S41" s="468" t="str">
        <f t="shared" si="19"/>
        <v/>
      </c>
      <c r="T41" s="468" t="str">
        <f t="shared" si="20"/>
        <v/>
      </c>
      <c r="U41" s="186" t="str">
        <f t="shared" si="11"/>
        <v/>
      </c>
      <c r="V41" s="468" t="str">
        <f t="shared" si="12"/>
        <v/>
      </c>
      <c r="W41" s="468" t="str">
        <f t="shared" si="13"/>
        <v/>
      </c>
      <c r="X41" s="468" t="str">
        <f t="shared" si="14"/>
        <v/>
      </c>
      <c r="Y41" s="283" t="str">
        <f t="shared" si="15"/>
        <v/>
      </c>
    </row>
    <row r="42" spans="1:25" ht="16.350000000000001" customHeight="1">
      <c r="A42" s="175">
        <f t="shared" si="0"/>
        <v>2021</v>
      </c>
      <c r="B42" s="454" t="str">
        <f t="shared" si="1"/>
        <v>37</v>
      </c>
      <c r="C42" s="454" t="str">
        <f t="array" ref="C42">_xlfn.IFS(_xlfn.NUMBERVALUE(B42)&lt;=13,"Q1",AND(_xlfn.NUMBERVALUE(B42)&gt;13,_xlfn.NUMBERVALUE(B42)&lt;=26),"Q2", AND(_xlfn.NUMBERVALUE(B42)&gt;26,_xlfn.NUMBERVALUE(B42)&lt;=39),"Q3",_xlfn.NUMBERVALUE(B42)&gt;39,"Q4")</f>
        <v>Q3</v>
      </c>
      <c r="D42" s="448">
        <f t="shared" si="16"/>
        <v>44114</v>
      </c>
      <c r="E42" s="448">
        <f t="shared" si="2"/>
        <v>44120</v>
      </c>
      <c r="F42" s="79">
        <v>202037</v>
      </c>
      <c r="G42" s="180">
        <f t="shared" si="3"/>
        <v>0</v>
      </c>
      <c r="H42" s="429"/>
      <c r="I42" s="429"/>
      <c r="J42" s="429"/>
      <c r="K42" s="180">
        <f t="shared" si="17"/>
        <v>0</v>
      </c>
      <c r="L42" s="429"/>
      <c r="M42" s="429"/>
      <c r="N42" s="532"/>
      <c r="O42" s="186" t="str">
        <f t="shared" si="5"/>
        <v/>
      </c>
      <c r="P42" s="468" t="str">
        <f t="shared" si="6"/>
        <v/>
      </c>
      <c r="Q42" s="468" t="str">
        <f t="shared" si="7"/>
        <v/>
      </c>
      <c r="R42" s="186" t="str">
        <f t="shared" si="18"/>
        <v/>
      </c>
      <c r="S42" s="468" t="str">
        <f t="shared" si="19"/>
        <v/>
      </c>
      <c r="T42" s="468" t="str">
        <f t="shared" si="20"/>
        <v/>
      </c>
      <c r="U42" s="186" t="str">
        <f t="shared" si="11"/>
        <v/>
      </c>
      <c r="V42" s="468" t="str">
        <f t="shared" si="12"/>
        <v/>
      </c>
      <c r="W42" s="468" t="str">
        <f t="shared" si="13"/>
        <v/>
      </c>
      <c r="X42" s="468" t="str">
        <f t="shared" si="14"/>
        <v/>
      </c>
      <c r="Y42" s="283" t="str">
        <f t="shared" si="15"/>
        <v/>
      </c>
    </row>
    <row r="43" spans="1:25" ht="16.350000000000001" customHeight="1">
      <c r="A43" s="175">
        <f t="shared" si="0"/>
        <v>2021</v>
      </c>
      <c r="B43" s="454" t="str">
        <f t="shared" si="1"/>
        <v>38</v>
      </c>
      <c r="C43" s="454" t="str">
        <f t="array" ref="C43">_xlfn.IFS(_xlfn.NUMBERVALUE(B43)&lt;=13,"Q1",AND(_xlfn.NUMBERVALUE(B43)&gt;13,_xlfn.NUMBERVALUE(B43)&lt;=26),"Q2", AND(_xlfn.NUMBERVALUE(B43)&gt;26,_xlfn.NUMBERVALUE(B43)&lt;=39),"Q3",_xlfn.NUMBERVALUE(B43)&gt;39,"Q4")</f>
        <v>Q3</v>
      </c>
      <c r="D43" s="448">
        <f t="shared" si="16"/>
        <v>44121</v>
      </c>
      <c r="E43" s="448">
        <f t="shared" si="2"/>
        <v>44127</v>
      </c>
      <c r="F43" s="79">
        <v>202038</v>
      </c>
      <c r="G43" s="180">
        <f t="shared" si="3"/>
        <v>0</v>
      </c>
      <c r="H43" s="429"/>
      <c r="I43" s="429"/>
      <c r="J43" s="429"/>
      <c r="K43" s="180">
        <f t="shared" si="17"/>
        <v>0</v>
      </c>
      <c r="L43" s="429"/>
      <c r="M43" s="429"/>
      <c r="N43" s="532"/>
      <c r="O43" s="186" t="str">
        <f t="shared" si="5"/>
        <v/>
      </c>
      <c r="P43" s="468" t="str">
        <f t="shared" si="6"/>
        <v/>
      </c>
      <c r="Q43" s="468" t="str">
        <f t="shared" si="7"/>
        <v/>
      </c>
      <c r="R43" s="186" t="str">
        <f t="shared" si="18"/>
        <v/>
      </c>
      <c r="S43" s="468" t="str">
        <f t="shared" si="19"/>
        <v/>
      </c>
      <c r="T43" s="468" t="str">
        <f t="shared" si="20"/>
        <v/>
      </c>
      <c r="U43" s="186" t="str">
        <f t="shared" si="11"/>
        <v/>
      </c>
      <c r="V43" s="468" t="str">
        <f t="shared" si="12"/>
        <v/>
      </c>
      <c r="W43" s="468" t="str">
        <f t="shared" si="13"/>
        <v/>
      </c>
      <c r="X43" s="468" t="str">
        <f t="shared" si="14"/>
        <v/>
      </c>
      <c r="Y43" s="283" t="str">
        <f t="shared" si="15"/>
        <v/>
      </c>
    </row>
    <row r="44" spans="1:25" ht="16.350000000000001" customHeight="1">
      <c r="A44" s="175">
        <f t="shared" si="0"/>
        <v>2021</v>
      </c>
      <c r="B44" s="454" t="str">
        <f t="shared" si="1"/>
        <v>39</v>
      </c>
      <c r="C44" s="454" t="str">
        <f t="array" ref="C44">_xlfn.IFS(_xlfn.NUMBERVALUE(B44)&lt;=13,"Q1",AND(_xlfn.NUMBERVALUE(B44)&gt;13,_xlfn.NUMBERVALUE(B44)&lt;=26),"Q2", AND(_xlfn.NUMBERVALUE(B44)&gt;26,_xlfn.NUMBERVALUE(B44)&lt;=39),"Q3",_xlfn.NUMBERVALUE(B44)&gt;39,"Q4")</f>
        <v>Q3</v>
      </c>
      <c r="D44" s="448">
        <f t="shared" si="16"/>
        <v>44128</v>
      </c>
      <c r="E44" s="448">
        <f t="shared" si="2"/>
        <v>44134</v>
      </c>
      <c r="F44" s="79">
        <v>202039</v>
      </c>
      <c r="G44" s="180">
        <f t="shared" si="3"/>
        <v>0</v>
      </c>
      <c r="H44" s="429"/>
      <c r="I44" s="429"/>
      <c r="J44" s="429"/>
      <c r="K44" s="180">
        <f t="shared" si="17"/>
        <v>0</v>
      </c>
      <c r="L44" s="429"/>
      <c r="M44" s="429"/>
      <c r="N44" s="532"/>
      <c r="O44" s="186" t="str">
        <f t="shared" si="5"/>
        <v/>
      </c>
      <c r="P44" s="468" t="str">
        <f t="shared" si="6"/>
        <v/>
      </c>
      <c r="Q44" s="468" t="str">
        <f t="shared" si="7"/>
        <v/>
      </c>
      <c r="R44" s="186" t="str">
        <f t="shared" si="18"/>
        <v/>
      </c>
      <c r="S44" s="468" t="str">
        <f t="shared" si="19"/>
        <v/>
      </c>
      <c r="T44" s="468" t="str">
        <f t="shared" si="20"/>
        <v/>
      </c>
      <c r="U44" s="186" t="str">
        <f t="shared" si="11"/>
        <v/>
      </c>
      <c r="V44" s="468" t="str">
        <f t="shared" si="12"/>
        <v/>
      </c>
      <c r="W44" s="468" t="str">
        <f t="shared" si="13"/>
        <v/>
      </c>
      <c r="X44" s="468" t="str">
        <f t="shared" si="14"/>
        <v/>
      </c>
      <c r="Y44" s="283" t="str">
        <f t="shared" si="15"/>
        <v/>
      </c>
    </row>
    <row r="45" spans="1:25" ht="16.350000000000001" customHeight="1">
      <c r="A45" s="175">
        <f t="shared" si="0"/>
        <v>2021</v>
      </c>
      <c r="B45" s="454" t="str">
        <f t="shared" si="1"/>
        <v>40</v>
      </c>
      <c r="C45" s="454" t="str">
        <f t="array" ref="C45">_xlfn.IFS(_xlfn.NUMBERVALUE(B45)&lt;=13,"Q1",AND(_xlfn.NUMBERVALUE(B45)&gt;13,_xlfn.NUMBERVALUE(B45)&lt;=26),"Q2", AND(_xlfn.NUMBERVALUE(B45)&gt;26,_xlfn.NUMBERVALUE(B45)&lt;=39),"Q3",_xlfn.NUMBERVALUE(B45)&gt;39,"Q4")</f>
        <v>Q4</v>
      </c>
      <c r="D45" s="448">
        <f t="shared" si="16"/>
        <v>44135</v>
      </c>
      <c r="E45" s="448">
        <f t="shared" si="2"/>
        <v>44141</v>
      </c>
      <c r="F45" s="79">
        <v>202040</v>
      </c>
      <c r="G45" s="180">
        <f t="shared" si="3"/>
        <v>0</v>
      </c>
      <c r="H45" s="429"/>
      <c r="I45" s="429"/>
      <c r="J45" s="429"/>
      <c r="K45" s="180">
        <f t="shared" si="17"/>
        <v>0</v>
      </c>
      <c r="L45" s="429"/>
      <c r="M45" s="429"/>
      <c r="N45" s="532"/>
      <c r="O45" s="186" t="str">
        <f t="shared" si="5"/>
        <v/>
      </c>
      <c r="P45" s="468" t="str">
        <f t="shared" si="6"/>
        <v/>
      </c>
      <c r="Q45" s="468" t="str">
        <f t="shared" si="7"/>
        <v/>
      </c>
      <c r="R45" s="186" t="str">
        <f t="shared" si="18"/>
        <v/>
      </c>
      <c r="S45" s="468" t="str">
        <f t="shared" si="19"/>
        <v/>
      </c>
      <c r="T45" s="468" t="str">
        <f t="shared" si="20"/>
        <v/>
      </c>
      <c r="U45" s="186" t="str">
        <f t="shared" si="11"/>
        <v/>
      </c>
      <c r="V45" s="468" t="str">
        <f t="shared" si="12"/>
        <v/>
      </c>
      <c r="W45" s="468" t="str">
        <f t="shared" si="13"/>
        <v/>
      </c>
      <c r="X45" s="468" t="str">
        <f t="shared" si="14"/>
        <v/>
      </c>
      <c r="Y45" s="283" t="str">
        <f t="shared" si="15"/>
        <v/>
      </c>
    </row>
    <row r="46" spans="1:25" ht="16.350000000000001" customHeight="1">
      <c r="A46" s="175">
        <f t="shared" si="0"/>
        <v>2021</v>
      </c>
      <c r="B46" s="454" t="str">
        <f t="shared" si="1"/>
        <v>41</v>
      </c>
      <c r="C46" s="454" t="str">
        <f t="array" ref="C46">_xlfn.IFS(_xlfn.NUMBERVALUE(B46)&lt;=13,"Q1",AND(_xlfn.NUMBERVALUE(B46)&gt;13,_xlfn.NUMBERVALUE(B46)&lt;=26),"Q2", AND(_xlfn.NUMBERVALUE(B46)&gt;26,_xlfn.NUMBERVALUE(B46)&lt;=39),"Q3",_xlfn.NUMBERVALUE(B46)&gt;39,"Q4")</f>
        <v>Q4</v>
      </c>
      <c r="D46" s="448">
        <f t="shared" si="16"/>
        <v>44142</v>
      </c>
      <c r="E46" s="448">
        <f t="shared" si="2"/>
        <v>44148</v>
      </c>
      <c r="F46" s="79">
        <v>202041</v>
      </c>
      <c r="G46" s="180">
        <f t="shared" si="3"/>
        <v>0</v>
      </c>
      <c r="H46" s="429"/>
      <c r="I46" s="429"/>
      <c r="J46" s="429"/>
      <c r="K46" s="180">
        <f t="shared" si="17"/>
        <v>0</v>
      </c>
      <c r="L46" s="429"/>
      <c r="M46" s="429"/>
      <c r="N46" s="532"/>
      <c r="O46" s="186" t="str">
        <f t="shared" si="5"/>
        <v/>
      </c>
      <c r="P46" s="468" t="str">
        <f t="shared" si="6"/>
        <v/>
      </c>
      <c r="Q46" s="468" t="str">
        <f t="shared" si="7"/>
        <v/>
      </c>
      <c r="R46" s="186" t="str">
        <f t="shared" si="18"/>
        <v/>
      </c>
      <c r="S46" s="468" t="str">
        <f t="shared" si="19"/>
        <v/>
      </c>
      <c r="T46" s="468" t="str">
        <f t="shared" si="20"/>
        <v/>
      </c>
      <c r="U46" s="186" t="str">
        <f t="shared" si="11"/>
        <v/>
      </c>
      <c r="V46" s="468" t="str">
        <f t="shared" si="12"/>
        <v/>
      </c>
      <c r="W46" s="468" t="str">
        <f t="shared" si="13"/>
        <v/>
      </c>
      <c r="X46" s="468" t="str">
        <f t="shared" si="14"/>
        <v/>
      </c>
      <c r="Y46" s="283" t="str">
        <f t="shared" si="15"/>
        <v/>
      </c>
    </row>
    <row r="47" spans="1:25" ht="16.350000000000001" customHeight="1">
      <c r="A47" s="175">
        <f t="shared" si="0"/>
        <v>2021</v>
      </c>
      <c r="B47" s="454" t="str">
        <f t="shared" si="1"/>
        <v>42</v>
      </c>
      <c r="C47" s="454" t="str">
        <f t="array" ref="C47">_xlfn.IFS(_xlfn.NUMBERVALUE(B47)&lt;=13,"Q1",AND(_xlfn.NUMBERVALUE(B47)&gt;13,_xlfn.NUMBERVALUE(B47)&lt;=26),"Q2", AND(_xlfn.NUMBERVALUE(B47)&gt;26,_xlfn.NUMBERVALUE(B47)&lt;=39),"Q3",_xlfn.NUMBERVALUE(B47)&gt;39,"Q4")</f>
        <v>Q4</v>
      </c>
      <c r="D47" s="448">
        <f t="shared" si="16"/>
        <v>44149</v>
      </c>
      <c r="E47" s="448">
        <f t="shared" si="2"/>
        <v>44155</v>
      </c>
      <c r="F47" s="79">
        <v>202042</v>
      </c>
      <c r="G47" s="180">
        <f t="shared" si="3"/>
        <v>0</v>
      </c>
      <c r="H47" s="429"/>
      <c r="I47" s="429"/>
      <c r="J47" s="429"/>
      <c r="K47" s="180">
        <f t="shared" si="17"/>
        <v>0</v>
      </c>
      <c r="L47" s="429"/>
      <c r="M47" s="429"/>
      <c r="N47" s="532"/>
      <c r="O47" s="186" t="str">
        <f t="shared" si="5"/>
        <v/>
      </c>
      <c r="P47" s="468" t="str">
        <f t="shared" si="6"/>
        <v/>
      </c>
      <c r="Q47" s="468" t="str">
        <f t="shared" si="7"/>
        <v/>
      </c>
      <c r="R47" s="186" t="str">
        <f t="shared" si="18"/>
        <v/>
      </c>
      <c r="S47" s="468" t="str">
        <f t="shared" si="19"/>
        <v/>
      </c>
      <c r="T47" s="468" t="str">
        <f t="shared" si="20"/>
        <v/>
      </c>
      <c r="U47" s="186" t="str">
        <f t="shared" si="11"/>
        <v/>
      </c>
      <c r="V47" s="468" t="str">
        <f t="shared" si="12"/>
        <v/>
      </c>
      <c r="W47" s="468" t="str">
        <f t="shared" si="13"/>
        <v/>
      </c>
      <c r="X47" s="468" t="str">
        <f t="shared" si="14"/>
        <v/>
      </c>
      <c r="Y47" s="283" t="str">
        <f t="shared" si="15"/>
        <v/>
      </c>
    </row>
    <row r="48" spans="1:25" ht="16.350000000000001" customHeight="1">
      <c r="A48" s="175">
        <f t="shared" si="0"/>
        <v>2021</v>
      </c>
      <c r="B48" s="454" t="str">
        <f t="shared" si="1"/>
        <v>43</v>
      </c>
      <c r="C48" s="454" t="str">
        <f t="array" ref="C48">_xlfn.IFS(_xlfn.NUMBERVALUE(B48)&lt;=13,"Q1",AND(_xlfn.NUMBERVALUE(B48)&gt;13,_xlfn.NUMBERVALUE(B48)&lt;=26),"Q2", AND(_xlfn.NUMBERVALUE(B48)&gt;26,_xlfn.NUMBERVALUE(B48)&lt;=39),"Q3",_xlfn.NUMBERVALUE(B48)&gt;39,"Q4")</f>
        <v>Q4</v>
      </c>
      <c r="D48" s="448">
        <f t="shared" si="16"/>
        <v>44156</v>
      </c>
      <c r="E48" s="448">
        <f t="shared" si="2"/>
        <v>44162</v>
      </c>
      <c r="F48" s="79">
        <v>202043</v>
      </c>
      <c r="G48" s="180">
        <f t="shared" si="3"/>
        <v>0</v>
      </c>
      <c r="H48" s="429"/>
      <c r="I48" s="429"/>
      <c r="J48" s="429"/>
      <c r="K48" s="180">
        <f t="shared" si="17"/>
        <v>0</v>
      </c>
      <c r="L48" s="429"/>
      <c r="M48" s="429"/>
      <c r="N48" s="532"/>
      <c r="O48" s="186" t="str">
        <f t="shared" si="5"/>
        <v/>
      </c>
      <c r="P48" s="468" t="str">
        <f t="shared" si="6"/>
        <v/>
      </c>
      <c r="Q48" s="468" t="str">
        <f t="shared" si="7"/>
        <v/>
      </c>
      <c r="R48" s="186" t="str">
        <f t="shared" si="18"/>
        <v/>
      </c>
      <c r="S48" s="468" t="str">
        <f t="shared" si="19"/>
        <v/>
      </c>
      <c r="T48" s="468" t="str">
        <f t="shared" si="20"/>
        <v/>
      </c>
      <c r="U48" s="186" t="str">
        <f t="shared" si="11"/>
        <v/>
      </c>
      <c r="V48" s="468" t="str">
        <f t="shared" si="12"/>
        <v/>
      </c>
      <c r="W48" s="468" t="str">
        <f t="shared" si="13"/>
        <v/>
      </c>
      <c r="X48" s="468" t="str">
        <f t="shared" si="14"/>
        <v/>
      </c>
      <c r="Y48" s="283" t="str">
        <f t="shared" si="15"/>
        <v/>
      </c>
    </row>
    <row r="49" spans="1:25" ht="16.350000000000001" customHeight="1">
      <c r="A49" s="175">
        <f t="shared" si="0"/>
        <v>2021</v>
      </c>
      <c r="B49" s="454" t="str">
        <f t="shared" si="1"/>
        <v>44</v>
      </c>
      <c r="C49" s="454" t="str">
        <f t="array" ref="C49">_xlfn.IFS(_xlfn.NUMBERVALUE(B49)&lt;=13,"Q1",AND(_xlfn.NUMBERVALUE(B49)&gt;13,_xlfn.NUMBERVALUE(B49)&lt;=26),"Q2", AND(_xlfn.NUMBERVALUE(B49)&gt;26,_xlfn.NUMBERVALUE(B49)&lt;=39),"Q3",_xlfn.NUMBERVALUE(B49)&gt;39,"Q4")</f>
        <v>Q4</v>
      </c>
      <c r="D49" s="448">
        <f t="shared" si="16"/>
        <v>44163</v>
      </c>
      <c r="E49" s="448">
        <f t="shared" si="2"/>
        <v>44169</v>
      </c>
      <c r="F49" s="79">
        <v>202044</v>
      </c>
      <c r="G49" s="180">
        <f t="shared" si="3"/>
        <v>0</v>
      </c>
      <c r="H49" s="429"/>
      <c r="I49" s="429"/>
      <c r="J49" s="429"/>
      <c r="K49" s="180">
        <f t="shared" si="17"/>
        <v>0</v>
      </c>
      <c r="L49" s="429"/>
      <c r="M49" s="429"/>
      <c r="N49" s="532"/>
      <c r="O49" s="186" t="str">
        <f t="shared" si="5"/>
        <v/>
      </c>
      <c r="P49" s="468" t="str">
        <f t="shared" si="6"/>
        <v/>
      </c>
      <c r="Q49" s="468" t="str">
        <f t="shared" si="7"/>
        <v/>
      </c>
      <c r="R49" s="186" t="str">
        <f t="shared" si="18"/>
        <v/>
      </c>
      <c r="S49" s="468" t="str">
        <f t="shared" si="19"/>
        <v/>
      </c>
      <c r="T49" s="468" t="str">
        <f t="shared" si="20"/>
        <v/>
      </c>
      <c r="U49" s="186" t="str">
        <f t="shared" si="11"/>
        <v/>
      </c>
      <c r="V49" s="468" t="str">
        <f t="shared" si="12"/>
        <v/>
      </c>
      <c r="W49" s="468" t="str">
        <f t="shared" si="13"/>
        <v/>
      </c>
      <c r="X49" s="468" t="str">
        <f t="shared" si="14"/>
        <v/>
      </c>
      <c r="Y49" s="283" t="str">
        <f t="shared" si="15"/>
        <v/>
      </c>
    </row>
    <row r="50" spans="1:25" ht="16.350000000000001" customHeight="1">
      <c r="A50" s="175">
        <f t="shared" si="0"/>
        <v>2021</v>
      </c>
      <c r="B50" s="454" t="str">
        <f t="shared" si="1"/>
        <v>45</v>
      </c>
      <c r="C50" s="454" t="str">
        <f t="array" ref="C50">_xlfn.IFS(_xlfn.NUMBERVALUE(B50)&lt;=13,"Q1",AND(_xlfn.NUMBERVALUE(B50)&gt;13,_xlfn.NUMBERVALUE(B50)&lt;=26),"Q2", AND(_xlfn.NUMBERVALUE(B50)&gt;26,_xlfn.NUMBERVALUE(B50)&lt;=39),"Q3",_xlfn.NUMBERVALUE(B50)&gt;39,"Q4")</f>
        <v>Q4</v>
      </c>
      <c r="D50" s="448">
        <f t="shared" si="16"/>
        <v>44170</v>
      </c>
      <c r="E50" s="448">
        <f t="shared" si="2"/>
        <v>44176</v>
      </c>
      <c r="F50" s="79">
        <v>202045</v>
      </c>
      <c r="G50" s="180">
        <f t="shared" si="3"/>
        <v>0</v>
      </c>
      <c r="H50" s="429"/>
      <c r="I50" s="429"/>
      <c r="J50" s="429"/>
      <c r="K50" s="180">
        <f t="shared" si="17"/>
        <v>0</v>
      </c>
      <c r="L50" s="429"/>
      <c r="M50" s="429"/>
      <c r="N50" s="532"/>
      <c r="O50" s="186" t="str">
        <f t="shared" si="5"/>
        <v/>
      </c>
      <c r="P50" s="468" t="str">
        <f t="shared" si="6"/>
        <v/>
      </c>
      <c r="Q50" s="468" t="str">
        <f t="shared" si="7"/>
        <v/>
      </c>
      <c r="R50" s="186" t="str">
        <f t="shared" si="18"/>
        <v/>
      </c>
      <c r="S50" s="468" t="str">
        <f t="shared" si="19"/>
        <v/>
      </c>
      <c r="T50" s="468" t="str">
        <f t="shared" si="20"/>
        <v/>
      </c>
      <c r="U50" s="186" t="str">
        <f t="shared" si="11"/>
        <v/>
      </c>
      <c r="V50" s="468" t="str">
        <f t="shared" si="12"/>
        <v/>
      </c>
      <c r="W50" s="468" t="str">
        <f t="shared" si="13"/>
        <v/>
      </c>
      <c r="X50" s="468" t="str">
        <f t="shared" si="14"/>
        <v/>
      </c>
      <c r="Y50" s="283" t="str">
        <f t="shared" si="15"/>
        <v/>
      </c>
    </row>
    <row r="51" spans="1:25" ht="16.350000000000001" customHeight="1">
      <c r="A51" s="175">
        <f t="shared" si="0"/>
        <v>2021</v>
      </c>
      <c r="B51" s="454" t="str">
        <f t="shared" si="1"/>
        <v>46</v>
      </c>
      <c r="C51" s="454" t="str">
        <f t="array" ref="C51">_xlfn.IFS(_xlfn.NUMBERVALUE(B51)&lt;=13,"Q1",AND(_xlfn.NUMBERVALUE(B51)&gt;13,_xlfn.NUMBERVALUE(B51)&lt;=26),"Q2", AND(_xlfn.NUMBERVALUE(B51)&gt;26,_xlfn.NUMBERVALUE(B51)&lt;=39),"Q3",_xlfn.NUMBERVALUE(B51)&gt;39,"Q4")</f>
        <v>Q4</v>
      </c>
      <c r="D51" s="448">
        <f t="shared" si="16"/>
        <v>44177</v>
      </c>
      <c r="E51" s="448">
        <f t="shared" si="2"/>
        <v>44183</v>
      </c>
      <c r="F51" s="79">
        <v>202046</v>
      </c>
      <c r="G51" s="180">
        <f t="shared" si="3"/>
        <v>0</v>
      </c>
      <c r="H51" s="429"/>
      <c r="I51" s="429"/>
      <c r="J51" s="429"/>
      <c r="K51" s="180">
        <f t="shared" si="17"/>
        <v>0</v>
      </c>
      <c r="L51" s="429"/>
      <c r="M51" s="429"/>
      <c r="N51" s="532"/>
      <c r="O51" s="186" t="str">
        <f t="shared" si="5"/>
        <v/>
      </c>
      <c r="P51" s="468" t="str">
        <f t="shared" si="6"/>
        <v/>
      </c>
      <c r="Q51" s="468" t="str">
        <f t="shared" si="7"/>
        <v/>
      </c>
      <c r="R51" s="186" t="str">
        <f t="shared" si="18"/>
        <v/>
      </c>
      <c r="S51" s="468" t="str">
        <f t="shared" si="19"/>
        <v/>
      </c>
      <c r="T51" s="468" t="str">
        <f t="shared" si="20"/>
        <v/>
      </c>
      <c r="U51" s="186" t="str">
        <f t="shared" si="11"/>
        <v/>
      </c>
      <c r="V51" s="468" t="str">
        <f t="shared" si="12"/>
        <v/>
      </c>
      <c r="W51" s="468" t="str">
        <f t="shared" si="13"/>
        <v/>
      </c>
      <c r="X51" s="468" t="str">
        <f t="shared" si="14"/>
        <v/>
      </c>
      <c r="Y51" s="283" t="str">
        <f t="shared" si="15"/>
        <v/>
      </c>
    </row>
    <row r="52" spans="1:25" ht="16.350000000000001" customHeight="1">
      <c r="A52" s="175">
        <f t="shared" si="0"/>
        <v>2021</v>
      </c>
      <c r="B52" s="454" t="str">
        <f t="shared" si="1"/>
        <v>47</v>
      </c>
      <c r="C52" s="454" t="str">
        <f t="array" ref="C52">_xlfn.IFS(_xlfn.NUMBERVALUE(B52)&lt;=13,"Q1",AND(_xlfn.NUMBERVALUE(B52)&gt;13,_xlfn.NUMBERVALUE(B52)&lt;=26),"Q2", AND(_xlfn.NUMBERVALUE(B52)&gt;26,_xlfn.NUMBERVALUE(B52)&lt;=39),"Q3",_xlfn.NUMBERVALUE(B52)&gt;39,"Q4")</f>
        <v>Q4</v>
      </c>
      <c r="D52" s="448">
        <f t="shared" si="16"/>
        <v>44184</v>
      </c>
      <c r="E52" s="448">
        <f t="shared" si="2"/>
        <v>44190</v>
      </c>
      <c r="F52" s="79">
        <v>202047</v>
      </c>
      <c r="G52" s="180">
        <f t="shared" si="3"/>
        <v>0</v>
      </c>
      <c r="H52" s="429"/>
      <c r="I52" s="429"/>
      <c r="J52" s="429"/>
      <c r="K52" s="180">
        <f t="shared" si="17"/>
        <v>0</v>
      </c>
      <c r="L52" s="429"/>
      <c r="M52" s="429"/>
      <c r="N52" s="532"/>
      <c r="O52" s="186" t="str">
        <f t="shared" si="5"/>
        <v/>
      </c>
      <c r="P52" s="468" t="str">
        <f t="shared" si="6"/>
        <v/>
      </c>
      <c r="Q52" s="468" t="str">
        <f t="shared" si="7"/>
        <v/>
      </c>
      <c r="R52" s="186" t="str">
        <f t="shared" si="18"/>
        <v/>
      </c>
      <c r="S52" s="468" t="str">
        <f t="shared" si="19"/>
        <v/>
      </c>
      <c r="T52" s="468" t="str">
        <f t="shared" si="20"/>
        <v/>
      </c>
      <c r="U52" s="186" t="str">
        <f t="shared" si="11"/>
        <v/>
      </c>
      <c r="V52" s="468" t="str">
        <f t="shared" si="12"/>
        <v/>
      </c>
      <c r="W52" s="468" t="str">
        <f t="shared" si="13"/>
        <v/>
      </c>
      <c r="X52" s="468" t="str">
        <f t="shared" si="14"/>
        <v/>
      </c>
      <c r="Y52" s="283" t="str">
        <f t="shared" si="15"/>
        <v/>
      </c>
    </row>
    <row r="53" spans="1:25" ht="16.350000000000001" customHeight="1">
      <c r="A53" s="175">
        <f t="shared" si="0"/>
        <v>2021</v>
      </c>
      <c r="B53" s="454" t="str">
        <f t="shared" si="1"/>
        <v>48</v>
      </c>
      <c r="C53" s="454" t="str">
        <f t="array" ref="C53">_xlfn.IFS(_xlfn.NUMBERVALUE(B53)&lt;=13,"Q1",AND(_xlfn.NUMBERVALUE(B53)&gt;13,_xlfn.NUMBERVALUE(B53)&lt;=26),"Q2", AND(_xlfn.NUMBERVALUE(B53)&gt;26,_xlfn.NUMBERVALUE(B53)&lt;=39),"Q3",_xlfn.NUMBERVALUE(B53)&gt;39,"Q4")</f>
        <v>Q4</v>
      </c>
      <c r="D53" s="448">
        <f t="shared" si="16"/>
        <v>44191</v>
      </c>
      <c r="E53" s="448">
        <f t="shared" si="2"/>
        <v>44197</v>
      </c>
      <c r="F53" s="79">
        <v>202048</v>
      </c>
      <c r="G53" s="180">
        <f t="shared" si="3"/>
        <v>0</v>
      </c>
      <c r="H53" s="429"/>
      <c r="I53" s="429"/>
      <c r="J53" s="429"/>
      <c r="K53" s="180">
        <f t="shared" si="17"/>
        <v>0</v>
      </c>
      <c r="L53" s="429"/>
      <c r="M53" s="429"/>
      <c r="N53" s="532"/>
      <c r="O53" s="186" t="str">
        <f t="shared" si="5"/>
        <v/>
      </c>
      <c r="P53" s="468" t="str">
        <f t="shared" si="6"/>
        <v/>
      </c>
      <c r="Q53" s="468" t="str">
        <f t="shared" si="7"/>
        <v/>
      </c>
      <c r="R53" s="186" t="str">
        <f t="shared" si="18"/>
        <v/>
      </c>
      <c r="S53" s="468" t="str">
        <f t="shared" si="19"/>
        <v/>
      </c>
      <c r="T53" s="468" t="str">
        <f t="shared" si="20"/>
        <v/>
      </c>
      <c r="U53" s="186" t="str">
        <f t="shared" si="11"/>
        <v/>
      </c>
      <c r="V53" s="468" t="str">
        <f t="shared" si="12"/>
        <v/>
      </c>
      <c r="W53" s="468" t="str">
        <f t="shared" si="13"/>
        <v/>
      </c>
      <c r="X53" s="468" t="str">
        <f t="shared" si="14"/>
        <v/>
      </c>
      <c r="Y53" s="283" t="str">
        <f t="shared" si="15"/>
        <v/>
      </c>
    </row>
    <row r="54" spans="1:25" ht="16.350000000000001" customHeight="1">
      <c r="A54" s="175">
        <f t="shared" si="0"/>
        <v>2021</v>
      </c>
      <c r="B54" s="454" t="str">
        <f t="shared" si="1"/>
        <v>49</v>
      </c>
      <c r="C54" s="454" t="str">
        <f t="array" ref="C54">_xlfn.IFS(_xlfn.NUMBERVALUE(B54)&lt;=13,"Q1",AND(_xlfn.NUMBERVALUE(B54)&gt;13,_xlfn.NUMBERVALUE(B54)&lt;=26),"Q2", AND(_xlfn.NUMBERVALUE(B54)&gt;26,_xlfn.NUMBERVALUE(B54)&lt;=39),"Q3",_xlfn.NUMBERVALUE(B54)&gt;39,"Q4")</f>
        <v>Q4</v>
      </c>
      <c r="D54" s="448">
        <f t="shared" si="16"/>
        <v>44198</v>
      </c>
      <c r="E54" s="448">
        <f t="shared" si="2"/>
        <v>44204</v>
      </c>
      <c r="F54" s="79">
        <v>202049</v>
      </c>
      <c r="G54" s="180">
        <f t="shared" si="3"/>
        <v>0</v>
      </c>
      <c r="H54" s="429"/>
      <c r="I54" s="429"/>
      <c r="J54" s="429"/>
      <c r="K54" s="180">
        <f t="shared" si="17"/>
        <v>0</v>
      </c>
      <c r="L54" s="429"/>
      <c r="M54" s="429"/>
      <c r="N54" s="532"/>
      <c r="O54" s="186" t="str">
        <f t="shared" si="5"/>
        <v/>
      </c>
      <c r="P54" s="468" t="str">
        <f t="shared" si="6"/>
        <v/>
      </c>
      <c r="Q54" s="468" t="str">
        <f t="shared" si="7"/>
        <v/>
      </c>
      <c r="R54" s="186" t="str">
        <f t="shared" si="18"/>
        <v/>
      </c>
      <c r="S54" s="468" t="str">
        <f t="shared" si="19"/>
        <v/>
      </c>
      <c r="T54" s="468" t="str">
        <f t="shared" si="20"/>
        <v/>
      </c>
      <c r="U54" s="186" t="str">
        <f t="shared" si="11"/>
        <v/>
      </c>
      <c r="V54" s="468" t="str">
        <f t="shared" si="12"/>
        <v/>
      </c>
      <c r="W54" s="468" t="str">
        <f t="shared" si="13"/>
        <v/>
      </c>
      <c r="X54" s="468" t="str">
        <f t="shared" si="14"/>
        <v/>
      </c>
      <c r="Y54" s="283" t="str">
        <f t="shared" si="15"/>
        <v/>
      </c>
    </row>
    <row r="55" spans="1:25" ht="16.350000000000001" customHeight="1">
      <c r="A55" s="175">
        <f t="shared" si="0"/>
        <v>2021</v>
      </c>
      <c r="B55" s="454" t="str">
        <f t="shared" si="1"/>
        <v>50</v>
      </c>
      <c r="C55" s="454" t="str">
        <f t="array" ref="C55">_xlfn.IFS(_xlfn.NUMBERVALUE(B55)&lt;=13,"Q1",AND(_xlfn.NUMBERVALUE(B55)&gt;13,_xlfn.NUMBERVALUE(B55)&lt;=26),"Q2", AND(_xlfn.NUMBERVALUE(B55)&gt;26,_xlfn.NUMBERVALUE(B55)&lt;=39),"Q3",_xlfn.NUMBERVALUE(B55)&gt;39,"Q4")</f>
        <v>Q4</v>
      </c>
      <c r="D55" s="448">
        <f t="shared" si="16"/>
        <v>44205</v>
      </c>
      <c r="E55" s="448">
        <f t="shared" si="2"/>
        <v>44211</v>
      </c>
      <c r="F55" s="79">
        <v>202050</v>
      </c>
      <c r="G55" s="180">
        <f t="shared" si="3"/>
        <v>0</v>
      </c>
      <c r="H55" s="429"/>
      <c r="I55" s="429"/>
      <c r="J55" s="429"/>
      <c r="K55" s="180">
        <f t="shared" si="17"/>
        <v>0</v>
      </c>
      <c r="L55" s="429"/>
      <c r="M55" s="429"/>
      <c r="N55" s="532"/>
      <c r="O55" s="186" t="str">
        <f t="shared" si="5"/>
        <v/>
      </c>
      <c r="P55" s="468" t="str">
        <f t="shared" si="6"/>
        <v/>
      </c>
      <c r="Q55" s="468" t="str">
        <f t="shared" si="7"/>
        <v/>
      </c>
      <c r="R55" s="186" t="str">
        <f t="shared" si="18"/>
        <v/>
      </c>
      <c r="S55" s="468" t="str">
        <f t="shared" si="19"/>
        <v/>
      </c>
      <c r="T55" s="468" t="str">
        <f t="shared" si="20"/>
        <v/>
      </c>
      <c r="U55" s="186" t="str">
        <f t="shared" si="11"/>
        <v/>
      </c>
      <c r="V55" s="468" t="str">
        <f t="shared" si="12"/>
        <v/>
      </c>
      <c r="W55" s="468" t="str">
        <f t="shared" si="13"/>
        <v/>
      </c>
      <c r="X55" s="468" t="str">
        <f t="shared" si="14"/>
        <v/>
      </c>
      <c r="Y55" s="283" t="str">
        <f t="shared" si="15"/>
        <v/>
      </c>
    </row>
    <row r="56" spans="1:25" ht="16.350000000000001" customHeight="1">
      <c r="A56" s="175">
        <f t="shared" si="0"/>
        <v>2021</v>
      </c>
      <c r="B56" s="454" t="str">
        <f t="shared" si="1"/>
        <v>51</v>
      </c>
      <c r="C56" s="454" t="str">
        <f t="array" ref="C56">_xlfn.IFS(_xlfn.NUMBERVALUE(B56)&lt;=13,"Q1",AND(_xlfn.NUMBERVALUE(B56)&gt;13,_xlfn.NUMBERVALUE(B56)&lt;=26),"Q2", AND(_xlfn.NUMBERVALUE(B56)&gt;26,_xlfn.NUMBERVALUE(B56)&lt;=39),"Q3",_xlfn.NUMBERVALUE(B56)&gt;39,"Q4")</f>
        <v>Q4</v>
      </c>
      <c r="D56" s="448">
        <f t="shared" si="16"/>
        <v>44212</v>
      </c>
      <c r="E56" s="448">
        <f t="shared" si="2"/>
        <v>44218</v>
      </c>
      <c r="F56" s="79">
        <v>202051</v>
      </c>
      <c r="G56" s="180">
        <f t="shared" si="3"/>
        <v>0</v>
      </c>
      <c r="H56" s="429"/>
      <c r="I56" s="429"/>
      <c r="J56" s="429"/>
      <c r="K56" s="180">
        <f t="shared" si="17"/>
        <v>0</v>
      </c>
      <c r="L56" s="429"/>
      <c r="M56" s="429"/>
      <c r="N56" s="532"/>
      <c r="O56" s="186" t="str">
        <f t="shared" si="5"/>
        <v/>
      </c>
      <c r="P56" s="468" t="str">
        <f t="shared" si="6"/>
        <v/>
      </c>
      <c r="Q56" s="468" t="str">
        <f t="shared" si="7"/>
        <v/>
      </c>
      <c r="R56" s="186" t="str">
        <f t="shared" si="18"/>
        <v/>
      </c>
      <c r="S56" s="468" t="str">
        <f t="shared" si="19"/>
        <v/>
      </c>
      <c r="T56" s="468" t="str">
        <f t="shared" si="20"/>
        <v/>
      </c>
      <c r="U56" s="186" t="str">
        <f t="shared" si="11"/>
        <v/>
      </c>
      <c r="V56" s="468" t="str">
        <f t="shared" si="12"/>
        <v/>
      </c>
      <c r="W56" s="468" t="str">
        <f t="shared" si="13"/>
        <v/>
      </c>
      <c r="X56" s="468" t="str">
        <f t="shared" si="14"/>
        <v/>
      </c>
      <c r="Y56" s="283" t="str">
        <f t="shared" si="15"/>
        <v/>
      </c>
    </row>
    <row r="57" spans="1:25" ht="16.350000000000001" customHeight="1">
      <c r="A57" s="175">
        <f t="shared" si="0"/>
        <v>2021</v>
      </c>
      <c r="B57" s="454" t="str">
        <f t="shared" si="1"/>
        <v>52</v>
      </c>
      <c r="C57" s="454" t="str">
        <f t="array" ref="C57">_xlfn.IFS(_xlfn.NUMBERVALUE(B57)&lt;=13,"Q1",AND(_xlfn.NUMBERVALUE(B57)&gt;13,_xlfn.NUMBERVALUE(B57)&lt;=26),"Q2", AND(_xlfn.NUMBERVALUE(B57)&gt;26,_xlfn.NUMBERVALUE(B57)&lt;=39),"Q3",_xlfn.NUMBERVALUE(B57)&gt;39,"Q4")</f>
        <v>Q4</v>
      </c>
      <c r="D57" s="448">
        <f t="shared" si="16"/>
        <v>44219</v>
      </c>
      <c r="E57" s="448">
        <f t="shared" si="2"/>
        <v>44225</v>
      </c>
      <c r="F57" s="79">
        <v>202052</v>
      </c>
      <c r="G57" s="180">
        <f t="shared" si="3"/>
        <v>0</v>
      </c>
      <c r="H57" s="429"/>
      <c r="I57" s="429"/>
      <c r="J57" s="429"/>
      <c r="K57" s="180">
        <f t="shared" si="17"/>
        <v>0</v>
      </c>
      <c r="L57" s="429"/>
      <c r="M57" s="429"/>
      <c r="N57" s="532"/>
      <c r="O57" s="186" t="str">
        <f t="shared" si="5"/>
        <v/>
      </c>
      <c r="P57" s="468" t="str">
        <f t="shared" si="6"/>
        <v/>
      </c>
      <c r="Q57" s="468" t="str">
        <f t="shared" si="7"/>
        <v/>
      </c>
      <c r="R57" s="186" t="str">
        <f t="shared" si="18"/>
        <v/>
      </c>
      <c r="S57" s="468" t="str">
        <f t="shared" si="19"/>
        <v/>
      </c>
      <c r="T57" s="468" t="str">
        <f t="shared" si="20"/>
        <v/>
      </c>
      <c r="U57" s="186" t="str">
        <f t="shared" si="11"/>
        <v/>
      </c>
      <c r="V57" s="468" t="str">
        <f t="shared" si="12"/>
        <v/>
      </c>
      <c r="W57" s="468" t="str">
        <f t="shared" si="13"/>
        <v/>
      </c>
      <c r="X57" s="468" t="str">
        <f t="shared" si="14"/>
        <v/>
      </c>
      <c r="Y57" s="283" t="str">
        <f t="shared" si="15"/>
        <v/>
      </c>
    </row>
    <row r="58" spans="1:25" ht="16.350000000000001" customHeight="1">
      <c r="A58" s="175">
        <f t="shared" si="0"/>
        <v>2022</v>
      </c>
      <c r="B58" s="454" t="str">
        <f t="shared" si="1"/>
        <v>01</v>
      </c>
      <c r="C58" s="454" t="str">
        <f t="array" ref="C58">_xlfn.IFS(_xlfn.NUMBERVALUE(B58)&lt;=13,"Q1",AND(_xlfn.NUMBERVALUE(B58)&gt;13,_xlfn.NUMBERVALUE(B58)&lt;=26),"Q2", AND(_xlfn.NUMBERVALUE(B58)&gt;26,_xlfn.NUMBERVALUE(B58)&lt;=39),"Q3",_xlfn.NUMBERVALUE(B58)&gt;39,"Q4")</f>
        <v>Q1</v>
      </c>
      <c r="D58" s="448">
        <f t="shared" si="16"/>
        <v>44226</v>
      </c>
      <c r="E58" s="448">
        <f t="shared" si="2"/>
        <v>44232</v>
      </c>
      <c r="F58" s="533">
        <v>202101</v>
      </c>
      <c r="G58" s="180">
        <f t="shared" si="3"/>
        <v>0</v>
      </c>
      <c r="H58" s="429"/>
      <c r="I58" s="429"/>
      <c r="J58" s="429"/>
      <c r="K58" s="180">
        <f t="shared" si="17"/>
        <v>0</v>
      </c>
      <c r="L58" s="429"/>
      <c r="M58" s="429"/>
      <c r="N58" s="532"/>
      <c r="O58" s="186" t="str">
        <f t="shared" si="5"/>
        <v/>
      </c>
      <c r="P58" s="468" t="str">
        <f t="shared" si="6"/>
        <v/>
      </c>
      <c r="Q58" s="468" t="str">
        <f t="shared" si="7"/>
        <v/>
      </c>
      <c r="R58" s="186" t="str">
        <f t="shared" si="18"/>
        <v/>
      </c>
      <c r="S58" s="468" t="str">
        <f t="shared" si="19"/>
        <v/>
      </c>
      <c r="T58" s="468" t="str">
        <f t="shared" si="20"/>
        <v/>
      </c>
      <c r="U58" s="186" t="str">
        <f t="shared" si="11"/>
        <v/>
      </c>
      <c r="V58" s="468" t="str">
        <f t="shared" si="12"/>
        <v/>
      </c>
      <c r="W58" s="468" t="str">
        <f t="shared" si="13"/>
        <v/>
      </c>
      <c r="X58" s="468" t="str">
        <f t="shared" si="14"/>
        <v/>
      </c>
      <c r="Y58" s="283" t="str">
        <f t="shared" si="15"/>
        <v/>
      </c>
    </row>
    <row r="59" spans="1:25" ht="16.350000000000001" customHeight="1">
      <c r="A59" s="175">
        <f t="shared" si="0"/>
        <v>2022</v>
      </c>
      <c r="B59" s="454" t="str">
        <f t="shared" si="1"/>
        <v>02</v>
      </c>
      <c r="C59" s="454" t="str">
        <f t="array" ref="C59">_xlfn.IFS(_xlfn.NUMBERVALUE(B59)&lt;=13,"Q1",AND(_xlfn.NUMBERVALUE(B59)&gt;13,_xlfn.NUMBERVALUE(B59)&lt;=26),"Q2", AND(_xlfn.NUMBERVALUE(B59)&gt;26,_xlfn.NUMBERVALUE(B59)&lt;=39),"Q3",_xlfn.NUMBERVALUE(B59)&gt;39,"Q4")</f>
        <v>Q1</v>
      </c>
      <c r="D59" s="448">
        <f t="shared" si="16"/>
        <v>44233</v>
      </c>
      <c r="E59" s="448">
        <f t="shared" si="2"/>
        <v>44239</v>
      </c>
      <c r="F59" s="533">
        <v>202102</v>
      </c>
      <c r="G59" s="180">
        <f t="shared" si="3"/>
        <v>0</v>
      </c>
      <c r="H59" s="429"/>
      <c r="I59" s="429"/>
      <c r="J59" s="429"/>
      <c r="K59" s="180">
        <f t="shared" si="17"/>
        <v>0</v>
      </c>
      <c r="L59" s="429"/>
      <c r="M59" s="429"/>
      <c r="N59" s="532"/>
      <c r="O59" s="186" t="str">
        <f t="shared" si="5"/>
        <v/>
      </c>
      <c r="P59" s="468" t="str">
        <f t="shared" si="6"/>
        <v/>
      </c>
      <c r="Q59" s="468" t="str">
        <f t="shared" si="7"/>
        <v/>
      </c>
      <c r="R59" s="186" t="str">
        <f t="shared" si="18"/>
        <v/>
      </c>
      <c r="S59" s="468" t="str">
        <f t="shared" si="19"/>
        <v/>
      </c>
      <c r="T59" s="468" t="str">
        <f t="shared" si="20"/>
        <v/>
      </c>
      <c r="U59" s="186" t="str">
        <f t="shared" si="11"/>
        <v/>
      </c>
      <c r="V59" s="468" t="str">
        <f t="shared" si="12"/>
        <v/>
      </c>
      <c r="W59" s="468" t="str">
        <f t="shared" si="13"/>
        <v/>
      </c>
      <c r="X59" s="468" t="str">
        <f t="shared" si="14"/>
        <v/>
      </c>
      <c r="Y59" s="283" t="str">
        <f t="shared" si="15"/>
        <v/>
      </c>
    </row>
    <row r="60" spans="1:25" ht="16.350000000000001" customHeight="1">
      <c r="A60" s="175">
        <f t="shared" si="0"/>
        <v>2022</v>
      </c>
      <c r="B60" s="454" t="str">
        <f t="shared" si="1"/>
        <v>03</v>
      </c>
      <c r="C60" s="454" t="str">
        <f t="array" ref="C60">_xlfn.IFS(_xlfn.NUMBERVALUE(B60)&lt;=13,"Q1",AND(_xlfn.NUMBERVALUE(B60)&gt;13,_xlfn.NUMBERVALUE(B60)&lt;=26),"Q2", AND(_xlfn.NUMBERVALUE(B60)&gt;26,_xlfn.NUMBERVALUE(B60)&lt;=39),"Q3",_xlfn.NUMBERVALUE(B60)&gt;39,"Q4")</f>
        <v>Q1</v>
      </c>
      <c r="D60" s="448">
        <f t="shared" si="16"/>
        <v>44240</v>
      </c>
      <c r="E60" s="448">
        <f t="shared" si="2"/>
        <v>44246</v>
      </c>
      <c r="F60" s="533">
        <v>202103</v>
      </c>
      <c r="G60" s="180">
        <f t="shared" si="3"/>
        <v>0</v>
      </c>
      <c r="H60" s="429"/>
      <c r="I60" s="429"/>
      <c r="J60" s="429"/>
      <c r="K60" s="180">
        <f t="shared" si="17"/>
        <v>0</v>
      </c>
      <c r="L60" s="429"/>
      <c r="M60" s="429"/>
      <c r="N60" s="532"/>
      <c r="O60" s="186" t="str">
        <f t="shared" si="5"/>
        <v/>
      </c>
      <c r="P60" s="468" t="str">
        <f t="shared" si="6"/>
        <v/>
      </c>
      <c r="Q60" s="468" t="str">
        <f t="shared" si="7"/>
        <v/>
      </c>
      <c r="R60" s="186" t="str">
        <f t="shared" si="18"/>
        <v/>
      </c>
      <c r="S60" s="468" t="str">
        <f t="shared" si="19"/>
        <v/>
      </c>
      <c r="T60" s="468" t="str">
        <f t="shared" si="20"/>
        <v/>
      </c>
      <c r="U60" s="186" t="str">
        <f t="shared" si="11"/>
        <v/>
      </c>
      <c r="V60" s="468" t="str">
        <f t="shared" si="12"/>
        <v/>
      </c>
      <c r="W60" s="468" t="str">
        <f t="shared" si="13"/>
        <v/>
      </c>
      <c r="X60" s="468" t="str">
        <f t="shared" si="14"/>
        <v/>
      </c>
      <c r="Y60" s="283" t="str">
        <f t="shared" si="15"/>
        <v/>
      </c>
    </row>
    <row r="61" spans="1:25" ht="16.350000000000001" customHeight="1">
      <c r="A61" s="175">
        <f t="shared" si="0"/>
        <v>2022</v>
      </c>
      <c r="B61" s="454" t="str">
        <f t="shared" si="1"/>
        <v>04</v>
      </c>
      <c r="C61" s="454" t="str">
        <f t="array" ref="C61">_xlfn.IFS(_xlfn.NUMBERVALUE(B61)&lt;=13,"Q1",AND(_xlfn.NUMBERVALUE(B61)&gt;13,_xlfn.NUMBERVALUE(B61)&lt;=26),"Q2", AND(_xlfn.NUMBERVALUE(B61)&gt;26,_xlfn.NUMBERVALUE(B61)&lt;=39),"Q3",_xlfn.NUMBERVALUE(B61)&gt;39,"Q4")</f>
        <v>Q1</v>
      </c>
      <c r="D61" s="448">
        <f t="shared" si="16"/>
        <v>44247</v>
      </c>
      <c r="E61" s="448">
        <f t="shared" si="2"/>
        <v>44253</v>
      </c>
      <c r="F61" s="533">
        <v>202104</v>
      </c>
      <c r="G61" s="180">
        <f t="shared" si="3"/>
        <v>0</v>
      </c>
      <c r="H61" s="429"/>
      <c r="I61" s="429"/>
      <c r="J61" s="429"/>
      <c r="K61" s="180">
        <f t="shared" si="17"/>
        <v>0</v>
      </c>
      <c r="L61" s="429"/>
      <c r="M61" s="429"/>
      <c r="N61" s="532"/>
      <c r="O61" s="186" t="str">
        <f t="shared" si="5"/>
        <v/>
      </c>
      <c r="P61" s="468" t="str">
        <f t="shared" si="6"/>
        <v/>
      </c>
      <c r="Q61" s="468" t="str">
        <f t="shared" si="7"/>
        <v/>
      </c>
      <c r="R61" s="186" t="str">
        <f t="shared" si="18"/>
        <v/>
      </c>
      <c r="S61" s="468" t="str">
        <f t="shared" si="19"/>
        <v/>
      </c>
      <c r="T61" s="468" t="str">
        <f t="shared" si="20"/>
        <v/>
      </c>
      <c r="U61" s="186" t="str">
        <f t="shared" si="11"/>
        <v/>
      </c>
      <c r="V61" s="468" t="str">
        <f t="shared" si="12"/>
        <v/>
      </c>
      <c r="W61" s="468" t="str">
        <f t="shared" si="13"/>
        <v/>
      </c>
      <c r="X61" s="468" t="str">
        <f t="shared" si="14"/>
        <v/>
      </c>
      <c r="Y61" s="283" t="str">
        <f t="shared" si="15"/>
        <v/>
      </c>
    </row>
    <row r="62" spans="1:25" ht="16.350000000000001" customHeight="1">
      <c r="A62" s="175">
        <f t="shared" si="0"/>
        <v>2022</v>
      </c>
      <c r="B62" s="454" t="str">
        <f t="shared" si="1"/>
        <v>05</v>
      </c>
      <c r="C62" s="454" t="str">
        <f t="array" ref="C62">_xlfn.IFS(_xlfn.NUMBERVALUE(B62)&lt;=13,"Q1",AND(_xlfn.NUMBERVALUE(B62)&gt;13,_xlfn.NUMBERVALUE(B62)&lt;=26),"Q2", AND(_xlfn.NUMBERVALUE(B62)&gt;26,_xlfn.NUMBERVALUE(B62)&lt;=39),"Q3",_xlfn.NUMBERVALUE(B62)&gt;39,"Q4")</f>
        <v>Q1</v>
      </c>
      <c r="D62" s="448">
        <f t="shared" si="16"/>
        <v>44254</v>
      </c>
      <c r="E62" s="448">
        <f t="shared" si="2"/>
        <v>44260</v>
      </c>
      <c r="F62" s="533">
        <v>202105</v>
      </c>
      <c r="G62" s="180">
        <f t="shared" si="3"/>
        <v>0</v>
      </c>
      <c r="H62" s="429"/>
      <c r="I62" s="429"/>
      <c r="J62" s="429"/>
      <c r="K62" s="180">
        <f t="shared" si="17"/>
        <v>0</v>
      </c>
      <c r="L62" s="429"/>
      <c r="M62" s="429"/>
      <c r="N62" s="532"/>
      <c r="O62" s="186" t="str">
        <f t="shared" si="5"/>
        <v/>
      </c>
      <c r="P62" s="468" t="str">
        <f t="shared" si="6"/>
        <v/>
      </c>
      <c r="Q62" s="468" t="str">
        <f t="shared" si="7"/>
        <v/>
      </c>
      <c r="R62" s="186" t="str">
        <f t="shared" si="18"/>
        <v/>
      </c>
      <c r="S62" s="468" t="str">
        <f t="shared" si="19"/>
        <v/>
      </c>
      <c r="T62" s="468" t="str">
        <f t="shared" si="20"/>
        <v/>
      </c>
      <c r="U62" s="186" t="str">
        <f t="shared" si="11"/>
        <v/>
      </c>
      <c r="V62" s="468" t="str">
        <f t="shared" si="12"/>
        <v/>
      </c>
      <c r="W62" s="468" t="str">
        <f t="shared" si="13"/>
        <v/>
      </c>
      <c r="X62" s="468" t="str">
        <f t="shared" si="14"/>
        <v/>
      </c>
      <c r="Y62" s="283" t="str">
        <f t="shared" si="15"/>
        <v/>
      </c>
    </row>
    <row r="63" spans="1:25" ht="16.350000000000001" customHeight="1">
      <c r="A63" s="175">
        <f t="shared" si="0"/>
        <v>2022</v>
      </c>
      <c r="B63" s="454" t="str">
        <f t="shared" si="1"/>
        <v>06</v>
      </c>
      <c r="C63" s="454" t="str">
        <f t="array" ref="C63">_xlfn.IFS(_xlfn.NUMBERVALUE(B63)&lt;=13,"Q1",AND(_xlfn.NUMBERVALUE(B63)&gt;13,_xlfn.NUMBERVALUE(B63)&lt;=26),"Q2", AND(_xlfn.NUMBERVALUE(B63)&gt;26,_xlfn.NUMBERVALUE(B63)&lt;=39),"Q3",_xlfn.NUMBERVALUE(B63)&gt;39,"Q4")</f>
        <v>Q1</v>
      </c>
      <c r="D63" s="448">
        <f t="shared" si="16"/>
        <v>44261</v>
      </c>
      <c r="E63" s="448">
        <f t="shared" si="2"/>
        <v>44267</v>
      </c>
      <c r="F63" s="533">
        <v>202106</v>
      </c>
      <c r="G63" s="180">
        <f t="shared" si="3"/>
        <v>0</v>
      </c>
      <c r="H63" s="429"/>
      <c r="I63" s="429"/>
      <c r="J63" s="429"/>
      <c r="K63" s="180">
        <f t="shared" si="17"/>
        <v>0</v>
      </c>
      <c r="L63" s="429"/>
      <c r="M63" s="429"/>
      <c r="N63" s="532"/>
      <c r="O63" s="186" t="str">
        <f t="shared" si="5"/>
        <v/>
      </c>
      <c r="P63" s="468" t="str">
        <f t="shared" si="6"/>
        <v/>
      </c>
      <c r="Q63" s="468" t="str">
        <f t="shared" si="7"/>
        <v/>
      </c>
      <c r="R63" s="186" t="str">
        <f t="shared" si="18"/>
        <v/>
      </c>
      <c r="S63" s="468" t="str">
        <f t="shared" si="19"/>
        <v/>
      </c>
      <c r="T63" s="468" t="str">
        <f t="shared" si="20"/>
        <v/>
      </c>
      <c r="U63" s="186" t="str">
        <f t="shared" si="11"/>
        <v/>
      </c>
      <c r="V63" s="468" t="str">
        <f t="shared" si="12"/>
        <v/>
      </c>
      <c r="W63" s="468" t="str">
        <f t="shared" si="13"/>
        <v/>
      </c>
      <c r="X63" s="468" t="str">
        <f t="shared" si="14"/>
        <v/>
      </c>
      <c r="Y63" s="283" t="str">
        <f t="shared" si="15"/>
        <v/>
      </c>
    </row>
    <row r="64" spans="1:25" ht="16.350000000000001" customHeight="1">
      <c r="A64" s="175">
        <f t="shared" si="0"/>
        <v>2022</v>
      </c>
      <c r="B64" s="454" t="str">
        <f t="shared" si="1"/>
        <v>07</v>
      </c>
      <c r="C64" s="454" t="str">
        <f t="array" ref="C64">_xlfn.IFS(_xlfn.NUMBERVALUE(B64)&lt;=13,"Q1",AND(_xlfn.NUMBERVALUE(B64)&gt;13,_xlfn.NUMBERVALUE(B64)&lt;=26),"Q2", AND(_xlfn.NUMBERVALUE(B64)&gt;26,_xlfn.NUMBERVALUE(B64)&lt;=39),"Q3",_xlfn.NUMBERVALUE(B64)&gt;39,"Q4")</f>
        <v>Q1</v>
      </c>
      <c r="D64" s="448">
        <f t="shared" si="16"/>
        <v>44268</v>
      </c>
      <c r="E64" s="448">
        <f t="shared" si="2"/>
        <v>44274</v>
      </c>
      <c r="F64" s="533">
        <v>202107</v>
      </c>
      <c r="G64" s="180">
        <f t="shared" si="3"/>
        <v>0</v>
      </c>
      <c r="H64" s="429"/>
      <c r="I64" s="429"/>
      <c r="J64" s="429"/>
      <c r="K64" s="180">
        <f t="shared" si="17"/>
        <v>0</v>
      </c>
      <c r="L64" s="429"/>
      <c r="M64" s="429"/>
      <c r="N64" s="532"/>
      <c r="O64" s="186" t="str">
        <f t="shared" si="5"/>
        <v/>
      </c>
      <c r="P64" s="468" t="str">
        <f t="shared" si="6"/>
        <v/>
      </c>
      <c r="Q64" s="468" t="str">
        <f t="shared" si="7"/>
        <v/>
      </c>
      <c r="R64" s="186" t="str">
        <f t="shared" si="18"/>
        <v/>
      </c>
      <c r="S64" s="468" t="str">
        <f t="shared" si="19"/>
        <v/>
      </c>
      <c r="T64" s="468" t="str">
        <f t="shared" si="20"/>
        <v/>
      </c>
      <c r="U64" s="186" t="str">
        <f t="shared" si="11"/>
        <v/>
      </c>
      <c r="V64" s="468" t="str">
        <f t="shared" si="12"/>
        <v/>
      </c>
      <c r="W64" s="468" t="str">
        <f t="shared" si="13"/>
        <v/>
      </c>
      <c r="X64" s="468" t="str">
        <f t="shared" si="14"/>
        <v/>
      </c>
      <c r="Y64" s="283" t="str">
        <f t="shared" si="15"/>
        <v/>
      </c>
    </row>
    <row r="65" spans="1:25" ht="16.350000000000001" customHeight="1">
      <c r="A65" s="175">
        <f t="shared" si="0"/>
        <v>2022</v>
      </c>
      <c r="B65" s="454" t="str">
        <f t="shared" si="1"/>
        <v>08</v>
      </c>
      <c r="C65" s="454" t="str">
        <f t="array" ref="C65">_xlfn.IFS(_xlfn.NUMBERVALUE(B65)&lt;=13,"Q1",AND(_xlfn.NUMBERVALUE(B65)&gt;13,_xlfn.NUMBERVALUE(B65)&lt;=26),"Q2", AND(_xlfn.NUMBERVALUE(B65)&gt;26,_xlfn.NUMBERVALUE(B65)&lt;=39),"Q3",_xlfn.NUMBERVALUE(B65)&gt;39,"Q4")</f>
        <v>Q1</v>
      </c>
      <c r="D65" s="448">
        <f t="shared" si="16"/>
        <v>44275</v>
      </c>
      <c r="E65" s="448">
        <f t="shared" si="2"/>
        <v>44281</v>
      </c>
      <c r="F65" s="533">
        <v>202108</v>
      </c>
      <c r="G65" s="180">
        <f t="shared" si="3"/>
        <v>0</v>
      </c>
      <c r="H65" s="429"/>
      <c r="I65" s="429"/>
      <c r="J65" s="429"/>
      <c r="K65" s="180">
        <f t="shared" si="17"/>
        <v>0</v>
      </c>
      <c r="L65" s="429"/>
      <c r="M65" s="429"/>
      <c r="N65" s="532"/>
      <c r="O65" s="186" t="str">
        <f t="shared" si="5"/>
        <v/>
      </c>
      <c r="P65" s="468" t="str">
        <f t="shared" si="6"/>
        <v/>
      </c>
      <c r="Q65" s="468" t="str">
        <f t="shared" si="7"/>
        <v/>
      </c>
      <c r="R65" s="186" t="str">
        <f t="shared" si="18"/>
        <v/>
      </c>
      <c r="S65" s="468" t="str">
        <f t="shared" si="19"/>
        <v/>
      </c>
      <c r="T65" s="468" t="str">
        <f t="shared" si="20"/>
        <v/>
      </c>
      <c r="U65" s="186" t="str">
        <f t="shared" si="11"/>
        <v/>
      </c>
      <c r="V65" s="468" t="str">
        <f t="shared" si="12"/>
        <v/>
      </c>
      <c r="W65" s="468" t="str">
        <f t="shared" si="13"/>
        <v/>
      </c>
      <c r="X65" s="468" t="str">
        <f t="shared" si="14"/>
        <v/>
      </c>
      <c r="Y65" s="283" t="str">
        <f t="shared" si="15"/>
        <v/>
      </c>
    </row>
    <row r="66" spans="1:25" ht="16.350000000000001" customHeight="1">
      <c r="A66" s="175">
        <f t="shared" si="0"/>
        <v>2022</v>
      </c>
      <c r="B66" s="454" t="str">
        <f t="shared" si="1"/>
        <v>09</v>
      </c>
      <c r="C66" s="454" t="str">
        <f t="array" ref="C66">_xlfn.IFS(_xlfn.NUMBERVALUE(B66)&lt;=13,"Q1",AND(_xlfn.NUMBERVALUE(B66)&gt;13,_xlfn.NUMBERVALUE(B66)&lt;=26),"Q2", AND(_xlfn.NUMBERVALUE(B66)&gt;26,_xlfn.NUMBERVALUE(B66)&lt;=39),"Q3",_xlfn.NUMBERVALUE(B66)&gt;39,"Q4")</f>
        <v>Q1</v>
      </c>
      <c r="D66" s="448">
        <f t="shared" si="16"/>
        <v>44282</v>
      </c>
      <c r="E66" s="448">
        <f t="shared" si="2"/>
        <v>44288</v>
      </c>
      <c r="F66" s="533">
        <v>202109</v>
      </c>
      <c r="G66" s="180">
        <f t="shared" si="3"/>
        <v>0</v>
      </c>
      <c r="H66" s="429"/>
      <c r="I66" s="429"/>
      <c r="J66" s="429"/>
      <c r="K66" s="180">
        <f t="shared" si="17"/>
        <v>0</v>
      </c>
      <c r="L66" s="429"/>
      <c r="M66" s="429"/>
      <c r="N66" s="532"/>
      <c r="O66" s="186" t="str">
        <f t="shared" si="5"/>
        <v/>
      </c>
      <c r="P66" s="468" t="str">
        <f t="shared" si="6"/>
        <v/>
      </c>
      <c r="Q66" s="468" t="str">
        <f t="shared" si="7"/>
        <v/>
      </c>
      <c r="R66" s="186" t="str">
        <f t="shared" si="18"/>
        <v/>
      </c>
      <c r="S66" s="468" t="str">
        <f t="shared" si="19"/>
        <v/>
      </c>
      <c r="T66" s="468" t="str">
        <f t="shared" si="20"/>
        <v/>
      </c>
      <c r="U66" s="186" t="str">
        <f t="shared" si="11"/>
        <v/>
      </c>
      <c r="V66" s="468" t="str">
        <f t="shared" si="12"/>
        <v/>
      </c>
      <c r="W66" s="468" t="str">
        <f t="shared" si="13"/>
        <v/>
      </c>
      <c r="X66" s="468" t="str">
        <f t="shared" si="14"/>
        <v/>
      </c>
      <c r="Y66" s="283" t="str">
        <f t="shared" si="15"/>
        <v/>
      </c>
    </row>
    <row r="67" spans="1:25" ht="16.350000000000001" customHeight="1">
      <c r="A67" s="175">
        <f t="shared" si="0"/>
        <v>2022</v>
      </c>
      <c r="B67" s="454" t="str">
        <f t="shared" si="1"/>
        <v>10</v>
      </c>
      <c r="C67" s="454" t="str">
        <f t="array" ref="C67">_xlfn.IFS(_xlfn.NUMBERVALUE(B67)&lt;=13,"Q1",AND(_xlfn.NUMBERVALUE(B67)&gt;13,_xlfn.NUMBERVALUE(B67)&lt;=26),"Q2", AND(_xlfn.NUMBERVALUE(B67)&gt;26,_xlfn.NUMBERVALUE(B67)&lt;=39),"Q3",_xlfn.NUMBERVALUE(B67)&gt;39,"Q4")</f>
        <v>Q1</v>
      </c>
      <c r="D67" s="448">
        <f t="shared" si="16"/>
        <v>44289</v>
      </c>
      <c r="E67" s="448">
        <f t="shared" si="2"/>
        <v>44295</v>
      </c>
      <c r="F67" s="533">
        <v>202110</v>
      </c>
      <c r="G67" s="180">
        <f t="shared" si="3"/>
        <v>0</v>
      </c>
      <c r="H67" s="429"/>
      <c r="I67" s="429"/>
      <c r="J67" s="429"/>
      <c r="K67" s="180">
        <f t="shared" si="17"/>
        <v>0</v>
      </c>
      <c r="L67" s="429"/>
      <c r="M67" s="429"/>
      <c r="N67" s="532"/>
      <c r="O67" s="186" t="str">
        <f t="shared" si="5"/>
        <v/>
      </c>
      <c r="P67" s="468" t="str">
        <f t="shared" si="6"/>
        <v/>
      </c>
      <c r="Q67" s="468" t="str">
        <f t="shared" si="7"/>
        <v/>
      </c>
      <c r="R67" s="186" t="str">
        <f t="shared" si="18"/>
        <v/>
      </c>
      <c r="S67" s="468" t="str">
        <f t="shared" si="19"/>
        <v/>
      </c>
      <c r="T67" s="468" t="str">
        <f t="shared" si="20"/>
        <v/>
      </c>
      <c r="U67" s="186" t="str">
        <f t="shared" si="11"/>
        <v/>
      </c>
      <c r="V67" s="468" t="str">
        <f t="shared" si="12"/>
        <v/>
      </c>
      <c r="W67" s="468" t="str">
        <f t="shared" si="13"/>
        <v/>
      </c>
      <c r="X67" s="468" t="str">
        <f t="shared" si="14"/>
        <v/>
      </c>
      <c r="Y67" s="283" t="str">
        <f t="shared" si="15"/>
        <v/>
      </c>
    </row>
    <row r="68" spans="1:25" ht="16.350000000000001" customHeight="1">
      <c r="A68" s="175">
        <f t="shared" si="0"/>
        <v>2022</v>
      </c>
      <c r="B68" s="454" t="str">
        <f t="shared" si="1"/>
        <v>11</v>
      </c>
      <c r="C68" s="454" t="str">
        <f t="array" ref="C68">_xlfn.IFS(_xlfn.NUMBERVALUE(B68)&lt;=13,"Q1",AND(_xlfn.NUMBERVALUE(B68)&gt;13,_xlfn.NUMBERVALUE(B68)&lt;=26),"Q2", AND(_xlfn.NUMBERVALUE(B68)&gt;26,_xlfn.NUMBERVALUE(B68)&lt;=39),"Q3",_xlfn.NUMBERVALUE(B68)&gt;39,"Q4")</f>
        <v>Q1</v>
      </c>
      <c r="D68" s="448">
        <f t="shared" si="16"/>
        <v>44296</v>
      </c>
      <c r="E68" s="448">
        <f t="shared" si="2"/>
        <v>44302</v>
      </c>
      <c r="F68" s="533">
        <v>202111</v>
      </c>
      <c r="G68" s="180">
        <f t="shared" si="3"/>
        <v>0</v>
      </c>
      <c r="H68" s="429"/>
      <c r="I68" s="429"/>
      <c r="J68" s="429"/>
      <c r="K68" s="180">
        <f t="shared" si="17"/>
        <v>0</v>
      </c>
      <c r="L68" s="429"/>
      <c r="M68" s="429"/>
      <c r="N68" s="532"/>
      <c r="O68" s="186" t="str">
        <f t="shared" si="5"/>
        <v/>
      </c>
      <c r="P68" s="468" t="str">
        <f t="shared" si="6"/>
        <v/>
      </c>
      <c r="Q68" s="468" t="str">
        <f t="shared" si="7"/>
        <v/>
      </c>
      <c r="R68" s="186" t="str">
        <f t="shared" si="18"/>
        <v/>
      </c>
      <c r="S68" s="468" t="str">
        <f t="shared" si="19"/>
        <v/>
      </c>
      <c r="T68" s="468" t="str">
        <f t="shared" si="20"/>
        <v/>
      </c>
      <c r="U68" s="186" t="str">
        <f t="shared" si="11"/>
        <v/>
      </c>
      <c r="V68" s="468" t="str">
        <f t="shared" si="12"/>
        <v/>
      </c>
      <c r="W68" s="468" t="str">
        <f t="shared" si="13"/>
        <v/>
      </c>
      <c r="X68" s="468" t="str">
        <f t="shared" si="14"/>
        <v/>
      </c>
      <c r="Y68" s="283" t="str">
        <f t="shared" si="15"/>
        <v/>
      </c>
    </row>
    <row r="69" spans="1:25" ht="16.350000000000001" customHeight="1">
      <c r="A69" s="175">
        <f t="shared" si="0"/>
        <v>2022</v>
      </c>
      <c r="B69" s="454" t="str">
        <f t="shared" si="1"/>
        <v>12</v>
      </c>
      <c r="C69" s="454" t="str">
        <f t="array" ref="C69">_xlfn.IFS(_xlfn.NUMBERVALUE(B69)&lt;=13,"Q1",AND(_xlfn.NUMBERVALUE(B69)&gt;13,_xlfn.NUMBERVALUE(B69)&lt;=26),"Q2", AND(_xlfn.NUMBERVALUE(B69)&gt;26,_xlfn.NUMBERVALUE(B69)&lt;=39),"Q3",_xlfn.NUMBERVALUE(B69)&gt;39,"Q4")</f>
        <v>Q1</v>
      </c>
      <c r="D69" s="448">
        <f t="shared" si="16"/>
        <v>44303</v>
      </c>
      <c r="E69" s="448">
        <f t="shared" si="2"/>
        <v>44309</v>
      </c>
      <c r="F69" s="533">
        <v>202112</v>
      </c>
      <c r="G69" s="180">
        <f t="shared" si="3"/>
        <v>0</v>
      </c>
      <c r="H69" s="429"/>
      <c r="I69" s="429"/>
      <c r="J69" s="429"/>
      <c r="K69" s="180">
        <f t="shared" si="17"/>
        <v>0</v>
      </c>
      <c r="L69" s="429"/>
      <c r="M69" s="429"/>
      <c r="N69" s="532"/>
      <c r="O69" s="186" t="str">
        <f t="shared" si="5"/>
        <v/>
      </c>
      <c r="P69" s="468" t="str">
        <f t="shared" si="6"/>
        <v/>
      </c>
      <c r="Q69" s="468" t="str">
        <f t="shared" si="7"/>
        <v/>
      </c>
      <c r="R69" s="186" t="str">
        <f t="shared" si="18"/>
        <v/>
      </c>
      <c r="S69" s="468" t="str">
        <f t="shared" si="19"/>
        <v/>
      </c>
      <c r="T69" s="468" t="str">
        <f t="shared" si="20"/>
        <v/>
      </c>
      <c r="U69" s="186" t="str">
        <f t="shared" si="11"/>
        <v/>
      </c>
      <c r="V69" s="468" t="str">
        <f t="shared" si="12"/>
        <v/>
      </c>
      <c r="W69" s="468" t="str">
        <f t="shared" si="13"/>
        <v/>
      </c>
      <c r="X69" s="468" t="str">
        <f t="shared" si="14"/>
        <v/>
      </c>
      <c r="Y69" s="283" t="str">
        <f t="shared" si="15"/>
        <v/>
      </c>
    </row>
    <row r="70" spans="1:25" ht="16.350000000000001" customHeight="1">
      <c r="A70" s="175">
        <f t="shared" ref="A70:A133" si="21">LEFT(F70,4)+1</f>
        <v>2022</v>
      </c>
      <c r="B70" s="454" t="str">
        <f t="shared" ref="B70:B133" si="22">RIGHT(F70,2)</f>
        <v>13</v>
      </c>
      <c r="C70" s="454" t="str">
        <f t="array" ref="C70">_xlfn.IFS(_xlfn.NUMBERVALUE(B70)&lt;=13,"Q1",AND(_xlfn.NUMBERVALUE(B70)&gt;13,_xlfn.NUMBERVALUE(B70)&lt;=26),"Q2", AND(_xlfn.NUMBERVALUE(B70)&gt;26,_xlfn.NUMBERVALUE(B70)&lt;=39),"Q3",_xlfn.NUMBERVALUE(B70)&gt;39,"Q4")</f>
        <v>Q1</v>
      </c>
      <c r="D70" s="448">
        <f t="shared" si="16"/>
        <v>44310</v>
      </c>
      <c r="E70" s="448">
        <f t="shared" ref="E70:E133" si="23">D70+6</f>
        <v>44316</v>
      </c>
      <c r="F70" s="533">
        <v>202113</v>
      </c>
      <c r="G70" s="180">
        <f t="shared" ref="G70:G133" si="24">SUM(H70:J70)</f>
        <v>0</v>
      </c>
      <c r="H70" s="429"/>
      <c r="I70" s="429"/>
      <c r="J70" s="429"/>
      <c r="K70" s="180">
        <f t="shared" ref="K70:K101" si="25">SUM(L70:N70)</f>
        <v>0</v>
      </c>
      <c r="L70" s="429"/>
      <c r="M70" s="429"/>
      <c r="N70" s="532"/>
      <c r="O70" s="186" t="str">
        <f t="shared" ref="O70:O133" si="26">IFERROR(H70/$G70,"")</f>
        <v/>
      </c>
      <c r="P70" s="468" t="str">
        <f t="shared" ref="P70:P133" si="27">IFERROR(I70/$G70,"")</f>
        <v/>
      </c>
      <c r="Q70" s="468" t="str">
        <f t="shared" ref="Q70:Q133" si="28">IFERROR(J70/$G70,"")</f>
        <v/>
      </c>
      <c r="R70" s="186" t="str">
        <f t="shared" ref="R70:R101" si="29">IFERROR(L70/$K70,"")</f>
        <v/>
      </c>
      <c r="S70" s="468" t="str">
        <f t="shared" ref="S70:S101" si="30">IFERROR(M70/$K70,"")</f>
        <v/>
      </c>
      <c r="T70" s="468" t="str">
        <f t="shared" ref="T70:T101" si="31">IFERROR(N70/$K70,"")</f>
        <v/>
      </c>
      <c r="U70" s="186" t="str">
        <f t="shared" ref="U70:U133" si="32">IFERROR(IF(K71=0,"",(G70-K71)/G70),"")</f>
        <v/>
      </c>
      <c r="V70" s="468" t="str">
        <f t="shared" ref="V70:V133" si="33">IFERROR(IF(L71=0,"",(H70-L71)/H70),"")</f>
        <v/>
      </c>
      <c r="W70" s="468" t="str">
        <f t="shared" ref="W70:W133" si="34">IFERROR(IF(M71=0,"",(I70-M71)/I70),"")</f>
        <v/>
      </c>
      <c r="X70" s="468" t="str">
        <f t="shared" ref="X70:X133" si="35">IFERROR(IF(N71=0,"",(J70-N71)/J70),"")</f>
        <v/>
      </c>
      <c r="Y70" s="283" t="str">
        <f t="shared" ref="Y70:Y133" si="36">IFERROR((H70+J70)/K70,"")</f>
        <v/>
      </c>
    </row>
    <row r="71" spans="1:25" ht="16.350000000000001" customHeight="1">
      <c r="A71" s="175">
        <f t="shared" si="21"/>
        <v>2022</v>
      </c>
      <c r="B71" s="454" t="str">
        <f t="shared" si="22"/>
        <v>14</v>
      </c>
      <c r="C71" s="454" t="str">
        <f t="array" ref="C71">_xlfn.IFS(_xlfn.NUMBERVALUE(B71)&lt;=13,"Q1",AND(_xlfn.NUMBERVALUE(B71)&gt;13,_xlfn.NUMBERVALUE(B71)&lt;=26),"Q2", AND(_xlfn.NUMBERVALUE(B71)&gt;26,_xlfn.NUMBERVALUE(B71)&lt;=39),"Q3",_xlfn.NUMBERVALUE(B71)&gt;39,"Q4")</f>
        <v>Q2</v>
      </c>
      <c r="D71" s="448">
        <f t="shared" ref="D71:D134" si="37">E70+1</f>
        <v>44317</v>
      </c>
      <c r="E71" s="448">
        <f t="shared" si="23"/>
        <v>44323</v>
      </c>
      <c r="F71" s="533">
        <v>202114</v>
      </c>
      <c r="G71" s="180">
        <f t="shared" si="24"/>
        <v>0</v>
      </c>
      <c r="H71" s="429"/>
      <c r="I71" s="429"/>
      <c r="J71" s="429"/>
      <c r="K71" s="180">
        <f t="shared" si="25"/>
        <v>0</v>
      </c>
      <c r="L71" s="429"/>
      <c r="M71" s="429"/>
      <c r="N71" s="532"/>
      <c r="O71" s="186" t="str">
        <f t="shared" si="26"/>
        <v/>
      </c>
      <c r="P71" s="468" t="str">
        <f t="shared" si="27"/>
        <v/>
      </c>
      <c r="Q71" s="468" t="str">
        <f t="shared" si="28"/>
        <v/>
      </c>
      <c r="R71" s="186" t="str">
        <f t="shared" si="29"/>
        <v/>
      </c>
      <c r="S71" s="468" t="str">
        <f t="shared" si="30"/>
        <v/>
      </c>
      <c r="T71" s="468" t="str">
        <f t="shared" si="31"/>
        <v/>
      </c>
      <c r="U71" s="186" t="str">
        <f t="shared" si="32"/>
        <v/>
      </c>
      <c r="V71" s="468" t="str">
        <f t="shared" si="33"/>
        <v/>
      </c>
      <c r="W71" s="468" t="str">
        <f t="shared" si="34"/>
        <v/>
      </c>
      <c r="X71" s="468" t="str">
        <f t="shared" si="35"/>
        <v/>
      </c>
      <c r="Y71" s="283" t="str">
        <f t="shared" si="36"/>
        <v/>
      </c>
    </row>
    <row r="72" spans="1:25" ht="16.350000000000001" customHeight="1">
      <c r="A72" s="175">
        <f t="shared" si="21"/>
        <v>2022</v>
      </c>
      <c r="B72" s="454" t="str">
        <f t="shared" si="22"/>
        <v>15</v>
      </c>
      <c r="C72" s="454" t="str">
        <f t="array" ref="C72">_xlfn.IFS(_xlfn.NUMBERVALUE(B72)&lt;=13,"Q1",AND(_xlfn.NUMBERVALUE(B72)&gt;13,_xlfn.NUMBERVALUE(B72)&lt;=26),"Q2", AND(_xlfn.NUMBERVALUE(B72)&gt;26,_xlfn.NUMBERVALUE(B72)&lt;=39),"Q3",_xlfn.NUMBERVALUE(B72)&gt;39,"Q4")</f>
        <v>Q2</v>
      </c>
      <c r="D72" s="448">
        <f t="shared" si="37"/>
        <v>44324</v>
      </c>
      <c r="E72" s="448">
        <f t="shared" si="23"/>
        <v>44330</v>
      </c>
      <c r="F72" s="533">
        <v>202115</v>
      </c>
      <c r="G72" s="180">
        <f t="shared" si="24"/>
        <v>0</v>
      </c>
      <c r="H72" s="429"/>
      <c r="I72" s="429"/>
      <c r="J72" s="429"/>
      <c r="K72" s="180">
        <f t="shared" si="25"/>
        <v>0</v>
      </c>
      <c r="L72" s="429"/>
      <c r="M72" s="429"/>
      <c r="N72" s="532"/>
      <c r="O72" s="186" t="str">
        <f t="shared" si="26"/>
        <v/>
      </c>
      <c r="P72" s="468" t="str">
        <f t="shared" si="27"/>
        <v/>
      </c>
      <c r="Q72" s="468" t="str">
        <f t="shared" si="28"/>
        <v/>
      </c>
      <c r="R72" s="186" t="str">
        <f t="shared" si="29"/>
        <v/>
      </c>
      <c r="S72" s="468" t="str">
        <f t="shared" si="30"/>
        <v/>
      </c>
      <c r="T72" s="468" t="str">
        <f t="shared" si="31"/>
        <v/>
      </c>
      <c r="U72" s="186" t="str">
        <f t="shared" si="32"/>
        <v/>
      </c>
      <c r="V72" s="468" t="str">
        <f t="shared" si="33"/>
        <v/>
      </c>
      <c r="W72" s="468" t="str">
        <f t="shared" si="34"/>
        <v/>
      </c>
      <c r="X72" s="468" t="str">
        <f t="shared" si="35"/>
        <v/>
      </c>
      <c r="Y72" s="283" t="str">
        <f t="shared" si="36"/>
        <v/>
      </c>
    </row>
    <row r="73" spans="1:25" ht="16.350000000000001" customHeight="1">
      <c r="A73" s="175">
        <f t="shared" si="21"/>
        <v>2022</v>
      </c>
      <c r="B73" s="454" t="str">
        <f t="shared" si="22"/>
        <v>16</v>
      </c>
      <c r="C73" s="454" t="str">
        <f t="array" ref="C73">_xlfn.IFS(_xlfn.NUMBERVALUE(B73)&lt;=13,"Q1",AND(_xlfn.NUMBERVALUE(B73)&gt;13,_xlfn.NUMBERVALUE(B73)&lt;=26),"Q2", AND(_xlfn.NUMBERVALUE(B73)&gt;26,_xlfn.NUMBERVALUE(B73)&lt;=39),"Q3",_xlfn.NUMBERVALUE(B73)&gt;39,"Q4")</f>
        <v>Q2</v>
      </c>
      <c r="D73" s="448">
        <f t="shared" si="37"/>
        <v>44331</v>
      </c>
      <c r="E73" s="448">
        <f t="shared" si="23"/>
        <v>44337</v>
      </c>
      <c r="F73" s="533">
        <v>202116</v>
      </c>
      <c r="G73" s="180">
        <f t="shared" si="24"/>
        <v>0</v>
      </c>
      <c r="H73" s="429"/>
      <c r="I73" s="429"/>
      <c r="J73" s="429"/>
      <c r="K73" s="180">
        <f t="shared" si="25"/>
        <v>0</v>
      </c>
      <c r="L73" s="429"/>
      <c r="M73" s="429"/>
      <c r="N73" s="532"/>
      <c r="O73" s="186" t="str">
        <f t="shared" si="26"/>
        <v/>
      </c>
      <c r="P73" s="468" t="str">
        <f t="shared" si="27"/>
        <v/>
      </c>
      <c r="Q73" s="468" t="str">
        <f t="shared" si="28"/>
        <v/>
      </c>
      <c r="R73" s="186" t="str">
        <f t="shared" si="29"/>
        <v/>
      </c>
      <c r="S73" s="468" t="str">
        <f t="shared" si="30"/>
        <v/>
      </c>
      <c r="T73" s="468" t="str">
        <f t="shared" si="31"/>
        <v/>
      </c>
      <c r="U73" s="186" t="str">
        <f t="shared" si="32"/>
        <v/>
      </c>
      <c r="V73" s="468" t="str">
        <f t="shared" si="33"/>
        <v/>
      </c>
      <c r="W73" s="468" t="str">
        <f t="shared" si="34"/>
        <v/>
      </c>
      <c r="X73" s="468" t="str">
        <f t="shared" si="35"/>
        <v/>
      </c>
      <c r="Y73" s="283" t="str">
        <f t="shared" si="36"/>
        <v/>
      </c>
    </row>
    <row r="74" spans="1:25" ht="16.350000000000001" customHeight="1">
      <c r="A74" s="175">
        <f t="shared" si="21"/>
        <v>2022</v>
      </c>
      <c r="B74" s="454" t="str">
        <f t="shared" si="22"/>
        <v>17</v>
      </c>
      <c r="C74" s="454" t="str">
        <f t="array" ref="C74">_xlfn.IFS(_xlfn.NUMBERVALUE(B74)&lt;=13,"Q1",AND(_xlfn.NUMBERVALUE(B74)&gt;13,_xlfn.NUMBERVALUE(B74)&lt;=26),"Q2", AND(_xlfn.NUMBERVALUE(B74)&gt;26,_xlfn.NUMBERVALUE(B74)&lt;=39),"Q3",_xlfn.NUMBERVALUE(B74)&gt;39,"Q4")</f>
        <v>Q2</v>
      </c>
      <c r="D74" s="448">
        <f t="shared" si="37"/>
        <v>44338</v>
      </c>
      <c r="E74" s="448">
        <f t="shared" si="23"/>
        <v>44344</v>
      </c>
      <c r="F74" s="533">
        <v>202117</v>
      </c>
      <c r="G74" s="180">
        <f t="shared" si="24"/>
        <v>0</v>
      </c>
      <c r="H74" s="429"/>
      <c r="I74" s="429"/>
      <c r="J74" s="429"/>
      <c r="K74" s="180">
        <f t="shared" si="25"/>
        <v>0</v>
      </c>
      <c r="L74" s="429"/>
      <c r="M74" s="429"/>
      <c r="N74" s="532"/>
      <c r="O74" s="186" t="str">
        <f t="shared" si="26"/>
        <v/>
      </c>
      <c r="P74" s="468" t="str">
        <f t="shared" si="27"/>
        <v/>
      </c>
      <c r="Q74" s="468" t="str">
        <f t="shared" si="28"/>
        <v/>
      </c>
      <c r="R74" s="186" t="str">
        <f t="shared" si="29"/>
        <v/>
      </c>
      <c r="S74" s="468" t="str">
        <f t="shared" si="30"/>
        <v/>
      </c>
      <c r="T74" s="468" t="str">
        <f t="shared" si="31"/>
        <v/>
      </c>
      <c r="U74" s="186" t="str">
        <f t="shared" si="32"/>
        <v/>
      </c>
      <c r="V74" s="468" t="str">
        <f t="shared" si="33"/>
        <v/>
      </c>
      <c r="W74" s="468" t="str">
        <f t="shared" si="34"/>
        <v/>
      </c>
      <c r="X74" s="468" t="str">
        <f t="shared" si="35"/>
        <v/>
      </c>
      <c r="Y74" s="283" t="str">
        <f t="shared" si="36"/>
        <v/>
      </c>
    </row>
    <row r="75" spans="1:25" ht="16.350000000000001" customHeight="1">
      <c r="A75" s="175">
        <f t="shared" si="21"/>
        <v>2022</v>
      </c>
      <c r="B75" s="454" t="str">
        <f t="shared" si="22"/>
        <v>18</v>
      </c>
      <c r="C75" s="454" t="str">
        <f t="array" ref="C75">_xlfn.IFS(_xlfn.NUMBERVALUE(B75)&lt;=13,"Q1",AND(_xlfn.NUMBERVALUE(B75)&gt;13,_xlfn.NUMBERVALUE(B75)&lt;=26),"Q2", AND(_xlfn.NUMBERVALUE(B75)&gt;26,_xlfn.NUMBERVALUE(B75)&lt;=39),"Q3",_xlfn.NUMBERVALUE(B75)&gt;39,"Q4")</f>
        <v>Q2</v>
      </c>
      <c r="D75" s="448">
        <f t="shared" si="37"/>
        <v>44345</v>
      </c>
      <c r="E75" s="448">
        <f t="shared" si="23"/>
        <v>44351</v>
      </c>
      <c r="F75" s="533">
        <v>202118</v>
      </c>
      <c r="G75" s="180">
        <f t="shared" si="24"/>
        <v>0</v>
      </c>
      <c r="H75" s="429"/>
      <c r="I75" s="429"/>
      <c r="J75" s="429"/>
      <c r="K75" s="180">
        <f t="shared" si="25"/>
        <v>0</v>
      </c>
      <c r="L75" s="429"/>
      <c r="M75" s="429"/>
      <c r="N75" s="532"/>
      <c r="O75" s="186" t="str">
        <f t="shared" si="26"/>
        <v/>
      </c>
      <c r="P75" s="468" t="str">
        <f t="shared" si="27"/>
        <v/>
      </c>
      <c r="Q75" s="468" t="str">
        <f t="shared" si="28"/>
        <v/>
      </c>
      <c r="R75" s="186" t="str">
        <f t="shared" si="29"/>
        <v/>
      </c>
      <c r="S75" s="468" t="str">
        <f t="shared" si="30"/>
        <v/>
      </c>
      <c r="T75" s="468" t="str">
        <f t="shared" si="31"/>
        <v/>
      </c>
      <c r="U75" s="186" t="str">
        <f t="shared" si="32"/>
        <v/>
      </c>
      <c r="V75" s="468" t="str">
        <f t="shared" si="33"/>
        <v/>
      </c>
      <c r="W75" s="468" t="str">
        <f t="shared" si="34"/>
        <v/>
      </c>
      <c r="X75" s="468" t="str">
        <f t="shared" si="35"/>
        <v/>
      </c>
      <c r="Y75" s="283" t="str">
        <f t="shared" si="36"/>
        <v/>
      </c>
    </row>
    <row r="76" spans="1:25" ht="16.350000000000001" customHeight="1">
      <c r="A76" s="175">
        <f t="shared" si="21"/>
        <v>2022</v>
      </c>
      <c r="B76" s="454" t="str">
        <f t="shared" si="22"/>
        <v>19</v>
      </c>
      <c r="C76" s="454" t="str">
        <f t="array" ref="C76">_xlfn.IFS(_xlfn.NUMBERVALUE(B76)&lt;=13,"Q1",AND(_xlfn.NUMBERVALUE(B76)&gt;13,_xlfn.NUMBERVALUE(B76)&lt;=26),"Q2", AND(_xlfn.NUMBERVALUE(B76)&gt;26,_xlfn.NUMBERVALUE(B76)&lt;=39),"Q3",_xlfn.NUMBERVALUE(B76)&gt;39,"Q4")</f>
        <v>Q2</v>
      </c>
      <c r="D76" s="448">
        <f t="shared" si="37"/>
        <v>44352</v>
      </c>
      <c r="E76" s="448">
        <f t="shared" si="23"/>
        <v>44358</v>
      </c>
      <c r="F76" s="533">
        <v>202119</v>
      </c>
      <c r="G76" s="180">
        <f t="shared" si="24"/>
        <v>0</v>
      </c>
      <c r="H76" s="429"/>
      <c r="I76" s="429"/>
      <c r="J76" s="429"/>
      <c r="K76" s="180">
        <f t="shared" si="25"/>
        <v>0</v>
      </c>
      <c r="L76" s="429"/>
      <c r="M76" s="429"/>
      <c r="N76" s="532"/>
      <c r="O76" s="186" t="str">
        <f t="shared" si="26"/>
        <v/>
      </c>
      <c r="P76" s="468" t="str">
        <f t="shared" si="27"/>
        <v/>
      </c>
      <c r="Q76" s="468" t="str">
        <f t="shared" si="28"/>
        <v/>
      </c>
      <c r="R76" s="186" t="str">
        <f t="shared" si="29"/>
        <v/>
      </c>
      <c r="S76" s="468" t="str">
        <f t="shared" si="30"/>
        <v/>
      </c>
      <c r="T76" s="468" t="str">
        <f t="shared" si="31"/>
        <v/>
      </c>
      <c r="U76" s="186" t="str">
        <f t="shared" si="32"/>
        <v/>
      </c>
      <c r="V76" s="468" t="str">
        <f t="shared" si="33"/>
        <v/>
      </c>
      <c r="W76" s="468" t="str">
        <f t="shared" si="34"/>
        <v/>
      </c>
      <c r="X76" s="468" t="str">
        <f t="shared" si="35"/>
        <v/>
      </c>
      <c r="Y76" s="283" t="str">
        <f t="shared" si="36"/>
        <v/>
      </c>
    </row>
    <row r="77" spans="1:25" ht="16.350000000000001" customHeight="1">
      <c r="A77" s="175">
        <f t="shared" si="21"/>
        <v>2022</v>
      </c>
      <c r="B77" s="454" t="str">
        <f t="shared" si="22"/>
        <v>20</v>
      </c>
      <c r="C77" s="454" t="str">
        <f t="array" ref="C77">_xlfn.IFS(_xlfn.NUMBERVALUE(B77)&lt;=13,"Q1",AND(_xlfn.NUMBERVALUE(B77)&gt;13,_xlfn.NUMBERVALUE(B77)&lt;=26),"Q2", AND(_xlfn.NUMBERVALUE(B77)&gt;26,_xlfn.NUMBERVALUE(B77)&lt;=39),"Q3",_xlfn.NUMBERVALUE(B77)&gt;39,"Q4")</f>
        <v>Q2</v>
      </c>
      <c r="D77" s="448">
        <f t="shared" si="37"/>
        <v>44359</v>
      </c>
      <c r="E77" s="448">
        <f t="shared" si="23"/>
        <v>44365</v>
      </c>
      <c r="F77" s="533">
        <v>202120</v>
      </c>
      <c r="G77" s="180">
        <f t="shared" si="24"/>
        <v>0</v>
      </c>
      <c r="H77" s="429"/>
      <c r="I77" s="429"/>
      <c r="J77" s="429"/>
      <c r="K77" s="180">
        <f t="shared" si="25"/>
        <v>0</v>
      </c>
      <c r="L77" s="429"/>
      <c r="M77" s="429"/>
      <c r="N77" s="532"/>
      <c r="O77" s="186" t="str">
        <f t="shared" si="26"/>
        <v/>
      </c>
      <c r="P77" s="468" t="str">
        <f t="shared" si="27"/>
        <v/>
      </c>
      <c r="Q77" s="468" t="str">
        <f t="shared" si="28"/>
        <v/>
      </c>
      <c r="R77" s="186" t="str">
        <f t="shared" si="29"/>
        <v/>
      </c>
      <c r="S77" s="468" t="str">
        <f t="shared" si="30"/>
        <v/>
      </c>
      <c r="T77" s="468" t="str">
        <f t="shared" si="31"/>
        <v/>
      </c>
      <c r="U77" s="186" t="str">
        <f t="shared" si="32"/>
        <v/>
      </c>
      <c r="V77" s="468" t="str">
        <f t="shared" si="33"/>
        <v/>
      </c>
      <c r="W77" s="468" t="str">
        <f t="shared" si="34"/>
        <v/>
      </c>
      <c r="X77" s="468" t="str">
        <f t="shared" si="35"/>
        <v/>
      </c>
      <c r="Y77" s="283" t="str">
        <f t="shared" si="36"/>
        <v/>
      </c>
    </row>
    <row r="78" spans="1:25" ht="16.350000000000001" customHeight="1">
      <c r="A78" s="175">
        <f t="shared" si="21"/>
        <v>2022</v>
      </c>
      <c r="B78" s="454" t="str">
        <f t="shared" si="22"/>
        <v>21</v>
      </c>
      <c r="C78" s="454" t="str">
        <f t="array" ref="C78">_xlfn.IFS(_xlfn.NUMBERVALUE(B78)&lt;=13,"Q1",AND(_xlfn.NUMBERVALUE(B78)&gt;13,_xlfn.NUMBERVALUE(B78)&lt;=26),"Q2", AND(_xlfn.NUMBERVALUE(B78)&gt;26,_xlfn.NUMBERVALUE(B78)&lt;=39),"Q3",_xlfn.NUMBERVALUE(B78)&gt;39,"Q4")</f>
        <v>Q2</v>
      </c>
      <c r="D78" s="448">
        <f t="shared" si="37"/>
        <v>44366</v>
      </c>
      <c r="E78" s="448">
        <f t="shared" si="23"/>
        <v>44372</v>
      </c>
      <c r="F78" s="533">
        <v>202121</v>
      </c>
      <c r="G78" s="180">
        <f t="shared" si="24"/>
        <v>0</v>
      </c>
      <c r="H78" s="429"/>
      <c r="I78" s="429"/>
      <c r="J78" s="429"/>
      <c r="K78" s="180">
        <f t="shared" si="25"/>
        <v>0</v>
      </c>
      <c r="L78" s="429"/>
      <c r="M78" s="429"/>
      <c r="N78" s="532"/>
      <c r="O78" s="186" t="str">
        <f t="shared" si="26"/>
        <v/>
      </c>
      <c r="P78" s="468" t="str">
        <f t="shared" si="27"/>
        <v/>
      </c>
      <c r="Q78" s="468" t="str">
        <f t="shared" si="28"/>
        <v/>
      </c>
      <c r="R78" s="186" t="str">
        <f t="shared" si="29"/>
        <v/>
      </c>
      <c r="S78" s="468" t="str">
        <f t="shared" si="30"/>
        <v/>
      </c>
      <c r="T78" s="468" t="str">
        <f t="shared" si="31"/>
        <v/>
      </c>
      <c r="U78" s="186" t="str">
        <f t="shared" si="32"/>
        <v/>
      </c>
      <c r="V78" s="468" t="str">
        <f t="shared" si="33"/>
        <v/>
      </c>
      <c r="W78" s="468" t="str">
        <f t="shared" si="34"/>
        <v/>
      </c>
      <c r="X78" s="468" t="str">
        <f t="shared" si="35"/>
        <v/>
      </c>
      <c r="Y78" s="283" t="str">
        <f t="shared" si="36"/>
        <v/>
      </c>
    </row>
    <row r="79" spans="1:25" ht="16.350000000000001" customHeight="1">
      <c r="A79" s="175">
        <f t="shared" si="21"/>
        <v>2022</v>
      </c>
      <c r="B79" s="454" t="str">
        <f t="shared" si="22"/>
        <v>22</v>
      </c>
      <c r="C79" s="454" t="str">
        <f t="array" ref="C79">_xlfn.IFS(_xlfn.NUMBERVALUE(B79)&lt;=13,"Q1",AND(_xlfn.NUMBERVALUE(B79)&gt;13,_xlfn.NUMBERVALUE(B79)&lt;=26),"Q2", AND(_xlfn.NUMBERVALUE(B79)&gt;26,_xlfn.NUMBERVALUE(B79)&lt;=39),"Q3",_xlfn.NUMBERVALUE(B79)&gt;39,"Q4")</f>
        <v>Q2</v>
      </c>
      <c r="D79" s="448">
        <f t="shared" si="37"/>
        <v>44373</v>
      </c>
      <c r="E79" s="448">
        <f t="shared" si="23"/>
        <v>44379</v>
      </c>
      <c r="F79" s="533">
        <v>202122</v>
      </c>
      <c r="G79" s="180">
        <f t="shared" si="24"/>
        <v>0</v>
      </c>
      <c r="H79" s="429"/>
      <c r="I79" s="429"/>
      <c r="J79" s="429"/>
      <c r="K79" s="180">
        <f t="shared" si="25"/>
        <v>0</v>
      </c>
      <c r="L79" s="429"/>
      <c r="M79" s="429"/>
      <c r="N79" s="532"/>
      <c r="O79" s="186" t="str">
        <f t="shared" si="26"/>
        <v/>
      </c>
      <c r="P79" s="468" t="str">
        <f t="shared" si="27"/>
        <v/>
      </c>
      <c r="Q79" s="468" t="str">
        <f t="shared" si="28"/>
        <v/>
      </c>
      <c r="R79" s="186" t="str">
        <f t="shared" si="29"/>
        <v/>
      </c>
      <c r="S79" s="468" t="str">
        <f t="shared" si="30"/>
        <v/>
      </c>
      <c r="T79" s="468" t="str">
        <f t="shared" si="31"/>
        <v/>
      </c>
      <c r="U79" s="186" t="str">
        <f t="shared" si="32"/>
        <v/>
      </c>
      <c r="V79" s="468" t="str">
        <f t="shared" si="33"/>
        <v/>
      </c>
      <c r="W79" s="468" t="str">
        <f t="shared" si="34"/>
        <v/>
      </c>
      <c r="X79" s="468" t="str">
        <f t="shared" si="35"/>
        <v/>
      </c>
      <c r="Y79" s="283" t="str">
        <f t="shared" si="36"/>
        <v/>
      </c>
    </row>
    <row r="80" spans="1:25" ht="16.350000000000001" customHeight="1">
      <c r="A80" s="175">
        <f t="shared" si="21"/>
        <v>2022</v>
      </c>
      <c r="B80" s="454" t="str">
        <f t="shared" si="22"/>
        <v>23</v>
      </c>
      <c r="C80" s="454" t="str">
        <f t="array" ref="C80">_xlfn.IFS(_xlfn.NUMBERVALUE(B80)&lt;=13,"Q1",AND(_xlfn.NUMBERVALUE(B80)&gt;13,_xlfn.NUMBERVALUE(B80)&lt;=26),"Q2", AND(_xlfn.NUMBERVALUE(B80)&gt;26,_xlfn.NUMBERVALUE(B80)&lt;=39),"Q3",_xlfn.NUMBERVALUE(B80)&gt;39,"Q4")</f>
        <v>Q2</v>
      </c>
      <c r="D80" s="448">
        <f t="shared" si="37"/>
        <v>44380</v>
      </c>
      <c r="E80" s="448">
        <f t="shared" si="23"/>
        <v>44386</v>
      </c>
      <c r="F80" s="533">
        <v>202123</v>
      </c>
      <c r="G80" s="180">
        <f t="shared" si="24"/>
        <v>0</v>
      </c>
      <c r="H80" s="429"/>
      <c r="I80" s="429"/>
      <c r="J80" s="429"/>
      <c r="K80" s="180">
        <f t="shared" si="25"/>
        <v>0</v>
      </c>
      <c r="L80" s="429"/>
      <c r="M80" s="429"/>
      <c r="N80" s="532"/>
      <c r="O80" s="186" t="str">
        <f t="shared" si="26"/>
        <v/>
      </c>
      <c r="P80" s="468" t="str">
        <f t="shared" si="27"/>
        <v/>
      </c>
      <c r="Q80" s="468" t="str">
        <f t="shared" si="28"/>
        <v/>
      </c>
      <c r="R80" s="186" t="str">
        <f t="shared" si="29"/>
        <v/>
      </c>
      <c r="S80" s="468" t="str">
        <f t="shared" si="30"/>
        <v/>
      </c>
      <c r="T80" s="468" t="str">
        <f t="shared" si="31"/>
        <v/>
      </c>
      <c r="U80" s="186" t="str">
        <f t="shared" si="32"/>
        <v/>
      </c>
      <c r="V80" s="468" t="str">
        <f t="shared" si="33"/>
        <v/>
      </c>
      <c r="W80" s="468" t="str">
        <f t="shared" si="34"/>
        <v/>
      </c>
      <c r="X80" s="468" t="str">
        <f t="shared" si="35"/>
        <v/>
      </c>
      <c r="Y80" s="283" t="str">
        <f t="shared" si="36"/>
        <v/>
      </c>
    </row>
    <row r="81" spans="1:25" ht="16.350000000000001" customHeight="1">
      <c r="A81" s="175">
        <f t="shared" si="21"/>
        <v>2022</v>
      </c>
      <c r="B81" s="454" t="str">
        <f t="shared" si="22"/>
        <v>24</v>
      </c>
      <c r="C81" s="454" t="str">
        <f t="array" ref="C81">_xlfn.IFS(_xlfn.NUMBERVALUE(B81)&lt;=13,"Q1",AND(_xlfn.NUMBERVALUE(B81)&gt;13,_xlfn.NUMBERVALUE(B81)&lt;=26),"Q2", AND(_xlfn.NUMBERVALUE(B81)&gt;26,_xlfn.NUMBERVALUE(B81)&lt;=39),"Q3",_xlfn.NUMBERVALUE(B81)&gt;39,"Q4")</f>
        <v>Q2</v>
      </c>
      <c r="D81" s="448">
        <f t="shared" si="37"/>
        <v>44387</v>
      </c>
      <c r="E81" s="448">
        <f t="shared" si="23"/>
        <v>44393</v>
      </c>
      <c r="F81" s="533">
        <v>202124</v>
      </c>
      <c r="G81" s="180">
        <f t="shared" si="24"/>
        <v>0</v>
      </c>
      <c r="H81" s="429"/>
      <c r="I81" s="429"/>
      <c r="J81" s="429"/>
      <c r="K81" s="180">
        <f t="shared" si="25"/>
        <v>0</v>
      </c>
      <c r="L81" s="429"/>
      <c r="M81" s="429"/>
      <c r="N81" s="532"/>
      <c r="O81" s="186" t="str">
        <f t="shared" si="26"/>
        <v/>
      </c>
      <c r="P81" s="468" t="str">
        <f t="shared" si="27"/>
        <v/>
      </c>
      <c r="Q81" s="468" t="str">
        <f t="shared" si="28"/>
        <v/>
      </c>
      <c r="R81" s="186" t="str">
        <f t="shared" si="29"/>
        <v/>
      </c>
      <c r="S81" s="468" t="str">
        <f t="shared" si="30"/>
        <v/>
      </c>
      <c r="T81" s="468" t="str">
        <f t="shared" si="31"/>
        <v/>
      </c>
      <c r="U81" s="186" t="str">
        <f t="shared" si="32"/>
        <v/>
      </c>
      <c r="V81" s="468" t="str">
        <f t="shared" si="33"/>
        <v/>
      </c>
      <c r="W81" s="468" t="str">
        <f t="shared" si="34"/>
        <v/>
      </c>
      <c r="X81" s="468" t="str">
        <f t="shared" si="35"/>
        <v/>
      </c>
      <c r="Y81" s="283" t="str">
        <f t="shared" si="36"/>
        <v/>
      </c>
    </row>
    <row r="82" spans="1:25" ht="16.350000000000001" customHeight="1">
      <c r="A82" s="175">
        <f t="shared" si="21"/>
        <v>2022</v>
      </c>
      <c r="B82" s="454" t="str">
        <f t="shared" si="22"/>
        <v>25</v>
      </c>
      <c r="C82" s="454" t="str">
        <f t="array" ref="C82">_xlfn.IFS(_xlfn.NUMBERVALUE(B82)&lt;=13,"Q1",AND(_xlfn.NUMBERVALUE(B82)&gt;13,_xlfn.NUMBERVALUE(B82)&lt;=26),"Q2", AND(_xlfn.NUMBERVALUE(B82)&gt;26,_xlfn.NUMBERVALUE(B82)&lt;=39),"Q3",_xlfn.NUMBERVALUE(B82)&gt;39,"Q4")</f>
        <v>Q2</v>
      </c>
      <c r="D82" s="448">
        <f t="shared" si="37"/>
        <v>44394</v>
      </c>
      <c r="E82" s="448">
        <f t="shared" si="23"/>
        <v>44400</v>
      </c>
      <c r="F82" s="533">
        <v>202125</v>
      </c>
      <c r="G82" s="180">
        <f t="shared" si="24"/>
        <v>0</v>
      </c>
      <c r="H82" s="429"/>
      <c r="I82" s="429"/>
      <c r="J82" s="429"/>
      <c r="K82" s="180">
        <f t="shared" si="25"/>
        <v>0</v>
      </c>
      <c r="L82" s="429"/>
      <c r="M82" s="429"/>
      <c r="N82" s="532"/>
      <c r="O82" s="186" t="str">
        <f t="shared" si="26"/>
        <v/>
      </c>
      <c r="P82" s="468" t="str">
        <f t="shared" si="27"/>
        <v/>
      </c>
      <c r="Q82" s="468" t="str">
        <f t="shared" si="28"/>
        <v/>
      </c>
      <c r="R82" s="186" t="str">
        <f t="shared" si="29"/>
        <v/>
      </c>
      <c r="S82" s="468" t="str">
        <f t="shared" si="30"/>
        <v/>
      </c>
      <c r="T82" s="468" t="str">
        <f t="shared" si="31"/>
        <v/>
      </c>
      <c r="U82" s="186" t="str">
        <f t="shared" si="32"/>
        <v/>
      </c>
      <c r="V82" s="468" t="str">
        <f t="shared" si="33"/>
        <v/>
      </c>
      <c r="W82" s="468" t="str">
        <f t="shared" si="34"/>
        <v/>
      </c>
      <c r="X82" s="468" t="str">
        <f t="shared" si="35"/>
        <v/>
      </c>
      <c r="Y82" s="283" t="str">
        <f t="shared" si="36"/>
        <v/>
      </c>
    </row>
    <row r="83" spans="1:25" ht="16.350000000000001" customHeight="1">
      <c r="A83" s="175">
        <f t="shared" si="21"/>
        <v>2022</v>
      </c>
      <c r="B83" s="454" t="str">
        <f t="shared" si="22"/>
        <v>26</v>
      </c>
      <c r="C83" s="454" t="str">
        <f t="array" ref="C83">_xlfn.IFS(_xlfn.NUMBERVALUE(B83)&lt;=13,"Q1",AND(_xlfn.NUMBERVALUE(B83)&gt;13,_xlfn.NUMBERVALUE(B83)&lt;=26),"Q2", AND(_xlfn.NUMBERVALUE(B83)&gt;26,_xlfn.NUMBERVALUE(B83)&lt;=39),"Q3",_xlfn.NUMBERVALUE(B83)&gt;39,"Q4")</f>
        <v>Q2</v>
      </c>
      <c r="D83" s="448">
        <f t="shared" si="37"/>
        <v>44401</v>
      </c>
      <c r="E83" s="448">
        <f t="shared" si="23"/>
        <v>44407</v>
      </c>
      <c r="F83" s="533">
        <v>202126</v>
      </c>
      <c r="G83" s="180">
        <f t="shared" si="24"/>
        <v>0</v>
      </c>
      <c r="H83" s="429"/>
      <c r="I83" s="429"/>
      <c r="J83" s="429"/>
      <c r="K83" s="180">
        <f t="shared" si="25"/>
        <v>0</v>
      </c>
      <c r="L83" s="429"/>
      <c r="M83" s="429"/>
      <c r="N83" s="532"/>
      <c r="O83" s="186" t="str">
        <f t="shared" si="26"/>
        <v/>
      </c>
      <c r="P83" s="468" t="str">
        <f t="shared" si="27"/>
        <v/>
      </c>
      <c r="Q83" s="468" t="str">
        <f t="shared" si="28"/>
        <v/>
      </c>
      <c r="R83" s="186" t="str">
        <f t="shared" si="29"/>
        <v/>
      </c>
      <c r="S83" s="468" t="str">
        <f t="shared" si="30"/>
        <v/>
      </c>
      <c r="T83" s="468" t="str">
        <f t="shared" si="31"/>
        <v/>
      </c>
      <c r="U83" s="186" t="str">
        <f t="shared" si="32"/>
        <v/>
      </c>
      <c r="V83" s="468" t="str">
        <f t="shared" si="33"/>
        <v/>
      </c>
      <c r="W83" s="468" t="str">
        <f t="shared" si="34"/>
        <v/>
      </c>
      <c r="X83" s="468" t="str">
        <f t="shared" si="35"/>
        <v/>
      </c>
      <c r="Y83" s="283" t="str">
        <f t="shared" si="36"/>
        <v/>
      </c>
    </row>
    <row r="84" spans="1:25" ht="16.350000000000001" customHeight="1">
      <c r="A84" s="175">
        <f t="shared" si="21"/>
        <v>2022</v>
      </c>
      <c r="B84" s="454" t="str">
        <f t="shared" si="22"/>
        <v>27</v>
      </c>
      <c r="C84" s="454" t="str">
        <f t="array" ref="C84">_xlfn.IFS(_xlfn.NUMBERVALUE(B84)&lt;=13,"Q1",AND(_xlfn.NUMBERVALUE(B84)&gt;13,_xlfn.NUMBERVALUE(B84)&lt;=26),"Q2", AND(_xlfn.NUMBERVALUE(B84)&gt;26,_xlfn.NUMBERVALUE(B84)&lt;=39),"Q3",_xlfn.NUMBERVALUE(B84)&gt;39,"Q4")</f>
        <v>Q3</v>
      </c>
      <c r="D84" s="448">
        <f t="shared" si="37"/>
        <v>44408</v>
      </c>
      <c r="E84" s="448">
        <f t="shared" si="23"/>
        <v>44414</v>
      </c>
      <c r="F84" s="533">
        <v>202127</v>
      </c>
      <c r="G84" s="180">
        <f t="shared" si="24"/>
        <v>0</v>
      </c>
      <c r="H84" s="429"/>
      <c r="I84" s="429"/>
      <c r="J84" s="429"/>
      <c r="K84" s="180">
        <f t="shared" si="25"/>
        <v>0</v>
      </c>
      <c r="L84" s="429"/>
      <c r="M84" s="429"/>
      <c r="N84" s="532"/>
      <c r="O84" s="186" t="str">
        <f t="shared" si="26"/>
        <v/>
      </c>
      <c r="P84" s="468" t="str">
        <f t="shared" si="27"/>
        <v/>
      </c>
      <c r="Q84" s="468" t="str">
        <f t="shared" si="28"/>
        <v/>
      </c>
      <c r="R84" s="186" t="str">
        <f t="shared" si="29"/>
        <v/>
      </c>
      <c r="S84" s="468" t="str">
        <f t="shared" si="30"/>
        <v/>
      </c>
      <c r="T84" s="468" t="str">
        <f t="shared" si="31"/>
        <v/>
      </c>
      <c r="U84" s="186" t="str">
        <f t="shared" si="32"/>
        <v/>
      </c>
      <c r="V84" s="468" t="str">
        <f t="shared" si="33"/>
        <v/>
      </c>
      <c r="W84" s="468" t="str">
        <f t="shared" si="34"/>
        <v/>
      </c>
      <c r="X84" s="468" t="str">
        <f t="shared" si="35"/>
        <v/>
      </c>
      <c r="Y84" s="283" t="str">
        <f t="shared" si="36"/>
        <v/>
      </c>
    </row>
    <row r="85" spans="1:25" ht="16.350000000000001" customHeight="1">
      <c r="A85" s="175">
        <f t="shared" si="21"/>
        <v>2022</v>
      </c>
      <c r="B85" s="454" t="str">
        <f t="shared" si="22"/>
        <v>28</v>
      </c>
      <c r="C85" s="454" t="str">
        <f t="array" ref="C85">_xlfn.IFS(_xlfn.NUMBERVALUE(B85)&lt;=13,"Q1",AND(_xlfn.NUMBERVALUE(B85)&gt;13,_xlfn.NUMBERVALUE(B85)&lt;=26),"Q2", AND(_xlfn.NUMBERVALUE(B85)&gt;26,_xlfn.NUMBERVALUE(B85)&lt;=39),"Q3",_xlfn.NUMBERVALUE(B85)&gt;39,"Q4")</f>
        <v>Q3</v>
      </c>
      <c r="D85" s="448">
        <f t="shared" si="37"/>
        <v>44415</v>
      </c>
      <c r="E85" s="448">
        <f t="shared" si="23"/>
        <v>44421</v>
      </c>
      <c r="F85" s="533">
        <v>202128</v>
      </c>
      <c r="G85" s="180">
        <f t="shared" si="24"/>
        <v>0</v>
      </c>
      <c r="H85" s="429"/>
      <c r="I85" s="429"/>
      <c r="J85" s="429"/>
      <c r="K85" s="180">
        <f t="shared" si="25"/>
        <v>0</v>
      </c>
      <c r="L85" s="429"/>
      <c r="M85" s="429"/>
      <c r="N85" s="532"/>
      <c r="O85" s="186" t="str">
        <f t="shared" si="26"/>
        <v/>
      </c>
      <c r="P85" s="468" t="str">
        <f t="shared" si="27"/>
        <v/>
      </c>
      <c r="Q85" s="468" t="str">
        <f t="shared" si="28"/>
        <v/>
      </c>
      <c r="R85" s="186" t="str">
        <f t="shared" si="29"/>
        <v/>
      </c>
      <c r="S85" s="468" t="str">
        <f t="shared" si="30"/>
        <v/>
      </c>
      <c r="T85" s="468" t="str">
        <f t="shared" si="31"/>
        <v/>
      </c>
      <c r="U85" s="186" t="str">
        <f t="shared" si="32"/>
        <v/>
      </c>
      <c r="V85" s="468" t="str">
        <f t="shared" si="33"/>
        <v/>
      </c>
      <c r="W85" s="468" t="str">
        <f t="shared" si="34"/>
        <v/>
      </c>
      <c r="X85" s="468" t="str">
        <f t="shared" si="35"/>
        <v/>
      </c>
      <c r="Y85" s="283" t="str">
        <f t="shared" si="36"/>
        <v/>
      </c>
    </row>
    <row r="86" spans="1:25" ht="16.350000000000001" customHeight="1">
      <c r="A86" s="175">
        <f t="shared" si="21"/>
        <v>2022</v>
      </c>
      <c r="B86" s="454" t="str">
        <f t="shared" si="22"/>
        <v>29</v>
      </c>
      <c r="C86" s="454" t="str">
        <f t="array" ref="C86">_xlfn.IFS(_xlfn.NUMBERVALUE(B86)&lt;=13,"Q1",AND(_xlfn.NUMBERVALUE(B86)&gt;13,_xlfn.NUMBERVALUE(B86)&lt;=26),"Q2", AND(_xlfn.NUMBERVALUE(B86)&gt;26,_xlfn.NUMBERVALUE(B86)&lt;=39),"Q3",_xlfn.NUMBERVALUE(B86)&gt;39,"Q4")</f>
        <v>Q3</v>
      </c>
      <c r="D86" s="448">
        <f t="shared" si="37"/>
        <v>44422</v>
      </c>
      <c r="E86" s="448">
        <f t="shared" si="23"/>
        <v>44428</v>
      </c>
      <c r="F86" s="533">
        <v>202129</v>
      </c>
      <c r="G86" s="180">
        <f t="shared" si="24"/>
        <v>0</v>
      </c>
      <c r="H86" s="429"/>
      <c r="I86" s="429"/>
      <c r="J86" s="429"/>
      <c r="K86" s="180">
        <f t="shared" si="25"/>
        <v>0</v>
      </c>
      <c r="L86" s="429"/>
      <c r="M86" s="429"/>
      <c r="N86" s="532"/>
      <c r="O86" s="186" t="str">
        <f t="shared" si="26"/>
        <v/>
      </c>
      <c r="P86" s="468" t="str">
        <f t="shared" si="27"/>
        <v/>
      </c>
      <c r="Q86" s="468" t="str">
        <f t="shared" si="28"/>
        <v/>
      </c>
      <c r="R86" s="186" t="str">
        <f t="shared" si="29"/>
        <v/>
      </c>
      <c r="S86" s="468" t="str">
        <f t="shared" si="30"/>
        <v/>
      </c>
      <c r="T86" s="468" t="str">
        <f t="shared" si="31"/>
        <v/>
      </c>
      <c r="U86" s="186" t="str">
        <f t="shared" si="32"/>
        <v/>
      </c>
      <c r="V86" s="468" t="str">
        <f t="shared" si="33"/>
        <v/>
      </c>
      <c r="W86" s="468" t="str">
        <f t="shared" si="34"/>
        <v/>
      </c>
      <c r="X86" s="468" t="str">
        <f t="shared" si="35"/>
        <v/>
      </c>
      <c r="Y86" s="283" t="str">
        <f t="shared" si="36"/>
        <v/>
      </c>
    </row>
    <row r="87" spans="1:25" ht="16.350000000000001" customHeight="1">
      <c r="A87" s="175">
        <f t="shared" si="21"/>
        <v>2022</v>
      </c>
      <c r="B87" s="454" t="str">
        <f t="shared" si="22"/>
        <v>30</v>
      </c>
      <c r="C87" s="454" t="str">
        <f t="array" ref="C87">_xlfn.IFS(_xlfn.NUMBERVALUE(B87)&lt;=13,"Q1",AND(_xlfn.NUMBERVALUE(B87)&gt;13,_xlfn.NUMBERVALUE(B87)&lt;=26),"Q2", AND(_xlfn.NUMBERVALUE(B87)&gt;26,_xlfn.NUMBERVALUE(B87)&lt;=39),"Q3",_xlfn.NUMBERVALUE(B87)&gt;39,"Q4")</f>
        <v>Q3</v>
      </c>
      <c r="D87" s="448">
        <f t="shared" si="37"/>
        <v>44429</v>
      </c>
      <c r="E87" s="448">
        <f t="shared" si="23"/>
        <v>44435</v>
      </c>
      <c r="F87" s="533">
        <v>202130</v>
      </c>
      <c r="G87" s="180">
        <f t="shared" si="24"/>
        <v>0</v>
      </c>
      <c r="H87" s="429"/>
      <c r="I87" s="429"/>
      <c r="J87" s="429"/>
      <c r="K87" s="180">
        <f t="shared" si="25"/>
        <v>0</v>
      </c>
      <c r="L87" s="429"/>
      <c r="M87" s="429"/>
      <c r="N87" s="532"/>
      <c r="O87" s="186" t="str">
        <f t="shared" si="26"/>
        <v/>
      </c>
      <c r="P87" s="468" t="str">
        <f t="shared" si="27"/>
        <v/>
      </c>
      <c r="Q87" s="468" t="str">
        <f t="shared" si="28"/>
        <v/>
      </c>
      <c r="R87" s="186" t="str">
        <f t="shared" si="29"/>
        <v/>
      </c>
      <c r="S87" s="468" t="str">
        <f t="shared" si="30"/>
        <v/>
      </c>
      <c r="T87" s="468" t="str">
        <f t="shared" si="31"/>
        <v/>
      </c>
      <c r="U87" s="186" t="str">
        <f t="shared" si="32"/>
        <v/>
      </c>
      <c r="V87" s="468" t="str">
        <f t="shared" si="33"/>
        <v/>
      </c>
      <c r="W87" s="468" t="str">
        <f t="shared" si="34"/>
        <v/>
      </c>
      <c r="X87" s="468" t="str">
        <f t="shared" si="35"/>
        <v/>
      </c>
      <c r="Y87" s="283" t="str">
        <f t="shared" si="36"/>
        <v/>
      </c>
    </row>
    <row r="88" spans="1:25" ht="16.350000000000001" customHeight="1">
      <c r="A88" s="175">
        <f t="shared" si="21"/>
        <v>2022</v>
      </c>
      <c r="B88" s="454" t="str">
        <f t="shared" si="22"/>
        <v>31</v>
      </c>
      <c r="C88" s="454" t="str">
        <f t="array" ref="C88">_xlfn.IFS(_xlfn.NUMBERVALUE(B88)&lt;=13,"Q1",AND(_xlfn.NUMBERVALUE(B88)&gt;13,_xlfn.NUMBERVALUE(B88)&lt;=26),"Q2", AND(_xlfn.NUMBERVALUE(B88)&gt;26,_xlfn.NUMBERVALUE(B88)&lt;=39),"Q3",_xlfn.NUMBERVALUE(B88)&gt;39,"Q4")</f>
        <v>Q3</v>
      </c>
      <c r="D88" s="448">
        <f t="shared" si="37"/>
        <v>44436</v>
      </c>
      <c r="E88" s="448">
        <f t="shared" si="23"/>
        <v>44442</v>
      </c>
      <c r="F88" s="533">
        <v>202131</v>
      </c>
      <c r="G88" s="180">
        <f t="shared" si="24"/>
        <v>0</v>
      </c>
      <c r="H88" s="429"/>
      <c r="I88" s="429"/>
      <c r="J88" s="429"/>
      <c r="K88" s="180">
        <f t="shared" si="25"/>
        <v>0</v>
      </c>
      <c r="L88" s="429"/>
      <c r="M88" s="429"/>
      <c r="N88" s="532"/>
      <c r="O88" s="186" t="str">
        <f t="shared" si="26"/>
        <v/>
      </c>
      <c r="P88" s="468" t="str">
        <f t="shared" si="27"/>
        <v/>
      </c>
      <c r="Q88" s="468" t="str">
        <f t="shared" si="28"/>
        <v/>
      </c>
      <c r="R88" s="186" t="str">
        <f t="shared" si="29"/>
        <v/>
      </c>
      <c r="S88" s="468" t="str">
        <f t="shared" si="30"/>
        <v/>
      </c>
      <c r="T88" s="468" t="str">
        <f t="shared" si="31"/>
        <v/>
      </c>
      <c r="U88" s="186" t="str">
        <f t="shared" si="32"/>
        <v/>
      </c>
      <c r="V88" s="468" t="str">
        <f t="shared" si="33"/>
        <v/>
      </c>
      <c r="W88" s="468" t="str">
        <f t="shared" si="34"/>
        <v/>
      </c>
      <c r="X88" s="468" t="str">
        <f t="shared" si="35"/>
        <v/>
      </c>
      <c r="Y88" s="283" t="str">
        <f t="shared" si="36"/>
        <v/>
      </c>
    </row>
    <row r="89" spans="1:25" ht="16.350000000000001" customHeight="1">
      <c r="A89" s="175">
        <f t="shared" si="21"/>
        <v>2022</v>
      </c>
      <c r="B89" s="454" t="str">
        <f t="shared" si="22"/>
        <v>32</v>
      </c>
      <c r="C89" s="454" t="str">
        <f t="array" ref="C89">_xlfn.IFS(_xlfn.NUMBERVALUE(B89)&lt;=13,"Q1",AND(_xlfn.NUMBERVALUE(B89)&gt;13,_xlfn.NUMBERVALUE(B89)&lt;=26),"Q2", AND(_xlfn.NUMBERVALUE(B89)&gt;26,_xlfn.NUMBERVALUE(B89)&lt;=39),"Q3",_xlfn.NUMBERVALUE(B89)&gt;39,"Q4")</f>
        <v>Q3</v>
      </c>
      <c r="D89" s="448">
        <f t="shared" si="37"/>
        <v>44443</v>
      </c>
      <c r="E89" s="448">
        <f t="shared" si="23"/>
        <v>44449</v>
      </c>
      <c r="F89" s="533">
        <v>202132</v>
      </c>
      <c r="G89" s="180">
        <f t="shared" si="24"/>
        <v>0</v>
      </c>
      <c r="H89" s="429"/>
      <c r="I89" s="429"/>
      <c r="J89" s="429"/>
      <c r="K89" s="180">
        <f t="shared" si="25"/>
        <v>0</v>
      </c>
      <c r="L89" s="429"/>
      <c r="M89" s="429"/>
      <c r="N89" s="532"/>
      <c r="O89" s="186" t="str">
        <f t="shared" si="26"/>
        <v/>
      </c>
      <c r="P89" s="468" t="str">
        <f t="shared" si="27"/>
        <v/>
      </c>
      <c r="Q89" s="468" t="str">
        <f t="shared" si="28"/>
        <v/>
      </c>
      <c r="R89" s="186" t="str">
        <f t="shared" si="29"/>
        <v/>
      </c>
      <c r="S89" s="468" t="str">
        <f t="shared" si="30"/>
        <v/>
      </c>
      <c r="T89" s="468" t="str">
        <f t="shared" si="31"/>
        <v/>
      </c>
      <c r="U89" s="186" t="str">
        <f t="shared" si="32"/>
        <v/>
      </c>
      <c r="V89" s="468" t="str">
        <f t="shared" si="33"/>
        <v/>
      </c>
      <c r="W89" s="468" t="str">
        <f t="shared" si="34"/>
        <v/>
      </c>
      <c r="X89" s="468" t="str">
        <f t="shared" si="35"/>
        <v/>
      </c>
      <c r="Y89" s="283" t="str">
        <f t="shared" si="36"/>
        <v/>
      </c>
    </row>
    <row r="90" spans="1:25" ht="16.350000000000001" customHeight="1">
      <c r="A90" s="175">
        <f t="shared" si="21"/>
        <v>2022</v>
      </c>
      <c r="B90" s="454" t="str">
        <f t="shared" si="22"/>
        <v>33</v>
      </c>
      <c r="C90" s="454" t="str">
        <f t="array" ref="C90">_xlfn.IFS(_xlfn.NUMBERVALUE(B90)&lt;=13,"Q1",AND(_xlfn.NUMBERVALUE(B90)&gt;13,_xlfn.NUMBERVALUE(B90)&lt;=26),"Q2", AND(_xlfn.NUMBERVALUE(B90)&gt;26,_xlfn.NUMBERVALUE(B90)&lt;=39),"Q3",_xlfn.NUMBERVALUE(B90)&gt;39,"Q4")</f>
        <v>Q3</v>
      </c>
      <c r="D90" s="448">
        <f t="shared" si="37"/>
        <v>44450</v>
      </c>
      <c r="E90" s="448">
        <f t="shared" si="23"/>
        <v>44456</v>
      </c>
      <c r="F90" s="533">
        <v>202133</v>
      </c>
      <c r="G90" s="180">
        <f t="shared" si="24"/>
        <v>0</v>
      </c>
      <c r="H90" s="429"/>
      <c r="I90" s="429"/>
      <c r="J90" s="429"/>
      <c r="K90" s="180">
        <f t="shared" si="25"/>
        <v>0</v>
      </c>
      <c r="L90" s="429"/>
      <c r="M90" s="429"/>
      <c r="N90" s="532"/>
      <c r="O90" s="186" t="str">
        <f t="shared" si="26"/>
        <v/>
      </c>
      <c r="P90" s="468" t="str">
        <f t="shared" si="27"/>
        <v/>
      </c>
      <c r="Q90" s="468" t="str">
        <f t="shared" si="28"/>
        <v/>
      </c>
      <c r="R90" s="186" t="str">
        <f t="shared" si="29"/>
        <v/>
      </c>
      <c r="S90" s="468" t="str">
        <f t="shared" si="30"/>
        <v/>
      </c>
      <c r="T90" s="468" t="str">
        <f t="shared" si="31"/>
        <v/>
      </c>
      <c r="U90" s="186" t="str">
        <f t="shared" si="32"/>
        <v/>
      </c>
      <c r="V90" s="468" t="str">
        <f t="shared" si="33"/>
        <v/>
      </c>
      <c r="W90" s="468" t="str">
        <f t="shared" si="34"/>
        <v/>
      </c>
      <c r="X90" s="468" t="str">
        <f t="shared" si="35"/>
        <v/>
      </c>
      <c r="Y90" s="283" t="str">
        <f t="shared" si="36"/>
        <v/>
      </c>
    </row>
    <row r="91" spans="1:25" ht="16.350000000000001" customHeight="1">
      <c r="A91" s="175">
        <f t="shared" si="21"/>
        <v>2022</v>
      </c>
      <c r="B91" s="454" t="str">
        <f t="shared" si="22"/>
        <v>34</v>
      </c>
      <c r="C91" s="454" t="str">
        <f t="array" ref="C91">_xlfn.IFS(_xlfn.NUMBERVALUE(B91)&lt;=13,"Q1",AND(_xlfn.NUMBERVALUE(B91)&gt;13,_xlfn.NUMBERVALUE(B91)&lt;=26),"Q2", AND(_xlfn.NUMBERVALUE(B91)&gt;26,_xlfn.NUMBERVALUE(B91)&lt;=39),"Q3",_xlfn.NUMBERVALUE(B91)&gt;39,"Q4")</f>
        <v>Q3</v>
      </c>
      <c r="D91" s="448">
        <f t="shared" si="37"/>
        <v>44457</v>
      </c>
      <c r="E91" s="448">
        <f t="shared" si="23"/>
        <v>44463</v>
      </c>
      <c r="F91" s="533">
        <v>202134</v>
      </c>
      <c r="G91" s="180">
        <f t="shared" si="24"/>
        <v>0</v>
      </c>
      <c r="H91" s="429"/>
      <c r="I91" s="429"/>
      <c r="J91" s="429"/>
      <c r="K91" s="180">
        <f t="shared" si="25"/>
        <v>0</v>
      </c>
      <c r="L91" s="429"/>
      <c r="M91" s="429"/>
      <c r="N91" s="532"/>
      <c r="O91" s="186" t="str">
        <f t="shared" si="26"/>
        <v/>
      </c>
      <c r="P91" s="468" t="str">
        <f t="shared" si="27"/>
        <v/>
      </c>
      <c r="Q91" s="468" t="str">
        <f t="shared" si="28"/>
        <v/>
      </c>
      <c r="R91" s="186" t="str">
        <f t="shared" si="29"/>
        <v/>
      </c>
      <c r="S91" s="468" t="str">
        <f t="shared" si="30"/>
        <v/>
      </c>
      <c r="T91" s="468" t="str">
        <f t="shared" si="31"/>
        <v/>
      </c>
      <c r="U91" s="186" t="str">
        <f t="shared" si="32"/>
        <v/>
      </c>
      <c r="V91" s="468" t="str">
        <f t="shared" si="33"/>
        <v/>
      </c>
      <c r="W91" s="468" t="str">
        <f t="shared" si="34"/>
        <v/>
      </c>
      <c r="X91" s="468" t="str">
        <f t="shared" si="35"/>
        <v/>
      </c>
      <c r="Y91" s="283" t="str">
        <f t="shared" si="36"/>
        <v/>
      </c>
    </row>
    <row r="92" spans="1:25" ht="16.350000000000001" customHeight="1">
      <c r="A92" s="175">
        <f t="shared" si="21"/>
        <v>2022</v>
      </c>
      <c r="B92" s="454" t="str">
        <f t="shared" si="22"/>
        <v>35</v>
      </c>
      <c r="C92" s="454" t="str">
        <f t="array" ref="C92">_xlfn.IFS(_xlfn.NUMBERVALUE(B92)&lt;=13,"Q1",AND(_xlfn.NUMBERVALUE(B92)&gt;13,_xlfn.NUMBERVALUE(B92)&lt;=26),"Q2", AND(_xlfn.NUMBERVALUE(B92)&gt;26,_xlfn.NUMBERVALUE(B92)&lt;=39),"Q3",_xlfn.NUMBERVALUE(B92)&gt;39,"Q4")</f>
        <v>Q3</v>
      </c>
      <c r="D92" s="448">
        <f t="shared" si="37"/>
        <v>44464</v>
      </c>
      <c r="E92" s="448">
        <f t="shared" si="23"/>
        <v>44470</v>
      </c>
      <c r="F92" s="533">
        <v>202135</v>
      </c>
      <c r="G92" s="180">
        <f t="shared" si="24"/>
        <v>0</v>
      </c>
      <c r="H92" s="429"/>
      <c r="I92" s="429"/>
      <c r="J92" s="429"/>
      <c r="K92" s="180">
        <f t="shared" si="25"/>
        <v>0</v>
      </c>
      <c r="L92" s="429"/>
      <c r="M92" s="429"/>
      <c r="N92" s="532"/>
      <c r="O92" s="186" t="str">
        <f t="shared" si="26"/>
        <v/>
      </c>
      <c r="P92" s="468" t="str">
        <f t="shared" si="27"/>
        <v/>
      </c>
      <c r="Q92" s="468" t="str">
        <f t="shared" si="28"/>
        <v/>
      </c>
      <c r="R92" s="186" t="str">
        <f t="shared" si="29"/>
        <v/>
      </c>
      <c r="S92" s="468" t="str">
        <f t="shared" si="30"/>
        <v/>
      </c>
      <c r="T92" s="468" t="str">
        <f t="shared" si="31"/>
        <v/>
      </c>
      <c r="U92" s="186" t="str">
        <f t="shared" si="32"/>
        <v/>
      </c>
      <c r="V92" s="468" t="str">
        <f t="shared" si="33"/>
        <v/>
      </c>
      <c r="W92" s="468" t="str">
        <f t="shared" si="34"/>
        <v/>
      </c>
      <c r="X92" s="468" t="str">
        <f t="shared" si="35"/>
        <v/>
      </c>
      <c r="Y92" s="283" t="str">
        <f t="shared" si="36"/>
        <v/>
      </c>
    </row>
    <row r="93" spans="1:25" ht="16.350000000000001" customHeight="1">
      <c r="A93" s="175">
        <f t="shared" si="21"/>
        <v>2022</v>
      </c>
      <c r="B93" s="454" t="str">
        <f t="shared" si="22"/>
        <v>36</v>
      </c>
      <c r="C93" s="454" t="str">
        <f t="array" ref="C93">_xlfn.IFS(_xlfn.NUMBERVALUE(B93)&lt;=13,"Q1",AND(_xlfn.NUMBERVALUE(B93)&gt;13,_xlfn.NUMBERVALUE(B93)&lt;=26),"Q2", AND(_xlfn.NUMBERVALUE(B93)&gt;26,_xlfn.NUMBERVALUE(B93)&lt;=39),"Q3",_xlfn.NUMBERVALUE(B93)&gt;39,"Q4")</f>
        <v>Q3</v>
      </c>
      <c r="D93" s="448">
        <f t="shared" si="37"/>
        <v>44471</v>
      </c>
      <c r="E93" s="448">
        <f t="shared" si="23"/>
        <v>44477</v>
      </c>
      <c r="F93" s="533">
        <v>202136</v>
      </c>
      <c r="G93" s="180">
        <f t="shared" si="24"/>
        <v>0</v>
      </c>
      <c r="H93" s="429"/>
      <c r="I93" s="429"/>
      <c r="J93" s="429"/>
      <c r="K93" s="180">
        <f t="shared" si="25"/>
        <v>0</v>
      </c>
      <c r="L93" s="429"/>
      <c r="M93" s="429"/>
      <c r="N93" s="532"/>
      <c r="O93" s="186" t="str">
        <f t="shared" si="26"/>
        <v/>
      </c>
      <c r="P93" s="468" t="str">
        <f t="shared" si="27"/>
        <v/>
      </c>
      <c r="Q93" s="468" t="str">
        <f t="shared" si="28"/>
        <v/>
      </c>
      <c r="R93" s="186" t="str">
        <f t="shared" si="29"/>
        <v/>
      </c>
      <c r="S93" s="468" t="str">
        <f t="shared" si="30"/>
        <v/>
      </c>
      <c r="T93" s="468" t="str">
        <f t="shared" si="31"/>
        <v/>
      </c>
      <c r="U93" s="186" t="str">
        <f t="shared" si="32"/>
        <v/>
      </c>
      <c r="V93" s="468" t="str">
        <f t="shared" si="33"/>
        <v/>
      </c>
      <c r="W93" s="468" t="str">
        <f t="shared" si="34"/>
        <v/>
      </c>
      <c r="X93" s="468" t="str">
        <f t="shared" si="35"/>
        <v/>
      </c>
      <c r="Y93" s="283" t="str">
        <f t="shared" si="36"/>
        <v/>
      </c>
    </row>
    <row r="94" spans="1:25" ht="16.350000000000001" customHeight="1">
      <c r="A94" s="175">
        <f t="shared" si="21"/>
        <v>2022</v>
      </c>
      <c r="B94" s="454" t="str">
        <f t="shared" si="22"/>
        <v>37</v>
      </c>
      <c r="C94" s="454" t="str">
        <f t="array" ref="C94">_xlfn.IFS(_xlfn.NUMBERVALUE(B94)&lt;=13,"Q1",AND(_xlfn.NUMBERVALUE(B94)&gt;13,_xlfn.NUMBERVALUE(B94)&lt;=26),"Q2", AND(_xlfn.NUMBERVALUE(B94)&gt;26,_xlfn.NUMBERVALUE(B94)&lt;=39),"Q3",_xlfn.NUMBERVALUE(B94)&gt;39,"Q4")</f>
        <v>Q3</v>
      </c>
      <c r="D94" s="448">
        <f t="shared" si="37"/>
        <v>44478</v>
      </c>
      <c r="E94" s="448">
        <f t="shared" si="23"/>
        <v>44484</v>
      </c>
      <c r="F94" s="533">
        <v>202137</v>
      </c>
      <c r="G94" s="180">
        <f t="shared" si="24"/>
        <v>0</v>
      </c>
      <c r="H94" s="429"/>
      <c r="I94" s="429"/>
      <c r="J94" s="429"/>
      <c r="K94" s="180">
        <f t="shared" si="25"/>
        <v>0</v>
      </c>
      <c r="L94" s="429"/>
      <c r="M94" s="429"/>
      <c r="N94" s="532"/>
      <c r="O94" s="186" t="str">
        <f t="shared" si="26"/>
        <v/>
      </c>
      <c r="P94" s="468" t="str">
        <f t="shared" si="27"/>
        <v/>
      </c>
      <c r="Q94" s="468" t="str">
        <f t="shared" si="28"/>
        <v/>
      </c>
      <c r="R94" s="186" t="str">
        <f t="shared" si="29"/>
        <v/>
      </c>
      <c r="S94" s="468" t="str">
        <f t="shared" si="30"/>
        <v/>
      </c>
      <c r="T94" s="468" t="str">
        <f t="shared" si="31"/>
        <v/>
      </c>
      <c r="U94" s="186" t="str">
        <f t="shared" si="32"/>
        <v/>
      </c>
      <c r="V94" s="468" t="str">
        <f t="shared" si="33"/>
        <v/>
      </c>
      <c r="W94" s="468" t="str">
        <f t="shared" si="34"/>
        <v/>
      </c>
      <c r="X94" s="468" t="str">
        <f t="shared" si="35"/>
        <v/>
      </c>
      <c r="Y94" s="283" t="str">
        <f t="shared" si="36"/>
        <v/>
      </c>
    </row>
    <row r="95" spans="1:25" ht="16.350000000000001" customHeight="1">
      <c r="A95" s="175">
        <f t="shared" si="21"/>
        <v>2022</v>
      </c>
      <c r="B95" s="454" t="str">
        <f t="shared" si="22"/>
        <v>38</v>
      </c>
      <c r="C95" s="454" t="str">
        <f t="array" ref="C95">_xlfn.IFS(_xlfn.NUMBERVALUE(B95)&lt;=13,"Q1",AND(_xlfn.NUMBERVALUE(B95)&gt;13,_xlfn.NUMBERVALUE(B95)&lt;=26),"Q2", AND(_xlfn.NUMBERVALUE(B95)&gt;26,_xlfn.NUMBERVALUE(B95)&lt;=39),"Q3",_xlfn.NUMBERVALUE(B95)&gt;39,"Q4")</f>
        <v>Q3</v>
      </c>
      <c r="D95" s="448">
        <f t="shared" si="37"/>
        <v>44485</v>
      </c>
      <c r="E95" s="448">
        <f t="shared" si="23"/>
        <v>44491</v>
      </c>
      <c r="F95" s="533">
        <v>202138</v>
      </c>
      <c r="G95" s="180">
        <f t="shared" si="24"/>
        <v>0</v>
      </c>
      <c r="H95" s="429"/>
      <c r="I95" s="429"/>
      <c r="J95" s="429"/>
      <c r="K95" s="180">
        <f t="shared" si="25"/>
        <v>0</v>
      </c>
      <c r="L95" s="429"/>
      <c r="M95" s="429"/>
      <c r="N95" s="532"/>
      <c r="O95" s="186" t="str">
        <f t="shared" si="26"/>
        <v/>
      </c>
      <c r="P95" s="468" t="str">
        <f t="shared" si="27"/>
        <v/>
      </c>
      <c r="Q95" s="468" t="str">
        <f t="shared" si="28"/>
        <v/>
      </c>
      <c r="R95" s="186" t="str">
        <f t="shared" si="29"/>
        <v/>
      </c>
      <c r="S95" s="468" t="str">
        <f t="shared" si="30"/>
        <v/>
      </c>
      <c r="T95" s="468" t="str">
        <f t="shared" si="31"/>
        <v/>
      </c>
      <c r="U95" s="186" t="str">
        <f t="shared" si="32"/>
        <v/>
      </c>
      <c r="V95" s="468" t="str">
        <f t="shared" si="33"/>
        <v/>
      </c>
      <c r="W95" s="468" t="str">
        <f t="shared" si="34"/>
        <v/>
      </c>
      <c r="X95" s="468" t="str">
        <f t="shared" si="35"/>
        <v/>
      </c>
      <c r="Y95" s="283" t="str">
        <f t="shared" si="36"/>
        <v/>
      </c>
    </row>
    <row r="96" spans="1:25" ht="16.350000000000001" customHeight="1">
      <c r="A96" s="175">
        <f t="shared" si="21"/>
        <v>2022</v>
      </c>
      <c r="B96" s="454" t="str">
        <f t="shared" si="22"/>
        <v>39</v>
      </c>
      <c r="C96" s="454" t="str">
        <f t="array" ref="C96">_xlfn.IFS(_xlfn.NUMBERVALUE(B96)&lt;=13,"Q1",AND(_xlfn.NUMBERVALUE(B96)&gt;13,_xlfn.NUMBERVALUE(B96)&lt;=26),"Q2", AND(_xlfn.NUMBERVALUE(B96)&gt;26,_xlfn.NUMBERVALUE(B96)&lt;=39),"Q3",_xlfn.NUMBERVALUE(B96)&gt;39,"Q4")</f>
        <v>Q3</v>
      </c>
      <c r="D96" s="448">
        <f t="shared" si="37"/>
        <v>44492</v>
      </c>
      <c r="E96" s="448">
        <f t="shared" si="23"/>
        <v>44498</v>
      </c>
      <c r="F96" s="533">
        <v>202139</v>
      </c>
      <c r="G96" s="180">
        <f t="shared" si="24"/>
        <v>0</v>
      </c>
      <c r="H96" s="429"/>
      <c r="I96" s="429"/>
      <c r="J96" s="429"/>
      <c r="K96" s="180">
        <f t="shared" si="25"/>
        <v>0</v>
      </c>
      <c r="L96" s="429"/>
      <c r="M96" s="429"/>
      <c r="N96" s="532"/>
      <c r="O96" s="186" t="str">
        <f t="shared" si="26"/>
        <v/>
      </c>
      <c r="P96" s="468" t="str">
        <f t="shared" si="27"/>
        <v/>
      </c>
      <c r="Q96" s="468" t="str">
        <f t="shared" si="28"/>
        <v/>
      </c>
      <c r="R96" s="186" t="str">
        <f t="shared" si="29"/>
        <v/>
      </c>
      <c r="S96" s="468" t="str">
        <f t="shared" si="30"/>
        <v/>
      </c>
      <c r="T96" s="468" t="str">
        <f t="shared" si="31"/>
        <v/>
      </c>
      <c r="U96" s="186" t="str">
        <f t="shared" si="32"/>
        <v/>
      </c>
      <c r="V96" s="468" t="str">
        <f t="shared" si="33"/>
        <v/>
      </c>
      <c r="W96" s="468" t="str">
        <f t="shared" si="34"/>
        <v/>
      </c>
      <c r="X96" s="468" t="str">
        <f t="shared" si="35"/>
        <v/>
      </c>
      <c r="Y96" s="283" t="str">
        <f t="shared" si="36"/>
        <v/>
      </c>
    </row>
    <row r="97" spans="1:25" ht="16.350000000000001" customHeight="1">
      <c r="A97" s="175">
        <f t="shared" si="21"/>
        <v>2022</v>
      </c>
      <c r="B97" s="454" t="str">
        <f t="shared" si="22"/>
        <v>40</v>
      </c>
      <c r="C97" s="454" t="str">
        <f t="array" ref="C97">_xlfn.IFS(_xlfn.NUMBERVALUE(B97)&lt;=13,"Q1",AND(_xlfn.NUMBERVALUE(B97)&gt;13,_xlfn.NUMBERVALUE(B97)&lt;=26),"Q2", AND(_xlfn.NUMBERVALUE(B97)&gt;26,_xlfn.NUMBERVALUE(B97)&lt;=39),"Q3",_xlfn.NUMBERVALUE(B97)&gt;39,"Q4")</f>
        <v>Q4</v>
      </c>
      <c r="D97" s="448">
        <f t="shared" si="37"/>
        <v>44499</v>
      </c>
      <c r="E97" s="448">
        <f t="shared" si="23"/>
        <v>44505</v>
      </c>
      <c r="F97" s="533">
        <v>202140</v>
      </c>
      <c r="G97" s="180">
        <f t="shared" si="24"/>
        <v>0</v>
      </c>
      <c r="H97" s="429"/>
      <c r="I97" s="429"/>
      <c r="J97" s="429"/>
      <c r="K97" s="180">
        <f t="shared" si="25"/>
        <v>0</v>
      </c>
      <c r="L97" s="429"/>
      <c r="M97" s="429"/>
      <c r="N97" s="532"/>
      <c r="O97" s="186" t="str">
        <f t="shared" si="26"/>
        <v/>
      </c>
      <c r="P97" s="468" t="str">
        <f t="shared" si="27"/>
        <v/>
      </c>
      <c r="Q97" s="468" t="str">
        <f t="shared" si="28"/>
        <v/>
      </c>
      <c r="R97" s="186" t="str">
        <f t="shared" si="29"/>
        <v/>
      </c>
      <c r="S97" s="468" t="str">
        <f t="shared" si="30"/>
        <v/>
      </c>
      <c r="T97" s="468" t="str">
        <f t="shared" si="31"/>
        <v/>
      </c>
      <c r="U97" s="186" t="str">
        <f t="shared" si="32"/>
        <v/>
      </c>
      <c r="V97" s="468" t="str">
        <f t="shared" si="33"/>
        <v/>
      </c>
      <c r="W97" s="468" t="str">
        <f t="shared" si="34"/>
        <v/>
      </c>
      <c r="X97" s="468" t="str">
        <f t="shared" si="35"/>
        <v/>
      </c>
      <c r="Y97" s="283" t="str">
        <f t="shared" si="36"/>
        <v/>
      </c>
    </row>
    <row r="98" spans="1:25" ht="16.350000000000001" customHeight="1">
      <c r="A98" s="175">
        <f t="shared" si="21"/>
        <v>2022</v>
      </c>
      <c r="B98" s="454" t="str">
        <f t="shared" si="22"/>
        <v>41</v>
      </c>
      <c r="C98" s="454" t="str">
        <f t="array" ref="C98">_xlfn.IFS(_xlfn.NUMBERVALUE(B98)&lt;=13,"Q1",AND(_xlfn.NUMBERVALUE(B98)&gt;13,_xlfn.NUMBERVALUE(B98)&lt;=26),"Q2", AND(_xlfn.NUMBERVALUE(B98)&gt;26,_xlfn.NUMBERVALUE(B98)&lt;=39),"Q3",_xlfn.NUMBERVALUE(B98)&gt;39,"Q4")</f>
        <v>Q4</v>
      </c>
      <c r="D98" s="448">
        <f t="shared" si="37"/>
        <v>44506</v>
      </c>
      <c r="E98" s="448">
        <f t="shared" si="23"/>
        <v>44512</v>
      </c>
      <c r="F98" s="533">
        <v>202141</v>
      </c>
      <c r="G98" s="180">
        <f t="shared" si="24"/>
        <v>0</v>
      </c>
      <c r="H98" s="429"/>
      <c r="I98" s="429"/>
      <c r="J98" s="429"/>
      <c r="K98" s="180">
        <f t="shared" si="25"/>
        <v>0</v>
      </c>
      <c r="L98" s="429"/>
      <c r="M98" s="429"/>
      <c r="N98" s="532"/>
      <c r="O98" s="186" t="str">
        <f t="shared" si="26"/>
        <v/>
      </c>
      <c r="P98" s="468" t="str">
        <f t="shared" si="27"/>
        <v/>
      </c>
      <c r="Q98" s="468" t="str">
        <f t="shared" si="28"/>
        <v/>
      </c>
      <c r="R98" s="186" t="str">
        <f t="shared" si="29"/>
        <v/>
      </c>
      <c r="S98" s="468" t="str">
        <f t="shared" si="30"/>
        <v/>
      </c>
      <c r="T98" s="468" t="str">
        <f t="shared" si="31"/>
        <v/>
      </c>
      <c r="U98" s="186" t="str">
        <f t="shared" si="32"/>
        <v/>
      </c>
      <c r="V98" s="468" t="str">
        <f t="shared" si="33"/>
        <v/>
      </c>
      <c r="W98" s="468" t="str">
        <f t="shared" si="34"/>
        <v/>
      </c>
      <c r="X98" s="468" t="str">
        <f t="shared" si="35"/>
        <v/>
      </c>
      <c r="Y98" s="283" t="str">
        <f t="shared" si="36"/>
        <v/>
      </c>
    </row>
    <row r="99" spans="1:25" ht="16.350000000000001" customHeight="1">
      <c r="A99" s="175">
        <f t="shared" si="21"/>
        <v>2022</v>
      </c>
      <c r="B99" s="454" t="str">
        <f t="shared" si="22"/>
        <v>42</v>
      </c>
      <c r="C99" s="454" t="str">
        <f t="array" ref="C99">_xlfn.IFS(_xlfn.NUMBERVALUE(B99)&lt;=13,"Q1",AND(_xlfn.NUMBERVALUE(B99)&gt;13,_xlfn.NUMBERVALUE(B99)&lt;=26),"Q2", AND(_xlfn.NUMBERVALUE(B99)&gt;26,_xlfn.NUMBERVALUE(B99)&lt;=39),"Q3",_xlfn.NUMBERVALUE(B99)&gt;39,"Q4")</f>
        <v>Q4</v>
      </c>
      <c r="D99" s="448">
        <f t="shared" si="37"/>
        <v>44513</v>
      </c>
      <c r="E99" s="448">
        <f t="shared" si="23"/>
        <v>44519</v>
      </c>
      <c r="F99" s="533">
        <v>202142</v>
      </c>
      <c r="G99" s="180">
        <f t="shared" si="24"/>
        <v>0</v>
      </c>
      <c r="H99" s="429"/>
      <c r="I99" s="429"/>
      <c r="J99" s="429"/>
      <c r="K99" s="180">
        <f t="shared" si="25"/>
        <v>0</v>
      </c>
      <c r="L99" s="429"/>
      <c r="M99" s="429"/>
      <c r="N99" s="532"/>
      <c r="O99" s="186" t="str">
        <f t="shared" si="26"/>
        <v/>
      </c>
      <c r="P99" s="468" t="str">
        <f t="shared" si="27"/>
        <v/>
      </c>
      <c r="Q99" s="468" t="str">
        <f t="shared" si="28"/>
        <v/>
      </c>
      <c r="R99" s="186" t="str">
        <f t="shared" si="29"/>
        <v/>
      </c>
      <c r="S99" s="468" t="str">
        <f t="shared" si="30"/>
        <v/>
      </c>
      <c r="T99" s="468" t="str">
        <f t="shared" si="31"/>
        <v/>
      </c>
      <c r="U99" s="186" t="str">
        <f t="shared" si="32"/>
        <v/>
      </c>
      <c r="V99" s="468" t="str">
        <f t="shared" si="33"/>
        <v/>
      </c>
      <c r="W99" s="468" t="str">
        <f t="shared" si="34"/>
        <v/>
      </c>
      <c r="X99" s="468" t="str">
        <f t="shared" si="35"/>
        <v/>
      </c>
      <c r="Y99" s="283" t="str">
        <f t="shared" si="36"/>
        <v/>
      </c>
    </row>
    <row r="100" spans="1:25" ht="16.350000000000001" customHeight="1">
      <c r="A100" s="175">
        <f t="shared" si="21"/>
        <v>2022</v>
      </c>
      <c r="B100" s="454" t="str">
        <f t="shared" si="22"/>
        <v>43</v>
      </c>
      <c r="C100" s="454" t="str">
        <f t="array" ref="C100">_xlfn.IFS(_xlfn.NUMBERVALUE(B100)&lt;=13,"Q1",AND(_xlfn.NUMBERVALUE(B100)&gt;13,_xlfn.NUMBERVALUE(B100)&lt;=26),"Q2", AND(_xlfn.NUMBERVALUE(B100)&gt;26,_xlfn.NUMBERVALUE(B100)&lt;=39),"Q3",_xlfn.NUMBERVALUE(B100)&gt;39,"Q4")</f>
        <v>Q4</v>
      </c>
      <c r="D100" s="448">
        <f t="shared" si="37"/>
        <v>44520</v>
      </c>
      <c r="E100" s="448">
        <f t="shared" si="23"/>
        <v>44526</v>
      </c>
      <c r="F100" s="533">
        <v>202143</v>
      </c>
      <c r="G100" s="180">
        <f t="shared" si="24"/>
        <v>0</v>
      </c>
      <c r="H100" s="429"/>
      <c r="I100" s="429"/>
      <c r="J100" s="429"/>
      <c r="K100" s="180">
        <f t="shared" si="25"/>
        <v>0</v>
      </c>
      <c r="L100" s="429"/>
      <c r="M100" s="429"/>
      <c r="N100" s="532"/>
      <c r="O100" s="186" t="str">
        <f t="shared" si="26"/>
        <v/>
      </c>
      <c r="P100" s="468" t="str">
        <f t="shared" si="27"/>
        <v/>
      </c>
      <c r="Q100" s="468" t="str">
        <f t="shared" si="28"/>
        <v/>
      </c>
      <c r="R100" s="186" t="str">
        <f t="shared" si="29"/>
        <v/>
      </c>
      <c r="S100" s="468" t="str">
        <f t="shared" si="30"/>
        <v/>
      </c>
      <c r="T100" s="468" t="str">
        <f t="shared" si="31"/>
        <v/>
      </c>
      <c r="U100" s="186" t="str">
        <f t="shared" si="32"/>
        <v/>
      </c>
      <c r="V100" s="468" t="str">
        <f t="shared" si="33"/>
        <v/>
      </c>
      <c r="W100" s="468" t="str">
        <f t="shared" si="34"/>
        <v/>
      </c>
      <c r="X100" s="468" t="str">
        <f t="shared" si="35"/>
        <v/>
      </c>
      <c r="Y100" s="283" t="str">
        <f t="shared" si="36"/>
        <v/>
      </c>
    </row>
    <row r="101" spans="1:25" ht="16.350000000000001" customHeight="1">
      <c r="A101" s="175">
        <f t="shared" si="21"/>
        <v>2022</v>
      </c>
      <c r="B101" s="454" t="str">
        <f t="shared" si="22"/>
        <v>44</v>
      </c>
      <c r="C101" s="454" t="str">
        <f t="array" ref="C101">_xlfn.IFS(_xlfn.NUMBERVALUE(B101)&lt;=13,"Q1",AND(_xlfn.NUMBERVALUE(B101)&gt;13,_xlfn.NUMBERVALUE(B101)&lt;=26),"Q2", AND(_xlfn.NUMBERVALUE(B101)&gt;26,_xlfn.NUMBERVALUE(B101)&lt;=39),"Q3",_xlfn.NUMBERVALUE(B101)&gt;39,"Q4")</f>
        <v>Q4</v>
      </c>
      <c r="D101" s="448">
        <f t="shared" si="37"/>
        <v>44527</v>
      </c>
      <c r="E101" s="448">
        <f t="shared" si="23"/>
        <v>44533</v>
      </c>
      <c r="F101" s="533">
        <v>202144</v>
      </c>
      <c r="G101" s="180">
        <f t="shared" si="24"/>
        <v>0</v>
      </c>
      <c r="H101" s="429"/>
      <c r="I101" s="429"/>
      <c r="J101" s="429"/>
      <c r="K101" s="180">
        <f t="shared" si="25"/>
        <v>0</v>
      </c>
      <c r="L101" s="429"/>
      <c r="M101" s="429"/>
      <c r="N101" s="532"/>
      <c r="O101" s="186" t="str">
        <f t="shared" si="26"/>
        <v/>
      </c>
      <c r="P101" s="468" t="str">
        <f t="shared" si="27"/>
        <v/>
      </c>
      <c r="Q101" s="468" t="str">
        <f t="shared" si="28"/>
        <v/>
      </c>
      <c r="R101" s="186" t="str">
        <f t="shared" si="29"/>
        <v/>
      </c>
      <c r="S101" s="468" t="str">
        <f t="shared" si="30"/>
        <v/>
      </c>
      <c r="T101" s="468" t="str">
        <f t="shared" si="31"/>
        <v/>
      </c>
      <c r="U101" s="186" t="str">
        <f t="shared" si="32"/>
        <v/>
      </c>
      <c r="V101" s="468" t="str">
        <f t="shared" si="33"/>
        <v/>
      </c>
      <c r="W101" s="468" t="str">
        <f t="shared" si="34"/>
        <v/>
      </c>
      <c r="X101" s="468" t="str">
        <f t="shared" si="35"/>
        <v/>
      </c>
      <c r="Y101" s="283" t="str">
        <f t="shared" si="36"/>
        <v/>
      </c>
    </row>
    <row r="102" spans="1:25" ht="16.350000000000001" customHeight="1">
      <c r="A102" s="175">
        <f t="shared" si="21"/>
        <v>2022</v>
      </c>
      <c r="B102" s="454" t="str">
        <f t="shared" si="22"/>
        <v>45</v>
      </c>
      <c r="C102" s="454" t="str">
        <f t="array" ref="C102">_xlfn.IFS(_xlfn.NUMBERVALUE(B102)&lt;=13,"Q1",AND(_xlfn.NUMBERVALUE(B102)&gt;13,_xlfn.NUMBERVALUE(B102)&lt;=26),"Q2", AND(_xlfn.NUMBERVALUE(B102)&gt;26,_xlfn.NUMBERVALUE(B102)&lt;=39),"Q3",_xlfn.NUMBERVALUE(B102)&gt;39,"Q4")</f>
        <v>Q4</v>
      </c>
      <c r="D102" s="448">
        <f t="shared" si="37"/>
        <v>44534</v>
      </c>
      <c r="E102" s="448">
        <f t="shared" si="23"/>
        <v>44540</v>
      </c>
      <c r="F102" s="533">
        <v>202145</v>
      </c>
      <c r="G102" s="180">
        <f t="shared" si="24"/>
        <v>0</v>
      </c>
      <c r="H102" s="429"/>
      <c r="I102" s="429"/>
      <c r="J102" s="429"/>
      <c r="K102" s="180">
        <f t="shared" ref="K102:K121" si="38">SUM(L102:N102)</f>
        <v>0</v>
      </c>
      <c r="L102" s="429"/>
      <c r="M102" s="429"/>
      <c r="N102" s="532"/>
      <c r="O102" s="186" t="str">
        <f t="shared" si="26"/>
        <v/>
      </c>
      <c r="P102" s="468" t="str">
        <f t="shared" si="27"/>
        <v/>
      </c>
      <c r="Q102" s="468" t="str">
        <f t="shared" si="28"/>
        <v/>
      </c>
      <c r="R102" s="186" t="str">
        <f t="shared" ref="R102:R121" si="39">IFERROR(L102/$K102,"")</f>
        <v/>
      </c>
      <c r="S102" s="468" t="str">
        <f t="shared" ref="S102:S121" si="40">IFERROR(M102/$K102,"")</f>
        <v/>
      </c>
      <c r="T102" s="468" t="str">
        <f t="shared" ref="T102:T121" si="41">IFERROR(N102/$K102,"")</f>
        <v/>
      </c>
      <c r="U102" s="186" t="str">
        <f t="shared" si="32"/>
        <v/>
      </c>
      <c r="V102" s="468" t="str">
        <f t="shared" si="33"/>
        <v/>
      </c>
      <c r="W102" s="468" t="str">
        <f t="shared" si="34"/>
        <v/>
      </c>
      <c r="X102" s="468" t="str">
        <f t="shared" si="35"/>
        <v/>
      </c>
      <c r="Y102" s="283" t="str">
        <f t="shared" si="36"/>
        <v/>
      </c>
    </row>
    <row r="103" spans="1:25" ht="16.350000000000001" customHeight="1">
      <c r="A103" s="175">
        <f t="shared" si="21"/>
        <v>2022</v>
      </c>
      <c r="B103" s="454" t="str">
        <f t="shared" si="22"/>
        <v>46</v>
      </c>
      <c r="C103" s="454" t="str">
        <f t="array" ref="C103">_xlfn.IFS(_xlfn.NUMBERVALUE(B103)&lt;=13,"Q1",AND(_xlfn.NUMBERVALUE(B103)&gt;13,_xlfn.NUMBERVALUE(B103)&lt;=26),"Q2", AND(_xlfn.NUMBERVALUE(B103)&gt;26,_xlfn.NUMBERVALUE(B103)&lt;=39),"Q3",_xlfn.NUMBERVALUE(B103)&gt;39,"Q4")</f>
        <v>Q4</v>
      </c>
      <c r="D103" s="448">
        <f t="shared" si="37"/>
        <v>44541</v>
      </c>
      <c r="E103" s="448">
        <f t="shared" si="23"/>
        <v>44547</v>
      </c>
      <c r="F103" s="533">
        <v>202146</v>
      </c>
      <c r="G103" s="180">
        <f t="shared" si="24"/>
        <v>0</v>
      </c>
      <c r="H103" s="429"/>
      <c r="I103" s="429"/>
      <c r="J103" s="429"/>
      <c r="K103" s="180">
        <f t="shared" si="38"/>
        <v>0</v>
      </c>
      <c r="L103" s="429"/>
      <c r="M103" s="429"/>
      <c r="N103" s="532"/>
      <c r="O103" s="186" t="str">
        <f t="shared" si="26"/>
        <v/>
      </c>
      <c r="P103" s="468" t="str">
        <f t="shared" si="27"/>
        <v/>
      </c>
      <c r="Q103" s="468" t="str">
        <f t="shared" si="28"/>
        <v/>
      </c>
      <c r="R103" s="186" t="str">
        <f t="shared" si="39"/>
        <v/>
      </c>
      <c r="S103" s="468" t="str">
        <f t="shared" si="40"/>
        <v/>
      </c>
      <c r="T103" s="468" t="str">
        <f t="shared" si="41"/>
        <v/>
      </c>
      <c r="U103" s="186" t="str">
        <f t="shared" si="32"/>
        <v/>
      </c>
      <c r="V103" s="468" t="str">
        <f t="shared" si="33"/>
        <v/>
      </c>
      <c r="W103" s="468" t="str">
        <f t="shared" si="34"/>
        <v/>
      </c>
      <c r="X103" s="468" t="str">
        <f t="shared" si="35"/>
        <v/>
      </c>
      <c r="Y103" s="283" t="str">
        <f t="shared" si="36"/>
        <v/>
      </c>
    </row>
    <row r="104" spans="1:25" ht="16.350000000000001" customHeight="1">
      <c r="A104" s="175">
        <f t="shared" si="21"/>
        <v>2022</v>
      </c>
      <c r="B104" s="454" t="str">
        <f t="shared" si="22"/>
        <v>47</v>
      </c>
      <c r="C104" s="454" t="str">
        <f t="array" ref="C104">_xlfn.IFS(_xlfn.NUMBERVALUE(B104)&lt;=13,"Q1",AND(_xlfn.NUMBERVALUE(B104)&gt;13,_xlfn.NUMBERVALUE(B104)&lt;=26),"Q2", AND(_xlfn.NUMBERVALUE(B104)&gt;26,_xlfn.NUMBERVALUE(B104)&lt;=39),"Q3",_xlfn.NUMBERVALUE(B104)&gt;39,"Q4")</f>
        <v>Q4</v>
      </c>
      <c r="D104" s="448">
        <f t="shared" si="37"/>
        <v>44548</v>
      </c>
      <c r="E104" s="448">
        <f t="shared" si="23"/>
        <v>44554</v>
      </c>
      <c r="F104" s="533">
        <v>202147</v>
      </c>
      <c r="G104" s="180">
        <f t="shared" si="24"/>
        <v>0</v>
      </c>
      <c r="H104" s="429"/>
      <c r="I104" s="429"/>
      <c r="J104" s="429"/>
      <c r="K104" s="180">
        <f t="shared" si="38"/>
        <v>0</v>
      </c>
      <c r="L104" s="429"/>
      <c r="M104" s="429"/>
      <c r="N104" s="532"/>
      <c r="O104" s="186" t="str">
        <f t="shared" si="26"/>
        <v/>
      </c>
      <c r="P104" s="468" t="str">
        <f t="shared" si="27"/>
        <v/>
      </c>
      <c r="Q104" s="468" t="str">
        <f t="shared" si="28"/>
        <v/>
      </c>
      <c r="R104" s="186" t="str">
        <f t="shared" si="39"/>
        <v/>
      </c>
      <c r="S104" s="468" t="str">
        <f t="shared" si="40"/>
        <v/>
      </c>
      <c r="T104" s="468" t="str">
        <f t="shared" si="41"/>
        <v/>
      </c>
      <c r="U104" s="186" t="str">
        <f t="shared" si="32"/>
        <v/>
      </c>
      <c r="V104" s="468" t="str">
        <f t="shared" si="33"/>
        <v/>
      </c>
      <c r="W104" s="468" t="str">
        <f t="shared" si="34"/>
        <v/>
      </c>
      <c r="X104" s="468" t="str">
        <f t="shared" si="35"/>
        <v/>
      </c>
      <c r="Y104" s="283" t="str">
        <f t="shared" si="36"/>
        <v/>
      </c>
    </row>
    <row r="105" spans="1:25" ht="16.350000000000001" customHeight="1">
      <c r="A105" s="175">
        <f t="shared" si="21"/>
        <v>2022</v>
      </c>
      <c r="B105" s="454" t="str">
        <f t="shared" si="22"/>
        <v>48</v>
      </c>
      <c r="C105" s="454" t="str">
        <f t="array" ref="C105">_xlfn.IFS(_xlfn.NUMBERVALUE(B105)&lt;=13,"Q1",AND(_xlfn.NUMBERVALUE(B105)&gt;13,_xlfn.NUMBERVALUE(B105)&lt;=26),"Q2", AND(_xlfn.NUMBERVALUE(B105)&gt;26,_xlfn.NUMBERVALUE(B105)&lt;=39),"Q3",_xlfn.NUMBERVALUE(B105)&gt;39,"Q4")</f>
        <v>Q4</v>
      </c>
      <c r="D105" s="448">
        <f t="shared" si="37"/>
        <v>44555</v>
      </c>
      <c r="E105" s="448">
        <f t="shared" si="23"/>
        <v>44561</v>
      </c>
      <c r="F105" s="533">
        <v>202148</v>
      </c>
      <c r="G105" s="180">
        <f t="shared" si="24"/>
        <v>0</v>
      </c>
      <c r="H105" s="429"/>
      <c r="I105" s="429"/>
      <c r="J105" s="429"/>
      <c r="K105" s="180">
        <f t="shared" si="38"/>
        <v>0</v>
      </c>
      <c r="L105" s="429"/>
      <c r="M105" s="429"/>
      <c r="N105" s="532"/>
      <c r="O105" s="186" t="str">
        <f t="shared" si="26"/>
        <v/>
      </c>
      <c r="P105" s="468" t="str">
        <f t="shared" si="27"/>
        <v/>
      </c>
      <c r="Q105" s="468" t="str">
        <f t="shared" si="28"/>
        <v/>
      </c>
      <c r="R105" s="186" t="str">
        <f t="shared" si="39"/>
        <v/>
      </c>
      <c r="S105" s="468" t="str">
        <f t="shared" si="40"/>
        <v/>
      </c>
      <c r="T105" s="468" t="str">
        <f t="shared" si="41"/>
        <v/>
      </c>
      <c r="U105" s="186" t="str">
        <f t="shared" si="32"/>
        <v/>
      </c>
      <c r="V105" s="468" t="str">
        <f t="shared" si="33"/>
        <v/>
      </c>
      <c r="W105" s="468" t="str">
        <f t="shared" si="34"/>
        <v/>
      </c>
      <c r="X105" s="468" t="str">
        <f t="shared" si="35"/>
        <v/>
      </c>
      <c r="Y105" s="283" t="str">
        <f t="shared" si="36"/>
        <v/>
      </c>
    </row>
    <row r="106" spans="1:25" ht="16.350000000000001" customHeight="1">
      <c r="A106" s="175">
        <f t="shared" si="21"/>
        <v>2022</v>
      </c>
      <c r="B106" s="454" t="str">
        <f t="shared" si="22"/>
        <v>49</v>
      </c>
      <c r="C106" s="454" t="str">
        <f t="array" ref="C106">_xlfn.IFS(_xlfn.NUMBERVALUE(B106)&lt;=13,"Q1",AND(_xlfn.NUMBERVALUE(B106)&gt;13,_xlfn.NUMBERVALUE(B106)&lt;=26),"Q2", AND(_xlfn.NUMBERVALUE(B106)&gt;26,_xlfn.NUMBERVALUE(B106)&lt;=39),"Q3",_xlfn.NUMBERVALUE(B106)&gt;39,"Q4")</f>
        <v>Q4</v>
      </c>
      <c r="D106" s="448">
        <f t="shared" si="37"/>
        <v>44562</v>
      </c>
      <c r="E106" s="448">
        <f t="shared" si="23"/>
        <v>44568</v>
      </c>
      <c r="F106" s="533">
        <v>202149</v>
      </c>
      <c r="G106" s="180">
        <f t="shared" si="24"/>
        <v>0</v>
      </c>
      <c r="H106" s="429"/>
      <c r="I106" s="429"/>
      <c r="J106" s="429"/>
      <c r="K106" s="180">
        <f t="shared" si="38"/>
        <v>0</v>
      </c>
      <c r="L106" s="429"/>
      <c r="M106" s="429"/>
      <c r="N106" s="532"/>
      <c r="O106" s="186" t="str">
        <f t="shared" si="26"/>
        <v/>
      </c>
      <c r="P106" s="468" t="str">
        <f t="shared" si="27"/>
        <v/>
      </c>
      <c r="Q106" s="468" t="str">
        <f t="shared" si="28"/>
        <v/>
      </c>
      <c r="R106" s="186" t="str">
        <f t="shared" si="39"/>
        <v/>
      </c>
      <c r="S106" s="468" t="str">
        <f t="shared" si="40"/>
        <v/>
      </c>
      <c r="T106" s="468" t="str">
        <f t="shared" si="41"/>
        <v/>
      </c>
      <c r="U106" s="186" t="str">
        <f t="shared" si="32"/>
        <v/>
      </c>
      <c r="V106" s="468" t="str">
        <f t="shared" si="33"/>
        <v/>
      </c>
      <c r="W106" s="468" t="str">
        <f t="shared" si="34"/>
        <v/>
      </c>
      <c r="X106" s="468" t="str">
        <f t="shared" si="35"/>
        <v/>
      </c>
      <c r="Y106" s="283" t="str">
        <f t="shared" si="36"/>
        <v/>
      </c>
    </row>
    <row r="107" spans="1:25" ht="16.350000000000001" customHeight="1">
      <c r="A107" s="175">
        <f t="shared" si="21"/>
        <v>2022</v>
      </c>
      <c r="B107" s="454" t="str">
        <f t="shared" si="22"/>
        <v>50</v>
      </c>
      <c r="C107" s="454" t="str">
        <f t="array" ref="C107">_xlfn.IFS(_xlfn.NUMBERVALUE(B107)&lt;=13,"Q1",AND(_xlfn.NUMBERVALUE(B107)&gt;13,_xlfn.NUMBERVALUE(B107)&lt;=26),"Q2", AND(_xlfn.NUMBERVALUE(B107)&gt;26,_xlfn.NUMBERVALUE(B107)&lt;=39),"Q3",_xlfn.NUMBERVALUE(B107)&gt;39,"Q4")</f>
        <v>Q4</v>
      </c>
      <c r="D107" s="448">
        <f t="shared" si="37"/>
        <v>44569</v>
      </c>
      <c r="E107" s="448">
        <f t="shared" si="23"/>
        <v>44575</v>
      </c>
      <c r="F107" s="533">
        <v>202150</v>
      </c>
      <c r="G107" s="180">
        <f t="shared" si="24"/>
        <v>0</v>
      </c>
      <c r="H107" s="429"/>
      <c r="I107" s="429"/>
      <c r="J107" s="429"/>
      <c r="K107" s="180">
        <f t="shared" si="38"/>
        <v>0</v>
      </c>
      <c r="L107" s="429"/>
      <c r="M107" s="429"/>
      <c r="N107" s="532"/>
      <c r="O107" s="186" t="str">
        <f t="shared" si="26"/>
        <v/>
      </c>
      <c r="P107" s="468" t="str">
        <f t="shared" si="27"/>
        <v/>
      </c>
      <c r="Q107" s="468" t="str">
        <f t="shared" si="28"/>
        <v/>
      </c>
      <c r="R107" s="186" t="str">
        <f t="shared" si="39"/>
        <v/>
      </c>
      <c r="S107" s="468" t="str">
        <f t="shared" si="40"/>
        <v/>
      </c>
      <c r="T107" s="468" t="str">
        <f t="shared" si="41"/>
        <v/>
      </c>
      <c r="U107" s="186" t="str">
        <f t="shared" si="32"/>
        <v/>
      </c>
      <c r="V107" s="468" t="str">
        <f t="shared" si="33"/>
        <v/>
      </c>
      <c r="W107" s="468" t="str">
        <f t="shared" si="34"/>
        <v/>
      </c>
      <c r="X107" s="468" t="str">
        <f t="shared" si="35"/>
        <v/>
      </c>
      <c r="Y107" s="283" t="str">
        <f t="shared" si="36"/>
        <v/>
      </c>
    </row>
    <row r="108" spans="1:25" ht="16.350000000000001" customHeight="1">
      <c r="A108" s="175">
        <f t="shared" si="21"/>
        <v>2022</v>
      </c>
      <c r="B108" s="454" t="str">
        <f t="shared" si="22"/>
        <v>51</v>
      </c>
      <c r="C108" s="454" t="str">
        <f t="array" ref="C108">_xlfn.IFS(_xlfn.NUMBERVALUE(B108)&lt;=13,"Q1",AND(_xlfn.NUMBERVALUE(B108)&gt;13,_xlfn.NUMBERVALUE(B108)&lt;=26),"Q2", AND(_xlfn.NUMBERVALUE(B108)&gt;26,_xlfn.NUMBERVALUE(B108)&lt;=39),"Q3",_xlfn.NUMBERVALUE(B108)&gt;39,"Q4")</f>
        <v>Q4</v>
      </c>
      <c r="D108" s="448">
        <f t="shared" si="37"/>
        <v>44576</v>
      </c>
      <c r="E108" s="448">
        <f t="shared" si="23"/>
        <v>44582</v>
      </c>
      <c r="F108" s="533">
        <v>202151</v>
      </c>
      <c r="G108" s="180">
        <f t="shared" si="24"/>
        <v>0</v>
      </c>
      <c r="H108" s="429"/>
      <c r="I108" s="429"/>
      <c r="J108" s="429"/>
      <c r="K108" s="180">
        <f t="shared" si="38"/>
        <v>0</v>
      </c>
      <c r="L108" s="429"/>
      <c r="M108" s="429"/>
      <c r="N108" s="532"/>
      <c r="O108" s="186" t="str">
        <f t="shared" si="26"/>
        <v/>
      </c>
      <c r="P108" s="468" t="str">
        <f t="shared" si="27"/>
        <v/>
      </c>
      <c r="Q108" s="468" t="str">
        <f t="shared" si="28"/>
        <v/>
      </c>
      <c r="R108" s="186" t="str">
        <f t="shared" si="39"/>
        <v/>
      </c>
      <c r="S108" s="468" t="str">
        <f t="shared" si="40"/>
        <v/>
      </c>
      <c r="T108" s="468" t="str">
        <f t="shared" si="41"/>
        <v/>
      </c>
      <c r="U108" s="186" t="str">
        <f t="shared" si="32"/>
        <v/>
      </c>
      <c r="V108" s="468" t="str">
        <f t="shared" si="33"/>
        <v/>
      </c>
      <c r="W108" s="468" t="str">
        <f t="shared" si="34"/>
        <v/>
      </c>
      <c r="X108" s="468" t="str">
        <f t="shared" si="35"/>
        <v/>
      </c>
      <c r="Y108" s="283" t="str">
        <f t="shared" si="36"/>
        <v/>
      </c>
    </row>
    <row r="109" spans="1:25" ht="16.350000000000001" customHeight="1">
      <c r="A109" s="175">
        <f t="shared" si="21"/>
        <v>2022</v>
      </c>
      <c r="B109" s="454" t="str">
        <f t="shared" si="22"/>
        <v>52</v>
      </c>
      <c r="C109" s="454" t="str">
        <f t="array" ref="C109">_xlfn.IFS(_xlfn.NUMBERVALUE(B109)&lt;=13,"Q1",AND(_xlfn.NUMBERVALUE(B109)&gt;13,_xlfn.NUMBERVALUE(B109)&lt;=26),"Q2", AND(_xlfn.NUMBERVALUE(B109)&gt;26,_xlfn.NUMBERVALUE(B109)&lt;=39),"Q3",_xlfn.NUMBERVALUE(B109)&gt;39,"Q4")</f>
        <v>Q4</v>
      </c>
      <c r="D109" s="448">
        <f t="shared" si="37"/>
        <v>44583</v>
      </c>
      <c r="E109" s="448">
        <f t="shared" si="23"/>
        <v>44589</v>
      </c>
      <c r="F109" s="533">
        <v>202152</v>
      </c>
      <c r="G109" s="180">
        <f t="shared" si="24"/>
        <v>0</v>
      </c>
      <c r="H109" s="429"/>
      <c r="I109" s="429"/>
      <c r="J109" s="429"/>
      <c r="K109" s="180">
        <f t="shared" si="38"/>
        <v>0</v>
      </c>
      <c r="L109" s="429"/>
      <c r="M109" s="429"/>
      <c r="N109" s="532"/>
      <c r="O109" s="186" t="str">
        <f t="shared" si="26"/>
        <v/>
      </c>
      <c r="P109" s="468" t="str">
        <f t="shared" si="27"/>
        <v/>
      </c>
      <c r="Q109" s="468" t="str">
        <f t="shared" si="28"/>
        <v/>
      </c>
      <c r="R109" s="186" t="str">
        <f t="shared" si="39"/>
        <v/>
      </c>
      <c r="S109" s="468" t="str">
        <f t="shared" si="40"/>
        <v/>
      </c>
      <c r="T109" s="468" t="str">
        <f t="shared" si="41"/>
        <v/>
      </c>
      <c r="U109" s="186" t="str">
        <f t="shared" si="32"/>
        <v/>
      </c>
      <c r="V109" s="468" t="str">
        <f t="shared" si="33"/>
        <v/>
      </c>
      <c r="W109" s="468" t="str">
        <f t="shared" si="34"/>
        <v/>
      </c>
      <c r="X109" s="468" t="str">
        <f t="shared" si="35"/>
        <v/>
      </c>
      <c r="Y109" s="283" t="str">
        <f t="shared" si="36"/>
        <v/>
      </c>
    </row>
    <row r="110" spans="1:25" ht="16.350000000000001" customHeight="1">
      <c r="A110" s="175">
        <f t="shared" si="21"/>
        <v>2023</v>
      </c>
      <c r="B110" s="454" t="str">
        <f t="shared" si="22"/>
        <v>01</v>
      </c>
      <c r="C110" s="454" t="str">
        <f t="array" ref="C110">_xlfn.IFS(_xlfn.NUMBERVALUE(B110)&lt;=13,"Q1",AND(_xlfn.NUMBERVALUE(B110)&gt;13,_xlfn.NUMBERVALUE(B110)&lt;=26),"Q2", AND(_xlfn.NUMBERVALUE(B110)&gt;26,_xlfn.NUMBERVALUE(B110)&lt;=39),"Q3",_xlfn.NUMBERVALUE(B110)&gt;39,"Q4")</f>
        <v>Q1</v>
      </c>
      <c r="D110" s="448">
        <f t="shared" si="37"/>
        <v>44590</v>
      </c>
      <c r="E110" s="448">
        <f t="shared" si="23"/>
        <v>44596</v>
      </c>
      <c r="F110" s="79">
        <v>202201</v>
      </c>
      <c r="G110" s="180">
        <f t="shared" si="24"/>
        <v>0</v>
      </c>
      <c r="H110" s="429"/>
      <c r="I110" s="429"/>
      <c r="J110" s="429"/>
      <c r="K110" s="180">
        <f t="shared" si="38"/>
        <v>0</v>
      </c>
      <c r="L110" s="429"/>
      <c r="M110" s="429"/>
      <c r="N110" s="532"/>
      <c r="O110" s="186" t="str">
        <f t="shared" si="26"/>
        <v/>
      </c>
      <c r="P110" s="468" t="str">
        <f t="shared" si="27"/>
        <v/>
      </c>
      <c r="Q110" s="468" t="str">
        <f t="shared" si="28"/>
        <v/>
      </c>
      <c r="R110" s="186" t="str">
        <f t="shared" si="39"/>
        <v/>
      </c>
      <c r="S110" s="468" t="str">
        <f t="shared" si="40"/>
        <v/>
      </c>
      <c r="T110" s="468" t="str">
        <f t="shared" si="41"/>
        <v/>
      </c>
      <c r="U110" s="186" t="str">
        <f t="shared" si="32"/>
        <v/>
      </c>
      <c r="V110" s="468" t="str">
        <f t="shared" si="33"/>
        <v/>
      </c>
      <c r="W110" s="468" t="str">
        <f t="shared" si="34"/>
        <v/>
      </c>
      <c r="X110" s="468" t="str">
        <f t="shared" si="35"/>
        <v/>
      </c>
      <c r="Y110" s="283" t="str">
        <f t="shared" si="36"/>
        <v/>
      </c>
    </row>
    <row r="111" spans="1:25" ht="16.350000000000001" customHeight="1">
      <c r="A111" s="175">
        <f t="shared" si="21"/>
        <v>2023</v>
      </c>
      <c r="B111" s="454" t="str">
        <f t="shared" si="22"/>
        <v>02</v>
      </c>
      <c r="C111" s="454" t="str">
        <f t="array" ref="C111">_xlfn.IFS(_xlfn.NUMBERVALUE(B111)&lt;=13,"Q1",AND(_xlfn.NUMBERVALUE(B111)&gt;13,_xlfn.NUMBERVALUE(B111)&lt;=26),"Q2", AND(_xlfn.NUMBERVALUE(B111)&gt;26,_xlfn.NUMBERVALUE(B111)&lt;=39),"Q3",_xlfn.NUMBERVALUE(B111)&gt;39,"Q4")</f>
        <v>Q1</v>
      </c>
      <c r="D111" s="448">
        <f t="shared" si="37"/>
        <v>44597</v>
      </c>
      <c r="E111" s="448">
        <f t="shared" si="23"/>
        <v>44603</v>
      </c>
      <c r="F111" s="79">
        <v>202202</v>
      </c>
      <c r="G111" s="180">
        <f t="shared" si="24"/>
        <v>0</v>
      </c>
      <c r="H111" s="429"/>
      <c r="I111" s="429"/>
      <c r="J111" s="429"/>
      <c r="K111" s="180">
        <f t="shared" si="38"/>
        <v>0</v>
      </c>
      <c r="L111" s="429"/>
      <c r="M111" s="429"/>
      <c r="N111" s="532"/>
      <c r="O111" s="186" t="str">
        <f t="shared" si="26"/>
        <v/>
      </c>
      <c r="P111" s="468" t="str">
        <f t="shared" si="27"/>
        <v/>
      </c>
      <c r="Q111" s="468" t="str">
        <f t="shared" si="28"/>
        <v/>
      </c>
      <c r="R111" s="186" t="str">
        <f t="shared" si="39"/>
        <v/>
      </c>
      <c r="S111" s="468" t="str">
        <f t="shared" si="40"/>
        <v/>
      </c>
      <c r="T111" s="468" t="str">
        <f t="shared" si="41"/>
        <v/>
      </c>
      <c r="U111" s="186" t="str">
        <f t="shared" si="32"/>
        <v/>
      </c>
      <c r="V111" s="468" t="str">
        <f t="shared" si="33"/>
        <v/>
      </c>
      <c r="W111" s="468" t="str">
        <f t="shared" si="34"/>
        <v/>
      </c>
      <c r="X111" s="468" t="str">
        <f t="shared" si="35"/>
        <v/>
      </c>
      <c r="Y111" s="283" t="str">
        <f t="shared" si="36"/>
        <v/>
      </c>
    </row>
    <row r="112" spans="1:25" ht="15.6" customHeight="1">
      <c r="A112" s="175">
        <f t="shared" si="21"/>
        <v>2023</v>
      </c>
      <c r="B112" s="454" t="str">
        <f t="shared" si="22"/>
        <v>03</v>
      </c>
      <c r="C112" s="454" t="str">
        <f t="array" ref="C112">_xlfn.IFS(_xlfn.NUMBERVALUE(B112)&lt;=13,"Q1",AND(_xlfn.NUMBERVALUE(B112)&gt;13,_xlfn.NUMBERVALUE(B112)&lt;=26),"Q2", AND(_xlfn.NUMBERVALUE(B112)&gt;26,_xlfn.NUMBERVALUE(B112)&lt;=39),"Q3",_xlfn.NUMBERVALUE(B112)&gt;39,"Q4")</f>
        <v>Q1</v>
      </c>
      <c r="D112" s="448">
        <f t="shared" si="37"/>
        <v>44604</v>
      </c>
      <c r="E112" s="448">
        <f t="shared" si="23"/>
        <v>44610</v>
      </c>
      <c r="F112" s="79">
        <v>202203</v>
      </c>
      <c r="G112" s="180">
        <f t="shared" si="24"/>
        <v>0</v>
      </c>
      <c r="H112" s="429"/>
      <c r="I112" s="429"/>
      <c r="J112" s="429"/>
      <c r="K112" s="180">
        <f t="shared" si="38"/>
        <v>0</v>
      </c>
      <c r="L112" s="429"/>
      <c r="M112" s="429"/>
      <c r="N112" s="532"/>
      <c r="O112" s="186" t="str">
        <f t="shared" si="26"/>
        <v/>
      </c>
      <c r="P112" s="468" t="str">
        <f t="shared" si="27"/>
        <v/>
      </c>
      <c r="Q112" s="468" t="str">
        <f t="shared" si="28"/>
        <v/>
      </c>
      <c r="R112" s="186" t="str">
        <f t="shared" si="39"/>
        <v/>
      </c>
      <c r="S112" s="468" t="str">
        <f t="shared" si="40"/>
        <v/>
      </c>
      <c r="T112" s="468" t="str">
        <f t="shared" si="41"/>
        <v/>
      </c>
      <c r="U112" s="186" t="str">
        <f t="shared" si="32"/>
        <v/>
      </c>
      <c r="V112" s="468" t="str">
        <f t="shared" si="33"/>
        <v/>
      </c>
      <c r="W112" s="468" t="str">
        <f t="shared" si="34"/>
        <v/>
      </c>
      <c r="X112" s="468" t="str">
        <f t="shared" si="35"/>
        <v/>
      </c>
      <c r="Y112" s="283" t="str">
        <f t="shared" si="36"/>
        <v/>
      </c>
    </row>
    <row r="113" spans="1:25" ht="15.6" customHeight="1">
      <c r="A113" s="175">
        <f t="shared" si="21"/>
        <v>2023</v>
      </c>
      <c r="B113" s="454" t="str">
        <f t="shared" si="22"/>
        <v>04</v>
      </c>
      <c r="C113" s="454" t="str">
        <f t="array" ref="C113">_xlfn.IFS(_xlfn.NUMBERVALUE(B113)&lt;=13,"Q1",AND(_xlfn.NUMBERVALUE(B113)&gt;13,_xlfn.NUMBERVALUE(B113)&lt;=26),"Q2", AND(_xlfn.NUMBERVALUE(B113)&gt;26,_xlfn.NUMBERVALUE(B113)&lt;=39),"Q3",_xlfn.NUMBERVALUE(B113)&gt;39,"Q4")</f>
        <v>Q1</v>
      </c>
      <c r="D113" s="448">
        <f t="shared" si="37"/>
        <v>44611</v>
      </c>
      <c r="E113" s="448">
        <f t="shared" si="23"/>
        <v>44617</v>
      </c>
      <c r="F113" s="79">
        <v>202204</v>
      </c>
      <c r="G113" s="180">
        <f t="shared" si="24"/>
        <v>0</v>
      </c>
      <c r="H113" s="429"/>
      <c r="I113" s="429"/>
      <c r="J113" s="429"/>
      <c r="K113" s="180">
        <f t="shared" si="38"/>
        <v>0</v>
      </c>
      <c r="L113" s="429"/>
      <c r="M113" s="429"/>
      <c r="N113" s="532"/>
      <c r="O113" s="186" t="str">
        <f t="shared" si="26"/>
        <v/>
      </c>
      <c r="P113" s="468" t="str">
        <f t="shared" si="27"/>
        <v/>
      </c>
      <c r="Q113" s="468" t="str">
        <f t="shared" si="28"/>
        <v/>
      </c>
      <c r="R113" s="186" t="str">
        <f t="shared" si="39"/>
        <v/>
      </c>
      <c r="S113" s="468" t="str">
        <f t="shared" si="40"/>
        <v/>
      </c>
      <c r="T113" s="468" t="str">
        <f t="shared" si="41"/>
        <v/>
      </c>
      <c r="U113" s="186" t="str">
        <f t="shared" si="32"/>
        <v/>
      </c>
      <c r="V113" s="468" t="str">
        <f t="shared" si="33"/>
        <v/>
      </c>
      <c r="W113" s="468" t="str">
        <f t="shared" si="34"/>
        <v/>
      </c>
      <c r="X113" s="468" t="str">
        <f t="shared" si="35"/>
        <v/>
      </c>
      <c r="Y113" s="283" t="str">
        <f t="shared" si="36"/>
        <v/>
      </c>
    </row>
    <row r="114" spans="1:25" ht="15.6" customHeight="1">
      <c r="A114" s="175">
        <f t="shared" si="21"/>
        <v>2023</v>
      </c>
      <c r="B114" s="454" t="str">
        <f t="shared" si="22"/>
        <v>05</v>
      </c>
      <c r="C114" s="454" t="str">
        <f t="array" ref="C114">_xlfn.IFS(_xlfn.NUMBERVALUE(B114)&lt;=13,"Q1",AND(_xlfn.NUMBERVALUE(B114)&gt;13,_xlfn.NUMBERVALUE(B114)&lt;=26),"Q2", AND(_xlfn.NUMBERVALUE(B114)&gt;26,_xlfn.NUMBERVALUE(B114)&lt;=39),"Q3",_xlfn.NUMBERVALUE(B114)&gt;39,"Q4")</f>
        <v>Q1</v>
      </c>
      <c r="D114" s="448">
        <f t="shared" si="37"/>
        <v>44618</v>
      </c>
      <c r="E114" s="448">
        <f t="shared" si="23"/>
        <v>44624</v>
      </c>
      <c r="F114" s="79">
        <v>202205</v>
      </c>
      <c r="G114" s="180">
        <f t="shared" si="24"/>
        <v>0</v>
      </c>
      <c r="H114" s="429"/>
      <c r="I114" s="429"/>
      <c r="J114" s="429"/>
      <c r="K114" s="180">
        <f t="shared" si="38"/>
        <v>0</v>
      </c>
      <c r="L114" s="429"/>
      <c r="M114" s="429"/>
      <c r="N114" s="532"/>
      <c r="O114" s="186" t="str">
        <f t="shared" si="26"/>
        <v/>
      </c>
      <c r="P114" s="468" t="str">
        <f t="shared" si="27"/>
        <v/>
      </c>
      <c r="Q114" s="468" t="str">
        <f t="shared" si="28"/>
        <v/>
      </c>
      <c r="R114" s="186" t="str">
        <f t="shared" si="39"/>
        <v/>
      </c>
      <c r="S114" s="468" t="str">
        <f t="shared" si="40"/>
        <v/>
      </c>
      <c r="T114" s="468" t="str">
        <f t="shared" si="41"/>
        <v/>
      </c>
      <c r="U114" s="186" t="str">
        <f t="shared" si="32"/>
        <v/>
      </c>
      <c r="V114" s="468" t="str">
        <f t="shared" si="33"/>
        <v/>
      </c>
      <c r="W114" s="468" t="str">
        <f t="shared" si="34"/>
        <v/>
      </c>
      <c r="X114" s="468" t="str">
        <f t="shared" si="35"/>
        <v/>
      </c>
      <c r="Y114" s="283" t="str">
        <f t="shared" si="36"/>
        <v/>
      </c>
    </row>
    <row r="115" spans="1:25" ht="16.350000000000001" customHeight="1">
      <c r="A115" s="175">
        <f t="shared" si="21"/>
        <v>2023</v>
      </c>
      <c r="B115" s="454" t="str">
        <f t="shared" si="22"/>
        <v>06</v>
      </c>
      <c r="C115" s="454" t="str">
        <f t="array" ref="C115">_xlfn.IFS(_xlfn.NUMBERVALUE(B115)&lt;=13,"Q1",AND(_xlfn.NUMBERVALUE(B115)&gt;13,_xlfn.NUMBERVALUE(B115)&lt;=26),"Q2", AND(_xlfn.NUMBERVALUE(B115)&gt;26,_xlfn.NUMBERVALUE(B115)&lt;=39),"Q3",_xlfn.NUMBERVALUE(B115)&gt;39,"Q4")</f>
        <v>Q1</v>
      </c>
      <c r="D115" s="448">
        <f t="shared" si="37"/>
        <v>44625</v>
      </c>
      <c r="E115" s="448">
        <f t="shared" si="23"/>
        <v>44631</v>
      </c>
      <c r="F115" s="79">
        <v>202206</v>
      </c>
      <c r="G115" s="180">
        <f t="shared" si="24"/>
        <v>0</v>
      </c>
      <c r="H115" s="429"/>
      <c r="I115" s="429"/>
      <c r="J115" s="429"/>
      <c r="K115" s="180">
        <f t="shared" si="38"/>
        <v>0</v>
      </c>
      <c r="L115" s="429"/>
      <c r="M115" s="429"/>
      <c r="N115" s="532"/>
      <c r="O115" s="186" t="str">
        <f t="shared" si="26"/>
        <v/>
      </c>
      <c r="P115" s="468" t="str">
        <f t="shared" si="27"/>
        <v/>
      </c>
      <c r="Q115" s="468" t="str">
        <f t="shared" si="28"/>
        <v/>
      </c>
      <c r="R115" s="186" t="str">
        <f t="shared" si="39"/>
        <v/>
      </c>
      <c r="S115" s="468" t="str">
        <f t="shared" si="40"/>
        <v/>
      </c>
      <c r="T115" s="468" t="str">
        <f t="shared" si="41"/>
        <v/>
      </c>
      <c r="U115" s="186" t="str">
        <f t="shared" si="32"/>
        <v/>
      </c>
      <c r="V115" s="468" t="str">
        <f t="shared" si="33"/>
        <v/>
      </c>
      <c r="W115" s="468" t="str">
        <f t="shared" si="34"/>
        <v/>
      </c>
      <c r="X115" s="468" t="str">
        <f t="shared" si="35"/>
        <v/>
      </c>
      <c r="Y115" s="283" t="str">
        <f t="shared" si="36"/>
        <v/>
      </c>
    </row>
    <row r="116" spans="1:25" ht="16.350000000000001" customHeight="1">
      <c r="A116" s="175">
        <f t="shared" si="21"/>
        <v>2023</v>
      </c>
      <c r="B116" s="454" t="str">
        <f t="shared" si="22"/>
        <v>07</v>
      </c>
      <c r="C116" s="454" t="str">
        <f t="array" ref="C116">_xlfn.IFS(_xlfn.NUMBERVALUE(B116)&lt;=13,"Q1",AND(_xlfn.NUMBERVALUE(B116)&gt;13,_xlfn.NUMBERVALUE(B116)&lt;=26),"Q2", AND(_xlfn.NUMBERVALUE(B116)&gt;26,_xlfn.NUMBERVALUE(B116)&lt;=39),"Q3",_xlfn.NUMBERVALUE(B116)&gt;39,"Q4")</f>
        <v>Q1</v>
      </c>
      <c r="D116" s="448">
        <f t="shared" si="37"/>
        <v>44632</v>
      </c>
      <c r="E116" s="448">
        <f t="shared" si="23"/>
        <v>44638</v>
      </c>
      <c r="F116" s="79">
        <v>202207</v>
      </c>
      <c r="G116" s="180">
        <f t="shared" si="24"/>
        <v>0</v>
      </c>
      <c r="H116" s="429"/>
      <c r="I116" s="429"/>
      <c r="J116" s="429"/>
      <c r="K116" s="180">
        <f t="shared" si="38"/>
        <v>0</v>
      </c>
      <c r="L116" s="429"/>
      <c r="M116" s="429"/>
      <c r="N116" s="532"/>
      <c r="O116" s="186" t="str">
        <f t="shared" si="26"/>
        <v/>
      </c>
      <c r="P116" s="468" t="str">
        <f t="shared" si="27"/>
        <v/>
      </c>
      <c r="Q116" s="468" t="str">
        <f t="shared" si="28"/>
        <v/>
      </c>
      <c r="R116" s="186" t="str">
        <f t="shared" si="39"/>
        <v/>
      </c>
      <c r="S116" s="468" t="str">
        <f t="shared" si="40"/>
        <v/>
      </c>
      <c r="T116" s="468" t="str">
        <f t="shared" si="41"/>
        <v/>
      </c>
      <c r="U116" s="186" t="str">
        <f t="shared" si="32"/>
        <v/>
      </c>
      <c r="V116" s="468" t="str">
        <f t="shared" si="33"/>
        <v/>
      </c>
      <c r="W116" s="468" t="str">
        <f t="shared" si="34"/>
        <v/>
      </c>
      <c r="X116" s="468" t="str">
        <f t="shared" si="35"/>
        <v/>
      </c>
      <c r="Y116" s="283" t="str">
        <f t="shared" si="36"/>
        <v/>
      </c>
    </row>
    <row r="117" spans="1:25" ht="16.350000000000001" customHeight="1">
      <c r="A117" s="175">
        <f t="shared" si="21"/>
        <v>2023</v>
      </c>
      <c r="B117" s="454" t="str">
        <f t="shared" si="22"/>
        <v>08</v>
      </c>
      <c r="C117" s="454" t="str">
        <f t="array" ref="C117">_xlfn.IFS(_xlfn.NUMBERVALUE(B117)&lt;=13,"Q1",AND(_xlfn.NUMBERVALUE(B117)&gt;13,_xlfn.NUMBERVALUE(B117)&lt;=26),"Q2", AND(_xlfn.NUMBERVALUE(B117)&gt;26,_xlfn.NUMBERVALUE(B117)&lt;=39),"Q3",_xlfn.NUMBERVALUE(B117)&gt;39,"Q4")</f>
        <v>Q1</v>
      </c>
      <c r="D117" s="448">
        <f t="shared" si="37"/>
        <v>44639</v>
      </c>
      <c r="E117" s="448">
        <f t="shared" si="23"/>
        <v>44645</v>
      </c>
      <c r="F117" s="79">
        <v>202208</v>
      </c>
      <c r="G117" s="180">
        <f t="shared" si="24"/>
        <v>0</v>
      </c>
      <c r="H117" s="429"/>
      <c r="I117" s="429"/>
      <c r="J117" s="429"/>
      <c r="K117" s="180">
        <f t="shared" si="38"/>
        <v>0</v>
      </c>
      <c r="L117" s="429"/>
      <c r="M117" s="429"/>
      <c r="N117" s="532"/>
      <c r="O117" s="186" t="str">
        <f t="shared" si="26"/>
        <v/>
      </c>
      <c r="P117" s="468" t="str">
        <f t="shared" si="27"/>
        <v/>
      </c>
      <c r="Q117" s="468" t="str">
        <f t="shared" si="28"/>
        <v/>
      </c>
      <c r="R117" s="186" t="str">
        <f t="shared" si="39"/>
        <v/>
      </c>
      <c r="S117" s="468" t="str">
        <f t="shared" si="40"/>
        <v/>
      </c>
      <c r="T117" s="468" t="str">
        <f t="shared" si="41"/>
        <v/>
      </c>
      <c r="U117" s="186" t="str">
        <f t="shared" si="32"/>
        <v/>
      </c>
      <c r="V117" s="468" t="str">
        <f t="shared" si="33"/>
        <v/>
      </c>
      <c r="W117" s="468" t="str">
        <f t="shared" si="34"/>
        <v/>
      </c>
      <c r="X117" s="468" t="str">
        <f t="shared" si="35"/>
        <v/>
      </c>
      <c r="Y117" s="283" t="str">
        <f t="shared" si="36"/>
        <v/>
      </c>
    </row>
    <row r="118" spans="1:25" ht="16.350000000000001" customHeight="1">
      <c r="A118" s="175">
        <f t="shared" si="21"/>
        <v>2023</v>
      </c>
      <c r="B118" s="454" t="str">
        <f t="shared" si="22"/>
        <v>09</v>
      </c>
      <c r="C118" s="454" t="str">
        <f t="array" ref="C118">_xlfn.IFS(_xlfn.NUMBERVALUE(B118)&lt;=13,"Q1",AND(_xlfn.NUMBERVALUE(B118)&gt;13,_xlfn.NUMBERVALUE(B118)&lt;=26),"Q2", AND(_xlfn.NUMBERVALUE(B118)&gt;26,_xlfn.NUMBERVALUE(B118)&lt;=39),"Q3",_xlfn.NUMBERVALUE(B118)&gt;39,"Q4")</f>
        <v>Q1</v>
      </c>
      <c r="D118" s="448">
        <f t="shared" si="37"/>
        <v>44646</v>
      </c>
      <c r="E118" s="448">
        <f t="shared" si="23"/>
        <v>44652</v>
      </c>
      <c r="F118" s="79">
        <v>202209</v>
      </c>
      <c r="G118" s="180">
        <f t="shared" si="24"/>
        <v>0</v>
      </c>
      <c r="H118" s="429"/>
      <c r="I118" s="429"/>
      <c r="J118" s="429"/>
      <c r="K118" s="180">
        <f t="shared" si="38"/>
        <v>0</v>
      </c>
      <c r="L118" s="429"/>
      <c r="M118" s="429"/>
      <c r="N118" s="532"/>
      <c r="O118" s="186" t="str">
        <f t="shared" si="26"/>
        <v/>
      </c>
      <c r="P118" s="468" t="str">
        <f t="shared" si="27"/>
        <v/>
      </c>
      <c r="Q118" s="468" t="str">
        <f t="shared" si="28"/>
        <v/>
      </c>
      <c r="R118" s="186" t="str">
        <f t="shared" si="39"/>
        <v/>
      </c>
      <c r="S118" s="468" t="str">
        <f t="shared" si="40"/>
        <v/>
      </c>
      <c r="T118" s="468" t="str">
        <f t="shared" si="41"/>
        <v/>
      </c>
      <c r="U118" s="186" t="str">
        <f t="shared" si="32"/>
        <v/>
      </c>
      <c r="V118" s="468" t="str">
        <f t="shared" si="33"/>
        <v/>
      </c>
      <c r="W118" s="468" t="str">
        <f t="shared" si="34"/>
        <v/>
      </c>
      <c r="X118" s="468" t="str">
        <f t="shared" si="35"/>
        <v/>
      </c>
      <c r="Y118" s="283" t="str">
        <f t="shared" si="36"/>
        <v/>
      </c>
    </row>
    <row r="119" spans="1:25" ht="16.350000000000001" customHeight="1">
      <c r="A119" s="175">
        <f t="shared" si="21"/>
        <v>2023</v>
      </c>
      <c r="B119" s="454" t="str">
        <f t="shared" si="22"/>
        <v>10</v>
      </c>
      <c r="C119" s="454" t="str">
        <f t="array" ref="C119">_xlfn.IFS(_xlfn.NUMBERVALUE(B119)&lt;=13,"Q1",AND(_xlfn.NUMBERVALUE(B119)&gt;13,_xlfn.NUMBERVALUE(B119)&lt;=26),"Q2", AND(_xlfn.NUMBERVALUE(B119)&gt;26,_xlfn.NUMBERVALUE(B119)&lt;=39),"Q3",_xlfn.NUMBERVALUE(B119)&gt;39,"Q4")</f>
        <v>Q1</v>
      </c>
      <c r="D119" s="448">
        <f t="shared" si="37"/>
        <v>44653</v>
      </c>
      <c r="E119" s="448">
        <f t="shared" si="23"/>
        <v>44659</v>
      </c>
      <c r="F119" s="79">
        <v>202210</v>
      </c>
      <c r="G119" s="180">
        <f t="shared" si="24"/>
        <v>0</v>
      </c>
      <c r="H119" s="429"/>
      <c r="I119" s="429"/>
      <c r="J119" s="429"/>
      <c r="K119" s="180">
        <f t="shared" si="38"/>
        <v>0</v>
      </c>
      <c r="L119" s="429"/>
      <c r="M119" s="429"/>
      <c r="N119" s="532"/>
      <c r="O119" s="186" t="str">
        <f t="shared" si="26"/>
        <v/>
      </c>
      <c r="P119" s="468" t="str">
        <f t="shared" si="27"/>
        <v/>
      </c>
      <c r="Q119" s="468" t="str">
        <f t="shared" si="28"/>
        <v/>
      </c>
      <c r="R119" s="186" t="str">
        <f t="shared" si="39"/>
        <v/>
      </c>
      <c r="S119" s="468" t="str">
        <f t="shared" si="40"/>
        <v/>
      </c>
      <c r="T119" s="468" t="str">
        <f t="shared" si="41"/>
        <v/>
      </c>
      <c r="U119" s="186" t="str">
        <f t="shared" si="32"/>
        <v/>
      </c>
      <c r="V119" s="468" t="str">
        <f t="shared" si="33"/>
        <v/>
      </c>
      <c r="W119" s="468" t="str">
        <f t="shared" si="34"/>
        <v/>
      </c>
      <c r="X119" s="468" t="str">
        <f t="shared" si="35"/>
        <v/>
      </c>
      <c r="Y119" s="283" t="str">
        <f t="shared" si="36"/>
        <v/>
      </c>
    </row>
    <row r="120" spans="1:25" ht="16.350000000000001" customHeight="1">
      <c r="A120" s="175">
        <f t="shared" si="21"/>
        <v>2023</v>
      </c>
      <c r="B120" s="454" t="str">
        <f t="shared" si="22"/>
        <v>11</v>
      </c>
      <c r="C120" s="454" t="str">
        <f t="array" ref="C120">_xlfn.IFS(_xlfn.NUMBERVALUE(B120)&lt;=13,"Q1",AND(_xlfn.NUMBERVALUE(B120)&gt;13,_xlfn.NUMBERVALUE(B120)&lt;=26),"Q2", AND(_xlfn.NUMBERVALUE(B120)&gt;26,_xlfn.NUMBERVALUE(B120)&lt;=39),"Q3",_xlfn.NUMBERVALUE(B120)&gt;39,"Q4")</f>
        <v>Q1</v>
      </c>
      <c r="D120" s="448">
        <f t="shared" si="37"/>
        <v>44660</v>
      </c>
      <c r="E120" s="448">
        <f t="shared" si="23"/>
        <v>44666</v>
      </c>
      <c r="F120" s="79">
        <v>202211</v>
      </c>
      <c r="G120" s="180">
        <f t="shared" si="24"/>
        <v>0</v>
      </c>
      <c r="H120" s="429"/>
      <c r="I120" s="429"/>
      <c r="J120" s="429"/>
      <c r="K120" s="180">
        <f t="shared" si="38"/>
        <v>0</v>
      </c>
      <c r="L120" s="429"/>
      <c r="M120" s="429"/>
      <c r="N120" s="532"/>
      <c r="O120" s="186" t="str">
        <f t="shared" si="26"/>
        <v/>
      </c>
      <c r="P120" s="468" t="str">
        <f t="shared" si="27"/>
        <v/>
      </c>
      <c r="Q120" s="468" t="str">
        <f t="shared" si="28"/>
        <v/>
      </c>
      <c r="R120" s="186" t="str">
        <f t="shared" si="39"/>
        <v/>
      </c>
      <c r="S120" s="468" t="str">
        <f t="shared" si="40"/>
        <v/>
      </c>
      <c r="T120" s="468" t="str">
        <f t="shared" si="41"/>
        <v/>
      </c>
      <c r="U120" s="186" t="str">
        <f t="shared" si="32"/>
        <v/>
      </c>
      <c r="V120" s="468" t="str">
        <f t="shared" si="33"/>
        <v/>
      </c>
      <c r="W120" s="468" t="str">
        <f t="shared" si="34"/>
        <v/>
      </c>
      <c r="X120" s="468" t="str">
        <f t="shared" si="35"/>
        <v/>
      </c>
      <c r="Y120" s="283" t="str">
        <f t="shared" si="36"/>
        <v/>
      </c>
    </row>
    <row r="121" spans="1:25" ht="16.350000000000001" customHeight="1">
      <c r="A121" s="175">
        <f t="shared" si="21"/>
        <v>2023</v>
      </c>
      <c r="B121" s="454" t="str">
        <f t="shared" si="22"/>
        <v>12</v>
      </c>
      <c r="C121" s="454" t="str">
        <f t="array" ref="C121">_xlfn.IFS(_xlfn.NUMBERVALUE(B121)&lt;=13,"Q1",AND(_xlfn.NUMBERVALUE(B121)&gt;13,_xlfn.NUMBERVALUE(B121)&lt;=26),"Q2", AND(_xlfn.NUMBERVALUE(B121)&gt;26,_xlfn.NUMBERVALUE(B121)&lt;=39),"Q3",_xlfn.NUMBERVALUE(B121)&gt;39,"Q4")</f>
        <v>Q1</v>
      </c>
      <c r="D121" s="448">
        <f t="shared" si="37"/>
        <v>44667</v>
      </c>
      <c r="E121" s="448">
        <f t="shared" si="23"/>
        <v>44673</v>
      </c>
      <c r="F121" s="79">
        <v>202212</v>
      </c>
      <c r="G121" s="180">
        <f t="shared" si="24"/>
        <v>0</v>
      </c>
      <c r="H121" s="429"/>
      <c r="I121" s="429"/>
      <c r="J121" s="429"/>
      <c r="K121" s="180">
        <f t="shared" si="38"/>
        <v>0</v>
      </c>
      <c r="L121" s="429"/>
      <c r="M121" s="429"/>
      <c r="N121" s="532"/>
      <c r="O121" s="186" t="str">
        <f t="shared" si="26"/>
        <v/>
      </c>
      <c r="P121" s="468" t="str">
        <f t="shared" si="27"/>
        <v/>
      </c>
      <c r="Q121" s="468" t="str">
        <f t="shared" si="28"/>
        <v/>
      </c>
      <c r="R121" s="186" t="str">
        <f t="shared" si="39"/>
        <v/>
      </c>
      <c r="S121" s="468" t="str">
        <f t="shared" si="40"/>
        <v/>
      </c>
      <c r="T121" s="468" t="str">
        <f t="shared" si="41"/>
        <v/>
      </c>
      <c r="U121" s="186" t="str">
        <f t="shared" si="32"/>
        <v/>
      </c>
      <c r="V121" s="468" t="str">
        <f t="shared" si="33"/>
        <v/>
      </c>
      <c r="W121" s="468" t="str">
        <f t="shared" si="34"/>
        <v/>
      </c>
      <c r="X121" s="468" t="str">
        <f t="shared" si="35"/>
        <v/>
      </c>
      <c r="Y121" s="283" t="str">
        <f t="shared" si="36"/>
        <v/>
      </c>
    </row>
    <row r="122" spans="1:25" ht="16.350000000000001" customHeight="1">
      <c r="A122" s="175">
        <f t="shared" si="21"/>
        <v>2023</v>
      </c>
      <c r="B122" s="454" t="str">
        <f t="shared" si="22"/>
        <v>13</v>
      </c>
      <c r="C122" s="454" t="str">
        <f t="array" ref="C122">_xlfn.IFS(_xlfn.NUMBERVALUE(B122)&lt;=13,"Q1",AND(_xlfn.NUMBERVALUE(B122)&gt;13,_xlfn.NUMBERVALUE(B122)&lt;=26),"Q2", AND(_xlfn.NUMBERVALUE(B122)&gt;26,_xlfn.NUMBERVALUE(B122)&lt;=39),"Q3",_xlfn.NUMBERVALUE(B122)&gt;39,"Q4")</f>
        <v>Q1</v>
      </c>
      <c r="D122" s="448">
        <f t="shared" si="37"/>
        <v>44674</v>
      </c>
      <c r="E122" s="448">
        <f t="shared" si="23"/>
        <v>44680</v>
      </c>
      <c r="F122" s="79">
        <v>202213</v>
      </c>
      <c r="G122" s="180">
        <f t="shared" si="24"/>
        <v>0</v>
      </c>
      <c r="H122" s="429"/>
      <c r="I122" s="429"/>
      <c r="J122" s="429"/>
      <c r="K122" s="180">
        <v>15749882</v>
      </c>
      <c r="L122" s="429"/>
      <c r="M122" s="429"/>
      <c r="N122" s="532"/>
      <c r="O122" s="186" t="str">
        <f t="shared" si="26"/>
        <v/>
      </c>
      <c r="P122" s="468" t="str">
        <f t="shared" si="27"/>
        <v/>
      </c>
      <c r="Q122" s="468" t="str">
        <f t="shared" si="28"/>
        <v/>
      </c>
      <c r="R122" s="186">
        <v>0.14883438491793141</v>
      </c>
      <c r="S122" s="468">
        <v>0.40811740684787351</v>
      </c>
      <c r="T122" s="468">
        <v>0.44304820823419511</v>
      </c>
      <c r="U122" s="186" t="str">
        <f t="shared" si="32"/>
        <v/>
      </c>
      <c r="V122" s="468" t="str">
        <f t="shared" si="33"/>
        <v/>
      </c>
      <c r="W122" s="468" t="str">
        <f t="shared" si="34"/>
        <v/>
      </c>
      <c r="X122" s="468" t="str">
        <f t="shared" si="35"/>
        <v/>
      </c>
      <c r="Y122" s="283">
        <f t="shared" si="36"/>
        <v>0</v>
      </c>
    </row>
    <row r="123" spans="1:25" ht="16.350000000000001" customHeight="1">
      <c r="A123" s="175">
        <f t="shared" si="21"/>
        <v>2023</v>
      </c>
      <c r="B123" s="454" t="str">
        <f t="shared" si="22"/>
        <v>14</v>
      </c>
      <c r="C123" s="454" t="str">
        <f t="array" ref="C123">_xlfn.IFS(_xlfn.NUMBERVALUE(B123)&lt;=13,"Q1",AND(_xlfn.NUMBERVALUE(B123)&gt;13,_xlfn.NUMBERVALUE(B123)&lt;=26),"Q2", AND(_xlfn.NUMBERVALUE(B123)&gt;26,_xlfn.NUMBERVALUE(B123)&lt;=39),"Q3",_xlfn.NUMBERVALUE(B123)&gt;39,"Q4")</f>
        <v>Q2</v>
      </c>
      <c r="D123" s="448">
        <f t="shared" si="37"/>
        <v>44681</v>
      </c>
      <c r="E123" s="448">
        <f t="shared" si="23"/>
        <v>44687</v>
      </c>
      <c r="F123" s="79">
        <v>202214</v>
      </c>
      <c r="G123" s="180">
        <f t="shared" si="24"/>
        <v>0</v>
      </c>
      <c r="H123" s="429"/>
      <c r="I123" s="429"/>
      <c r="J123" s="429"/>
      <c r="K123" s="180">
        <f t="shared" ref="K123:K154" si="42">SUM(L123:N123)</f>
        <v>0</v>
      </c>
      <c r="L123" s="429"/>
      <c r="M123" s="429"/>
      <c r="N123" s="532"/>
      <c r="O123" s="186" t="str">
        <f t="shared" si="26"/>
        <v/>
      </c>
      <c r="P123" s="468" t="str">
        <f t="shared" si="27"/>
        <v/>
      </c>
      <c r="Q123" s="468" t="str">
        <f t="shared" si="28"/>
        <v/>
      </c>
      <c r="R123" s="186" t="str">
        <f t="shared" ref="R123:R154" si="43">IFERROR(L123/$K123,"")</f>
        <v/>
      </c>
      <c r="S123" s="468" t="str">
        <f t="shared" ref="S123:S154" si="44">IFERROR(M123/$K123,"")</f>
        <v/>
      </c>
      <c r="T123" s="468" t="str">
        <f t="shared" ref="T123:T154" si="45">IFERROR(N123/$K123,"")</f>
        <v/>
      </c>
      <c r="U123" s="186" t="str">
        <f t="shared" si="32"/>
        <v/>
      </c>
      <c r="V123" s="468" t="str">
        <f t="shared" si="33"/>
        <v/>
      </c>
      <c r="W123" s="468" t="str">
        <f t="shared" si="34"/>
        <v/>
      </c>
      <c r="X123" s="468" t="str">
        <f t="shared" si="35"/>
        <v/>
      </c>
      <c r="Y123" s="283" t="str">
        <f t="shared" si="36"/>
        <v/>
      </c>
    </row>
    <row r="124" spans="1:25" ht="16.350000000000001" customHeight="1">
      <c r="A124" s="175">
        <f t="shared" si="21"/>
        <v>2023</v>
      </c>
      <c r="B124" s="454" t="str">
        <f t="shared" si="22"/>
        <v>15</v>
      </c>
      <c r="C124" s="454" t="str">
        <f t="array" ref="C124">_xlfn.IFS(_xlfn.NUMBERVALUE(B124)&lt;=13,"Q1",AND(_xlfn.NUMBERVALUE(B124)&gt;13,_xlfn.NUMBERVALUE(B124)&lt;=26),"Q2", AND(_xlfn.NUMBERVALUE(B124)&gt;26,_xlfn.NUMBERVALUE(B124)&lt;=39),"Q3",_xlfn.NUMBERVALUE(B124)&gt;39,"Q4")</f>
        <v>Q2</v>
      </c>
      <c r="D124" s="448">
        <f t="shared" si="37"/>
        <v>44688</v>
      </c>
      <c r="E124" s="448">
        <f t="shared" si="23"/>
        <v>44694</v>
      </c>
      <c r="F124" s="79">
        <v>202215</v>
      </c>
      <c r="G124" s="180">
        <f t="shared" si="24"/>
        <v>0</v>
      </c>
      <c r="H124" s="429"/>
      <c r="I124" s="429"/>
      <c r="J124" s="429"/>
      <c r="K124" s="180">
        <f t="shared" si="42"/>
        <v>0</v>
      </c>
      <c r="L124" s="429"/>
      <c r="M124" s="429"/>
      <c r="N124" s="532"/>
      <c r="O124" s="186" t="str">
        <f t="shared" si="26"/>
        <v/>
      </c>
      <c r="P124" s="468" t="str">
        <f t="shared" si="27"/>
        <v/>
      </c>
      <c r="Q124" s="468" t="str">
        <f t="shared" si="28"/>
        <v/>
      </c>
      <c r="R124" s="186" t="str">
        <f t="shared" si="43"/>
        <v/>
      </c>
      <c r="S124" s="468" t="str">
        <f t="shared" si="44"/>
        <v/>
      </c>
      <c r="T124" s="468" t="str">
        <f t="shared" si="45"/>
        <v/>
      </c>
      <c r="U124" s="186" t="str">
        <f t="shared" si="32"/>
        <v/>
      </c>
      <c r="V124" s="468" t="str">
        <f t="shared" si="33"/>
        <v/>
      </c>
      <c r="W124" s="468" t="str">
        <f t="shared" si="34"/>
        <v/>
      </c>
      <c r="X124" s="468" t="str">
        <f t="shared" si="35"/>
        <v/>
      </c>
      <c r="Y124" s="283" t="str">
        <f t="shared" si="36"/>
        <v/>
      </c>
    </row>
    <row r="125" spans="1:25" ht="16.350000000000001" customHeight="1">
      <c r="A125" s="175">
        <f t="shared" si="21"/>
        <v>2023</v>
      </c>
      <c r="B125" s="454" t="str">
        <f t="shared" si="22"/>
        <v>16</v>
      </c>
      <c r="C125" s="454" t="str">
        <f t="array" ref="C125">_xlfn.IFS(_xlfn.NUMBERVALUE(B125)&lt;=13,"Q1",AND(_xlfn.NUMBERVALUE(B125)&gt;13,_xlfn.NUMBERVALUE(B125)&lt;=26),"Q2", AND(_xlfn.NUMBERVALUE(B125)&gt;26,_xlfn.NUMBERVALUE(B125)&lt;=39),"Q3",_xlfn.NUMBERVALUE(B125)&gt;39,"Q4")</f>
        <v>Q2</v>
      </c>
      <c r="D125" s="448">
        <f t="shared" si="37"/>
        <v>44695</v>
      </c>
      <c r="E125" s="448">
        <f t="shared" si="23"/>
        <v>44701</v>
      </c>
      <c r="F125" s="79">
        <v>202216</v>
      </c>
      <c r="G125" s="180">
        <f t="shared" si="24"/>
        <v>0</v>
      </c>
      <c r="H125" s="429"/>
      <c r="I125" s="429"/>
      <c r="J125" s="429"/>
      <c r="K125" s="180">
        <f t="shared" si="42"/>
        <v>0</v>
      </c>
      <c r="L125" s="429"/>
      <c r="M125" s="429"/>
      <c r="N125" s="532"/>
      <c r="O125" s="186" t="str">
        <f t="shared" si="26"/>
        <v/>
      </c>
      <c r="P125" s="468" t="str">
        <f t="shared" si="27"/>
        <v/>
      </c>
      <c r="Q125" s="468" t="str">
        <f t="shared" si="28"/>
        <v/>
      </c>
      <c r="R125" s="186" t="str">
        <f t="shared" si="43"/>
        <v/>
      </c>
      <c r="S125" s="468" t="str">
        <f t="shared" si="44"/>
        <v/>
      </c>
      <c r="T125" s="468" t="str">
        <f t="shared" si="45"/>
        <v/>
      </c>
      <c r="U125" s="186" t="str">
        <f t="shared" si="32"/>
        <v/>
      </c>
      <c r="V125" s="468" t="str">
        <f t="shared" si="33"/>
        <v/>
      </c>
      <c r="W125" s="468" t="str">
        <f t="shared" si="34"/>
        <v/>
      </c>
      <c r="X125" s="468" t="str">
        <f t="shared" si="35"/>
        <v/>
      </c>
      <c r="Y125" s="283" t="str">
        <f t="shared" si="36"/>
        <v/>
      </c>
    </row>
    <row r="126" spans="1:25" ht="16.350000000000001" customHeight="1">
      <c r="A126" s="175">
        <f t="shared" si="21"/>
        <v>2023</v>
      </c>
      <c r="B126" s="454" t="str">
        <f t="shared" si="22"/>
        <v>17</v>
      </c>
      <c r="C126" s="454" t="str">
        <f t="array" ref="C126">_xlfn.IFS(_xlfn.NUMBERVALUE(B126)&lt;=13,"Q1",AND(_xlfn.NUMBERVALUE(B126)&gt;13,_xlfn.NUMBERVALUE(B126)&lt;=26),"Q2", AND(_xlfn.NUMBERVALUE(B126)&gt;26,_xlfn.NUMBERVALUE(B126)&lt;=39),"Q3",_xlfn.NUMBERVALUE(B126)&gt;39,"Q4")</f>
        <v>Q2</v>
      </c>
      <c r="D126" s="448">
        <f t="shared" si="37"/>
        <v>44702</v>
      </c>
      <c r="E126" s="448">
        <f t="shared" si="23"/>
        <v>44708</v>
      </c>
      <c r="F126" s="79">
        <v>202217</v>
      </c>
      <c r="G126" s="180">
        <f t="shared" si="24"/>
        <v>0</v>
      </c>
      <c r="H126" s="429"/>
      <c r="I126" s="429"/>
      <c r="J126" s="429"/>
      <c r="K126" s="180">
        <f t="shared" si="42"/>
        <v>0</v>
      </c>
      <c r="L126" s="429"/>
      <c r="M126" s="429"/>
      <c r="N126" s="532"/>
      <c r="O126" s="186" t="str">
        <f t="shared" si="26"/>
        <v/>
      </c>
      <c r="P126" s="468" t="str">
        <f t="shared" si="27"/>
        <v/>
      </c>
      <c r="Q126" s="468" t="str">
        <f t="shared" si="28"/>
        <v/>
      </c>
      <c r="R126" s="186" t="str">
        <f t="shared" si="43"/>
        <v/>
      </c>
      <c r="S126" s="468" t="str">
        <f t="shared" si="44"/>
        <v/>
      </c>
      <c r="T126" s="468" t="str">
        <f t="shared" si="45"/>
        <v/>
      </c>
      <c r="U126" s="186" t="str">
        <f t="shared" si="32"/>
        <v/>
      </c>
      <c r="V126" s="468" t="str">
        <f t="shared" si="33"/>
        <v/>
      </c>
      <c r="W126" s="468" t="str">
        <f t="shared" si="34"/>
        <v/>
      </c>
      <c r="X126" s="468" t="str">
        <f t="shared" si="35"/>
        <v/>
      </c>
      <c r="Y126" s="283" t="str">
        <f t="shared" si="36"/>
        <v/>
      </c>
    </row>
    <row r="127" spans="1:25" ht="16.350000000000001" customHeight="1">
      <c r="A127" s="175">
        <f t="shared" si="21"/>
        <v>2023</v>
      </c>
      <c r="B127" s="454" t="str">
        <f t="shared" si="22"/>
        <v>18</v>
      </c>
      <c r="C127" s="454" t="str">
        <f t="array" ref="C127">_xlfn.IFS(_xlfn.NUMBERVALUE(B127)&lt;=13,"Q1",AND(_xlfn.NUMBERVALUE(B127)&gt;13,_xlfn.NUMBERVALUE(B127)&lt;=26),"Q2", AND(_xlfn.NUMBERVALUE(B127)&gt;26,_xlfn.NUMBERVALUE(B127)&lt;=39),"Q3",_xlfn.NUMBERVALUE(B127)&gt;39,"Q4")</f>
        <v>Q2</v>
      </c>
      <c r="D127" s="448">
        <f t="shared" si="37"/>
        <v>44709</v>
      </c>
      <c r="E127" s="448">
        <f t="shared" si="23"/>
        <v>44715</v>
      </c>
      <c r="F127" s="79">
        <v>202218</v>
      </c>
      <c r="G127" s="180">
        <f t="shared" si="24"/>
        <v>0</v>
      </c>
      <c r="H127" s="429"/>
      <c r="I127" s="429"/>
      <c r="J127" s="429"/>
      <c r="K127" s="180">
        <f t="shared" si="42"/>
        <v>0</v>
      </c>
      <c r="L127" s="429"/>
      <c r="M127" s="429"/>
      <c r="N127" s="532"/>
      <c r="O127" s="186" t="str">
        <f t="shared" si="26"/>
        <v/>
      </c>
      <c r="P127" s="468" t="str">
        <f t="shared" si="27"/>
        <v/>
      </c>
      <c r="Q127" s="468" t="str">
        <f t="shared" si="28"/>
        <v/>
      </c>
      <c r="R127" s="186" t="str">
        <f t="shared" si="43"/>
        <v/>
      </c>
      <c r="S127" s="468" t="str">
        <f t="shared" si="44"/>
        <v/>
      </c>
      <c r="T127" s="468" t="str">
        <f t="shared" si="45"/>
        <v/>
      </c>
      <c r="U127" s="186" t="str">
        <f t="shared" si="32"/>
        <v/>
      </c>
      <c r="V127" s="468" t="str">
        <f t="shared" si="33"/>
        <v/>
      </c>
      <c r="W127" s="468" t="str">
        <f t="shared" si="34"/>
        <v/>
      </c>
      <c r="X127" s="468" t="str">
        <f t="shared" si="35"/>
        <v/>
      </c>
      <c r="Y127" s="283" t="str">
        <f t="shared" si="36"/>
        <v/>
      </c>
    </row>
    <row r="128" spans="1:25" ht="16.350000000000001" customHeight="1">
      <c r="A128" s="175">
        <f t="shared" si="21"/>
        <v>2023</v>
      </c>
      <c r="B128" s="454" t="str">
        <f t="shared" si="22"/>
        <v>19</v>
      </c>
      <c r="C128" s="454" t="str">
        <f t="array" ref="C128">_xlfn.IFS(_xlfn.NUMBERVALUE(B128)&lt;=13,"Q1",AND(_xlfn.NUMBERVALUE(B128)&gt;13,_xlfn.NUMBERVALUE(B128)&lt;=26),"Q2", AND(_xlfn.NUMBERVALUE(B128)&gt;26,_xlfn.NUMBERVALUE(B128)&lt;=39),"Q3",_xlfn.NUMBERVALUE(B128)&gt;39,"Q4")</f>
        <v>Q2</v>
      </c>
      <c r="D128" s="448">
        <f t="shared" si="37"/>
        <v>44716</v>
      </c>
      <c r="E128" s="448">
        <f t="shared" si="23"/>
        <v>44722</v>
      </c>
      <c r="F128" s="79">
        <v>202219</v>
      </c>
      <c r="G128" s="180">
        <f t="shared" si="24"/>
        <v>0</v>
      </c>
      <c r="H128" s="429"/>
      <c r="I128" s="429"/>
      <c r="J128" s="429"/>
      <c r="K128" s="180">
        <f t="shared" si="42"/>
        <v>0</v>
      </c>
      <c r="L128" s="429"/>
      <c r="M128" s="429"/>
      <c r="N128" s="532"/>
      <c r="O128" s="186" t="str">
        <f t="shared" si="26"/>
        <v/>
      </c>
      <c r="P128" s="468" t="str">
        <f t="shared" si="27"/>
        <v/>
      </c>
      <c r="Q128" s="468" t="str">
        <f t="shared" si="28"/>
        <v/>
      </c>
      <c r="R128" s="186" t="str">
        <f t="shared" si="43"/>
        <v/>
      </c>
      <c r="S128" s="468" t="str">
        <f t="shared" si="44"/>
        <v/>
      </c>
      <c r="T128" s="468" t="str">
        <f t="shared" si="45"/>
        <v/>
      </c>
      <c r="U128" s="186" t="str">
        <f t="shared" si="32"/>
        <v/>
      </c>
      <c r="V128" s="468" t="str">
        <f t="shared" si="33"/>
        <v/>
      </c>
      <c r="W128" s="468" t="str">
        <f t="shared" si="34"/>
        <v/>
      </c>
      <c r="X128" s="468" t="str">
        <f t="shared" si="35"/>
        <v/>
      </c>
      <c r="Y128" s="283" t="str">
        <f t="shared" si="36"/>
        <v/>
      </c>
    </row>
    <row r="129" spans="1:25" ht="16.350000000000001" customHeight="1">
      <c r="A129" s="175">
        <f t="shared" si="21"/>
        <v>2023</v>
      </c>
      <c r="B129" s="454" t="str">
        <f t="shared" si="22"/>
        <v>20</v>
      </c>
      <c r="C129" s="454" t="str">
        <f t="array" ref="C129">_xlfn.IFS(_xlfn.NUMBERVALUE(B129)&lt;=13,"Q1",AND(_xlfn.NUMBERVALUE(B129)&gt;13,_xlfn.NUMBERVALUE(B129)&lt;=26),"Q2", AND(_xlfn.NUMBERVALUE(B129)&gt;26,_xlfn.NUMBERVALUE(B129)&lt;=39),"Q3",_xlfn.NUMBERVALUE(B129)&gt;39,"Q4")</f>
        <v>Q2</v>
      </c>
      <c r="D129" s="448">
        <f t="shared" si="37"/>
        <v>44723</v>
      </c>
      <c r="E129" s="448">
        <f t="shared" si="23"/>
        <v>44729</v>
      </c>
      <c r="F129" s="79">
        <v>202220</v>
      </c>
      <c r="G129" s="180">
        <f t="shared" si="24"/>
        <v>0</v>
      </c>
      <c r="H129" s="429"/>
      <c r="I129" s="429"/>
      <c r="J129" s="429"/>
      <c r="K129" s="180">
        <f t="shared" si="42"/>
        <v>0</v>
      </c>
      <c r="L129" s="429"/>
      <c r="M129" s="429"/>
      <c r="N129" s="532"/>
      <c r="O129" s="186" t="str">
        <f t="shared" si="26"/>
        <v/>
      </c>
      <c r="P129" s="468" t="str">
        <f t="shared" si="27"/>
        <v/>
      </c>
      <c r="Q129" s="468" t="str">
        <f t="shared" si="28"/>
        <v/>
      </c>
      <c r="R129" s="186" t="str">
        <f t="shared" si="43"/>
        <v/>
      </c>
      <c r="S129" s="468" t="str">
        <f t="shared" si="44"/>
        <v/>
      </c>
      <c r="T129" s="468" t="str">
        <f t="shared" si="45"/>
        <v/>
      </c>
      <c r="U129" s="186" t="str">
        <f t="shared" si="32"/>
        <v/>
      </c>
      <c r="V129" s="468" t="str">
        <f t="shared" si="33"/>
        <v/>
      </c>
      <c r="W129" s="468" t="str">
        <f t="shared" si="34"/>
        <v/>
      </c>
      <c r="X129" s="468" t="str">
        <f t="shared" si="35"/>
        <v/>
      </c>
      <c r="Y129" s="283" t="str">
        <f t="shared" si="36"/>
        <v/>
      </c>
    </row>
    <row r="130" spans="1:25" ht="16.350000000000001" customHeight="1">
      <c r="A130" s="175">
        <f t="shared" si="21"/>
        <v>2023</v>
      </c>
      <c r="B130" s="454" t="str">
        <f t="shared" si="22"/>
        <v>21</v>
      </c>
      <c r="C130" s="454" t="str">
        <f t="array" ref="C130">_xlfn.IFS(_xlfn.NUMBERVALUE(B130)&lt;=13,"Q1",AND(_xlfn.NUMBERVALUE(B130)&gt;13,_xlfn.NUMBERVALUE(B130)&lt;=26),"Q2", AND(_xlfn.NUMBERVALUE(B130)&gt;26,_xlfn.NUMBERVALUE(B130)&lt;=39),"Q3",_xlfn.NUMBERVALUE(B130)&gt;39,"Q4")</f>
        <v>Q2</v>
      </c>
      <c r="D130" s="448">
        <f t="shared" si="37"/>
        <v>44730</v>
      </c>
      <c r="E130" s="448">
        <f t="shared" si="23"/>
        <v>44736</v>
      </c>
      <c r="F130" s="79">
        <v>202221</v>
      </c>
      <c r="G130" s="180">
        <f t="shared" si="24"/>
        <v>0</v>
      </c>
      <c r="H130" s="429"/>
      <c r="I130" s="429"/>
      <c r="J130" s="429"/>
      <c r="K130" s="180">
        <f t="shared" si="42"/>
        <v>0</v>
      </c>
      <c r="L130" s="429"/>
      <c r="M130" s="429"/>
      <c r="N130" s="532"/>
      <c r="O130" s="186" t="str">
        <f t="shared" si="26"/>
        <v/>
      </c>
      <c r="P130" s="468" t="str">
        <f t="shared" si="27"/>
        <v/>
      </c>
      <c r="Q130" s="468" t="str">
        <f t="shared" si="28"/>
        <v/>
      </c>
      <c r="R130" s="186" t="str">
        <f t="shared" si="43"/>
        <v/>
      </c>
      <c r="S130" s="468" t="str">
        <f t="shared" si="44"/>
        <v/>
      </c>
      <c r="T130" s="468" t="str">
        <f t="shared" si="45"/>
        <v/>
      </c>
      <c r="U130" s="186" t="str">
        <f t="shared" si="32"/>
        <v/>
      </c>
      <c r="V130" s="468" t="str">
        <f t="shared" si="33"/>
        <v/>
      </c>
      <c r="W130" s="468" t="str">
        <f t="shared" si="34"/>
        <v/>
      </c>
      <c r="X130" s="468" t="str">
        <f t="shared" si="35"/>
        <v/>
      </c>
      <c r="Y130" s="283" t="str">
        <f t="shared" si="36"/>
        <v/>
      </c>
    </row>
    <row r="131" spans="1:25" ht="16.350000000000001" customHeight="1">
      <c r="A131" s="175">
        <f t="shared" si="21"/>
        <v>2023</v>
      </c>
      <c r="B131" s="454" t="str">
        <f t="shared" si="22"/>
        <v>22</v>
      </c>
      <c r="C131" s="454" t="str">
        <f t="array" ref="C131">_xlfn.IFS(_xlfn.NUMBERVALUE(B131)&lt;=13,"Q1",AND(_xlfn.NUMBERVALUE(B131)&gt;13,_xlfn.NUMBERVALUE(B131)&lt;=26),"Q2", AND(_xlfn.NUMBERVALUE(B131)&gt;26,_xlfn.NUMBERVALUE(B131)&lt;=39),"Q3",_xlfn.NUMBERVALUE(B131)&gt;39,"Q4")</f>
        <v>Q2</v>
      </c>
      <c r="D131" s="448">
        <f t="shared" si="37"/>
        <v>44737</v>
      </c>
      <c r="E131" s="448">
        <f t="shared" si="23"/>
        <v>44743</v>
      </c>
      <c r="F131" s="79">
        <v>202222</v>
      </c>
      <c r="G131" s="180">
        <f t="shared" si="24"/>
        <v>0</v>
      </c>
      <c r="H131" s="429"/>
      <c r="I131" s="429"/>
      <c r="J131" s="429"/>
      <c r="K131" s="180">
        <f t="shared" si="42"/>
        <v>0</v>
      </c>
      <c r="L131" s="429"/>
      <c r="M131" s="429"/>
      <c r="N131" s="532"/>
      <c r="O131" s="186" t="str">
        <f t="shared" si="26"/>
        <v/>
      </c>
      <c r="P131" s="468" t="str">
        <f t="shared" si="27"/>
        <v/>
      </c>
      <c r="Q131" s="468" t="str">
        <f t="shared" si="28"/>
        <v/>
      </c>
      <c r="R131" s="186" t="str">
        <f t="shared" si="43"/>
        <v/>
      </c>
      <c r="S131" s="468" t="str">
        <f t="shared" si="44"/>
        <v/>
      </c>
      <c r="T131" s="468" t="str">
        <f t="shared" si="45"/>
        <v/>
      </c>
      <c r="U131" s="186" t="str">
        <f t="shared" si="32"/>
        <v/>
      </c>
      <c r="V131" s="468" t="str">
        <f t="shared" si="33"/>
        <v/>
      </c>
      <c r="W131" s="468" t="str">
        <f t="shared" si="34"/>
        <v/>
      </c>
      <c r="X131" s="468" t="str">
        <f t="shared" si="35"/>
        <v/>
      </c>
      <c r="Y131" s="283" t="str">
        <f t="shared" si="36"/>
        <v/>
      </c>
    </row>
    <row r="132" spans="1:25" ht="16.350000000000001" customHeight="1">
      <c r="A132" s="175">
        <f t="shared" si="21"/>
        <v>2023</v>
      </c>
      <c r="B132" s="454" t="str">
        <f t="shared" si="22"/>
        <v>23</v>
      </c>
      <c r="C132" s="454" t="str">
        <f t="array" ref="C132">_xlfn.IFS(_xlfn.NUMBERVALUE(B132)&lt;=13,"Q1",AND(_xlfn.NUMBERVALUE(B132)&gt;13,_xlfn.NUMBERVALUE(B132)&lt;=26),"Q2", AND(_xlfn.NUMBERVALUE(B132)&gt;26,_xlfn.NUMBERVALUE(B132)&lt;=39),"Q3",_xlfn.NUMBERVALUE(B132)&gt;39,"Q4")</f>
        <v>Q2</v>
      </c>
      <c r="D132" s="448">
        <f t="shared" si="37"/>
        <v>44744</v>
      </c>
      <c r="E132" s="448">
        <f t="shared" si="23"/>
        <v>44750</v>
      </c>
      <c r="F132" s="79">
        <v>202223</v>
      </c>
      <c r="G132" s="180">
        <f t="shared" si="24"/>
        <v>0</v>
      </c>
      <c r="H132" s="429"/>
      <c r="I132" s="429"/>
      <c r="J132" s="429"/>
      <c r="K132" s="180">
        <f t="shared" si="42"/>
        <v>0</v>
      </c>
      <c r="L132" s="429"/>
      <c r="M132" s="429"/>
      <c r="N132" s="532"/>
      <c r="O132" s="186" t="str">
        <f t="shared" si="26"/>
        <v/>
      </c>
      <c r="P132" s="468" t="str">
        <f t="shared" si="27"/>
        <v/>
      </c>
      <c r="Q132" s="468" t="str">
        <f t="shared" si="28"/>
        <v/>
      </c>
      <c r="R132" s="186" t="str">
        <f t="shared" si="43"/>
        <v/>
      </c>
      <c r="S132" s="468" t="str">
        <f t="shared" si="44"/>
        <v/>
      </c>
      <c r="T132" s="468" t="str">
        <f t="shared" si="45"/>
        <v/>
      </c>
      <c r="U132" s="186" t="str">
        <f t="shared" si="32"/>
        <v/>
      </c>
      <c r="V132" s="468" t="str">
        <f t="shared" si="33"/>
        <v/>
      </c>
      <c r="W132" s="468" t="str">
        <f t="shared" si="34"/>
        <v/>
      </c>
      <c r="X132" s="468" t="str">
        <f t="shared" si="35"/>
        <v/>
      </c>
      <c r="Y132" s="283" t="str">
        <f t="shared" si="36"/>
        <v/>
      </c>
    </row>
    <row r="133" spans="1:25" ht="16.350000000000001" customHeight="1">
      <c r="A133" s="175">
        <f t="shared" si="21"/>
        <v>2023</v>
      </c>
      <c r="B133" s="454" t="str">
        <f t="shared" si="22"/>
        <v>24</v>
      </c>
      <c r="C133" s="454" t="str">
        <f t="array" ref="C133">_xlfn.IFS(_xlfn.NUMBERVALUE(B133)&lt;=13,"Q1",AND(_xlfn.NUMBERVALUE(B133)&gt;13,_xlfn.NUMBERVALUE(B133)&lt;=26),"Q2", AND(_xlfn.NUMBERVALUE(B133)&gt;26,_xlfn.NUMBERVALUE(B133)&lt;=39),"Q3",_xlfn.NUMBERVALUE(B133)&gt;39,"Q4")</f>
        <v>Q2</v>
      </c>
      <c r="D133" s="448">
        <f t="shared" si="37"/>
        <v>44751</v>
      </c>
      <c r="E133" s="448">
        <f t="shared" si="23"/>
        <v>44757</v>
      </c>
      <c r="F133" s="79">
        <v>202224</v>
      </c>
      <c r="G133" s="180">
        <f t="shared" si="24"/>
        <v>0</v>
      </c>
      <c r="H133" s="429"/>
      <c r="I133" s="429"/>
      <c r="J133" s="429"/>
      <c r="K133" s="180">
        <f t="shared" si="42"/>
        <v>0</v>
      </c>
      <c r="L133" s="429"/>
      <c r="M133" s="429"/>
      <c r="N133" s="532"/>
      <c r="O133" s="186" t="str">
        <f t="shared" si="26"/>
        <v/>
      </c>
      <c r="P133" s="468" t="str">
        <f t="shared" si="27"/>
        <v/>
      </c>
      <c r="Q133" s="468" t="str">
        <f t="shared" si="28"/>
        <v/>
      </c>
      <c r="R133" s="186" t="str">
        <f t="shared" si="43"/>
        <v/>
      </c>
      <c r="S133" s="468" t="str">
        <f t="shared" si="44"/>
        <v/>
      </c>
      <c r="T133" s="468" t="str">
        <f t="shared" si="45"/>
        <v/>
      </c>
      <c r="U133" s="186" t="str">
        <f t="shared" si="32"/>
        <v/>
      </c>
      <c r="V133" s="468" t="str">
        <f t="shared" si="33"/>
        <v/>
      </c>
      <c r="W133" s="468" t="str">
        <f t="shared" si="34"/>
        <v/>
      </c>
      <c r="X133" s="468" t="str">
        <f t="shared" si="35"/>
        <v/>
      </c>
      <c r="Y133" s="283" t="str">
        <f t="shared" si="36"/>
        <v/>
      </c>
    </row>
    <row r="134" spans="1:25" ht="16.350000000000001" customHeight="1">
      <c r="A134" s="175">
        <f t="shared" ref="A134:A197" si="46">LEFT(F134,4)+1</f>
        <v>2023</v>
      </c>
      <c r="B134" s="454" t="str">
        <f t="shared" ref="B134:B197" si="47">RIGHT(F134,2)</f>
        <v>25</v>
      </c>
      <c r="C134" s="454" t="str">
        <f t="array" ref="C134">_xlfn.IFS(_xlfn.NUMBERVALUE(B134)&lt;=13,"Q1",AND(_xlfn.NUMBERVALUE(B134)&gt;13,_xlfn.NUMBERVALUE(B134)&lt;=26),"Q2", AND(_xlfn.NUMBERVALUE(B134)&gt;26,_xlfn.NUMBERVALUE(B134)&lt;=39),"Q3",_xlfn.NUMBERVALUE(B134)&gt;39,"Q4")</f>
        <v>Q2</v>
      </c>
      <c r="D134" s="448">
        <f t="shared" si="37"/>
        <v>44758</v>
      </c>
      <c r="E134" s="448">
        <f t="shared" ref="E134:E197" si="48">D134+6</f>
        <v>44764</v>
      </c>
      <c r="F134" s="79">
        <v>202225</v>
      </c>
      <c r="G134" s="180">
        <f t="shared" ref="G134:G197" si="49">SUM(H134:J134)</f>
        <v>0</v>
      </c>
      <c r="H134" s="429"/>
      <c r="I134" s="429"/>
      <c r="J134" s="429"/>
      <c r="K134" s="180">
        <f t="shared" si="42"/>
        <v>0</v>
      </c>
      <c r="L134" s="429"/>
      <c r="M134" s="429"/>
      <c r="N134" s="532"/>
      <c r="O134" s="186" t="str">
        <f t="shared" ref="O134:O197" si="50">IFERROR(H134/$G134,"")</f>
        <v/>
      </c>
      <c r="P134" s="468" t="str">
        <f t="shared" ref="P134:P197" si="51">IFERROR(I134/$G134,"")</f>
        <v/>
      </c>
      <c r="Q134" s="468" t="str">
        <f t="shared" ref="Q134:Q197" si="52">IFERROR(J134/$G134,"")</f>
        <v/>
      </c>
      <c r="R134" s="186" t="str">
        <f t="shared" si="43"/>
        <v/>
      </c>
      <c r="S134" s="468" t="str">
        <f t="shared" si="44"/>
        <v/>
      </c>
      <c r="T134" s="468" t="str">
        <f t="shared" si="45"/>
        <v/>
      </c>
      <c r="U134" s="186" t="str">
        <f t="shared" ref="U134:U197" si="53">IFERROR(IF(K135=0,"",(G134-K135)/G134),"")</f>
        <v/>
      </c>
      <c r="V134" s="468" t="str">
        <f t="shared" ref="V134:V197" si="54">IFERROR(IF(L135=0,"",(H134-L135)/H134),"")</f>
        <v/>
      </c>
      <c r="W134" s="468" t="str">
        <f t="shared" ref="W134:W197" si="55">IFERROR(IF(M135=0,"",(I134-M135)/I134),"")</f>
        <v/>
      </c>
      <c r="X134" s="468" t="str">
        <f t="shared" ref="X134:X197" si="56">IFERROR(IF(N135=0,"",(J134-N135)/J134),"")</f>
        <v/>
      </c>
      <c r="Y134" s="283" t="str">
        <f t="shared" ref="Y134:Y197" si="57">IFERROR((H134+J134)/K134,"")</f>
        <v/>
      </c>
    </row>
    <row r="135" spans="1:25" ht="16.350000000000001" customHeight="1">
      <c r="A135" s="175">
        <f t="shared" si="46"/>
        <v>2023</v>
      </c>
      <c r="B135" s="454" t="str">
        <f t="shared" si="47"/>
        <v>26</v>
      </c>
      <c r="C135" s="454" t="str">
        <f t="array" ref="C135">_xlfn.IFS(_xlfn.NUMBERVALUE(B135)&lt;=13,"Q1",AND(_xlfn.NUMBERVALUE(B135)&gt;13,_xlfn.NUMBERVALUE(B135)&lt;=26),"Q2", AND(_xlfn.NUMBERVALUE(B135)&gt;26,_xlfn.NUMBERVALUE(B135)&lt;=39),"Q3",_xlfn.NUMBERVALUE(B135)&gt;39,"Q4")</f>
        <v>Q2</v>
      </c>
      <c r="D135" s="448">
        <f t="shared" ref="D135:D198" si="58">E134+1</f>
        <v>44765</v>
      </c>
      <c r="E135" s="448">
        <f t="shared" si="48"/>
        <v>44771</v>
      </c>
      <c r="F135" s="79">
        <v>202226</v>
      </c>
      <c r="G135" s="180">
        <f t="shared" si="49"/>
        <v>0</v>
      </c>
      <c r="H135" s="429"/>
      <c r="I135" s="429"/>
      <c r="J135" s="429"/>
      <c r="K135" s="180">
        <f t="shared" si="42"/>
        <v>0</v>
      </c>
      <c r="L135" s="429"/>
      <c r="M135" s="429"/>
      <c r="N135" s="532"/>
      <c r="O135" s="186" t="str">
        <f t="shared" si="50"/>
        <v/>
      </c>
      <c r="P135" s="468" t="str">
        <f t="shared" si="51"/>
        <v/>
      </c>
      <c r="Q135" s="468" t="str">
        <f t="shared" si="52"/>
        <v/>
      </c>
      <c r="R135" s="186" t="str">
        <f t="shared" si="43"/>
        <v/>
      </c>
      <c r="S135" s="468" t="str">
        <f t="shared" si="44"/>
        <v/>
      </c>
      <c r="T135" s="468" t="str">
        <f t="shared" si="45"/>
        <v/>
      </c>
      <c r="U135" s="186" t="str">
        <f t="shared" si="53"/>
        <v/>
      </c>
      <c r="V135" s="468" t="str">
        <f t="shared" si="54"/>
        <v/>
      </c>
      <c r="W135" s="468" t="str">
        <f t="shared" si="55"/>
        <v/>
      </c>
      <c r="X135" s="468" t="str">
        <f t="shared" si="56"/>
        <v/>
      </c>
      <c r="Y135" s="283" t="str">
        <f t="shared" si="57"/>
        <v/>
      </c>
    </row>
    <row r="136" spans="1:25" ht="16.350000000000001" customHeight="1">
      <c r="A136" s="175">
        <f t="shared" si="46"/>
        <v>2023</v>
      </c>
      <c r="B136" s="454" t="str">
        <f t="shared" si="47"/>
        <v>27</v>
      </c>
      <c r="C136" s="454" t="str">
        <f t="array" ref="C136">_xlfn.IFS(_xlfn.NUMBERVALUE(B136)&lt;=13,"Q1",AND(_xlfn.NUMBERVALUE(B136)&gt;13,_xlfn.NUMBERVALUE(B136)&lt;=26),"Q2", AND(_xlfn.NUMBERVALUE(B136)&gt;26,_xlfn.NUMBERVALUE(B136)&lt;=39),"Q3",_xlfn.NUMBERVALUE(B136)&gt;39,"Q4")</f>
        <v>Q3</v>
      </c>
      <c r="D136" s="448">
        <f t="shared" si="58"/>
        <v>44772</v>
      </c>
      <c r="E136" s="448">
        <f t="shared" si="48"/>
        <v>44778</v>
      </c>
      <c r="F136" s="79">
        <v>202227</v>
      </c>
      <c r="G136" s="180">
        <f t="shared" si="49"/>
        <v>0</v>
      </c>
      <c r="H136" s="429"/>
      <c r="I136" s="429"/>
      <c r="J136" s="429"/>
      <c r="K136" s="180">
        <f t="shared" si="42"/>
        <v>0</v>
      </c>
      <c r="L136" s="429"/>
      <c r="M136" s="429"/>
      <c r="N136" s="532"/>
      <c r="O136" s="186" t="str">
        <f t="shared" si="50"/>
        <v/>
      </c>
      <c r="P136" s="468" t="str">
        <f t="shared" si="51"/>
        <v/>
      </c>
      <c r="Q136" s="468" t="str">
        <f t="shared" si="52"/>
        <v/>
      </c>
      <c r="R136" s="186" t="str">
        <f t="shared" si="43"/>
        <v/>
      </c>
      <c r="S136" s="468" t="str">
        <f t="shared" si="44"/>
        <v/>
      </c>
      <c r="T136" s="468" t="str">
        <f t="shared" si="45"/>
        <v/>
      </c>
      <c r="U136" s="186" t="str">
        <f t="shared" si="53"/>
        <v/>
      </c>
      <c r="V136" s="468" t="str">
        <f t="shared" si="54"/>
        <v/>
      </c>
      <c r="W136" s="468" t="str">
        <f t="shared" si="55"/>
        <v/>
      </c>
      <c r="X136" s="468" t="str">
        <f t="shared" si="56"/>
        <v/>
      </c>
      <c r="Y136" s="283" t="str">
        <f t="shared" si="57"/>
        <v/>
      </c>
    </row>
    <row r="137" spans="1:25" ht="16.350000000000001" customHeight="1">
      <c r="A137" s="175">
        <f t="shared" si="46"/>
        <v>2023</v>
      </c>
      <c r="B137" s="454" t="str">
        <f t="shared" si="47"/>
        <v>28</v>
      </c>
      <c r="C137" s="454" t="str">
        <f t="array" ref="C137">_xlfn.IFS(_xlfn.NUMBERVALUE(B137)&lt;=13,"Q1",AND(_xlfn.NUMBERVALUE(B137)&gt;13,_xlfn.NUMBERVALUE(B137)&lt;=26),"Q2", AND(_xlfn.NUMBERVALUE(B137)&gt;26,_xlfn.NUMBERVALUE(B137)&lt;=39),"Q3",_xlfn.NUMBERVALUE(B137)&gt;39,"Q4")</f>
        <v>Q3</v>
      </c>
      <c r="D137" s="448">
        <f t="shared" si="58"/>
        <v>44779</v>
      </c>
      <c r="E137" s="448">
        <f t="shared" si="48"/>
        <v>44785</v>
      </c>
      <c r="F137" s="79">
        <v>202228</v>
      </c>
      <c r="G137" s="180">
        <f t="shared" si="49"/>
        <v>0</v>
      </c>
      <c r="H137" s="429"/>
      <c r="I137" s="429"/>
      <c r="J137" s="429"/>
      <c r="K137" s="180">
        <f t="shared" si="42"/>
        <v>0</v>
      </c>
      <c r="L137" s="429"/>
      <c r="M137" s="429"/>
      <c r="N137" s="532"/>
      <c r="O137" s="186" t="str">
        <f t="shared" si="50"/>
        <v/>
      </c>
      <c r="P137" s="468" t="str">
        <f t="shared" si="51"/>
        <v/>
      </c>
      <c r="Q137" s="468" t="str">
        <f t="shared" si="52"/>
        <v/>
      </c>
      <c r="R137" s="186" t="str">
        <f t="shared" si="43"/>
        <v/>
      </c>
      <c r="S137" s="468" t="str">
        <f t="shared" si="44"/>
        <v/>
      </c>
      <c r="T137" s="468" t="str">
        <f t="shared" si="45"/>
        <v/>
      </c>
      <c r="U137" s="186" t="str">
        <f t="shared" si="53"/>
        <v/>
      </c>
      <c r="V137" s="468" t="str">
        <f t="shared" si="54"/>
        <v/>
      </c>
      <c r="W137" s="468" t="str">
        <f t="shared" si="55"/>
        <v/>
      </c>
      <c r="X137" s="468" t="str">
        <f t="shared" si="56"/>
        <v/>
      </c>
      <c r="Y137" s="283" t="str">
        <f t="shared" si="57"/>
        <v/>
      </c>
    </row>
    <row r="138" spans="1:25" ht="16.350000000000001" customHeight="1">
      <c r="A138" s="175">
        <f t="shared" si="46"/>
        <v>2023</v>
      </c>
      <c r="B138" s="454" t="str">
        <f t="shared" si="47"/>
        <v>29</v>
      </c>
      <c r="C138" s="454" t="str">
        <f t="array" ref="C138">_xlfn.IFS(_xlfn.NUMBERVALUE(B138)&lt;=13,"Q1",AND(_xlfn.NUMBERVALUE(B138)&gt;13,_xlfn.NUMBERVALUE(B138)&lt;=26),"Q2", AND(_xlfn.NUMBERVALUE(B138)&gt;26,_xlfn.NUMBERVALUE(B138)&lt;=39),"Q3",_xlfn.NUMBERVALUE(B138)&gt;39,"Q4")</f>
        <v>Q3</v>
      </c>
      <c r="D138" s="448">
        <f t="shared" si="58"/>
        <v>44786</v>
      </c>
      <c r="E138" s="448">
        <f t="shared" si="48"/>
        <v>44792</v>
      </c>
      <c r="F138" s="79">
        <v>202229</v>
      </c>
      <c r="G138" s="180">
        <f t="shared" si="49"/>
        <v>0</v>
      </c>
      <c r="H138" s="429"/>
      <c r="I138" s="429"/>
      <c r="J138" s="429"/>
      <c r="K138" s="180">
        <f t="shared" si="42"/>
        <v>0</v>
      </c>
      <c r="L138" s="429"/>
      <c r="M138" s="429"/>
      <c r="N138" s="532"/>
      <c r="O138" s="186" t="str">
        <f t="shared" si="50"/>
        <v/>
      </c>
      <c r="P138" s="468" t="str">
        <f t="shared" si="51"/>
        <v/>
      </c>
      <c r="Q138" s="468" t="str">
        <f t="shared" si="52"/>
        <v/>
      </c>
      <c r="R138" s="186" t="str">
        <f t="shared" si="43"/>
        <v/>
      </c>
      <c r="S138" s="468" t="str">
        <f t="shared" si="44"/>
        <v/>
      </c>
      <c r="T138" s="468" t="str">
        <f t="shared" si="45"/>
        <v/>
      </c>
      <c r="U138" s="186" t="str">
        <f t="shared" si="53"/>
        <v/>
      </c>
      <c r="V138" s="468" t="str">
        <f t="shared" si="54"/>
        <v/>
      </c>
      <c r="W138" s="468" t="str">
        <f t="shared" si="55"/>
        <v/>
      </c>
      <c r="X138" s="468" t="str">
        <f t="shared" si="56"/>
        <v/>
      </c>
      <c r="Y138" s="283" t="str">
        <f t="shared" si="57"/>
        <v/>
      </c>
    </row>
    <row r="139" spans="1:25" ht="16.350000000000001" customHeight="1">
      <c r="A139" s="175">
        <f t="shared" si="46"/>
        <v>2023</v>
      </c>
      <c r="B139" s="454" t="str">
        <f t="shared" si="47"/>
        <v>30</v>
      </c>
      <c r="C139" s="454" t="str">
        <f t="array" ref="C139">_xlfn.IFS(_xlfn.NUMBERVALUE(B139)&lt;=13,"Q1",AND(_xlfn.NUMBERVALUE(B139)&gt;13,_xlfn.NUMBERVALUE(B139)&lt;=26),"Q2", AND(_xlfn.NUMBERVALUE(B139)&gt;26,_xlfn.NUMBERVALUE(B139)&lt;=39),"Q3",_xlfn.NUMBERVALUE(B139)&gt;39,"Q4")</f>
        <v>Q3</v>
      </c>
      <c r="D139" s="448">
        <f t="shared" si="58"/>
        <v>44793</v>
      </c>
      <c r="E139" s="448">
        <f t="shared" si="48"/>
        <v>44799</v>
      </c>
      <c r="F139" s="79">
        <v>202230</v>
      </c>
      <c r="G139" s="180">
        <f t="shared" si="49"/>
        <v>0</v>
      </c>
      <c r="H139" s="429"/>
      <c r="I139" s="429"/>
      <c r="J139" s="429"/>
      <c r="K139" s="180">
        <f t="shared" si="42"/>
        <v>0</v>
      </c>
      <c r="L139" s="429"/>
      <c r="M139" s="429"/>
      <c r="N139" s="532"/>
      <c r="O139" s="186" t="str">
        <f t="shared" si="50"/>
        <v/>
      </c>
      <c r="P139" s="468" t="str">
        <f t="shared" si="51"/>
        <v/>
      </c>
      <c r="Q139" s="468" t="str">
        <f t="shared" si="52"/>
        <v/>
      </c>
      <c r="R139" s="186" t="str">
        <f t="shared" si="43"/>
        <v/>
      </c>
      <c r="S139" s="468" t="str">
        <f t="shared" si="44"/>
        <v/>
      </c>
      <c r="T139" s="468" t="str">
        <f t="shared" si="45"/>
        <v/>
      </c>
      <c r="U139" s="186" t="str">
        <f t="shared" si="53"/>
        <v/>
      </c>
      <c r="V139" s="468" t="str">
        <f t="shared" si="54"/>
        <v/>
      </c>
      <c r="W139" s="468" t="str">
        <f t="shared" si="55"/>
        <v/>
      </c>
      <c r="X139" s="468" t="str">
        <f t="shared" si="56"/>
        <v/>
      </c>
      <c r="Y139" s="283" t="str">
        <f t="shared" si="57"/>
        <v/>
      </c>
    </row>
    <row r="140" spans="1:25" ht="16.350000000000001" customHeight="1">
      <c r="A140" s="175">
        <f t="shared" si="46"/>
        <v>2023</v>
      </c>
      <c r="B140" s="454" t="str">
        <f t="shared" si="47"/>
        <v>31</v>
      </c>
      <c r="C140" s="454" t="str">
        <f t="array" ref="C140">_xlfn.IFS(_xlfn.NUMBERVALUE(B140)&lt;=13,"Q1",AND(_xlfn.NUMBERVALUE(B140)&gt;13,_xlfn.NUMBERVALUE(B140)&lt;=26),"Q2", AND(_xlfn.NUMBERVALUE(B140)&gt;26,_xlfn.NUMBERVALUE(B140)&lt;=39),"Q3",_xlfn.NUMBERVALUE(B140)&gt;39,"Q4")</f>
        <v>Q3</v>
      </c>
      <c r="D140" s="448">
        <f t="shared" si="58"/>
        <v>44800</v>
      </c>
      <c r="E140" s="448">
        <f t="shared" si="48"/>
        <v>44806</v>
      </c>
      <c r="F140" s="79">
        <v>202231</v>
      </c>
      <c r="G140" s="180">
        <f t="shared" si="49"/>
        <v>0</v>
      </c>
      <c r="H140" s="429"/>
      <c r="I140" s="429"/>
      <c r="J140" s="429"/>
      <c r="K140" s="180">
        <f t="shared" si="42"/>
        <v>0</v>
      </c>
      <c r="L140" s="429"/>
      <c r="M140" s="429"/>
      <c r="N140" s="532"/>
      <c r="O140" s="186" t="str">
        <f t="shared" si="50"/>
        <v/>
      </c>
      <c r="P140" s="468" t="str">
        <f t="shared" si="51"/>
        <v/>
      </c>
      <c r="Q140" s="468" t="str">
        <f t="shared" si="52"/>
        <v/>
      </c>
      <c r="R140" s="186" t="str">
        <f t="shared" si="43"/>
        <v/>
      </c>
      <c r="S140" s="468" t="str">
        <f t="shared" si="44"/>
        <v/>
      </c>
      <c r="T140" s="468" t="str">
        <f t="shared" si="45"/>
        <v/>
      </c>
      <c r="U140" s="186" t="str">
        <f t="shared" si="53"/>
        <v/>
      </c>
      <c r="V140" s="468" t="str">
        <f t="shared" si="54"/>
        <v/>
      </c>
      <c r="W140" s="468" t="str">
        <f t="shared" si="55"/>
        <v/>
      </c>
      <c r="X140" s="468" t="str">
        <f t="shared" si="56"/>
        <v/>
      </c>
      <c r="Y140" s="283" t="str">
        <f t="shared" si="57"/>
        <v/>
      </c>
    </row>
    <row r="141" spans="1:25" ht="16.350000000000001" customHeight="1">
      <c r="A141" s="175">
        <f t="shared" si="46"/>
        <v>2023</v>
      </c>
      <c r="B141" s="454" t="str">
        <f t="shared" si="47"/>
        <v>32</v>
      </c>
      <c r="C141" s="454" t="str">
        <f t="array" ref="C141">_xlfn.IFS(_xlfn.NUMBERVALUE(B141)&lt;=13,"Q1",AND(_xlfn.NUMBERVALUE(B141)&gt;13,_xlfn.NUMBERVALUE(B141)&lt;=26),"Q2", AND(_xlfn.NUMBERVALUE(B141)&gt;26,_xlfn.NUMBERVALUE(B141)&lt;=39),"Q3",_xlfn.NUMBERVALUE(B141)&gt;39,"Q4")</f>
        <v>Q3</v>
      </c>
      <c r="D141" s="448">
        <f t="shared" si="58"/>
        <v>44807</v>
      </c>
      <c r="E141" s="448">
        <f t="shared" si="48"/>
        <v>44813</v>
      </c>
      <c r="F141" s="79">
        <v>202232</v>
      </c>
      <c r="G141" s="180">
        <f t="shared" si="49"/>
        <v>0</v>
      </c>
      <c r="H141" s="429"/>
      <c r="I141" s="429"/>
      <c r="J141" s="429"/>
      <c r="K141" s="180">
        <f t="shared" si="42"/>
        <v>0</v>
      </c>
      <c r="L141" s="429"/>
      <c r="M141" s="429"/>
      <c r="N141" s="532"/>
      <c r="O141" s="186" t="str">
        <f t="shared" si="50"/>
        <v/>
      </c>
      <c r="P141" s="468" t="str">
        <f t="shared" si="51"/>
        <v/>
      </c>
      <c r="Q141" s="468" t="str">
        <f t="shared" si="52"/>
        <v/>
      </c>
      <c r="R141" s="186" t="str">
        <f t="shared" si="43"/>
        <v/>
      </c>
      <c r="S141" s="468" t="str">
        <f t="shared" si="44"/>
        <v/>
      </c>
      <c r="T141" s="468" t="str">
        <f t="shared" si="45"/>
        <v/>
      </c>
      <c r="U141" s="186" t="str">
        <f t="shared" si="53"/>
        <v/>
      </c>
      <c r="V141" s="468" t="str">
        <f t="shared" si="54"/>
        <v/>
      </c>
      <c r="W141" s="468" t="str">
        <f t="shared" si="55"/>
        <v/>
      </c>
      <c r="X141" s="468" t="str">
        <f t="shared" si="56"/>
        <v/>
      </c>
      <c r="Y141" s="283" t="str">
        <f t="shared" si="57"/>
        <v/>
      </c>
    </row>
    <row r="142" spans="1:25" ht="16.350000000000001" customHeight="1">
      <c r="A142" s="175">
        <f t="shared" si="46"/>
        <v>2023</v>
      </c>
      <c r="B142" s="454" t="str">
        <f t="shared" si="47"/>
        <v>33</v>
      </c>
      <c r="C142" s="454" t="str">
        <f t="array" ref="C142">_xlfn.IFS(_xlfn.NUMBERVALUE(B142)&lt;=13,"Q1",AND(_xlfn.NUMBERVALUE(B142)&gt;13,_xlfn.NUMBERVALUE(B142)&lt;=26),"Q2", AND(_xlfn.NUMBERVALUE(B142)&gt;26,_xlfn.NUMBERVALUE(B142)&lt;=39),"Q3",_xlfn.NUMBERVALUE(B142)&gt;39,"Q4")</f>
        <v>Q3</v>
      </c>
      <c r="D142" s="448">
        <f t="shared" si="58"/>
        <v>44814</v>
      </c>
      <c r="E142" s="448">
        <f t="shared" si="48"/>
        <v>44820</v>
      </c>
      <c r="F142" s="79">
        <v>202233</v>
      </c>
      <c r="G142" s="180">
        <f t="shared" si="49"/>
        <v>0</v>
      </c>
      <c r="H142" s="429"/>
      <c r="I142" s="429"/>
      <c r="J142" s="429"/>
      <c r="K142" s="180">
        <f t="shared" si="42"/>
        <v>0</v>
      </c>
      <c r="L142" s="429"/>
      <c r="M142" s="429"/>
      <c r="N142" s="532"/>
      <c r="O142" s="186" t="str">
        <f t="shared" si="50"/>
        <v/>
      </c>
      <c r="P142" s="468" t="str">
        <f t="shared" si="51"/>
        <v/>
      </c>
      <c r="Q142" s="468" t="str">
        <f t="shared" si="52"/>
        <v/>
      </c>
      <c r="R142" s="186" t="str">
        <f t="shared" si="43"/>
        <v/>
      </c>
      <c r="S142" s="468" t="str">
        <f t="shared" si="44"/>
        <v/>
      </c>
      <c r="T142" s="468" t="str">
        <f t="shared" si="45"/>
        <v/>
      </c>
      <c r="U142" s="186" t="str">
        <f t="shared" si="53"/>
        <v/>
      </c>
      <c r="V142" s="468" t="str">
        <f t="shared" si="54"/>
        <v/>
      </c>
      <c r="W142" s="468" t="str">
        <f t="shared" si="55"/>
        <v/>
      </c>
      <c r="X142" s="468" t="str">
        <f t="shared" si="56"/>
        <v/>
      </c>
      <c r="Y142" s="283" t="str">
        <f t="shared" si="57"/>
        <v/>
      </c>
    </row>
    <row r="143" spans="1:25" ht="16.350000000000001" customHeight="1">
      <c r="A143" s="175">
        <f t="shared" si="46"/>
        <v>2023</v>
      </c>
      <c r="B143" s="454" t="str">
        <f t="shared" si="47"/>
        <v>34</v>
      </c>
      <c r="C143" s="454" t="str">
        <f t="array" ref="C143">_xlfn.IFS(_xlfn.NUMBERVALUE(B143)&lt;=13,"Q1",AND(_xlfn.NUMBERVALUE(B143)&gt;13,_xlfn.NUMBERVALUE(B143)&lt;=26),"Q2", AND(_xlfn.NUMBERVALUE(B143)&gt;26,_xlfn.NUMBERVALUE(B143)&lt;=39),"Q3",_xlfn.NUMBERVALUE(B143)&gt;39,"Q4")</f>
        <v>Q3</v>
      </c>
      <c r="D143" s="448">
        <f t="shared" si="58"/>
        <v>44821</v>
      </c>
      <c r="E143" s="448">
        <f t="shared" si="48"/>
        <v>44827</v>
      </c>
      <c r="F143" s="79">
        <v>202234</v>
      </c>
      <c r="G143" s="180">
        <f t="shared" si="49"/>
        <v>0</v>
      </c>
      <c r="H143" s="429"/>
      <c r="I143" s="429"/>
      <c r="J143" s="429"/>
      <c r="K143" s="180">
        <f t="shared" si="42"/>
        <v>0</v>
      </c>
      <c r="L143" s="429"/>
      <c r="M143" s="429"/>
      <c r="N143" s="532"/>
      <c r="O143" s="186" t="str">
        <f t="shared" si="50"/>
        <v/>
      </c>
      <c r="P143" s="468" t="str">
        <f t="shared" si="51"/>
        <v/>
      </c>
      <c r="Q143" s="468" t="str">
        <f t="shared" si="52"/>
        <v/>
      </c>
      <c r="R143" s="186" t="str">
        <f t="shared" si="43"/>
        <v/>
      </c>
      <c r="S143" s="468" t="str">
        <f t="shared" si="44"/>
        <v/>
      </c>
      <c r="T143" s="468" t="str">
        <f t="shared" si="45"/>
        <v/>
      </c>
      <c r="U143" s="186" t="str">
        <f t="shared" si="53"/>
        <v/>
      </c>
      <c r="V143" s="468" t="str">
        <f t="shared" si="54"/>
        <v/>
      </c>
      <c r="W143" s="468" t="str">
        <f t="shared" si="55"/>
        <v/>
      </c>
      <c r="X143" s="468" t="str">
        <f t="shared" si="56"/>
        <v/>
      </c>
      <c r="Y143" s="283" t="str">
        <f t="shared" si="57"/>
        <v/>
      </c>
    </row>
    <row r="144" spans="1:25" ht="16.350000000000001" customHeight="1">
      <c r="A144" s="175">
        <f t="shared" si="46"/>
        <v>2023</v>
      </c>
      <c r="B144" s="454" t="str">
        <f t="shared" si="47"/>
        <v>35</v>
      </c>
      <c r="C144" s="454" t="str">
        <f t="array" ref="C144">_xlfn.IFS(_xlfn.NUMBERVALUE(B144)&lt;=13,"Q1",AND(_xlfn.NUMBERVALUE(B144)&gt;13,_xlfn.NUMBERVALUE(B144)&lt;=26),"Q2", AND(_xlfn.NUMBERVALUE(B144)&gt;26,_xlfn.NUMBERVALUE(B144)&lt;=39),"Q3",_xlfn.NUMBERVALUE(B144)&gt;39,"Q4")</f>
        <v>Q3</v>
      </c>
      <c r="D144" s="448">
        <f t="shared" si="58"/>
        <v>44828</v>
      </c>
      <c r="E144" s="448">
        <f t="shared" si="48"/>
        <v>44834</v>
      </c>
      <c r="F144" s="79">
        <v>202235</v>
      </c>
      <c r="G144" s="180">
        <f t="shared" si="49"/>
        <v>0</v>
      </c>
      <c r="H144" s="429"/>
      <c r="I144" s="429"/>
      <c r="J144" s="429"/>
      <c r="K144" s="180">
        <f t="shared" si="42"/>
        <v>0</v>
      </c>
      <c r="L144" s="429"/>
      <c r="M144" s="429"/>
      <c r="N144" s="532"/>
      <c r="O144" s="186" t="str">
        <f t="shared" si="50"/>
        <v/>
      </c>
      <c r="P144" s="468" t="str">
        <f t="shared" si="51"/>
        <v/>
      </c>
      <c r="Q144" s="468" t="str">
        <f t="shared" si="52"/>
        <v/>
      </c>
      <c r="R144" s="186" t="str">
        <f t="shared" si="43"/>
        <v/>
      </c>
      <c r="S144" s="468" t="str">
        <f t="shared" si="44"/>
        <v/>
      </c>
      <c r="T144" s="468" t="str">
        <f t="shared" si="45"/>
        <v/>
      </c>
      <c r="U144" s="186" t="str">
        <f t="shared" si="53"/>
        <v/>
      </c>
      <c r="V144" s="468" t="str">
        <f t="shared" si="54"/>
        <v/>
      </c>
      <c r="W144" s="468" t="str">
        <f t="shared" si="55"/>
        <v/>
      </c>
      <c r="X144" s="468" t="str">
        <f t="shared" si="56"/>
        <v/>
      </c>
      <c r="Y144" s="283" t="str">
        <f t="shared" si="57"/>
        <v/>
      </c>
    </row>
    <row r="145" spans="1:25" ht="16.350000000000001" customHeight="1">
      <c r="A145" s="175">
        <f t="shared" si="46"/>
        <v>2023</v>
      </c>
      <c r="B145" s="454" t="str">
        <f t="shared" si="47"/>
        <v>36</v>
      </c>
      <c r="C145" s="454" t="str">
        <f t="array" ref="C145">_xlfn.IFS(_xlfn.NUMBERVALUE(B145)&lt;=13,"Q1",AND(_xlfn.NUMBERVALUE(B145)&gt;13,_xlfn.NUMBERVALUE(B145)&lt;=26),"Q2", AND(_xlfn.NUMBERVALUE(B145)&gt;26,_xlfn.NUMBERVALUE(B145)&lt;=39),"Q3",_xlfn.NUMBERVALUE(B145)&gt;39,"Q4")</f>
        <v>Q3</v>
      </c>
      <c r="D145" s="448">
        <f t="shared" si="58"/>
        <v>44835</v>
      </c>
      <c r="E145" s="448">
        <f t="shared" si="48"/>
        <v>44841</v>
      </c>
      <c r="F145" s="79">
        <v>202236</v>
      </c>
      <c r="G145" s="180">
        <f t="shared" si="49"/>
        <v>0</v>
      </c>
      <c r="H145" s="429"/>
      <c r="I145" s="429"/>
      <c r="J145" s="429"/>
      <c r="K145" s="180">
        <f t="shared" si="42"/>
        <v>0</v>
      </c>
      <c r="L145" s="429"/>
      <c r="M145" s="429"/>
      <c r="N145" s="532"/>
      <c r="O145" s="186" t="str">
        <f t="shared" si="50"/>
        <v/>
      </c>
      <c r="P145" s="468" t="str">
        <f t="shared" si="51"/>
        <v/>
      </c>
      <c r="Q145" s="468" t="str">
        <f t="shared" si="52"/>
        <v/>
      </c>
      <c r="R145" s="186" t="str">
        <f t="shared" si="43"/>
        <v/>
      </c>
      <c r="S145" s="468" t="str">
        <f t="shared" si="44"/>
        <v/>
      </c>
      <c r="T145" s="468" t="str">
        <f t="shared" si="45"/>
        <v/>
      </c>
      <c r="U145" s="186" t="str">
        <f t="shared" si="53"/>
        <v/>
      </c>
      <c r="V145" s="468" t="str">
        <f t="shared" si="54"/>
        <v/>
      </c>
      <c r="W145" s="468" t="str">
        <f t="shared" si="55"/>
        <v/>
      </c>
      <c r="X145" s="468" t="str">
        <f t="shared" si="56"/>
        <v/>
      </c>
      <c r="Y145" s="283" t="str">
        <f t="shared" si="57"/>
        <v/>
      </c>
    </row>
    <row r="146" spans="1:25" ht="16.350000000000001" customHeight="1">
      <c r="A146" s="175">
        <f t="shared" si="46"/>
        <v>2023</v>
      </c>
      <c r="B146" s="454" t="str">
        <f t="shared" si="47"/>
        <v>37</v>
      </c>
      <c r="C146" s="454" t="str">
        <f t="array" ref="C146">_xlfn.IFS(_xlfn.NUMBERVALUE(B146)&lt;=13,"Q1",AND(_xlfn.NUMBERVALUE(B146)&gt;13,_xlfn.NUMBERVALUE(B146)&lt;=26),"Q2", AND(_xlfn.NUMBERVALUE(B146)&gt;26,_xlfn.NUMBERVALUE(B146)&lt;=39),"Q3",_xlfn.NUMBERVALUE(B146)&gt;39,"Q4")</f>
        <v>Q3</v>
      </c>
      <c r="D146" s="448">
        <f t="shared" si="58"/>
        <v>44842</v>
      </c>
      <c r="E146" s="448">
        <f t="shared" si="48"/>
        <v>44848</v>
      </c>
      <c r="F146" s="79">
        <v>202237</v>
      </c>
      <c r="G146" s="180">
        <f t="shared" si="49"/>
        <v>0</v>
      </c>
      <c r="H146" s="429"/>
      <c r="I146" s="429"/>
      <c r="J146" s="429"/>
      <c r="K146" s="180">
        <f t="shared" si="42"/>
        <v>0</v>
      </c>
      <c r="L146" s="429"/>
      <c r="M146" s="429"/>
      <c r="N146" s="532"/>
      <c r="O146" s="186" t="str">
        <f t="shared" si="50"/>
        <v/>
      </c>
      <c r="P146" s="468" t="str">
        <f t="shared" si="51"/>
        <v/>
      </c>
      <c r="Q146" s="468" t="str">
        <f t="shared" si="52"/>
        <v/>
      </c>
      <c r="R146" s="186" t="str">
        <f t="shared" si="43"/>
        <v/>
      </c>
      <c r="S146" s="468" t="str">
        <f t="shared" si="44"/>
        <v/>
      </c>
      <c r="T146" s="468" t="str">
        <f t="shared" si="45"/>
        <v/>
      </c>
      <c r="U146" s="186" t="str">
        <f t="shared" si="53"/>
        <v/>
      </c>
      <c r="V146" s="468" t="str">
        <f t="shared" si="54"/>
        <v/>
      </c>
      <c r="W146" s="468" t="str">
        <f t="shared" si="55"/>
        <v/>
      </c>
      <c r="X146" s="468" t="str">
        <f t="shared" si="56"/>
        <v/>
      </c>
      <c r="Y146" s="283" t="str">
        <f t="shared" si="57"/>
        <v/>
      </c>
    </row>
    <row r="147" spans="1:25" ht="16.350000000000001" customHeight="1">
      <c r="A147" s="175">
        <f t="shared" si="46"/>
        <v>2023</v>
      </c>
      <c r="B147" s="454" t="str">
        <f t="shared" si="47"/>
        <v>38</v>
      </c>
      <c r="C147" s="454" t="str">
        <f t="array" ref="C147">_xlfn.IFS(_xlfn.NUMBERVALUE(B147)&lt;=13,"Q1",AND(_xlfn.NUMBERVALUE(B147)&gt;13,_xlfn.NUMBERVALUE(B147)&lt;=26),"Q2", AND(_xlfn.NUMBERVALUE(B147)&gt;26,_xlfn.NUMBERVALUE(B147)&lt;=39),"Q3",_xlfn.NUMBERVALUE(B147)&gt;39,"Q4")</f>
        <v>Q3</v>
      </c>
      <c r="D147" s="448">
        <f t="shared" si="58"/>
        <v>44849</v>
      </c>
      <c r="E147" s="448">
        <f t="shared" si="48"/>
        <v>44855</v>
      </c>
      <c r="F147" s="79">
        <v>202238</v>
      </c>
      <c r="G147" s="180">
        <f t="shared" si="49"/>
        <v>0</v>
      </c>
      <c r="H147" s="429"/>
      <c r="I147" s="429"/>
      <c r="J147" s="429"/>
      <c r="K147" s="180">
        <f t="shared" si="42"/>
        <v>0</v>
      </c>
      <c r="L147" s="429"/>
      <c r="M147" s="429"/>
      <c r="N147" s="532"/>
      <c r="O147" s="186" t="str">
        <f t="shared" si="50"/>
        <v/>
      </c>
      <c r="P147" s="468" t="str">
        <f t="shared" si="51"/>
        <v/>
      </c>
      <c r="Q147" s="468" t="str">
        <f t="shared" si="52"/>
        <v/>
      </c>
      <c r="R147" s="186" t="str">
        <f t="shared" si="43"/>
        <v/>
      </c>
      <c r="S147" s="468" t="str">
        <f t="shared" si="44"/>
        <v/>
      </c>
      <c r="T147" s="468" t="str">
        <f t="shared" si="45"/>
        <v/>
      </c>
      <c r="U147" s="186" t="str">
        <f t="shared" si="53"/>
        <v/>
      </c>
      <c r="V147" s="468" t="str">
        <f t="shared" si="54"/>
        <v/>
      </c>
      <c r="W147" s="468" t="str">
        <f t="shared" si="55"/>
        <v/>
      </c>
      <c r="X147" s="468" t="str">
        <f t="shared" si="56"/>
        <v/>
      </c>
      <c r="Y147" s="283" t="str">
        <f t="shared" si="57"/>
        <v/>
      </c>
    </row>
    <row r="148" spans="1:25" ht="16.350000000000001" customHeight="1">
      <c r="A148" s="175">
        <f t="shared" si="46"/>
        <v>2023</v>
      </c>
      <c r="B148" s="454" t="str">
        <f t="shared" si="47"/>
        <v>39</v>
      </c>
      <c r="C148" s="454" t="str">
        <f t="array" ref="C148">_xlfn.IFS(_xlfn.NUMBERVALUE(B148)&lt;=13,"Q1",AND(_xlfn.NUMBERVALUE(B148)&gt;13,_xlfn.NUMBERVALUE(B148)&lt;=26),"Q2", AND(_xlfn.NUMBERVALUE(B148)&gt;26,_xlfn.NUMBERVALUE(B148)&lt;=39),"Q3",_xlfn.NUMBERVALUE(B148)&gt;39,"Q4")</f>
        <v>Q3</v>
      </c>
      <c r="D148" s="448">
        <f t="shared" si="58"/>
        <v>44856</v>
      </c>
      <c r="E148" s="448">
        <f t="shared" si="48"/>
        <v>44862</v>
      </c>
      <c r="F148" s="79">
        <v>202239</v>
      </c>
      <c r="G148" s="180">
        <f t="shared" si="49"/>
        <v>0</v>
      </c>
      <c r="H148" s="429"/>
      <c r="I148" s="429"/>
      <c r="J148" s="429"/>
      <c r="K148" s="180">
        <f t="shared" si="42"/>
        <v>0</v>
      </c>
      <c r="L148" s="429"/>
      <c r="M148" s="429"/>
      <c r="N148" s="532"/>
      <c r="O148" s="186" t="str">
        <f t="shared" si="50"/>
        <v/>
      </c>
      <c r="P148" s="468" t="str">
        <f t="shared" si="51"/>
        <v/>
      </c>
      <c r="Q148" s="468" t="str">
        <f t="shared" si="52"/>
        <v/>
      </c>
      <c r="R148" s="186" t="str">
        <f t="shared" si="43"/>
        <v/>
      </c>
      <c r="S148" s="468" t="str">
        <f t="shared" si="44"/>
        <v/>
      </c>
      <c r="T148" s="468" t="str">
        <f t="shared" si="45"/>
        <v/>
      </c>
      <c r="U148" s="186" t="str">
        <f t="shared" si="53"/>
        <v/>
      </c>
      <c r="V148" s="468" t="str">
        <f t="shared" si="54"/>
        <v/>
      </c>
      <c r="W148" s="468" t="str">
        <f t="shared" si="55"/>
        <v/>
      </c>
      <c r="X148" s="468" t="str">
        <f t="shared" si="56"/>
        <v/>
      </c>
      <c r="Y148" s="283" t="str">
        <f t="shared" si="57"/>
        <v/>
      </c>
    </row>
    <row r="149" spans="1:25" ht="16.350000000000001" customHeight="1">
      <c r="A149" s="175">
        <f t="shared" si="46"/>
        <v>2023</v>
      </c>
      <c r="B149" s="454" t="str">
        <f t="shared" si="47"/>
        <v>40</v>
      </c>
      <c r="C149" s="454" t="str">
        <f t="array" ref="C149">_xlfn.IFS(_xlfn.NUMBERVALUE(B149)&lt;=13,"Q1",AND(_xlfn.NUMBERVALUE(B149)&gt;13,_xlfn.NUMBERVALUE(B149)&lt;=26),"Q2", AND(_xlfn.NUMBERVALUE(B149)&gt;26,_xlfn.NUMBERVALUE(B149)&lt;=39),"Q3",_xlfn.NUMBERVALUE(B149)&gt;39,"Q4")</f>
        <v>Q4</v>
      </c>
      <c r="D149" s="448">
        <f t="shared" si="58"/>
        <v>44863</v>
      </c>
      <c r="E149" s="448">
        <f t="shared" si="48"/>
        <v>44869</v>
      </c>
      <c r="F149" s="79">
        <v>202240</v>
      </c>
      <c r="G149" s="180">
        <f t="shared" si="49"/>
        <v>0</v>
      </c>
      <c r="H149" s="429"/>
      <c r="I149" s="429"/>
      <c r="J149" s="429"/>
      <c r="K149" s="180">
        <f t="shared" si="42"/>
        <v>0</v>
      </c>
      <c r="L149" s="429"/>
      <c r="M149" s="429"/>
      <c r="N149" s="532"/>
      <c r="O149" s="186" t="str">
        <f t="shared" si="50"/>
        <v/>
      </c>
      <c r="P149" s="468" t="str">
        <f t="shared" si="51"/>
        <v/>
      </c>
      <c r="Q149" s="468" t="str">
        <f t="shared" si="52"/>
        <v/>
      </c>
      <c r="R149" s="186" t="str">
        <f t="shared" si="43"/>
        <v/>
      </c>
      <c r="S149" s="468" t="str">
        <f t="shared" si="44"/>
        <v/>
      </c>
      <c r="T149" s="468" t="str">
        <f t="shared" si="45"/>
        <v/>
      </c>
      <c r="U149" s="186" t="str">
        <f t="shared" si="53"/>
        <v/>
      </c>
      <c r="V149" s="468" t="str">
        <f t="shared" si="54"/>
        <v/>
      </c>
      <c r="W149" s="468" t="str">
        <f t="shared" si="55"/>
        <v/>
      </c>
      <c r="X149" s="468" t="str">
        <f t="shared" si="56"/>
        <v/>
      </c>
      <c r="Y149" s="283" t="str">
        <f t="shared" si="57"/>
        <v/>
      </c>
    </row>
    <row r="150" spans="1:25" ht="16.350000000000001" customHeight="1">
      <c r="A150" s="175">
        <f t="shared" si="46"/>
        <v>2023</v>
      </c>
      <c r="B150" s="454" t="str">
        <f t="shared" si="47"/>
        <v>41</v>
      </c>
      <c r="C150" s="454" t="str">
        <f t="array" ref="C150">_xlfn.IFS(_xlfn.NUMBERVALUE(B150)&lt;=13,"Q1",AND(_xlfn.NUMBERVALUE(B150)&gt;13,_xlfn.NUMBERVALUE(B150)&lt;=26),"Q2", AND(_xlfn.NUMBERVALUE(B150)&gt;26,_xlfn.NUMBERVALUE(B150)&lt;=39),"Q3",_xlfn.NUMBERVALUE(B150)&gt;39,"Q4")</f>
        <v>Q4</v>
      </c>
      <c r="D150" s="448">
        <f t="shared" si="58"/>
        <v>44870</v>
      </c>
      <c r="E150" s="448">
        <f t="shared" si="48"/>
        <v>44876</v>
      </c>
      <c r="F150" s="79">
        <v>202241</v>
      </c>
      <c r="G150" s="180">
        <f t="shared" si="49"/>
        <v>0</v>
      </c>
      <c r="H150" s="429"/>
      <c r="I150" s="429"/>
      <c r="J150" s="429"/>
      <c r="K150" s="180">
        <f t="shared" si="42"/>
        <v>0</v>
      </c>
      <c r="L150" s="429"/>
      <c r="M150" s="429"/>
      <c r="N150" s="532"/>
      <c r="O150" s="186" t="str">
        <f t="shared" si="50"/>
        <v/>
      </c>
      <c r="P150" s="468" t="str">
        <f t="shared" si="51"/>
        <v/>
      </c>
      <c r="Q150" s="468" t="str">
        <f t="shared" si="52"/>
        <v/>
      </c>
      <c r="R150" s="186" t="str">
        <f t="shared" si="43"/>
        <v/>
      </c>
      <c r="S150" s="468" t="str">
        <f t="shared" si="44"/>
        <v/>
      </c>
      <c r="T150" s="468" t="str">
        <f t="shared" si="45"/>
        <v/>
      </c>
      <c r="U150" s="186" t="str">
        <f t="shared" si="53"/>
        <v/>
      </c>
      <c r="V150" s="468" t="str">
        <f t="shared" si="54"/>
        <v/>
      </c>
      <c r="W150" s="468" t="str">
        <f t="shared" si="55"/>
        <v/>
      </c>
      <c r="X150" s="468" t="str">
        <f t="shared" si="56"/>
        <v/>
      </c>
      <c r="Y150" s="283" t="str">
        <f t="shared" si="57"/>
        <v/>
      </c>
    </row>
    <row r="151" spans="1:25" ht="16.350000000000001" customHeight="1">
      <c r="A151" s="175">
        <f t="shared" si="46"/>
        <v>2023</v>
      </c>
      <c r="B151" s="454" t="str">
        <f t="shared" si="47"/>
        <v>42</v>
      </c>
      <c r="C151" s="454" t="str">
        <f t="array" ref="C151">_xlfn.IFS(_xlfn.NUMBERVALUE(B151)&lt;=13,"Q1",AND(_xlfn.NUMBERVALUE(B151)&gt;13,_xlfn.NUMBERVALUE(B151)&lt;=26),"Q2", AND(_xlfn.NUMBERVALUE(B151)&gt;26,_xlfn.NUMBERVALUE(B151)&lt;=39),"Q3",_xlfn.NUMBERVALUE(B151)&gt;39,"Q4")</f>
        <v>Q4</v>
      </c>
      <c r="D151" s="448">
        <f t="shared" si="58"/>
        <v>44877</v>
      </c>
      <c r="E151" s="448">
        <f t="shared" si="48"/>
        <v>44883</v>
      </c>
      <c r="F151" s="79">
        <v>202242</v>
      </c>
      <c r="G151" s="180">
        <f t="shared" si="49"/>
        <v>0</v>
      </c>
      <c r="H151" s="429"/>
      <c r="I151" s="429"/>
      <c r="J151" s="429"/>
      <c r="K151" s="180">
        <f t="shared" si="42"/>
        <v>0</v>
      </c>
      <c r="L151" s="429"/>
      <c r="M151" s="429"/>
      <c r="N151" s="532"/>
      <c r="O151" s="186" t="str">
        <f t="shared" si="50"/>
        <v/>
      </c>
      <c r="P151" s="468" t="str">
        <f t="shared" si="51"/>
        <v/>
      </c>
      <c r="Q151" s="468" t="str">
        <f t="shared" si="52"/>
        <v/>
      </c>
      <c r="R151" s="186" t="str">
        <f t="shared" si="43"/>
        <v/>
      </c>
      <c r="S151" s="468" t="str">
        <f t="shared" si="44"/>
        <v/>
      </c>
      <c r="T151" s="468" t="str">
        <f t="shared" si="45"/>
        <v/>
      </c>
      <c r="U151" s="186" t="str">
        <f t="shared" si="53"/>
        <v/>
      </c>
      <c r="V151" s="468" t="str">
        <f t="shared" si="54"/>
        <v/>
      </c>
      <c r="W151" s="468" t="str">
        <f t="shared" si="55"/>
        <v/>
      </c>
      <c r="X151" s="468" t="str">
        <f t="shared" si="56"/>
        <v/>
      </c>
      <c r="Y151" s="283" t="str">
        <f t="shared" si="57"/>
        <v/>
      </c>
    </row>
    <row r="152" spans="1:25" ht="16.350000000000001" customHeight="1">
      <c r="A152" s="175">
        <f t="shared" si="46"/>
        <v>2023</v>
      </c>
      <c r="B152" s="454" t="str">
        <f t="shared" si="47"/>
        <v>43</v>
      </c>
      <c r="C152" s="454" t="str">
        <f t="array" ref="C152">_xlfn.IFS(_xlfn.NUMBERVALUE(B152)&lt;=13,"Q1",AND(_xlfn.NUMBERVALUE(B152)&gt;13,_xlfn.NUMBERVALUE(B152)&lt;=26),"Q2", AND(_xlfn.NUMBERVALUE(B152)&gt;26,_xlfn.NUMBERVALUE(B152)&lt;=39),"Q3",_xlfn.NUMBERVALUE(B152)&gt;39,"Q4")</f>
        <v>Q4</v>
      </c>
      <c r="D152" s="448">
        <f t="shared" si="58"/>
        <v>44884</v>
      </c>
      <c r="E152" s="448">
        <f t="shared" si="48"/>
        <v>44890</v>
      </c>
      <c r="F152" s="79">
        <v>202243</v>
      </c>
      <c r="G152" s="180">
        <f t="shared" si="49"/>
        <v>0</v>
      </c>
      <c r="H152" s="429"/>
      <c r="I152" s="429"/>
      <c r="J152" s="429"/>
      <c r="K152" s="180">
        <f t="shared" si="42"/>
        <v>0</v>
      </c>
      <c r="L152" s="429"/>
      <c r="M152" s="429"/>
      <c r="N152" s="532"/>
      <c r="O152" s="186" t="str">
        <f t="shared" si="50"/>
        <v/>
      </c>
      <c r="P152" s="468" t="str">
        <f t="shared" si="51"/>
        <v/>
      </c>
      <c r="Q152" s="468" t="str">
        <f t="shared" si="52"/>
        <v/>
      </c>
      <c r="R152" s="186" t="str">
        <f t="shared" si="43"/>
        <v/>
      </c>
      <c r="S152" s="468" t="str">
        <f t="shared" si="44"/>
        <v/>
      </c>
      <c r="T152" s="468" t="str">
        <f t="shared" si="45"/>
        <v/>
      </c>
      <c r="U152" s="186" t="str">
        <f t="shared" si="53"/>
        <v/>
      </c>
      <c r="V152" s="468" t="str">
        <f t="shared" si="54"/>
        <v/>
      </c>
      <c r="W152" s="468" t="str">
        <f t="shared" si="55"/>
        <v/>
      </c>
      <c r="X152" s="468" t="str">
        <f t="shared" si="56"/>
        <v/>
      </c>
      <c r="Y152" s="283" t="str">
        <f t="shared" si="57"/>
        <v/>
      </c>
    </row>
    <row r="153" spans="1:25" ht="16.350000000000001" customHeight="1">
      <c r="A153" s="175">
        <f t="shared" si="46"/>
        <v>2023</v>
      </c>
      <c r="B153" s="454" t="str">
        <f t="shared" si="47"/>
        <v>44</v>
      </c>
      <c r="C153" s="454" t="str">
        <f t="array" ref="C153">_xlfn.IFS(_xlfn.NUMBERVALUE(B153)&lt;=13,"Q1",AND(_xlfn.NUMBERVALUE(B153)&gt;13,_xlfn.NUMBERVALUE(B153)&lt;=26),"Q2", AND(_xlfn.NUMBERVALUE(B153)&gt;26,_xlfn.NUMBERVALUE(B153)&lt;=39),"Q3",_xlfn.NUMBERVALUE(B153)&gt;39,"Q4")</f>
        <v>Q4</v>
      </c>
      <c r="D153" s="448">
        <f t="shared" si="58"/>
        <v>44891</v>
      </c>
      <c r="E153" s="448">
        <f t="shared" si="48"/>
        <v>44897</v>
      </c>
      <c r="F153" s="79">
        <v>202244</v>
      </c>
      <c r="G153" s="180">
        <f t="shared" si="49"/>
        <v>0</v>
      </c>
      <c r="H153" s="429"/>
      <c r="I153" s="429"/>
      <c r="J153" s="429"/>
      <c r="K153" s="180">
        <f t="shared" si="42"/>
        <v>0</v>
      </c>
      <c r="L153" s="429"/>
      <c r="M153" s="429"/>
      <c r="N153" s="532"/>
      <c r="O153" s="186" t="str">
        <f t="shared" si="50"/>
        <v/>
      </c>
      <c r="P153" s="468" t="str">
        <f t="shared" si="51"/>
        <v/>
      </c>
      <c r="Q153" s="468" t="str">
        <f t="shared" si="52"/>
        <v/>
      </c>
      <c r="R153" s="186" t="str">
        <f t="shared" si="43"/>
        <v/>
      </c>
      <c r="S153" s="468" t="str">
        <f t="shared" si="44"/>
        <v/>
      </c>
      <c r="T153" s="468" t="str">
        <f t="shared" si="45"/>
        <v/>
      </c>
      <c r="U153" s="186" t="str">
        <f t="shared" si="53"/>
        <v/>
      </c>
      <c r="V153" s="468" t="str">
        <f t="shared" si="54"/>
        <v/>
      </c>
      <c r="W153" s="468" t="str">
        <f t="shared" si="55"/>
        <v/>
      </c>
      <c r="X153" s="468" t="str">
        <f t="shared" si="56"/>
        <v/>
      </c>
      <c r="Y153" s="283" t="str">
        <f t="shared" si="57"/>
        <v/>
      </c>
    </row>
    <row r="154" spans="1:25" ht="16.350000000000001" customHeight="1">
      <c r="A154" s="175">
        <f t="shared" si="46"/>
        <v>2023</v>
      </c>
      <c r="B154" s="454" t="str">
        <f t="shared" si="47"/>
        <v>45</v>
      </c>
      <c r="C154" s="454" t="str">
        <f t="array" ref="C154">_xlfn.IFS(_xlfn.NUMBERVALUE(B154)&lt;=13,"Q1",AND(_xlfn.NUMBERVALUE(B154)&gt;13,_xlfn.NUMBERVALUE(B154)&lt;=26),"Q2", AND(_xlfn.NUMBERVALUE(B154)&gt;26,_xlfn.NUMBERVALUE(B154)&lt;=39),"Q3",_xlfn.NUMBERVALUE(B154)&gt;39,"Q4")</f>
        <v>Q4</v>
      </c>
      <c r="D154" s="448">
        <f t="shared" si="58"/>
        <v>44898</v>
      </c>
      <c r="E154" s="448">
        <f t="shared" si="48"/>
        <v>44904</v>
      </c>
      <c r="F154" s="79">
        <v>202245</v>
      </c>
      <c r="G154" s="180">
        <f t="shared" si="49"/>
        <v>0</v>
      </c>
      <c r="H154" s="429"/>
      <c r="I154" s="429"/>
      <c r="J154" s="429"/>
      <c r="K154" s="180">
        <f t="shared" si="42"/>
        <v>0</v>
      </c>
      <c r="L154" s="429"/>
      <c r="M154" s="429"/>
      <c r="N154" s="532"/>
      <c r="O154" s="186" t="str">
        <f t="shared" si="50"/>
        <v/>
      </c>
      <c r="P154" s="468" t="str">
        <f t="shared" si="51"/>
        <v/>
      </c>
      <c r="Q154" s="468" t="str">
        <f t="shared" si="52"/>
        <v/>
      </c>
      <c r="R154" s="186" t="str">
        <f t="shared" si="43"/>
        <v/>
      </c>
      <c r="S154" s="468" t="str">
        <f t="shared" si="44"/>
        <v/>
      </c>
      <c r="T154" s="468" t="str">
        <f t="shared" si="45"/>
        <v/>
      </c>
      <c r="U154" s="186" t="str">
        <f t="shared" si="53"/>
        <v/>
      </c>
      <c r="V154" s="468" t="str">
        <f t="shared" si="54"/>
        <v/>
      </c>
      <c r="W154" s="468" t="str">
        <f t="shared" si="55"/>
        <v/>
      </c>
      <c r="X154" s="468" t="str">
        <f t="shared" si="56"/>
        <v/>
      </c>
      <c r="Y154" s="283" t="str">
        <f t="shared" si="57"/>
        <v/>
      </c>
    </row>
    <row r="155" spans="1:25" ht="16.350000000000001" customHeight="1">
      <c r="A155" s="175">
        <f t="shared" si="46"/>
        <v>2023</v>
      </c>
      <c r="B155" s="454" t="str">
        <f t="shared" si="47"/>
        <v>46</v>
      </c>
      <c r="C155" s="454" t="str">
        <f t="array" ref="C155">_xlfn.IFS(_xlfn.NUMBERVALUE(B155)&lt;=13,"Q1",AND(_xlfn.NUMBERVALUE(B155)&gt;13,_xlfn.NUMBERVALUE(B155)&lt;=26),"Q2", AND(_xlfn.NUMBERVALUE(B155)&gt;26,_xlfn.NUMBERVALUE(B155)&lt;=39),"Q3",_xlfn.NUMBERVALUE(B155)&gt;39,"Q4")</f>
        <v>Q4</v>
      </c>
      <c r="D155" s="448">
        <f t="shared" si="58"/>
        <v>44905</v>
      </c>
      <c r="E155" s="448">
        <f t="shared" si="48"/>
        <v>44911</v>
      </c>
      <c r="F155" s="79">
        <v>202246</v>
      </c>
      <c r="G155" s="180">
        <f t="shared" si="49"/>
        <v>0</v>
      </c>
      <c r="H155" s="429"/>
      <c r="I155" s="429"/>
      <c r="J155" s="429"/>
      <c r="K155" s="180">
        <f t="shared" ref="K155:K186" si="59">SUM(L155:N155)</f>
        <v>0</v>
      </c>
      <c r="L155" s="429"/>
      <c r="M155" s="429"/>
      <c r="N155" s="532"/>
      <c r="O155" s="186" t="str">
        <f t="shared" si="50"/>
        <v/>
      </c>
      <c r="P155" s="468" t="str">
        <f t="shared" si="51"/>
        <v/>
      </c>
      <c r="Q155" s="468" t="str">
        <f t="shared" si="52"/>
        <v/>
      </c>
      <c r="R155" s="186" t="str">
        <f t="shared" ref="R155:R186" si="60">IFERROR(L155/$K155,"")</f>
        <v/>
      </c>
      <c r="S155" s="468" t="str">
        <f t="shared" ref="S155:S186" si="61">IFERROR(M155/$K155,"")</f>
        <v/>
      </c>
      <c r="T155" s="468" t="str">
        <f t="shared" ref="T155:T186" si="62">IFERROR(N155/$K155,"")</f>
        <v/>
      </c>
      <c r="U155" s="186" t="str">
        <f t="shared" si="53"/>
        <v/>
      </c>
      <c r="V155" s="468" t="str">
        <f t="shared" si="54"/>
        <v/>
      </c>
      <c r="W155" s="468" t="str">
        <f t="shared" si="55"/>
        <v/>
      </c>
      <c r="X155" s="468" t="str">
        <f t="shared" si="56"/>
        <v/>
      </c>
      <c r="Y155" s="283" t="str">
        <f t="shared" si="57"/>
        <v/>
      </c>
    </row>
    <row r="156" spans="1:25" ht="16.350000000000001" customHeight="1">
      <c r="A156" s="175">
        <f t="shared" si="46"/>
        <v>2023</v>
      </c>
      <c r="B156" s="454" t="str">
        <f t="shared" si="47"/>
        <v>47</v>
      </c>
      <c r="C156" s="454" t="str">
        <f t="array" ref="C156">_xlfn.IFS(_xlfn.NUMBERVALUE(B156)&lt;=13,"Q1",AND(_xlfn.NUMBERVALUE(B156)&gt;13,_xlfn.NUMBERVALUE(B156)&lt;=26),"Q2", AND(_xlfn.NUMBERVALUE(B156)&gt;26,_xlfn.NUMBERVALUE(B156)&lt;=39),"Q3",_xlfn.NUMBERVALUE(B156)&gt;39,"Q4")</f>
        <v>Q4</v>
      </c>
      <c r="D156" s="448">
        <f t="shared" si="58"/>
        <v>44912</v>
      </c>
      <c r="E156" s="448">
        <f t="shared" si="48"/>
        <v>44918</v>
      </c>
      <c r="F156" s="79">
        <v>202247</v>
      </c>
      <c r="G156" s="180">
        <f t="shared" si="49"/>
        <v>0</v>
      </c>
      <c r="H156" s="429"/>
      <c r="I156" s="429"/>
      <c r="J156" s="429"/>
      <c r="K156" s="180">
        <f t="shared" si="59"/>
        <v>0</v>
      </c>
      <c r="L156" s="429"/>
      <c r="M156" s="429"/>
      <c r="N156" s="532"/>
      <c r="O156" s="186" t="str">
        <f t="shared" si="50"/>
        <v/>
      </c>
      <c r="P156" s="468" t="str">
        <f t="shared" si="51"/>
        <v/>
      </c>
      <c r="Q156" s="468" t="str">
        <f t="shared" si="52"/>
        <v/>
      </c>
      <c r="R156" s="186" t="str">
        <f t="shared" si="60"/>
        <v/>
      </c>
      <c r="S156" s="468" t="str">
        <f t="shared" si="61"/>
        <v/>
      </c>
      <c r="T156" s="468" t="str">
        <f t="shared" si="62"/>
        <v/>
      </c>
      <c r="U156" s="186" t="str">
        <f t="shared" si="53"/>
        <v/>
      </c>
      <c r="V156" s="468" t="str">
        <f t="shared" si="54"/>
        <v/>
      </c>
      <c r="W156" s="468" t="str">
        <f t="shared" si="55"/>
        <v/>
      </c>
      <c r="X156" s="468" t="str">
        <f t="shared" si="56"/>
        <v/>
      </c>
      <c r="Y156" s="283" t="str">
        <f t="shared" si="57"/>
        <v/>
      </c>
    </row>
    <row r="157" spans="1:25" ht="16.350000000000001" customHeight="1">
      <c r="A157" s="175">
        <f t="shared" si="46"/>
        <v>2023</v>
      </c>
      <c r="B157" s="454" t="str">
        <f t="shared" si="47"/>
        <v>48</v>
      </c>
      <c r="C157" s="454" t="str">
        <f t="array" ref="C157">_xlfn.IFS(_xlfn.NUMBERVALUE(B157)&lt;=13,"Q1",AND(_xlfn.NUMBERVALUE(B157)&gt;13,_xlfn.NUMBERVALUE(B157)&lt;=26),"Q2", AND(_xlfn.NUMBERVALUE(B157)&gt;26,_xlfn.NUMBERVALUE(B157)&lt;=39),"Q3",_xlfn.NUMBERVALUE(B157)&gt;39,"Q4")</f>
        <v>Q4</v>
      </c>
      <c r="D157" s="448">
        <f t="shared" si="58"/>
        <v>44919</v>
      </c>
      <c r="E157" s="448">
        <f t="shared" si="48"/>
        <v>44925</v>
      </c>
      <c r="F157" s="79">
        <v>202248</v>
      </c>
      <c r="G157" s="180">
        <f t="shared" si="49"/>
        <v>0</v>
      </c>
      <c r="H157" s="429"/>
      <c r="I157" s="429"/>
      <c r="J157" s="429"/>
      <c r="K157" s="180">
        <f t="shared" si="59"/>
        <v>0</v>
      </c>
      <c r="L157" s="429"/>
      <c r="M157" s="429"/>
      <c r="N157" s="532"/>
      <c r="O157" s="186" t="str">
        <f t="shared" si="50"/>
        <v/>
      </c>
      <c r="P157" s="468" t="str">
        <f t="shared" si="51"/>
        <v/>
      </c>
      <c r="Q157" s="468" t="str">
        <f t="shared" si="52"/>
        <v/>
      </c>
      <c r="R157" s="186" t="str">
        <f t="shared" si="60"/>
        <v/>
      </c>
      <c r="S157" s="468" t="str">
        <f t="shared" si="61"/>
        <v/>
      </c>
      <c r="T157" s="468" t="str">
        <f t="shared" si="62"/>
        <v/>
      </c>
      <c r="U157" s="186" t="str">
        <f t="shared" si="53"/>
        <v/>
      </c>
      <c r="V157" s="468" t="str">
        <f t="shared" si="54"/>
        <v/>
      </c>
      <c r="W157" s="468" t="str">
        <f t="shared" si="55"/>
        <v/>
      </c>
      <c r="X157" s="468" t="str">
        <f t="shared" si="56"/>
        <v/>
      </c>
      <c r="Y157" s="283" t="str">
        <f t="shared" si="57"/>
        <v/>
      </c>
    </row>
    <row r="158" spans="1:25" ht="16.350000000000001" customHeight="1">
      <c r="A158" s="175">
        <f t="shared" si="46"/>
        <v>2023</v>
      </c>
      <c r="B158" s="454" t="str">
        <f t="shared" si="47"/>
        <v>49</v>
      </c>
      <c r="C158" s="454" t="str">
        <f t="array" ref="C158">_xlfn.IFS(_xlfn.NUMBERVALUE(B158)&lt;=13,"Q1",AND(_xlfn.NUMBERVALUE(B158)&gt;13,_xlfn.NUMBERVALUE(B158)&lt;=26),"Q2", AND(_xlfn.NUMBERVALUE(B158)&gt;26,_xlfn.NUMBERVALUE(B158)&lt;=39),"Q3",_xlfn.NUMBERVALUE(B158)&gt;39,"Q4")</f>
        <v>Q4</v>
      </c>
      <c r="D158" s="448">
        <f t="shared" si="58"/>
        <v>44926</v>
      </c>
      <c r="E158" s="448">
        <f t="shared" si="48"/>
        <v>44932</v>
      </c>
      <c r="F158" s="79">
        <v>202249</v>
      </c>
      <c r="G158" s="180">
        <f t="shared" si="49"/>
        <v>0</v>
      </c>
      <c r="H158" s="429"/>
      <c r="I158" s="429"/>
      <c r="J158" s="429"/>
      <c r="K158" s="180">
        <f t="shared" si="59"/>
        <v>0</v>
      </c>
      <c r="L158" s="429"/>
      <c r="M158" s="429"/>
      <c r="N158" s="532"/>
      <c r="O158" s="186" t="str">
        <f t="shared" si="50"/>
        <v/>
      </c>
      <c r="P158" s="468" t="str">
        <f t="shared" si="51"/>
        <v/>
      </c>
      <c r="Q158" s="468" t="str">
        <f t="shared" si="52"/>
        <v/>
      </c>
      <c r="R158" s="186" t="str">
        <f t="shared" si="60"/>
        <v/>
      </c>
      <c r="S158" s="468" t="str">
        <f t="shared" si="61"/>
        <v/>
      </c>
      <c r="T158" s="468" t="str">
        <f t="shared" si="62"/>
        <v/>
      </c>
      <c r="U158" s="186" t="str">
        <f t="shared" si="53"/>
        <v/>
      </c>
      <c r="V158" s="468" t="str">
        <f t="shared" si="54"/>
        <v/>
      </c>
      <c r="W158" s="468" t="str">
        <f t="shared" si="55"/>
        <v/>
      </c>
      <c r="X158" s="468" t="str">
        <f t="shared" si="56"/>
        <v/>
      </c>
      <c r="Y158" s="283" t="str">
        <f t="shared" si="57"/>
        <v/>
      </c>
    </row>
    <row r="159" spans="1:25" ht="16.350000000000001" customHeight="1">
      <c r="A159" s="175">
        <f t="shared" si="46"/>
        <v>2023</v>
      </c>
      <c r="B159" s="454" t="str">
        <f t="shared" si="47"/>
        <v>50</v>
      </c>
      <c r="C159" s="454" t="str">
        <f t="array" ref="C159">_xlfn.IFS(_xlfn.NUMBERVALUE(B159)&lt;=13,"Q1",AND(_xlfn.NUMBERVALUE(B159)&gt;13,_xlfn.NUMBERVALUE(B159)&lt;=26),"Q2", AND(_xlfn.NUMBERVALUE(B159)&gt;26,_xlfn.NUMBERVALUE(B159)&lt;=39),"Q3",_xlfn.NUMBERVALUE(B159)&gt;39,"Q4")</f>
        <v>Q4</v>
      </c>
      <c r="D159" s="448">
        <f t="shared" si="58"/>
        <v>44933</v>
      </c>
      <c r="E159" s="448">
        <f t="shared" si="48"/>
        <v>44939</v>
      </c>
      <c r="F159" s="79">
        <v>202250</v>
      </c>
      <c r="G159" s="445">
        <f t="shared" si="49"/>
        <v>0</v>
      </c>
      <c r="H159" s="530"/>
      <c r="I159" s="530"/>
      <c r="J159" s="530"/>
      <c r="K159" s="180">
        <f t="shared" si="59"/>
        <v>0</v>
      </c>
      <c r="L159" s="429"/>
      <c r="M159" s="429"/>
      <c r="N159" s="532"/>
      <c r="O159" s="186" t="str">
        <f t="shared" si="50"/>
        <v/>
      </c>
      <c r="P159" s="468" t="str">
        <f t="shared" si="51"/>
        <v/>
      </c>
      <c r="Q159" s="468" t="str">
        <f t="shared" si="52"/>
        <v/>
      </c>
      <c r="R159" s="186" t="str">
        <f t="shared" si="60"/>
        <v/>
      </c>
      <c r="S159" s="468" t="str">
        <f t="shared" si="61"/>
        <v/>
      </c>
      <c r="T159" s="468" t="str">
        <f t="shared" si="62"/>
        <v/>
      </c>
      <c r="U159" s="186" t="str">
        <f t="shared" si="53"/>
        <v/>
      </c>
      <c r="V159" s="468" t="str">
        <f t="shared" si="54"/>
        <v/>
      </c>
      <c r="W159" s="468" t="str">
        <f t="shared" si="55"/>
        <v/>
      </c>
      <c r="X159" s="468" t="str">
        <f t="shared" si="56"/>
        <v/>
      </c>
      <c r="Y159" s="283" t="str">
        <f t="shared" si="57"/>
        <v/>
      </c>
    </row>
    <row r="160" spans="1:25" ht="16.350000000000001" customHeight="1">
      <c r="A160" s="175">
        <f t="shared" si="46"/>
        <v>2023</v>
      </c>
      <c r="B160" s="454" t="str">
        <f t="shared" si="47"/>
        <v>51</v>
      </c>
      <c r="C160" s="454" t="str">
        <f t="array" ref="C160">_xlfn.IFS(_xlfn.NUMBERVALUE(B160)&lt;=13,"Q1",AND(_xlfn.NUMBERVALUE(B160)&gt;13,_xlfn.NUMBERVALUE(B160)&lt;=26),"Q2", AND(_xlfn.NUMBERVALUE(B160)&gt;26,_xlfn.NUMBERVALUE(B160)&lt;=39),"Q3",_xlfn.NUMBERVALUE(B160)&gt;39,"Q4")</f>
        <v>Q4</v>
      </c>
      <c r="D160" s="448">
        <f t="shared" si="58"/>
        <v>44940</v>
      </c>
      <c r="E160" s="448">
        <f t="shared" si="48"/>
        <v>44946</v>
      </c>
      <c r="F160" s="79">
        <v>202251</v>
      </c>
      <c r="G160" s="445">
        <f t="shared" si="49"/>
        <v>0</v>
      </c>
      <c r="H160" s="530"/>
      <c r="I160" s="530"/>
      <c r="J160" s="530"/>
      <c r="K160" s="445">
        <f t="shared" si="59"/>
        <v>0</v>
      </c>
      <c r="L160" s="530"/>
      <c r="M160" s="530"/>
      <c r="N160" s="534"/>
      <c r="O160" s="186" t="str">
        <f t="shared" si="50"/>
        <v/>
      </c>
      <c r="P160" s="468" t="str">
        <f t="shared" si="51"/>
        <v/>
      </c>
      <c r="Q160" s="468" t="str">
        <f t="shared" si="52"/>
        <v/>
      </c>
      <c r="R160" s="186" t="str">
        <f t="shared" si="60"/>
        <v/>
      </c>
      <c r="S160" s="468" t="str">
        <f t="shared" si="61"/>
        <v/>
      </c>
      <c r="T160" s="468" t="str">
        <f t="shared" si="62"/>
        <v/>
      </c>
      <c r="U160" s="186" t="str">
        <f t="shared" si="53"/>
        <v/>
      </c>
      <c r="V160" s="468" t="str">
        <f t="shared" si="54"/>
        <v/>
      </c>
      <c r="W160" s="468" t="str">
        <f t="shared" si="55"/>
        <v/>
      </c>
      <c r="X160" s="468" t="str">
        <f t="shared" si="56"/>
        <v/>
      </c>
      <c r="Y160" s="283" t="str">
        <f t="shared" si="57"/>
        <v/>
      </c>
    </row>
    <row r="161" spans="1:25" ht="16.350000000000001" customHeight="1">
      <c r="A161" s="175">
        <f t="shared" si="46"/>
        <v>2023</v>
      </c>
      <c r="B161" s="454" t="str">
        <f t="shared" si="47"/>
        <v>52</v>
      </c>
      <c r="C161" s="454" t="str">
        <f t="array" ref="C161">_xlfn.IFS(_xlfn.NUMBERVALUE(B161)&lt;=13,"Q1",AND(_xlfn.NUMBERVALUE(B161)&gt;13,_xlfn.NUMBERVALUE(B161)&lt;=26),"Q2", AND(_xlfn.NUMBERVALUE(B161)&gt;26,_xlfn.NUMBERVALUE(B161)&lt;=39),"Q3",_xlfn.NUMBERVALUE(B161)&gt;39,"Q4")</f>
        <v>Q4</v>
      </c>
      <c r="D161" s="448">
        <f t="shared" si="58"/>
        <v>44947</v>
      </c>
      <c r="E161" s="448">
        <f t="shared" si="48"/>
        <v>44953</v>
      </c>
      <c r="F161" s="79">
        <v>202252</v>
      </c>
      <c r="G161" s="445">
        <f t="shared" si="49"/>
        <v>0</v>
      </c>
      <c r="H161" s="530"/>
      <c r="I161" s="530"/>
      <c r="J161" s="530"/>
      <c r="K161" s="445">
        <f t="shared" si="59"/>
        <v>0</v>
      </c>
      <c r="L161" s="530"/>
      <c r="M161" s="530"/>
      <c r="N161" s="534"/>
      <c r="O161" s="186" t="str">
        <f t="shared" si="50"/>
        <v/>
      </c>
      <c r="P161" s="468" t="str">
        <f t="shared" si="51"/>
        <v/>
      </c>
      <c r="Q161" s="468" t="str">
        <f t="shared" si="52"/>
        <v/>
      </c>
      <c r="R161" s="186" t="str">
        <f t="shared" si="60"/>
        <v/>
      </c>
      <c r="S161" s="468" t="str">
        <f t="shared" si="61"/>
        <v/>
      </c>
      <c r="T161" s="468" t="str">
        <f t="shared" si="62"/>
        <v/>
      </c>
      <c r="U161" s="186" t="str">
        <f t="shared" si="53"/>
        <v/>
      </c>
      <c r="V161" s="468" t="str">
        <f t="shared" si="54"/>
        <v/>
      </c>
      <c r="W161" s="468" t="str">
        <f t="shared" si="55"/>
        <v/>
      </c>
      <c r="X161" s="468" t="str">
        <f t="shared" si="56"/>
        <v/>
      </c>
      <c r="Y161" s="283" t="str">
        <f t="shared" si="57"/>
        <v/>
      </c>
    </row>
    <row r="162" spans="1:25" ht="16.350000000000001" customHeight="1">
      <c r="A162" s="175">
        <f t="shared" si="46"/>
        <v>2024</v>
      </c>
      <c r="B162" s="454" t="str">
        <f t="shared" si="47"/>
        <v>01</v>
      </c>
      <c r="C162" s="454" t="str">
        <f t="array" ref="C162">_xlfn.IFS(_xlfn.NUMBERVALUE(B162)&lt;=13,"Q1",AND(_xlfn.NUMBERVALUE(B162)&gt;13,_xlfn.NUMBERVALUE(B162)&lt;=26),"Q2", AND(_xlfn.NUMBERVALUE(B162)&gt;26,_xlfn.NUMBERVALUE(B162)&lt;=39),"Q3",_xlfn.NUMBERVALUE(B162)&gt;39,"Q4")</f>
        <v>Q1</v>
      </c>
      <c r="D162" s="448">
        <f t="shared" si="58"/>
        <v>44954</v>
      </c>
      <c r="E162" s="448">
        <f t="shared" si="48"/>
        <v>44960</v>
      </c>
      <c r="F162" s="79">
        <v>202301</v>
      </c>
      <c r="G162" s="445">
        <f t="shared" si="49"/>
        <v>0</v>
      </c>
      <c r="H162" s="530"/>
      <c r="I162" s="530"/>
      <c r="J162" s="530"/>
      <c r="K162" s="445">
        <f t="shared" si="59"/>
        <v>0</v>
      </c>
      <c r="L162" s="530"/>
      <c r="M162" s="530"/>
      <c r="N162" s="534"/>
      <c r="O162" s="186" t="str">
        <f t="shared" si="50"/>
        <v/>
      </c>
      <c r="P162" s="468" t="str">
        <f t="shared" si="51"/>
        <v/>
      </c>
      <c r="Q162" s="468" t="str">
        <f t="shared" si="52"/>
        <v/>
      </c>
      <c r="R162" s="186" t="str">
        <f t="shared" si="60"/>
        <v/>
      </c>
      <c r="S162" s="468" t="str">
        <f t="shared" si="61"/>
        <v/>
      </c>
      <c r="T162" s="468" t="str">
        <f t="shared" si="62"/>
        <v/>
      </c>
      <c r="U162" s="186" t="str">
        <f t="shared" si="53"/>
        <v/>
      </c>
      <c r="V162" s="468" t="str">
        <f t="shared" si="54"/>
        <v/>
      </c>
      <c r="W162" s="468" t="str">
        <f t="shared" si="55"/>
        <v/>
      </c>
      <c r="X162" s="468" t="str">
        <f t="shared" si="56"/>
        <v/>
      </c>
      <c r="Y162" s="283" t="str">
        <f t="shared" si="57"/>
        <v/>
      </c>
    </row>
    <row r="163" spans="1:25" ht="16.350000000000001" customHeight="1">
      <c r="A163" s="175">
        <f t="shared" si="46"/>
        <v>2024</v>
      </c>
      <c r="B163" s="454" t="str">
        <f t="shared" si="47"/>
        <v>02</v>
      </c>
      <c r="C163" s="454" t="str">
        <f t="array" ref="C163">_xlfn.IFS(_xlfn.NUMBERVALUE(B163)&lt;=13,"Q1",AND(_xlfn.NUMBERVALUE(B163)&gt;13,_xlfn.NUMBERVALUE(B163)&lt;=26),"Q2", AND(_xlfn.NUMBERVALUE(B163)&gt;26,_xlfn.NUMBERVALUE(B163)&lt;=39),"Q3",_xlfn.NUMBERVALUE(B163)&gt;39,"Q4")</f>
        <v>Q1</v>
      </c>
      <c r="D163" s="448">
        <f t="shared" si="58"/>
        <v>44961</v>
      </c>
      <c r="E163" s="448">
        <f t="shared" si="48"/>
        <v>44967</v>
      </c>
      <c r="F163" s="79">
        <v>202302</v>
      </c>
      <c r="G163" s="445">
        <f t="shared" si="49"/>
        <v>0</v>
      </c>
      <c r="H163" s="530"/>
      <c r="I163" s="530"/>
      <c r="J163" s="530"/>
      <c r="K163" s="445">
        <f t="shared" si="59"/>
        <v>0</v>
      </c>
      <c r="L163" s="530"/>
      <c r="M163" s="530"/>
      <c r="N163" s="534"/>
      <c r="O163" s="186" t="str">
        <f t="shared" si="50"/>
        <v/>
      </c>
      <c r="P163" s="468" t="str">
        <f t="shared" si="51"/>
        <v/>
      </c>
      <c r="Q163" s="468" t="str">
        <f t="shared" si="52"/>
        <v/>
      </c>
      <c r="R163" s="186" t="str">
        <f t="shared" si="60"/>
        <v/>
      </c>
      <c r="S163" s="468" t="str">
        <f t="shared" si="61"/>
        <v/>
      </c>
      <c r="T163" s="468" t="str">
        <f t="shared" si="62"/>
        <v/>
      </c>
      <c r="U163" s="186" t="str">
        <f t="shared" si="53"/>
        <v/>
      </c>
      <c r="V163" s="468" t="str">
        <f t="shared" si="54"/>
        <v/>
      </c>
      <c r="W163" s="468" t="str">
        <f t="shared" si="55"/>
        <v/>
      </c>
      <c r="X163" s="468" t="str">
        <f t="shared" si="56"/>
        <v/>
      </c>
      <c r="Y163" s="283" t="str">
        <f t="shared" si="57"/>
        <v/>
      </c>
    </row>
    <row r="164" spans="1:25" ht="16.350000000000001" customHeight="1">
      <c r="A164" s="175">
        <f t="shared" si="46"/>
        <v>2024</v>
      </c>
      <c r="B164" s="454" t="str">
        <f t="shared" si="47"/>
        <v>03</v>
      </c>
      <c r="C164" s="454" t="str">
        <f t="array" ref="C164">_xlfn.IFS(_xlfn.NUMBERVALUE(B164)&lt;=13,"Q1",AND(_xlfn.NUMBERVALUE(B164)&gt;13,_xlfn.NUMBERVALUE(B164)&lt;=26),"Q2", AND(_xlfn.NUMBERVALUE(B164)&gt;26,_xlfn.NUMBERVALUE(B164)&lt;=39),"Q3",_xlfn.NUMBERVALUE(B164)&gt;39,"Q4")</f>
        <v>Q1</v>
      </c>
      <c r="D164" s="448">
        <f t="shared" si="58"/>
        <v>44968</v>
      </c>
      <c r="E164" s="448">
        <f t="shared" si="48"/>
        <v>44974</v>
      </c>
      <c r="F164" s="79">
        <v>202303</v>
      </c>
      <c r="G164" s="180">
        <f t="shared" si="49"/>
        <v>0</v>
      </c>
      <c r="H164" s="429"/>
      <c r="I164" s="429"/>
      <c r="J164" s="429"/>
      <c r="K164" s="445">
        <f t="shared" si="59"/>
        <v>0</v>
      </c>
      <c r="L164" s="530"/>
      <c r="M164" s="530"/>
      <c r="N164" s="534"/>
      <c r="O164" s="186" t="str">
        <f t="shared" si="50"/>
        <v/>
      </c>
      <c r="P164" s="468" t="str">
        <f t="shared" si="51"/>
        <v/>
      </c>
      <c r="Q164" s="468" t="str">
        <f t="shared" si="52"/>
        <v/>
      </c>
      <c r="R164" s="186" t="str">
        <f t="shared" si="60"/>
        <v/>
      </c>
      <c r="S164" s="468" t="str">
        <f t="shared" si="61"/>
        <v/>
      </c>
      <c r="T164" s="468" t="str">
        <f t="shared" si="62"/>
        <v/>
      </c>
      <c r="U164" s="186" t="str">
        <f t="shared" si="53"/>
        <v/>
      </c>
      <c r="V164" s="468" t="str">
        <f t="shared" si="54"/>
        <v/>
      </c>
      <c r="W164" s="468" t="str">
        <f t="shared" si="55"/>
        <v/>
      </c>
      <c r="X164" s="468" t="str">
        <f t="shared" si="56"/>
        <v/>
      </c>
      <c r="Y164" s="283" t="str">
        <f t="shared" si="57"/>
        <v/>
      </c>
    </row>
    <row r="165" spans="1:25" ht="16.350000000000001" customHeight="1">
      <c r="A165" s="175">
        <f t="shared" si="46"/>
        <v>2024</v>
      </c>
      <c r="B165" s="454" t="str">
        <f t="shared" si="47"/>
        <v>04</v>
      </c>
      <c r="C165" s="454" t="str">
        <f t="array" ref="C165">_xlfn.IFS(_xlfn.NUMBERVALUE(B165)&lt;=13,"Q1",AND(_xlfn.NUMBERVALUE(B165)&gt;13,_xlfn.NUMBERVALUE(B165)&lt;=26),"Q2", AND(_xlfn.NUMBERVALUE(B165)&gt;26,_xlfn.NUMBERVALUE(B165)&lt;=39),"Q3",_xlfn.NUMBERVALUE(B165)&gt;39,"Q4")</f>
        <v>Q1</v>
      </c>
      <c r="D165" s="448">
        <f t="shared" si="58"/>
        <v>44975</v>
      </c>
      <c r="E165" s="448">
        <f t="shared" si="48"/>
        <v>44981</v>
      </c>
      <c r="F165" s="79">
        <v>202304</v>
      </c>
      <c r="G165" s="180">
        <f t="shared" si="49"/>
        <v>0</v>
      </c>
      <c r="H165" s="429"/>
      <c r="I165" s="429"/>
      <c r="J165" s="429"/>
      <c r="K165" s="180">
        <f t="shared" si="59"/>
        <v>0</v>
      </c>
      <c r="L165" s="429"/>
      <c r="M165" s="429"/>
      <c r="N165" s="532"/>
      <c r="O165" s="186" t="str">
        <f t="shared" si="50"/>
        <v/>
      </c>
      <c r="P165" s="468" t="str">
        <f t="shared" si="51"/>
        <v/>
      </c>
      <c r="Q165" s="468" t="str">
        <f t="shared" si="52"/>
        <v/>
      </c>
      <c r="R165" s="186" t="str">
        <f t="shared" si="60"/>
        <v/>
      </c>
      <c r="S165" s="468" t="str">
        <f t="shared" si="61"/>
        <v/>
      </c>
      <c r="T165" s="468" t="str">
        <f t="shared" si="62"/>
        <v/>
      </c>
      <c r="U165" s="186" t="str">
        <f t="shared" si="53"/>
        <v/>
      </c>
      <c r="V165" s="468" t="str">
        <f t="shared" si="54"/>
        <v/>
      </c>
      <c r="W165" s="468" t="str">
        <f t="shared" si="55"/>
        <v/>
      </c>
      <c r="X165" s="468" t="str">
        <f t="shared" si="56"/>
        <v/>
      </c>
      <c r="Y165" s="283" t="str">
        <f t="shared" si="57"/>
        <v/>
      </c>
    </row>
    <row r="166" spans="1:25" ht="16.350000000000001" customHeight="1">
      <c r="A166" s="175">
        <f t="shared" si="46"/>
        <v>2024</v>
      </c>
      <c r="B166" s="454" t="str">
        <f t="shared" si="47"/>
        <v>05</v>
      </c>
      <c r="C166" s="454" t="str">
        <f t="array" ref="C166">_xlfn.IFS(_xlfn.NUMBERVALUE(B166)&lt;=13,"Q1",AND(_xlfn.NUMBERVALUE(B166)&gt;13,_xlfn.NUMBERVALUE(B166)&lt;=26),"Q2", AND(_xlfn.NUMBERVALUE(B166)&gt;26,_xlfn.NUMBERVALUE(B166)&lt;=39),"Q3",_xlfn.NUMBERVALUE(B166)&gt;39,"Q4")</f>
        <v>Q1</v>
      </c>
      <c r="D166" s="448">
        <f t="shared" si="58"/>
        <v>44982</v>
      </c>
      <c r="E166" s="448">
        <f t="shared" si="48"/>
        <v>44988</v>
      </c>
      <c r="F166" s="79">
        <v>202305</v>
      </c>
      <c r="G166" s="180">
        <f t="shared" si="49"/>
        <v>0</v>
      </c>
      <c r="H166" s="429"/>
      <c r="I166" s="429"/>
      <c r="J166" s="429"/>
      <c r="K166" s="180">
        <f t="shared" si="59"/>
        <v>0</v>
      </c>
      <c r="L166" s="429"/>
      <c r="M166" s="429"/>
      <c r="N166" s="532"/>
      <c r="O166" s="186" t="str">
        <f t="shared" si="50"/>
        <v/>
      </c>
      <c r="P166" s="468" t="str">
        <f t="shared" si="51"/>
        <v/>
      </c>
      <c r="Q166" s="468" t="str">
        <f t="shared" si="52"/>
        <v/>
      </c>
      <c r="R166" s="186" t="str">
        <f t="shared" si="60"/>
        <v/>
      </c>
      <c r="S166" s="468" t="str">
        <f t="shared" si="61"/>
        <v/>
      </c>
      <c r="T166" s="468" t="str">
        <f t="shared" si="62"/>
        <v/>
      </c>
      <c r="U166" s="186" t="str">
        <f t="shared" si="53"/>
        <v/>
      </c>
      <c r="V166" s="468" t="str">
        <f t="shared" si="54"/>
        <v/>
      </c>
      <c r="W166" s="468" t="str">
        <f t="shared" si="55"/>
        <v/>
      </c>
      <c r="X166" s="468" t="str">
        <f t="shared" si="56"/>
        <v/>
      </c>
      <c r="Y166" s="283" t="str">
        <f t="shared" si="57"/>
        <v/>
      </c>
    </row>
    <row r="167" spans="1:25" ht="16.350000000000001" customHeight="1">
      <c r="A167" s="175">
        <f t="shared" si="46"/>
        <v>2024</v>
      </c>
      <c r="B167" s="454" t="str">
        <f t="shared" si="47"/>
        <v>06</v>
      </c>
      <c r="C167" s="454" t="str">
        <f t="array" ref="C167">_xlfn.IFS(_xlfn.NUMBERVALUE(B167)&lt;=13,"Q1",AND(_xlfn.NUMBERVALUE(B167)&gt;13,_xlfn.NUMBERVALUE(B167)&lt;=26),"Q2", AND(_xlfn.NUMBERVALUE(B167)&gt;26,_xlfn.NUMBERVALUE(B167)&lt;=39),"Q3",_xlfn.NUMBERVALUE(B167)&gt;39,"Q4")</f>
        <v>Q1</v>
      </c>
      <c r="D167" s="448">
        <f t="shared" si="58"/>
        <v>44989</v>
      </c>
      <c r="E167" s="448">
        <f t="shared" si="48"/>
        <v>44995</v>
      </c>
      <c r="F167" s="79">
        <v>202306</v>
      </c>
      <c r="G167" s="180">
        <f t="shared" si="49"/>
        <v>0</v>
      </c>
      <c r="H167" s="429"/>
      <c r="I167" s="429"/>
      <c r="J167" s="429"/>
      <c r="K167" s="180">
        <f t="shared" si="59"/>
        <v>0</v>
      </c>
      <c r="L167" s="429"/>
      <c r="M167" s="429"/>
      <c r="N167" s="532"/>
      <c r="O167" s="186" t="str">
        <f t="shared" si="50"/>
        <v/>
      </c>
      <c r="P167" s="468" t="str">
        <f t="shared" si="51"/>
        <v/>
      </c>
      <c r="Q167" s="468" t="str">
        <f t="shared" si="52"/>
        <v/>
      </c>
      <c r="R167" s="186" t="str">
        <f t="shared" si="60"/>
        <v/>
      </c>
      <c r="S167" s="468" t="str">
        <f t="shared" si="61"/>
        <v/>
      </c>
      <c r="T167" s="468" t="str">
        <f t="shared" si="62"/>
        <v/>
      </c>
      <c r="U167" s="186" t="str">
        <f t="shared" si="53"/>
        <v/>
      </c>
      <c r="V167" s="468" t="str">
        <f t="shared" si="54"/>
        <v/>
      </c>
      <c r="W167" s="468" t="str">
        <f t="shared" si="55"/>
        <v/>
      </c>
      <c r="X167" s="468" t="str">
        <f t="shared" si="56"/>
        <v/>
      </c>
      <c r="Y167" s="283" t="str">
        <f t="shared" si="57"/>
        <v/>
      </c>
    </row>
    <row r="168" spans="1:25" ht="16.350000000000001" customHeight="1">
      <c r="A168" s="175">
        <f t="shared" si="46"/>
        <v>2024</v>
      </c>
      <c r="B168" s="454" t="str">
        <f t="shared" si="47"/>
        <v>07</v>
      </c>
      <c r="C168" s="454" t="str">
        <f t="array" ref="C168">_xlfn.IFS(_xlfn.NUMBERVALUE(B168)&lt;=13,"Q1",AND(_xlfn.NUMBERVALUE(B168)&gt;13,_xlfn.NUMBERVALUE(B168)&lt;=26),"Q2", AND(_xlfn.NUMBERVALUE(B168)&gt;26,_xlfn.NUMBERVALUE(B168)&lt;=39),"Q3",_xlfn.NUMBERVALUE(B168)&gt;39,"Q4")</f>
        <v>Q1</v>
      </c>
      <c r="D168" s="448">
        <f t="shared" si="58"/>
        <v>44996</v>
      </c>
      <c r="E168" s="448">
        <f t="shared" si="48"/>
        <v>45002</v>
      </c>
      <c r="F168" s="79">
        <v>202307</v>
      </c>
      <c r="G168" s="180">
        <f t="shared" si="49"/>
        <v>0</v>
      </c>
      <c r="H168" s="429"/>
      <c r="I168" s="429"/>
      <c r="J168" s="429"/>
      <c r="K168" s="180">
        <f t="shared" si="59"/>
        <v>0</v>
      </c>
      <c r="L168" s="429"/>
      <c r="M168" s="429"/>
      <c r="N168" s="532"/>
      <c r="O168" s="186" t="str">
        <f t="shared" si="50"/>
        <v/>
      </c>
      <c r="P168" s="468" t="str">
        <f t="shared" si="51"/>
        <v/>
      </c>
      <c r="Q168" s="468" t="str">
        <f t="shared" si="52"/>
        <v/>
      </c>
      <c r="R168" s="186" t="str">
        <f t="shared" si="60"/>
        <v/>
      </c>
      <c r="S168" s="468" t="str">
        <f t="shared" si="61"/>
        <v/>
      </c>
      <c r="T168" s="468" t="str">
        <f t="shared" si="62"/>
        <v/>
      </c>
      <c r="U168" s="186" t="str">
        <f t="shared" si="53"/>
        <v/>
      </c>
      <c r="V168" s="468" t="str">
        <f t="shared" si="54"/>
        <v/>
      </c>
      <c r="W168" s="468" t="str">
        <f t="shared" si="55"/>
        <v/>
      </c>
      <c r="X168" s="468" t="str">
        <f t="shared" si="56"/>
        <v/>
      </c>
      <c r="Y168" s="283" t="str">
        <f t="shared" si="57"/>
        <v/>
      </c>
    </row>
    <row r="169" spans="1:25" ht="16.350000000000001" customHeight="1">
      <c r="A169" s="175">
        <f t="shared" si="46"/>
        <v>2024</v>
      </c>
      <c r="B169" s="454" t="str">
        <f t="shared" si="47"/>
        <v>08</v>
      </c>
      <c r="C169" s="454" t="str">
        <f t="array" ref="C169">_xlfn.IFS(_xlfn.NUMBERVALUE(B169)&lt;=13,"Q1",AND(_xlfn.NUMBERVALUE(B169)&gt;13,_xlfn.NUMBERVALUE(B169)&lt;=26),"Q2", AND(_xlfn.NUMBERVALUE(B169)&gt;26,_xlfn.NUMBERVALUE(B169)&lt;=39),"Q3",_xlfn.NUMBERVALUE(B169)&gt;39,"Q4")</f>
        <v>Q1</v>
      </c>
      <c r="D169" s="448">
        <f t="shared" si="58"/>
        <v>45003</v>
      </c>
      <c r="E169" s="448">
        <f t="shared" si="48"/>
        <v>45009</v>
      </c>
      <c r="F169" s="79">
        <v>202308</v>
      </c>
      <c r="G169" s="180">
        <f t="shared" si="49"/>
        <v>0</v>
      </c>
      <c r="H169" s="429"/>
      <c r="I169" s="429"/>
      <c r="J169" s="429"/>
      <c r="K169" s="180">
        <f t="shared" si="59"/>
        <v>0</v>
      </c>
      <c r="L169" s="429"/>
      <c r="M169" s="429"/>
      <c r="N169" s="532"/>
      <c r="O169" s="186" t="str">
        <f t="shared" si="50"/>
        <v/>
      </c>
      <c r="P169" s="468" t="str">
        <f t="shared" si="51"/>
        <v/>
      </c>
      <c r="Q169" s="468" t="str">
        <f t="shared" si="52"/>
        <v/>
      </c>
      <c r="R169" s="186" t="str">
        <f t="shared" si="60"/>
        <v/>
      </c>
      <c r="S169" s="468" t="str">
        <f t="shared" si="61"/>
        <v/>
      </c>
      <c r="T169" s="468" t="str">
        <f t="shared" si="62"/>
        <v/>
      </c>
      <c r="U169" s="186" t="str">
        <f t="shared" si="53"/>
        <v/>
      </c>
      <c r="V169" s="468" t="str">
        <f t="shared" si="54"/>
        <v/>
      </c>
      <c r="W169" s="468" t="str">
        <f t="shared" si="55"/>
        <v/>
      </c>
      <c r="X169" s="468" t="str">
        <f t="shared" si="56"/>
        <v/>
      </c>
      <c r="Y169" s="283" t="str">
        <f t="shared" si="57"/>
        <v/>
      </c>
    </row>
    <row r="170" spans="1:25" ht="16.350000000000001" customHeight="1">
      <c r="A170" s="175">
        <f t="shared" si="46"/>
        <v>2024</v>
      </c>
      <c r="B170" s="454" t="str">
        <f t="shared" si="47"/>
        <v>09</v>
      </c>
      <c r="C170" s="454" t="str">
        <f t="array" ref="C170">_xlfn.IFS(_xlfn.NUMBERVALUE(B170)&lt;=13,"Q1",AND(_xlfn.NUMBERVALUE(B170)&gt;13,_xlfn.NUMBERVALUE(B170)&lt;=26),"Q2", AND(_xlfn.NUMBERVALUE(B170)&gt;26,_xlfn.NUMBERVALUE(B170)&lt;=39),"Q3",_xlfn.NUMBERVALUE(B170)&gt;39,"Q4")</f>
        <v>Q1</v>
      </c>
      <c r="D170" s="448">
        <f t="shared" si="58"/>
        <v>45010</v>
      </c>
      <c r="E170" s="448">
        <f t="shared" si="48"/>
        <v>45016</v>
      </c>
      <c r="F170" s="79">
        <v>202309</v>
      </c>
      <c r="G170" s="180">
        <f t="shared" si="49"/>
        <v>0</v>
      </c>
      <c r="H170" s="429"/>
      <c r="I170" s="429"/>
      <c r="J170" s="429"/>
      <c r="K170" s="180">
        <f t="shared" si="59"/>
        <v>0</v>
      </c>
      <c r="L170" s="429"/>
      <c r="M170" s="429"/>
      <c r="N170" s="532"/>
      <c r="O170" s="186" t="str">
        <f t="shared" si="50"/>
        <v/>
      </c>
      <c r="P170" s="468" t="str">
        <f t="shared" si="51"/>
        <v/>
      </c>
      <c r="Q170" s="468" t="str">
        <f t="shared" si="52"/>
        <v/>
      </c>
      <c r="R170" s="186" t="str">
        <f t="shared" si="60"/>
        <v/>
      </c>
      <c r="S170" s="468" t="str">
        <f t="shared" si="61"/>
        <v/>
      </c>
      <c r="T170" s="468" t="str">
        <f t="shared" si="62"/>
        <v/>
      </c>
      <c r="U170" s="186" t="str">
        <f t="shared" si="53"/>
        <v/>
      </c>
      <c r="V170" s="468" t="str">
        <f t="shared" si="54"/>
        <v/>
      </c>
      <c r="W170" s="468" t="str">
        <f t="shared" si="55"/>
        <v/>
      </c>
      <c r="X170" s="468" t="str">
        <f t="shared" si="56"/>
        <v/>
      </c>
      <c r="Y170" s="283" t="str">
        <f t="shared" si="57"/>
        <v/>
      </c>
    </row>
    <row r="171" spans="1:25" ht="16.350000000000001" customHeight="1">
      <c r="A171" s="175">
        <f t="shared" si="46"/>
        <v>2024</v>
      </c>
      <c r="B171" s="454" t="str">
        <f t="shared" si="47"/>
        <v>10</v>
      </c>
      <c r="C171" s="454" t="str">
        <f t="array" ref="C171">_xlfn.IFS(_xlfn.NUMBERVALUE(B171)&lt;=13,"Q1",AND(_xlfn.NUMBERVALUE(B171)&gt;13,_xlfn.NUMBERVALUE(B171)&lt;=26),"Q2", AND(_xlfn.NUMBERVALUE(B171)&gt;26,_xlfn.NUMBERVALUE(B171)&lt;=39),"Q3",_xlfn.NUMBERVALUE(B171)&gt;39,"Q4")</f>
        <v>Q1</v>
      </c>
      <c r="D171" s="448">
        <f t="shared" si="58"/>
        <v>45017</v>
      </c>
      <c r="E171" s="448">
        <f t="shared" si="48"/>
        <v>45023</v>
      </c>
      <c r="F171" s="79">
        <v>202310</v>
      </c>
      <c r="G171" s="180">
        <f t="shared" si="49"/>
        <v>0</v>
      </c>
      <c r="H171" s="429"/>
      <c r="I171" s="429"/>
      <c r="J171" s="429"/>
      <c r="K171" s="180">
        <f t="shared" si="59"/>
        <v>0</v>
      </c>
      <c r="L171" s="429"/>
      <c r="M171" s="429"/>
      <c r="N171" s="532"/>
      <c r="O171" s="186" t="str">
        <f t="shared" si="50"/>
        <v/>
      </c>
      <c r="P171" s="468" t="str">
        <f t="shared" si="51"/>
        <v/>
      </c>
      <c r="Q171" s="468" t="str">
        <f t="shared" si="52"/>
        <v/>
      </c>
      <c r="R171" s="186" t="str">
        <f t="shared" si="60"/>
        <v/>
      </c>
      <c r="S171" s="468" t="str">
        <f t="shared" si="61"/>
        <v/>
      </c>
      <c r="T171" s="468" t="str">
        <f t="shared" si="62"/>
        <v/>
      </c>
      <c r="U171" s="186" t="str">
        <f t="shared" si="53"/>
        <v/>
      </c>
      <c r="V171" s="468" t="str">
        <f t="shared" si="54"/>
        <v/>
      </c>
      <c r="W171" s="468" t="str">
        <f t="shared" si="55"/>
        <v/>
      </c>
      <c r="X171" s="468" t="str">
        <f t="shared" si="56"/>
        <v/>
      </c>
      <c r="Y171" s="283" t="str">
        <f t="shared" si="57"/>
        <v/>
      </c>
    </row>
    <row r="172" spans="1:25" ht="16.350000000000001" customHeight="1">
      <c r="A172" s="175">
        <f t="shared" si="46"/>
        <v>2024</v>
      </c>
      <c r="B172" s="454" t="str">
        <f t="shared" si="47"/>
        <v>11</v>
      </c>
      <c r="C172" s="454" t="str">
        <f t="array" ref="C172">_xlfn.IFS(_xlfn.NUMBERVALUE(B172)&lt;=13,"Q1",AND(_xlfn.NUMBERVALUE(B172)&gt;13,_xlfn.NUMBERVALUE(B172)&lt;=26),"Q2", AND(_xlfn.NUMBERVALUE(B172)&gt;26,_xlfn.NUMBERVALUE(B172)&lt;=39),"Q3",_xlfn.NUMBERVALUE(B172)&gt;39,"Q4")</f>
        <v>Q1</v>
      </c>
      <c r="D172" s="448">
        <f t="shared" si="58"/>
        <v>45024</v>
      </c>
      <c r="E172" s="448">
        <f t="shared" si="48"/>
        <v>45030</v>
      </c>
      <c r="F172" s="79">
        <v>202311</v>
      </c>
      <c r="G172" s="180">
        <f t="shared" si="49"/>
        <v>0</v>
      </c>
      <c r="H172" s="429"/>
      <c r="I172" s="429"/>
      <c r="J172" s="429"/>
      <c r="K172" s="180">
        <f t="shared" si="59"/>
        <v>0</v>
      </c>
      <c r="L172" s="429"/>
      <c r="M172" s="429"/>
      <c r="N172" s="532"/>
      <c r="O172" s="186" t="str">
        <f t="shared" si="50"/>
        <v/>
      </c>
      <c r="P172" s="468" t="str">
        <f t="shared" si="51"/>
        <v/>
      </c>
      <c r="Q172" s="468" t="str">
        <f t="shared" si="52"/>
        <v/>
      </c>
      <c r="R172" s="186" t="str">
        <f t="shared" si="60"/>
        <v/>
      </c>
      <c r="S172" s="468" t="str">
        <f t="shared" si="61"/>
        <v/>
      </c>
      <c r="T172" s="468" t="str">
        <f t="shared" si="62"/>
        <v/>
      </c>
      <c r="U172" s="186" t="str">
        <f t="shared" si="53"/>
        <v/>
      </c>
      <c r="V172" s="468" t="str">
        <f t="shared" si="54"/>
        <v/>
      </c>
      <c r="W172" s="468" t="str">
        <f t="shared" si="55"/>
        <v/>
      </c>
      <c r="X172" s="468" t="str">
        <f t="shared" si="56"/>
        <v/>
      </c>
      <c r="Y172" s="283" t="str">
        <f t="shared" si="57"/>
        <v/>
      </c>
    </row>
    <row r="173" spans="1:25" ht="16.350000000000001" customHeight="1">
      <c r="A173" s="175">
        <f t="shared" si="46"/>
        <v>2024</v>
      </c>
      <c r="B173" s="454" t="str">
        <f t="shared" si="47"/>
        <v>12</v>
      </c>
      <c r="C173" s="454" t="str">
        <f t="array" ref="C173">_xlfn.IFS(_xlfn.NUMBERVALUE(B173)&lt;=13,"Q1",AND(_xlfn.NUMBERVALUE(B173)&gt;13,_xlfn.NUMBERVALUE(B173)&lt;=26),"Q2", AND(_xlfn.NUMBERVALUE(B173)&gt;26,_xlfn.NUMBERVALUE(B173)&lt;=39),"Q3",_xlfn.NUMBERVALUE(B173)&gt;39,"Q4")</f>
        <v>Q1</v>
      </c>
      <c r="D173" s="448">
        <f t="shared" si="58"/>
        <v>45031</v>
      </c>
      <c r="E173" s="448">
        <f t="shared" si="48"/>
        <v>45037</v>
      </c>
      <c r="F173" s="79">
        <v>202312</v>
      </c>
      <c r="G173" s="180">
        <f t="shared" si="49"/>
        <v>0</v>
      </c>
      <c r="H173" s="429"/>
      <c r="I173" s="429"/>
      <c r="J173" s="429"/>
      <c r="K173" s="180">
        <f t="shared" si="59"/>
        <v>0</v>
      </c>
      <c r="L173" s="429"/>
      <c r="M173" s="429"/>
      <c r="N173" s="532"/>
      <c r="O173" s="186" t="str">
        <f t="shared" si="50"/>
        <v/>
      </c>
      <c r="P173" s="468" t="str">
        <f t="shared" si="51"/>
        <v/>
      </c>
      <c r="Q173" s="468" t="str">
        <f t="shared" si="52"/>
        <v/>
      </c>
      <c r="R173" s="186" t="str">
        <f t="shared" si="60"/>
        <v/>
      </c>
      <c r="S173" s="468" t="str">
        <f t="shared" si="61"/>
        <v/>
      </c>
      <c r="T173" s="468" t="str">
        <f t="shared" si="62"/>
        <v/>
      </c>
      <c r="U173" s="186" t="str">
        <f t="shared" si="53"/>
        <v/>
      </c>
      <c r="V173" s="468" t="str">
        <f t="shared" si="54"/>
        <v/>
      </c>
      <c r="W173" s="468" t="str">
        <f t="shared" si="55"/>
        <v/>
      </c>
      <c r="X173" s="468" t="str">
        <f t="shared" si="56"/>
        <v/>
      </c>
      <c r="Y173" s="283" t="str">
        <f t="shared" si="57"/>
        <v/>
      </c>
    </row>
    <row r="174" spans="1:25" ht="16.350000000000001" customHeight="1">
      <c r="A174" s="175">
        <f t="shared" si="46"/>
        <v>2024</v>
      </c>
      <c r="B174" s="454" t="str">
        <f t="shared" si="47"/>
        <v>13</v>
      </c>
      <c r="C174" s="454" t="str">
        <f t="array" ref="C174">_xlfn.IFS(_xlfn.NUMBERVALUE(B174)&lt;=13,"Q1",AND(_xlfn.NUMBERVALUE(B174)&gt;13,_xlfn.NUMBERVALUE(B174)&lt;=26),"Q2", AND(_xlfn.NUMBERVALUE(B174)&gt;26,_xlfn.NUMBERVALUE(B174)&lt;=39),"Q3",_xlfn.NUMBERVALUE(B174)&gt;39,"Q4")</f>
        <v>Q1</v>
      </c>
      <c r="D174" s="448">
        <f t="shared" si="58"/>
        <v>45038</v>
      </c>
      <c r="E174" s="448">
        <f t="shared" si="48"/>
        <v>45044</v>
      </c>
      <c r="F174" s="79">
        <v>202313</v>
      </c>
      <c r="G174" s="180">
        <f t="shared" si="49"/>
        <v>0</v>
      </c>
      <c r="H174" s="429"/>
      <c r="I174" s="429"/>
      <c r="J174" s="429"/>
      <c r="K174" s="180">
        <f t="shared" si="59"/>
        <v>0</v>
      </c>
      <c r="L174" s="429"/>
      <c r="M174" s="429"/>
      <c r="N174" s="532"/>
      <c r="O174" s="186" t="str">
        <f t="shared" si="50"/>
        <v/>
      </c>
      <c r="P174" s="468" t="str">
        <f t="shared" si="51"/>
        <v/>
      </c>
      <c r="Q174" s="468" t="str">
        <f t="shared" si="52"/>
        <v/>
      </c>
      <c r="R174" s="186" t="str">
        <f t="shared" si="60"/>
        <v/>
      </c>
      <c r="S174" s="468" t="str">
        <f t="shared" si="61"/>
        <v/>
      </c>
      <c r="T174" s="468" t="str">
        <f t="shared" si="62"/>
        <v/>
      </c>
      <c r="U174" s="186" t="str">
        <f t="shared" si="53"/>
        <v/>
      </c>
      <c r="V174" s="468" t="str">
        <f t="shared" si="54"/>
        <v/>
      </c>
      <c r="W174" s="468" t="str">
        <f t="shared" si="55"/>
        <v/>
      </c>
      <c r="X174" s="468" t="str">
        <f t="shared" si="56"/>
        <v/>
      </c>
      <c r="Y174" s="283" t="str">
        <f t="shared" si="57"/>
        <v/>
      </c>
    </row>
    <row r="175" spans="1:25" ht="16.350000000000001" customHeight="1">
      <c r="A175" s="175">
        <f t="shared" si="46"/>
        <v>2024</v>
      </c>
      <c r="B175" s="454" t="str">
        <f t="shared" si="47"/>
        <v>14</v>
      </c>
      <c r="C175" s="454" t="str">
        <f t="array" ref="C175">_xlfn.IFS(_xlfn.NUMBERVALUE(B175)&lt;=13,"Q1",AND(_xlfn.NUMBERVALUE(B175)&gt;13,_xlfn.NUMBERVALUE(B175)&lt;=26),"Q2", AND(_xlfn.NUMBERVALUE(B175)&gt;26,_xlfn.NUMBERVALUE(B175)&lt;=39),"Q3",_xlfn.NUMBERVALUE(B175)&gt;39,"Q4")</f>
        <v>Q2</v>
      </c>
      <c r="D175" s="448">
        <f t="shared" si="58"/>
        <v>45045</v>
      </c>
      <c r="E175" s="448">
        <f t="shared" si="48"/>
        <v>45051</v>
      </c>
      <c r="F175" s="79">
        <v>202314</v>
      </c>
      <c r="G175" s="180">
        <f t="shared" si="49"/>
        <v>0</v>
      </c>
      <c r="H175" s="429"/>
      <c r="I175" s="429"/>
      <c r="J175" s="429"/>
      <c r="K175" s="180">
        <f t="shared" si="59"/>
        <v>0</v>
      </c>
      <c r="L175" s="429"/>
      <c r="M175" s="429"/>
      <c r="N175" s="532"/>
      <c r="O175" s="186" t="str">
        <f t="shared" si="50"/>
        <v/>
      </c>
      <c r="P175" s="468" t="str">
        <f t="shared" si="51"/>
        <v/>
      </c>
      <c r="Q175" s="468" t="str">
        <f t="shared" si="52"/>
        <v/>
      </c>
      <c r="R175" s="186" t="str">
        <f t="shared" si="60"/>
        <v/>
      </c>
      <c r="S175" s="468" t="str">
        <f t="shared" si="61"/>
        <v/>
      </c>
      <c r="T175" s="468" t="str">
        <f t="shared" si="62"/>
        <v/>
      </c>
      <c r="U175" s="186" t="str">
        <f t="shared" si="53"/>
        <v/>
      </c>
      <c r="V175" s="468" t="str">
        <f t="shared" si="54"/>
        <v/>
      </c>
      <c r="W175" s="468" t="str">
        <f t="shared" si="55"/>
        <v/>
      </c>
      <c r="X175" s="468" t="str">
        <f t="shared" si="56"/>
        <v/>
      </c>
      <c r="Y175" s="283" t="str">
        <f t="shared" si="57"/>
        <v/>
      </c>
    </row>
    <row r="176" spans="1:25" ht="16.350000000000001" customHeight="1">
      <c r="A176" s="175">
        <f t="shared" si="46"/>
        <v>2024</v>
      </c>
      <c r="B176" s="454" t="str">
        <f t="shared" si="47"/>
        <v>15</v>
      </c>
      <c r="C176" s="454" t="str">
        <f t="array" ref="C176">_xlfn.IFS(_xlfn.NUMBERVALUE(B176)&lt;=13,"Q1",AND(_xlfn.NUMBERVALUE(B176)&gt;13,_xlfn.NUMBERVALUE(B176)&lt;=26),"Q2", AND(_xlfn.NUMBERVALUE(B176)&gt;26,_xlfn.NUMBERVALUE(B176)&lt;=39),"Q3",_xlfn.NUMBERVALUE(B176)&gt;39,"Q4")</f>
        <v>Q2</v>
      </c>
      <c r="D176" s="448">
        <f t="shared" si="58"/>
        <v>45052</v>
      </c>
      <c r="E176" s="448">
        <f t="shared" si="48"/>
        <v>45058</v>
      </c>
      <c r="F176" s="79">
        <v>202315</v>
      </c>
      <c r="G176" s="180">
        <f t="shared" si="49"/>
        <v>0</v>
      </c>
      <c r="H176" s="429"/>
      <c r="I176" s="429"/>
      <c r="J176" s="429"/>
      <c r="K176" s="180">
        <f t="shared" si="59"/>
        <v>0</v>
      </c>
      <c r="L176" s="429"/>
      <c r="M176" s="429"/>
      <c r="N176" s="532"/>
      <c r="O176" s="186" t="str">
        <f t="shared" si="50"/>
        <v/>
      </c>
      <c r="P176" s="468" t="str">
        <f t="shared" si="51"/>
        <v/>
      </c>
      <c r="Q176" s="468" t="str">
        <f t="shared" si="52"/>
        <v/>
      </c>
      <c r="R176" s="186" t="str">
        <f t="shared" si="60"/>
        <v/>
      </c>
      <c r="S176" s="468" t="str">
        <f t="shared" si="61"/>
        <v/>
      </c>
      <c r="T176" s="468" t="str">
        <f t="shared" si="62"/>
        <v/>
      </c>
      <c r="U176" s="186" t="str">
        <f t="shared" si="53"/>
        <v/>
      </c>
      <c r="V176" s="468" t="str">
        <f t="shared" si="54"/>
        <v/>
      </c>
      <c r="W176" s="468" t="str">
        <f t="shared" si="55"/>
        <v/>
      </c>
      <c r="X176" s="468" t="str">
        <f t="shared" si="56"/>
        <v/>
      </c>
      <c r="Y176" s="283" t="str">
        <f t="shared" si="57"/>
        <v/>
      </c>
    </row>
    <row r="177" spans="1:25" ht="16.350000000000001" customHeight="1">
      <c r="A177" s="175">
        <f t="shared" si="46"/>
        <v>2024</v>
      </c>
      <c r="B177" s="454" t="str">
        <f t="shared" si="47"/>
        <v>16</v>
      </c>
      <c r="C177" s="454" t="str">
        <f t="array" ref="C177">_xlfn.IFS(_xlfn.NUMBERVALUE(B177)&lt;=13,"Q1",AND(_xlfn.NUMBERVALUE(B177)&gt;13,_xlfn.NUMBERVALUE(B177)&lt;=26),"Q2", AND(_xlfn.NUMBERVALUE(B177)&gt;26,_xlfn.NUMBERVALUE(B177)&lt;=39),"Q3",_xlfn.NUMBERVALUE(B177)&gt;39,"Q4")</f>
        <v>Q2</v>
      </c>
      <c r="D177" s="448">
        <f t="shared" si="58"/>
        <v>45059</v>
      </c>
      <c r="E177" s="448">
        <f t="shared" si="48"/>
        <v>45065</v>
      </c>
      <c r="F177" s="79">
        <v>202316</v>
      </c>
      <c r="G177" s="180">
        <f t="shared" si="49"/>
        <v>0</v>
      </c>
      <c r="H177" s="429"/>
      <c r="I177" s="429"/>
      <c r="J177" s="429"/>
      <c r="K177" s="180">
        <f t="shared" si="59"/>
        <v>0</v>
      </c>
      <c r="L177" s="429"/>
      <c r="M177" s="429"/>
      <c r="N177" s="532"/>
      <c r="O177" s="186" t="str">
        <f t="shared" si="50"/>
        <v/>
      </c>
      <c r="P177" s="468" t="str">
        <f t="shared" si="51"/>
        <v/>
      </c>
      <c r="Q177" s="468" t="str">
        <f t="shared" si="52"/>
        <v/>
      </c>
      <c r="R177" s="186" t="str">
        <f t="shared" si="60"/>
        <v/>
      </c>
      <c r="S177" s="468" t="str">
        <f t="shared" si="61"/>
        <v/>
      </c>
      <c r="T177" s="468" t="str">
        <f t="shared" si="62"/>
        <v/>
      </c>
      <c r="U177" s="186" t="str">
        <f t="shared" si="53"/>
        <v/>
      </c>
      <c r="V177" s="468" t="str">
        <f t="shared" si="54"/>
        <v/>
      </c>
      <c r="W177" s="468" t="str">
        <f t="shared" si="55"/>
        <v/>
      </c>
      <c r="X177" s="468" t="str">
        <f t="shared" si="56"/>
        <v/>
      </c>
      <c r="Y177" s="283" t="str">
        <f t="shared" si="57"/>
        <v/>
      </c>
    </row>
    <row r="178" spans="1:25" ht="16.350000000000001" customHeight="1">
      <c r="A178" s="175">
        <f t="shared" si="46"/>
        <v>2024</v>
      </c>
      <c r="B178" s="454" t="str">
        <f t="shared" si="47"/>
        <v>17</v>
      </c>
      <c r="C178" s="454" t="str">
        <f t="array" ref="C178">_xlfn.IFS(_xlfn.NUMBERVALUE(B178)&lt;=13,"Q1",AND(_xlfn.NUMBERVALUE(B178)&gt;13,_xlfn.NUMBERVALUE(B178)&lt;=26),"Q2", AND(_xlfn.NUMBERVALUE(B178)&gt;26,_xlfn.NUMBERVALUE(B178)&lt;=39),"Q3",_xlfn.NUMBERVALUE(B178)&gt;39,"Q4")</f>
        <v>Q2</v>
      </c>
      <c r="D178" s="448">
        <f t="shared" si="58"/>
        <v>45066</v>
      </c>
      <c r="E178" s="448">
        <f t="shared" si="48"/>
        <v>45072</v>
      </c>
      <c r="F178" s="79">
        <v>202317</v>
      </c>
      <c r="G178" s="180">
        <f t="shared" si="49"/>
        <v>0</v>
      </c>
      <c r="H178" s="429"/>
      <c r="I178" s="429"/>
      <c r="J178" s="429"/>
      <c r="K178" s="180">
        <f t="shared" si="59"/>
        <v>0</v>
      </c>
      <c r="L178" s="429"/>
      <c r="M178" s="429"/>
      <c r="N178" s="532"/>
      <c r="O178" s="186" t="str">
        <f t="shared" si="50"/>
        <v/>
      </c>
      <c r="P178" s="468" t="str">
        <f t="shared" si="51"/>
        <v/>
      </c>
      <c r="Q178" s="468" t="str">
        <f t="shared" si="52"/>
        <v/>
      </c>
      <c r="R178" s="186" t="str">
        <f t="shared" si="60"/>
        <v/>
      </c>
      <c r="S178" s="468" t="str">
        <f t="shared" si="61"/>
        <v/>
      </c>
      <c r="T178" s="468" t="str">
        <f t="shared" si="62"/>
        <v/>
      </c>
      <c r="U178" s="186" t="str">
        <f t="shared" si="53"/>
        <v/>
      </c>
      <c r="V178" s="468" t="str">
        <f t="shared" si="54"/>
        <v/>
      </c>
      <c r="W178" s="468" t="str">
        <f t="shared" si="55"/>
        <v/>
      </c>
      <c r="X178" s="468" t="str">
        <f t="shared" si="56"/>
        <v/>
      </c>
      <c r="Y178" s="283" t="str">
        <f t="shared" si="57"/>
        <v/>
      </c>
    </row>
    <row r="179" spans="1:25" ht="16.350000000000001" customHeight="1">
      <c r="A179" s="175">
        <f t="shared" si="46"/>
        <v>2024</v>
      </c>
      <c r="B179" s="454" t="str">
        <f t="shared" si="47"/>
        <v>18</v>
      </c>
      <c r="C179" s="454" t="str">
        <f t="array" ref="C179">_xlfn.IFS(_xlfn.NUMBERVALUE(B179)&lt;=13,"Q1",AND(_xlfn.NUMBERVALUE(B179)&gt;13,_xlfn.NUMBERVALUE(B179)&lt;=26),"Q2", AND(_xlfn.NUMBERVALUE(B179)&gt;26,_xlfn.NUMBERVALUE(B179)&lt;=39),"Q3",_xlfn.NUMBERVALUE(B179)&gt;39,"Q4")</f>
        <v>Q2</v>
      </c>
      <c r="D179" s="448">
        <f t="shared" si="58"/>
        <v>45073</v>
      </c>
      <c r="E179" s="448">
        <f t="shared" si="48"/>
        <v>45079</v>
      </c>
      <c r="F179" s="79">
        <v>202318</v>
      </c>
      <c r="G179" s="180">
        <f t="shared" si="49"/>
        <v>0</v>
      </c>
      <c r="H179" s="429"/>
      <c r="I179" s="429"/>
      <c r="J179" s="429"/>
      <c r="K179" s="180">
        <f t="shared" si="59"/>
        <v>0</v>
      </c>
      <c r="L179" s="429"/>
      <c r="M179" s="429"/>
      <c r="N179" s="532"/>
      <c r="O179" s="186" t="str">
        <f t="shared" si="50"/>
        <v/>
      </c>
      <c r="P179" s="468" t="str">
        <f t="shared" si="51"/>
        <v/>
      </c>
      <c r="Q179" s="468" t="str">
        <f t="shared" si="52"/>
        <v/>
      </c>
      <c r="R179" s="186" t="str">
        <f t="shared" si="60"/>
        <v/>
      </c>
      <c r="S179" s="468" t="str">
        <f t="shared" si="61"/>
        <v/>
      </c>
      <c r="T179" s="468" t="str">
        <f t="shared" si="62"/>
        <v/>
      </c>
      <c r="U179" s="186" t="str">
        <f t="shared" si="53"/>
        <v/>
      </c>
      <c r="V179" s="468" t="str">
        <f t="shared" si="54"/>
        <v/>
      </c>
      <c r="W179" s="468" t="str">
        <f t="shared" si="55"/>
        <v/>
      </c>
      <c r="X179" s="468" t="str">
        <f t="shared" si="56"/>
        <v/>
      </c>
      <c r="Y179" s="283" t="str">
        <f t="shared" si="57"/>
        <v/>
      </c>
    </row>
    <row r="180" spans="1:25" ht="16.350000000000001" customHeight="1">
      <c r="A180" s="175">
        <f t="shared" si="46"/>
        <v>2024</v>
      </c>
      <c r="B180" s="454" t="str">
        <f t="shared" si="47"/>
        <v>19</v>
      </c>
      <c r="C180" s="454" t="str">
        <f t="array" ref="C180">_xlfn.IFS(_xlfn.NUMBERVALUE(B180)&lt;=13,"Q1",AND(_xlfn.NUMBERVALUE(B180)&gt;13,_xlfn.NUMBERVALUE(B180)&lt;=26),"Q2", AND(_xlfn.NUMBERVALUE(B180)&gt;26,_xlfn.NUMBERVALUE(B180)&lt;=39),"Q3",_xlfn.NUMBERVALUE(B180)&gt;39,"Q4")</f>
        <v>Q2</v>
      </c>
      <c r="D180" s="448">
        <f t="shared" si="58"/>
        <v>45080</v>
      </c>
      <c r="E180" s="448">
        <f t="shared" si="48"/>
        <v>45086</v>
      </c>
      <c r="F180" s="79">
        <v>202319</v>
      </c>
      <c r="G180" s="180">
        <f t="shared" si="49"/>
        <v>0</v>
      </c>
      <c r="H180" s="429"/>
      <c r="I180" s="429"/>
      <c r="J180" s="429"/>
      <c r="K180" s="180">
        <f t="shared" si="59"/>
        <v>0</v>
      </c>
      <c r="L180" s="429"/>
      <c r="M180" s="429"/>
      <c r="N180" s="532"/>
      <c r="O180" s="186" t="str">
        <f t="shared" si="50"/>
        <v/>
      </c>
      <c r="P180" s="468" t="str">
        <f t="shared" si="51"/>
        <v/>
      </c>
      <c r="Q180" s="468" t="str">
        <f t="shared" si="52"/>
        <v/>
      </c>
      <c r="R180" s="186" t="str">
        <f t="shared" si="60"/>
        <v/>
      </c>
      <c r="S180" s="468" t="str">
        <f t="shared" si="61"/>
        <v/>
      </c>
      <c r="T180" s="468" t="str">
        <f t="shared" si="62"/>
        <v/>
      </c>
      <c r="U180" s="186" t="str">
        <f t="shared" si="53"/>
        <v/>
      </c>
      <c r="V180" s="468" t="str">
        <f t="shared" si="54"/>
        <v/>
      </c>
      <c r="W180" s="468" t="str">
        <f t="shared" si="55"/>
        <v/>
      </c>
      <c r="X180" s="468" t="str">
        <f t="shared" si="56"/>
        <v/>
      </c>
      <c r="Y180" s="283" t="str">
        <f t="shared" si="57"/>
        <v/>
      </c>
    </row>
    <row r="181" spans="1:25" ht="16.350000000000001" customHeight="1">
      <c r="A181" s="175">
        <f t="shared" si="46"/>
        <v>2024</v>
      </c>
      <c r="B181" s="454" t="str">
        <f t="shared" si="47"/>
        <v>20</v>
      </c>
      <c r="C181" s="454" t="str">
        <f t="array" ref="C181">_xlfn.IFS(_xlfn.NUMBERVALUE(B181)&lt;=13,"Q1",AND(_xlfn.NUMBERVALUE(B181)&gt;13,_xlfn.NUMBERVALUE(B181)&lt;=26),"Q2", AND(_xlfn.NUMBERVALUE(B181)&gt;26,_xlfn.NUMBERVALUE(B181)&lt;=39),"Q3",_xlfn.NUMBERVALUE(B181)&gt;39,"Q4")</f>
        <v>Q2</v>
      </c>
      <c r="D181" s="448">
        <f t="shared" si="58"/>
        <v>45087</v>
      </c>
      <c r="E181" s="448">
        <f t="shared" si="48"/>
        <v>45093</v>
      </c>
      <c r="F181" s="79">
        <v>202320</v>
      </c>
      <c r="G181" s="180">
        <f t="shared" si="49"/>
        <v>0</v>
      </c>
      <c r="H181" s="429"/>
      <c r="I181" s="429"/>
      <c r="J181" s="429"/>
      <c r="K181" s="180">
        <f t="shared" si="59"/>
        <v>0</v>
      </c>
      <c r="L181" s="429"/>
      <c r="M181" s="429"/>
      <c r="N181" s="532"/>
      <c r="O181" s="186" t="str">
        <f t="shared" si="50"/>
        <v/>
      </c>
      <c r="P181" s="468" t="str">
        <f t="shared" si="51"/>
        <v/>
      </c>
      <c r="Q181" s="468" t="str">
        <f t="shared" si="52"/>
        <v/>
      </c>
      <c r="R181" s="186" t="str">
        <f t="shared" si="60"/>
        <v/>
      </c>
      <c r="S181" s="468" t="str">
        <f t="shared" si="61"/>
        <v/>
      </c>
      <c r="T181" s="468" t="str">
        <f t="shared" si="62"/>
        <v/>
      </c>
      <c r="U181" s="186" t="str">
        <f t="shared" si="53"/>
        <v/>
      </c>
      <c r="V181" s="468" t="str">
        <f t="shared" si="54"/>
        <v/>
      </c>
      <c r="W181" s="468" t="str">
        <f t="shared" si="55"/>
        <v/>
      </c>
      <c r="X181" s="468" t="str">
        <f t="shared" si="56"/>
        <v/>
      </c>
      <c r="Y181" s="283" t="str">
        <f t="shared" si="57"/>
        <v/>
      </c>
    </row>
    <row r="182" spans="1:25" ht="16.350000000000001" customHeight="1">
      <c r="A182" s="175">
        <f t="shared" si="46"/>
        <v>2024</v>
      </c>
      <c r="B182" s="454" t="str">
        <f t="shared" si="47"/>
        <v>21</v>
      </c>
      <c r="C182" s="454" t="str">
        <f t="array" ref="C182">_xlfn.IFS(_xlfn.NUMBERVALUE(B182)&lt;=13,"Q1",AND(_xlfn.NUMBERVALUE(B182)&gt;13,_xlfn.NUMBERVALUE(B182)&lt;=26),"Q2", AND(_xlfn.NUMBERVALUE(B182)&gt;26,_xlfn.NUMBERVALUE(B182)&lt;=39),"Q3",_xlfn.NUMBERVALUE(B182)&gt;39,"Q4")</f>
        <v>Q2</v>
      </c>
      <c r="D182" s="448">
        <f t="shared" si="58"/>
        <v>45094</v>
      </c>
      <c r="E182" s="448">
        <f t="shared" si="48"/>
        <v>45100</v>
      </c>
      <c r="F182" s="79">
        <v>202321</v>
      </c>
      <c r="G182" s="180">
        <f t="shared" si="49"/>
        <v>0</v>
      </c>
      <c r="H182" s="429"/>
      <c r="I182" s="429"/>
      <c r="J182" s="429"/>
      <c r="K182" s="180">
        <f t="shared" si="59"/>
        <v>0</v>
      </c>
      <c r="L182" s="429"/>
      <c r="M182" s="429"/>
      <c r="N182" s="532"/>
      <c r="O182" s="186" t="str">
        <f t="shared" si="50"/>
        <v/>
      </c>
      <c r="P182" s="468" t="str">
        <f t="shared" si="51"/>
        <v/>
      </c>
      <c r="Q182" s="468" t="str">
        <f t="shared" si="52"/>
        <v/>
      </c>
      <c r="R182" s="186" t="str">
        <f t="shared" si="60"/>
        <v/>
      </c>
      <c r="S182" s="468" t="str">
        <f t="shared" si="61"/>
        <v/>
      </c>
      <c r="T182" s="468" t="str">
        <f t="shared" si="62"/>
        <v/>
      </c>
      <c r="U182" s="186" t="str">
        <f t="shared" si="53"/>
        <v/>
      </c>
      <c r="V182" s="468" t="str">
        <f t="shared" si="54"/>
        <v/>
      </c>
      <c r="W182" s="468" t="str">
        <f t="shared" si="55"/>
        <v/>
      </c>
      <c r="X182" s="468" t="str">
        <f t="shared" si="56"/>
        <v/>
      </c>
      <c r="Y182" s="283" t="str">
        <f t="shared" si="57"/>
        <v/>
      </c>
    </row>
    <row r="183" spans="1:25" ht="16.350000000000001" customHeight="1">
      <c r="A183" s="175">
        <f t="shared" si="46"/>
        <v>2024</v>
      </c>
      <c r="B183" s="454" t="str">
        <f t="shared" si="47"/>
        <v>22</v>
      </c>
      <c r="C183" s="454" t="str">
        <f t="array" ref="C183">_xlfn.IFS(_xlfn.NUMBERVALUE(B183)&lt;=13,"Q1",AND(_xlfn.NUMBERVALUE(B183)&gt;13,_xlfn.NUMBERVALUE(B183)&lt;=26),"Q2", AND(_xlfn.NUMBERVALUE(B183)&gt;26,_xlfn.NUMBERVALUE(B183)&lt;=39),"Q3",_xlfn.NUMBERVALUE(B183)&gt;39,"Q4")</f>
        <v>Q2</v>
      </c>
      <c r="D183" s="448">
        <f t="shared" si="58"/>
        <v>45101</v>
      </c>
      <c r="E183" s="448">
        <f t="shared" si="48"/>
        <v>45107</v>
      </c>
      <c r="F183" s="79">
        <v>202322</v>
      </c>
      <c r="G183" s="180">
        <f t="shared" si="49"/>
        <v>0</v>
      </c>
      <c r="H183" s="429"/>
      <c r="I183" s="429"/>
      <c r="J183" s="429"/>
      <c r="K183" s="180">
        <f t="shared" si="59"/>
        <v>0</v>
      </c>
      <c r="L183" s="429"/>
      <c r="M183" s="429"/>
      <c r="N183" s="532"/>
      <c r="O183" s="186" t="str">
        <f t="shared" si="50"/>
        <v/>
      </c>
      <c r="P183" s="468" t="str">
        <f t="shared" si="51"/>
        <v/>
      </c>
      <c r="Q183" s="468" t="str">
        <f t="shared" si="52"/>
        <v/>
      </c>
      <c r="R183" s="186" t="str">
        <f t="shared" si="60"/>
        <v/>
      </c>
      <c r="S183" s="468" t="str">
        <f t="shared" si="61"/>
        <v/>
      </c>
      <c r="T183" s="468" t="str">
        <f t="shared" si="62"/>
        <v/>
      </c>
      <c r="U183" s="186" t="str">
        <f t="shared" si="53"/>
        <v/>
      </c>
      <c r="V183" s="468" t="str">
        <f t="shared" si="54"/>
        <v/>
      </c>
      <c r="W183" s="468" t="str">
        <f t="shared" si="55"/>
        <v/>
      </c>
      <c r="X183" s="468" t="str">
        <f t="shared" si="56"/>
        <v/>
      </c>
      <c r="Y183" s="283" t="str">
        <f t="shared" si="57"/>
        <v/>
      </c>
    </row>
    <row r="184" spans="1:25" ht="16.350000000000001" customHeight="1">
      <c r="A184" s="175">
        <f t="shared" si="46"/>
        <v>2024</v>
      </c>
      <c r="B184" s="454" t="str">
        <f t="shared" si="47"/>
        <v>23</v>
      </c>
      <c r="C184" s="454" t="str">
        <f t="array" ref="C184">_xlfn.IFS(_xlfn.NUMBERVALUE(B184)&lt;=13,"Q1",AND(_xlfn.NUMBERVALUE(B184)&gt;13,_xlfn.NUMBERVALUE(B184)&lt;=26),"Q2", AND(_xlfn.NUMBERVALUE(B184)&gt;26,_xlfn.NUMBERVALUE(B184)&lt;=39),"Q3",_xlfn.NUMBERVALUE(B184)&gt;39,"Q4")</f>
        <v>Q2</v>
      </c>
      <c r="D184" s="448">
        <f t="shared" si="58"/>
        <v>45108</v>
      </c>
      <c r="E184" s="448">
        <f t="shared" si="48"/>
        <v>45114</v>
      </c>
      <c r="F184" s="79">
        <v>202323</v>
      </c>
      <c r="G184" s="180">
        <f t="shared" si="49"/>
        <v>0</v>
      </c>
      <c r="H184" s="429"/>
      <c r="I184" s="429"/>
      <c r="J184" s="429"/>
      <c r="K184" s="180">
        <f t="shared" si="59"/>
        <v>0</v>
      </c>
      <c r="L184" s="429"/>
      <c r="M184" s="429"/>
      <c r="N184" s="532"/>
      <c r="O184" s="186" t="str">
        <f t="shared" si="50"/>
        <v/>
      </c>
      <c r="P184" s="468" t="str">
        <f t="shared" si="51"/>
        <v/>
      </c>
      <c r="Q184" s="468" t="str">
        <f t="shared" si="52"/>
        <v/>
      </c>
      <c r="R184" s="186" t="str">
        <f t="shared" si="60"/>
        <v/>
      </c>
      <c r="S184" s="468" t="str">
        <f t="shared" si="61"/>
        <v/>
      </c>
      <c r="T184" s="468" t="str">
        <f t="shared" si="62"/>
        <v/>
      </c>
      <c r="U184" s="186" t="str">
        <f t="shared" si="53"/>
        <v/>
      </c>
      <c r="V184" s="468" t="str">
        <f t="shared" si="54"/>
        <v/>
      </c>
      <c r="W184" s="468" t="str">
        <f t="shared" si="55"/>
        <v/>
      </c>
      <c r="X184" s="468" t="str">
        <f t="shared" si="56"/>
        <v/>
      </c>
      <c r="Y184" s="283" t="str">
        <f t="shared" si="57"/>
        <v/>
      </c>
    </row>
    <row r="185" spans="1:25" ht="16.350000000000001" customHeight="1">
      <c r="A185" s="175">
        <f t="shared" si="46"/>
        <v>2024</v>
      </c>
      <c r="B185" s="454" t="str">
        <f t="shared" si="47"/>
        <v>24</v>
      </c>
      <c r="C185" s="454" t="str">
        <f t="array" ref="C185">_xlfn.IFS(_xlfn.NUMBERVALUE(B185)&lt;=13,"Q1",AND(_xlfn.NUMBERVALUE(B185)&gt;13,_xlfn.NUMBERVALUE(B185)&lt;=26),"Q2", AND(_xlfn.NUMBERVALUE(B185)&gt;26,_xlfn.NUMBERVALUE(B185)&lt;=39),"Q3",_xlfn.NUMBERVALUE(B185)&gt;39,"Q4")</f>
        <v>Q2</v>
      </c>
      <c r="D185" s="448">
        <f t="shared" si="58"/>
        <v>45115</v>
      </c>
      <c r="E185" s="448">
        <f t="shared" si="48"/>
        <v>45121</v>
      </c>
      <c r="F185" s="79">
        <v>202324</v>
      </c>
      <c r="G185" s="180">
        <f t="shared" si="49"/>
        <v>0</v>
      </c>
      <c r="H185" s="429"/>
      <c r="I185" s="429"/>
      <c r="J185" s="429"/>
      <c r="K185" s="180">
        <f t="shared" si="59"/>
        <v>0</v>
      </c>
      <c r="L185" s="429"/>
      <c r="M185" s="429"/>
      <c r="N185" s="532"/>
      <c r="O185" s="186" t="str">
        <f t="shared" si="50"/>
        <v/>
      </c>
      <c r="P185" s="468" t="str">
        <f t="shared" si="51"/>
        <v/>
      </c>
      <c r="Q185" s="468" t="str">
        <f t="shared" si="52"/>
        <v/>
      </c>
      <c r="R185" s="186" t="str">
        <f t="shared" si="60"/>
        <v/>
      </c>
      <c r="S185" s="468" t="str">
        <f t="shared" si="61"/>
        <v/>
      </c>
      <c r="T185" s="468" t="str">
        <f t="shared" si="62"/>
        <v/>
      </c>
      <c r="U185" s="186" t="str">
        <f t="shared" si="53"/>
        <v/>
      </c>
      <c r="V185" s="468" t="str">
        <f t="shared" si="54"/>
        <v/>
      </c>
      <c r="W185" s="468" t="str">
        <f t="shared" si="55"/>
        <v/>
      </c>
      <c r="X185" s="468" t="str">
        <f t="shared" si="56"/>
        <v/>
      </c>
      <c r="Y185" s="283" t="str">
        <f t="shared" si="57"/>
        <v/>
      </c>
    </row>
    <row r="186" spans="1:25" ht="16.350000000000001" customHeight="1">
      <c r="A186" s="175">
        <f t="shared" si="46"/>
        <v>2024</v>
      </c>
      <c r="B186" s="454" t="str">
        <f t="shared" si="47"/>
        <v>25</v>
      </c>
      <c r="C186" s="454" t="str">
        <f t="array" ref="C186">_xlfn.IFS(_xlfn.NUMBERVALUE(B186)&lt;=13,"Q1",AND(_xlfn.NUMBERVALUE(B186)&gt;13,_xlfn.NUMBERVALUE(B186)&lt;=26),"Q2", AND(_xlfn.NUMBERVALUE(B186)&gt;26,_xlfn.NUMBERVALUE(B186)&lt;=39),"Q3",_xlfn.NUMBERVALUE(B186)&gt;39,"Q4")</f>
        <v>Q2</v>
      </c>
      <c r="D186" s="448">
        <f t="shared" si="58"/>
        <v>45122</v>
      </c>
      <c r="E186" s="448">
        <f t="shared" si="48"/>
        <v>45128</v>
      </c>
      <c r="F186" s="79">
        <v>202325</v>
      </c>
      <c r="G186" s="180">
        <f t="shared" si="49"/>
        <v>0</v>
      </c>
      <c r="H186" s="429"/>
      <c r="I186" s="429"/>
      <c r="J186" s="429"/>
      <c r="K186" s="180">
        <f t="shared" si="59"/>
        <v>0</v>
      </c>
      <c r="L186" s="429"/>
      <c r="M186" s="429"/>
      <c r="N186" s="532"/>
      <c r="O186" s="186" t="str">
        <f t="shared" si="50"/>
        <v/>
      </c>
      <c r="P186" s="468" t="str">
        <f t="shared" si="51"/>
        <v/>
      </c>
      <c r="Q186" s="468" t="str">
        <f t="shared" si="52"/>
        <v/>
      </c>
      <c r="R186" s="186" t="str">
        <f t="shared" si="60"/>
        <v/>
      </c>
      <c r="S186" s="468" t="str">
        <f t="shared" si="61"/>
        <v/>
      </c>
      <c r="T186" s="468" t="str">
        <f t="shared" si="62"/>
        <v/>
      </c>
      <c r="U186" s="186" t="str">
        <f t="shared" si="53"/>
        <v/>
      </c>
      <c r="V186" s="468" t="str">
        <f t="shared" si="54"/>
        <v/>
      </c>
      <c r="W186" s="468" t="str">
        <f t="shared" si="55"/>
        <v/>
      </c>
      <c r="X186" s="468" t="str">
        <f t="shared" si="56"/>
        <v/>
      </c>
      <c r="Y186" s="283" t="str">
        <f t="shared" si="57"/>
        <v/>
      </c>
    </row>
    <row r="187" spans="1:25" ht="16.350000000000001" customHeight="1">
      <c r="A187" s="175">
        <f t="shared" si="46"/>
        <v>2024</v>
      </c>
      <c r="B187" s="454" t="str">
        <f t="shared" si="47"/>
        <v>26</v>
      </c>
      <c r="C187" s="454" t="str">
        <f t="array" ref="C187">_xlfn.IFS(_xlfn.NUMBERVALUE(B187)&lt;=13,"Q1",AND(_xlfn.NUMBERVALUE(B187)&gt;13,_xlfn.NUMBERVALUE(B187)&lt;=26),"Q2", AND(_xlfn.NUMBERVALUE(B187)&gt;26,_xlfn.NUMBERVALUE(B187)&lt;=39),"Q3",_xlfn.NUMBERVALUE(B187)&gt;39,"Q4")</f>
        <v>Q2</v>
      </c>
      <c r="D187" s="448">
        <f t="shared" si="58"/>
        <v>45129</v>
      </c>
      <c r="E187" s="448">
        <f t="shared" si="48"/>
        <v>45135</v>
      </c>
      <c r="F187" s="79">
        <v>202326</v>
      </c>
      <c r="G187" s="180">
        <f t="shared" si="49"/>
        <v>0</v>
      </c>
      <c r="H187" s="429"/>
      <c r="I187" s="429"/>
      <c r="J187" s="429"/>
      <c r="K187" s="180">
        <f t="shared" ref="K187:K218" si="63">SUM(L187:N187)</f>
        <v>0</v>
      </c>
      <c r="L187" s="429"/>
      <c r="M187" s="429"/>
      <c r="N187" s="532"/>
      <c r="O187" s="186" t="str">
        <f t="shared" si="50"/>
        <v/>
      </c>
      <c r="P187" s="468" t="str">
        <f t="shared" si="51"/>
        <v/>
      </c>
      <c r="Q187" s="468" t="str">
        <f t="shared" si="52"/>
        <v/>
      </c>
      <c r="R187" s="186" t="str">
        <f t="shared" ref="R187:R218" si="64">IFERROR(L187/$K187,"")</f>
        <v/>
      </c>
      <c r="S187" s="468" t="str">
        <f t="shared" ref="S187:S218" si="65">IFERROR(M187/$K187,"")</f>
        <v/>
      </c>
      <c r="T187" s="468" t="str">
        <f t="shared" ref="T187:T218" si="66">IFERROR(N187/$K187,"")</f>
        <v/>
      </c>
      <c r="U187" s="186" t="str">
        <f t="shared" si="53"/>
        <v/>
      </c>
      <c r="V187" s="468" t="str">
        <f t="shared" si="54"/>
        <v/>
      </c>
      <c r="W187" s="468" t="str">
        <f t="shared" si="55"/>
        <v/>
      </c>
      <c r="X187" s="468" t="str">
        <f t="shared" si="56"/>
        <v/>
      </c>
      <c r="Y187" s="283" t="str">
        <f t="shared" si="57"/>
        <v/>
      </c>
    </row>
    <row r="188" spans="1:25" ht="16.350000000000001" customHeight="1">
      <c r="A188" s="175">
        <f t="shared" si="46"/>
        <v>2024</v>
      </c>
      <c r="B188" s="454" t="str">
        <f t="shared" si="47"/>
        <v>27</v>
      </c>
      <c r="C188" s="454" t="str">
        <f t="array" ref="C188">_xlfn.IFS(_xlfn.NUMBERVALUE(B188)&lt;=13,"Q1",AND(_xlfn.NUMBERVALUE(B188)&gt;13,_xlfn.NUMBERVALUE(B188)&lt;=26),"Q2", AND(_xlfn.NUMBERVALUE(B188)&gt;26,_xlfn.NUMBERVALUE(B188)&lt;=39),"Q3",_xlfn.NUMBERVALUE(B188)&gt;39,"Q4")</f>
        <v>Q3</v>
      </c>
      <c r="D188" s="448">
        <f t="shared" si="58"/>
        <v>45136</v>
      </c>
      <c r="E188" s="448">
        <f t="shared" si="48"/>
        <v>45142</v>
      </c>
      <c r="F188" s="79">
        <v>202327</v>
      </c>
      <c r="G188" s="180">
        <f t="shared" si="49"/>
        <v>0</v>
      </c>
      <c r="H188" s="429"/>
      <c r="I188" s="429"/>
      <c r="J188" s="429"/>
      <c r="K188" s="180">
        <f t="shared" si="63"/>
        <v>0</v>
      </c>
      <c r="L188" s="429"/>
      <c r="M188" s="429"/>
      <c r="N188" s="532"/>
      <c r="O188" s="186" t="str">
        <f t="shared" si="50"/>
        <v/>
      </c>
      <c r="P188" s="468" t="str">
        <f t="shared" si="51"/>
        <v/>
      </c>
      <c r="Q188" s="468" t="str">
        <f t="shared" si="52"/>
        <v/>
      </c>
      <c r="R188" s="186" t="str">
        <f t="shared" si="64"/>
        <v/>
      </c>
      <c r="S188" s="468" t="str">
        <f t="shared" si="65"/>
        <v/>
      </c>
      <c r="T188" s="468" t="str">
        <f t="shared" si="66"/>
        <v/>
      </c>
      <c r="U188" s="186" t="str">
        <f t="shared" si="53"/>
        <v/>
      </c>
      <c r="V188" s="468" t="str">
        <f t="shared" si="54"/>
        <v/>
      </c>
      <c r="W188" s="468" t="str">
        <f t="shared" si="55"/>
        <v/>
      </c>
      <c r="X188" s="468" t="str">
        <f t="shared" si="56"/>
        <v/>
      </c>
      <c r="Y188" s="283" t="str">
        <f t="shared" si="57"/>
        <v/>
      </c>
    </row>
    <row r="189" spans="1:25" ht="16.350000000000001" customHeight="1">
      <c r="A189" s="175">
        <f t="shared" si="46"/>
        <v>2024</v>
      </c>
      <c r="B189" s="454" t="str">
        <f t="shared" si="47"/>
        <v>28</v>
      </c>
      <c r="C189" s="454" t="str">
        <f t="array" ref="C189">_xlfn.IFS(_xlfn.NUMBERVALUE(B189)&lt;=13,"Q1",AND(_xlfn.NUMBERVALUE(B189)&gt;13,_xlfn.NUMBERVALUE(B189)&lt;=26),"Q2", AND(_xlfn.NUMBERVALUE(B189)&gt;26,_xlfn.NUMBERVALUE(B189)&lt;=39),"Q3",_xlfn.NUMBERVALUE(B189)&gt;39,"Q4")</f>
        <v>Q3</v>
      </c>
      <c r="D189" s="448">
        <f t="shared" si="58"/>
        <v>45143</v>
      </c>
      <c r="E189" s="448">
        <f t="shared" si="48"/>
        <v>45149</v>
      </c>
      <c r="F189" s="79">
        <v>202328</v>
      </c>
      <c r="G189" s="180">
        <f t="shared" si="49"/>
        <v>0</v>
      </c>
      <c r="H189" s="429"/>
      <c r="I189" s="429"/>
      <c r="J189" s="429"/>
      <c r="K189" s="180">
        <f t="shared" si="63"/>
        <v>0</v>
      </c>
      <c r="L189" s="429"/>
      <c r="M189" s="429"/>
      <c r="N189" s="532"/>
      <c r="O189" s="186" t="str">
        <f t="shared" si="50"/>
        <v/>
      </c>
      <c r="P189" s="468" t="str">
        <f t="shared" si="51"/>
        <v/>
      </c>
      <c r="Q189" s="468" t="str">
        <f t="shared" si="52"/>
        <v/>
      </c>
      <c r="R189" s="186" t="str">
        <f t="shared" si="64"/>
        <v/>
      </c>
      <c r="S189" s="468" t="str">
        <f t="shared" si="65"/>
        <v/>
      </c>
      <c r="T189" s="468" t="str">
        <f t="shared" si="66"/>
        <v/>
      </c>
      <c r="U189" s="186" t="str">
        <f t="shared" si="53"/>
        <v/>
      </c>
      <c r="V189" s="468" t="str">
        <f t="shared" si="54"/>
        <v/>
      </c>
      <c r="W189" s="468" t="str">
        <f t="shared" si="55"/>
        <v/>
      </c>
      <c r="X189" s="468" t="str">
        <f t="shared" si="56"/>
        <v/>
      </c>
      <c r="Y189" s="283" t="str">
        <f t="shared" si="57"/>
        <v/>
      </c>
    </row>
    <row r="190" spans="1:25" ht="16.350000000000001" customHeight="1">
      <c r="A190" s="175">
        <f t="shared" si="46"/>
        <v>2024</v>
      </c>
      <c r="B190" s="454" t="str">
        <f t="shared" si="47"/>
        <v>29</v>
      </c>
      <c r="C190" s="454" t="str">
        <f t="array" ref="C190">_xlfn.IFS(_xlfn.NUMBERVALUE(B190)&lt;=13,"Q1",AND(_xlfn.NUMBERVALUE(B190)&gt;13,_xlfn.NUMBERVALUE(B190)&lt;=26),"Q2", AND(_xlfn.NUMBERVALUE(B190)&gt;26,_xlfn.NUMBERVALUE(B190)&lt;=39),"Q3",_xlfn.NUMBERVALUE(B190)&gt;39,"Q4")</f>
        <v>Q3</v>
      </c>
      <c r="D190" s="448">
        <f t="shared" si="58"/>
        <v>45150</v>
      </c>
      <c r="E190" s="448">
        <f t="shared" si="48"/>
        <v>45156</v>
      </c>
      <c r="F190" s="79">
        <v>202329</v>
      </c>
      <c r="G190" s="180">
        <f t="shared" si="49"/>
        <v>0</v>
      </c>
      <c r="H190" s="429"/>
      <c r="I190" s="429"/>
      <c r="J190" s="429"/>
      <c r="K190" s="180">
        <f t="shared" si="63"/>
        <v>0</v>
      </c>
      <c r="L190" s="429"/>
      <c r="M190" s="429"/>
      <c r="N190" s="532"/>
      <c r="O190" s="186" t="str">
        <f t="shared" si="50"/>
        <v/>
      </c>
      <c r="P190" s="468" t="str">
        <f t="shared" si="51"/>
        <v/>
      </c>
      <c r="Q190" s="468" t="str">
        <f t="shared" si="52"/>
        <v/>
      </c>
      <c r="R190" s="186" t="str">
        <f t="shared" si="64"/>
        <v/>
      </c>
      <c r="S190" s="468" t="str">
        <f t="shared" si="65"/>
        <v/>
      </c>
      <c r="T190" s="468" t="str">
        <f t="shared" si="66"/>
        <v/>
      </c>
      <c r="U190" s="186" t="str">
        <f t="shared" si="53"/>
        <v/>
      </c>
      <c r="V190" s="468" t="str">
        <f t="shared" si="54"/>
        <v/>
      </c>
      <c r="W190" s="468" t="str">
        <f t="shared" si="55"/>
        <v/>
      </c>
      <c r="X190" s="468" t="str">
        <f t="shared" si="56"/>
        <v/>
      </c>
      <c r="Y190" s="283" t="str">
        <f t="shared" si="57"/>
        <v/>
      </c>
    </row>
    <row r="191" spans="1:25" ht="16.350000000000001" customHeight="1">
      <c r="A191" s="175">
        <f t="shared" si="46"/>
        <v>2024</v>
      </c>
      <c r="B191" s="454" t="str">
        <f t="shared" si="47"/>
        <v>30</v>
      </c>
      <c r="C191" s="454" t="str">
        <f t="array" ref="C191">_xlfn.IFS(_xlfn.NUMBERVALUE(B191)&lt;=13,"Q1",AND(_xlfn.NUMBERVALUE(B191)&gt;13,_xlfn.NUMBERVALUE(B191)&lt;=26),"Q2", AND(_xlfn.NUMBERVALUE(B191)&gt;26,_xlfn.NUMBERVALUE(B191)&lt;=39),"Q3",_xlfn.NUMBERVALUE(B191)&gt;39,"Q4")</f>
        <v>Q3</v>
      </c>
      <c r="D191" s="448">
        <f t="shared" si="58"/>
        <v>45157</v>
      </c>
      <c r="E191" s="448">
        <f t="shared" si="48"/>
        <v>45163</v>
      </c>
      <c r="F191" s="79">
        <v>202330</v>
      </c>
      <c r="G191" s="180">
        <f t="shared" si="49"/>
        <v>0</v>
      </c>
      <c r="H191" s="429"/>
      <c r="I191" s="429"/>
      <c r="J191" s="429"/>
      <c r="K191" s="180">
        <f t="shared" si="63"/>
        <v>0</v>
      </c>
      <c r="L191" s="429"/>
      <c r="M191" s="429"/>
      <c r="N191" s="532"/>
      <c r="O191" s="186" t="str">
        <f t="shared" si="50"/>
        <v/>
      </c>
      <c r="P191" s="468" t="str">
        <f t="shared" si="51"/>
        <v/>
      </c>
      <c r="Q191" s="468" t="str">
        <f t="shared" si="52"/>
        <v/>
      </c>
      <c r="R191" s="186" t="str">
        <f t="shared" si="64"/>
        <v/>
      </c>
      <c r="S191" s="468" t="str">
        <f t="shared" si="65"/>
        <v/>
      </c>
      <c r="T191" s="468" t="str">
        <f t="shared" si="66"/>
        <v/>
      </c>
      <c r="U191" s="186" t="str">
        <f t="shared" si="53"/>
        <v/>
      </c>
      <c r="V191" s="468" t="str">
        <f t="shared" si="54"/>
        <v/>
      </c>
      <c r="W191" s="468" t="str">
        <f t="shared" si="55"/>
        <v/>
      </c>
      <c r="X191" s="468" t="str">
        <f t="shared" si="56"/>
        <v/>
      </c>
      <c r="Y191" s="283" t="str">
        <f t="shared" si="57"/>
        <v/>
      </c>
    </row>
    <row r="192" spans="1:25" ht="16.350000000000001" customHeight="1">
      <c r="A192" s="175">
        <f t="shared" si="46"/>
        <v>2024</v>
      </c>
      <c r="B192" s="454" t="str">
        <f t="shared" si="47"/>
        <v>31</v>
      </c>
      <c r="C192" s="454" t="str">
        <f t="array" ref="C192">_xlfn.IFS(_xlfn.NUMBERVALUE(B192)&lt;=13,"Q1",AND(_xlfn.NUMBERVALUE(B192)&gt;13,_xlfn.NUMBERVALUE(B192)&lt;=26),"Q2", AND(_xlfn.NUMBERVALUE(B192)&gt;26,_xlfn.NUMBERVALUE(B192)&lt;=39),"Q3",_xlfn.NUMBERVALUE(B192)&gt;39,"Q4")</f>
        <v>Q3</v>
      </c>
      <c r="D192" s="448">
        <f t="shared" si="58"/>
        <v>45164</v>
      </c>
      <c r="E192" s="448">
        <f t="shared" si="48"/>
        <v>45170</v>
      </c>
      <c r="F192" s="79">
        <v>202331</v>
      </c>
      <c r="G192" s="180">
        <f t="shared" si="49"/>
        <v>0</v>
      </c>
      <c r="H192" s="429"/>
      <c r="I192" s="429"/>
      <c r="J192" s="429"/>
      <c r="K192" s="180">
        <f t="shared" si="63"/>
        <v>0</v>
      </c>
      <c r="L192" s="429"/>
      <c r="M192" s="429"/>
      <c r="N192" s="532"/>
      <c r="O192" s="186" t="str">
        <f t="shared" si="50"/>
        <v/>
      </c>
      <c r="P192" s="468" t="str">
        <f t="shared" si="51"/>
        <v/>
      </c>
      <c r="Q192" s="468" t="str">
        <f t="shared" si="52"/>
        <v/>
      </c>
      <c r="R192" s="186" t="str">
        <f t="shared" si="64"/>
        <v/>
      </c>
      <c r="S192" s="468" t="str">
        <f t="shared" si="65"/>
        <v/>
      </c>
      <c r="T192" s="468" t="str">
        <f t="shared" si="66"/>
        <v/>
      </c>
      <c r="U192" s="186" t="str">
        <f t="shared" si="53"/>
        <v/>
      </c>
      <c r="V192" s="468" t="str">
        <f t="shared" si="54"/>
        <v/>
      </c>
      <c r="W192" s="468" t="str">
        <f t="shared" si="55"/>
        <v/>
      </c>
      <c r="X192" s="468" t="str">
        <f t="shared" si="56"/>
        <v/>
      </c>
      <c r="Y192" s="283" t="str">
        <f t="shared" si="57"/>
        <v/>
      </c>
    </row>
    <row r="193" spans="1:25" ht="16.350000000000001" customHeight="1">
      <c r="A193" s="175">
        <f t="shared" si="46"/>
        <v>2024</v>
      </c>
      <c r="B193" s="454" t="str">
        <f t="shared" si="47"/>
        <v>32</v>
      </c>
      <c r="C193" s="454" t="str">
        <f t="array" ref="C193">_xlfn.IFS(_xlfn.NUMBERVALUE(B193)&lt;=13,"Q1",AND(_xlfn.NUMBERVALUE(B193)&gt;13,_xlfn.NUMBERVALUE(B193)&lt;=26),"Q2", AND(_xlfn.NUMBERVALUE(B193)&gt;26,_xlfn.NUMBERVALUE(B193)&lt;=39),"Q3",_xlfn.NUMBERVALUE(B193)&gt;39,"Q4")</f>
        <v>Q3</v>
      </c>
      <c r="D193" s="448">
        <f t="shared" si="58"/>
        <v>45171</v>
      </c>
      <c r="E193" s="448">
        <f t="shared" si="48"/>
        <v>45177</v>
      </c>
      <c r="F193" s="79">
        <v>202332</v>
      </c>
      <c r="G193" s="180">
        <f t="shared" si="49"/>
        <v>0</v>
      </c>
      <c r="H193" s="429"/>
      <c r="I193" s="429"/>
      <c r="J193" s="429"/>
      <c r="K193" s="180">
        <f t="shared" si="63"/>
        <v>0</v>
      </c>
      <c r="L193" s="429"/>
      <c r="M193" s="429"/>
      <c r="N193" s="532"/>
      <c r="O193" s="186" t="str">
        <f t="shared" si="50"/>
        <v/>
      </c>
      <c r="P193" s="468" t="str">
        <f t="shared" si="51"/>
        <v/>
      </c>
      <c r="Q193" s="468" t="str">
        <f t="shared" si="52"/>
        <v/>
      </c>
      <c r="R193" s="186" t="str">
        <f t="shared" si="64"/>
        <v/>
      </c>
      <c r="S193" s="468" t="str">
        <f t="shared" si="65"/>
        <v/>
      </c>
      <c r="T193" s="468" t="str">
        <f t="shared" si="66"/>
        <v/>
      </c>
      <c r="U193" s="186" t="str">
        <f t="shared" si="53"/>
        <v/>
      </c>
      <c r="V193" s="468" t="str">
        <f t="shared" si="54"/>
        <v/>
      </c>
      <c r="W193" s="468" t="str">
        <f t="shared" si="55"/>
        <v/>
      </c>
      <c r="X193" s="468" t="str">
        <f t="shared" si="56"/>
        <v/>
      </c>
      <c r="Y193" s="283" t="str">
        <f t="shared" si="57"/>
        <v/>
      </c>
    </row>
    <row r="194" spans="1:25" ht="16.350000000000001" customHeight="1">
      <c r="A194" s="175">
        <f t="shared" si="46"/>
        <v>2024</v>
      </c>
      <c r="B194" s="454" t="str">
        <f t="shared" si="47"/>
        <v>33</v>
      </c>
      <c r="C194" s="454" t="str">
        <f t="array" ref="C194">_xlfn.IFS(_xlfn.NUMBERVALUE(B194)&lt;=13,"Q1",AND(_xlfn.NUMBERVALUE(B194)&gt;13,_xlfn.NUMBERVALUE(B194)&lt;=26),"Q2", AND(_xlfn.NUMBERVALUE(B194)&gt;26,_xlfn.NUMBERVALUE(B194)&lt;=39),"Q3",_xlfn.NUMBERVALUE(B194)&gt;39,"Q4")</f>
        <v>Q3</v>
      </c>
      <c r="D194" s="448">
        <f t="shared" si="58"/>
        <v>45178</v>
      </c>
      <c r="E194" s="448">
        <f t="shared" si="48"/>
        <v>45184</v>
      </c>
      <c r="F194" s="79">
        <v>202333</v>
      </c>
      <c r="G194" s="180">
        <f t="shared" si="49"/>
        <v>0</v>
      </c>
      <c r="H194" s="429"/>
      <c r="I194" s="429"/>
      <c r="J194" s="429"/>
      <c r="K194" s="180">
        <f t="shared" si="63"/>
        <v>0</v>
      </c>
      <c r="L194" s="429"/>
      <c r="M194" s="429"/>
      <c r="N194" s="532"/>
      <c r="O194" s="186" t="str">
        <f t="shared" si="50"/>
        <v/>
      </c>
      <c r="P194" s="468" t="str">
        <f t="shared" si="51"/>
        <v/>
      </c>
      <c r="Q194" s="468" t="str">
        <f t="shared" si="52"/>
        <v/>
      </c>
      <c r="R194" s="186" t="str">
        <f t="shared" si="64"/>
        <v/>
      </c>
      <c r="S194" s="468" t="str">
        <f t="shared" si="65"/>
        <v/>
      </c>
      <c r="T194" s="468" t="str">
        <f t="shared" si="66"/>
        <v/>
      </c>
      <c r="U194" s="186" t="str">
        <f t="shared" si="53"/>
        <v/>
      </c>
      <c r="V194" s="468" t="str">
        <f t="shared" si="54"/>
        <v/>
      </c>
      <c r="W194" s="468" t="str">
        <f t="shared" si="55"/>
        <v/>
      </c>
      <c r="X194" s="468" t="str">
        <f t="shared" si="56"/>
        <v/>
      </c>
      <c r="Y194" s="283" t="str">
        <f t="shared" si="57"/>
        <v/>
      </c>
    </row>
    <row r="195" spans="1:25" ht="16.350000000000001" customHeight="1">
      <c r="A195" s="175">
        <f t="shared" si="46"/>
        <v>2024</v>
      </c>
      <c r="B195" s="454" t="str">
        <f t="shared" si="47"/>
        <v>34</v>
      </c>
      <c r="C195" s="454" t="str">
        <f t="array" ref="C195">_xlfn.IFS(_xlfn.NUMBERVALUE(B195)&lt;=13,"Q1",AND(_xlfn.NUMBERVALUE(B195)&gt;13,_xlfn.NUMBERVALUE(B195)&lt;=26),"Q2", AND(_xlfn.NUMBERVALUE(B195)&gt;26,_xlfn.NUMBERVALUE(B195)&lt;=39),"Q3",_xlfn.NUMBERVALUE(B195)&gt;39,"Q4")</f>
        <v>Q3</v>
      </c>
      <c r="D195" s="448">
        <f t="shared" si="58"/>
        <v>45185</v>
      </c>
      <c r="E195" s="448">
        <f t="shared" si="48"/>
        <v>45191</v>
      </c>
      <c r="F195" s="79">
        <v>202334</v>
      </c>
      <c r="G195" s="180">
        <f t="shared" si="49"/>
        <v>0</v>
      </c>
      <c r="H195" s="467"/>
      <c r="I195" s="467"/>
      <c r="J195" s="467"/>
      <c r="K195" s="180">
        <f t="shared" si="63"/>
        <v>0</v>
      </c>
      <c r="L195" s="467"/>
      <c r="M195" s="467"/>
      <c r="N195" s="242"/>
      <c r="O195" s="186" t="str">
        <f t="shared" si="50"/>
        <v/>
      </c>
      <c r="P195" s="468" t="str">
        <f t="shared" si="51"/>
        <v/>
      </c>
      <c r="Q195" s="468" t="str">
        <f t="shared" si="52"/>
        <v/>
      </c>
      <c r="R195" s="186" t="str">
        <f t="shared" si="64"/>
        <v/>
      </c>
      <c r="S195" s="468" t="str">
        <f t="shared" si="65"/>
        <v/>
      </c>
      <c r="T195" s="468" t="str">
        <f t="shared" si="66"/>
        <v/>
      </c>
      <c r="U195" s="186" t="str">
        <f t="shared" si="53"/>
        <v/>
      </c>
      <c r="V195" s="468" t="str">
        <f t="shared" si="54"/>
        <v/>
      </c>
      <c r="W195" s="468" t="str">
        <f t="shared" si="55"/>
        <v/>
      </c>
      <c r="X195" s="468" t="str">
        <f t="shared" si="56"/>
        <v/>
      </c>
      <c r="Y195" s="283" t="str">
        <f t="shared" si="57"/>
        <v/>
      </c>
    </row>
    <row r="196" spans="1:25" ht="16.350000000000001" customHeight="1">
      <c r="A196" s="175">
        <f t="shared" si="46"/>
        <v>2024</v>
      </c>
      <c r="B196" s="454" t="str">
        <f t="shared" si="47"/>
        <v>35</v>
      </c>
      <c r="C196" s="454" t="str">
        <f t="array" ref="C196">_xlfn.IFS(_xlfn.NUMBERVALUE(B196)&lt;=13,"Q1",AND(_xlfn.NUMBERVALUE(B196)&gt;13,_xlfn.NUMBERVALUE(B196)&lt;=26),"Q2", AND(_xlfn.NUMBERVALUE(B196)&gt;26,_xlfn.NUMBERVALUE(B196)&lt;=39),"Q3",_xlfn.NUMBERVALUE(B196)&gt;39,"Q4")</f>
        <v>Q3</v>
      </c>
      <c r="D196" s="448">
        <f t="shared" si="58"/>
        <v>45192</v>
      </c>
      <c r="E196" s="448">
        <f t="shared" si="48"/>
        <v>45198</v>
      </c>
      <c r="F196" s="79">
        <v>202335</v>
      </c>
      <c r="G196" s="180">
        <f t="shared" si="49"/>
        <v>0</v>
      </c>
      <c r="H196" s="429"/>
      <c r="I196" s="429"/>
      <c r="J196" s="429"/>
      <c r="K196" s="180">
        <f t="shared" si="63"/>
        <v>0</v>
      </c>
      <c r="L196" s="429"/>
      <c r="M196" s="429"/>
      <c r="N196" s="532"/>
      <c r="O196" s="186" t="str">
        <f t="shared" si="50"/>
        <v/>
      </c>
      <c r="P196" s="468" t="str">
        <f t="shared" si="51"/>
        <v/>
      </c>
      <c r="Q196" s="468" t="str">
        <f t="shared" si="52"/>
        <v/>
      </c>
      <c r="R196" s="186" t="str">
        <f t="shared" si="64"/>
        <v/>
      </c>
      <c r="S196" s="468" t="str">
        <f t="shared" si="65"/>
        <v/>
      </c>
      <c r="T196" s="468" t="str">
        <f t="shared" si="66"/>
        <v/>
      </c>
      <c r="U196" s="186" t="str">
        <f t="shared" si="53"/>
        <v/>
      </c>
      <c r="V196" s="468" t="str">
        <f t="shared" si="54"/>
        <v/>
      </c>
      <c r="W196" s="468" t="str">
        <f t="shared" si="55"/>
        <v/>
      </c>
      <c r="X196" s="468" t="str">
        <f t="shared" si="56"/>
        <v/>
      </c>
      <c r="Y196" s="283" t="str">
        <f t="shared" si="57"/>
        <v/>
      </c>
    </row>
    <row r="197" spans="1:25" ht="16.350000000000001" customHeight="1">
      <c r="A197" s="175">
        <f t="shared" si="46"/>
        <v>2024</v>
      </c>
      <c r="B197" s="454" t="str">
        <f t="shared" si="47"/>
        <v>36</v>
      </c>
      <c r="C197" s="454" t="str">
        <f t="array" ref="C197">_xlfn.IFS(_xlfn.NUMBERVALUE(B197)&lt;=13,"Q1",AND(_xlfn.NUMBERVALUE(B197)&gt;13,_xlfn.NUMBERVALUE(B197)&lt;=26),"Q2", AND(_xlfn.NUMBERVALUE(B197)&gt;26,_xlfn.NUMBERVALUE(B197)&lt;=39),"Q3",_xlfn.NUMBERVALUE(B197)&gt;39,"Q4")</f>
        <v>Q3</v>
      </c>
      <c r="D197" s="448">
        <f t="shared" si="58"/>
        <v>45199</v>
      </c>
      <c r="E197" s="448">
        <f t="shared" si="48"/>
        <v>45205</v>
      </c>
      <c r="F197" s="79">
        <v>202336</v>
      </c>
      <c r="G197" s="180">
        <f t="shared" si="49"/>
        <v>0</v>
      </c>
      <c r="H197" s="429"/>
      <c r="I197" s="429"/>
      <c r="J197" s="429"/>
      <c r="K197" s="180">
        <f t="shared" si="63"/>
        <v>0</v>
      </c>
      <c r="L197" s="429"/>
      <c r="M197" s="429"/>
      <c r="N197" s="532"/>
      <c r="O197" s="186" t="str">
        <f t="shared" si="50"/>
        <v/>
      </c>
      <c r="P197" s="468" t="str">
        <f t="shared" si="51"/>
        <v/>
      </c>
      <c r="Q197" s="468" t="str">
        <f t="shared" si="52"/>
        <v/>
      </c>
      <c r="R197" s="186" t="str">
        <f t="shared" si="64"/>
        <v/>
      </c>
      <c r="S197" s="468" t="str">
        <f t="shared" si="65"/>
        <v/>
      </c>
      <c r="T197" s="468" t="str">
        <f t="shared" si="66"/>
        <v/>
      </c>
      <c r="U197" s="186" t="str">
        <f t="shared" si="53"/>
        <v/>
      </c>
      <c r="V197" s="468" t="str">
        <f t="shared" si="54"/>
        <v/>
      </c>
      <c r="W197" s="468" t="str">
        <f t="shared" si="55"/>
        <v/>
      </c>
      <c r="X197" s="468" t="str">
        <f t="shared" si="56"/>
        <v/>
      </c>
      <c r="Y197" s="283" t="str">
        <f t="shared" si="57"/>
        <v/>
      </c>
    </row>
    <row r="198" spans="1:25" ht="16.350000000000001" customHeight="1">
      <c r="A198" s="175">
        <f t="shared" ref="A198:A261" si="67">LEFT(F198,4)+1</f>
        <v>2024</v>
      </c>
      <c r="B198" s="454" t="str">
        <f t="shared" ref="B198:B261" si="68">RIGHT(F198,2)</f>
        <v>37</v>
      </c>
      <c r="C198" s="454" t="str">
        <f t="array" ref="C198">_xlfn.IFS(_xlfn.NUMBERVALUE(B198)&lt;=13,"Q1",AND(_xlfn.NUMBERVALUE(B198)&gt;13,_xlfn.NUMBERVALUE(B198)&lt;=26),"Q2", AND(_xlfn.NUMBERVALUE(B198)&gt;26,_xlfn.NUMBERVALUE(B198)&lt;=39),"Q3",_xlfn.NUMBERVALUE(B198)&gt;39,"Q4")</f>
        <v>Q3</v>
      </c>
      <c r="D198" s="448">
        <f t="shared" si="58"/>
        <v>45206</v>
      </c>
      <c r="E198" s="448">
        <f t="shared" ref="E198:E261" si="69">D198+6</f>
        <v>45212</v>
      </c>
      <c r="F198" s="79">
        <v>202337</v>
      </c>
      <c r="G198" s="180">
        <f t="shared" ref="G198:G261" si="70">SUM(H198:J198)</f>
        <v>0</v>
      </c>
      <c r="H198" s="429"/>
      <c r="I198" s="429"/>
      <c r="J198" s="429"/>
      <c r="K198" s="180">
        <f t="shared" si="63"/>
        <v>0</v>
      </c>
      <c r="L198" s="429"/>
      <c r="M198" s="429"/>
      <c r="N198" s="532"/>
      <c r="O198" s="186" t="str">
        <f t="shared" ref="O198:O261" si="71">IFERROR(H198/$G198,"")</f>
        <v/>
      </c>
      <c r="P198" s="468" t="str">
        <f t="shared" ref="P198:P261" si="72">IFERROR(I198/$G198,"")</f>
        <v/>
      </c>
      <c r="Q198" s="468" t="str">
        <f t="shared" ref="Q198:Q261" si="73">IFERROR(J198/$G198,"")</f>
        <v/>
      </c>
      <c r="R198" s="186" t="str">
        <f t="shared" si="64"/>
        <v/>
      </c>
      <c r="S198" s="468" t="str">
        <f t="shared" si="65"/>
        <v/>
      </c>
      <c r="T198" s="468" t="str">
        <f t="shared" si="66"/>
        <v/>
      </c>
      <c r="U198" s="186" t="str">
        <f t="shared" ref="U198:U261" si="74">IFERROR(IF(K199=0,"",(G198-K199)/G198),"")</f>
        <v/>
      </c>
      <c r="V198" s="468" t="str">
        <f t="shared" ref="V198:V261" si="75">IFERROR(IF(L199=0,"",(H198-L199)/H198),"")</f>
        <v/>
      </c>
      <c r="W198" s="468" t="str">
        <f t="shared" ref="W198:W261" si="76">IFERROR(IF(M199=0,"",(I198-M199)/I198),"")</f>
        <v/>
      </c>
      <c r="X198" s="468" t="str">
        <f t="shared" ref="X198:X261" si="77">IFERROR(IF(N199=0,"",(J198-N199)/J198),"")</f>
        <v/>
      </c>
      <c r="Y198" s="283" t="str">
        <f t="shared" ref="Y198:Y261" si="78">IFERROR((H198+J198)/K198,"")</f>
        <v/>
      </c>
    </row>
    <row r="199" spans="1:25" ht="16.350000000000001" customHeight="1">
      <c r="A199" s="175">
        <f t="shared" si="67"/>
        <v>2024</v>
      </c>
      <c r="B199" s="454" t="str">
        <f t="shared" si="68"/>
        <v>38</v>
      </c>
      <c r="C199" s="454" t="str">
        <f t="array" ref="C199">_xlfn.IFS(_xlfn.NUMBERVALUE(B199)&lt;=13,"Q1",AND(_xlfn.NUMBERVALUE(B199)&gt;13,_xlfn.NUMBERVALUE(B199)&lt;=26),"Q2", AND(_xlfn.NUMBERVALUE(B199)&gt;26,_xlfn.NUMBERVALUE(B199)&lt;=39),"Q3",_xlfn.NUMBERVALUE(B199)&gt;39,"Q4")</f>
        <v>Q3</v>
      </c>
      <c r="D199" s="448">
        <f t="shared" ref="D199:D262" si="79">E198+1</f>
        <v>45213</v>
      </c>
      <c r="E199" s="448">
        <f t="shared" si="69"/>
        <v>45219</v>
      </c>
      <c r="F199" s="79">
        <v>202338</v>
      </c>
      <c r="G199" s="180">
        <f t="shared" si="70"/>
        <v>0</v>
      </c>
      <c r="H199" s="429"/>
      <c r="I199" s="429"/>
      <c r="J199" s="429"/>
      <c r="K199" s="180">
        <f t="shared" si="63"/>
        <v>0</v>
      </c>
      <c r="L199" s="429"/>
      <c r="M199" s="429"/>
      <c r="N199" s="532"/>
      <c r="O199" s="186" t="str">
        <f t="shared" si="71"/>
        <v/>
      </c>
      <c r="P199" s="468" t="str">
        <f t="shared" si="72"/>
        <v/>
      </c>
      <c r="Q199" s="468" t="str">
        <f t="shared" si="73"/>
        <v/>
      </c>
      <c r="R199" s="186" t="str">
        <f t="shared" si="64"/>
        <v/>
      </c>
      <c r="S199" s="468" t="str">
        <f t="shared" si="65"/>
        <v/>
      </c>
      <c r="T199" s="468" t="str">
        <f t="shared" si="66"/>
        <v/>
      </c>
      <c r="U199" s="186" t="str">
        <f t="shared" si="74"/>
        <v/>
      </c>
      <c r="V199" s="468" t="str">
        <f t="shared" si="75"/>
        <v/>
      </c>
      <c r="W199" s="468" t="str">
        <f t="shared" si="76"/>
        <v/>
      </c>
      <c r="X199" s="468" t="str">
        <f t="shared" si="77"/>
        <v/>
      </c>
      <c r="Y199" s="283" t="str">
        <f t="shared" si="78"/>
        <v/>
      </c>
    </row>
    <row r="200" spans="1:25" ht="16.350000000000001" customHeight="1">
      <c r="A200" s="175">
        <f t="shared" si="67"/>
        <v>2024</v>
      </c>
      <c r="B200" s="454" t="str">
        <f t="shared" si="68"/>
        <v>39</v>
      </c>
      <c r="C200" s="454" t="str">
        <f t="array" ref="C200">_xlfn.IFS(_xlfn.NUMBERVALUE(B200)&lt;=13,"Q1",AND(_xlfn.NUMBERVALUE(B200)&gt;13,_xlfn.NUMBERVALUE(B200)&lt;=26),"Q2", AND(_xlfn.NUMBERVALUE(B200)&gt;26,_xlfn.NUMBERVALUE(B200)&lt;=39),"Q3",_xlfn.NUMBERVALUE(B200)&gt;39,"Q4")</f>
        <v>Q3</v>
      </c>
      <c r="D200" s="448">
        <f t="shared" si="79"/>
        <v>45220</v>
      </c>
      <c r="E200" s="448">
        <f t="shared" si="69"/>
        <v>45226</v>
      </c>
      <c r="F200" s="79">
        <v>202339</v>
      </c>
      <c r="G200" s="180">
        <f t="shared" si="70"/>
        <v>0</v>
      </c>
      <c r="H200" s="429"/>
      <c r="I200" s="429"/>
      <c r="J200" s="429"/>
      <c r="K200" s="180">
        <f t="shared" si="63"/>
        <v>0</v>
      </c>
      <c r="L200" s="429"/>
      <c r="M200" s="429"/>
      <c r="N200" s="532"/>
      <c r="O200" s="186" t="str">
        <f t="shared" si="71"/>
        <v/>
      </c>
      <c r="P200" s="468" t="str">
        <f t="shared" si="72"/>
        <v/>
      </c>
      <c r="Q200" s="468" t="str">
        <f t="shared" si="73"/>
        <v/>
      </c>
      <c r="R200" s="186" t="str">
        <f t="shared" si="64"/>
        <v/>
      </c>
      <c r="S200" s="468" t="str">
        <f t="shared" si="65"/>
        <v/>
      </c>
      <c r="T200" s="468" t="str">
        <f t="shared" si="66"/>
        <v/>
      </c>
      <c r="U200" s="186" t="str">
        <f t="shared" si="74"/>
        <v/>
      </c>
      <c r="V200" s="468" t="str">
        <f t="shared" si="75"/>
        <v/>
      </c>
      <c r="W200" s="468" t="str">
        <f t="shared" si="76"/>
        <v/>
      </c>
      <c r="X200" s="468" t="str">
        <f t="shared" si="77"/>
        <v/>
      </c>
      <c r="Y200" s="283" t="str">
        <f t="shared" si="78"/>
        <v/>
      </c>
    </row>
    <row r="201" spans="1:25" ht="16.350000000000001" customHeight="1">
      <c r="A201" s="175">
        <f t="shared" si="67"/>
        <v>2024</v>
      </c>
      <c r="B201" s="454" t="str">
        <f t="shared" si="68"/>
        <v>40</v>
      </c>
      <c r="C201" s="454" t="str">
        <f t="array" ref="C201">_xlfn.IFS(_xlfn.NUMBERVALUE(B201)&lt;=13,"Q1",AND(_xlfn.NUMBERVALUE(B201)&gt;13,_xlfn.NUMBERVALUE(B201)&lt;=26),"Q2", AND(_xlfn.NUMBERVALUE(B201)&gt;26,_xlfn.NUMBERVALUE(B201)&lt;=39),"Q3",_xlfn.NUMBERVALUE(B201)&gt;39,"Q4")</f>
        <v>Q4</v>
      </c>
      <c r="D201" s="448">
        <f t="shared" si="79"/>
        <v>45227</v>
      </c>
      <c r="E201" s="448">
        <f t="shared" si="69"/>
        <v>45233</v>
      </c>
      <c r="F201" s="79">
        <v>202340</v>
      </c>
      <c r="G201" s="180">
        <f t="shared" si="70"/>
        <v>0</v>
      </c>
      <c r="H201" s="429"/>
      <c r="I201" s="429"/>
      <c r="J201" s="429"/>
      <c r="K201" s="180">
        <f t="shared" si="63"/>
        <v>0</v>
      </c>
      <c r="L201" s="429"/>
      <c r="M201" s="429"/>
      <c r="N201" s="532"/>
      <c r="O201" s="186" t="str">
        <f t="shared" si="71"/>
        <v/>
      </c>
      <c r="P201" s="468" t="str">
        <f t="shared" si="72"/>
        <v/>
      </c>
      <c r="Q201" s="468" t="str">
        <f t="shared" si="73"/>
        <v/>
      </c>
      <c r="R201" s="186" t="str">
        <f t="shared" si="64"/>
        <v/>
      </c>
      <c r="S201" s="468" t="str">
        <f t="shared" si="65"/>
        <v/>
      </c>
      <c r="T201" s="468" t="str">
        <f t="shared" si="66"/>
        <v/>
      </c>
      <c r="U201" s="186" t="str">
        <f t="shared" si="74"/>
        <v/>
      </c>
      <c r="V201" s="468" t="str">
        <f t="shared" si="75"/>
        <v/>
      </c>
      <c r="W201" s="468" t="str">
        <f t="shared" si="76"/>
        <v/>
      </c>
      <c r="X201" s="468" t="str">
        <f t="shared" si="77"/>
        <v/>
      </c>
      <c r="Y201" s="283" t="str">
        <f t="shared" si="78"/>
        <v/>
      </c>
    </row>
    <row r="202" spans="1:25" ht="16.350000000000001" customHeight="1">
      <c r="A202" s="175">
        <f t="shared" si="67"/>
        <v>2024</v>
      </c>
      <c r="B202" s="454" t="str">
        <f t="shared" si="68"/>
        <v>41</v>
      </c>
      <c r="C202" s="454" t="str">
        <f t="array" ref="C202">_xlfn.IFS(_xlfn.NUMBERVALUE(B202)&lt;=13,"Q1",AND(_xlfn.NUMBERVALUE(B202)&gt;13,_xlfn.NUMBERVALUE(B202)&lt;=26),"Q2", AND(_xlfn.NUMBERVALUE(B202)&gt;26,_xlfn.NUMBERVALUE(B202)&lt;=39),"Q3",_xlfn.NUMBERVALUE(B202)&gt;39,"Q4")</f>
        <v>Q4</v>
      </c>
      <c r="D202" s="448">
        <f t="shared" si="79"/>
        <v>45234</v>
      </c>
      <c r="E202" s="448">
        <f t="shared" si="69"/>
        <v>45240</v>
      </c>
      <c r="F202" s="79">
        <v>202341</v>
      </c>
      <c r="G202" s="180">
        <f t="shared" si="70"/>
        <v>0</v>
      </c>
      <c r="H202" s="429"/>
      <c r="I202" s="429"/>
      <c r="J202" s="429"/>
      <c r="K202" s="180">
        <f t="shared" si="63"/>
        <v>0</v>
      </c>
      <c r="L202" s="429"/>
      <c r="M202" s="429"/>
      <c r="N202" s="532"/>
      <c r="O202" s="186" t="str">
        <f t="shared" si="71"/>
        <v/>
      </c>
      <c r="P202" s="468" t="str">
        <f t="shared" si="72"/>
        <v/>
      </c>
      <c r="Q202" s="468" t="str">
        <f t="shared" si="73"/>
        <v/>
      </c>
      <c r="R202" s="186" t="str">
        <f t="shared" si="64"/>
        <v/>
      </c>
      <c r="S202" s="468" t="str">
        <f t="shared" si="65"/>
        <v/>
      </c>
      <c r="T202" s="468" t="str">
        <f t="shared" si="66"/>
        <v/>
      </c>
      <c r="U202" s="186" t="str">
        <f t="shared" si="74"/>
        <v/>
      </c>
      <c r="V202" s="468" t="str">
        <f t="shared" si="75"/>
        <v/>
      </c>
      <c r="W202" s="468" t="str">
        <f t="shared" si="76"/>
        <v/>
      </c>
      <c r="X202" s="468" t="str">
        <f t="shared" si="77"/>
        <v/>
      </c>
      <c r="Y202" s="283" t="str">
        <f t="shared" si="78"/>
        <v/>
      </c>
    </row>
    <row r="203" spans="1:25" ht="16.350000000000001" customHeight="1">
      <c r="A203" s="175">
        <f t="shared" si="67"/>
        <v>2024</v>
      </c>
      <c r="B203" s="454" t="str">
        <f t="shared" si="68"/>
        <v>42</v>
      </c>
      <c r="C203" s="454" t="str">
        <f t="array" ref="C203">_xlfn.IFS(_xlfn.NUMBERVALUE(B203)&lt;=13,"Q1",AND(_xlfn.NUMBERVALUE(B203)&gt;13,_xlfn.NUMBERVALUE(B203)&lt;=26),"Q2", AND(_xlfn.NUMBERVALUE(B203)&gt;26,_xlfn.NUMBERVALUE(B203)&lt;=39),"Q3",_xlfn.NUMBERVALUE(B203)&gt;39,"Q4")</f>
        <v>Q4</v>
      </c>
      <c r="D203" s="448">
        <f t="shared" si="79"/>
        <v>45241</v>
      </c>
      <c r="E203" s="448">
        <f t="shared" si="69"/>
        <v>45247</v>
      </c>
      <c r="F203" s="79">
        <v>202342</v>
      </c>
      <c r="G203" s="180">
        <f t="shared" si="70"/>
        <v>0</v>
      </c>
      <c r="H203" s="429"/>
      <c r="I203" s="429"/>
      <c r="J203" s="429"/>
      <c r="K203" s="180">
        <f t="shared" si="63"/>
        <v>0</v>
      </c>
      <c r="L203" s="429"/>
      <c r="M203" s="429"/>
      <c r="N203" s="532"/>
      <c r="O203" s="186" t="str">
        <f t="shared" si="71"/>
        <v/>
      </c>
      <c r="P203" s="468" t="str">
        <f t="shared" si="72"/>
        <v/>
      </c>
      <c r="Q203" s="468" t="str">
        <f t="shared" si="73"/>
        <v/>
      </c>
      <c r="R203" s="186" t="str">
        <f t="shared" si="64"/>
        <v/>
      </c>
      <c r="S203" s="468" t="str">
        <f t="shared" si="65"/>
        <v/>
      </c>
      <c r="T203" s="468" t="str">
        <f t="shared" si="66"/>
        <v/>
      </c>
      <c r="U203" s="186" t="str">
        <f t="shared" si="74"/>
        <v/>
      </c>
      <c r="V203" s="468" t="str">
        <f t="shared" si="75"/>
        <v/>
      </c>
      <c r="W203" s="468" t="str">
        <f t="shared" si="76"/>
        <v/>
      </c>
      <c r="X203" s="468" t="str">
        <f t="shared" si="77"/>
        <v/>
      </c>
      <c r="Y203" s="283" t="str">
        <f t="shared" si="78"/>
        <v/>
      </c>
    </row>
    <row r="204" spans="1:25" ht="16.350000000000001" customHeight="1">
      <c r="A204" s="175">
        <f t="shared" si="67"/>
        <v>2024</v>
      </c>
      <c r="B204" s="454" t="str">
        <f t="shared" si="68"/>
        <v>43</v>
      </c>
      <c r="C204" s="454" t="str">
        <f t="array" ref="C204">_xlfn.IFS(_xlfn.NUMBERVALUE(B204)&lt;=13,"Q1",AND(_xlfn.NUMBERVALUE(B204)&gt;13,_xlfn.NUMBERVALUE(B204)&lt;=26),"Q2", AND(_xlfn.NUMBERVALUE(B204)&gt;26,_xlfn.NUMBERVALUE(B204)&lt;=39),"Q3",_xlfn.NUMBERVALUE(B204)&gt;39,"Q4")</f>
        <v>Q4</v>
      </c>
      <c r="D204" s="448">
        <f t="shared" si="79"/>
        <v>45248</v>
      </c>
      <c r="E204" s="448">
        <f t="shared" si="69"/>
        <v>45254</v>
      </c>
      <c r="F204" s="79">
        <v>202343</v>
      </c>
      <c r="G204" s="180">
        <f t="shared" si="70"/>
        <v>0</v>
      </c>
      <c r="H204" s="429"/>
      <c r="I204" s="429"/>
      <c r="J204" s="429"/>
      <c r="K204" s="180">
        <f t="shared" si="63"/>
        <v>0</v>
      </c>
      <c r="L204" s="429"/>
      <c r="M204" s="429"/>
      <c r="N204" s="532"/>
      <c r="O204" s="186" t="str">
        <f t="shared" si="71"/>
        <v/>
      </c>
      <c r="P204" s="468" t="str">
        <f t="shared" si="72"/>
        <v/>
      </c>
      <c r="Q204" s="468" t="str">
        <f t="shared" si="73"/>
        <v/>
      </c>
      <c r="R204" s="186" t="str">
        <f t="shared" si="64"/>
        <v/>
      </c>
      <c r="S204" s="468" t="str">
        <f t="shared" si="65"/>
        <v/>
      </c>
      <c r="T204" s="468" t="str">
        <f t="shared" si="66"/>
        <v/>
      </c>
      <c r="U204" s="186" t="str">
        <f t="shared" si="74"/>
        <v/>
      </c>
      <c r="V204" s="468" t="str">
        <f t="shared" si="75"/>
        <v/>
      </c>
      <c r="W204" s="468" t="str">
        <f t="shared" si="76"/>
        <v/>
      </c>
      <c r="X204" s="468" t="str">
        <f t="shared" si="77"/>
        <v/>
      </c>
      <c r="Y204" s="283" t="str">
        <f t="shared" si="78"/>
        <v/>
      </c>
    </row>
    <row r="205" spans="1:25" ht="16.350000000000001" customHeight="1">
      <c r="A205" s="175">
        <f t="shared" si="67"/>
        <v>2024</v>
      </c>
      <c r="B205" s="454" t="str">
        <f t="shared" si="68"/>
        <v>44</v>
      </c>
      <c r="C205" s="454" t="str">
        <f t="array" ref="C205">_xlfn.IFS(_xlfn.NUMBERVALUE(B205)&lt;=13,"Q1",AND(_xlfn.NUMBERVALUE(B205)&gt;13,_xlfn.NUMBERVALUE(B205)&lt;=26),"Q2", AND(_xlfn.NUMBERVALUE(B205)&gt;26,_xlfn.NUMBERVALUE(B205)&lt;=39),"Q3",_xlfn.NUMBERVALUE(B205)&gt;39,"Q4")</f>
        <v>Q4</v>
      </c>
      <c r="D205" s="448">
        <f t="shared" si="79"/>
        <v>45255</v>
      </c>
      <c r="E205" s="448">
        <f t="shared" si="69"/>
        <v>45261</v>
      </c>
      <c r="F205" s="79">
        <v>202344</v>
      </c>
      <c r="G205" s="180">
        <f t="shared" si="70"/>
        <v>0</v>
      </c>
      <c r="H205" s="429"/>
      <c r="I205" s="429"/>
      <c r="J205" s="429"/>
      <c r="K205" s="180">
        <f t="shared" si="63"/>
        <v>0</v>
      </c>
      <c r="L205" s="429"/>
      <c r="M205" s="429"/>
      <c r="N205" s="532"/>
      <c r="O205" s="186" t="str">
        <f t="shared" si="71"/>
        <v/>
      </c>
      <c r="P205" s="468" t="str">
        <f t="shared" si="72"/>
        <v/>
      </c>
      <c r="Q205" s="468" t="str">
        <f t="shared" si="73"/>
        <v/>
      </c>
      <c r="R205" s="186" t="str">
        <f t="shared" si="64"/>
        <v/>
      </c>
      <c r="S205" s="468" t="str">
        <f t="shared" si="65"/>
        <v/>
      </c>
      <c r="T205" s="468" t="str">
        <f t="shared" si="66"/>
        <v/>
      </c>
      <c r="U205" s="186" t="str">
        <f t="shared" si="74"/>
        <v/>
      </c>
      <c r="V205" s="468" t="str">
        <f t="shared" si="75"/>
        <v/>
      </c>
      <c r="W205" s="468" t="str">
        <f t="shared" si="76"/>
        <v/>
      </c>
      <c r="X205" s="468" t="str">
        <f t="shared" si="77"/>
        <v/>
      </c>
      <c r="Y205" s="283" t="str">
        <f t="shared" si="78"/>
        <v/>
      </c>
    </row>
    <row r="206" spans="1:25" ht="16.350000000000001" customHeight="1">
      <c r="A206" s="175">
        <f t="shared" si="67"/>
        <v>2024</v>
      </c>
      <c r="B206" s="454" t="str">
        <f t="shared" si="68"/>
        <v>45</v>
      </c>
      <c r="C206" s="454" t="str">
        <f t="array" ref="C206">_xlfn.IFS(_xlfn.NUMBERVALUE(B206)&lt;=13,"Q1",AND(_xlfn.NUMBERVALUE(B206)&gt;13,_xlfn.NUMBERVALUE(B206)&lt;=26),"Q2", AND(_xlfn.NUMBERVALUE(B206)&gt;26,_xlfn.NUMBERVALUE(B206)&lt;=39),"Q3",_xlfn.NUMBERVALUE(B206)&gt;39,"Q4")</f>
        <v>Q4</v>
      </c>
      <c r="D206" s="448">
        <f t="shared" si="79"/>
        <v>45262</v>
      </c>
      <c r="E206" s="448">
        <f t="shared" si="69"/>
        <v>45268</v>
      </c>
      <c r="F206" s="79">
        <v>202345</v>
      </c>
      <c r="G206" s="180">
        <f t="shared" si="70"/>
        <v>0</v>
      </c>
      <c r="H206" s="429"/>
      <c r="I206" s="429"/>
      <c r="J206" s="429"/>
      <c r="K206" s="180">
        <f t="shared" si="63"/>
        <v>0</v>
      </c>
      <c r="L206" s="429"/>
      <c r="M206" s="429"/>
      <c r="N206" s="532"/>
      <c r="O206" s="186" t="str">
        <f t="shared" si="71"/>
        <v/>
      </c>
      <c r="P206" s="468" t="str">
        <f t="shared" si="72"/>
        <v/>
      </c>
      <c r="Q206" s="468" t="str">
        <f t="shared" si="73"/>
        <v/>
      </c>
      <c r="R206" s="186" t="str">
        <f t="shared" si="64"/>
        <v/>
      </c>
      <c r="S206" s="468" t="str">
        <f t="shared" si="65"/>
        <v/>
      </c>
      <c r="T206" s="468" t="str">
        <f t="shared" si="66"/>
        <v/>
      </c>
      <c r="U206" s="186" t="str">
        <f t="shared" si="74"/>
        <v/>
      </c>
      <c r="V206" s="468" t="str">
        <f t="shared" si="75"/>
        <v/>
      </c>
      <c r="W206" s="468" t="str">
        <f t="shared" si="76"/>
        <v/>
      </c>
      <c r="X206" s="468" t="str">
        <f t="shared" si="77"/>
        <v/>
      </c>
      <c r="Y206" s="283" t="str">
        <f t="shared" si="78"/>
        <v/>
      </c>
    </row>
    <row r="207" spans="1:25" ht="16.350000000000001" customHeight="1">
      <c r="A207" s="175">
        <f t="shared" si="67"/>
        <v>2024</v>
      </c>
      <c r="B207" s="454" t="str">
        <f t="shared" si="68"/>
        <v>46</v>
      </c>
      <c r="C207" s="454" t="str">
        <f t="array" ref="C207">_xlfn.IFS(_xlfn.NUMBERVALUE(B207)&lt;=13,"Q1",AND(_xlfn.NUMBERVALUE(B207)&gt;13,_xlfn.NUMBERVALUE(B207)&lt;=26),"Q2", AND(_xlfn.NUMBERVALUE(B207)&gt;26,_xlfn.NUMBERVALUE(B207)&lt;=39),"Q3",_xlfn.NUMBERVALUE(B207)&gt;39,"Q4")</f>
        <v>Q4</v>
      </c>
      <c r="D207" s="448">
        <f t="shared" si="79"/>
        <v>45269</v>
      </c>
      <c r="E207" s="448">
        <f t="shared" si="69"/>
        <v>45275</v>
      </c>
      <c r="F207" s="79">
        <v>202346</v>
      </c>
      <c r="G207" s="180">
        <f t="shared" si="70"/>
        <v>0</v>
      </c>
      <c r="H207" s="429"/>
      <c r="I207" s="429"/>
      <c r="J207" s="429"/>
      <c r="K207" s="180">
        <f t="shared" si="63"/>
        <v>0</v>
      </c>
      <c r="L207" s="429"/>
      <c r="M207" s="429"/>
      <c r="N207" s="532"/>
      <c r="O207" s="186" t="str">
        <f t="shared" si="71"/>
        <v/>
      </c>
      <c r="P207" s="468" t="str">
        <f t="shared" si="72"/>
        <v/>
      </c>
      <c r="Q207" s="468" t="str">
        <f t="shared" si="73"/>
        <v/>
      </c>
      <c r="R207" s="186" t="str">
        <f t="shared" si="64"/>
        <v/>
      </c>
      <c r="S207" s="468" t="str">
        <f t="shared" si="65"/>
        <v/>
      </c>
      <c r="T207" s="468" t="str">
        <f t="shared" si="66"/>
        <v/>
      </c>
      <c r="U207" s="186" t="str">
        <f t="shared" si="74"/>
        <v/>
      </c>
      <c r="V207" s="468" t="str">
        <f t="shared" si="75"/>
        <v/>
      </c>
      <c r="W207" s="468" t="str">
        <f t="shared" si="76"/>
        <v/>
      </c>
      <c r="X207" s="468" t="str">
        <f t="shared" si="77"/>
        <v/>
      </c>
      <c r="Y207" s="283" t="str">
        <f t="shared" si="78"/>
        <v/>
      </c>
    </row>
    <row r="208" spans="1:25" ht="16.350000000000001" customHeight="1">
      <c r="A208" s="175">
        <f t="shared" si="67"/>
        <v>2024</v>
      </c>
      <c r="B208" s="454" t="str">
        <f t="shared" si="68"/>
        <v>47</v>
      </c>
      <c r="C208" s="454" t="str">
        <f t="array" ref="C208">_xlfn.IFS(_xlfn.NUMBERVALUE(B208)&lt;=13,"Q1",AND(_xlfn.NUMBERVALUE(B208)&gt;13,_xlfn.NUMBERVALUE(B208)&lt;=26),"Q2", AND(_xlfn.NUMBERVALUE(B208)&gt;26,_xlfn.NUMBERVALUE(B208)&lt;=39),"Q3",_xlfn.NUMBERVALUE(B208)&gt;39,"Q4")</f>
        <v>Q4</v>
      </c>
      <c r="D208" s="448">
        <f t="shared" si="79"/>
        <v>45276</v>
      </c>
      <c r="E208" s="448">
        <f t="shared" si="69"/>
        <v>45282</v>
      </c>
      <c r="F208" s="79">
        <v>202347</v>
      </c>
      <c r="G208" s="180">
        <f t="shared" si="70"/>
        <v>0</v>
      </c>
      <c r="H208" s="429"/>
      <c r="I208" s="429"/>
      <c r="J208" s="429"/>
      <c r="K208" s="180">
        <f t="shared" si="63"/>
        <v>0</v>
      </c>
      <c r="L208" s="429"/>
      <c r="M208" s="429"/>
      <c r="N208" s="532"/>
      <c r="O208" s="186" t="str">
        <f t="shared" si="71"/>
        <v/>
      </c>
      <c r="P208" s="468" t="str">
        <f t="shared" si="72"/>
        <v/>
      </c>
      <c r="Q208" s="468" t="str">
        <f t="shared" si="73"/>
        <v/>
      </c>
      <c r="R208" s="186" t="str">
        <f t="shared" si="64"/>
        <v/>
      </c>
      <c r="S208" s="468" t="str">
        <f t="shared" si="65"/>
        <v/>
      </c>
      <c r="T208" s="468" t="str">
        <f t="shared" si="66"/>
        <v/>
      </c>
      <c r="U208" s="186" t="str">
        <f t="shared" si="74"/>
        <v/>
      </c>
      <c r="V208" s="468" t="str">
        <f t="shared" si="75"/>
        <v/>
      </c>
      <c r="W208" s="468" t="str">
        <f t="shared" si="76"/>
        <v/>
      </c>
      <c r="X208" s="468" t="str">
        <f t="shared" si="77"/>
        <v/>
      </c>
      <c r="Y208" s="283" t="str">
        <f t="shared" si="78"/>
        <v/>
      </c>
    </row>
    <row r="209" spans="1:25" ht="16.350000000000001" customHeight="1">
      <c r="A209" s="175">
        <f t="shared" si="67"/>
        <v>2024</v>
      </c>
      <c r="B209" s="454" t="str">
        <f t="shared" si="68"/>
        <v>48</v>
      </c>
      <c r="C209" s="454" t="str">
        <f t="array" ref="C209">_xlfn.IFS(_xlfn.NUMBERVALUE(B209)&lt;=13,"Q1",AND(_xlfn.NUMBERVALUE(B209)&gt;13,_xlfn.NUMBERVALUE(B209)&lt;=26),"Q2", AND(_xlfn.NUMBERVALUE(B209)&gt;26,_xlfn.NUMBERVALUE(B209)&lt;=39),"Q3",_xlfn.NUMBERVALUE(B209)&gt;39,"Q4")</f>
        <v>Q4</v>
      </c>
      <c r="D209" s="448">
        <f t="shared" si="79"/>
        <v>45283</v>
      </c>
      <c r="E209" s="448">
        <f t="shared" si="69"/>
        <v>45289</v>
      </c>
      <c r="F209" s="79">
        <v>202348</v>
      </c>
      <c r="G209" s="180">
        <f t="shared" si="70"/>
        <v>0</v>
      </c>
      <c r="H209" s="429"/>
      <c r="I209" s="429"/>
      <c r="J209" s="429"/>
      <c r="K209" s="180">
        <f t="shared" si="63"/>
        <v>0</v>
      </c>
      <c r="L209" s="429"/>
      <c r="M209" s="429"/>
      <c r="N209" s="532"/>
      <c r="O209" s="186" t="str">
        <f t="shared" si="71"/>
        <v/>
      </c>
      <c r="P209" s="468" t="str">
        <f t="shared" si="72"/>
        <v/>
      </c>
      <c r="Q209" s="468" t="str">
        <f t="shared" si="73"/>
        <v/>
      </c>
      <c r="R209" s="186" t="str">
        <f t="shared" si="64"/>
        <v/>
      </c>
      <c r="S209" s="468" t="str">
        <f t="shared" si="65"/>
        <v/>
      </c>
      <c r="T209" s="468" t="str">
        <f t="shared" si="66"/>
        <v/>
      </c>
      <c r="U209" s="186" t="str">
        <f t="shared" si="74"/>
        <v/>
      </c>
      <c r="V209" s="468" t="str">
        <f t="shared" si="75"/>
        <v/>
      </c>
      <c r="W209" s="468" t="str">
        <f t="shared" si="76"/>
        <v/>
      </c>
      <c r="X209" s="468" t="str">
        <f t="shared" si="77"/>
        <v/>
      </c>
      <c r="Y209" s="283" t="str">
        <f t="shared" si="78"/>
        <v/>
      </c>
    </row>
    <row r="210" spans="1:25" ht="16.350000000000001" customHeight="1">
      <c r="A210" s="175">
        <f t="shared" si="67"/>
        <v>2024</v>
      </c>
      <c r="B210" s="454" t="str">
        <f t="shared" si="68"/>
        <v>49</v>
      </c>
      <c r="C210" s="454" t="str">
        <f t="array" ref="C210">_xlfn.IFS(_xlfn.NUMBERVALUE(B210)&lt;=13,"Q1",AND(_xlfn.NUMBERVALUE(B210)&gt;13,_xlfn.NUMBERVALUE(B210)&lt;=26),"Q2", AND(_xlfn.NUMBERVALUE(B210)&gt;26,_xlfn.NUMBERVALUE(B210)&lt;=39),"Q3",_xlfn.NUMBERVALUE(B210)&gt;39,"Q4")</f>
        <v>Q4</v>
      </c>
      <c r="D210" s="448">
        <f t="shared" si="79"/>
        <v>45290</v>
      </c>
      <c r="E210" s="448">
        <f t="shared" si="69"/>
        <v>45296</v>
      </c>
      <c r="F210" s="79">
        <v>202349</v>
      </c>
      <c r="G210" s="180">
        <f t="shared" si="70"/>
        <v>252703</v>
      </c>
      <c r="H210" s="429">
        <v>55590</v>
      </c>
      <c r="I210" s="429">
        <v>97778</v>
      </c>
      <c r="J210" s="429">
        <v>99335</v>
      </c>
      <c r="K210" s="180">
        <f t="shared" si="63"/>
        <v>216959</v>
      </c>
      <c r="L210" s="429">
        <v>51013</v>
      </c>
      <c r="M210" s="532">
        <v>66408</v>
      </c>
      <c r="N210" s="429">
        <v>99538</v>
      </c>
      <c r="O210" s="186">
        <f t="shared" si="71"/>
        <v>0.21998155937998362</v>
      </c>
      <c r="P210" s="468">
        <f t="shared" si="72"/>
        <v>0.38692852874718542</v>
      </c>
      <c r="Q210" s="468">
        <f t="shared" si="73"/>
        <v>0.39308991187283093</v>
      </c>
      <c r="R210" s="186">
        <f t="shared" si="64"/>
        <v>0.23512737429652608</v>
      </c>
      <c r="S210" s="468">
        <f t="shared" si="65"/>
        <v>0.30608548158868726</v>
      </c>
      <c r="T210" s="468">
        <f t="shared" si="66"/>
        <v>0.45878714411478666</v>
      </c>
      <c r="U210" s="186">
        <f t="shared" si="74"/>
        <v>0.14257844188632504</v>
      </c>
      <c r="V210" s="468">
        <f t="shared" si="75"/>
        <v>-0.18704803022126282</v>
      </c>
      <c r="W210" s="468">
        <f t="shared" si="76"/>
        <v>0.2352983288674344</v>
      </c>
      <c r="X210" s="468">
        <f t="shared" si="77"/>
        <v>0.23577792318920823</v>
      </c>
      <c r="Y210" s="283">
        <f t="shared" si="78"/>
        <v>0.71407500956401904</v>
      </c>
    </row>
    <row r="211" spans="1:25" ht="16.350000000000001" customHeight="1">
      <c r="A211" s="175">
        <f t="shared" si="67"/>
        <v>2024</v>
      </c>
      <c r="B211" s="454" t="str">
        <f t="shared" si="68"/>
        <v>50</v>
      </c>
      <c r="C211" s="454" t="str">
        <f t="array" ref="C211">_xlfn.IFS(_xlfn.NUMBERVALUE(B211)&lt;=13,"Q1",AND(_xlfn.NUMBERVALUE(B211)&gt;13,_xlfn.NUMBERVALUE(B211)&lt;=26),"Q2", AND(_xlfn.NUMBERVALUE(B211)&gt;26,_xlfn.NUMBERVALUE(B211)&lt;=39),"Q3",_xlfn.NUMBERVALUE(B211)&gt;39,"Q4")</f>
        <v>Q4</v>
      </c>
      <c r="D211" s="448">
        <f t="shared" si="79"/>
        <v>45297</v>
      </c>
      <c r="E211" s="448">
        <f t="shared" si="69"/>
        <v>45303</v>
      </c>
      <c r="F211" s="79">
        <v>202350</v>
      </c>
      <c r="G211" s="180">
        <f t="shared" si="70"/>
        <v>203636</v>
      </c>
      <c r="H211" s="429">
        <v>70256</v>
      </c>
      <c r="I211" s="429">
        <v>75439</v>
      </c>
      <c r="J211" s="429">
        <v>57941</v>
      </c>
      <c r="K211" s="180">
        <f t="shared" si="63"/>
        <v>216673</v>
      </c>
      <c r="L211" s="429">
        <v>65988</v>
      </c>
      <c r="M211" s="429">
        <v>74771</v>
      </c>
      <c r="N211" s="532">
        <v>75914</v>
      </c>
      <c r="O211" s="186">
        <f t="shared" si="71"/>
        <v>0.34500775894242669</v>
      </c>
      <c r="P211" s="468">
        <f t="shared" si="72"/>
        <v>0.37046003653577952</v>
      </c>
      <c r="Q211" s="468">
        <f t="shared" si="73"/>
        <v>0.28453220452179379</v>
      </c>
      <c r="R211" s="186">
        <f t="shared" si="64"/>
        <v>0.30455109773714306</v>
      </c>
      <c r="S211" s="468">
        <f t="shared" si="65"/>
        <v>0.34508683592325762</v>
      </c>
      <c r="T211" s="468">
        <f t="shared" si="66"/>
        <v>0.35036206633959932</v>
      </c>
      <c r="U211" s="186">
        <f t="shared" si="74"/>
        <v>-6.5425563259934399E-2</v>
      </c>
      <c r="V211" s="468">
        <f t="shared" si="75"/>
        <v>-0.41679002505124119</v>
      </c>
      <c r="W211" s="468">
        <f t="shared" si="76"/>
        <v>0.3237847797558292</v>
      </c>
      <c r="X211" s="468">
        <f t="shared" si="77"/>
        <v>-0.14613140953728793</v>
      </c>
      <c r="Y211" s="283">
        <f t="shared" si="78"/>
        <v>0.5916611668274312</v>
      </c>
    </row>
    <row r="212" spans="1:25" ht="16.350000000000001" customHeight="1">
      <c r="A212" s="175">
        <f t="shared" si="67"/>
        <v>2024</v>
      </c>
      <c r="B212" s="454" t="str">
        <f t="shared" si="68"/>
        <v>51</v>
      </c>
      <c r="C212" s="454" t="str">
        <f t="array" ref="C212">_xlfn.IFS(_xlfn.NUMBERVALUE(B212)&lt;=13,"Q1",AND(_xlfn.NUMBERVALUE(B212)&gt;13,_xlfn.NUMBERVALUE(B212)&lt;=26),"Q2", AND(_xlfn.NUMBERVALUE(B212)&gt;26,_xlfn.NUMBERVALUE(B212)&lt;=39),"Q3",_xlfn.NUMBERVALUE(B212)&gt;39,"Q4")</f>
        <v>Q4</v>
      </c>
      <c r="D212" s="448">
        <f t="shared" si="79"/>
        <v>45304</v>
      </c>
      <c r="E212" s="448">
        <f t="shared" si="69"/>
        <v>45310</v>
      </c>
      <c r="F212" s="79">
        <v>202351</v>
      </c>
      <c r="G212" s="180">
        <f t="shared" si="70"/>
        <v>252703</v>
      </c>
      <c r="H212" s="429">
        <v>97778</v>
      </c>
      <c r="I212" s="429">
        <v>55590</v>
      </c>
      <c r="J212" s="429">
        <v>99335</v>
      </c>
      <c r="K212" s="180">
        <f t="shared" si="63"/>
        <v>216959</v>
      </c>
      <c r="L212" s="429">
        <v>99538</v>
      </c>
      <c r="M212" s="429">
        <v>51013</v>
      </c>
      <c r="N212" s="532">
        <v>66408</v>
      </c>
      <c r="O212" s="186">
        <f t="shared" si="71"/>
        <v>0.38692852874718542</v>
      </c>
      <c r="P212" s="468">
        <f t="shared" si="72"/>
        <v>0.21998155937998362</v>
      </c>
      <c r="Q212" s="468">
        <f t="shared" si="73"/>
        <v>0.39308991187283093</v>
      </c>
      <c r="R212" s="186">
        <f t="shared" si="64"/>
        <v>0.45878714411478666</v>
      </c>
      <c r="S212" s="468">
        <f t="shared" si="65"/>
        <v>0.23512737429652608</v>
      </c>
      <c r="T212" s="468">
        <f t="shared" si="66"/>
        <v>0.30608548158868726</v>
      </c>
      <c r="U212" s="186">
        <f t="shared" si="74"/>
        <v>0.24482495261235521</v>
      </c>
      <c r="V212" s="468">
        <f t="shared" si="75"/>
        <v>0.29586410030886295</v>
      </c>
      <c r="W212" s="468">
        <f t="shared" si="76"/>
        <v>-0.21498470948012233</v>
      </c>
      <c r="X212" s="468">
        <f t="shared" si="77"/>
        <v>0.45190516937635272</v>
      </c>
      <c r="Y212" s="283">
        <f t="shared" si="78"/>
        <v>0.90852649578952704</v>
      </c>
    </row>
    <row r="213" spans="1:25" ht="15.75" customHeight="1">
      <c r="A213" s="175">
        <f t="shared" si="67"/>
        <v>2024</v>
      </c>
      <c r="B213" s="454" t="str">
        <f t="shared" si="68"/>
        <v>52</v>
      </c>
      <c r="C213" s="454" t="str">
        <f t="array" ref="C213">_xlfn.IFS(_xlfn.NUMBERVALUE(B213)&lt;=13,"Q1",AND(_xlfn.NUMBERVALUE(B213)&gt;13,_xlfn.NUMBERVALUE(B213)&lt;=26),"Q2", AND(_xlfn.NUMBERVALUE(B213)&gt;26,_xlfn.NUMBERVALUE(B213)&lt;=39),"Q3",_xlfn.NUMBERVALUE(B213)&gt;39,"Q4")</f>
        <v>Q4</v>
      </c>
      <c r="D213" s="448">
        <f t="shared" si="79"/>
        <v>45311</v>
      </c>
      <c r="E213" s="448">
        <f t="shared" si="69"/>
        <v>45317</v>
      </c>
      <c r="F213" s="79">
        <v>202352</v>
      </c>
      <c r="G213" s="180">
        <f t="shared" si="70"/>
        <v>204457</v>
      </c>
      <c r="H213" s="429">
        <v>54247</v>
      </c>
      <c r="I213" s="429">
        <v>80883</v>
      </c>
      <c r="J213" s="429">
        <v>69327</v>
      </c>
      <c r="K213" s="180">
        <f t="shared" si="63"/>
        <v>190835</v>
      </c>
      <c r="L213" s="429">
        <v>68849</v>
      </c>
      <c r="M213" s="429">
        <v>67541</v>
      </c>
      <c r="N213" s="532">
        <v>54445</v>
      </c>
      <c r="O213" s="186">
        <f t="shared" si="71"/>
        <v>0.26532229270702395</v>
      </c>
      <c r="P213" s="468">
        <f t="shared" si="72"/>
        <v>0.39559907462204769</v>
      </c>
      <c r="Q213" s="468">
        <f t="shared" si="73"/>
        <v>0.33907863267092836</v>
      </c>
      <c r="R213" s="186">
        <f t="shared" si="64"/>
        <v>0.36077763512982419</v>
      </c>
      <c r="S213" s="468">
        <f t="shared" si="65"/>
        <v>0.35392354651924435</v>
      </c>
      <c r="T213" s="468">
        <f t="shared" si="66"/>
        <v>0.28529881835093146</v>
      </c>
      <c r="U213" s="186">
        <f t="shared" si="74"/>
        <v>-0.21246521273421795</v>
      </c>
      <c r="V213" s="468">
        <f t="shared" si="75"/>
        <v>-0.6246428373919295</v>
      </c>
      <c r="W213" s="468">
        <f t="shared" si="76"/>
        <v>-0.12513136258546295</v>
      </c>
      <c r="X213" s="468">
        <f t="shared" si="77"/>
        <v>8.1642073073982715E-3</v>
      </c>
      <c r="Y213" s="283">
        <f t="shared" si="78"/>
        <v>0.64754368957476349</v>
      </c>
    </row>
    <row r="214" spans="1:25" ht="16.350000000000001" customHeight="1">
      <c r="A214" s="175">
        <f t="shared" si="67"/>
        <v>2025</v>
      </c>
      <c r="B214" s="454" t="str">
        <f t="shared" si="68"/>
        <v>01</v>
      </c>
      <c r="C214" s="454" t="str">
        <f t="array" ref="C214">_xlfn.IFS(_xlfn.NUMBERVALUE(B214)&lt;=13,"Q1",AND(_xlfn.NUMBERVALUE(B214)&gt;13,_xlfn.NUMBERVALUE(B214)&lt;=26),"Q2", AND(_xlfn.NUMBERVALUE(B214)&gt;26,_xlfn.NUMBERVALUE(B214)&lt;=39),"Q3",_xlfn.NUMBERVALUE(B214)&gt;39,"Q4")</f>
        <v>Q1</v>
      </c>
      <c r="D214" s="448">
        <f t="shared" si="79"/>
        <v>45318</v>
      </c>
      <c r="E214" s="448">
        <f t="shared" si="69"/>
        <v>45324</v>
      </c>
      <c r="F214" s="79">
        <v>202401</v>
      </c>
      <c r="G214" s="180">
        <f t="shared" si="70"/>
        <v>198504</v>
      </c>
      <c r="H214" s="429">
        <v>52023</v>
      </c>
      <c r="I214" s="429">
        <v>81087</v>
      </c>
      <c r="J214" s="429">
        <v>65394</v>
      </c>
      <c r="K214" s="180">
        <f t="shared" si="63"/>
        <v>247897</v>
      </c>
      <c r="L214" s="429">
        <v>88132</v>
      </c>
      <c r="M214" s="429">
        <v>91004</v>
      </c>
      <c r="N214" s="532">
        <v>68761</v>
      </c>
      <c r="O214" s="186">
        <f t="shared" si="71"/>
        <v>0.26207532341917544</v>
      </c>
      <c r="P214" s="468">
        <f t="shared" si="72"/>
        <v>0.40849050900737516</v>
      </c>
      <c r="Q214" s="468">
        <f t="shared" si="73"/>
        <v>0.3294341675734494</v>
      </c>
      <c r="R214" s="186">
        <f t="shared" si="64"/>
        <v>0.35551862265376344</v>
      </c>
      <c r="S214" s="468">
        <f t="shared" si="65"/>
        <v>0.36710407951689611</v>
      </c>
      <c r="T214" s="468">
        <f t="shared" si="66"/>
        <v>0.2773772978293404</v>
      </c>
      <c r="U214" s="186">
        <f t="shared" si="74"/>
        <v>-0.39721617700398987</v>
      </c>
      <c r="V214" s="468">
        <f t="shared" si="75"/>
        <v>-0.82402014493589371</v>
      </c>
      <c r="W214" s="468">
        <f t="shared" si="76"/>
        <v>-0.13159939324429318</v>
      </c>
      <c r="X214" s="468">
        <f t="shared" si="77"/>
        <v>-0.38703856622931765</v>
      </c>
      <c r="Y214" s="283">
        <f t="shared" si="78"/>
        <v>0.47365236368330393</v>
      </c>
    </row>
    <row r="215" spans="1:25" ht="16.350000000000001" customHeight="1">
      <c r="A215" s="175">
        <f t="shared" si="67"/>
        <v>2025</v>
      </c>
      <c r="B215" s="454" t="str">
        <f t="shared" si="68"/>
        <v>02</v>
      </c>
      <c r="C215" s="454" t="str">
        <f t="array" ref="C215">_xlfn.IFS(_xlfn.NUMBERVALUE(B215)&lt;=13,"Q1",AND(_xlfn.NUMBERVALUE(B215)&gt;13,_xlfn.NUMBERVALUE(B215)&lt;=26),"Q2", AND(_xlfn.NUMBERVALUE(B215)&gt;26,_xlfn.NUMBERVALUE(B215)&lt;=39),"Q3",_xlfn.NUMBERVALUE(B215)&gt;39,"Q4")</f>
        <v>Q1</v>
      </c>
      <c r="D215" s="448">
        <f t="shared" si="79"/>
        <v>45325</v>
      </c>
      <c r="E215" s="448">
        <f t="shared" si="69"/>
        <v>45331</v>
      </c>
      <c r="F215" s="79">
        <v>202402</v>
      </c>
      <c r="G215" s="180">
        <f t="shared" si="70"/>
        <v>224149</v>
      </c>
      <c r="H215" s="429">
        <v>60374</v>
      </c>
      <c r="I215" s="429">
        <v>64434</v>
      </c>
      <c r="J215" s="429">
        <v>99341</v>
      </c>
      <c r="K215" s="180">
        <f t="shared" si="63"/>
        <v>277353</v>
      </c>
      <c r="L215" s="429">
        <v>94891</v>
      </c>
      <c r="M215" s="429">
        <v>91758</v>
      </c>
      <c r="N215" s="532">
        <v>90704</v>
      </c>
      <c r="O215" s="186">
        <f t="shared" si="71"/>
        <v>0.2693476214482331</v>
      </c>
      <c r="P215" s="468">
        <f t="shared" si="72"/>
        <v>0.28746057310092837</v>
      </c>
      <c r="Q215" s="468">
        <f t="shared" si="73"/>
        <v>0.44319180545083853</v>
      </c>
      <c r="R215" s="186">
        <f t="shared" si="64"/>
        <v>0.3421307863985607</v>
      </c>
      <c r="S215" s="468">
        <f t="shared" si="65"/>
        <v>0.3308347124422667</v>
      </c>
      <c r="T215" s="468">
        <f t="shared" si="66"/>
        <v>0.3270345011591726</v>
      </c>
      <c r="U215" s="186">
        <f t="shared" si="74"/>
        <v>6.0290253358257231E-2</v>
      </c>
      <c r="V215" s="468">
        <f t="shared" si="75"/>
        <v>9.474277006658495E-2</v>
      </c>
      <c r="W215" s="468">
        <f t="shared" si="76"/>
        <v>-0.32360244591364806</v>
      </c>
      <c r="X215" s="468">
        <f t="shared" si="77"/>
        <v>0.28835022800253673</v>
      </c>
      <c r="Y215" s="283">
        <f t="shared" si="78"/>
        <v>0.57585459684950224</v>
      </c>
    </row>
    <row r="216" spans="1:25" ht="16.350000000000001" customHeight="1">
      <c r="A216" s="175">
        <f t="shared" si="67"/>
        <v>2025</v>
      </c>
      <c r="B216" s="454" t="str">
        <f t="shared" si="68"/>
        <v>03</v>
      </c>
      <c r="C216" s="454" t="str">
        <f t="array" ref="C216">_xlfn.IFS(_xlfn.NUMBERVALUE(B216)&lt;=13,"Q1",AND(_xlfn.NUMBERVALUE(B216)&gt;13,_xlfn.NUMBERVALUE(B216)&lt;=26),"Q2", AND(_xlfn.NUMBERVALUE(B216)&gt;26,_xlfn.NUMBERVALUE(B216)&lt;=39),"Q3",_xlfn.NUMBERVALUE(B216)&gt;39,"Q4")</f>
        <v>Q1</v>
      </c>
      <c r="D216" s="448">
        <f t="shared" si="79"/>
        <v>45332</v>
      </c>
      <c r="E216" s="448">
        <f t="shared" si="69"/>
        <v>45338</v>
      </c>
      <c r="F216" s="79">
        <v>202403</v>
      </c>
      <c r="G216" s="180">
        <f t="shared" si="70"/>
        <v>233083</v>
      </c>
      <c r="H216" s="429">
        <v>71840</v>
      </c>
      <c r="I216" s="429">
        <v>81956</v>
      </c>
      <c r="J216" s="429">
        <v>79287</v>
      </c>
      <c r="K216" s="180">
        <f t="shared" si="63"/>
        <v>210635</v>
      </c>
      <c r="L216" s="429">
        <v>54654</v>
      </c>
      <c r="M216" s="429">
        <v>85285</v>
      </c>
      <c r="N216" s="532">
        <v>70696</v>
      </c>
      <c r="O216" s="186">
        <f t="shared" si="71"/>
        <v>0.30821638643744931</v>
      </c>
      <c r="P216" s="468">
        <f t="shared" si="72"/>
        <v>0.35161723506218817</v>
      </c>
      <c r="Q216" s="468">
        <f t="shared" si="73"/>
        <v>0.34016637850036252</v>
      </c>
      <c r="R216" s="186">
        <f t="shared" si="64"/>
        <v>0.25947254729745767</v>
      </c>
      <c r="S216" s="468">
        <f t="shared" si="65"/>
        <v>0.40489472309920005</v>
      </c>
      <c r="T216" s="468">
        <f t="shared" si="66"/>
        <v>0.33563272960334228</v>
      </c>
      <c r="U216" s="186">
        <f t="shared" si="74"/>
        <v>0.1382125680551563</v>
      </c>
      <c r="V216" s="468">
        <f t="shared" si="75"/>
        <v>0.22405345211581293</v>
      </c>
      <c r="W216" s="468">
        <f t="shared" si="76"/>
        <v>2.5269656889062422E-2</v>
      </c>
      <c r="X216" s="468">
        <f t="shared" si="77"/>
        <v>0.17717910880724458</v>
      </c>
      <c r="Y216" s="283">
        <f t="shared" si="78"/>
        <v>0.71748284947895646</v>
      </c>
    </row>
    <row r="217" spans="1:25" ht="16.350000000000001" customHeight="1">
      <c r="A217" s="175">
        <f t="shared" si="67"/>
        <v>2025</v>
      </c>
      <c r="B217" s="454" t="str">
        <f t="shared" si="68"/>
        <v>04</v>
      </c>
      <c r="C217" s="454" t="str">
        <f t="array" ref="C217">_xlfn.IFS(_xlfn.NUMBERVALUE(B217)&lt;=13,"Q1",AND(_xlfn.NUMBERVALUE(B217)&gt;13,_xlfn.NUMBERVALUE(B217)&lt;=26),"Q2", AND(_xlfn.NUMBERVALUE(B217)&gt;26,_xlfn.NUMBERVALUE(B217)&lt;=39),"Q3",_xlfn.NUMBERVALUE(B217)&gt;39,"Q4")</f>
        <v>Q1</v>
      </c>
      <c r="D217" s="448">
        <f t="shared" si="79"/>
        <v>45339</v>
      </c>
      <c r="E217" s="448">
        <f t="shared" si="69"/>
        <v>45345</v>
      </c>
      <c r="F217" s="79">
        <v>202404</v>
      </c>
      <c r="G217" s="180">
        <f t="shared" si="70"/>
        <v>216943</v>
      </c>
      <c r="H217" s="429">
        <v>70792</v>
      </c>
      <c r="I217" s="429">
        <v>92331</v>
      </c>
      <c r="J217" s="429">
        <v>53820</v>
      </c>
      <c r="K217" s="180">
        <f t="shared" si="63"/>
        <v>200868</v>
      </c>
      <c r="L217" s="429">
        <v>55744</v>
      </c>
      <c r="M217" s="429">
        <v>79885</v>
      </c>
      <c r="N217" s="532">
        <v>65239</v>
      </c>
      <c r="O217" s="186">
        <f t="shared" si="71"/>
        <v>0.32631612912147429</v>
      </c>
      <c r="P217" s="468">
        <f t="shared" si="72"/>
        <v>0.42560027288273877</v>
      </c>
      <c r="Q217" s="468">
        <f t="shared" si="73"/>
        <v>0.24808359799578691</v>
      </c>
      <c r="R217" s="186">
        <f t="shared" si="64"/>
        <v>0.27751558237250334</v>
      </c>
      <c r="S217" s="468">
        <f t="shared" si="65"/>
        <v>0.39769898639902823</v>
      </c>
      <c r="T217" s="468">
        <f t="shared" si="66"/>
        <v>0.32478543122846842</v>
      </c>
      <c r="U217" s="186">
        <f t="shared" si="74"/>
        <v>-0.13796250628045154</v>
      </c>
      <c r="V217" s="468">
        <f t="shared" si="75"/>
        <v>-3.8224658153463667E-2</v>
      </c>
      <c r="W217" s="468">
        <f t="shared" si="76"/>
        <v>0.10646478430862874</v>
      </c>
      <c r="X217" s="468">
        <f t="shared" si="77"/>
        <v>-0.68848011891490157</v>
      </c>
      <c r="Y217" s="283">
        <f t="shared" si="78"/>
        <v>0.62036760459605311</v>
      </c>
    </row>
    <row r="218" spans="1:25" ht="16.350000000000001" customHeight="1">
      <c r="A218" s="175">
        <f t="shared" si="67"/>
        <v>2025</v>
      </c>
      <c r="B218" s="454" t="str">
        <f t="shared" si="68"/>
        <v>05</v>
      </c>
      <c r="C218" s="454" t="str">
        <f t="array" ref="C218">_xlfn.IFS(_xlfn.NUMBERVALUE(B218)&lt;=13,"Q1",AND(_xlfn.NUMBERVALUE(B218)&gt;13,_xlfn.NUMBERVALUE(B218)&lt;=26),"Q2", AND(_xlfn.NUMBERVALUE(B218)&gt;26,_xlfn.NUMBERVALUE(B218)&lt;=39),"Q3",_xlfn.NUMBERVALUE(B218)&gt;39,"Q4")</f>
        <v>Q1</v>
      </c>
      <c r="D218" s="448">
        <f t="shared" si="79"/>
        <v>45346</v>
      </c>
      <c r="E218" s="448">
        <f t="shared" si="69"/>
        <v>45352</v>
      </c>
      <c r="F218" s="79">
        <v>202405</v>
      </c>
      <c r="G218" s="180">
        <f t="shared" si="70"/>
        <v>268310</v>
      </c>
      <c r="H218" s="429">
        <v>98064</v>
      </c>
      <c r="I218" s="429">
        <v>95529</v>
      </c>
      <c r="J218" s="429">
        <v>74717</v>
      </c>
      <c r="K218" s="180">
        <f t="shared" si="63"/>
        <v>246873</v>
      </c>
      <c r="L218" s="429">
        <v>73498</v>
      </c>
      <c r="M218" s="429">
        <v>82501</v>
      </c>
      <c r="N218" s="532">
        <v>90874</v>
      </c>
      <c r="O218" s="186">
        <f t="shared" si="71"/>
        <v>0.36548768215869704</v>
      </c>
      <c r="P218" s="468">
        <f t="shared" si="72"/>
        <v>0.356039655622228</v>
      </c>
      <c r="Q218" s="468">
        <f t="shared" si="73"/>
        <v>0.27847266221907496</v>
      </c>
      <c r="R218" s="186">
        <f t="shared" si="64"/>
        <v>0.29771582959659421</v>
      </c>
      <c r="S218" s="468">
        <f t="shared" si="65"/>
        <v>0.33418397313598491</v>
      </c>
      <c r="T218" s="468">
        <f t="shared" si="66"/>
        <v>0.36810019726742088</v>
      </c>
      <c r="U218" s="186">
        <f t="shared" si="74"/>
        <v>5.6162647683649508E-2</v>
      </c>
      <c r="V218" s="468">
        <f t="shared" si="75"/>
        <v>0.26375632240169683</v>
      </c>
      <c r="W218" s="468">
        <f t="shared" si="76"/>
        <v>-2.4537051575961227E-2</v>
      </c>
      <c r="X218" s="468">
        <f t="shared" si="77"/>
        <v>-0.11312017345450165</v>
      </c>
      <c r="Y218" s="283">
        <f t="shared" si="78"/>
        <v>0.69987807496161991</v>
      </c>
    </row>
    <row r="219" spans="1:25" ht="16.350000000000001" customHeight="1">
      <c r="A219" s="175">
        <f t="shared" si="67"/>
        <v>2025</v>
      </c>
      <c r="B219" s="454" t="str">
        <f t="shared" si="68"/>
        <v>06</v>
      </c>
      <c r="C219" s="454" t="str">
        <f t="array" ref="C219">_xlfn.IFS(_xlfn.NUMBERVALUE(B219)&lt;=13,"Q1",AND(_xlfn.NUMBERVALUE(B219)&gt;13,_xlfn.NUMBERVALUE(B219)&lt;=26),"Q2", AND(_xlfn.NUMBERVALUE(B219)&gt;26,_xlfn.NUMBERVALUE(B219)&lt;=39),"Q3",_xlfn.NUMBERVALUE(B219)&gt;39,"Q4")</f>
        <v>Q1</v>
      </c>
      <c r="D219" s="448">
        <f t="shared" si="79"/>
        <v>45353</v>
      </c>
      <c r="E219" s="448">
        <f t="shared" si="69"/>
        <v>45359</v>
      </c>
      <c r="F219" s="79">
        <v>202406</v>
      </c>
      <c r="G219" s="180">
        <f t="shared" si="70"/>
        <v>238816</v>
      </c>
      <c r="H219" s="429">
        <v>92598</v>
      </c>
      <c r="I219" s="429">
        <v>55022</v>
      </c>
      <c r="J219" s="429">
        <v>91196</v>
      </c>
      <c r="K219" s="180">
        <f t="shared" ref="K219:K250" si="80">SUM(L219:N219)</f>
        <v>253241</v>
      </c>
      <c r="L219" s="429">
        <v>72199</v>
      </c>
      <c r="M219" s="429">
        <v>97873</v>
      </c>
      <c r="N219" s="532">
        <v>83169</v>
      </c>
      <c r="O219" s="186">
        <f t="shared" si="71"/>
        <v>0.38773784001071954</v>
      </c>
      <c r="P219" s="468">
        <f t="shared" si="72"/>
        <v>0.23039494841216668</v>
      </c>
      <c r="Q219" s="468">
        <f t="shared" si="73"/>
        <v>0.38186721157711379</v>
      </c>
      <c r="R219" s="186">
        <f t="shared" ref="R219:R250" si="81">IFERROR(L219/$K219,"")</f>
        <v>0.28509996406585031</v>
      </c>
      <c r="S219" s="468">
        <f t="shared" ref="S219:S250" si="82">IFERROR(M219/$K219,"")</f>
        <v>0.38648165186521932</v>
      </c>
      <c r="T219" s="468">
        <f t="shared" ref="T219:T250" si="83">IFERROR(N219/$K219,"")</f>
        <v>0.32841838406893037</v>
      </c>
      <c r="U219" s="186">
        <f t="shared" si="74"/>
        <v>0.122345236500067</v>
      </c>
      <c r="V219" s="468">
        <f t="shared" si="75"/>
        <v>3.4018013348020475E-3</v>
      </c>
      <c r="W219" s="468">
        <f t="shared" si="76"/>
        <v>-5.5868561666242593E-2</v>
      </c>
      <c r="X219" s="468">
        <f t="shared" si="77"/>
        <v>0.35064037896398964</v>
      </c>
      <c r="Y219" s="283">
        <f t="shared" si="78"/>
        <v>0.72576715460766617</v>
      </c>
    </row>
    <row r="220" spans="1:25" ht="16.350000000000001" customHeight="1">
      <c r="A220" s="175">
        <f t="shared" si="67"/>
        <v>2025</v>
      </c>
      <c r="B220" s="454" t="str">
        <f t="shared" si="68"/>
        <v>07</v>
      </c>
      <c r="C220" s="454" t="str">
        <f t="array" ref="C220">_xlfn.IFS(_xlfn.NUMBERVALUE(B220)&lt;=13,"Q1",AND(_xlfn.NUMBERVALUE(B220)&gt;13,_xlfn.NUMBERVALUE(B220)&lt;=26),"Q2", AND(_xlfn.NUMBERVALUE(B220)&gt;26,_xlfn.NUMBERVALUE(B220)&lt;=39),"Q3",_xlfn.NUMBERVALUE(B220)&gt;39,"Q4")</f>
        <v>Q1</v>
      </c>
      <c r="D220" s="448">
        <f t="shared" si="79"/>
        <v>45360</v>
      </c>
      <c r="E220" s="448">
        <f t="shared" si="69"/>
        <v>45366</v>
      </c>
      <c r="F220" s="79">
        <v>202407</v>
      </c>
      <c r="G220" s="180">
        <f t="shared" si="70"/>
        <v>220292</v>
      </c>
      <c r="H220" s="429">
        <v>67467</v>
      </c>
      <c r="I220" s="429">
        <v>86421</v>
      </c>
      <c r="J220" s="429">
        <v>66404</v>
      </c>
      <c r="K220" s="180">
        <f t="shared" si="80"/>
        <v>209598</v>
      </c>
      <c r="L220" s="429">
        <v>92283</v>
      </c>
      <c r="M220" s="429">
        <v>58096</v>
      </c>
      <c r="N220" s="532">
        <v>59219</v>
      </c>
      <c r="O220" s="186">
        <f t="shared" si="71"/>
        <v>0.3062616890309226</v>
      </c>
      <c r="P220" s="468">
        <f t="shared" si="72"/>
        <v>0.39230203548018083</v>
      </c>
      <c r="Q220" s="468">
        <f t="shared" si="73"/>
        <v>0.30143627548889657</v>
      </c>
      <c r="R220" s="186">
        <f t="shared" si="81"/>
        <v>0.44028568974894799</v>
      </c>
      <c r="S220" s="468">
        <f t="shared" si="82"/>
        <v>0.27717821734940218</v>
      </c>
      <c r="T220" s="468">
        <f t="shared" si="83"/>
        <v>0.28253609290164983</v>
      </c>
      <c r="U220" s="186">
        <f t="shared" si="74"/>
        <v>0.2178517603907541</v>
      </c>
      <c r="V220" s="468">
        <f t="shared" si="75"/>
        <v>0.13489557857915721</v>
      </c>
      <c r="W220" s="468">
        <f t="shared" si="76"/>
        <v>0.3965471355341873</v>
      </c>
      <c r="X220" s="468">
        <f t="shared" si="77"/>
        <v>6.9574122040840916E-2</v>
      </c>
      <c r="Y220" s="283">
        <f t="shared" si="78"/>
        <v>0.63870361358409911</v>
      </c>
    </row>
    <row r="221" spans="1:25" ht="16.350000000000001" customHeight="1">
      <c r="A221" s="175">
        <f t="shared" si="67"/>
        <v>2025</v>
      </c>
      <c r="B221" s="454" t="str">
        <f t="shared" si="68"/>
        <v>08</v>
      </c>
      <c r="C221" s="454" t="str">
        <f t="array" ref="C221">_xlfn.IFS(_xlfn.NUMBERVALUE(B221)&lt;=13,"Q1",AND(_xlfn.NUMBERVALUE(B221)&gt;13,_xlfn.NUMBERVALUE(B221)&lt;=26),"Q2", AND(_xlfn.NUMBERVALUE(B221)&gt;26,_xlfn.NUMBERVALUE(B221)&lt;=39),"Q3",_xlfn.NUMBERVALUE(B221)&gt;39,"Q4")</f>
        <v>Q1</v>
      </c>
      <c r="D221" s="448">
        <f t="shared" si="79"/>
        <v>45367</v>
      </c>
      <c r="E221" s="448">
        <f t="shared" si="69"/>
        <v>45373</v>
      </c>
      <c r="F221" s="79">
        <v>202408</v>
      </c>
      <c r="G221" s="180">
        <f t="shared" si="70"/>
        <v>211068</v>
      </c>
      <c r="H221" s="429">
        <v>71703</v>
      </c>
      <c r="I221" s="429">
        <v>88789</v>
      </c>
      <c r="J221" s="429">
        <v>50576</v>
      </c>
      <c r="K221" s="180">
        <f t="shared" si="80"/>
        <v>172301</v>
      </c>
      <c r="L221" s="429">
        <v>58366</v>
      </c>
      <c r="M221" s="429">
        <v>52151</v>
      </c>
      <c r="N221" s="532">
        <v>61784</v>
      </c>
      <c r="O221" s="186">
        <f t="shared" si="71"/>
        <v>0.33971516288589459</v>
      </c>
      <c r="P221" s="468">
        <f t="shared" si="72"/>
        <v>0.42066537798245113</v>
      </c>
      <c r="Q221" s="468">
        <f t="shared" si="73"/>
        <v>0.23961945913165425</v>
      </c>
      <c r="R221" s="186">
        <f t="shared" si="81"/>
        <v>0.33874440659079169</v>
      </c>
      <c r="S221" s="468">
        <f t="shared" si="82"/>
        <v>0.30267380920598258</v>
      </c>
      <c r="T221" s="468">
        <f t="shared" si="83"/>
        <v>0.35858178420322573</v>
      </c>
      <c r="U221" s="186">
        <f t="shared" si="74"/>
        <v>7.1332461576364012E-2</v>
      </c>
      <c r="V221" s="468">
        <f t="shared" si="75"/>
        <v>-8.4836059858025462E-2</v>
      </c>
      <c r="W221" s="468">
        <f t="shared" si="76"/>
        <v>0.39190665510367273</v>
      </c>
      <c r="X221" s="468">
        <f t="shared" si="77"/>
        <v>-0.27004903511546979</v>
      </c>
      <c r="Y221" s="283">
        <f t="shared" si="78"/>
        <v>0.70968247427467046</v>
      </c>
    </row>
    <row r="222" spans="1:25" ht="16.350000000000001" customHeight="1">
      <c r="A222" s="175">
        <f t="shared" si="67"/>
        <v>2025</v>
      </c>
      <c r="B222" s="454" t="str">
        <f t="shared" si="68"/>
        <v>09</v>
      </c>
      <c r="C222" s="454" t="str">
        <f t="array" ref="C222">_xlfn.IFS(_xlfn.NUMBERVALUE(B222)&lt;=13,"Q1",AND(_xlfn.NUMBERVALUE(B222)&gt;13,_xlfn.NUMBERVALUE(B222)&lt;=26),"Q2", AND(_xlfn.NUMBERVALUE(B222)&gt;26,_xlfn.NUMBERVALUE(B222)&lt;=39),"Q3",_xlfn.NUMBERVALUE(B222)&gt;39,"Q4")</f>
        <v>Q1</v>
      </c>
      <c r="D222" s="448">
        <f t="shared" si="79"/>
        <v>45374</v>
      </c>
      <c r="E222" s="448">
        <f t="shared" si="69"/>
        <v>45380</v>
      </c>
      <c r="F222" s="79">
        <v>202409</v>
      </c>
      <c r="G222" s="180">
        <f t="shared" si="70"/>
        <v>264902</v>
      </c>
      <c r="H222" s="429">
        <v>80691</v>
      </c>
      <c r="I222" s="429">
        <v>90701</v>
      </c>
      <c r="J222" s="429">
        <v>93510</v>
      </c>
      <c r="K222" s="180">
        <f t="shared" si="80"/>
        <v>196012</v>
      </c>
      <c r="L222" s="429">
        <v>77786</v>
      </c>
      <c r="M222" s="429">
        <v>53992</v>
      </c>
      <c r="N222" s="532">
        <v>64234</v>
      </c>
      <c r="O222" s="186">
        <f t="shared" si="71"/>
        <v>0.30460698673471698</v>
      </c>
      <c r="P222" s="468">
        <f t="shared" si="72"/>
        <v>0.34239454590754315</v>
      </c>
      <c r="Q222" s="468">
        <f t="shared" si="73"/>
        <v>0.35299846735773982</v>
      </c>
      <c r="R222" s="186">
        <f t="shared" si="81"/>
        <v>0.39684305042548418</v>
      </c>
      <c r="S222" s="468">
        <f t="shared" si="82"/>
        <v>0.27545252331489911</v>
      </c>
      <c r="T222" s="468">
        <f t="shared" si="83"/>
        <v>0.32770442625961677</v>
      </c>
      <c r="U222" s="186">
        <f t="shared" si="74"/>
        <v>8.5941215996859222E-2</v>
      </c>
      <c r="V222" s="468">
        <f t="shared" si="75"/>
        <v>-6.8694154242728428E-2</v>
      </c>
      <c r="W222" s="468">
        <f t="shared" si="76"/>
        <v>6.8874654083196443E-2</v>
      </c>
      <c r="X222" s="468">
        <f t="shared" si="77"/>
        <v>0.23593198588386269</v>
      </c>
      <c r="Y222" s="283">
        <f t="shared" si="78"/>
        <v>0.88872620043670791</v>
      </c>
    </row>
    <row r="223" spans="1:25" ht="16.350000000000001" customHeight="1">
      <c r="A223" s="175">
        <f t="shared" si="67"/>
        <v>2025</v>
      </c>
      <c r="B223" s="454" t="str">
        <f t="shared" si="68"/>
        <v>10</v>
      </c>
      <c r="C223" s="454" t="str">
        <f t="array" ref="C223">_xlfn.IFS(_xlfn.NUMBERVALUE(B223)&lt;=13,"Q1",AND(_xlfn.NUMBERVALUE(B223)&gt;13,_xlfn.NUMBERVALUE(B223)&lt;=26),"Q2", AND(_xlfn.NUMBERVALUE(B223)&gt;26,_xlfn.NUMBERVALUE(B223)&lt;=39),"Q3",_xlfn.NUMBERVALUE(B223)&gt;39,"Q4")</f>
        <v>Q1</v>
      </c>
      <c r="D223" s="448">
        <f t="shared" si="79"/>
        <v>45381</v>
      </c>
      <c r="E223" s="448">
        <f t="shared" si="69"/>
        <v>45387</v>
      </c>
      <c r="F223" s="79">
        <v>202410</v>
      </c>
      <c r="G223" s="180">
        <f t="shared" si="70"/>
        <v>192005</v>
      </c>
      <c r="H223" s="429">
        <v>50432</v>
      </c>
      <c r="I223" s="429">
        <v>88954</v>
      </c>
      <c r="J223" s="429">
        <v>52619</v>
      </c>
      <c r="K223" s="180">
        <f t="shared" si="80"/>
        <v>242136</v>
      </c>
      <c r="L223" s="429">
        <v>86234</v>
      </c>
      <c r="M223" s="429">
        <v>84454</v>
      </c>
      <c r="N223" s="532">
        <v>71448</v>
      </c>
      <c r="O223" s="186">
        <f t="shared" si="71"/>
        <v>0.26265982656701647</v>
      </c>
      <c r="P223" s="468">
        <f t="shared" si="72"/>
        <v>0.46329001848910184</v>
      </c>
      <c r="Q223" s="468">
        <f t="shared" si="73"/>
        <v>0.27405015494388169</v>
      </c>
      <c r="R223" s="186">
        <f t="shared" si="81"/>
        <v>0.35613869891300759</v>
      </c>
      <c r="S223" s="468">
        <f t="shared" si="82"/>
        <v>0.34878745828790431</v>
      </c>
      <c r="T223" s="468">
        <f t="shared" si="83"/>
        <v>0.2950738427990881</v>
      </c>
      <c r="U223" s="186">
        <f t="shared" si="74"/>
        <v>-0.25859222416082916</v>
      </c>
      <c r="V223" s="468">
        <f t="shared" si="75"/>
        <v>-0.44997223984771573</v>
      </c>
      <c r="W223" s="468">
        <f t="shared" si="76"/>
        <v>6.1964610922499268E-2</v>
      </c>
      <c r="X223" s="468">
        <f t="shared" si="77"/>
        <v>-0.61707748151808284</v>
      </c>
      <c r="Y223" s="283">
        <f t="shared" si="78"/>
        <v>0.42559140317837907</v>
      </c>
    </row>
    <row r="224" spans="1:25" ht="16.350000000000001" customHeight="1">
      <c r="A224" s="175">
        <f t="shared" si="67"/>
        <v>2025</v>
      </c>
      <c r="B224" s="454" t="str">
        <f t="shared" si="68"/>
        <v>11</v>
      </c>
      <c r="C224" s="454" t="str">
        <f t="array" ref="C224">_xlfn.IFS(_xlfn.NUMBERVALUE(B224)&lt;=13,"Q1",AND(_xlfn.NUMBERVALUE(B224)&gt;13,_xlfn.NUMBERVALUE(B224)&lt;=26),"Q2", AND(_xlfn.NUMBERVALUE(B224)&gt;26,_xlfn.NUMBERVALUE(B224)&lt;=39),"Q3",_xlfn.NUMBERVALUE(B224)&gt;39,"Q4")</f>
        <v>Q1</v>
      </c>
      <c r="D224" s="448">
        <f t="shared" si="79"/>
        <v>45388</v>
      </c>
      <c r="E224" s="448">
        <f t="shared" si="69"/>
        <v>45394</v>
      </c>
      <c r="F224" s="79">
        <v>202411</v>
      </c>
      <c r="G224" s="180">
        <f t="shared" si="70"/>
        <v>281077</v>
      </c>
      <c r="H224" s="429">
        <v>96417</v>
      </c>
      <c r="I224" s="429">
        <v>94075</v>
      </c>
      <c r="J224" s="429">
        <v>90585</v>
      </c>
      <c r="K224" s="180">
        <f t="shared" si="80"/>
        <v>241656</v>
      </c>
      <c r="L224" s="429">
        <v>73125</v>
      </c>
      <c r="M224" s="429">
        <v>83442</v>
      </c>
      <c r="N224" s="532">
        <v>85089</v>
      </c>
      <c r="O224" s="186">
        <f t="shared" si="71"/>
        <v>0.34302699971893824</v>
      </c>
      <c r="P224" s="468">
        <f t="shared" si="72"/>
        <v>0.33469476335666026</v>
      </c>
      <c r="Q224" s="468">
        <f t="shared" si="73"/>
        <v>0.3222782369244015</v>
      </c>
      <c r="R224" s="186">
        <f t="shared" si="81"/>
        <v>0.30259956301519514</v>
      </c>
      <c r="S224" s="468">
        <f t="shared" si="82"/>
        <v>0.34529248187506206</v>
      </c>
      <c r="T224" s="468">
        <f t="shared" si="83"/>
        <v>0.3521079551097428</v>
      </c>
      <c r="U224" s="186">
        <f t="shared" si="74"/>
        <v>0.23132095475617001</v>
      </c>
      <c r="V224" s="468">
        <f t="shared" si="75"/>
        <v>0.32311729259362976</v>
      </c>
      <c r="W224" s="468">
        <f t="shared" si="76"/>
        <v>0.27550358756311455</v>
      </c>
      <c r="X224" s="468">
        <f t="shared" si="77"/>
        <v>8.7729756582215601E-2</v>
      </c>
      <c r="Y224" s="283">
        <f t="shared" si="78"/>
        <v>0.77383553480981226</v>
      </c>
    </row>
    <row r="225" spans="1:25" ht="16.350000000000001" customHeight="1">
      <c r="A225" s="175">
        <f t="shared" si="67"/>
        <v>2025</v>
      </c>
      <c r="B225" s="454" t="str">
        <f t="shared" si="68"/>
        <v>12</v>
      </c>
      <c r="C225" s="454" t="str">
        <f t="array" ref="C225">_xlfn.IFS(_xlfn.NUMBERVALUE(B225)&lt;=13,"Q1",AND(_xlfn.NUMBERVALUE(B225)&gt;13,_xlfn.NUMBERVALUE(B225)&lt;=26),"Q2", AND(_xlfn.NUMBERVALUE(B225)&gt;26,_xlfn.NUMBERVALUE(B225)&lt;=39),"Q3",_xlfn.NUMBERVALUE(B225)&gt;39,"Q4")</f>
        <v>Q1</v>
      </c>
      <c r="D225" s="448">
        <f t="shared" si="79"/>
        <v>45395</v>
      </c>
      <c r="E225" s="448">
        <f t="shared" si="69"/>
        <v>45401</v>
      </c>
      <c r="F225" s="79">
        <v>202412</v>
      </c>
      <c r="G225" s="180">
        <f t="shared" si="70"/>
        <v>215063</v>
      </c>
      <c r="H225" s="429">
        <v>80253</v>
      </c>
      <c r="I225" s="429">
        <v>72225</v>
      </c>
      <c r="J225" s="429">
        <v>62585</v>
      </c>
      <c r="K225" s="180">
        <f t="shared" si="80"/>
        <v>216058</v>
      </c>
      <c r="L225" s="429">
        <v>65263</v>
      </c>
      <c r="M225" s="429">
        <v>68157</v>
      </c>
      <c r="N225" s="532">
        <v>82638</v>
      </c>
      <c r="O225" s="186">
        <f t="shared" si="71"/>
        <v>0.37316042275984246</v>
      </c>
      <c r="P225" s="468">
        <f t="shared" si="72"/>
        <v>0.33583182602307232</v>
      </c>
      <c r="Q225" s="468">
        <f t="shared" si="73"/>
        <v>0.29100775121708522</v>
      </c>
      <c r="R225" s="186">
        <f t="shared" si="81"/>
        <v>0.30206240916790861</v>
      </c>
      <c r="S225" s="468">
        <f t="shared" si="82"/>
        <v>0.3154569606309417</v>
      </c>
      <c r="T225" s="468">
        <f t="shared" si="83"/>
        <v>0.3824806302011497</v>
      </c>
      <c r="U225" s="186">
        <f t="shared" si="74"/>
        <v>-0.21667139396362925</v>
      </c>
      <c r="V225" s="468">
        <f t="shared" si="75"/>
        <v>0.15039936201761928</v>
      </c>
      <c r="W225" s="468">
        <f t="shared" si="76"/>
        <v>-0.33704395984769814</v>
      </c>
      <c r="X225" s="468">
        <f t="shared" si="77"/>
        <v>-0.5484541024207078</v>
      </c>
      <c r="Y225" s="283">
        <f t="shared" si="78"/>
        <v>0.66110951688898356</v>
      </c>
    </row>
    <row r="226" spans="1:25" ht="16.350000000000001" customHeight="1">
      <c r="A226" s="175">
        <f t="shared" si="67"/>
        <v>2025</v>
      </c>
      <c r="B226" s="454" t="str">
        <f t="shared" si="68"/>
        <v>13</v>
      </c>
      <c r="C226" s="454" t="str">
        <f t="array" ref="C226">_xlfn.IFS(_xlfn.NUMBERVALUE(B226)&lt;=13,"Q1",AND(_xlfn.NUMBERVALUE(B226)&gt;13,_xlfn.NUMBERVALUE(B226)&lt;=26),"Q2", AND(_xlfn.NUMBERVALUE(B226)&gt;26,_xlfn.NUMBERVALUE(B226)&lt;=39),"Q3",_xlfn.NUMBERVALUE(B226)&gt;39,"Q4")</f>
        <v>Q1</v>
      </c>
      <c r="D226" s="448">
        <f t="shared" si="79"/>
        <v>45402</v>
      </c>
      <c r="E226" s="448">
        <f t="shared" si="69"/>
        <v>45408</v>
      </c>
      <c r="F226" s="79">
        <v>202413</v>
      </c>
      <c r="G226" s="180">
        <f t="shared" si="70"/>
        <v>241440</v>
      </c>
      <c r="H226" s="429">
        <v>56352</v>
      </c>
      <c r="I226" s="429">
        <v>95980</v>
      </c>
      <c r="J226" s="429">
        <v>89108</v>
      </c>
      <c r="K226" s="180">
        <f t="shared" si="80"/>
        <v>261661</v>
      </c>
      <c r="L226" s="429">
        <v>68183</v>
      </c>
      <c r="M226" s="429">
        <v>96568</v>
      </c>
      <c r="N226" s="532">
        <v>96910</v>
      </c>
      <c r="O226" s="186">
        <f t="shared" si="71"/>
        <v>0.23339960238568588</v>
      </c>
      <c r="P226" s="468">
        <f t="shared" si="72"/>
        <v>0.39753147779986747</v>
      </c>
      <c r="Q226" s="468">
        <f t="shared" si="73"/>
        <v>0.36906891981444667</v>
      </c>
      <c r="R226" s="186">
        <f t="shared" si="81"/>
        <v>0.26057761760445769</v>
      </c>
      <c r="S226" s="468">
        <f t="shared" si="82"/>
        <v>0.36905767386045302</v>
      </c>
      <c r="T226" s="468">
        <f t="shared" si="83"/>
        <v>0.37036470853508929</v>
      </c>
      <c r="U226" s="186">
        <f t="shared" si="74"/>
        <v>0.14952369118621603</v>
      </c>
      <c r="V226" s="468">
        <f t="shared" si="75"/>
        <v>-0.34632311186825665</v>
      </c>
      <c r="W226" s="468">
        <f t="shared" si="76"/>
        <v>0.34249843717441136</v>
      </c>
      <c r="X226" s="468">
        <f t="shared" si="77"/>
        <v>0.25524083135072045</v>
      </c>
      <c r="Y226" s="283">
        <f t="shared" si="78"/>
        <v>0.55591012799003292</v>
      </c>
    </row>
    <row r="227" spans="1:25" ht="16.350000000000001" customHeight="1">
      <c r="A227" s="175">
        <f t="shared" si="67"/>
        <v>2025</v>
      </c>
      <c r="B227" s="454" t="str">
        <f t="shared" si="68"/>
        <v>14</v>
      </c>
      <c r="C227" s="454" t="str">
        <f t="array" ref="C227">_xlfn.IFS(_xlfn.NUMBERVALUE(B227)&lt;=13,"Q1",AND(_xlfn.NUMBERVALUE(B227)&gt;13,_xlfn.NUMBERVALUE(B227)&lt;=26),"Q2", AND(_xlfn.NUMBERVALUE(B227)&gt;26,_xlfn.NUMBERVALUE(B227)&lt;=39),"Q3",_xlfn.NUMBERVALUE(B227)&gt;39,"Q4")</f>
        <v>Q2</v>
      </c>
      <c r="D227" s="448">
        <f t="shared" si="79"/>
        <v>45409</v>
      </c>
      <c r="E227" s="448">
        <f t="shared" si="69"/>
        <v>45415</v>
      </c>
      <c r="F227" s="79">
        <v>202414</v>
      </c>
      <c r="G227" s="180">
        <f t="shared" si="70"/>
        <v>281858</v>
      </c>
      <c r="H227" s="429">
        <v>96690</v>
      </c>
      <c r="I227" s="429">
        <v>94266</v>
      </c>
      <c r="J227" s="429">
        <v>90902</v>
      </c>
      <c r="K227" s="180">
        <f t="shared" si="80"/>
        <v>205339</v>
      </c>
      <c r="L227" s="429">
        <v>75868</v>
      </c>
      <c r="M227" s="429">
        <v>63107</v>
      </c>
      <c r="N227" s="532">
        <v>66364</v>
      </c>
      <c r="O227" s="186">
        <f t="shared" si="71"/>
        <v>0.34304507943716339</v>
      </c>
      <c r="P227" s="468">
        <f t="shared" si="72"/>
        <v>0.33444500422198414</v>
      </c>
      <c r="Q227" s="468">
        <f t="shared" si="73"/>
        <v>0.32250991634085246</v>
      </c>
      <c r="R227" s="186">
        <f t="shared" si="81"/>
        <v>0.36947681638656077</v>
      </c>
      <c r="S227" s="468">
        <f t="shared" si="82"/>
        <v>0.30733080418235209</v>
      </c>
      <c r="T227" s="468">
        <f t="shared" si="83"/>
        <v>0.32319237943108714</v>
      </c>
      <c r="U227" s="186">
        <f t="shared" si="74"/>
        <v>0.40236927814715212</v>
      </c>
      <c r="V227" s="468">
        <f t="shared" si="75"/>
        <v>0.36399834522701419</v>
      </c>
      <c r="W227" s="468">
        <f t="shared" si="76"/>
        <v>0.42976258672267836</v>
      </c>
      <c r="X227" s="468">
        <f t="shared" si="77"/>
        <v>0.41477635255549933</v>
      </c>
      <c r="Y227" s="283">
        <f t="shared" si="78"/>
        <v>0.91357219037786297</v>
      </c>
    </row>
    <row r="228" spans="1:25" ht="16.350000000000001" customHeight="1">
      <c r="A228" s="175">
        <f t="shared" si="67"/>
        <v>2025</v>
      </c>
      <c r="B228" s="454" t="str">
        <f t="shared" si="68"/>
        <v>15</v>
      </c>
      <c r="C228" s="454" t="str">
        <f t="array" ref="C228">_xlfn.IFS(_xlfn.NUMBERVALUE(B228)&lt;=13,"Q1",AND(_xlfn.NUMBERVALUE(B228)&gt;13,_xlfn.NUMBERVALUE(B228)&lt;=26),"Q2", AND(_xlfn.NUMBERVALUE(B228)&gt;26,_xlfn.NUMBERVALUE(B228)&lt;=39),"Q3",_xlfn.NUMBERVALUE(B228)&gt;39,"Q4")</f>
        <v>Q2</v>
      </c>
      <c r="D228" s="448">
        <f t="shared" si="79"/>
        <v>45416</v>
      </c>
      <c r="E228" s="448">
        <f t="shared" si="69"/>
        <v>45422</v>
      </c>
      <c r="F228" s="79">
        <v>202415</v>
      </c>
      <c r="G228" s="180">
        <f t="shared" si="70"/>
        <v>238226</v>
      </c>
      <c r="H228" s="429">
        <v>81993</v>
      </c>
      <c r="I228" s="429">
        <v>90001</v>
      </c>
      <c r="J228" s="429">
        <v>66232</v>
      </c>
      <c r="K228" s="180">
        <f t="shared" si="80"/>
        <v>168447</v>
      </c>
      <c r="L228" s="429">
        <v>61495</v>
      </c>
      <c r="M228" s="429">
        <v>53754</v>
      </c>
      <c r="N228" s="532">
        <v>53198</v>
      </c>
      <c r="O228" s="186">
        <f t="shared" si="71"/>
        <v>0.34418157547874706</v>
      </c>
      <c r="P228" s="468">
        <f t="shared" si="72"/>
        <v>0.37779671404464665</v>
      </c>
      <c r="Q228" s="468">
        <f t="shared" si="73"/>
        <v>0.27802171047660623</v>
      </c>
      <c r="R228" s="186">
        <f t="shared" si="81"/>
        <v>0.36507031885400154</v>
      </c>
      <c r="S228" s="468">
        <f t="shared" si="82"/>
        <v>0.31911521131275711</v>
      </c>
      <c r="T228" s="468">
        <f t="shared" si="83"/>
        <v>0.3158144698332413</v>
      </c>
      <c r="U228" s="186">
        <f t="shared" si="74"/>
        <v>1.4666745023633021E-2</v>
      </c>
      <c r="V228" s="468">
        <f t="shared" si="75"/>
        <v>-0.10387472101276939</v>
      </c>
      <c r="W228" s="468">
        <f t="shared" si="76"/>
        <v>0.28161909312118755</v>
      </c>
      <c r="X228" s="468">
        <f t="shared" si="77"/>
        <v>-0.20133772194709507</v>
      </c>
      <c r="Y228" s="283">
        <f t="shared" si="78"/>
        <v>0.87995037014609934</v>
      </c>
    </row>
    <row r="229" spans="1:25" ht="16.350000000000001" customHeight="1">
      <c r="A229" s="175">
        <f t="shared" si="67"/>
        <v>2025</v>
      </c>
      <c r="B229" s="454" t="str">
        <f t="shared" si="68"/>
        <v>16</v>
      </c>
      <c r="C229" s="454" t="str">
        <f t="array" ref="C229">_xlfn.IFS(_xlfn.NUMBERVALUE(B229)&lt;=13,"Q1",AND(_xlfn.NUMBERVALUE(B229)&gt;13,_xlfn.NUMBERVALUE(B229)&lt;=26),"Q2", AND(_xlfn.NUMBERVALUE(B229)&gt;26,_xlfn.NUMBERVALUE(B229)&lt;=39),"Q3",_xlfn.NUMBERVALUE(B229)&gt;39,"Q4")</f>
        <v>Q2</v>
      </c>
      <c r="D229" s="448">
        <f t="shared" si="79"/>
        <v>45423</v>
      </c>
      <c r="E229" s="448">
        <f t="shared" si="69"/>
        <v>45429</v>
      </c>
      <c r="F229" s="79">
        <v>202416</v>
      </c>
      <c r="G229" s="180">
        <f t="shared" si="70"/>
        <v>235142</v>
      </c>
      <c r="H229" s="429">
        <v>95256</v>
      </c>
      <c r="I229" s="429">
        <v>64262</v>
      </c>
      <c r="J229" s="429">
        <v>75624</v>
      </c>
      <c r="K229" s="180">
        <f t="shared" si="80"/>
        <v>234732</v>
      </c>
      <c r="L229" s="429">
        <v>90510</v>
      </c>
      <c r="M229" s="429">
        <v>64655</v>
      </c>
      <c r="N229" s="532">
        <v>79567</v>
      </c>
      <c r="O229" s="186">
        <f t="shared" si="71"/>
        <v>0.40509989708346444</v>
      </c>
      <c r="P229" s="468">
        <f t="shared" si="72"/>
        <v>0.27329018210272943</v>
      </c>
      <c r="Q229" s="468">
        <f t="shared" si="73"/>
        <v>0.32160992081380613</v>
      </c>
      <c r="R229" s="186">
        <f t="shared" si="81"/>
        <v>0.38558867133582125</v>
      </c>
      <c r="S229" s="468">
        <f t="shared" si="82"/>
        <v>0.27544178041340761</v>
      </c>
      <c r="T229" s="468">
        <f t="shared" si="83"/>
        <v>0.33896954825077108</v>
      </c>
      <c r="U229" s="186">
        <f t="shared" si="74"/>
        <v>-4.7788145035765624E-2</v>
      </c>
      <c r="V229" s="468">
        <f t="shared" si="75"/>
        <v>5.5975476610397243E-2</v>
      </c>
      <c r="W229" s="468">
        <f t="shared" si="76"/>
        <v>3.4763935140518502E-2</v>
      </c>
      <c r="X229" s="468">
        <f t="shared" si="77"/>
        <v>-0.24863799851898868</v>
      </c>
      <c r="Y229" s="283">
        <f t="shared" si="78"/>
        <v>0.72797914217064563</v>
      </c>
    </row>
    <row r="230" spans="1:25" ht="16.350000000000001" customHeight="1">
      <c r="A230" s="175">
        <f t="shared" si="67"/>
        <v>2025</v>
      </c>
      <c r="B230" s="454" t="str">
        <f t="shared" si="68"/>
        <v>17</v>
      </c>
      <c r="C230" s="454" t="str">
        <f t="array" ref="C230">_xlfn.IFS(_xlfn.NUMBERVALUE(B230)&lt;=13,"Q1",AND(_xlfn.NUMBERVALUE(B230)&gt;13,_xlfn.NUMBERVALUE(B230)&lt;=26),"Q2", AND(_xlfn.NUMBERVALUE(B230)&gt;26,_xlfn.NUMBERVALUE(B230)&lt;=39),"Q3",_xlfn.NUMBERVALUE(B230)&gt;39,"Q4")</f>
        <v>Q2</v>
      </c>
      <c r="D230" s="448">
        <f t="shared" si="79"/>
        <v>45430</v>
      </c>
      <c r="E230" s="448">
        <f t="shared" si="69"/>
        <v>45436</v>
      </c>
      <c r="F230" s="79">
        <v>202417</v>
      </c>
      <c r="G230" s="180">
        <f t="shared" si="70"/>
        <v>214182</v>
      </c>
      <c r="H230" s="429">
        <v>50230</v>
      </c>
      <c r="I230" s="429">
        <v>93524</v>
      </c>
      <c r="J230" s="429">
        <v>70428</v>
      </c>
      <c r="K230" s="180">
        <f t="shared" si="80"/>
        <v>246379</v>
      </c>
      <c r="L230" s="429">
        <v>89924</v>
      </c>
      <c r="M230" s="429">
        <v>62028</v>
      </c>
      <c r="N230" s="532">
        <v>94427</v>
      </c>
      <c r="O230" s="186">
        <f t="shared" si="71"/>
        <v>0.23452017443109133</v>
      </c>
      <c r="P230" s="468">
        <f t="shared" si="72"/>
        <v>0.43665667516411277</v>
      </c>
      <c r="Q230" s="468">
        <f t="shared" si="73"/>
        <v>0.32882315040479593</v>
      </c>
      <c r="R230" s="186">
        <f t="shared" si="81"/>
        <v>0.36498240515628361</v>
      </c>
      <c r="S230" s="468">
        <f t="shared" si="82"/>
        <v>0.25175846967476934</v>
      </c>
      <c r="T230" s="468">
        <f t="shared" si="83"/>
        <v>0.383259125168947</v>
      </c>
      <c r="U230" s="684">
        <f t="shared" si="74"/>
        <v>8.5707482421491996E-2</v>
      </c>
      <c r="V230" s="685">
        <f t="shared" si="75"/>
        <v>-3.2450726657376069E-2</v>
      </c>
      <c r="W230" s="685">
        <f t="shared" si="76"/>
        <v>0.43376031820709121</v>
      </c>
      <c r="X230" s="685">
        <f t="shared" si="77"/>
        <v>-0.29221332424603852</v>
      </c>
      <c r="Y230" s="686">
        <f t="shared" si="78"/>
        <v>0.48972517949987621</v>
      </c>
    </row>
    <row r="231" spans="1:25" ht="16.350000000000001" customHeight="1">
      <c r="A231" s="175">
        <f t="shared" si="67"/>
        <v>2025</v>
      </c>
      <c r="B231" s="454" t="str">
        <f t="shared" si="68"/>
        <v>18</v>
      </c>
      <c r="C231" s="454" t="str">
        <f t="array" ref="C231">_xlfn.IFS(_xlfn.NUMBERVALUE(B231)&lt;=13,"Q1",AND(_xlfn.NUMBERVALUE(B231)&gt;13,_xlfn.NUMBERVALUE(B231)&lt;=26),"Q2", AND(_xlfn.NUMBERVALUE(B231)&gt;26,_xlfn.NUMBERVALUE(B231)&lt;=39),"Q3",_xlfn.NUMBERVALUE(B231)&gt;39,"Q4")</f>
        <v>Q2</v>
      </c>
      <c r="D231" s="448">
        <f t="shared" si="79"/>
        <v>45437</v>
      </c>
      <c r="E231" s="448">
        <f t="shared" si="69"/>
        <v>45443</v>
      </c>
      <c r="F231" s="79">
        <v>202418</v>
      </c>
      <c r="G231" s="180">
        <f t="shared" si="70"/>
        <v>214595</v>
      </c>
      <c r="H231" s="429">
        <v>69407</v>
      </c>
      <c r="I231" s="429">
        <v>76527</v>
      </c>
      <c r="J231" s="429">
        <v>68661</v>
      </c>
      <c r="K231" s="180">
        <f t="shared" si="80"/>
        <v>195825</v>
      </c>
      <c r="L231" s="429">
        <v>51860</v>
      </c>
      <c r="M231" s="429">
        <v>52957</v>
      </c>
      <c r="N231" s="532">
        <v>91008</v>
      </c>
      <c r="O231" s="684">
        <f t="shared" si="71"/>
        <v>0.32343251240709242</v>
      </c>
      <c r="P231" s="685">
        <f t="shared" si="72"/>
        <v>0.35661129103660383</v>
      </c>
      <c r="Q231" s="685">
        <f t="shared" si="73"/>
        <v>0.31995619655630375</v>
      </c>
      <c r="R231" s="684">
        <f t="shared" si="81"/>
        <v>0.26482829056555596</v>
      </c>
      <c r="S231" s="685">
        <f t="shared" si="82"/>
        <v>0.27043023107366271</v>
      </c>
      <c r="T231" s="685">
        <f t="shared" si="83"/>
        <v>0.46474147836078133</v>
      </c>
      <c r="U231" s="684">
        <f t="shared" si="74"/>
        <v>-0.19379761877024163</v>
      </c>
      <c r="V231" s="685">
        <f t="shared" si="75"/>
        <v>-0.38035068508940023</v>
      </c>
      <c r="W231" s="685">
        <f t="shared" si="76"/>
        <v>-1.842486965384766E-2</v>
      </c>
      <c r="X231" s="685">
        <f t="shared" si="77"/>
        <v>-0.20068160964739809</v>
      </c>
      <c r="Y231" s="686">
        <f t="shared" si="78"/>
        <v>0.70505808757819477</v>
      </c>
    </row>
    <row r="232" spans="1:25" ht="16.350000000000001" customHeight="1">
      <c r="A232" s="175">
        <f t="shared" si="67"/>
        <v>2025</v>
      </c>
      <c r="B232" s="454" t="str">
        <f t="shared" si="68"/>
        <v>19</v>
      </c>
      <c r="C232" s="454" t="str">
        <f t="array" ref="C232">_xlfn.IFS(_xlfn.NUMBERVALUE(B232)&lt;=13,"Q1",AND(_xlfn.NUMBERVALUE(B232)&gt;13,_xlfn.NUMBERVALUE(B232)&lt;=26),"Q2", AND(_xlfn.NUMBERVALUE(B232)&gt;26,_xlfn.NUMBERVALUE(B232)&lt;=39),"Q3",_xlfn.NUMBERVALUE(B232)&gt;39,"Q4")</f>
        <v>Q2</v>
      </c>
      <c r="D232" s="448">
        <f t="shared" si="79"/>
        <v>45444</v>
      </c>
      <c r="E232" s="448">
        <f t="shared" si="69"/>
        <v>45450</v>
      </c>
      <c r="F232" s="79">
        <v>202419</v>
      </c>
      <c r="G232" s="180">
        <f t="shared" si="70"/>
        <v>234723</v>
      </c>
      <c r="H232" s="429">
        <v>80246</v>
      </c>
      <c r="I232" s="429">
        <v>56577</v>
      </c>
      <c r="J232" s="429">
        <v>97900</v>
      </c>
      <c r="K232" s="180">
        <f t="shared" si="80"/>
        <v>256183</v>
      </c>
      <c r="L232" s="429">
        <v>95806</v>
      </c>
      <c r="M232" s="429">
        <v>77937</v>
      </c>
      <c r="N232" s="532">
        <v>82440</v>
      </c>
      <c r="O232" s="684">
        <f t="shared" si="71"/>
        <v>0.34187531686285538</v>
      </c>
      <c r="P232" s="685">
        <f t="shared" si="72"/>
        <v>0.24103730780537058</v>
      </c>
      <c r="Q232" s="685">
        <f t="shared" si="73"/>
        <v>0.41708737533177404</v>
      </c>
      <c r="R232" s="684">
        <f t="shared" si="81"/>
        <v>0.3739748539130231</v>
      </c>
      <c r="S232" s="685">
        <f t="shared" si="82"/>
        <v>0.30422393367241385</v>
      </c>
      <c r="T232" s="685">
        <f t="shared" si="83"/>
        <v>0.32180121241456305</v>
      </c>
      <c r="U232" s="186">
        <f t="shared" si="74"/>
        <v>-6.3777303459822852E-3</v>
      </c>
      <c r="V232" s="468">
        <f t="shared" si="75"/>
        <v>5.7548039777683621E-2</v>
      </c>
      <c r="W232" s="468">
        <f t="shared" si="76"/>
        <v>-0.31975891263234174</v>
      </c>
      <c r="X232" s="468">
        <f t="shared" si="77"/>
        <v>0.12232890704800817</v>
      </c>
      <c r="Y232" s="686">
        <f t="shared" si="78"/>
        <v>0.69538572036395863</v>
      </c>
    </row>
    <row r="233" spans="1:25" ht="16.350000000000001" customHeight="1">
      <c r="A233" s="175">
        <f t="shared" si="67"/>
        <v>2025</v>
      </c>
      <c r="B233" s="454" t="str">
        <f t="shared" si="68"/>
        <v>20</v>
      </c>
      <c r="C233" s="454" t="str">
        <f t="array" ref="C233">_xlfn.IFS(_xlfn.NUMBERVALUE(B233)&lt;=13,"Q1",AND(_xlfn.NUMBERVALUE(B233)&gt;13,_xlfn.NUMBERVALUE(B233)&lt;=26),"Q2", AND(_xlfn.NUMBERVALUE(B233)&gt;26,_xlfn.NUMBERVALUE(B233)&lt;=39),"Q3",_xlfn.NUMBERVALUE(B233)&gt;39,"Q4")</f>
        <v>Q2</v>
      </c>
      <c r="D233" s="448">
        <f t="shared" si="79"/>
        <v>45451</v>
      </c>
      <c r="E233" s="448">
        <f t="shared" si="69"/>
        <v>45457</v>
      </c>
      <c r="F233" s="79">
        <v>202420</v>
      </c>
      <c r="G233" s="180">
        <f t="shared" si="70"/>
        <v>216281</v>
      </c>
      <c r="H233" s="429">
        <v>78375</v>
      </c>
      <c r="I233" s="429">
        <v>67297</v>
      </c>
      <c r="J233" s="429">
        <v>70609</v>
      </c>
      <c r="K233" s="180">
        <f t="shared" si="80"/>
        <v>236220</v>
      </c>
      <c r="L233" s="429">
        <v>75628</v>
      </c>
      <c r="M233" s="429">
        <v>74668</v>
      </c>
      <c r="N233" s="532">
        <v>85924</v>
      </c>
      <c r="O233" s="186">
        <f t="shared" si="71"/>
        <v>0.36237579815147886</v>
      </c>
      <c r="P233" s="468">
        <f t="shared" si="72"/>
        <v>0.3111553950647537</v>
      </c>
      <c r="Q233" s="468">
        <f t="shared" si="73"/>
        <v>0.32646880678376744</v>
      </c>
      <c r="R233" s="186">
        <f t="shared" si="81"/>
        <v>0.32015917365168062</v>
      </c>
      <c r="S233" s="468">
        <f t="shared" si="82"/>
        <v>0.3160951655236644</v>
      </c>
      <c r="T233" s="468">
        <f t="shared" si="83"/>
        <v>0.36374566082465498</v>
      </c>
      <c r="U233" s="186">
        <f t="shared" si="74"/>
        <v>2.9013181925365613E-2</v>
      </c>
      <c r="V233" s="468">
        <f t="shared" si="75"/>
        <v>-0.17255502392344499</v>
      </c>
      <c r="W233" s="468">
        <f t="shared" si="76"/>
        <v>0.18061726377104478</v>
      </c>
      <c r="X233" s="468">
        <f t="shared" si="77"/>
        <v>0.10825815405968078</v>
      </c>
      <c r="Y233" s="283">
        <f t="shared" si="78"/>
        <v>0.63070019473372285</v>
      </c>
    </row>
    <row r="234" spans="1:25" ht="16.350000000000001" customHeight="1">
      <c r="A234" s="175">
        <f t="shared" si="67"/>
        <v>2025</v>
      </c>
      <c r="B234" s="454" t="str">
        <f t="shared" si="68"/>
        <v>21</v>
      </c>
      <c r="C234" s="454" t="str">
        <f t="array" ref="C234">_xlfn.IFS(_xlfn.NUMBERVALUE(B234)&lt;=13,"Q1",AND(_xlfn.NUMBERVALUE(B234)&gt;13,_xlfn.NUMBERVALUE(B234)&lt;=26),"Q2", AND(_xlfn.NUMBERVALUE(B234)&gt;26,_xlfn.NUMBERVALUE(B234)&lt;=39),"Q3",_xlfn.NUMBERVALUE(B234)&gt;39,"Q4")</f>
        <v>Q2</v>
      </c>
      <c r="D234" s="448">
        <f t="shared" si="79"/>
        <v>45458</v>
      </c>
      <c r="E234" s="448">
        <f t="shared" si="69"/>
        <v>45464</v>
      </c>
      <c r="F234" s="79">
        <v>202421</v>
      </c>
      <c r="G234" s="180">
        <f t="shared" si="70"/>
        <v>184353</v>
      </c>
      <c r="H234" s="429">
        <v>74224</v>
      </c>
      <c r="I234" s="429">
        <v>50276</v>
      </c>
      <c r="J234" s="429">
        <v>59853</v>
      </c>
      <c r="K234" s="180">
        <f t="shared" si="80"/>
        <v>210006</v>
      </c>
      <c r="L234" s="429">
        <v>91899</v>
      </c>
      <c r="M234" s="429">
        <v>55142</v>
      </c>
      <c r="N234" s="532">
        <v>62965</v>
      </c>
      <c r="O234" s="186">
        <f t="shared" si="71"/>
        <v>0.4026188887623201</v>
      </c>
      <c r="P234" s="468">
        <f t="shared" si="72"/>
        <v>0.27271593085005397</v>
      </c>
      <c r="Q234" s="468">
        <f t="shared" si="73"/>
        <v>0.32466518038762593</v>
      </c>
      <c r="R234" s="186">
        <f t="shared" si="81"/>
        <v>0.43760178280620554</v>
      </c>
      <c r="S234" s="468">
        <f t="shared" si="82"/>
        <v>0.26257345028237289</v>
      </c>
      <c r="T234" s="468">
        <f t="shared" si="83"/>
        <v>0.29982476691142157</v>
      </c>
      <c r="U234" s="186">
        <f t="shared" si="74"/>
        <v>1.4618693484781913E-2</v>
      </c>
      <c r="V234" s="468">
        <f t="shared" si="75"/>
        <v>1.9319896529424445E-2</v>
      </c>
      <c r="W234" s="468">
        <f t="shared" si="76"/>
        <v>-3.2958071445620178E-2</v>
      </c>
      <c r="X234" s="468">
        <f t="shared" si="77"/>
        <v>4.8752777638547774E-2</v>
      </c>
      <c r="Y234" s="283">
        <f t="shared" si="78"/>
        <v>0.63844366351437576</v>
      </c>
    </row>
    <row r="235" spans="1:25" ht="16.350000000000001" customHeight="1">
      <c r="A235" s="175">
        <f t="shared" si="67"/>
        <v>2025</v>
      </c>
      <c r="B235" s="454" t="str">
        <f t="shared" si="68"/>
        <v>22</v>
      </c>
      <c r="C235" s="454" t="str">
        <f t="array" ref="C235">_xlfn.IFS(_xlfn.NUMBERVALUE(B235)&lt;=13,"Q1",AND(_xlfn.NUMBERVALUE(B235)&gt;13,_xlfn.NUMBERVALUE(B235)&lt;=26),"Q2", AND(_xlfn.NUMBERVALUE(B235)&gt;26,_xlfn.NUMBERVALUE(B235)&lt;=39),"Q3",_xlfn.NUMBERVALUE(B235)&gt;39,"Q4")</f>
        <v>Q2</v>
      </c>
      <c r="D235" s="448">
        <f t="shared" si="79"/>
        <v>45465</v>
      </c>
      <c r="E235" s="448">
        <f t="shared" si="69"/>
        <v>45471</v>
      </c>
      <c r="F235" s="79">
        <v>202422</v>
      </c>
      <c r="G235" s="180">
        <f t="shared" si="70"/>
        <v>251234</v>
      </c>
      <c r="H235" s="429">
        <v>80912</v>
      </c>
      <c r="I235" s="429">
        <v>87608</v>
      </c>
      <c r="J235" s="429">
        <v>82714</v>
      </c>
      <c r="K235" s="180">
        <f t="shared" si="80"/>
        <v>181658</v>
      </c>
      <c r="L235" s="429">
        <v>72790</v>
      </c>
      <c r="M235" s="429">
        <v>51933</v>
      </c>
      <c r="N235" s="532">
        <v>56935</v>
      </c>
      <c r="O235" s="186">
        <f t="shared" si="71"/>
        <v>0.32205832013182928</v>
      </c>
      <c r="P235" s="468">
        <f t="shared" si="72"/>
        <v>0.34871076367052228</v>
      </c>
      <c r="Q235" s="468">
        <f t="shared" si="73"/>
        <v>0.32923091619764838</v>
      </c>
      <c r="R235" s="186">
        <f t="shared" si="81"/>
        <v>0.40069801495117197</v>
      </c>
      <c r="S235" s="468">
        <f t="shared" si="82"/>
        <v>0.28588336324301711</v>
      </c>
      <c r="T235" s="468">
        <f t="shared" si="83"/>
        <v>0.31341862180581093</v>
      </c>
      <c r="U235" s="186">
        <f t="shared" si="74"/>
        <v>0.15915043346043928</v>
      </c>
      <c r="V235" s="468">
        <f t="shared" si="75"/>
        <v>0.25201453430887877</v>
      </c>
      <c r="W235" s="468">
        <f t="shared" si="76"/>
        <v>0.27694959364441601</v>
      </c>
      <c r="X235" s="468">
        <f t="shared" si="77"/>
        <v>-5.6459607805208305E-2</v>
      </c>
      <c r="Y235" s="283">
        <f t="shared" si="78"/>
        <v>0.90073654889958055</v>
      </c>
    </row>
    <row r="236" spans="1:25" ht="16.350000000000001" customHeight="1">
      <c r="A236" s="175">
        <f t="shared" si="67"/>
        <v>2025</v>
      </c>
      <c r="B236" s="454" t="str">
        <f t="shared" si="68"/>
        <v>23</v>
      </c>
      <c r="C236" s="454" t="str">
        <f t="array" ref="C236">_xlfn.IFS(_xlfn.NUMBERVALUE(B236)&lt;=13,"Q1",AND(_xlfn.NUMBERVALUE(B236)&gt;13,_xlfn.NUMBERVALUE(B236)&lt;=26),"Q2", AND(_xlfn.NUMBERVALUE(B236)&gt;26,_xlfn.NUMBERVALUE(B236)&lt;=39),"Q3",_xlfn.NUMBERVALUE(B236)&gt;39,"Q4")</f>
        <v>Q2</v>
      </c>
      <c r="D236" s="448">
        <f t="shared" si="79"/>
        <v>45472</v>
      </c>
      <c r="E236" s="448">
        <f t="shared" si="69"/>
        <v>45478</v>
      </c>
      <c r="F236" s="79">
        <v>202423</v>
      </c>
      <c r="G236" s="180">
        <f t="shared" si="70"/>
        <v>208128</v>
      </c>
      <c r="H236" s="429">
        <v>52778</v>
      </c>
      <c r="I236" s="429">
        <v>95120</v>
      </c>
      <c r="J236" s="429">
        <v>60230</v>
      </c>
      <c r="K236" s="180">
        <f t="shared" si="80"/>
        <v>211250</v>
      </c>
      <c r="L236" s="429">
        <v>60521</v>
      </c>
      <c r="M236" s="429">
        <v>63345</v>
      </c>
      <c r="N236" s="532">
        <v>87384</v>
      </c>
      <c r="O236" s="186">
        <f t="shared" si="71"/>
        <v>0.2535843327183272</v>
      </c>
      <c r="P236" s="468">
        <f t="shared" si="72"/>
        <v>0.45702644526445263</v>
      </c>
      <c r="Q236" s="468">
        <f t="shared" si="73"/>
        <v>0.28938922201722017</v>
      </c>
      <c r="R236" s="186">
        <f t="shared" si="81"/>
        <v>0.28648994082840235</v>
      </c>
      <c r="S236" s="468">
        <f t="shared" si="82"/>
        <v>0.29985798816568049</v>
      </c>
      <c r="T236" s="468">
        <f t="shared" si="83"/>
        <v>0.41365207100591717</v>
      </c>
      <c r="U236" s="186">
        <f t="shared" si="74"/>
        <v>-0.27642604551045513</v>
      </c>
      <c r="V236" s="468">
        <f t="shared" si="75"/>
        <v>-0.7863503732615863</v>
      </c>
      <c r="W236" s="468">
        <f t="shared" si="76"/>
        <v>0.20006307821698907</v>
      </c>
      <c r="X236" s="468">
        <f t="shared" si="77"/>
        <v>-0.58210194255354475</v>
      </c>
      <c r="Y236" s="283">
        <f t="shared" si="78"/>
        <v>0.53494911242603549</v>
      </c>
    </row>
    <row r="237" spans="1:25" ht="16.350000000000001" customHeight="1">
      <c r="A237" s="175">
        <f t="shared" si="67"/>
        <v>2025</v>
      </c>
      <c r="B237" s="454" t="str">
        <f t="shared" si="68"/>
        <v>24</v>
      </c>
      <c r="C237" s="454" t="str">
        <f t="array" ref="C237">_xlfn.IFS(_xlfn.NUMBERVALUE(B237)&lt;=13,"Q1",AND(_xlfn.NUMBERVALUE(B237)&gt;13,_xlfn.NUMBERVALUE(B237)&lt;=26),"Q2", AND(_xlfn.NUMBERVALUE(B237)&gt;26,_xlfn.NUMBERVALUE(B237)&lt;=39),"Q3",_xlfn.NUMBERVALUE(B237)&gt;39,"Q4")</f>
        <v>Q2</v>
      </c>
      <c r="D237" s="448">
        <f t="shared" si="79"/>
        <v>45479</v>
      </c>
      <c r="E237" s="448">
        <f t="shared" si="69"/>
        <v>45485</v>
      </c>
      <c r="F237" s="79">
        <v>202424</v>
      </c>
      <c r="G237" s="180">
        <f t="shared" si="70"/>
        <v>261815</v>
      </c>
      <c r="H237" s="429">
        <v>94525</v>
      </c>
      <c r="I237" s="429">
        <v>68494</v>
      </c>
      <c r="J237" s="429">
        <v>98796</v>
      </c>
      <c r="K237" s="180">
        <f t="shared" si="80"/>
        <v>265660</v>
      </c>
      <c r="L237" s="429">
        <v>94280</v>
      </c>
      <c r="M237" s="429">
        <v>76090</v>
      </c>
      <c r="N237" s="532">
        <v>95290</v>
      </c>
      <c r="O237" s="186">
        <f t="shared" si="71"/>
        <v>0.36103737371808337</v>
      </c>
      <c r="P237" s="468">
        <f t="shared" si="72"/>
        <v>0.26161220709279454</v>
      </c>
      <c r="Q237" s="468">
        <f t="shared" si="73"/>
        <v>0.3773504191891221</v>
      </c>
      <c r="R237" s="186">
        <f t="shared" si="81"/>
        <v>0.35488970865015435</v>
      </c>
      <c r="S237" s="468">
        <f t="shared" si="82"/>
        <v>0.28641873070842433</v>
      </c>
      <c r="T237" s="468">
        <f t="shared" si="83"/>
        <v>0.35869156064142138</v>
      </c>
      <c r="U237" s="186">
        <f t="shared" si="74"/>
        <v>0.20934629413899128</v>
      </c>
      <c r="V237" s="468">
        <f t="shared" si="75"/>
        <v>0.43208674953715948</v>
      </c>
      <c r="W237" s="468">
        <f t="shared" si="76"/>
        <v>2.7009665080153008E-3</v>
      </c>
      <c r="X237" s="468">
        <f t="shared" si="77"/>
        <v>0.13949957488157416</v>
      </c>
      <c r="Y237" s="283">
        <f t="shared" si="78"/>
        <v>0.72770082059775654</v>
      </c>
    </row>
    <row r="238" spans="1:25" ht="16.350000000000001" customHeight="1">
      <c r="A238" s="175">
        <f t="shared" si="67"/>
        <v>2025</v>
      </c>
      <c r="B238" s="454" t="str">
        <f t="shared" si="68"/>
        <v>25</v>
      </c>
      <c r="C238" s="454" t="str">
        <f t="array" ref="C238">_xlfn.IFS(_xlfn.NUMBERVALUE(B238)&lt;=13,"Q1",AND(_xlfn.NUMBERVALUE(B238)&gt;13,_xlfn.NUMBERVALUE(B238)&lt;=26),"Q2", AND(_xlfn.NUMBERVALUE(B238)&gt;26,_xlfn.NUMBERVALUE(B238)&lt;=39),"Q3",_xlfn.NUMBERVALUE(B238)&gt;39,"Q4")</f>
        <v>Q2</v>
      </c>
      <c r="D238" s="448">
        <f t="shared" si="79"/>
        <v>45486</v>
      </c>
      <c r="E238" s="448">
        <f t="shared" si="69"/>
        <v>45492</v>
      </c>
      <c r="F238" s="79">
        <v>202425</v>
      </c>
      <c r="G238" s="180">
        <f t="shared" si="70"/>
        <v>239150</v>
      </c>
      <c r="H238" s="429">
        <v>64339</v>
      </c>
      <c r="I238" s="429">
        <v>93718</v>
      </c>
      <c r="J238" s="429">
        <v>81093</v>
      </c>
      <c r="K238" s="180">
        <f t="shared" si="80"/>
        <v>207005</v>
      </c>
      <c r="L238" s="429">
        <v>53682</v>
      </c>
      <c r="M238" s="429">
        <v>68309</v>
      </c>
      <c r="N238" s="532">
        <v>85014</v>
      </c>
      <c r="O238" s="186">
        <f t="shared" si="71"/>
        <v>0.26903198829186703</v>
      </c>
      <c r="P238" s="468">
        <f t="shared" si="72"/>
        <v>0.39187957348944175</v>
      </c>
      <c r="Q238" s="468">
        <f t="shared" si="73"/>
        <v>0.33908843821869122</v>
      </c>
      <c r="R238" s="186">
        <f t="shared" si="81"/>
        <v>0.2593270693944591</v>
      </c>
      <c r="S238" s="468">
        <f t="shared" si="82"/>
        <v>0.32998719837685081</v>
      </c>
      <c r="T238" s="468">
        <f t="shared" si="83"/>
        <v>0.41068573222869015</v>
      </c>
      <c r="U238" s="186">
        <f t="shared" si="74"/>
        <v>0.26512230817478571</v>
      </c>
      <c r="V238" s="468">
        <f t="shared" si="75"/>
        <v>1.9537139215716752E-2</v>
      </c>
      <c r="W238" s="468">
        <f t="shared" si="76"/>
        <v>0.38314944834503512</v>
      </c>
      <c r="X238" s="468">
        <f t="shared" si="77"/>
        <v>0.32356676901828763</v>
      </c>
      <c r="Y238" s="283">
        <f t="shared" si="78"/>
        <v>0.70255307842805725</v>
      </c>
    </row>
    <row r="239" spans="1:25" ht="16.350000000000001" customHeight="1">
      <c r="A239" s="175">
        <f t="shared" si="67"/>
        <v>2025</v>
      </c>
      <c r="B239" s="454" t="str">
        <f t="shared" si="68"/>
        <v>26</v>
      </c>
      <c r="C239" s="454" t="str">
        <f t="array" ref="C239">_xlfn.IFS(_xlfn.NUMBERVALUE(B239)&lt;=13,"Q1",AND(_xlfn.NUMBERVALUE(B239)&gt;13,_xlfn.NUMBERVALUE(B239)&lt;=26),"Q2", AND(_xlfn.NUMBERVALUE(B239)&gt;26,_xlfn.NUMBERVALUE(B239)&lt;=39),"Q3",_xlfn.NUMBERVALUE(B239)&gt;39,"Q4")</f>
        <v>Q2</v>
      </c>
      <c r="D239" s="448">
        <f t="shared" si="79"/>
        <v>45493</v>
      </c>
      <c r="E239" s="448">
        <f t="shared" si="69"/>
        <v>45499</v>
      </c>
      <c r="F239" s="79">
        <v>202426</v>
      </c>
      <c r="G239" s="180">
        <f t="shared" si="70"/>
        <v>228622</v>
      </c>
      <c r="H239" s="429">
        <v>83696</v>
      </c>
      <c r="I239" s="429">
        <v>89366</v>
      </c>
      <c r="J239" s="429">
        <v>55560</v>
      </c>
      <c r="K239" s="180">
        <f t="shared" si="80"/>
        <v>175746</v>
      </c>
      <c r="L239" s="429">
        <v>63082</v>
      </c>
      <c r="M239" s="429">
        <v>57810</v>
      </c>
      <c r="N239" s="532">
        <v>54854</v>
      </c>
      <c r="O239" s="186">
        <f t="shared" si="71"/>
        <v>0.36608900280812873</v>
      </c>
      <c r="P239" s="468">
        <f t="shared" si="72"/>
        <v>0.39088976563935229</v>
      </c>
      <c r="Q239" s="468">
        <f t="shared" si="73"/>
        <v>0.24302123155251901</v>
      </c>
      <c r="R239" s="186">
        <f t="shared" si="81"/>
        <v>0.35893846801634177</v>
      </c>
      <c r="S239" s="468">
        <f t="shared" si="82"/>
        <v>0.32894063022771503</v>
      </c>
      <c r="T239" s="468">
        <f t="shared" si="83"/>
        <v>0.31212090175594326</v>
      </c>
      <c r="U239" s="186">
        <f t="shared" si="74"/>
        <v>0.11439843934529485</v>
      </c>
      <c r="V239" s="468">
        <f t="shared" si="75"/>
        <v>0.32315761804626264</v>
      </c>
      <c r="W239" s="468">
        <f t="shared" si="76"/>
        <v>-4.8665040395676207E-2</v>
      </c>
      <c r="X239" s="468">
        <f t="shared" si="77"/>
        <v>6.220302375809935E-2</v>
      </c>
      <c r="Y239" s="283">
        <f t="shared" si="78"/>
        <v>0.79237080787044945</v>
      </c>
    </row>
    <row r="240" spans="1:25" ht="16.350000000000001" customHeight="1">
      <c r="A240" s="175">
        <f t="shared" si="67"/>
        <v>2025</v>
      </c>
      <c r="B240" s="454" t="str">
        <f t="shared" si="68"/>
        <v>27</v>
      </c>
      <c r="C240" s="454" t="str">
        <f t="array" ref="C240">_xlfn.IFS(_xlfn.NUMBERVALUE(B240)&lt;=13,"Q1",AND(_xlfn.NUMBERVALUE(B240)&gt;13,_xlfn.NUMBERVALUE(B240)&lt;=26),"Q2", AND(_xlfn.NUMBERVALUE(B240)&gt;26,_xlfn.NUMBERVALUE(B240)&lt;=39),"Q3",_xlfn.NUMBERVALUE(B240)&gt;39,"Q4")</f>
        <v>Q3</v>
      </c>
      <c r="D240" s="448">
        <f t="shared" si="79"/>
        <v>45500</v>
      </c>
      <c r="E240" s="448">
        <f t="shared" si="69"/>
        <v>45506</v>
      </c>
      <c r="F240" s="79">
        <v>202427</v>
      </c>
      <c r="G240" s="180">
        <f t="shared" si="70"/>
        <v>236376</v>
      </c>
      <c r="H240" s="429">
        <v>86810</v>
      </c>
      <c r="I240" s="429">
        <v>85213</v>
      </c>
      <c r="J240" s="429">
        <v>64353</v>
      </c>
      <c r="K240" s="180">
        <f t="shared" si="80"/>
        <v>202468</v>
      </c>
      <c r="L240" s="429">
        <v>56649</v>
      </c>
      <c r="M240" s="429">
        <v>93715</v>
      </c>
      <c r="N240" s="532">
        <v>52104</v>
      </c>
      <c r="O240" s="186">
        <f t="shared" si="71"/>
        <v>0.36725386672081767</v>
      </c>
      <c r="P240" s="468">
        <f t="shared" si="72"/>
        <v>0.36049768165972856</v>
      </c>
      <c r="Q240" s="468">
        <f t="shared" si="73"/>
        <v>0.27224845161945377</v>
      </c>
      <c r="R240" s="186">
        <f t="shared" si="81"/>
        <v>0.279792362249837</v>
      </c>
      <c r="S240" s="468">
        <f t="shared" si="82"/>
        <v>0.46286326728174326</v>
      </c>
      <c r="T240" s="468">
        <f t="shared" si="83"/>
        <v>0.25734437046841968</v>
      </c>
      <c r="U240" s="186">
        <f t="shared" si="74"/>
        <v>0.12207669137306663</v>
      </c>
      <c r="V240" s="468">
        <f t="shared" si="75"/>
        <v>0.15743577928810046</v>
      </c>
      <c r="W240" s="468">
        <f t="shared" si="76"/>
        <v>0.24228697499207869</v>
      </c>
      <c r="X240" s="468">
        <f t="shared" si="77"/>
        <v>-8.4797911519276487E-2</v>
      </c>
      <c r="Y240" s="283">
        <f t="shared" si="78"/>
        <v>0.7466019321571804</v>
      </c>
    </row>
    <row r="241" spans="1:25" ht="16.350000000000001" customHeight="1">
      <c r="A241" s="175">
        <f t="shared" si="67"/>
        <v>2025</v>
      </c>
      <c r="B241" s="454" t="str">
        <f t="shared" si="68"/>
        <v>28</v>
      </c>
      <c r="C241" s="454" t="str">
        <f t="array" ref="C241">_xlfn.IFS(_xlfn.NUMBERVALUE(B241)&lt;=13,"Q1",AND(_xlfn.NUMBERVALUE(B241)&gt;13,_xlfn.NUMBERVALUE(B241)&lt;=26),"Q2", AND(_xlfn.NUMBERVALUE(B241)&gt;26,_xlfn.NUMBERVALUE(B241)&lt;=39),"Q3",_xlfn.NUMBERVALUE(B241)&gt;39,"Q4")</f>
        <v>Q3</v>
      </c>
      <c r="D241" s="448">
        <f t="shared" si="79"/>
        <v>45507</v>
      </c>
      <c r="E241" s="448">
        <f t="shared" si="69"/>
        <v>45513</v>
      </c>
      <c r="F241" s="79">
        <v>202428</v>
      </c>
      <c r="G241" s="180">
        <f t="shared" si="70"/>
        <v>237210</v>
      </c>
      <c r="H241" s="429">
        <v>69372</v>
      </c>
      <c r="I241" s="429">
        <v>68784</v>
      </c>
      <c r="J241" s="429">
        <v>99054</v>
      </c>
      <c r="K241" s="180">
        <f t="shared" si="80"/>
        <v>207520</v>
      </c>
      <c r="L241" s="429">
        <v>73143</v>
      </c>
      <c r="M241" s="429">
        <v>64567</v>
      </c>
      <c r="N241" s="532">
        <v>69810</v>
      </c>
      <c r="O241" s="186">
        <f t="shared" si="71"/>
        <v>0.29244972808903502</v>
      </c>
      <c r="P241" s="468">
        <f t="shared" si="72"/>
        <v>0.28997091185025925</v>
      </c>
      <c r="Q241" s="468">
        <f t="shared" si="73"/>
        <v>0.41757936006070573</v>
      </c>
      <c r="R241" s="186">
        <f t="shared" si="81"/>
        <v>0.3524624132613724</v>
      </c>
      <c r="S241" s="468">
        <f t="shared" si="82"/>
        <v>0.31113627602158828</v>
      </c>
      <c r="T241" s="468">
        <f t="shared" si="83"/>
        <v>0.33640131071703933</v>
      </c>
      <c r="U241" s="186">
        <f t="shared" si="74"/>
        <v>4.8943973694195019E-3</v>
      </c>
      <c r="V241" s="468">
        <f t="shared" si="75"/>
        <v>-2.9392262007726461E-2</v>
      </c>
      <c r="W241" s="468">
        <f t="shared" si="76"/>
        <v>-0.40727494766224703</v>
      </c>
      <c r="X241" s="468">
        <f t="shared" si="77"/>
        <v>0.31512104508651845</v>
      </c>
      <c r="Y241" s="283">
        <f t="shared" si="78"/>
        <v>0.81161333847340011</v>
      </c>
    </row>
    <row r="242" spans="1:25" ht="16.350000000000001" customHeight="1">
      <c r="A242" s="175">
        <f t="shared" si="67"/>
        <v>2025</v>
      </c>
      <c r="B242" s="454" t="str">
        <f t="shared" si="68"/>
        <v>29</v>
      </c>
      <c r="C242" s="454" t="str">
        <f t="array" ref="C242">_xlfn.IFS(_xlfn.NUMBERVALUE(B242)&lt;=13,"Q1",AND(_xlfn.NUMBERVALUE(B242)&gt;13,_xlfn.NUMBERVALUE(B242)&lt;=26),"Q2", AND(_xlfn.NUMBERVALUE(B242)&gt;26,_xlfn.NUMBERVALUE(B242)&lt;=39),"Q3",_xlfn.NUMBERVALUE(B242)&gt;39,"Q4")</f>
        <v>Q3</v>
      </c>
      <c r="D242" s="448">
        <f t="shared" si="79"/>
        <v>45514</v>
      </c>
      <c r="E242" s="448">
        <f t="shared" si="69"/>
        <v>45520</v>
      </c>
      <c r="F242" s="79">
        <v>202429</v>
      </c>
      <c r="G242" s="180">
        <f t="shared" si="70"/>
        <v>227942</v>
      </c>
      <c r="H242" s="429">
        <v>84370</v>
      </c>
      <c r="I242" s="429">
        <v>54081</v>
      </c>
      <c r="J242" s="429">
        <v>89491</v>
      </c>
      <c r="K242" s="180">
        <f t="shared" si="80"/>
        <v>236049</v>
      </c>
      <c r="L242" s="429">
        <v>71411</v>
      </c>
      <c r="M242" s="429">
        <v>96798</v>
      </c>
      <c r="N242" s="532">
        <v>67840</v>
      </c>
      <c r="O242" s="186">
        <f t="shared" si="71"/>
        <v>0.370138017565872</v>
      </c>
      <c r="P242" s="468">
        <f t="shared" si="72"/>
        <v>0.23725772345596688</v>
      </c>
      <c r="Q242" s="468">
        <f t="shared" si="73"/>
        <v>0.39260425897816109</v>
      </c>
      <c r="R242" s="186">
        <f t="shared" si="81"/>
        <v>0.30252617041377</v>
      </c>
      <c r="S242" s="468">
        <f t="shared" si="82"/>
        <v>0.41007587407699247</v>
      </c>
      <c r="T242" s="468">
        <f t="shared" si="83"/>
        <v>0.28739795550923747</v>
      </c>
      <c r="U242" s="186">
        <f t="shared" si="74"/>
        <v>-4.3146940888471631E-2</v>
      </c>
      <c r="V242" s="468">
        <f t="shared" si="75"/>
        <v>0.24458930899608866</v>
      </c>
      <c r="W242" s="468">
        <f t="shared" si="76"/>
        <v>-0.75660583199275167</v>
      </c>
      <c r="X242" s="468">
        <f t="shared" si="77"/>
        <v>0.11673799599959772</v>
      </c>
      <c r="Y242" s="283">
        <f t="shared" si="78"/>
        <v>0.73654622557180927</v>
      </c>
    </row>
    <row r="243" spans="1:25" ht="16.350000000000001" customHeight="1">
      <c r="A243" s="175">
        <f t="shared" si="67"/>
        <v>2025</v>
      </c>
      <c r="B243" s="454" t="str">
        <f t="shared" si="68"/>
        <v>30</v>
      </c>
      <c r="C243" s="454" t="str">
        <f t="array" ref="C243">_xlfn.IFS(_xlfn.NUMBERVALUE(B243)&lt;=13,"Q1",AND(_xlfn.NUMBERVALUE(B243)&gt;13,_xlfn.NUMBERVALUE(B243)&lt;=26),"Q2", AND(_xlfn.NUMBERVALUE(B243)&gt;26,_xlfn.NUMBERVALUE(B243)&lt;=39),"Q3",_xlfn.NUMBERVALUE(B243)&gt;39,"Q4")</f>
        <v>Q3</v>
      </c>
      <c r="D243" s="448">
        <f t="shared" si="79"/>
        <v>45521</v>
      </c>
      <c r="E243" s="448">
        <f t="shared" si="69"/>
        <v>45527</v>
      </c>
      <c r="F243" s="79">
        <v>202430</v>
      </c>
      <c r="G243" s="180">
        <f t="shared" si="70"/>
        <v>235241</v>
      </c>
      <c r="H243" s="429">
        <v>90391</v>
      </c>
      <c r="I243" s="429">
        <v>88349</v>
      </c>
      <c r="J243" s="429">
        <v>56501</v>
      </c>
      <c r="K243" s="180">
        <f t="shared" si="80"/>
        <v>237777</v>
      </c>
      <c r="L243" s="429">
        <v>63734</v>
      </c>
      <c r="M243" s="429">
        <v>94999</v>
      </c>
      <c r="N243" s="532">
        <v>79044</v>
      </c>
      <c r="O243" s="186">
        <f t="shared" si="71"/>
        <v>0.38424849409754253</v>
      </c>
      <c r="P243" s="468">
        <f t="shared" si="72"/>
        <v>0.37556803448378473</v>
      </c>
      <c r="Q243" s="468">
        <f t="shared" si="73"/>
        <v>0.24018347141867277</v>
      </c>
      <c r="R243" s="186">
        <f t="shared" si="81"/>
        <v>0.26804106368572234</v>
      </c>
      <c r="S243" s="468">
        <f t="shared" si="82"/>
        <v>0.39952981154611256</v>
      </c>
      <c r="T243" s="468">
        <f t="shared" si="83"/>
        <v>0.33242912476816511</v>
      </c>
      <c r="U243" s="186">
        <f t="shared" si="74"/>
        <v>6.1677173621945157E-2</v>
      </c>
      <c r="V243" s="468">
        <f t="shared" si="75"/>
        <v>8.4322554236594349E-2</v>
      </c>
      <c r="W243" s="468">
        <f t="shared" si="76"/>
        <v>0.28178021256607316</v>
      </c>
      <c r="X243" s="468">
        <f t="shared" si="77"/>
        <v>-0.31872002265446631</v>
      </c>
      <c r="Y243" s="283">
        <f t="shared" si="78"/>
        <v>0.61777211420785016</v>
      </c>
    </row>
    <row r="244" spans="1:25" ht="16.350000000000001" customHeight="1">
      <c r="A244" s="175">
        <f t="shared" si="67"/>
        <v>2025</v>
      </c>
      <c r="B244" s="454" t="str">
        <f t="shared" si="68"/>
        <v>31</v>
      </c>
      <c r="C244" s="454" t="str">
        <f t="array" ref="C244">_xlfn.IFS(_xlfn.NUMBERVALUE(B244)&lt;=13,"Q1",AND(_xlfn.NUMBERVALUE(B244)&gt;13,_xlfn.NUMBERVALUE(B244)&lt;=26),"Q2", AND(_xlfn.NUMBERVALUE(B244)&gt;26,_xlfn.NUMBERVALUE(B244)&lt;=39),"Q3",_xlfn.NUMBERVALUE(B244)&gt;39,"Q4")</f>
        <v>Q3</v>
      </c>
      <c r="D244" s="448">
        <f t="shared" si="79"/>
        <v>45528</v>
      </c>
      <c r="E244" s="448">
        <f t="shared" si="69"/>
        <v>45534</v>
      </c>
      <c r="F244" s="79">
        <v>202431</v>
      </c>
      <c r="G244" s="180">
        <f t="shared" si="70"/>
        <v>204578</v>
      </c>
      <c r="H244" s="467">
        <v>64726</v>
      </c>
      <c r="I244" s="467">
        <v>76784</v>
      </c>
      <c r="J244" s="429">
        <v>63068</v>
      </c>
      <c r="K244" s="180">
        <f t="shared" si="80"/>
        <v>220732</v>
      </c>
      <c r="L244" s="467">
        <v>82769</v>
      </c>
      <c r="M244" s="467">
        <v>63454</v>
      </c>
      <c r="N244" s="242">
        <v>74509</v>
      </c>
      <c r="O244" s="186">
        <f t="shared" si="71"/>
        <v>0.3163878813948714</v>
      </c>
      <c r="P244" s="468">
        <f t="shared" si="72"/>
        <v>0.37532872547390239</v>
      </c>
      <c r="Q244" s="468">
        <f t="shared" si="73"/>
        <v>0.30828339313122621</v>
      </c>
      <c r="R244" s="186">
        <f t="shared" si="81"/>
        <v>0.37497508290596743</v>
      </c>
      <c r="S244" s="468">
        <f t="shared" si="82"/>
        <v>0.28747077904427087</v>
      </c>
      <c r="T244" s="468">
        <f t="shared" si="83"/>
        <v>0.3375541380497617</v>
      </c>
      <c r="U244" s="186">
        <f t="shared" si="74"/>
        <v>-0.14880876731613371</v>
      </c>
      <c r="V244" s="468">
        <f t="shared" si="75"/>
        <v>-0.34483824120137196</v>
      </c>
      <c r="W244" s="468">
        <f t="shared" si="76"/>
        <v>0.12846426338820588</v>
      </c>
      <c r="X244" s="468">
        <f t="shared" si="77"/>
        <v>-0.28520010147777003</v>
      </c>
      <c r="Y244" s="283">
        <f t="shared" si="78"/>
        <v>0.57895547541815418</v>
      </c>
    </row>
    <row r="245" spans="1:25" ht="16.350000000000001" customHeight="1">
      <c r="A245" s="175">
        <f t="shared" si="67"/>
        <v>2025</v>
      </c>
      <c r="B245" s="454" t="str">
        <f t="shared" si="68"/>
        <v>32</v>
      </c>
      <c r="C245" s="454" t="str">
        <f t="array" ref="C245">_xlfn.IFS(_xlfn.NUMBERVALUE(B245)&lt;=13,"Q1",AND(_xlfn.NUMBERVALUE(B245)&gt;13,_xlfn.NUMBERVALUE(B245)&lt;=26),"Q2", AND(_xlfn.NUMBERVALUE(B245)&gt;26,_xlfn.NUMBERVALUE(B245)&lt;=39),"Q3",_xlfn.NUMBERVALUE(B245)&gt;39,"Q4")</f>
        <v>Q3</v>
      </c>
      <c r="D245" s="448">
        <f t="shared" si="79"/>
        <v>45535</v>
      </c>
      <c r="E245" s="448">
        <f t="shared" si="69"/>
        <v>45541</v>
      </c>
      <c r="F245" s="79">
        <v>202432</v>
      </c>
      <c r="G245" s="180">
        <f t="shared" si="70"/>
        <v>203444</v>
      </c>
      <c r="H245" s="429">
        <v>74680</v>
      </c>
      <c r="I245" s="429">
        <v>65195</v>
      </c>
      <c r="J245" s="429">
        <v>63569</v>
      </c>
      <c r="K245" s="180">
        <f t="shared" si="80"/>
        <v>235021</v>
      </c>
      <c r="L245" s="429">
        <v>87046</v>
      </c>
      <c r="M245" s="429">
        <v>66920</v>
      </c>
      <c r="N245" s="532">
        <v>81055</v>
      </c>
      <c r="O245" s="186">
        <f t="shared" si="71"/>
        <v>0.36707890131928195</v>
      </c>
      <c r="P245" s="468">
        <f t="shared" si="72"/>
        <v>0.32045673502290556</v>
      </c>
      <c r="Q245" s="468">
        <f t="shared" si="73"/>
        <v>0.31246436365781249</v>
      </c>
      <c r="R245" s="186">
        <f t="shared" si="81"/>
        <v>0.37037541326094264</v>
      </c>
      <c r="S245" s="468">
        <f t="shared" si="82"/>
        <v>0.28474051254994237</v>
      </c>
      <c r="T245" s="468">
        <f t="shared" si="83"/>
        <v>0.34488407418911504</v>
      </c>
      <c r="U245" s="186">
        <f t="shared" si="74"/>
        <v>-0.22139261909911326</v>
      </c>
      <c r="V245" s="468">
        <f t="shared" si="75"/>
        <v>-0.17445099089448313</v>
      </c>
      <c r="W245" s="468">
        <f t="shared" si="76"/>
        <v>-0.13904440524580106</v>
      </c>
      <c r="X245" s="468">
        <f t="shared" si="77"/>
        <v>-0.36099356604634336</v>
      </c>
      <c r="Y245" s="283">
        <f t="shared" si="78"/>
        <v>0.58824105079971578</v>
      </c>
    </row>
    <row r="246" spans="1:25" ht="16.350000000000001" customHeight="1">
      <c r="A246" s="175">
        <f t="shared" si="67"/>
        <v>2025</v>
      </c>
      <c r="B246" s="454" t="str">
        <f t="shared" si="68"/>
        <v>33</v>
      </c>
      <c r="C246" s="454" t="str">
        <f t="array" ref="C246">_xlfn.IFS(_xlfn.NUMBERVALUE(B246)&lt;=13,"Q1",AND(_xlfn.NUMBERVALUE(B246)&gt;13,_xlfn.NUMBERVALUE(B246)&lt;=26),"Q2", AND(_xlfn.NUMBERVALUE(B246)&gt;26,_xlfn.NUMBERVALUE(B246)&lt;=39),"Q3",_xlfn.NUMBERVALUE(B246)&gt;39,"Q4")</f>
        <v>Q3</v>
      </c>
      <c r="D246" s="448">
        <f t="shared" si="79"/>
        <v>45542</v>
      </c>
      <c r="E246" s="448">
        <f t="shared" si="69"/>
        <v>45548</v>
      </c>
      <c r="F246" s="79">
        <v>202433</v>
      </c>
      <c r="G246" s="180">
        <f t="shared" si="70"/>
        <v>202659</v>
      </c>
      <c r="H246" s="429">
        <v>66380</v>
      </c>
      <c r="I246" s="429">
        <v>74987</v>
      </c>
      <c r="J246" s="429">
        <v>61292</v>
      </c>
      <c r="K246" s="180">
        <f t="shared" si="80"/>
        <v>248485</v>
      </c>
      <c r="L246" s="429">
        <v>87708</v>
      </c>
      <c r="M246" s="429">
        <v>74260</v>
      </c>
      <c r="N246" s="532">
        <v>86517</v>
      </c>
      <c r="O246" s="186">
        <f t="shared" si="71"/>
        <v>0.32754528543020545</v>
      </c>
      <c r="P246" s="468">
        <f t="shared" si="72"/>
        <v>0.37001564203909032</v>
      </c>
      <c r="Q246" s="468">
        <f t="shared" si="73"/>
        <v>0.30243907253070429</v>
      </c>
      <c r="R246" s="186">
        <f t="shared" si="81"/>
        <v>0.352971004285973</v>
      </c>
      <c r="S246" s="468">
        <f t="shared" si="82"/>
        <v>0.29885103728595286</v>
      </c>
      <c r="T246" s="468">
        <f t="shared" si="83"/>
        <v>0.34817795842807414</v>
      </c>
      <c r="U246" s="186">
        <f t="shared" si="74"/>
        <v>-0.27230470889523783</v>
      </c>
      <c r="V246" s="468">
        <f t="shared" si="75"/>
        <v>-0.49114191021391984</v>
      </c>
      <c r="W246" s="468">
        <f t="shared" si="76"/>
        <v>-1.6362836224945658E-2</v>
      </c>
      <c r="X246" s="468">
        <f t="shared" si="77"/>
        <v>-0.34843046400835348</v>
      </c>
      <c r="Y246" s="283">
        <f t="shared" si="78"/>
        <v>0.51380163792583056</v>
      </c>
    </row>
    <row r="247" spans="1:25" ht="16.350000000000001" customHeight="1">
      <c r="A247" s="175">
        <f t="shared" si="67"/>
        <v>2025</v>
      </c>
      <c r="B247" s="454" t="str">
        <f t="shared" si="68"/>
        <v>34</v>
      </c>
      <c r="C247" s="454" t="str">
        <f t="array" ref="C247">_xlfn.IFS(_xlfn.NUMBERVALUE(B247)&lt;=13,"Q1",AND(_xlfn.NUMBERVALUE(B247)&gt;13,_xlfn.NUMBERVALUE(B247)&lt;=26),"Q2", AND(_xlfn.NUMBERVALUE(B247)&gt;26,_xlfn.NUMBERVALUE(B247)&lt;=39),"Q3",_xlfn.NUMBERVALUE(B247)&gt;39,"Q4")</f>
        <v>Q3</v>
      </c>
      <c r="D247" s="448">
        <f t="shared" si="79"/>
        <v>45549</v>
      </c>
      <c r="E247" s="448">
        <f t="shared" si="69"/>
        <v>45555</v>
      </c>
      <c r="F247" s="79">
        <v>202434</v>
      </c>
      <c r="G247" s="180">
        <f t="shared" si="70"/>
        <v>222888</v>
      </c>
      <c r="H247" s="429">
        <v>77946</v>
      </c>
      <c r="I247" s="429">
        <v>71328</v>
      </c>
      <c r="J247" s="429">
        <v>73614</v>
      </c>
      <c r="K247" s="180">
        <f t="shared" si="80"/>
        <v>257844</v>
      </c>
      <c r="L247" s="429">
        <v>98982</v>
      </c>
      <c r="M247" s="429">
        <v>76214</v>
      </c>
      <c r="N247" s="532">
        <v>82648</v>
      </c>
      <c r="O247" s="186">
        <f t="shared" si="71"/>
        <v>0.34970927102401206</v>
      </c>
      <c r="P247" s="468">
        <f t="shared" si="72"/>
        <v>0.32001722838376223</v>
      </c>
      <c r="Q247" s="468">
        <f t="shared" si="73"/>
        <v>0.33027350059222571</v>
      </c>
      <c r="R247" s="186">
        <f t="shared" si="81"/>
        <v>0.38388327826127427</v>
      </c>
      <c r="S247" s="468">
        <f t="shared" si="82"/>
        <v>0.29558182466917982</v>
      </c>
      <c r="T247" s="468">
        <f t="shared" si="83"/>
        <v>0.32053489706954591</v>
      </c>
      <c r="U247" s="186">
        <f t="shared" si="74"/>
        <v>-5.4619360396252828E-2</v>
      </c>
      <c r="V247" s="468">
        <f t="shared" si="75"/>
        <v>-0.10212198188489467</v>
      </c>
      <c r="W247" s="468">
        <f t="shared" si="76"/>
        <v>0.21713772992373262</v>
      </c>
      <c r="X247" s="468">
        <f t="shared" si="77"/>
        <v>-0.26763930774037548</v>
      </c>
      <c r="Y247" s="283">
        <f t="shared" si="78"/>
        <v>0.5877972727695816</v>
      </c>
    </row>
    <row r="248" spans="1:25" ht="16.350000000000001" customHeight="1">
      <c r="A248" s="175">
        <f t="shared" si="67"/>
        <v>2025</v>
      </c>
      <c r="B248" s="454" t="str">
        <f t="shared" si="68"/>
        <v>35</v>
      </c>
      <c r="C248" s="454" t="str">
        <f t="array" ref="C248">_xlfn.IFS(_xlfn.NUMBERVALUE(B248)&lt;=13,"Q1",AND(_xlfn.NUMBERVALUE(B248)&gt;13,_xlfn.NUMBERVALUE(B248)&lt;=26),"Q2", AND(_xlfn.NUMBERVALUE(B248)&gt;26,_xlfn.NUMBERVALUE(B248)&lt;=39),"Q3",_xlfn.NUMBERVALUE(B248)&gt;39,"Q4")</f>
        <v>Q3</v>
      </c>
      <c r="D248" s="448">
        <f t="shared" si="79"/>
        <v>45556</v>
      </c>
      <c r="E248" s="448">
        <f t="shared" si="69"/>
        <v>45562</v>
      </c>
      <c r="F248" s="79">
        <v>202435</v>
      </c>
      <c r="G248" s="180">
        <f t="shared" si="70"/>
        <v>231546</v>
      </c>
      <c r="H248" s="429">
        <v>73046</v>
      </c>
      <c r="I248" s="429">
        <v>99975</v>
      </c>
      <c r="J248" s="429">
        <v>58525</v>
      </c>
      <c r="K248" s="180">
        <f t="shared" si="80"/>
        <v>235062</v>
      </c>
      <c r="L248" s="429">
        <v>85906</v>
      </c>
      <c r="M248" s="429">
        <v>55840</v>
      </c>
      <c r="N248" s="532">
        <v>93316</v>
      </c>
      <c r="O248" s="186">
        <f t="shared" si="71"/>
        <v>0.31547079198085909</v>
      </c>
      <c r="P248" s="468">
        <f t="shared" si="72"/>
        <v>0.43177165660387135</v>
      </c>
      <c r="Q248" s="468">
        <f t="shared" si="73"/>
        <v>0.25275755141526951</v>
      </c>
      <c r="R248" s="186">
        <f t="shared" si="81"/>
        <v>0.36546102730343483</v>
      </c>
      <c r="S248" s="468">
        <f t="shared" si="82"/>
        <v>0.23755434736367426</v>
      </c>
      <c r="T248" s="468">
        <f t="shared" si="83"/>
        <v>0.39698462533289092</v>
      </c>
      <c r="U248" s="186">
        <f t="shared" si="74"/>
        <v>-6.85522531160115E-2</v>
      </c>
      <c r="V248" s="468">
        <f t="shared" si="75"/>
        <v>-0.35477644224187499</v>
      </c>
      <c r="W248" s="468">
        <f t="shared" si="76"/>
        <v>0.13808452113028258</v>
      </c>
      <c r="X248" s="468">
        <f t="shared" si="77"/>
        <v>-6.4297308842375056E-2</v>
      </c>
      <c r="Y248" s="283">
        <f t="shared" si="78"/>
        <v>0.55972892258212725</v>
      </c>
    </row>
    <row r="249" spans="1:25" ht="16.350000000000001" customHeight="1">
      <c r="A249" s="175">
        <f t="shared" si="67"/>
        <v>2025</v>
      </c>
      <c r="B249" s="454" t="str">
        <f t="shared" si="68"/>
        <v>36</v>
      </c>
      <c r="C249" s="454" t="str">
        <f t="array" ref="C249">_xlfn.IFS(_xlfn.NUMBERVALUE(B249)&lt;=13,"Q1",AND(_xlfn.NUMBERVALUE(B249)&gt;13,_xlfn.NUMBERVALUE(B249)&lt;=26),"Q2", AND(_xlfn.NUMBERVALUE(B249)&gt;26,_xlfn.NUMBERVALUE(B249)&lt;=39),"Q3",_xlfn.NUMBERVALUE(B249)&gt;39,"Q4")</f>
        <v>Q3</v>
      </c>
      <c r="D249" s="448">
        <f t="shared" si="79"/>
        <v>45563</v>
      </c>
      <c r="E249" s="448">
        <f t="shared" si="69"/>
        <v>45569</v>
      </c>
      <c r="F249" s="79">
        <v>202436</v>
      </c>
      <c r="G249" s="180">
        <f t="shared" si="70"/>
        <v>268088</v>
      </c>
      <c r="H249" s="429">
        <v>96089</v>
      </c>
      <c r="I249" s="429">
        <v>93167</v>
      </c>
      <c r="J249" s="429">
        <v>78832</v>
      </c>
      <c r="K249" s="180">
        <f t="shared" si="80"/>
        <v>247419</v>
      </c>
      <c r="L249" s="429">
        <v>98961</v>
      </c>
      <c r="M249" s="429">
        <v>86170</v>
      </c>
      <c r="N249" s="532">
        <v>62288</v>
      </c>
      <c r="O249" s="186">
        <f t="shared" si="71"/>
        <v>0.35842335352570798</v>
      </c>
      <c r="P249" s="468">
        <f t="shared" si="72"/>
        <v>0.34752394736056819</v>
      </c>
      <c r="Q249" s="468">
        <f t="shared" si="73"/>
        <v>0.29405269911372384</v>
      </c>
      <c r="R249" s="186">
        <f t="shared" si="81"/>
        <v>0.39997332460320345</v>
      </c>
      <c r="S249" s="468">
        <f t="shared" si="82"/>
        <v>0.34827559726617602</v>
      </c>
      <c r="T249" s="468">
        <f t="shared" si="83"/>
        <v>0.25175107813062053</v>
      </c>
      <c r="U249" s="186">
        <f t="shared" si="74"/>
        <v>0.20607785503267584</v>
      </c>
      <c r="V249" s="468">
        <f t="shared" si="75"/>
        <v>9.6035966655912741E-2</v>
      </c>
      <c r="W249" s="468">
        <f t="shared" si="76"/>
        <v>0.24492577844086424</v>
      </c>
      <c r="X249" s="468">
        <f t="shared" si="77"/>
        <v>0.29429673229145525</v>
      </c>
      <c r="Y249" s="283">
        <f t="shared" si="78"/>
        <v>0.70698289137050918</v>
      </c>
    </row>
    <row r="250" spans="1:25" ht="16.350000000000001" customHeight="1">
      <c r="A250" s="175">
        <f t="shared" si="67"/>
        <v>2025</v>
      </c>
      <c r="B250" s="454" t="str">
        <f t="shared" si="68"/>
        <v>37</v>
      </c>
      <c r="C250" s="454" t="str">
        <f t="array" ref="C250">_xlfn.IFS(_xlfn.NUMBERVALUE(B250)&lt;=13,"Q1",AND(_xlfn.NUMBERVALUE(B250)&gt;13,_xlfn.NUMBERVALUE(B250)&lt;=26),"Q2", AND(_xlfn.NUMBERVALUE(B250)&gt;26,_xlfn.NUMBERVALUE(B250)&lt;=39),"Q3",_xlfn.NUMBERVALUE(B250)&gt;39,"Q4")</f>
        <v>Q3</v>
      </c>
      <c r="D250" s="448">
        <f t="shared" si="79"/>
        <v>45570</v>
      </c>
      <c r="E250" s="448">
        <f t="shared" si="69"/>
        <v>45576</v>
      </c>
      <c r="F250" s="79">
        <v>202437</v>
      </c>
      <c r="G250" s="180">
        <f t="shared" si="70"/>
        <v>234666</v>
      </c>
      <c r="H250" s="429">
        <v>71338</v>
      </c>
      <c r="I250" s="429">
        <v>69846</v>
      </c>
      <c r="J250" s="429">
        <v>93482</v>
      </c>
      <c r="K250" s="180">
        <f t="shared" si="80"/>
        <v>212841</v>
      </c>
      <c r="L250" s="429">
        <v>86861</v>
      </c>
      <c r="M250" s="429">
        <v>70348</v>
      </c>
      <c r="N250" s="532">
        <v>55632</v>
      </c>
      <c r="O250" s="186">
        <f t="shared" si="71"/>
        <v>0.30399802272165544</v>
      </c>
      <c r="P250" s="468">
        <f t="shared" si="72"/>
        <v>0.29764005011377875</v>
      </c>
      <c r="Q250" s="468">
        <f t="shared" si="73"/>
        <v>0.39836192716456581</v>
      </c>
      <c r="R250" s="186">
        <f t="shared" si="81"/>
        <v>0.40810276215578767</v>
      </c>
      <c r="S250" s="468">
        <f t="shared" si="82"/>
        <v>0.33051902593955113</v>
      </c>
      <c r="T250" s="468">
        <f t="shared" si="83"/>
        <v>0.26137821190466121</v>
      </c>
      <c r="U250" s="186">
        <f t="shared" si="74"/>
        <v>0.24482455916067944</v>
      </c>
      <c r="V250" s="468">
        <f t="shared" si="75"/>
        <v>0.11737082620763127</v>
      </c>
      <c r="W250" s="468">
        <f t="shared" si="76"/>
        <v>0.18870085616928672</v>
      </c>
      <c r="X250" s="468">
        <f t="shared" si="77"/>
        <v>0.38402045313536298</v>
      </c>
      <c r="Y250" s="283">
        <f t="shared" si="78"/>
        <v>0.77438087586508242</v>
      </c>
    </row>
    <row r="251" spans="1:25" ht="16.350000000000001" customHeight="1">
      <c r="A251" s="175">
        <f t="shared" si="67"/>
        <v>2025</v>
      </c>
      <c r="B251" s="454" t="str">
        <f t="shared" si="68"/>
        <v>38</v>
      </c>
      <c r="C251" s="454" t="str">
        <f t="array" ref="C251">_xlfn.IFS(_xlfn.NUMBERVALUE(B251)&lt;=13,"Q1",AND(_xlfn.NUMBERVALUE(B251)&gt;13,_xlfn.NUMBERVALUE(B251)&lt;=26),"Q2", AND(_xlfn.NUMBERVALUE(B251)&gt;26,_xlfn.NUMBERVALUE(B251)&lt;=39),"Q3",_xlfn.NUMBERVALUE(B251)&gt;39,"Q4")</f>
        <v>Q3</v>
      </c>
      <c r="D251" s="448">
        <f t="shared" si="79"/>
        <v>45577</v>
      </c>
      <c r="E251" s="448">
        <f t="shared" si="69"/>
        <v>45583</v>
      </c>
      <c r="F251" s="79">
        <v>202438</v>
      </c>
      <c r="G251" s="180">
        <f t="shared" si="70"/>
        <v>183325</v>
      </c>
      <c r="H251" s="429">
        <v>52052</v>
      </c>
      <c r="I251" s="429">
        <v>54762</v>
      </c>
      <c r="J251" s="429">
        <v>76511</v>
      </c>
      <c r="K251" s="180">
        <f t="shared" ref="K251:K282" si="84">SUM(L251:N251)</f>
        <v>177214</v>
      </c>
      <c r="L251" s="429">
        <v>62965</v>
      </c>
      <c r="M251" s="429">
        <v>56666</v>
      </c>
      <c r="N251" s="532">
        <v>57583</v>
      </c>
      <c r="O251" s="186">
        <f t="shared" si="71"/>
        <v>0.28393290604118371</v>
      </c>
      <c r="P251" s="468">
        <f t="shared" si="72"/>
        <v>0.29871539615437065</v>
      </c>
      <c r="Q251" s="468">
        <f t="shared" si="73"/>
        <v>0.41735169780444564</v>
      </c>
      <c r="R251" s="186">
        <f t="shared" ref="R251:R282" si="85">IFERROR(L251/$K251,"")</f>
        <v>0.35530488561851775</v>
      </c>
      <c r="S251" s="468">
        <f t="shared" ref="S251:S282" si="86">IFERROR(M251/$K251,"")</f>
        <v>0.31976028981908877</v>
      </c>
      <c r="T251" s="468">
        <f t="shared" ref="T251:T282" si="87">IFERROR(N251/$K251,"")</f>
        <v>0.32493482456239348</v>
      </c>
      <c r="U251" s="186">
        <f t="shared" si="74"/>
        <v>-0.13818082640120005</v>
      </c>
      <c r="V251" s="468">
        <f t="shared" si="75"/>
        <v>-8.0919080919080913E-2</v>
      </c>
      <c r="W251" s="468">
        <f t="shared" si="76"/>
        <v>-0.72939264453453123</v>
      </c>
      <c r="X251" s="468">
        <f t="shared" si="77"/>
        <v>0.2460169126008025</v>
      </c>
      <c r="Y251" s="283">
        <f t="shared" si="78"/>
        <v>0.72546751385330732</v>
      </c>
    </row>
    <row r="252" spans="1:25" ht="16.350000000000001" customHeight="1">
      <c r="A252" s="175">
        <f t="shared" si="67"/>
        <v>2025</v>
      </c>
      <c r="B252" s="454" t="str">
        <f t="shared" si="68"/>
        <v>39</v>
      </c>
      <c r="C252" s="454" t="str">
        <f t="array" ref="C252">_xlfn.IFS(_xlfn.NUMBERVALUE(B252)&lt;=13,"Q1",AND(_xlfn.NUMBERVALUE(B252)&gt;13,_xlfn.NUMBERVALUE(B252)&lt;=26),"Q2", AND(_xlfn.NUMBERVALUE(B252)&gt;26,_xlfn.NUMBERVALUE(B252)&lt;=39),"Q3",_xlfn.NUMBERVALUE(B252)&gt;39,"Q4")</f>
        <v>Q3</v>
      </c>
      <c r="D252" s="448">
        <f t="shared" si="79"/>
        <v>45584</v>
      </c>
      <c r="E252" s="448">
        <f t="shared" si="69"/>
        <v>45590</v>
      </c>
      <c r="F252" s="79">
        <v>202439</v>
      </c>
      <c r="G252" s="180">
        <f t="shared" si="70"/>
        <v>207130</v>
      </c>
      <c r="H252" s="429">
        <v>50862</v>
      </c>
      <c r="I252" s="429">
        <v>56751</v>
      </c>
      <c r="J252" s="429">
        <v>99517</v>
      </c>
      <c r="K252" s="180">
        <f t="shared" si="84"/>
        <v>208657</v>
      </c>
      <c r="L252" s="429">
        <v>56264</v>
      </c>
      <c r="M252" s="429">
        <v>94705</v>
      </c>
      <c r="N252" s="532">
        <v>57688</v>
      </c>
      <c r="O252" s="186">
        <f t="shared" si="71"/>
        <v>0.24555593105778981</v>
      </c>
      <c r="P252" s="468">
        <f t="shared" si="72"/>
        <v>0.27398735093902382</v>
      </c>
      <c r="Q252" s="468">
        <f t="shared" si="73"/>
        <v>0.4804567180031864</v>
      </c>
      <c r="R252" s="186">
        <f t="shared" si="85"/>
        <v>0.26964827444082873</v>
      </c>
      <c r="S252" s="468">
        <f t="shared" si="86"/>
        <v>0.45387885381271659</v>
      </c>
      <c r="T252" s="468">
        <f t="shared" si="87"/>
        <v>0.27647287174645468</v>
      </c>
      <c r="U252" s="186">
        <f t="shared" si="74"/>
        <v>-0.18849997586057066</v>
      </c>
      <c r="V252" s="468">
        <f t="shared" si="75"/>
        <v>-0.78038614289646491</v>
      </c>
      <c r="W252" s="468">
        <f t="shared" si="76"/>
        <v>-0.49216753889799297</v>
      </c>
      <c r="X252" s="468">
        <f t="shared" si="77"/>
        <v>0.28717706522503694</v>
      </c>
      <c r="Y252" s="283">
        <f t="shared" si="78"/>
        <v>0.72069952122382663</v>
      </c>
    </row>
    <row r="253" spans="1:25" ht="16.350000000000001" customHeight="1">
      <c r="A253" s="175">
        <f t="shared" si="67"/>
        <v>2025</v>
      </c>
      <c r="B253" s="454" t="str">
        <f t="shared" si="68"/>
        <v>40</v>
      </c>
      <c r="C253" s="454" t="str">
        <f t="array" ref="C253">_xlfn.IFS(_xlfn.NUMBERVALUE(B253)&lt;=13,"Q1",AND(_xlfn.NUMBERVALUE(B253)&gt;13,_xlfn.NUMBERVALUE(B253)&lt;=26),"Q2", AND(_xlfn.NUMBERVALUE(B253)&gt;26,_xlfn.NUMBERVALUE(B253)&lt;=39),"Q3",_xlfn.NUMBERVALUE(B253)&gt;39,"Q4")</f>
        <v>Q4</v>
      </c>
      <c r="D253" s="448">
        <f t="shared" si="79"/>
        <v>45591</v>
      </c>
      <c r="E253" s="448">
        <f t="shared" si="69"/>
        <v>45597</v>
      </c>
      <c r="F253" s="79">
        <v>202440</v>
      </c>
      <c r="G253" s="180">
        <f t="shared" si="70"/>
        <v>223809</v>
      </c>
      <c r="H253" s="429">
        <v>61172</v>
      </c>
      <c r="I253" s="429">
        <v>69553</v>
      </c>
      <c r="J253" s="429">
        <v>93084</v>
      </c>
      <c r="K253" s="180">
        <f t="shared" si="84"/>
        <v>246174</v>
      </c>
      <c r="L253" s="429">
        <v>90554</v>
      </c>
      <c r="M253" s="429">
        <v>84682</v>
      </c>
      <c r="N253" s="532">
        <v>70938</v>
      </c>
      <c r="O253" s="186">
        <f t="shared" si="71"/>
        <v>0.27332234181824683</v>
      </c>
      <c r="P253" s="468">
        <f t="shared" si="72"/>
        <v>0.31076945073701234</v>
      </c>
      <c r="Q253" s="468">
        <f t="shared" si="73"/>
        <v>0.41590820744474083</v>
      </c>
      <c r="R253" s="186">
        <f t="shared" si="85"/>
        <v>0.36784550764906121</v>
      </c>
      <c r="S253" s="468">
        <f t="shared" si="86"/>
        <v>0.34399246061728694</v>
      </c>
      <c r="T253" s="468">
        <f t="shared" si="87"/>
        <v>0.28816203173365179</v>
      </c>
      <c r="U253" s="186">
        <f t="shared" si="74"/>
        <v>1.6844720274877239E-3</v>
      </c>
      <c r="V253" s="468">
        <f t="shared" si="75"/>
        <v>-0.1901033152422677</v>
      </c>
      <c r="W253" s="468">
        <f t="shared" si="76"/>
        <v>5.1155234137995484E-2</v>
      </c>
      <c r="X253" s="468">
        <f t="shared" si="77"/>
        <v>9.0756735851488982E-2</v>
      </c>
      <c r="Y253" s="283">
        <f t="shared" si="78"/>
        <v>0.6266136960036397</v>
      </c>
    </row>
    <row r="254" spans="1:25" ht="16.350000000000001" customHeight="1">
      <c r="A254" s="175">
        <f t="shared" si="67"/>
        <v>2025</v>
      </c>
      <c r="B254" s="454" t="str">
        <f t="shared" si="68"/>
        <v>41</v>
      </c>
      <c r="C254" s="454" t="str">
        <f t="array" ref="C254">_xlfn.IFS(_xlfn.NUMBERVALUE(B254)&lt;=13,"Q1",AND(_xlfn.NUMBERVALUE(B254)&gt;13,_xlfn.NUMBERVALUE(B254)&lt;=26),"Q2", AND(_xlfn.NUMBERVALUE(B254)&gt;26,_xlfn.NUMBERVALUE(B254)&lt;=39),"Q3",_xlfn.NUMBERVALUE(B254)&gt;39,"Q4")</f>
        <v>Q4</v>
      </c>
      <c r="D254" s="448">
        <f t="shared" si="79"/>
        <v>45598</v>
      </c>
      <c r="E254" s="448">
        <f t="shared" si="69"/>
        <v>45604</v>
      </c>
      <c r="F254" s="79">
        <v>202441</v>
      </c>
      <c r="G254" s="180">
        <f t="shared" si="70"/>
        <v>242164</v>
      </c>
      <c r="H254" s="429">
        <v>90759</v>
      </c>
      <c r="I254" s="429">
        <v>60984</v>
      </c>
      <c r="J254" s="429">
        <v>90421</v>
      </c>
      <c r="K254" s="180">
        <f t="shared" si="84"/>
        <v>223432</v>
      </c>
      <c r="L254" s="429">
        <v>72801</v>
      </c>
      <c r="M254" s="429">
        <v>65995</v>
      </c>
      <c r="N254" s="532">
        <v>84636</v>
      </c>
      <c r="O254" s="186">
        <f t="shared" si="71"/>
        <v>0.37478320477032095</v>
      </c>
      <c r="P254" s="468">
        <f t="shared" si="72"/>
        <v>0.25182933879519664</v>
      </c>
      <c r="Q254" s="468">
        <f t="shared" si="73"/>
        <v>0.3733874564344824</v>
      </c>
      <c r="R254" s="186">
        <f t="shared" si="85"/>
        <v>0.32583067779011066</v>
      </c>
      <c r="S254" s="468">
        <f t="shared" si="86"/>
        <v>0.29536950839629061</v>
      </c>
      <c r="T254" s="468">
        <f t="shared" si="87"/>
        <v>0.37879981381359878</v>
      </c>
      <c r="U254" s="186">
        <f t="shared" si="74"/>
        <v>0.18454022893576255</v>
      </c>
      <c r="V254" s="468">
        <f t="shared" si="75"/>
        <v>0.2840710012230192</v>
      </c>
      <c r="W254" s="468">
        <f t="shared" si="76"/>
        <v>-0.31326249508067688</v>
      </c>
      <c r="X254" s="468">
        <f t="shared" si="77"/>
        <v>0.42037800953318366</v>
      </c>
      <c r="Y254" s="283">
        <f t="shared" si="78"/>
        <v>0.81089548497977015</v>
      </c>
    </row>
    <row r="255" spans="1:25" ht="16.350000000000001" customHeight="1">
      <c r="A255" s="175">
        <f t="shared" si="67"/>
        <v>2025</v>
      </c>
      <c r="B255" s="454" t="str">
        <f t="shared" si="68"/>
        <v>42</v>
      </c>
      <c r="C255" s="454" t="str">
        <f t="array" ref="C255">_xlfn.IFS(_xlfn.NUMBERVALUE(B255)&lt;=13,"Q1",AND(_xlfn.NUMBERVALUE(B255)&gt;13,_xlfn.NUMBERVALUE(B255)&lt;=26),"Q2", AND(_xlfn.NUMBERVALUE(B255)&gt;26,_xlfn.NUMBERVALUE(B255)&lt;=39),"Q3",_xlfn.NUMBERVALUE(B255)&gt;39,"Q4")</f>
        <v>Q4</v>
      </c>
      <c r="D255" s="448">
        <f t="shared" si="79"/>
        <v>45605</v>
      </c>
      <c r="E255" s="448">
        <f t="shared" si="69"/>
        <v>45611</v>
      </c>
      <c r="F255" s="79">
        <v>202442</v>
      </c>
      <c r="G255" s="180">
        <f t="shared" si="70"/>
        <v>207820</v>
      </c>
      <c r="H255" s="429">
        <v>78498</v>
      </c>
      <c r="I255" s="429">
        <v>57110</v>
      </c>
      <c r="J255" s="429">
        <v>72212</v>
      </c>
      <c r="K255" s="180">
        <f t="shared" si="84"/>
        <v>197475</v>
      </c>
      <c r="L255" s="429">
        <v>64977</v>
      </c>
      <c r="M255" s="429">
        <v>80088</v>
      </c>
      <c r="N255" s="532">
        <v>52410</v>
      </c>
      <c r="O255" s="186">
        <f t="shared" si="71"/>
        <v>0.3777211048022327</v>
      </c>
      <c r="P255" s="468">
        <f t="shared" si="72"/>
        <v>0.27480511981522471</v>
      </c>
      <c r="Q255" s="468">
        <f t="shared" si="73"/>
        <v>0.34747377538254259</v>
      </c>
      <c r="R255" s="186">
        <f t="shared" si="85"/>
        <v>0.32903911887580706</v>
      </c>
      <c r="S255" s="468">
        <f t="shared" si="86"/>
        <v>0.40556019749335359</v>
      </c>
      <c r="T255" s="468">
        <f t="shared" si="87"/>
        <v>0.26540068363083935</v>
      </c>
      <c r="U255" s="186">
        <f t="shared" si="74"/>
        <v>7.2572418439033781E-2</v>
      </c>
      <c r="V255" s="468">
        <f t="shared" si="75"/>
        <v>-9.8588499070039998E-2</v>
      </c>
      <c r="W255" s="468">
        <f t="shared" si="76"/>
        <v>4.4423043249868677E-2</v>
      </c>
      <c r="X255" s="468">
        <f t="shared" si="77"/>
        <v>0.28089514208164845</v>
      </c>
      <c r="Y255" s="283">
        <f t="shared" si="78"/>
        <v>0.76318521331814149</v>
      </c>
    </row>
    <row r="256" spans="1:25" ht="16.350000000000001" customHeight="1">
      <c r="A256" s="175">
        <f t="shared" si="67"/>
        <v>2025</v>
      </c>
      <c r="B256" s="454" t="str">
        <f t="shared" si="68"/>
        <v>43</v>
      </c>
      <c r="C256" s="454" t="str">
        <f t="array" ref="C256">_xlfn.IFS(_xlfn.NUMBERVALUE(B256)&lt;=13,"Q1",AND(_xlfn.NUMBERVALUE(B256)&gt;13,_xlfn.NUMBERVALUE(B256)&lt;=26),"Q2", AND(_xlfn.NUMBERVALUE(B256)&gt;26,_xlfn.NUMBERVALUE(B256)&lt;=39),"Q3",_xlfn.NUMBERVALUE(B256)&gt;39,"Q4")</f>
        <v>Q4</v>
      </c>
      <c r="D256" s="448">
        <f t="shared" si="79"/>
        <v>45612</v>
      </c>
      <c r="E256" s="448">
        <f t="shared" si="69"/>
        <v>45618</v>
      </c>
      <c r="F256" s="79">
        <v>202443</v>
      </c>
      <c r="G256" s="180">
        <f t="shared" si="70"/>
        <v>185598</v>
      </c>
      <c r="H256" s="429">
        <v>50641</v>
      </c>
      <c r="I256" s="429">
        <v>65876</v>
      </c>
      <c r="J256" s="429">
        <v>69081</v>
      </c>
      <c r="K256" s="180">
        <f t="shared" si="84"/>
        <v>192738</v>
      </c>
      <c r="L256" s="429">
        <v>86237</v>
      </c>
      <c r="M256" s="429">
        <v>54573</v>
      </c>
      <c r="N256" s="532">
        <v>51928</v>
      </c>
      <c r="O256" s="186">
        <f t="shared" si="71"/>
        <v>0.27285315574521279</v>
      </c>
      <c r="P256" s="468">
        <f t="shared" si="72"/>
        <v>0.35493916960312072</v>
      </c>
      <c r="Q256" s="468">
        <f t="shared" si="73"/>
        <v>0.37220767465166649</v>
      </c>
      <c r="R256" s="186">
        <f t="shared" si="85"/>
        <v>0.44743122788448569</v>
      </c>
      <c r="S256" s="468">
        <f t="shared" si="86"/>
        <v>0.28314603243781716</v>
      </c>
      <c r="T256" s="468">
        <f t="shared" si="87"/>
        <v>0.2694227396776972</v>
      </c>
      <c r="U256" s="186">
        <f t="shared" si="74"/>
        <v>-0.26207178956669791</v>
      </c>
      <c r="V256" s="468">
        <f t="shared" si="75"/>
        <v>-0.35090144349440178</v>
      </c>
      <c r="W256" s="468">
        <f t="shared" si="76"/>
        <v>-0.4795221324913474</v>
      </c>
      <c r="X256" s="468">
        <f t="shared" si="77"/>
        <v>1.04080716839652E-2</v>
      </c>
      <c r="Y256" s="283">
        <f t="shared" si="78"/>
        <v>0.62116448235428401</v>
      </c>
    </row>
    <row r="257" spans="1:25" ht="16.350000000000001" customHeight="1">
      <c r="A257" s="175">
        <f t="shared" si="67"/>
        <v>2025</v>
      </c>
      <c r="B257" s="454" t="str">
        <f t="shared" si="68"/>
        <v>44</v>
      </c>
      <c r="C257" s="454" t="str">
        <f t="array" ref="C257">_xlfn.IFS(_xlfn.NUMBERVALUE(B257)&lt;=13,"Q1",AND(_xlfn.NUMBERVALUE(B257)&gt;13,_xlfn.NUMBERVALUE(B257)&lt;=26),"Q2", AND(_xlfn.NUMBERVALUE(B257)&gt;26,_xlfn.NUMBERVALUE(B257)&lt;=39),"Q3",_xlfn.NUMBERVALUE(B257)&gt;39,"Q4")</f>
        <v>Q4</v>
      </c>
      <c r="D257" s="448">
        <f t="shared" si="79"/>
        <v>45619</v>
      </c>
      <c r="E257" s="448">
        <f t="shared" si="69"/>
        <v>45625</v>
      </c>
      <c r="F257" s="79">
        <v>202444</v>
      </c>
      <c r="G257" s="180">
        <f t="shared" si="70"/>
        <v>205353</v>
      </c>
      <c r="H257" s="429">
        <v>56070</v>
      </c>
      <c r="I257" s="429">
        <v>58488</v>
      </c>
      <c r="J257" s="429">
        <v>90795</v>
      </c>
      <c r="K257" s="180">
        <f t="shared" si="84"/>
        <v>234238</v>
      </c>
      <c r="L257" s="429">
        <v>68411</v>
      </c>
      <c r="M257" s="429">
        <v>97465</v>
      </c>
      <c r="N257" s="532">
        <v>68362</v>
      </c>
      <c r="O257" s="186">
        <f t="shared" si="71"/>
        <v>0.2730420300653022</v>
      </c>
      <c r="P257" s="468">
        <f t="shared" si="72"/>
        <v>0.28481687630567853</v>
      </c>
      <c r="Q257" s="468">
        <f t="shared" si="73"/>
        <v>0.44214109362901932</v>
      </c>
      <c r="R257" s="186">
        <f t="shared" si="85"/>
        <v>0.29205765076546075</v>
      </c>
      <c r="S257" s="468">
        <f t="shared" si="86"/>
        <v>0.41609388741365622</v>
      </c>
      <c r="T257" s="468">
        <f t="shared" si="87"/>
        <v>0.29184846182088303</v>
      </c>
      <c r="U257" s="186">
        <f t="shared" si="74"/>
        <v>0.1575920488135065</v>
      </c>
      <c r="V257" s="468">
        <f t="shared" si="75"/>
        <v>2.5271981451756732E-2</v>
      </c>
      <c r="W257" s="468">
        <f t="shared" si="76"/>
        <v>-6.9843386677609087E-2</v>
      </c>
      <c r="X257" s="468">
        <f t="shared" si="77"/>
        <v>0.38581419681700535</v>
      </c>
      <c r="Y257" s="283">
        <f t="shared" si="78"/>
        <v>0.62699049684508923</v>
      </c>
    </row>
    <row r="258" spans="1:25" ht="16.350000000000001" customHeight="1">
      <c r="A258" s="175">
        <f t="shared" si="67"/>
        <v>2025</v>
      </c>
      <c r="B258" s="454" t="str">
        <f t="shared" si="68"/>
        <v>45</v>
      </c>
      <c r="C258" s="454" t="str">
        <f t="array" ref="C258">_xlfn.IFS(_xlfn.NUMBERVALUE(B258)&lt;=13,"Q1",AND(_xlfn.NUMBERVALUE(B258)&gt;13,_xlfn.NUMBERVALUE(B258)&lt;=26),"Q2", AND(_xlfn.NUMBERVALUE(B258)&gt;26,_xlfn.NUMBERVALUE(B258)&lt;=39),"Q3",_xlfn.NUMBERVALUE(B258)&gt;39,"Q4")</f>
        <v>Q4</v>
      </c>
      <c r="D258" s="448">
        <f t="shared" si="79"/>
        <v>45626</v>
      </c>
      <c r="E258" s="448">
        <f t="shared" si="69"/>
        <v>45632</v>
      </c>
      <c r="F258" s="79">
        <v>202445</v>
      </c>
      <c r="G258" s="180">
        <f t="shared" si="70"/>
        <v>237692</v>
      </c>
      <c r="H258" s="429">
        <v>88520</v>
      </c>
      <c r="I258" s="429">
        <v>75236</v>
      </c>
      <c r="J258" s="429">
        <v>73936</v>
      </c>
      <c r="K258" s="180">
        <f t="shared" si="84"/>
        <v>172991</v>
      </c>
      <c r="L258" s="429">
        <v>54653</v>
      </c>
      <c r="M258" s="429">
        <v>62573</v>
      </c>
      <c r="N258" s="532">
        <v>55765</v>
      </c>
      <c r="O258" s="186">
        <f t="shared" si="71"/>
        <v>0.37241472157245509</v>
      </c>
      <c r="P258" s="468">
        <f t="shared" si="72"/>
        <v>0.31652727058546354</v>
      </c>
      <c r="Q258" s="468">
        <f t="shared" si="73"/>
        <v>0.31105800784208137</v>
      </c>
      <c r="R258" s="186">
        <f t="shared" si="85"/>
        <v>0.31592973044840483</v>
      </c>
      <c r="S258" s="468">
        <f t="shared" si="86"/>
        <v>0.36171245902966048</v>
      </c>
      <c r="T258" s="468">
        <f t="shared" si="87"/>
        <v>0.32235781052193468</v>
      </c>
      <c r="U258" s="186">
        <f t="shared" si="74"/>
        <v>6.3822089090082967E-2</v>
      </c>
      <c r="V258" s="468">
        <f t="shared" si="75"/>
        <v>0.16652733845458653</v>
      </c>
      <c r="W258" s="468">
        <f t="shared" si="76"/>
        <v>-4.9843160189271096E-2</v>
      </c>
      <c r="X258" s="468">
        <f t="shared" si="77"/>
        <v>5.652185674096516E-2</v>
      </c>
      <c r="Y258" s="283">
        <f t="shared" si="78"/>
        <v>0.93910087808036258</v>
      </c>
    </row>
    <row r="259" spans="1:25" ht="16.350000000000001" customHeight="1">
      <c r="A259" s="175">
        <f t="shared" si="67"/>
        <v>2025</v>
      </c>
      <c r="B259" s="454" t="str">
        <f t="shared" si="68"/>
        <v>46</v>
      </c>
      <c r="C259" s="454" t="str">
        <f t="array" ref="C259">_xlfn.IFS(_xlfn.NUMBERVALUE(B259)&lt;=13,"Q1",AND(_xlfn.NUMBERVALUE(B259)&gt;13,_xlfn.NUMBERVALUE(B259)&lt;=26),"Q2", AND(_xlfn.NUMBERVALUE(B259)&gt;26,_xlfn.NUMBERVALUE(B259)&lt;=39),"Q3",_xlfn.NUMBERVALUE(B259)&gt;39,"Q4")</f>
        <v>Q4</v>
      </c>
      <c r="D259" s="448">
        <f t="shared" si="79"/>
        <v>45633</v>
      </c>
      <c r="E259" s="448">
        <f t="shared" si="69"/>
        <v>45639</v>
      </c>
      <c r="F259" s="79">
        <v>202446</v>
      </c>
      <c r="G259" s="180">
        <f t="shared" si="70"/>
        <v>176274</v>
      </c>
      <c r="H259" s="429">
        <v>71702</v>
      </c>
      <c r="I259" s="429">
        <v>51204</v>
      </c>
      <c r="J259" s="429">
        <v>53368</v>
      </c>
      <c r="K259" s="180">
        <f t="shared" si="84"/>
        <v>222522</v>
      </c>
      <c r="L259" s="429">
        <v>73779</v>
      </c>
      <c r="M259" s="429">
        <v>78986</v>
      </c>
      <c r="N259" s="532">
        <v>69757</v>
      </c>
      <c r="O259" s="186">
        <f t="shared" si="71"/>
        <v>0.40676446895174556</v>
      </c>
      <c r="P259" s="468">
        <f t="shared" si="72"/>
        <v>0.29047959426801456</v>
      </c>
      <c r="Q259" s="468">
        <f t="shared" si="73"/>
        <v>0.30275593678023988</v>
      </c>
      <c r="R259" s="186">
        <f t="shared" si="85"/>
        <v>0.33155822795049478</v>
      </c>
      <c r="S259" s="468">
        <f t="shared" si="86"/>
        <v>0.35495816144021713</v>
      </c>
      <c r="T259" s="468">
        <f t="shared" si="87"/>
        <v>0.31348361060928809</v>
      </c>
      <c r="U259" s="186">
        <f t="shared" si="74"/>
        <v>-0.30390188002768415</v>
      </c>
      <c r="V259" s="468">
        <f t="shared" si="75"/>
        <v>-0.23838944520376001</v>
      </c>
      <c r="W259" s="468">
        <f t="shared" si="76"/>
        <v>-0.59764862120146867</v>
      </c>
      <c r="X259" s="468">
        <f t="shared" si="77"/>
        <v>-0.11008469494828362</v>
      </c>
      <c r="Y259" s="283">
        <f t="shared" si="78"/>
        <v>0.56205678539650017</v>
      </c>
    </row>
    <row r="260" spans="1:25" ht="16.350000000000001" customHeight="1">
      <c r="A260" s="175">
        <f t="shared" si="67"/>
        <v>2025</v>
      </c>
      <c r="B260" s="454" t="str">
        <f t="shared" si="68"/>
        <v>47</v>
      </c>
      <c r="C260" s="454" t="str">
        <f t="array" ref="C260">_xlfn.IFS(_xlfn.NUMBERVALUE(B260)&lt;=13,"Q1",AND(_xlfn.NUMBERVALUE(B260)&gt;13,_xlfn.NUMBERVALUE(B260)&lt;=26),"Q2", AND(_xlfn.NUMBERVALUE(B260)&gt;26,_xlfn.NUMBERVALUE(B260)&lt;=39),"Q3",_xlfn.NUMBERVALUE(B260)&gt;39,"Q4")</f>
        <v>Q4</v>
      </c>
      <c r="D260" s="448">
        <f t="shared" si="79"/>
        <v>45640</v>
      </c>
      <c r="E260" s="448">
        <f t="shared" si="69"/>
        <v>45646</v>
      </c>
      <c r="F260" s="79">
        <v>202447</v>
      </c>
      <c r="G260" s="180">
        <f t="shared" si="70"/>
        <v>194670</v>
      </c>
      <c r="H260" s="429">
        <v>50779</v>
      </c>
      <c r="I260" s="429">
        <v>62110</v>
      </c>
      <c r="J260" s="429">
        <v>81781</v>
      </c>
      <c r="K260" s="180">
        <f t="shared" si="84"/>
        <v>229844</v>
      </c>
      <c r="L260" s="429">
        <v>88795</v>
      </c>
      <c r="M260" s="429">
        <v>81806</v>
      </c>
      <c r="N260" s="532">
        <v>59243</v>
      </c>
      <c r="O260" s="186">
        <f t="shared" si="71"/>
        <v>0.26084656084656083</v>
      </c>
      <c r="P260" s="468">
        <f t="shared" si="72"/>
        <v>0.31905275594595983</v>
      </c>
      <c r="Q260" s="468">
        <f t="shared" si="73"/>
        <v>0.42010068320747934</v>
      </c>
      <c r="R260" s="186">
        <f t="shared" si="85"/>
        <v>0.38632724804650109</v>
      </c>
      <c r="S260" s="468">
        <f t="shared" si="86"/>
        <v>0.35591966725257129</v>
      </c>
      <c r="T260" s="468">
        <f t="shared" si="87"/>
        <v>0.25775308470092756</v>
      </c>
      <c r="U260" s="186">
        <f t="shared" si="74"/>
        <v>-0.33388298145579698</v>
      </c>
      <c r="V260" s="468">
        <f t="shared" si="75"/>
        <v>-0.78967683491206997</v>
      </c>
      <c r="W260" s="468">
        <f t="shared" si="76"/>
        <v>-0.46251811302527773</v>
      </c>
      <c r="X260" s="468">
        <f t="shared" si="77"/>
        <v>4.6820166053239749E-2</v>
      </c>
      <c r="Y260" s="283">
        <f t="shared" si="78"/>
        <v>0.57673900558639768</v>
      </c>
    </row>
    <row r="261" spans="1:25" ht="16.350000000000001" customHeight="1">
      <c r="A261" s="175">
        <f t="shared" si="67"/>
        <v>2025</v>
      </c>
      <c r="B261" s="454" t="str">
        <f t="shared" si="68"/>
        <v>48</v>
      </c>
      <c r="C261" s="454" t="str">
        <f t="array" ref="C261">_xlfn.IFS(_xlfn.NUMBERVALUE(B261)&lt;=13,"Q1",AND(_xlfn.NUMBERVALUE(B261)&gt;13,_xlfn.NUMBERVALUE(B261)&lt;=26),"Q2", AND(_xlfn.NUMBERVALUE(B261)&gt;26,_xlfn.NUMBERVALUE(B261)&lt;=39),"Q3",_xlfn.NUMBERVALUE(B261)&gt;39,"Q4")</f>
        <v>Q4</v>
      </c>
      <c r="D261" s="448">
        <f t="shared" si="79"/>
        <v>45647</v>
      </c>
      <c r="E261" s="448">
        <f t="shared" si="69"/>
        <v>45653</v>
      </c>
      <c r="F261" s="79">
        <v>202448</v>
      </c>
      <c r="G261" s="180">
        <f t="shared" si="70"/>
        <v>245615</v>
      </c>
      <c r="H261" s="429">
        <v>97663</v>
      </c>
      <c r="I261" s="429">
        <v>57527</v>
      </c>
      <c r="J261" s="429">
        <v>90425</v>
      </c>
      <c r="K261" s="180">
        <f t="shared" si="84"/>
        <v>259667</v>
      </c>
      <c r="L261" s="429">
        <v>90878</v>
      </c>
      <c r="M261" s="429">
        <v>90837</v>
      </c>
      <c r="N261" s="532">
        <v>77952</v>
      </c>
      <c r="O261" s="186">
        <f t="shared" si="71"/>
        <v>0.39762636646784599</v>
      </c>
      <c r="P261" s="468">
        <f t="shared" si="72"/>
        <v>0.23421615129369133</v>
      </c>
      <c r="Q261" s="468">
        <f t="shared" si="73"/>
        <v>0.36815748223846262</v>
      </c>
      <c r="R261" s="186">
        <f t="shared" si="85"/>
        <v>0.34997901158021621</v>
      </c>
      <c r="S261" s="468">
        <f t="shared" si="86"/>
        <v>0.34982111704606283</v>
      </c>
      <c r="T261" s="468">
        <f t="shared" si="87"/>
        <v>0.30019987137372095</v>
      </c>
      <c r="U261" s="186">
        <f t="shared" si="74"/>
        <v>1.7169146835494576E-2</v>
      </c>
      <c r="V261" s="468">
        <f t="shared" si="75"/>
        <v>5.9531245200331755E-2</v>
      </c>
      <c r="W261" s="468">
        <f t="shared" si="76"/>
        <v>-5.6703808646374747E-2</v>
      </c>
      <c r="X261" s="468">
        <f t="shared" si="77"/>
        <v>1.8413049488526404E-2</v>
      </c>
      <c r="Y261" s="283">
        <f t="shared" si="78"/>
        <v>0.72434310097162902</v>
      </c>
    </row>
    <row r="262" spans="1:25" ht="16.350000000000001" customHeight="1">
      <c r="A262" s="175">
        <f t="shared" ref="A262:A318" si="88">LEFT(F262,4)+1</f>
        <v>2025</v>
      </c>
      <c r="B262" s="454" t="str">
        <f t="shared" ref="B262:B318" si="89">RIGHT(F262,2)</f>
        <v>49</v>
      </c>
      <c r="C262" s="454" t="str">
        <f t="array" ref="C262">_xlfn.IFS(_xlfn.NUMBERVALUE(B262)&lt;=13,"Q1",AND(_xlfn.NUMBERVALUE(B262)&gt;13,_xlfn.NUMBERVALUE(B262)&lt;=26),"Q2", AND(_xlfn.NUMBERVALUE(B262)&gt;26,_xlfn.NUMBERVALUE(B262)&lt;=39),"Q3",_xlfn.NUMBERVALUE(B262)&gt;39,"Q4")</f>
        <v>Q4</v>
      </c>
      <c r="D262" s="448">
        <f t="shared" si="79"/>
        <v>45654</v>
      </c>
      <c r="E262" s="448">
        <f t="shared" ref="E262:E318" si="90">D262+6</f>
        <v>45660</v>
      </c>
      <c r="F262" s="79">
        <v>202449</v>
      </c>
      <c r="G262" s="180">
        <f t="shared" ref="G262:G318" si="91">SUM(H262:J262)</f>
        <v>193040</v>
      </c>
      <c r="H262" s="429">
        <v>69441</v>
      </c>
      <c r="I262" s="429">
        <v>61092</v>
      </c>
      <c r="J262" s="429">
        <v>62507</v>
      </c>
      <c r="K262" s="180">
        <f t="shared" si="84"/>
        <v>241398</v>
      </c>
      <c r="L262" s="429">
        <v>91849</v>
      </c>
      <c r="M262" s="429">
        <v>60789</v>
      </c>
      <c r="N262" s="532">
        <v>88760</v>
      </c>
      <c r="O262" s="186">
        <f t="shared" ref="O262:O318" si="92">IFERROR(H262/$G262,"")</f>
        <v>0.3597233733941152</v>
      </c>
      <c r="P262" s="468">
        <f t="shared" ref="P262:P318" si="93">IFERROR(I262/$G262,"")</f>
        <v>0.31647326978864482</v>
      </c>
      <c r="Q262" s="468">
        <f t="shared" ref="Q262:Q318" si="94">IFERROR(J262/$G262,"")</f>
        <v>0.32380335681723993</v>
      </c>
      <c r="R262" s="186">
        <f t="shared" si="85"/>
        <v>0.38048782508554335</v>
      </c>
      <c r="S262" s="468">
        <f t="shared" si="86"/>
        <v>0.25182064474436405</v>
      </c>
      <c r="T262" s="468">
        <f t="shared" si="87"/>
        <v>0.36769153017009254</v>
      </c>
      <c r="U262" s="186">
        <f t="shared" ref="U262:U318" si="95">IFERROR(IF(K263=0,"",(G262-K263)/G262),"")</f>
        <v>-0.12565271446332366</v>
      </c>
      <c r="V262" s="468">
        <f t="shared" ref="V262:V318" si="96">IFERROR(IF(L263=0,"",(H262-L263)/H262),"")</f>
        <v>0.11726501634481071</v>
      </c>
      <c r="W262" s="468">
        <f t="shared" ref="W262:W318" si="97">IFERROR(IF(M263=0,"",(I262-M263)/I262),"")</f>
        <v>-0.16119950238983827</v>
      </c>
      <c r="X262" s="468">
        <f t="shared" ref="X262:X318" si="98">IFERROR(IF(N263=0,"",(J262-N263)/J262),"")</f>
        <v>-0.36077559313356905</v>
      </c>
      <c r="Y262" s="283">
        <f t="shared" ref="Y262:Y318" si="99">IFERROR((H262+J262)/K262,"")</f>
        <v>0.54659939187565765</v>
      </c>
    </row>
    <row r="263" spans="1:25" ht="16.350000000000001" customHeight="1">
      <c r="A263" s="175">
        <f t="shared" si="88"/>
        <v>2025</v>
      </c>
      <c r="B263" s="454" t="str">
        <f t="shared" si="89"/>
        <v>50</v>
      </c>
      <c r="C263" s="454" t="str">
        <f t="array" ref="C263">_xlfn.IFS(_xlfn.NUMBERVALUE(B263)&lt;=13,"Q1",AND(_xlfn.NUMBERVALUE(B263)&gt;13,_xlfn.NUMBERVALUE(B263)&lt;=26),"Q2", AND(_xlfn.NUMBERVALUE(B263)&gt;26,_xlfn.NUMBERVALUE(B263)&lt;=39),"Q3",_xlfn.NUMBERVALUE(B263)&gt;39,"Q4")</f>
        <v>Q4</v>
      </c>
      <c r="D263" s="448">
        <f t="shared" ref="D263:D318" si="100">E262+1</f>
        <v>45661</v>
      </c>
      <c r="E263" s="448">
        <f t="shared" si="90"/>
        <v>45667</v>
      </c>
      <c r="F263" s="79">
        <v>202450</v>
      </c>
      <c r="G263" s="180">
        <f t="shared" si="91"/>
        <v>224465</v>
      </c>
      <c r="H263" s="429">
        <v>77164</v>
      </c>
      <c r="I263" s="429">
        <v>75578</v>
      </c>
      <c r="J263" s="429">
        <v>71723</v>
      </c>
      <c r="K263" s="180">
        <f t="shared" si="84"/>
        <v>217296</v>
      </c>
      <c r="L263" s="429">
        <v>61298</v>
      </c>
      <c r="M263" s="429">
        <v>70940</v>
      </c>
      <c r="N263" s="532">
        <v>85058</v>
      </c>
      <c r="O263" s="186">
        <f t="shared" si="92"/>
        <v>0.34376851624974941</v>
      </c>
      <c r="P263" s="468">
        <f t="shared" si="93"/>
        <v>0.33670282672131513</v>
      </c>
      <c r="Q263" s="468">
        <f t="shared" si="94"/>
        <v>0.31952865702893546</v>
      </c>
      <c r="R263" s="186">
        <f t="shared" si="85"/>
        <v>0.28209447021574258</v>
      </c>
      <c r="S263" s="468">
        <f t="shared" si="86"/>
        <v>0.3264671231868051</v>
      </c>
      <c r="T263" s="468">
        <f t="shared" si="87"/>
        <v>0.39143840659745233</v>
      </c>
      <c r="U263" s="186">
        <f t="shared" si="95"/>
        <v>9.103423696344641E-2</v>
      </c>
      <c r="V263" s="468">
        <f t="shared" si="96"/>
        <v>0.29727593178165984</v>
      </c>
      <c r="W263" s="468">
        <f t="shared" si="97"/>
        <v>-0.31992114107279895</v>
      </c>
      <c r="X263" s="468">
        <f t="shared" si="98"/>
        <v>0.30219037128954451</v>
      </c>
      <c r="Y263" s="283">
        <f t="shared" si="99"/>
        <v>0.68518058316766073</v>
      </c>
    </row>
    <row r="264" spans="1:25" ht="16.350000000000001" customHeight="1">
      <c r="A264" s="175">
        <f t="shared" si="88"/>
        <v>2025</v>
      </c>
      <c r="B264" s="454" t="str">
        <f t="shared" si="89"/>
        <v>51</v>
      </c>
      <c r="C264" s="454" t="str">
        <f t="array" ref="C264">_xlfn.IFS(_xlfn.NUMBERVALUE(B264)&lt;=13,"Q1",AND(_xlfn.NUMBERVALUE(B264)&gt;13,_xlfn.NUMBERVALUE(B264)&lt;=26),"Q2", AND(_xlfn.NUMBERVALUE(B264)&gt;26,_xlfn.NUMBERVALUE(B264)&lt;=39),"Q3",_xlfn.NUMBERVALUE(B264)&gt;39,"Q4")</f>
        <v>Q4</v>
      </c>
      <c r="D264" s="448">
        <f t="shared" si="100"/>
        <v>45668</v>
      </c>
      <c r="E264" s="448">
        <f t="shared" si="90"/>
        <v>45674</v>
      </c>
      <c r="F264" s="79">
        <v>202451</v>
      </c>
      <c r="G264" s="180">
        <f t="shared" si="91"/>
        <v>205034</v>
      </c>
      <c r="H264" s="429">
        <v>99940</v>
      </c>
      <c r="I264" s="429">
        <v>53883</v>
      </c>
      <c r="J264" s="429">
        <v>51211</v>
      </c>
      <c r="K264" s="180">
        <f t="shared" si="84"/>
        <v>204031</v>
      </c>
      <c r="L264" s="429">
        <v>54225</v>
      </c>
      <c r="M264" s="429">
        <v>99757</v>
      </c>
      <c r="N264" s="532">
        <v>50049</v>
      </c>
      <c r="O264" s="186">
        <f t="shared" si="92"/>
        <v>0.4874313528487958</v>
      </c>
      <c r="P264" s="468">
        <f t="shared" si="93"/>
        <v>0.26280031604514376</v>
      </c>
      <c r="Q264" s="468">
        <f t="shared" si="94"/>
        <v>0.24976833110606045</v>
      </c>
      <c r="R264" s="186">
        <f t="shared" si="85"/>
        <v>0.26576843714925674</v>
      </c>
      <c r="S264" s="468">
        <f t="shared" si="86"/>
        <v>0.48893060368277369</v>
      </c>
      <c r="T264" s="468">
        <f t="shared" si="87"/>
        <v>0.24530095916796957</v>
      </c>
      <c r="U264" s="186">
        <f t="shared" si="95"/>
        <v>-0.21487655705882927</v>
      </c>
      <c r="V264" s="468">
        <f t="shared" si="96"/>
        <v>6.1356814088453074E-2</v>
      </c>
      <c r="W264" s="468">
        <f t="shared" si="97"/>
        <v>-0.14444258857153461</v>
      </c>
      <c r="X264" s="468">
        <f t="shared" si="98"/>
        <v>-0.82806428306418545</v>
      </c>
      <c r="Y264" s="283">
        <f t="shared" si="99"/>
        <v>0.74082369835956297</v>
      </c>
    </row>
    <row r="265" spans="1:25" ht="16.350000000000001" customHeight="1">
      <c r="A265" s="175">
        <f t="shared" si="88"/>
        <v>2025</v>
      </c>
      <c r="B265" s="454" t="str">
        <f t="shared" si="89"/>
        <v>52</v>
      </c>
      <c r="C265" s="454" t="str">
        <f t="array" ref="C265">_xlfn.IFS(_xlfn.NUMBERVALUE(B265)&lt;=13,"Q1",AND(_xlfn.NUMBERVALUE(B265)&gt;13,_xlfn.NUMBERVALUE(B265)&lt;=26),"Q2", AND(_xlfn.NUMBERVALUE(B265)&gt;26,_xlfn.NUMBERVALUE(B265)&lt;=39),"Q3",_xlfn.NUMBERVALUE(B265)&gt;39,"Q4")</f>
        <v>Q4</v>
      </c>
      <c r="D265" s="448">
        <f t="shared" si="100"/>
        <v>45675</v>
      </c>
      <c r="E265" s="448">
        <f t="shared" si="90"/>
        <v>45681</v>
      </c>
      <c r="F265" s="79">
        <v>202452</v>
      </c>
      <c r="G265" s="180">
        <f t="shared" si="91"/>
        <v>178873</v>
      </c>
      <c r="H265" s="429">
        <v>59082</v>
      </c>
      <c r="I265" s="429">
        <v>61397</v>
      </c>
      <c r="J265" s="429">
        <v>58394</v>
      </c>
      <c r="K265" s="180">
        <f t="shared" si="84"/>
        <v>249091</v>
      </c>
      <c r="L265" s="429">
        <v>93808</v>
      </c>
      <c r="M265" s="429">
        <v>61666</v>
      </c>
      <c r="N265" s="532">
        <v>93617</v>
      </c>
      <c r="O265" s="186">
        <f t="shared" si="92"/>
        <v>0.33030138701760464</v>
      </c>
      <c r="P265" s="468">
        <f t="shared" si="93"/>
        <v>0.34324353032598548</v>
      </c>
      <c r="Q265" s="468">
        <f t="shared" si="94"/>
        <v>0.32645508265640988</v>
      </c>
      <c r="R265" s="186">
        <f t="shared" si="85"/>
        <v>0.37660132240827648</v>
      </c>
      <c r="S265" s="468">
        <f t="shared" si="86"/>
        <v>0.24756414322476525</v>
      </c>
      <c r="T265" s="468">
        <f t="shared" si="87"/>
        <v>0.37583453436695824</v>
      </c>
      <c r="U265" s="186">
        <f t="shared" si="95"/>
        <v>-0.25975412722993407</v>
      </c>
      <c r="V265" s="468">
        <f t="shared" si="96"/>
        <v>8.4966656511289401E-2</v>
      </c>
      <c r="W265" s="468">
        <f t="shared" si="97"/>
        <v>-0.42239848852549799</v>
      </c>
      <c r="X265" s="468">
        <f t="shared" si="98"/>
        <v>-0.43752782820152758</v>
      </c>
      <c r="Y265" s="283">
        <f t="shared" si="99"/>
        <v>0.47161880597853795</v>
      </c>
    </row>
    <row r="266" spans="1:25" ht="17.100000000000001" customHeight="1">
      <c r="A266" s="175">
        <f t="shared" si="88"/>
        <v>2025</v>
      </c>
      <c r="B266" s="454" t="str">
        <f t="shared" si="89"/>
        <v>53</v>
      </c>
      <c r="C266" s="454" t="str">
        <f t="array" ref="C266">_xlfn.IFS(_xlfn.NUMBERVALUE(B266)&lt;=13,"Q1",AND(_xlfn.NUMBERVALUE(B266)&gt;13,_xlfn.NUMBERVALUE(B266)&lt;=26),"Q2", AND(_xlfn.NUMBERVALUE(B266)&gt;26,_xlfn.NUMBERVALUE(B266)&lt;=39),"Q3",_xlfn.NUMBERVALUE(B266)&gt;39,"Q4")</f>
        <v>Q4</v>
      </c>
      <c r="D266" s="448">
        <f t="shared" si="100"/>
        <v>45682</v>
      </c>
      <c r="E266" s="448">
        <f t="shared" si="90"/>
        <v>45688</v>
      </c>
      <c r="F266" s="79">
        <v>202453</v>
      </c>
      <c r="G266" s="180">
        <f t="shared" si="91"/>
        <v>200045</v>
      </c>
      <c r="H266" s="429">
        <v>57258</v>
      </c>
      <c r="I266" s="429">
        <v>80459</v>
      </c>
      <c r="J266" s="429">
        <v>62328</v>
      </c>
      <c r="K266" s="180">
        <f t="shared" si="84"/>
        <v>225336</v>
      </c>
      <c r="L266" s="429">
        <v>54062</v>
      </c>
      <c r="M266" s="429">
        <v>87331</v>
      </c>
      <c r="N266" s="532">
        <v>83943</v>
      </c>
      <c r="O266" s="186">
        <f t="shared" si="92"/>
        <v>0.28622559924017094</v>
      </c>
      <c r="P266" s="468">
        <f t="shared" si="93"/>
        <v>0.40220450398660301</v>
      </c>
      <c r="Q266" s="468">
        <f t="shared" si="94"/>
        <v>0.31156989677322605</v>
      </c>
      <c r="R266" s="186">
        <f t="shared" si="85"/>
        <v>0.2399172790854546</v>
      </c>
      <c r="S266" s="468">
        <f t="shared" si="86"/>
        <v>0.38755902297014239</v>
      </c>
      <c r="T266" s="468">
        <f t="shared" si="87"/>
        <v>0.37252369794440304</v>
      </c>
      <c r="U266" s="186">
        <f t="shared" si="95"/>
        <v>-0.25924167062410958</v>
      </c>
      <c r="V266" s="468">
        <f t="shared" si="96"/>
        <v>-0.1343043766809878</v>
      </c>
      <c r="W266" s="468">
        <f t="shared" si="97"/>
        <v>-0.21635864228986193</v>
      </c>
      <c r="X266" s="468">
        <f t="shared" si="98"/>
        <v>-0.42937363624695163</v>
      </c>
      <c r="Y266" s="283">
        <f t="shared" si="99"/>
        <v>0.53070082010863773</v>
      </c>
    </row>
    <row r="267" spans="1:25" ht="15.6" customHeight="1">
      <c r="A267" s="175">
        <f t="shared" si="88"/>
        <v>2026</v>
      </c>
      <c r="B267" s="454" t="str">
        <f t="shared" si="89"/>
        <v>01</v>
      </c>
      <c r="C267" s="454" t="str">
        <f t="array" ref="C267">_xlfn.IFS(_xlfn.NUMBERVALUE(B267)&lt;=13,"Q1",AND(_xlfn.NUMBERVALUE(B267)&gt;13,_xlfn.NUMBERVALUE(B267)&lt;=26),"Q2", AND(_xlfn.NUMBERVALUE(B267)&gt;26,_xlfn.NUMBERVALUE(B267)&lt;=39),"Q3",_xlfn.NUMBERVALUE(B267)&gt;39,"Q4")</f>
        <v>Q1</v>
      </c>
      <c r="D267" s="448">
        <f t="shared" si="100"/>
        <v>45689</v>
      </c>
      <c r="E267" s="448">
        <f t="shared" si="90"/>
        <v>45695</v>
      </c>
      <c r="F267" s="79">
        <v>202501</v>
      </c>
      <c r="G267" s="180">
        <f t="shared" si="91"/>
        <v>185349</v>
      </c>
      <c r="H267" s="429">
        <v>61885</v>
      </c>
      <c r="I267" s="429">
        <v>52080</v>
      </c>
      <c r="J267" s="429">
        <v>71384</v>
      </c>
      <c r="K267" s="180">
        <f t="shared" si="84"/>
        <v>251905</v>
      </c>
      <c r="L267" s="429">
        <v>64948</v>
      </c>
      <c r="M267" s="429">
        <v>97867</v>
      </c>
      <c r="N267" s="532">
        <v>89090</v>
      </c>
      <c r="O267" s="186">
        <f t="shared" si="92"/>
        <v>0.33388364652628283</v>
      </c>
      <c r="P267" s="468">
        <f t="shared" si="93"/>
        <v>0.28098344204716508</v>
      </c>
      <c r="Q267" s="468">
        <f t="shared" si="94"/>
        <v>0.38513291142655209</v>
      </c>
      <c r="R267" s="186">
        <f t="shared" si="85"/>
        <v>0.25782735555070363</v>
      </c>
      <c r="S267" s="468">
        <f t="shared" si="86"/>
        <v>0.38850757229908101</v>
      </c>
      <c r="T267" s="468">
        <f t="shared" si="87"/>
        <v>0.35366507215021536</v>
      </c>
      <c r="U267" s="186">
        <f t="shared" si="95"/>
        <v>-0.10838472287414554</v>
      </c>
      <c r="V267" s="468">
        <f t="shared" si="96"/>
        <v>-0.26710834612587864</v>
      </c>
      <c r="W267" s="468">
        <f t="shared" si="97"/>
        <v>-0.15174731182795698</v>
      </c>
      <c r="X267" s="468">
        <f t="shared" si="98"/>
        <v>6.0853972879076547E-2</v>
      </c>
      <c r="Y267" s="283">
        <f t="shared" si="99"/>
        <v>0.52904467954189083</v>
      </c>
    </row>
    <row r="268" spans="1:25" ht="15.6" customHeight="1">
      <c r="A268" s="175">
        <f t="shared" si="88"/>
        <v>2026</v>
      </c>
      <c r="B268" s="454" t="str">
        <f t="shared" si="89"/>
        <v>02</v>
      </c>
      <c r="C268" s="454" t="str">
        <f t="array" ref="C268">_xlfn.IFS(_xlfn.NUMBERVALUE(B268)&lt;=13,"Q1",AND(_xlfn.NUMBERVALUE(B268)&gt;13,_xlfn.NUMBERVALUE(B268)&lt;=26),"Q2", AND(_xlfn.NUMBERVALUE(B268)&gt;26,_xlfn.NUMBERVALUE(B268)&lt;=39),"Q3",_xlfn.NUMBERVALUE(B268)&gt;39,"Q4")</f>
        <v>Q1</v>
      </c>
      <c r="D268" s="448">
        <f t="shared" si="100"/>
        <v>45696</v>
      </c>
      <c r="E268" s="448">
        <f t="shared" si="90"/>
        <v>45702</v>
      </c>
      <c r="F268" s="79">
        <v>202502</v>
      </c>
      <c r="G268" s="180">
        <f t="shared" si="91"/>
        <v>220689</v>
      </c>
      <c r="H268" s="429">
        <v>96491</v>
      </c>
      <c r="I268" s="429">
        <v>63039</v>
      </c>
      <c r="J268" s="429">
        <v>61159</v>
      </c>
      <c r="K268" s="180">
        <f t="shared" si="84"/>
        <v>205438</v>
      </c>
      <c r="L268" s="429">
        <v>78415</v>
      </c>
      <c r="M268" s="429">
        <v>59983</v>
      </c>
      <c r="N268" s="532">
        <v>67040</v>
      </c>
      <c r="O268" s="186">
        <f t="shared" si="92"/>
        <v>0.43722614176510838</v>
      </c>
      <c r="P268" s="468">
        <f t="shared" si="93"/>
        <v>0.28564631676250291</v>
      </c>
      <c r="Q268" s="468">
        <f t="shared" si="94"/>
        <v>0.27712754147238877</v>
      </c>
      <c r="R268" s="186">
        <f t="shared" si="85"/>
        <v>0.3816966676077454</v>
      </c>
      <c r="S268" s="468">
        <f t="shared" si="86"/>
        <v>0.29197616799228965</v>
      </c>
      <c r="T268" s="468">
        <f t="shared" si="87"/>
        <v>0.32632716439996495</v>
      </c>
      <c r="U268" s="186">
        <f t="shared" si="95"/>
        <v>-0.12072645215665484</v>
      </c>
      <c r="V268" s="468">
        <f t="shared" si="96"/>
        <v>-2.2416598439232674E-2</v>
      </c>
      <c r="W268" s="468">
        <f t="shared" si="97"/>
        <v>-0.29637208712067131</v>
      </c>
      <c r="X268" s="468">
        <f t="shared" si="98"/>
        <v>-9.4785722461125918E-2</v>
      </c>
      <c r="Y268" s="283">
        <f t="shared" si="99"/>
        <v>0.76738480709508461</v>
      </c>
    </row>
    <row r="269" spans="1:25" ht="15.6" customHeight="1">
      <c r="A269" s="175">
        <f t="shared" si="88"/>
        <v>2026</v>
      </c>
      <c r="B269" s="454" t="str">
        <f t="shared" si="89"/>
        <v>03</v>
      </c>
      <c r="C269" s="454" t="str">
        <f t="array" ref="C269">_xlfn.IFS(_xlfn.NUMBERVALUE(B269)&lt;=13,"Q1",AND(_xlfn.NUMBERVALUE(B269)&gt;13,_xlfn.NUMBERVALUE(B269)&lt;=26),"Q2", AND(_xlfn.NUMBERVALUE(B269)&gt;26,_xlfn.NUMBERVALUE(B269)&lt;=39),"Q3",_xlfn.NUMBERVALUE(B269)&gt;39,"Q4")</f>
        <v>Q1</v>
      </c>
      <c r="D269" s="448">
        <f t="shared" si="100"/>
        <v>45703</v>
      </c>
      <c r="E269" s="448">
        <f t="shared" si="90"/>
        <v>45709</v>
      </c>
      <c r="F269" s="79">
        <v>202503</v>
      </c>
      <c r="G269" s="180">
        <f t="shared" si="91"/>
        <v>207279</v>
      </c>
      <c r="H269" s="429">
        <v>53954</v>
      </c>
      <c r="I269" s="429">
        <v>81077</v>
      </c>
      <c r="J269" s="429">
        <v>72248</v>
      </c>
      <c r="K269" s="180">
        <f t="shared" si="84"/>
        <v>247332</v>
      </c>
      <c r="L269" s="429">
        <v>98654</v>
      </c>
      <c r="M269" s="429">
        <v>81722</v>
      </c>
      <c r="N269" s="532">
        <v>66956</v>
      </c>
      <c r="O269" s="186">
        <f t="shared" si="92"/>
        <v>0.26029650857057396</v>
      </c>
      <c r="P269" s="468">
        <f t="shared" si="93"/>
        <v>0.39114912750447467</v>
      </c>
      <c r="Q269" s="468">
        <f t="shared" si="94"/>
        <v>0.34855436392495137</v>
      </c>
      <c r="R269" s="186">
        <f t="shared" si="85"/>
        <v>0.39887277020361295</v>
      </c>
      <c r="S269" s="468">
        <f t="shared" si="86"/>
        <v>0.33041418013035112</v>
      </c>
      <c r="T269" s="468">
        <f t="shared" si="87"/>
        <v>0.27071304966603593</v>
      </c>
      <c r="U269" s="186">
        <f t="shared" si="95"/>
        <v>-0.39392316636031627</v>
      </c>
      <c r="V269" s="468">
        <f t="shared" si="96"/>
        <v>-0.67789227860770285</v>
      </c>
      <c r="W269" s="468">
        <f t="shared" si="97"/>
        <v>-0.2312739741233642</v>
      </c>
      <c r="X269" s="468">
        <f t="shared" si="98"/>
        <v>-0.36438378917063446</v>
      </c>
      <c r="Y269" s="283">
        <f t="shared" si="99"/>
        <v>0.51025342454676303</v>
      </c>
    </row>
    <row r="270" spans="1:25" ht="15.6" customHeight="1">
      <c r="A270" s="175">
        <f t="shared" si="88"/>
        <v>2026</v>
      </c>
      <c r="B270" s="454" t="str">
        <f t="shared" si="89"/>
        <v>04</v>
      </c>
      <c r="C270" s="454" t="str">
        <f t="array" ref="C270">_xlfn.IFS(_xlfn.NUMBERVALUE(B270)&lt;=13,"Q1",AND(_xlfn.NUMBERVALUE(B270)&gt;13,_xlfn.NUMBERVALUE(B270)&lt;=26),"Q2", AND(_xlfn.NUMBERVALUE(B270)&gt;26,_xlfn.NUMBERVALUE(B270)&lt;=39),"Q3",_xlfn.NUMBERVALUE(B270)&gt;39,"Q4")</f>
        <v>Q1</v>
      </c>
      <c r="D270" s="448">
        <f t="shared" si="100"/>
        <v>45710</v>
      </c>
      <c r="E270" s="448">
        <f t="shared" si="90"/>
        <v>45716</v>
      </c>
      <c r="F270" s="79">
        <v>202504</v>
      </c>
      <c r="G270" s="180">
        <f t="shared" si="91"/>
        <v>259629</v>
      </c>
      <c r="H270" s="429">
        <v>97133</v>
      </c>
      <c r="I270" s="429">
        <v>86110</v>
      </c>
      <c r="J270" s="429">
        <v>76386</v>
      </c>
      <c r="K270" s="180">
        <f t="shared" si="84"/>
        <v>288931</v>
      </c>
      <c r="L270" s="429">
        <v>90529</v>
      </c>
      <c r="M270" s="429">
        <v>99828</v>
      </c>
      <c r="N270" s="532">
        <v>98574</v>
      </c>
      <c r="O270" s="186">
        <f t="shared" si="92"/>
        <v>0.37412230528947077</v>
      </c>
      <c r="P270" s="468">
        <f t="shared" si="93"/>
        <v>0.33166556894645821</v>
      </c>
      <c r="Q270" s="468">
        <f t="shared" si="94"/>
        <v>0.29421212576407102</v>
      </c>
      <c r="R270" s="186">
        <f t="shared" si="85"/>
        <v>0.31332394239455097</v>
      </c>
      <c r="S270" s="468">
        <f t="shared" si="86"/>
        <v>0.34550809708892433</v>
      </c>
      <c r="T270" s="468">
        <f t="shared" si="87"/>
        <v>0.3411679605165247</v>
      </c>
      <c r="U270" s="186">
        <f t="shared" si="95"/>
        <v>0.10390595811715948</v>
      </c>
      <c r="V270" s="468">
        <f t="shared" si="96"/>
        <v>6.1894515767041067E-2</v>
      </c>
      <c r="W270" s="468">
        <f t="shared" si="97"/>
        <v>1.5921495761235627E-2</v>
      </c>
      <c r="X270" s="468">
        <f t="shared" si="98"/>
        <v>0.25651297358154634</v>
      </c>
      <c r="Y270" s="283">
        <f t="shared" si="99"/>
        <v>0.60055514984546488</v>
      </c>
    </row>
    <row r="271" spans="1:25" ht="15.6" customHeight="1">
      <c r="A271" s="175">
        <f t="shared" si="88"/>
        <v>2026</v>
      </c>
      <c r="B271" s="454" t="str">
        <f t="shared" si="89"/>
        <v>05</v>
      </c>
      <c r="C271" s="454" t="str">
        <f t="array" ref="C271">_xlfn.IFS(_xlfn.NUMBERVALUE(B271)&lt;=13,"Q1",AND(_xlfn.NUMBERVALUE(B271)&gt;13,_xlfn.NUMBERVALUE(B271)&lt;=26),"Q2", AND(_xlfn.NUMBERVALUE(B271)&gt;26,_xlfn.NUMBERVALUE(B271)&lt;=39),"Q3",_xlfn.NUMBERVALUE(B271)&gt;39,"Q4")</f>
        <v>Q1</v>
      </c>
      <c r="D271" s="448">
        <f t="shared" si="100"/>
        <v>45717</v>
      </c>
      <c r="E271" s="448">
        <f t="shared" si="90"/>
        <v>45723</v>
      </c>
      <c r="F271" s="79">
        <v>202505</v>
      </c>
      <c r="G271" s="180">
        <f t="shared" si="91"/>
        <v>230752</v>
      </c>
      <c r="H271" s="429">
        <v>96164</v>
      </c>
      <c r="I271" s="429">
        <v>57396</v>
      </c>
      <c r="J271" s="429">
        <v>77192</v>
      </c>
      <c r="K271" s="180">
        <f t="shared" si="84"/>
        <v>232652</v>
      </c>
      <c r="L271" s="429">
        <v>91121</v>
      </c>
      <c r="M271" s="429">
        <v>84739</v>
      </c>
      <c r="N271" s="532">
        <v>56792</v>
      </c>
      <c r="O271" s="186">
        <f t="shared" si="92"/>
        <v>0.41674178338649287</v>
      </c>
      <c r="P271" s="468">
        <f t="shared" si="93"/>
        <v>0.24873457218138956</v>
      </c>
      <c r="Q271" s="468">
        <f t="shared" si="94"/>
        <v>0.33452364443211757</v>
      </c>
      <c r="R271" s="186">
        <f t="shared" si="85"/>
        <v>0.39166222512593918</v>
      </c>
      <c r="S271" s="468">
        <f t="shared" si="86"/>
        <v>0.36423069649089629</v>
      </c>
      <c r="T271" s="468">
        <f t="shared" si="87"/>
        <v>0.24410707838316456</v>
      </c>
      <c r="U271" s="186">
        <f t="shared" si="95"/>
        <v>0.2503163569546526</v>
      </c>
      <c r="V271" s="468">
        <f t="shared" si="96"/>
        <v>0.43166881577305438</v>
      </c>
      <c r="W271" s="468">
        <f t="shared" si="97"/>
        <v>-9.0197923200223018E-2</v>
      </c>
      <c r="X271" s="468">
        <f t="shared" si="98"/>
        <v>0.27758057829826926</v>
      </c>
      <c r="Y271" s="283">
        <f t="shared" si="99"/>
        <v>0.74513006550556193</v>
      </c>
    </row>
    <row r="272" spans="1:25" ht="15.6" customHeight="1">
      <c r="A272" s="175">
        <f t="shared" si="88"/>
        <v>2026</v>
      </c>
      <c r="B272" s="454" t="str">
        <f t="shared" si="89"/>
        <v>06</v>
      </c>
      <c r="C272" s="454" t="str">
        <f t="array" ref="C272">_xlfn.IFS(_xlfn.NUMBERVALUE(B272)&lt;=13,"Q1",AND(_xlfn.NUMBERVALUE(B272)&gt;13,_xlfn.NUMBERVALUE(B272)&lt;=26),"Q2", AND(_xlfn.NUMBERVALUE(B272)&gt;26,_xlfn.NUMBERVALUE(B272)&lt;=39),"Q3",_xlfn.NUMBERVALUE(B272)&gt;39,"Q4")</f>
        <v>Q1</v>
      </c>
      <c r="D272" s="448">
        <f t="shared" si="100"/>
        <v>45724</v>
      </c>
      <c r="E272" s="448">
        <f t="shared" si="90"/>
        <v>45730</v>
      </c>
      <c r="F272" s="79">
        <v>202506</v>
      </c>
      <c r="G272" s="180">
        <f t="shared" si="91"/>
        <v>237692</v>
      </c>
      <c r="H272" s="429">
        <v>88520</v>
      </c>
      <c r="I272" s="429">
        <v>75236</v>
      </c>
      <c r="J272" s="429">
        <v>73936</v>
      </c>
      <c r="K272" s="180">
        <f t="shared" si="84"/>
        <v>172991</v>
      </c>
      <c r="L272" s="429">
        <v>54653</v>
      </c>
      <c r="M272" s="429">
        <v>62573</v>
      </c>
      <c r="N272" s="532">
        <v>55765</v>
      </c>
      <c r="O272" s="186">
        <f t="shared" si="92"/>
        <v>0.37241472157245509</v>
      </c>
      <c r="P272" s="468">
        <f t="shared" si="93"/>
        <v>0.31652727058546354</v>
      </c>
      <c r="Q272" s="468">
        <f t="shared" si="94"/>
        <v>0.31105800784208137</v>
      </c>
      <c r="R272" s="186">
        <f t="shared" si="85"/>
        <v>0.31592973044840483</v>
      </c>
      <c r="S272" s="468">
        <f t="shared" si="86"/>
        <v>0.36171245902966048</v>
      </c>
      <c r="T272" s="468">
        <f t="shared" si="87"/>
        <v>0.32235781052193468</v>
      </c>
      <c r="U272" s="186" t="str">
        <f t="shared" si="95"/>
        <v/>
      </c>
      <c r="V272" s="468" t="str">
        <f t="shared" si="96"/>
        <v/>
      </c>
      <c r="W272" s="468" t="str">
        <f t="shared" si="97"/>
        <v/>
      </c>
      <c r="X272" s="468" t="str">
        <f t="shared" si="98"/>
        <v/>
      </c>
      <c r="Y272" s="283">
        <f t="shared" si="99"/>
        <v>0.93910087808036258</v>
      </c>
    </row>
    <row r="273" spans="1:25" ht="15.6" customHeight="1">
      <c r="A273" s="175">
        <f t="shared" si="88"/>
        <v>2026</v>
      </c>
      <c r="B273" s="454" t="str">
        <f t="shared" si="89"/>
        <v>07</v>
      </c>
      <c r="C273" s="454" t="str">
        <f t="array" ref="C273">_xlfn.IFS(_xlfn.NUMBERVALUE(B273)&lt;=13,"Q1",AND(_xlfn.NUMBERVALUE(B273)&gt;13,_xlfn.NUMBERVALUE(B273)&lt;=26),"Q2", AND(_xlfn.NUMBERVALUE(B273)&gt;26,_xlfn.NUMBERVALUE(B273)&lt;=39),"Q3",_xlfn.NUMBERVALUE(B273)&gt;39,"Q4")</f>
        <v>Q1</v>
      </c>
      <c r="D273" s="448">
        <f t="shared" si="100"/>
        <v>45731</v>
      </c>
      <c r="E273" s="448">
        <f t="shared" si="90"/>
        <v>45737</v>
      </c>
      <c r="F273" s="79">
        <v>202507</v>
      </c>
      <c r="G273" s="180">
        <f t="shared" si="91"/>
        <v>0</v>
      </c>
      <c r="H273" s="429"/>
      <c r="I273" s="429"/>
      <c r="J273" s="429"/>
      <c r="K273" s="180">
        <f t="shared" si="84"/>
        <v>0</v>
      </c>
      <c r="L273" s="429"/>
      <c r="M273" s="429"/>
      <c r="N273" s="532"/>
      <c r="O273" s="186" t="str">
        <f t="shared" si="92"/>
        <v/>
      </c>
      <c r="P273" s="468" t="str">
        <f t="shared" si="93"/>
        <v/>
      </c>
      <c r="Q273" s="468" t="str">
        <f t="shared" si="94"/>
        <v/>
      </c>
      <c r="R273" s="186" t="str">
        <f t="shared" si="85"/>
        <v/>
      </c>
      <c r="S273" s="468" t="str">
        <f t="shared" si="86"/>
        <v/>
      </c>
      <c r="T273" s="468" t="str">
        <f t="shared" si="87"/>
        <v/>
      </c>
      <c r="U273" s="186" t="str">
        <f t="shared" si="95"/>
        <v/>
      </c>
      <c r="V273" s="468" t="str">
        <f t="shared" si="96"/>
        <v/>
      </c>
      <c r="W273" s="468" t="str">
        <f t="shared" si="97"/>
        <v/>
      </c>
      <c r="X273" s="468" t="str">
        <f t="shared" si="98"/>
        <v/>
      </c>
      <c r="Y273" s="283" t="str">
        <f t="shared" si="99"/>
        <v/>
      </c>
    </row>
    <row r="274" spans="1:25" ht="15.6" customHeight="1">
      <c r="A274" s="175">
        <f t="shared" si="88"/>
        <v>2026</v>
      </c>
      <c r="B274" s="454" t="str">
        <f t="shared" si="89"/>
        <v>08</v>
      </c>
      <c r="C274" s="454" t="str">
        <f t="array" ref="C274">_xlfn.IFS(_xlfn.NUMBERVALUE(B274)&lt;=13,"Q1",AND(_xlfn.NUMBERVALUE(B274)&gt;13,_xlfn.NUMBERVALUE(B274)&lt;=26),"Q2", AND(_xlfn.NUMBERVALUE(B274)&gt;26,_xlfn.NUMBERVALUE(B274)&lt;=39),"Q3",_xlfn.NUMBERVALUE(B274)&gt;39,"Q4")</f>
        <v>Q1</v>
      </c>
      <c r="D274" s="448">
        <f t="shared" si="100"/>
        <v>45738</v>
      </c>
      <c r="E274" s="448">
        <f t="shared" si="90"/>
        <v>45744</v>
      </c>
      <c r="F274" s="79">
        <v>202508</v>
      </c>
      <c r="G274" s="180">
        <f t="shared" si="91"/>
        <v>0</v>
      </c>
      <c r="H274" s="429"/>
      <c r="I274" s="429"/>
      <c r="J274" s="429"/>
      <c r="K274" s="180">
        <f t="shared" si="84"/>
        <v>0</v>
      </c>
      <c r="L274" s="429"/>
      <c r="M274" s="429"/>
      <c r="N274" s="532"/>
      <c r="O274" s="186" t="str">
        <f t="shared" si="92"/>
        <v/>
      </c>
      <c r="P274" s="468" t="str">
        <f t="shared" si="93"/>
        <v/>
      </c>
      <c r="Q274" s="468" t="str">
        <f t="shared" si="94"/>
        <v/>
      </c>
      <c r="R274" s="186" t="str">
        <f t="shared" si="85"/>
        <v/>
      </c>
      <c r="S274" s="468" t="str">
        <f t="shared" si="86"/>
        <v/>
      </c>
      <c r="T274" s="468" t="str">
        <f t="shared" si="87"/>
        <v/>
      </c>
      <c r="U274" s="186" t="str">
        <f t="shared" si="95"/>
        <v/>
      </c>
      <c r="V274" s="468" t="str">
        <f t="shared" si="96"/>
        <v/>
      </c>
      <c r="W274" s="468" t="str">
        <f t="shared" si="97"/>
        <v/>
      </c>
      <c r="X274" s="468" t="str">
        <f t="shared" si="98"/>
        <v/>
      </c>
      <c r="Y274" s="283" t="str">
        <f t="shared" si="99"/>
        <v/>
      </c>
    </row>
    <row r="275" spans="1:25" ht="15.6" customHeight="1">
      <c r="A275" s="175">
        <f t="shared" si="88"/>
        <v>2026</v>
      </c>
      <c r="B275" s="454" t="str">
        <f t="shared" si="89"/>
        <v>09</v>
      </c>
      <c r="C275" s="454" t="str">
        <f t="array" ref="C275">_xlfn.IFS(_xlfn.NUMBERVALUE(B275)&lt;=13,"Q1",AND(_xlfn.NUMBERVALUE(B275)&gt;13,_xlfn.NUMBERVALUE(B275)&lt;=26),"Q2", AND(_xlfn.NUMBERVALUE(B275)&gt;26,_xlfn.NUMBERVALUE(B275)&lt;=39),"Q3",_xlfn.NUMBERVALUE(B275)&gt;39,"Q4")</f>
        <v>Q1</v>
      </c>
      <c r="D275" s="448">
        <f t="shared" si="100"/>
        <v>45745</v>
      </c>
      <c r="E275" s="448">
        <f t="shared" si="90"/>
        <v>45751</v>
      </c>
      <c r="F275" s="79">
        <v>202509</v>
      </c>
      <c r="G275" s="180">
        <f t="shared" si="91"/>
        <v>0</v>
      </c>
      <c r="H275" s="429"/>
      <c r="I275" s="429"/>
      <c r="J275" s="429"/>
      <c r="K275" s="180">
        <f t="shared" si="84"/>
        <v>0</v>
      </c>
      <c r="L275" s="429"/>
      <c r="M275" s="429"/>
      <c r="N275" s="532"/>
      <c r="O275" s="186" t="str">
        <f t="shared" si="92"/>
        <v/>
      </c>
      <c r="P275" s="468" t="str">
        <f t="shared" si="93"/>
        <v/>
      </c>
      <c r="Q275" s="468" t="str">
        <f t="shared" si="94"/>
        <v/>
      </c>
      <c r="R275" s="186" t="str">
        <f t="shared" si="85"/>
        <v/>
      </c>
      <c r="S275" s="468" t="str">
        <f t="shared" si="86"/>
        <v/>
      </c>
      <c r="T275" s="468" t="str">
        <f t="shared" si="87"/>
        <v/>
      </c>
      <c r="U275" s="186" t="str">
        <f t="shared" si="95"/>
        <v/>
      </c>
      <c r="V275" s="468" t="str">
        <f t="shared" si="96"/>
        <v/>
      </c>
      <c r="W275" s="468" t="str">
        <f t="shared" si="97"/>
        <v/>
      </c>
      <c r="X275" s="468" t="str">
        <f t="shared" si="98"/>
        <v/>
      </c>
      <c r="Y275" s="283" t="str">
        <f t="shared" si="99"/>
        <v/>
      </c>
    </row>
    <row r="276" spans="1:25" ht="15.6" customHeight="1">
      <c r="A276" s="175">
        <f t="shared" si="88"/>
        <v>2026</v>
      </c>
      <c r="B276" s="454" t="str">
        <f t="shared" si="89"/>
        <v>10</v>
      </c>
      <c r="C276" s="454" t="str">
        <f t="array" ref="C276">_xlfn.IFS(_xlfn.NUMBERVALUE(B276)&lt;=13,"Q1",AND(_xlfn.NUMBERVALUE(B276)&gt;13,_xlfn.NUMBERVALUE(B276)&lt;=26),"Q2", AND(_xlfn.NUMBERVALUE(B276)&gt;26,_xlfn.NUMBERVALUE(B276)&lt;=39),"Q3",_xlfn.NUMBERVALUE(B276)&gt;39,"Q4")</f>
        <v>Q1</v>
      </c>
      <c r="D276" s="448">
        <f t="shared" si="100"/>
        <v>45752</v>
      </c>
      <c r="E276" s="448">
        <f t="shared" si="90"/>
        <v>45758</v>
      </c>
      <c r="F276" s="79">
        <v>202510</v>
      </c>
      <c r="G276" s="180">
        <f t="shared" si="91"/>
        <v>0</v>
      </c>
      <c r="H276" s="429"/>
      <c r="I276" s="429"/>
      <c r="J276" s="429"/>
      <c r="K276" s="180">
        <f t="shared" si="84"/>
        <v>0</v>
      </c>
      <c r="L276" s="429"/>
      <c r="M276" s="429"/>
      <c r="N276" s="532"/>
      <c r="O276" s="186" t="str">
        <f t="shared" si="92"/>
        <v/>
      </c>
      <c r="P276" s="468" t="str">
        <f t="shared" si="93"/>
        <v/>
      </c>
      <c r="Q276" s="468" t="str">
        <f t="shared" si="94"/>
        <v/>
      </c>
      <c r="R276" s="186" t="str">
        <f t="shared" si="85"/>
        <v/>
      </c>
      <c r="S276" s="468" t="str">
        <f t="shared" si="86"/>
        <v/>
      </c>
      <c r="T276" s="468" t="str">
        <f t="shared" si="87"/>
        <v/>
      </c>
      <c r="U276" s="186" t="str">
        <f t="shared" si="95"/>
        <v/>
      </c>
      <c r="V276" s="468" t="str">
        <f t="shared" si="96"/>
        <v/>
      </c>
      <c r="W276" s="468" t="str">
        <f t="shared" si="97"/>
        <v/>
      </c>
      <c r="X276" s="468" t="str">
        <f t="shared" si="98"/>
        <v/>
      </c>
      <c r="Y276" s="283" t="str">
        <f t="shared" si="99"/>
        <v/>
      </c>
    </row>
    <row r="277" spans="1:25" ht="15.6" customHeight="1">
      <c r="A277" s="175">
        <f t="shared" si="88"/>
        <v>2026</v>
      </c>
      <c r="B277" s="454" t="str">
        <f t="shared" si="89"/>
        <v>11</v>
      </c>
      <c r="C277" s="454" t="str">
        <f t="array" ref="C277">_xlfn.IFS(_xlfn.NUMBERVALUE(B277)&lt;=13,"Q1",AND(_xlfn.NUMBERVALUE(B277)&gt;13,_xlfn.NUMBERVALUE(B277)&lt;=26),"Q2", AND(_xlfn.NUMBERVALUE(B277)&gt;26,_xlfn.NUMBERVALUE(B277)&lt;=39),"Q3",_xlfn.NUMBERVALUE(B277)&gt;39,"Q4")</f>
        <v>Q1</v>
      </c>
      <c r="D277" s="448">
        <f t="shared" si="100"/>
        <v>45759</v>
      </c>
      <c r="E277" s="448">
        <f t="shared" si="90"/>
        <v>45765</v>
      </c>
      <c r="F277" s="79">
        <v>202511</v>
      </c>
      <c r="G277" s="180">
        <f t="shared" si="91"/>
        <v>0</v>
      </c>
      <c r="H277" s="429"/>
      <c r="I277" s="429"/>
      <c r="J277" s="429"/>
      <c r="K277" s="180">
        <f t="shared" si="84"/>
        <v>0</v>
      </c>
      <c r="L277" s="429"/>
      <c r="M277" s="429"/>
      <c r="N277" s="532"/>
      <c r="O277" s="186" t="str">
        <f t="shared" si="92"/>
        <v/>
      </c>
      <c r="P277" s="468" t="str">
        <f t="shared" si="93"/>
        <v/>
      </c>
      <c r="Q277" s="468" t="str">
        <f t="shared" si="94"/>
        <v/>
      </c>
      <c r="R277" s="186" t="str">
        <f t="shared" si="85"/>
        <v/>
      </c>
      <c r="S277" s="468" t="str">
        <f t="shared" si="86"/>
        <v/>
      </c>
      <c r="T277" s="468" t="str">
        <f t="shared" si="87"/>
        <v/>
      </c>
      <c r="U277" s="186" t="str">
        <f t="shared" si="95"/>
        <v/>
      </c>
      <c r="V277" s="468" t="str">
        <f t="shared" si="96"/>
        <v/>
      </c>
      <c r="W277" s="468" t="str">
        <f t="shared" si="97"/>
        <v/>
      </c>
      <c r="X277" s="468" t="str">
        <f t="shared" si="98"/>
        <v/>
      </c>
      <c r="Y277" s="283" t="str">
        <f t="shared" si="99"/>
        <v/>
      </c>
    </row>
    <row r="278" spans="1:25" ht="15.6" customHeight="1">
      <c r="A278" s="175">
        <f t="shared" si="88"/>
        <v>2026</v>
      </c>
      <c r="B278" s="454" t="str">
        <f t="shared" si="89"/>
        <v>12</v>
      </c>
      <c r="C278" s="454" t="str">
        <f t="array" ref="C278">_xlfn.IFS(_xlfn.NUMBERVALUE(B278)&lt;=13,"Q1",AND(_xlfn.NUMBERVALUE(B278)&gt;13,_xlfn.NUMBERVALUE(B278)&lt;=26),"Q2", AND(_xlfn.NUMBERVALUE(B278)&gt;26,_xlfn.NUMBERVALUE(B278)&lt;=39),"Q3",_xlfn.NUMBERVALUE(B278)&gt;39,"Q4")</f>
        <v>Q1</v>
      </c>
      <c r="D278" s="448">
        <f t="shared" si="100"/>
        <v>45766</v>
      </c>
      <c r="E278" s="448">
        <f t="shared" si="90"/>
        <v>45772</v>
      </c>
      <c r="F278" s="79">
        <v>202512</v>
      </c>
      <c r="G278" s="180">
        <f t="shared" si="91"/>
        <v>0</v>
      </c>
      <c r="H278" s="429"/>
      <c r="I278" s="429"/>
      <c r="J278" s="429"/>
      <c r="K278" s="180">
        <f t="shared" si="84"/>
        <v>0</v>
      </c>
      <c r="L278" s="429"/>
      <c r="M278" s="429"/>
      <c r="N278" s="532"/>
      <c r="O278" s="186" t="str">
        <f t="shared" si="92"/>
        <v/>
      </c>
      <c r="P278" s="468" t="str">
        <f t="shared" si="93"/>
        <v/>
      </c>
      <c r="Q278" s="468" t="str">
        <f t="shared" si="94"/>
        <v/>
      </c>
      <c r="R278" s="186" t="str">
        <f t="shared" si="85"/>
        <v/>
      </c>
      <c r="S278" s="468" t="str">
        <f t="shared" si="86"/>
        <v/>
      </c>
      <c r="T278" s="468" t="str">
        <f t="shared" si="87"/>
        <v/>
      </c>
      <c r="U278" s="186" t="str">
        <f t="shared" si="95"/>
        <v/>
      </c>
      <c r="V278" s="468" t="str">
        <f t="shared" si="96"/>
        <v/>
      </c>
      <c r="W278" s="468" t="str">
        <f t="shared" si="97"/>
        <v/>
      </c>
      <c r="X278" s="468" t="str">
        <f t="shared" si="98"/>
        <v/>
      </c>
      <c r="Y278" s="283" t="str">
        <f t="shared" si="99"/>
        <v/>
      </c>
    </row>
    <row r="279" spans="1:25" ht="15.6" customHeight="1">
      <c r="A279" s="175">
        <f t="shared" si="88"/>
        <v>2026</v>
      </c>
      <c r="B279" s="454" t="str">
        <f t="shared" si="89"/>
        <v>13</v>
      </c>
      <c r="C279" s="454" t="str">
        <f t="array" ref="C279">_xlfn.IFS(_xlfn.NUMBERVALUE(B279)&lt;=13,"Q1",AND(_xlfn.NUMBERVALUE(B279)&gt;13,_xlfn.NUMBERVALUE(B279)&lt;=26),"Q2", AND(_xlfn.NUMBERVALUE(B279)&gt;26,_xlfn.NUMBERVALUE(B279)&lt;=39),"Q3",_xlfn.NUMBERVALUE(B279)&gt;39,"Q4")</f>
        <v>Q1</v>
      </c>
      <c r="D279" s="448">
        <f t="shared" si="100"/>
        <v>45773</v>
      </c>
      <c r="E279" s="448">
        <f t="shared" si="90"/>
        <v>45779</v>
      </c>
      <c r="F279" s="79">
        <v>202513</v>
      </c>
      <c r="G279" s="180">
        <f t="shared" si="91"/>
        <v>0</v>
      </c>
      <c r="H279" s="429"/>
      <c r="I279" s="429"/>
      <c r="J279" s="429"/>
      <c r="K279" s="180">
        <f t="shared" si="84"/>
        <v>0</v>
      </c>
      <c r="L279" s="429"/>
      <c r="M279" s="429"/>
      <c r="N279" s="532"/>
      <c r="O279" s="186" t="str">
        <f t="shared" si="92"/>
        <v/>
      </c>
      <c r="P279" s="468" t="str">
        <f t="shared" si="93"/>
        <v/>
      </c>
      <c r="Q279" s="468" t="str">
        <f t="shared" si="94"/>
        <v/>
      </c>
      <c r="R279" s="186" t="str">
        <f t="shared" si="85"/>
        <v/>
      </c>
      <c r="S279" s="468" t="str">
        <f t="shared" si="86"/>
        <v/>
      </c>
      <c r="T279" s="468" t="str">
        <f t="shared" si="87"/>
        <v/>
      </c>
      <c r="U279" s="186" t="str">
        <f t="shared" si="95"/>
        <v/>
      </c>
      <c r="V279" s="468" t="str">
        <f t="shared" si="96"/>
        <v/>
      </c>
      <c r="W279" s="468" t="str">
        <f t="shared" si="97"/>
        <v/>
      </c>
      <c r="X279" s="468" t="str">
        <f t="shared" si="98"/>
        <v/>
      </c>
      <c r="Y279" s="283" t="str">
        <f t="shared" si="99"/>
        <v/>
      </c>
    </row>
    <row r="280" spans="1:25" ht="15.6" customHeight="1">
      <c r="A280" s="175">
        <f t="shared" si="88"/>
        <v>2026</v>
      </c>
      <c r="B280" s="454" t="str">
        <f t="shared" si="89"/>
        <v>14</v>
      </c>
      <c r="C280" s="454" t="str">
        <f t="array" ref="C280">_xlfn.IFS(_xlfn.NUMBERVALUE(B280)&lt;=13,"Q1",AND(_xlfn.NUMBERVALUE(B280)&gt;13,_xlfn.NUMBERVALUE(B280)&lt;=26),"Q2", AND(_xlfn.NUMBERVALUE(B280)&gt;26,_xlfn.NUMBERVALUE(B280)&lt;=39),"Q3",_xlfn.NUMBERVALUE(B280)&gt;39,"Q4")</f>
        <v>Q2</v>
      </c>
      <c r="D280" s="448">
        <f t="shared" si="100"/>
        <v>45780</v>
      </c>
      <c r="E280" s="448">
        <f t="shared" si="90"/>
        <v>45786</v>
      </c>
      <c r="F280" s="79">
        <v>202514</v>
      </c>
      <c r="G280" s="180">
        <f t="shared" si="91"/>
        <v>0</v>
      </c>
      <c r="H280" s="429"/>
      <c r="I280" s="429"/>
      <c r="J280" s="429"/>
      <c r="K280" s="180">
        <f t="shared" si="84"/>
        <v>0</v>
      </c>
      <c r="L280" s="429"/>
      <c r="M280" s="429"/>
      <c r="N280" s="532"/>
      <c r="O280" s="186" t="str">
        <f t="shared" si="92"/>
        <v/>
      </c>
      <c r="P280" s="468" t="str">
        <f t="shared" si="93"/>
        <v/>
      </c>
      <c r="Q280" s="468" t="str">
        <f t="shared" si="94"/>
        <v/>
      </c>
      <c r="R280" s="186" t="str">
        <f t="shared" si="85"/>
        <v/>
      </c>
      <c r="S280" s="468" t="str">
        <f t="shared" si="86"/>
        <v/>
      </c>
      <c r="T280" s="468" t="str">
        <f t="shared" si="87"/>
        <v/>
      </c>
      <c r="U280" s="186" t="str">
        <f t="shared" si="95"/>
        <v/>
      </c>
      <c r="V280" s="468" t="str">
        <f t="shared" si="96"/>
        <v/>
      </c>
      <c r="W280" s="468" t="str">
        <f t="shared" si="97"/>
        <v/>
      </c>
      <c r="X280" s="468" t="str">
        <f t="shared" si="98"/>
        <v/>
      </c>
      <c r="Y280" s="283" t="str">
        <f t="shared" si="99"/>
        <v/>
      </c>
    </row>
    <row r="281" spans="1:25" ht="15.6" customHeight="1">
      <c r="A281" s="175">
        <f t="shared" si="88"/>
        <v>2026</v>
      </c>
      <c r="B281" s="454" t="str">
        <f t="shared" si="89"/>
        <v>15</v>
      </c>
      <c r="C281" s="454" t="str">
        <f t="array" ref="C281">_xlfn.IFS(_xlfn.NUMBERVALUE(B281)&lt;=13,"Q1",AND(_xlfn.NUMBERVALUE(B281)&gt;13,_xlfn.NUMBERVALUE(B281)&lt;=26),"Q2", AND(_xlfn.NUMBERVALUE(B281)&gt;26,_xlfn.NUMBERVALUE(B281)&lt;=39),"Q3",_xlfn.NUMBERVALUE(B281)&gt;39,"Q4")</f>
        <v>Q2</v>
      </c>
      <c r="D281" s="448">
        <f t="shared" si="100"/>
        <v>45787</v>
      </c>
      <c r="E281" s="448">
        <f t="shared" si="90"/>
        <v>45793</v>
      </c>
      <c r="F281" s="79">
        <v>202515</v>
      </c>
      <c r="G281" s="180">
        <f t="shared" si="91"/>
        <v>0</v>
      </c>
      <c r="H281" s="429"/>
      <c r="I281" s="429"/>
      <c r="J281" s="429"/>
      <c r="K281" s="180">
        <f t="shared" si="84"/>
        <v>0</v>
      </c>
      <c r="L281" s="429"/>
      <c r="M281" s="429"/>
      <c r="N281" s="532"/>
      <c r="O281" s="186" t="str">
        <f t="shared" si="92"/>
        <v/>
      </c>
      <c r="P281" s="468" t="str">
        <f t="shared" si="93"/>
        <v/>
      </c>
      <c r="Q281" s="468" t="str">
        <f t="shared" si="94"/>
        <v/>
      </c>
      <c r="R281" s="186" t="str">
        <f t="shared" si="85"/>
        <v/>
      </c>
      <c r="S281" s="468" t="str">
        <f t="shared" si="86"/>
        <v/>
      </c>
      <c r="T281" s="468" t="str">
        <f t="shared" si="87"/>
        <v/>
      </c>
      <c r="U281" s="186" t="str">
        <f t="shared" si="95"/>
        <v/>
      </c>
      <c r="V281" s="468" t="str">
        <f t="shared" si="96"/>
        <v/>
      </c>
      <c r="W281" s="468" t="str">
        <f t="shared" si="97"/>
        <v/>
      </c>
      <c r="X281" s="468" t="str">
        <f t="shared" si="98"/>
        <v/>
      </c>
      <c r="Y281" s="283" t="str">
        <f t="shared" si="99"/>
        <v/>
      </c>
    </row>
    <row r="282" spans="1:25" ht="15.6" customHeight="1">
      <c r="A282" s="175">
        <f t="shared" si="88"/>
        <v>2026</v>
      </c>
      <c r="B282" s="454" t="str">
        <f t="shared" si="89"/>
        <v>16</v>
      </c>
      <c r="C282" s="454" t="str">
        <f t="array" ref="C282">_xlfn.IFS(_xlfn.NUMBERVALUE(B282)&lt;=13,"Q1",AND(_xlfn.NUMBERVALUE(B282)&gt;13,_xlfn.NUMBERVALUE(B282)&lt;=26),"Q2", AND(_xlfn.NUMBERVALUE(B282)&gt;26,_xlfn.NUMBERVALUE(B282)&lt;=39),"Q3",_xlfn.NUMBERVALUE(B282)&gt;39,"Q4")</f>
        <v>Q2</v>
      </c>
      <c r="D282" s="448">
        <f t="shared" si="100"/>
        <v>45794</v>
      </c>
      <c r="E282" s="448">
        <f t="shared" si="90"/>
        <v>45800</v>
      </c>
      <c r="F282" s="79">
        <v>202516</v>
      </c>
      <c r="G282" s="180">
        <f t="shared" si="91"/>
        <v>0</v>
      </c>
      <c r="H282" s="429"/>
      <c r="I282" s="429"/>
      <c r="J282" s="429"/>
      <c r="K282" s="180">
        <f t="shared" si="84"/>
        <v>0</v>
      </c>
      <c r="L282" s="429"/>
      <c r="M282" s="429"/>
      <c r="N282" s="532"/>
      <c r="O282" s="186" t="str">
        <f t="shared" si="92"/>
        <v/>
      </c>
      <c r="P282" s="468" t="str">
        <f t="shared" si="93"/>
        <v/>
      </c>
      <c r="Q282" s="468" t="str">
        <f t="shared" si="94"/>
        <v/>
      </c>
      <c r="R282" s="186" t="str">
        <f t="shared" si="85"/>
        <v/>
      </c>
      <c r="S282" s="468" t="str">
        <f t="shared" si="86"/>
        <v/>
      </c>
      <c r="T282" s="468" t="str">
        <f t="shared" si="87"/>
        <v/>
      </c>
      <c r="U282" s="186" t="str">
        <f t="shared" si="95"/>
        <v/>
      </c>
      <c r="V282" s="468" t="str">
        <f t="shared" si="96"/>
        <v/>
      </c>
      <c r="W282" s="468" t="str">
        <f t="shared" si="97"/>
        <v/>
      </c>
      <c r="X282" s="468" t="str">
        <f t="shared" si="98"/>
        <v/>
      </c>
      <c r="Y282" s="283" t="str">
        <f t="shared" si="99"/>
        <v/>
      </c>
    </row>
    <row r="283" spans="1:25" ht="15.6" customHeight="1">
      <c r="A283" s="175">
        <f t="shared" si="88"/>
        <v>2026</v>
      </c>
      <c r="B283" s="454" t="str">
        <f t="shared" si="89"/>
        <v>17</v>
      </c>
      <c r="C283" s="454" t="str">
        <f t="array" ref="C283">_xlfn.IFS(_xlfn.NUMBERVALUE(B283)&lt;=13,"Q1",AND(_xlfn.NUMBERVALUE(B283)&gt;13,_xlfn.NUMBERVALUE(B283)&lt;=26),"Q2", AND(_xlfn.NUMBERVALUE(B283)&gt;26,_xlfn.NUMBERVALUE(B283)&lt;=39),"Q3",_xlfn.NUMBERVALUE(B283)&gt;39,"Q4")</f>
        <v>Q2</v>
      </c>
      <c r="D283" s="448">
        <f t="shared" si="100"/>
        <v>45801</v>
      </c>
      <c r="E283" s="448">
        <f t="shared" si="90"/>
        <v>45807</v>
      </c>
      <c r="F283" s="79">
        <v>202517</v>
      </c>
      <c r="G283" s="180">
        <f t="shared" si="91"/>
        <v>0</v>
      </c>
      <c r="H283" s="429"/>
      <c r="I283" s="429"/>
      <c r="J283" s="429"/>
      <c r="K283" s="180">
        <f t="shared" ref="K283:K314" si="101">SUM(L283:N283)</f>
        <v>0</v>
      </c>
      <c r="L283" s="429"/>
      <c r="M283" s="429"/>
      <c r="N283" s="532"/>
      <c r="O283" s="186" t="str">
        <f t="shared" si="92"/>
        <v/>
      </c>
      <c r="P283" s="468" t="str">
        <f t="shared" si="93"/>
        <v/>
      </c>
      <c r="Q283" s="468" t="str">
        <f t="shared" si="94"/>
        <v/>
      </c>
      <c r="R283" s="186" t="str">
        <f t="shared" ref="R283:R318" si="102">IFERROR(L283/$K283,"")</f>
        <v/>
      </c>
      <c r="S283" s="468" t="str">
        <f t="shared" ref="S283:S318" si="103">IFERROR(M283/$K283,"")</f>
        <v/>
      </c>
      <c r="T283" s="468" t="str">
        <f t="shared" ref="T283:T318" si="104">IFERROR(N283/$K283,"")</f>
        <v/>
      </c>
      <c r="U283" s="186" t="str">
        <f t="shared" si="95"/>
        <v/>
      </c>
      <c r="V283" s="468" t="str">
        <f t="shared" si="96"/>
        <v/>
      </c>
      <c r="W283" s="468" t="str">
        <f t="shared" si="97"/>
        <v/>
      </c>
      <c r="X283" s="468" t="str">
        <f t="shared" si="98"/>
        <v/>
      </c>
      <c r="Y283" s="283" t="str">
        <f t="shared" si="99"/>
        <v/>
      </c>
    </row>
    <row r="284" spans="1:25" ht="15.6" customHeight="1">
      <c r="A284" s="175">
        <f t="shared" si="88"/>
        <v>2026</v>
      </c>
      <c r="B284" s="454" t="str">
        <f t="shared" si="89"/>
        <v>18</v>
      </c>
      <c r="C284" s="454" t="str">
        <f t="array" ref="C284">_xlfn.IFS(_xlfn.NUMBERVALUE(B284)&lt;=13,"Q1",AND(_xlfn.NUMBERVALUE(B284)&gt;13,_xlfn.NUMBERVALUE(B284)&lt;=26),"Q2", AND(_xlfn.NUMBERVALUE(B284)&gt;26,_xlfn.NUMBERVALUE(B284)&lt;=39),"Q3",_xlfn.NUMBERVALUE(B284)&gt;39,"Q4")</f>
        <v>Q2</v>
      </c>
      <c r="D284" s="448">
        <f t="shared" si="100"/>
        <v>45808</v>
      </c>
      <c r="E284" s="448">
        <f t="shared" si="90"/>
        <v>45814</v>
      </c>
      <c r="F284" s="79">
        <v>202518</v>
      </c>
      <c r="G284" s="180">
        <f t="shared" si="91"/>
        <v>0</v>
      </c>
      <c r="H284" s="429"/>
      <c r="I284" s="429"/>
      <c r="J284" s="429"/>
      <c r="K284" s="180">
        <f t="shared" si="101"/>
        <v>0</v>
      </c>
      <c r="L284" s="429"/>
      <c r="M284" s="429"/>
      <c r="N284" s="532"/>
      <c r="O284" s="186" t="str">
        <f t="shared" si="92"/>
        <v/>
      </c>
      <c r="P284" s="468" t="str">
        <f t="shared" si="93"/>
        <v/>
      </c>
      <c r="Q284" s="468" t="str">
        <f t="shared" si="94"/>
        <v/>
      </c>
      <c r="R284" s="186" t="str">
        <f t="shared" si="102"/>
        <v/>
      </c>
      <c r="S284" s="468" t="str">
        <f t="shared" si="103"/>
        <v/>
      </c>
      <c r="T284" s="468" t="str">
        <f t="shared" si="104"/>
        <v/>
      </c>
      <c r="U284" s="186" t="str">
        <f t="shared" si="95"/>
        <v/>
      </c>
      <c r="V284" s="468" t="str">
        <f t="shared" si="96"/>
        <v/>
      </c>
      <c r="W284" s="468" t="str">
        <f t="shared" si="97"/>
        <v/>
      </c>
      <c r="X284" s="468" t="str">
        <f t="shared" si="98"/>
        <v/>
      </c>
      <c r="Y284" s="283" t="str">
        <f t="shared" si="99"/>
        <v/>
      </c>
    </row>
    <row r="285" spans="1:25" ht="15.6" customHeight="1">
      <c r="A285" s="175">
        <f t="shared" si="88"/>
        <v>2026</v>
      </c>
      <c r="B285" s="454" t="str">
        <f t="shared" si="89"/>
        <v>19</v>
      </c>
      <c r="C285" s="454" t="str">
        <f t="array" ref="C285">_xlfn.IFS(_xlfn.NUMBERVALUE(B285)&lt;=13,"Q1",AND(_xlfn.NUMBERVALUE(B285)&gt;13,_xlfn.NUMBERVALUE(B285)&lt;=26),"Q2", AND(_xlfn.NUMBERVALUE(B285)&gt;26,_xlfn.NUMBERVALUE(B285)&lt;=39),"Q3",_xlfn.NUMBERVALUE(B285)&gt;39,"Q4")</f>
        <v>Q2</v>
      </c>
      <c r="D285" s="448">
        <f t="shared" si="100"/>
        <v>45815</v>
      </c>
      <c r="E285" s="448">
        <f t="shared" si="90"/>
        <v>45821</v>
      </c>
      <c r="F285" s="79">
        <v>202519</v>
      </c>
      <c r="G285" s="180">
        <f t="shared" si="91"/>
        <v>0</v>
      </c>
      <c r="H285" s="429"/>
      <c r="I285" s="429"/>
      <c r="J285" s="429"/>
      <c r="K285" s="180">
        <f t="shared" si="101"/>
        <v>0</v>
      </c>
      <c r="L285" s="429"/>
      <c r="M285" s="429"/>
      <c r="N285" s="532"/>
      <c r="O285" s="186" t="str">
        <f t="shared" si="92"/>
        <v/>
      </c>
      <c r="P285" s="468" t="str">
        <f t="shared" si="93"/>
        <v/>
      </c>
      <c r="Q285" s="468" t="str">
        <f t="shared" si="94"/>
        <v/>
      </c>
      <c r="R285" s="186" t="str">
        <f t="shared" si="102"/>
        <v/>
      </c>
      <c r="S285" s="468" t="str">
        <f t="shared" si="103"/>
        <v/>
      </c>
      <c r="T285" s="468" t="str">
        <f t="shared" si="104"/>
        <v/>
      </c>
      <c r="U285" s="186" t="str">
        <f t="shared" si="95"/>
        <v/>
      </c>
      <c r="V285" s="468" t="str">
        <f t="shared" si="96"/>
        <v/>
      </c>
      <c r="W285" s="468" t="str">
        <f t="shared" si="97"/>
        <v/>
      </c>
      <c r="X285" s="468" t="str">
        <f t="shared" si="98"/>
        <v/>
      </c>
      <c r="Y285" s="283" t="str">
        <f t="shared" si="99"/>
        <v/>
      </c>
    </row>
    <row r="286" spans="1:25" ht="15.6" customHeight="1">
      <c r="A286" s="175">
        <f t="shared" si="88"/>
        <v>2026</v>
      </c>
      <c r="B286" s="454" t="str">
        <f t="shared" si="89"/>
        <v>20</v>
      </c>
      <c r="C286" s="454" t="str">
        <f t="array" ref="C286">_xlfn.IFS(_xlfn.NUMBERVALUE(B286)&lt;=13,"Q1",AND(_xlfn.NUMBERVALUE(B286)&gt;13,_xlfn.NUMBERVALUE(B286)&lt;=26),"Q2", AND(_xlfn.NUMBERVALUE(B286)&gt;26,_xlfn.NUMBERVALUE(B286)&lt;=39),"Q3",_xlfn.NUMBERVALUE(B286)&gt;39,"Q4")</f>
        <v>Q2</v>
      </c>
      <c r="D286" s="448">
        <f t="shared" si="100"/>
        <v>45822</v>
      </c>
      <c r="E286" s="448">
        <f t="shared" si="90"/>
        <v>45828</v>
      </c>
      <c r="F286" s="79">
        <v>202520</v>
      </c>
      <c r="G286" s="180">
        <f t="shared" si="91"/>
        <v>0</v>
      </c>
      <c r="H286" s="429"/>
      <c r="I286" s="429"/>
      <c r="J286" s="429"/>
      <c r="K286" s="180">
        <f t="shared" si="101"/>
        <v>0</v>
      </c>
      <c r="L286" s="429"/>
      <c r="M286" s="429"/>
      <c r="N286" s="532"/>
      <c r="O286" s="186" t="str">
        <f t="shared" si="92"/>
        <v/>
      </c>
      <c r="P286" s="468" t="str">
        <f t="shared" si="93"/>
        <v/>
      </c>
      <c r="Q286" s="468" t="str">
        <f t="shared" si="94"/>
        <v/>
      </c>
      <c r="R286" s="186" t="str">
        <f t="shared" si="102"/>
        <v/>
      </c>
      <c r="S286" s="468" t="str">
        <f t="shared" si="103"/>
        <v/>
      </c>
      <c r="T286" s="468" t="str">
        <f t="shared" si="104"/>
        <v/>
      </c>
      <c r="U286" s="186" t="str">
        <f t="shared" si="95"/>
        <v/>
      </c>
      <c r="V286" s="468" t="str">
        <f t="shared" si="96"/>
        <v/>
      </c>
      <c r="W286" s="468" t="str">
        <f t="shared" si="97"/>
        <v/>
      </c>
      <c r="X286" s="468" t="str">
        <f t="shared" si="98"/>
        <v/>
      </c>
      <c r="Y286" s="283" t="str">
        <f t="shared" si="99"/>
        <v/>
      </c>
    </row>
    <row r="287" spans="1:25" ht="15.6" customHeight="1">
      <c r="A287" s="175">
        <f t="shared" si="88"/>
        <v>2026</v>
      </c>
      <c r="B287" s="454" t="str">
        <f t="shared" si="89"/>
        <v>21</v>
      </c>
      <c r="C287" s="454" t="str">
        <f t="array" ref="C287">_xlfn.IFS(_xlfn.NUMBERVALUE(B287)&lt;=13,"Q1",AND(_xlfn.NUMBERVALUE(B287)&gt;13,_xlfn.NUMBERVALUE(B287)&lt;=26),"Q2", AND(_xlfn.NUMBERVALUE(B287)&gt;26,_xlfn.NUMBERVALUE(B287)&lt;=39),"Q3",_xlfn.NUMBERVALUE(B287)&gt;39,"Q4")</f>
        <v>Q2</v>
      </c>
      <c r="D287" s="448">
        <f t="shared" si="100"/>
        <v>45829</v>
      </c>
      <c r="E287" s="448">
        <f t="shared" si="90"/>
        <v>45835</v>
      </c>
      <c r="F287" s="79">
        <v>202521</v>
      </c>
      <c r="G287" s="180">
        <f t="shared" si="91"/>
        <v>0</v>
      </c>
      <c r="H287" s="429"/>
      <c r="I287" s="429"/>
      <c r="J287" s="429"/>
      <c r="K287" s="180">
        <f t="shared" si="101"/>
        <v>0</v>
      </c>
      <c r="L287" s="429"/>
      <c r="M287" s="429"/>
      <c r="N287" s="532"/>
      <c r="O287" s="186" t="str">
        <f t="shared" si="92"/>
        <v/>
      </c>
      <c r="P287" s="468" t="str">
        <f t="shared" si="93"/>
        <v/>
      </c>
      <c r="Q287" s="468" t="str">
        <f t="shared" si="94"/>
        <v/>
      </c>
      <c r="R287" s="186" t="str">
        <f t="shared" si="102"/>
        <v/>
      </c>
      <c r="S287" s="468" t="str">
        <f t="shared" si="103"/>
        <v/>
      </c>
      <c r="T287" s="468" t="str">
        <f t="shared" si="104"/>
        <v/>
      </c>
      <c r="U287" s="186" t="str">
        <f t="shared" si="95"/>
        <v/>
      </c>
      <c r="V287" s="468" t="str">
        <f t="shared" si="96"/>
        <v/>
      </c>
      <c r="W287" s="468" t="str">
        <f t="shared" si="97"/>
        <v/>
      </c>
      <c r="X287" s="468" t="str">
        <f t="shared" si="98"/>
        <v/>
      </c>
      <c r="Y287" s="283" t="str">
        <f t="shared" si="99"/>
        <v/>
      </c>
    </row>
    <row r="288" spans="1:25" ht="15.6" customHeight="1">
      <c r="A288" s="175">
        <f t="shared" si="88"/>
        <v>2026</v>
      </c>
      <c r="B288" s="454" t="str">
        <f t="shared" si="89"/>
        <v>22</v>
      </c>
      <c r="C288" s="454" t="str">
        <f t="array" ref="C288">_xlfn.IFS(_xlfn.NUMBERVALUE(B288)&lt;=13,"Q1",AND(_xlfn.NUMBERVALUE(B288)&gt;13,_xlfn.NUMBERVALUE(B288)&lt;=26),"Q2", AND(_xlfn.NUMBERVALUE(B288)&gt;26,_xlfn.NUMBERVALUE(B288)&lt;=39),"Q3",_xlfn.NUMBERVALUE(B288)&gt;39,"Q4")</f>
        <v>Q2</v>
      </c>
      <c r="D288" s="448">
        <f t="shared" si="100"/>
        <v>45836</v>
      </c>
      <c r="E288" s="448">
        <f t="shared" si="90"/>
        <v>45842</v>
      </c>
      <c r="F288" s="79">
        <v>202522</v>
      </c>
      <c r="G288" s="180">
        <f t="shared" si="91"/>
        <v>0</v>
      </c>
      <c r="H288" s="429"/>
      <c r="I288" s="429"/>
      <c r="J288" s="429"/>
      <c r="K288" s="180">
        <f t="shared" si="101"/>
        <v>0</v>
      </c>
      <c r="L288" s="429"/>
      <c r="M288" s="429"/>
      <c r="N288" s="532"/>
      <c r="O288" s="186" t="str">
        <f t="shared" si="92"/>
        <v/>
      </c>
      <c r="P288" s="468" t="str">
        <f t="shared" si="93"/>
        <v/>
      </c>
      <c r="Q288" s="468" t="str">
        <f t="shared" si="94"/>
        <v/>
      </c>
      <c r="R288" s="186" t="str">
        <f t="shared" si="102"/>
        <v/>
      </c>
      <c r="S288" s="468" t="str">
        <f t="shared" si="103"/>
        <v/>
      </c>
      <c r="T288" s="468" t="str">
        <f t="shared" si="104"/>
        <v/>
      </c>
      <c r="U288" s="186" t="str">
        <f t="shared" si="95"/>
        <v/>
      </c>
      <c r="V288" s="468" t="str">
        <f t="shared" si="96"/>
        <v/>
      </c>
      <c r="W288" s="468" t="str">
        <f t="shared" si="97"/>
        <v/>
      </c>
      <c r="X288" s="468" t="str">
        <f t="shared" si="98"/>
        <v/>
      </c>
      <c r="Y288" s="283" t="str">
        <f t="shared" si="99"/>
        <v/>
      </c>
    </row>
    <row r="289" spans="1:25" ht="15.6" customHeight="1">
      <c r="A289" s="175">
        <f t="shared" si="88"/>
        <v>2026</v>
      </c>
      <c r="B289" s="454" t="str">
        <f t="shared" si="89"/>
        <v>23</v>
      </c>
      <c r="C289" s="454" t="str">
        <f t="array" ref="C289">_xlfn.IFS(_xlfn.NUMBERVALUE(B289)&lt;=13,"Q1",AND(_xlfn.NUMBERVALUE(B289)&gt;13,_xlfn.NUMBERVALUE(B289)&lt;=26),"Q2", AND(_xlfn.NUMBERVALUE(B289)&gt;26,_xlfn.NUMBERVALUE(B289)&lt;=39),"Q3",_xlfn.NUMBERVALUE(B289)&gt;39,"Q4")</f>
        <v>Q2</v>
      </c>
      <c r="D289" s="448">
        <f t="shared" si="100"/>
        <v>45843</v>
      </c>
      <c r="E289" s="448">
        <f t="shared" si="90"/>
        <v>45849</v>
      </c>
      <c r="F289" s="79">
        <v>202523</v>
      </c>
      <c r="G289" s="180">
        <f t="shared" si="91"/>
        <v>0</v>
      </c>
      <c r="H289" s="429"/>
      <c r="I289" s="429"/>
      <c r="J289" s="429"/>
      <c r="K289" s="180">
        <f t="shared" si="101"/>
        <v>0</v>
      </c>
      <c r="L289" s="429"/>
      <c r="M289" s="429"/>
      <c r="N289" s="532"/>
      <c r="O289" s="186" t="str">
        <f t="shared" si="92"/>
        <v/>
      </c>
      <c r="P289" s="468" t="str">
        <f t="shared" si="93"/>
        <v/>
      </c>
      <c r="Q289" s="468" t="str">
        <f t="shared" si="94"/>
        <v/>
      </c>
      <c r="R289" s="186" t="str">
        <f t="shared" si="102"/>
        <v/>
      </c>
      <c r="S289" s="468" t="str">
        <f t="shared" si="103"/>
        <v/>
      </c>
      <c r="T289" s="468" t="str">
        <f t="shared" si="104"/>
        <v/>
      </c>
      <c r="U289" s="186" t="str">
        <f t="shared" si="95"/>
        <v/>
      </c>
      <c r="V289" s="468" t="str">
        <f t="shared" si="96"/>
        <v/>
      </c>
      <c r="W289" s="468" t="str">
        <f t="shared" si="97"/>
        <v/>
      </c>
      <c r="X289" s="468" t="str">
        <f t="shared" si="98"/>
        <v/>
      </c>
      <c r="Y289" s="283" t="str">
        <f t="shared" si="99"/>
        <v/>
      </c>
    </row>
    <row r="290" spans="1:25" ht="15.6" customHeight="1">
      <c r="A290" s="175">
        <f t="shared" si="88"/>
        <v>2026</v>
      </c>
      <c r="B290" s="454" t="str">
        <f t="shared" si="89"/>
        <v>24</v>
      </c>
      <c r="C290" s="454" t="str">
        <f t="array" ref="C290">_xlfn.IFS(_xlfn.NUMBERVALUE(B290)&lt;=13,"Q1",AND(_xlfn.NUMBERVALUE(B290)&gt;13,_xlfn.NUMBERVALUE(B290)&lt;=26),"Q2", AND(_xlfn.NUMBERVALUE(B290)&gt;26,_xlfn.NUMBERVALUE(B290)&lt;=39),"Q3",_xlfn.NUMBERVALUE(B290)&gt;39,"Q4")</f>
        <v>Q2</v>
      </c>
      <c r="D290" s="448">
        <f t="shared" si="100"/>
        <v>45850</v>
      </c>
      <c r="E290" s="448">
        <f t="shared" si="90"/>
        <v>45856</v>
      </c>
      <c r="F290" s="79">
        <v>202524</v>
      </c>
      <c r="G290" s="180">
        <f t="shared" si="91"/>
        <v>0</v>
      </c>
      <c r="H290" s="429"/>
      <c r="I290" s="429"/>
      <c r="J290" s="429"/>
      <c r="K290" s="180">
        <f t="shared" si="101"/>
        <v>0</v>
      </c>
      <c r="L290" s="429"/>
      <c r="M290" s="429"/>
      <c r="N290" s="532"/>
      <c r="O290" s="186" t="str">
        <f t="shared" si="92"/>
        <v/>
      </c>
      <c r="P290" s="468" t="str">
        <f t="shared" si="93"/>
        <v/>
      </c>
      <c r="Q290" s="468" t="str">
        <f t="shared" si="94"/>
        <v/>
      </c>
      <c r="R290" s="186" t="str">
        <f t="shared" si="102"/>
        <v/>
      </c>
      <c r="S290" s="468" t="str">
        <f t="shared" si="103"/>
        <v/>
      </c>
      <c r="T290" s="468" t="str">
        <f t="shared" si="104"/>
        <v/>
      </c>
      <c r="U290" s="186" t="str">
        <f t="shared" si="95"/>
        <v/>
      </c>
      <c r="V290" s="468" t="str">
        <f t="shared" si="96"/>
        <v/>
      </c>
      <c r="W290" s="468" t="str">
        <f t="shared" si="97"/>
        <v/>
      </c>
      <c r="X290" s="468" t="str">
        <f t="shared" si="98"/>
        <v/>
      </c>
      <c r="Y290" s="283" t="str">
        <f t="shared" si="99"/>
        <v/>
      </c>
    </row>
    <row r="291" spans="1:25" ht="15.6" customHeight="1">
      <c r="A291" s="175">
        <f t="shared" si="88"/>
        <v>2026</v>
      </c>
      <c r="B291" s="454" t="str">
        <f t="shared" si="89"/>
        <v>25</v>
      </c>
      <c r="C291" s="454" t="str">
        <f t="array" ref="C291">_xlfn.IFS(_xlfn.NUMBERVALUE(B291)&lt;=13,"Q1",AND(_xlfn.NUMBERVALUE(B291)&gt;13,_xlfn.NUMBERVALUE(B291)&lt;=26),"Q2", AND(_xlfn.NUMBERVALUE(B291)&gt;26,_xlfn.NUMBERVALUE(B291)&lt;=39),"Q3",_xlfn.NUMBERVALUE(B291)&gt;39,"Q4")</f>
        <v>Q2</v>
      </c>
      <c r="D291" s="448">
        <f t="shared" si="100"/>
        <v>45857</v>
      </c>
      <c r="E291" s="448">
        <f t="shared" si="90"/>
        <v>45863</v>
      </c>
      <c r="F291" s="79">
        <v>202525</v>
      </c>
      <c r="G291" s="180">
        <f t="shared" si="91"/>
        <v>0</v>
      </c>
      <c r="H291" s="429"/>
      <c r="I291" s="429"/>
      <c r="J291" s="429"/>
      <c r="K291" s="180">
        <f t="shared" si="101"/>
        <v>0</v>
      </c>
      <c r="L291" s="429"/>
      <c r="M291" s="429"/>
      <c r="N291" s="532"/>
      <c r="O291" s="186" t="str">
        <f t="shared" si="92"/>
        <v/>
      </c>
      <c r="P291" s="468" t="str">
        <f t="shared" si="93"/>
        <v/>
      </c>
      <c r="Q291" s="468" t="str">
        <f t="shared" si="94"/>
        <v/>
      </c>
      <c r="R291" s="186" t="str">
        <f t="shared" si="102"/>
        <v/>
      </c>
      <c r="S291" s="468" t="str">
        <f t="shared" si="103"/>
        <v/>
      </c>
      <c r="T291" s="468" t="str">
        <f t="shared" si="104"/>
        <v/>
      </c>
      <c r="U291" s="186" t="str">
        <f t="shared" si="95"/>
        <v/>
      </c>
      <c r="V291" s="468" t="str">
        <f t="shared" si="96"/>
        <v/>
      </c>
      <c r="W291" s="468" t="str">
        <f t="shared" si="97"/>
        <v/>
      </c>
      <c r="X291" s="468" t="str">
        <f t="shared" si="98"/>
        <v/>
      </c>
      <c r="Y291" s="283" t="str">
        <f t="shared" si="99"/>
        <v/>
      </c>
    </row>
    <row r="292" spans="1:25" ht="15.6" customHeight="1">
      <c r="A292" s="175">
        <f t="shared" si="88"/>
        <v>2026</v>
      </c>
      <c r="B292" s="454" t="str">
        <f t="shared" si="89"/>
        <v>26</v>
      </c>
      <c r="C292" s="454" t="str">
        <f t="array" ref="C292">_xlfn.IFS(_xlfn.NUMBERVALUE(B292)&lt;=13,"Q1",AND(_xlfn.NUMBERVALUE(B292)&gt;13,_xlfn.NUMBERVALUE(B292)&lt;=26),"Q2", AND(_xlfn.NUMBERVALUE(B292)&gt;26,_xlfn.NUMBERVALUE(B292)&lt;=39),"Q3",_xlfn.NUMBERVALUE(B292)&gt;39,"Q4")</f>
        <v>Q2</v>
      </c>
      <c r="D292" s="448">
        <f t="shared" si="100"/>
        <v>45864</v>
      </c>
      <c r="E292" s="448">
        <f t="shared" si="90"/>
        <v>45870</v>
      </c>
      <c r="F292" s="79">
        <v>202526</v>
      </c>
      <c r="G292" s="180">
        <f t="shared" si="91"/>
        <v>0</v>
      </c>
      <c r="H292" s="429"/>
      <c r="I292" s="429"/>
      <c r="J292" s="429"/>
      <c r="K292" s="180">
        <f t="shared" si="101"/>
        <v>0</v>
      </c>
      <c r="L292" s="429"/>
      <c r="M292" s="429"/>
      <c r="N292" s="532"/>
      <c r="O292" s="186" t="str">
        <f t="shared" si="92"/>
        <v/>
      </c>
      <c r="P292" s="468" t="str">
        <f t="shared" si="93"/>
        <v/>
      </c>
      <c r="Q292" s="468" t="str">
        <f t="shared" si="94"/>
        <v/>
      </c>
      <c r="R292" s="186" t="str">
        <f t="shared" si="102"/>
        <v/>
      </c>
      <c r="S292" s="468" t="str">
        <f t="shared" si="103"/>
        <v/>
      </c>
      <c r="T292" s="468" t="str">
        <f t="shared" si="104"/>
        <v/>
      </c>
      <c r="U292" s="186" t="str">
        <f t="shared" si="95"/>
        <v/>
      </c>
      <c r="V292" s="468" t="str">
        <f t="shared" si="96"/>
        <v/>
      </c>
      <c r="W292" s="468" t="str">
        <f t="shared" si="97"/>
        <v/>
      </c>
      <c r="X292" s="468" t="str">
        <f t="shared" si="98"/>
        <v/>
      </c>
      <c r="Y292" s="283" t="str">
        <f t="shared" si="99"/>
        <v/>
      </c>
    </row>
    <row r="293" spans="1:25" ht="15.6" customHeight="1">
      <c r="A293" s="175">
        <f t="shared" si="88"/>
        <v>2026</v>
      </c>
      <c r="B293" s="454" t="str">
        <f t="shared" si="89"/>
        <v>27</v>
      </c>
      <c r="C293" s="454" t="str">
        <f t="array" ref="C293">_xlfn.IFS(_xlfn.NUMBERVALUE(B293)&lt;=13,"Q1",AND(_xlfn.NUMBERVALUE(B293)&gt;13,_xlfn.NUMBERVALUE(B293)&lt;=26),"Q2", AND(_xlfn.NUMBERVALUE(B293)&gt;26,_xlfn.NUMBERVALUE(B293)&lt;=39),"Q3",_xlfn.NUMBERVALUE(B293)&gt;39,"Q4")</f>
        <v>Q3</v>
      </c>
      <c r="D293" s="448">
        <f t="shared" si="100"/>
        <v>45871</v>
      </c>
      <c r="E293" s="448">
        <f t="shared" si="90"/>
        <v>45877</v>
      </c>
      <c r="F293" s="79">
        <v>202527</v>
      </c>
      <c r="G293" s="180">
        <f t="shared" si="91"/>
        <v>0</v>
      </c>
      <c r="H293" s="429"/>
      <c r="I293" s="429"/>
      <c r="J293" s="429"/>
      <c r="K293" s="180">
        <f t="shared" si="101"/>
        <v>0</v>
      </c>
      <c r="L293" s="429"/>
      <c r="M293" s="429"/>
      <c r="N293" s="532"/>
      <c r="O293" s="186" t="str">
        <f t="shared" si="92"/>
        <v/>
      </c>
      <c r="P293" s="468" t="str">
        <f t="shared" si="93"/>
        <v/>
      </c>
      <c r="Q293" s="468" t="str">
        <f t="shared" si="94"/>
        <v/>
      </c>
      <c r="R293" s="186" t="str">
        <f t="shared" si="102"/>
        <v/>
      </c>
      <c r="S293" s="468" t="str">
        <f t="shared" si="103"/>
        <v/>
      </c>
      <c r="T293" s="468" t="str">
        <f t="shared" si="104"/>
        <v/>
      </c>
      <c r="U293" s="186" t="str">
        <f t="shared" si="95"/>
        <v/>
      </c>
      <c r="V293" s="468" t="str">
        <f t="shared" si="96"/>
        <v/>
      </c>
      <c r="W293" s="468" t="str">
        <f t="shared" si="97"/>
        <v/>
      </c>
      <c r="X293" s="468" t="str">
        <f t="shared" si="98"/>
        <v/>
      </c>
      <c r="Y293" s="283" t="str">
        <f t="shared" si="99"/>
        <v/>
      </c>
    </row>
    <row r="294" spans="1:25" ht="15.6" customHeight="1">
      <c r="A294" s="175">
        <f t="shared" si="88"/>
        <v>2026</v>
      </c>
      <c r="B294" s="454" t="str">
        <f t="shared" si="89"/>
        <v>28</v>
      </c>
      <c r="C294" s="454" t="str">
        <f t="array" ref="C294">_xlfn.IFS(_xlfn.NUMBERVALUE(B294)&lt;=13,"Q1",AND(_xlfn.NUMBERVALUE(B294)&gt;13,_xlfn.NUMBERVALUE(B294)&lt;=26),"Q2", AND(_xlfn.NUMBERVALUE(B294)&gt;26,_xlfn.NUMBERVALUE(B294)&lt;=39),"Q3",_xlfn.NUMBERVALUE(B294)&gt;39,"Q4")</f>
        <v>Q3</v>
      </c>
      <c r="D294" s="448">
        <f t="shared" si="100"/>
        <v>45878</v>
      </c>
      <c r="E294" s="448">
        <f t="shared" si="90"/>
        <v>45884</v>
      </c>
      <c r="F294" s="79">
        <v>202528</v>
      </c>
      <c r="G294" s="180">
        <f t="shared" si="91"/>
        <v>0</v>
      </c>
      <c r="H294" s="429"/>
      <c r="I294" s="429"/>
      <c r="J294" s="429"/>
      <c r="K294" s="180">
        <f t="shared" si="101"/>
        <v>0</v>
      </c>
      <c r="L294" s="429"/>
      <c r="M294" s="429"/>
      <c r="N294" s="532"/>
      <c r="O294" s="186" t="str">
        <f t="shared" si="92"/>
        <v/>
      </c>
      <c r="P294" s="468" t="str">
        <f t="shared" si="93"/>
        <v/>
      </c>
      <c r="Q294" s="468" t="str">
        <f t="shared" si="94"/>
        <v/>
      </c>
      <c r="R294" s="186" t="str">
        <f t="shared" si="102"/>
        <v/>
      </c>
      <c r="S294" s="468" t="str">
        <f t="shared" si="103"/>
        <v/>
      </c>
      <c r="T294" s="468" t="str">
        <f t="shared" si="104"/>
        <v/>
      </c>
      <c r="U294" s="186" t="str">
        <f t="shared" si="95"/>
        <v/>
      </c>
      <c r="V294" s="468" t="str">
        <f t="shared" si="96"/>
        <v/>
      </c>
      <c r="W294" s="468" t="str">
        <f t="shared" si="97"/>
        <v/>
      </c>
      <c r="X294" s="468" t="str">
        <f t="shared" si="98"/>
        <v/>
      </c>
      <c r="Y294" s="283" t="str">
        <f t="shared" si="99"/>
        <v/>
      </c>
    </row>
    <row r="295" spans="1:25" ht="15.6" customHeight="1">
      <c r="A295" s="175">
        <f t="shared" si="88"/>
        <v>2026</v>
      </c>
      <c r="B295" s="454" t="str">
        <f t="shared" si="89"/>
        <v>29</v>
      </c>
      <c r="C295" s="454" t="str">
        <f t="array" ref="C295">_xlfn.IFS(_xlfn.NUMBERVALUE(B295)&lt;=13,"Q1",AND(_xlfn.NUMBERVALUE(B295)&gt;13,_xlfn.NUMBERVALUE(B295)&lt;=26),"Q2", AND(_xlfn.NUMBERVALUE(B295)&gt;26,_xlfn.NUMBERVALUE(B295)&lt;=39),"Q3",_xlfn.NUMBERVALUE(B295)&gt;39,"Q4")</f>
        <v>Q3</v>
      </c>
      <c r="D295" s="448">
        <f t="shared" si="100"/>
        <v>45885</v>
      </c>
      <c r="E295" s="448">
        <f t="shared" si="90"/>
        <v>45891</v>
      </c>
      <c r="F295" s="79">
        <v>202529</v>
      </c>
      <c r="G295" s="180">
        <f t="shared" si="91"/>
        <v>0</v>
      </c>
      <c r="H295" s="429"/>
      <c r="I295" s="429"/>
      <c r="J295" s="429"/>
      <c r="K295" s="180">
        <f t="shared" si="101"/>
        <v>0</v>
      </c>
      <c r="L295" s="429"/>
      <c r="M295" s="429"/>
      <c r="N295" s="532"/>
      <c r="O295" s="186" t="str">
        <f t="shared" si="92"/>
        <v/>
      </c>
      <c r="P295" s="468" t="str">
        <f t="shared" si="93"/>
        <v/>
      </c>
      <c r="Q295" s="468" t="str">
        <f t="shared" si="94"/>
        <v/>
      </c>
      <c r="R295" s="186" t="str">
        <f t="shared" si="102"/>
        <v/>
      </c>
      <c r="S295" s="468" t="str">
        <f t="shared" si="103"/>
        <v/>
      </c>
      <c r="T295" s="468" t="str">
        <f t="shared" si="104"/>
        <v/>
      </c>
      <c r="U295" s="186" t="str">
        <f t="shared" si="95"/>
        <v/>
      </c>
      <c r="V295" s="468" t="str">
        <f t="shared" si="96"/>
        <v/>
      </c>
      <c r="W295" s="468" t="str">
        <f t="shared" si="97"/>
        <v/>
      </c>
      <c r="X295" s="468" t="str">
        <f t="shared" si="98"/>
        <v/>
      </c>
      <c r="Y295" s="283" t="str">
        <f t="shared" si="99"/>
        <v/>
      </c>
    </row>
    <row r="296" spans="1:25" ht="15.6" customHeight="1">
      <c r="A296" s="175">
        <f t="shared" si="88"/>
        <v>2026</v>
      </c>
      <c r="B296" s="454" t="str">
        <f t="shared" si="89"/>
        <v>30</v>
      </c>
      <c r="C296" s="454" t="str">
        <f t="array" ref="C296">_xlfn.IFS(_xlfn.NUMBERVALUE(B296)&lt;=13,"Q1",AND(_xlfn.NUMBERVALUE(B296)&gt;13,_xlfn.NUMBERVALUE(B296)&lt;=26),"Q2", AND(_xlfn.NUMBERVALUE(B296)&gt;26,_xlfn.NUMBERVALUE(B296)&lt;=39),"Q3",_xlfn.NUMBERVALUE(B296)&gt;39,"Q4")</f>
        <v>Q3</v>
      </c>
      <c r="D296" s="448">
        <f t="shared" si="100"/>
        <v>45892</v>
      </c>
      <c r="E296" s="448">
        <f t="shared" si="90"/>
        <v>45898</v>
      </c>
      <c r="F296" s="79">
        <v>202530</v>
      </c>
      <c r="G296" s="180">
        <f t="shared" si="91"/>
        <v>0</v>
      </c>
      <c r="H296" s="429"/>
      <c r="I296" s="429"/>
      <c r="J296" s="429"/>
      <c r="K296" s="180">
        <f t="shared" si="101"/>
        <v>0</v>
      </c>
      <c r="L296" s="429"/>
      <c r="M296" s="429"/>
      <c r="N296" s="532"/>
      <c r="O296" s="186" t="str">
        <f t="shared" si="92"/>
        <v/>
      </c>
      <c r="P296" s="468" t="str">
        <f t="shared" si="93"/>
        <v/>
      </c>
      <c r="Q296" s="468" t="str">
        <f t="shared" si="94"/>
        <v/>
      </c>
      <c r="R296" s="186" t="str">
        <f t="shared" si="102"/>
        <v/>
      </c>
      <c r="S296" s="468" t="str">
        <f t="shared" si="103"/>
        <v/>
      </c>
      <c r="T296" s="468" t="str">
        <f t="shared" si="104"/>
        <v/>
      </c>
      <c r="U296" s="186" t="str">
        <f t="shared" si="95"/>
        <v/>
      </c>
      <c r="V296" s="468" t="str">
        <f t="shared" si="96"/>
        <v/>
      </c>
      <c r="W296" s="468" t="str">
        <f t="shared" si="97"/>
        <v/>
      </c>
      <c r="X296" s="468" t="str">
        <f t="shared" si="98"/>
        <v/>
      </c>
      <c r="Y296" s="283" t="str">
        <f t="shared" si="99"/>
        <v/>
      </c>
    </row>
    <row r="297" spans="1:25" ht="15.6" customHeight="1">
      <c r="A297" s="175">
        <f t="shared" si="88"/>
        <v>2026</v>
      </c>
      <c r="B297" s="454" t="str">
        <f t="shared" si="89"/>
        <v>31</v>
      </c>
      <c r="C297" s="454" t="str">
        <f t="array" ref="C297">_xlfn.IFS(_xlfn.NUMBERVALUE(B297)&lt;=13,"Q1",AND(_xlfn.NUMBERVALUE(B297)&gt;13,_xlfn.NUMBERVALUE(B297)&lt;=26),"Q2", AND(_xlfn.NUMBERVALUE(B297)&gt;26,_xlfn.NUMBERVALUE(B297)&lt;=39),"Q3",_xlfn.NUMBERVALUE(B297)&gt;39,"Q4")</f>
        <v>Q3</v>
      </c>
      <c r="D297" s="448">
        <f t="shared" si="100"/>
        <v>45899</v>
      </c>
      <c r="E297" s="448">
        <f t="shared" si="90"/>
        <v>45905</v>
      </c>
      <c r="F297" s="79">
        <v>202531</v>
      </c>
      <c r="G297" s="180">
        <f t="shared" si="91"/>
        <v>0</v>
      </c>
      <c r="H297" s="429"/>
      <c r="I297" s="429"/>
      <c r="J297" s="429"/>
      <c r="K297" s="180">
        <f t="shared" si="101"/>
        <v>0</v>
      </c>
      <c r="L297" s="429"/>
      <c r="M297" s="429"/>
      <c r="N297" s="532"/>
      <c r="O297" s="186" t="str">
        <f t="shared" si="92"/>
        <v/>
      </c>
      <c r="P297" s="468" t="str">
        <f t="shared" si="93"/>
        <v/>
      </c>
      <c r="Q297" s="468" t="str">
        <f t="shared" si="94"/>
        <v/>
      </c>
      <c r="R297" s="186" t="str">
        <f t="shared" si="102"/>
        <v/>
      </c>
      <c r="S297" s="468" t="str">
        <f t="shared" si="103"/>
        <v/>
      </c>
      <c r="T297" s="468" t="str">
        <f t="shared" si="104"/>
        <v/>
      </c>
      <c r="U297" s="186" t="str">
        <f t="shared" si="95"/>
        <v/>
      </c>
      <c r="V297" s="468" t="str">
        <f t="shared" si="96"/>
        <v/>
      </c>
      <c r="W297" s="468" t="str">
        <f t="shared" si="97"/>
        <v/>
      </c>
      <c r="X297" s="468" t="str">
        <f t="shared" si="98"/>
        <v/>
      </c>
      <c r="Y297" s="283" t="str">
        <f t="shared" si="99"/>
        <v/>
      </c>
    </row>
    <row r="298" spans="1:25" ht="15.6" customHeight="1">
      <c r="A298" s="175">
        <f t="shared" si="88"/>
        <v>2026</v>
      </c>
      <c r="B298" s="454" t="str">
        <f t="shared" si="89"/>
        <v>32</v>
      </c>
      <c r="C298" s="454" t="str">
        <f t="array" ref="C298">_xlfn.IFS(_xlfn.NUMBERVALUE(B298)&lt;=13,"Q1",AND(_xlfn.NUMBERVALUE(B298)&gt;13,_xlfn.NUMBERVALUE(B298)&lt;=26),"Q2", AND(_xlfn.NUMBERVALUE(B298)&gt;26,_xlfn.NUMBERVALUE(B298)&lt;=39),"Q3",_xlfn.NUMBERVALUE(B298)&gt;39,"Q4")</f>
        <v>Q3</v>
      </c>
      <c r="D298" s="448">
        <f t="shared" si="100"/>
        <v>45906</v>
      </c>
      <c r="E298" s="448">
        <f t="shared" si="90"/>
        <v>45912</v>
      </c>
      <c r="F298" s="79">
        <v>202532</v>
      </c>
      <c r="G298" s="180">
        <f t="shared" si="91"/>
        <v>0</v>
      </c>
      <c r="H298" s="429"/>
      <c r="I298" s="429"/>
      <c r="J298" s="429"/>
      <c r="K298" s="180">
        <f t="shared" si="101"/>
        <v>0</v>
      </c>
      <c r="L298" s="429"/>
      <c r="M298" s="429"/>
      <c r="N298" s="532"/>
      <c r="O298" s="186" t="str">
        <f t="shared" si="92"/>
        <v/>
      </c>
      <c r="P298" s="468" t="str">
        <f t="shared" si="93"/>
        <v/>
      </c>
      <c r="Q298" s="468" t="str">
        <f t="shared" si="94"/>
        <v/>
      </c>
      <c r="R298" s="186" t="str">
        <f t="shared" si="102"/>
        <v/>
      </c>
      <c r="S298" s="468" t="str">
        <f t="shared" si="103"/>
        <v/>
      </c>
      <c r="T298" s="468" t="str">
        <f t="shared" si="104"/>
        <v/>
      </c>
      <c r="U298" s="186" t="str">
        <f t="shared" si="95"/>
        <v/>
      </c>
      <c r="V298" s="468" t="str">
        <f t="shared" si="96"/>
        <v/>
      </c>
      <c r="W298" s="468" t="str">
        <f t="shared" si="97"/>
        <v/>
      </c>
      <c r="X298" s="468" t="str">
        <f t="shared" si="98"/>
        <v/>
      </c>
      <c r="Y298" s="283" t="str">
        <f t="shared" si="99"/>
        <v/>
      </c>
    </row>
    <row r="299" spans="1:25" ht="15.6" customHeight="1">
      <c r="A299" s="175">
        <f t="shared" si="88"/>
        <v>2026</v>
      </c>
      <c r="B299" s="454" t="str">
        <f t="shared" si="89"/>
        <v>33</v>
      </c>
      <c r="C299" s="454" t="str">
        <f t="array" ref="C299">_xlfn.IFS(_xlfn.NUMBERVALUE(B299)&lt;=13,"Q1",AND(_xlfn.NUMBERVALUE(B299)&gt;13,_xlfn.NUMBERVALUE(B299)&lt;=26),"Q2", AND(_xlfn.NUMBERVALUE(B299)&gt;26,_xlfn.NUMBERVALUE(B299)&lt;=39),"Q3",_xlfn.NUMBERVALUE(B299)&gt;39,"Q4")</f>
        <v>Q3</v>
      </c>
      <c r="D299" s="448">
        <f t="shared" si="100"/>
        <v>45913</v>
      </c>
      <c r="E299" s="448">
        <f t="shared" si="90"/>
        <v>45919</v>
      </c>
      <c r="F299" s="79">
        <v>202533</v>
      </c>
      <c r="G299" s="180">
        <f t="shared" si="91"/>
        <v>0</v>
      </c>
      <c r="H299" s="429"/>
      <c r="I299" s="429"/>
      <c r="J299" s="429"/>
      <c r="K299" s="180">
        <f t="shared" si="101"/>
        <v>0</v>
      </c>
      <c r="L299" s="429"/>
      <c r="M299" s="429"/>
      <c r="N299" s="532"/>
      <c r="O299" s="186" t="str">
        <f t="shared" si="92"/>
        <v/>
      </c>
      <c r="P299" s="468" t="str">
        <f t="shared" si="93"/>
        <v/>
      </c>
      <c r="Q299" s="468" t="str">
        <f t="shared" si="94"/>
        <v/>
      </c>
      <c r="R299" s="186" t="str">
        <f t="shared" si="102"/>
        <v/>
      </c>
      <c r="S299" s="468" t="str">
        <f t="shared" si="103"/>
        <v/>
      </c>
      <c r="T299" s="468" t="str">
        <f t="shared" si="104"/>
        <v/>
      </c>
      <c r="U299" s="186" t="str">
        <f t="shared" si="95"/>
        <v/>
      </c>
      <c r="V299" s="468" t="str">
        <f t="shared" si="96"/>
        <v/>
      </c>
      <c r="W299" s="468" t="str">
        <f t="shared" si="97"/>
        <v/>
      </c>
      <c r="X299" s="468" t="str">
        <f t="shared" si="98"/>
        <v/>
      </c>
      <c r="Y299" s="283" t="str">
        <f t="shared" si="99"/>
        <v/>
      </c>
    </row>
    <row r="300" spans="1:25" ht="15.6" customHeight="1">
      <c r="A300" s="175">
        <f t="shared" si="88"/>
        <v>2026</v>
      </c>
      <c r="B300" s="454" t="str">
        <f t="shared" si="89"/>
        <v>34</v>
      </c>
      <c r="C300" s="454" t="str">
        <f t="array" ref="C300">_xlfn.IFS(_xlfn.NUMBERVALUE(B300)&lt;=13,"Q1",AND(_xlfn.NUMBERVALUE(B300)&gt;13,_xlfn.NUMBERVALUE(B300)&lt;=26),"Q2", AND(_xlfn.NUMBERVALUE(B300)&gt;26,_xlfn.NUMBERVALUE(B300)&lt;=39),"Q3",_xlfn.NUMBERVALUE(B300)&gt;39,"Q4")</f>
        <v>Q3</v>
      </c>
      <c r="D300" s="448">
        <f t="shared" si="100"/>
        <v>45920</v>
      </c>
      <c r="E300" s="448">
        <f t="shared" si="90"/>
        <v>45926</v>
      </c>
      <c r="F300" s="79">
        <v>202534</v>
      </c>
      <c r="G300" s="180">
        <f t="shared" si="91"/>
        <v>0</v>
      </c>
      <c r="H300" s="429"/>
      <c r="I300" s="429"/>
      <c r="J300" s="429"/>
      <c r="K300" s="180">
        <f t="shared" si="101"/>
        <v>0</v>
      </c>
      <c r="L300" s="429"/>
      <c r="M300" s="429"/>
      <c r="N300" s="532"/>
      <c r="O300" s="186" t="str">
        <f t="shared" si="92"/>
        <v/>
      </c>
      <c r="P300" s="468" t="str">
        <f t="shared" si="93"/>
        <v/>
      </c>
      <c r="Q300" s="468" t="str">
        <f t="shared" si="94"/>
        <v/>
      </c>
      <c r="R300" s="186" t="str">
        <f t="shared" si="102"/>
        <v/>
      </c>
      <c r="S300" s="468" t="str">
        <f t="shared" si="103"/>
        <v/>
      </c>
      <c r="T300" s="468" t="str">
        <f t="shared" si="104"/>
        <v/>
      </c>
      <c r="U300" s="186" t="str">
        <f t="shared" si="95"/>
        <v/>
      </c>
      <c r="V300" s="468" t="str">
        <f t="shared" si="96"/>
        <v/>
      </c>
      <c r="W300" s="468" t="str">
        <f t="shared" si="97"/>
        <v/>
      </c>
      <c r="X300" s="468" t="str">
        <f t="shared" si="98"/>
        <v/>
      </c>
      <c r="Y300" s="283" t="str">
        <f t="shared" si="99"/>
        <v/>
      </c>
    </row>
    <row r="301" spans="1:25" ht="15.6" customHeight="1">
      <c r="A301" s="175">
        <f t="shared" si="88"/>
        <v>2026</v>
      </c>
      <c r="B301" s="454" t="str">
        <f t="shared" si="89"/>
        <v>35</v>
      </c>
      <c r="C301" s="454" t="str">
        <f t="array" ref="C301">_xlfn.IFS(_xlfn.NUMBERVALUE(B301)&lt;=13,"Q1",AND(_xlfn.NUMBERVALUE(B301)&gt;13,_xlfn.NUMBERVALUE(B301)&lt;=26),"Q2", AND(_xlfn.NUMBERVALUE(B301)&gt;26,_xlfn.NUMBERVALUE(B301)&lt;=39),"Q3",_xlfn.NUMBERVALUE(B301)&gt;39,"Q4")</f>
        <v>Q3</v>
      </c>
      <c r="D301" s="448">
        <f t="shared" si="100"/>
        <v>45927</v>
      </c>
      <c r="E301" s="448">
        <f t="shared" si="90"/>
        <v>45933</v>
      </c>
      <c r="F301" s="79">
        <v>202535</v>
      </c>
      <c r="G301" s="180">
        <f t="shared" si="91"/>
        <v>0</v>
      </c>
      <c r="H301" s="429"/>
      <c r="I301" s="429"/>
      <c r="J301" s="429"/>
      <c r="K301" s="180">
        <f t="shared" si="101"/>
        <v>0</v>
      </c>
      <c r="L301" s="429"/>
      <c r="M301" s="429"/>
      <c r="N301" s="532"/>
      <c r="O301" s="186" t="str">
        <f t="shared" si="92"/>
        <v/>
      </c>
      <c r="P301" s="468" t="str">
        <f t="shared" si="93"/>
        <v/>
      </c>
      <c r="Q301" s="468" t="str">
        <f t="shared" si="94"/>
        <v/>
      </c>
      <c r="R301" s="186" t="str">
        <f t="shared" si="102"/>
        <v/>
      </c>
      <c r="S301" s="468" t="str">
        <f t="shared" si="103"/>
        <v/>
      </c>
      <c r="T301" s="468" t="str">
        <f t="shared" si="104"/>
        <v/>
      </c>
      <c r="U301" s="186" t="str">
        <f t="shared" si="95"/>
        <v/>
      </c>
      <c r="V301" s="468" t="str">
        <f t="shared" si="96"/>
        <v/>
      </c>
      <c r="W301" s="468" t="str">
        <f t="shared" si="97"/>
        <v/>
      </c>
      <c r="X301" s="468" t="str">
        <f t="shared" si="98"/>
        <v/>
      </c>
      <c r="Y301" s="283" t="str">
        <f t="shared" si="99"/>
        <v/>
      </c>
    </row>
    <row r="302" spans="1:25" ht="15.6" customHeight="1">
      <c r="A302" s="175">
        <f t="shared" si="88"/>
        <v>2026</v>
      </c>
      <c r="B302" s="454" t="str">
        <f t="shared" si="89"/>
        <v>36</v>
      </c>
      <c r="C302" s="454" t="str">
        <f t="array" ref="C302">_xlfn.IFS(_xlfn.NUMBERVALUE(B302)&lt;=13,"Q1",AND(_xlfn.NUMBERVALUE(B302)&gt;13,_xlfn.NUMBERVALUE(B302)&lt;=26),"Q2", AND(_xlfn.NUMBERVALUE(B302)&gt;26,_xlfn.NUMBERVALUE(B302)&lt;=39),"Q3",_xlfn.NUMBERVALUE(B302)&gt;39,"Q4")</f>
        <v>Q3</v>
      </c>
      <c r="D302" s="448">
        <f t="shared" si="100"/>
        <v>45934</v>
      </c>
      <c r="E302" s="448">
        <f t="shared" si="90"/>
        <v>45940</v>
      </c>
      <c r="F302" s="79">
        <v>202536</v>
      </c>
      <c r="G302" s="180">
        <f t="shared" si="91"/>
        <v>0</v>
      </c>
      <c r="H302" s="429"/>
      <c r="I302" s="429"/>
      <c r="J302" s="429"/>
      <c r="K302" s="180">
        <f t="shared" si="101"/>
        <v>0</v>
      </c>
      <c r="L302" s="429"/>
      <c r="M302" s="429"/>
      <c r="N302" s="532"/>
      <c r="O302" s="186" t="str">
        <f t="shared" si="92"/>
        <v/>
      </c>
      <c r="P302" s="468" t="str">
        <f t="shared" si="93"/>
        <v/>
      </c>
      <c r="Q302" s="468" t="str">
        <f t="shared" si="94"/>
        <v/>
      </c>
      <c r="R302" s="186" t="str">
        <f t="shared" si="102"/>
        <v/>
      </c>
      <c r="S302" s="468" t="str">
        <f t="shared" si="103"/>
        <v/>
      </c>
      <c r="T302" s="468" t="str">
        <f t="shared" si="104"/>
        <v/>
      </c>
      <c r="U302" s="186" t="str">
        <f t="shared" si="95"/>
        <v/>
      </c>
      <c r="V302" s="468" t="str">
        <f t="shared" si="96"/>
        <v/>
      </c>
      <c r="W302" s="468" t="str">
        <f t="shared" si="97"/>
        <v/>
      </c>
      <c r="X302" s="468" t="str">
        <f t="shared" si="98"/>
        <v/>
      </c>
      <c r="Y302" s="283" t="str">
        <f t="shared" si="99"/>
        <v/>
      </c>
    </row>
    <row r="303" spans="1:25" ht="15.6" customHeight="1">
      <c r="A303" s="175">
        <f t="shared" si="88"/>
        <v>2026</v>
      </c>
      <c r="B303" s="454" t="str">
        <f t="shared" si="89"/>
        <v>37</v>
      </c>
      <c r="C303" s="454" t="str">
        <f t="array" ref="C303">_xlfn.IFS(_xlfn.NUMBERVALUE(B303)&lt;=13,"Q1",AND(_xlfn.NUMBERVALUE(B303)&gt;13,_xlfn.NUMBERVALUE(B303)&lt;=26),"Q2", AND(_xlfn.NUMBERVALUE(B303)&gt;26,_xlfn.NUMBERVALUE(B303)&lt;=39),"Q3",_xlfn.NUMBERVALUE(B303)&gt;39,"Q4")</f>
        <v>Q3</v>
      </c>
      <c r="D303" s="448">
        <f t="shared" si="100"/>
        <v>45941</v>
      </c>
      <c r="E303" s="448">
        <f t="shared" si="90"/>
        <v>45947</v>
      </c>
      <c r="F303" s="79">
        <v>202537</v>
      </c>
      <c r="G303" s="180">
        <f t="shared" si="91"/>
        <v>0</v>
      </c>
      <c r="H303" s="429"/>
      <c r="I303" s="429"/>
      <c r="J303" s="429"/>
      <c r="K303" s="180">
        <f t="shared" si="101"/>
        <v>0</v>
      </c>
      <c r="L303" s="429"/>
      <c r="M303" s="429"/>
      <c r="N303" s="532"/>
      <c r="O303" s="186" t="str">
        <f t="shared" si="92"/>
        <v/>
      </c>
      <c r="P303" s="468" t="str">
        <f t="shared" si="93"/>
        <v/>
      </c>
      <c r="Q303" s="468" t="str">
        <f t="shared" si="94"/>
        <v/>
      </c>
      <c r="R303" s="186" t="str">
        <f t="shared" si="102"/>
        <v/>
      </c>
      <c r="S303" s="468" t="str">
        <f t="shared" si="103"/>
        <v/>
      </c>
      <c r="T303" s="468" t="str">
        <f t="shared" si="104"/>
        <v/>
      </c>
      <c r="U303" s="186" t="str">
        <f t="shared" si="95"/>
        <v/>
      </c>
      <c r="V303" s="468" t="str">
        <f t="shared" si="96"/>
        <v/>
      </c>
      <c r="W303" s="468" t="str">
        <f t="shared" si="97"/>
        <v/>
      </c>
      <c r="X303" s="468" t="str">
        <f t="shared" si="98"/>
        <v/>
      </c>
      <c r="Y303" s="283" t="str">
        <f t="shared" si="99"/>
        <v/>
      </c>
    </row>
    <row r="304" spans="1:25" ht="15.6" customHeight="1">
      <c r="A304" s="175">
        <f t="shared" si="88"/>
        <v>2026</v>
      </c>
      <c r="B304" s="454" t="str">
        <f t="shared" si="89"/>
        <v>38</v>
      </c>
      <c r="C304" s="454" t="str">
        <f t="array" ref="C304">_xlfn.IFS(_xlfn.NUMBERVALUE(B304)&lt;=13,"Q1",AND(_xlfn.NUMBERVALUE(B304)&gt;13,_xlfn.NUMBERVALUE(B304)&lt;=26),"Q2", AND(_xlfn.NUMBERVALUE(B304)&gt;26,_xlfn.NUMBERVALUE(B304)&lt;=39),"Q3",_xlfn.NUMBERVALUE(B304)&gt;39,"Q4")</f>
        <v>Q3</v>
      </c>
      <c r="D304" s="448">
        <f t="shared" si="100"/>
        <v>45948</v>
      </c>
      <c r="E304" s="448">
        <f t="shared" si="90"/>
        <v>45954</v>
      </c>
      <c r="F304" s="79">
        <v>202538</v>
      </c>
      <c r="G304" s="180">
        <f t="shared" si="91"/>
        <v>0</v>
      </c>
      <c r="H304" s="429"/>
      <c r="I304" s="429"/>
      <c r="J304" s="429"/>
      <c r="K304" s="180">
        <f t="shared" si="101"/>
        <v>0</v>
      </c>
      <c r="L304" s="429"/>
      <c r="M304" s="429"/>
      <c r="N304" s="532"/>
      <c r="O304" s="186" t="str">
        <f t="shared" si="92"/>
        <v/>
      </c>
      <c r="P304" s="468" t="str">
        <f t="shared" si="93"/>
        <v/>
      </c>
      <c r="Q304" s="468" t="str">
        <f t="shared" si="94"/>
        <v/>
      </c>
      <c r="R304" s="186" t="str">
        <f t="shared" si="102"/>
        <v/>
      </c>
      <c r="S304" s="468" t="str">
        <f t="shared" si="103"/>
        <v/>
      </c>
      <c r="T304" s="468" t="str">
        <f t="shared" si="104"/>
        <v/>
      </c>
      <c r="U304" s="186" t="str">
        <f t="shared" si="95"/>
        <v/>
      </c>
      <c r="V304" s="468" t="str">
        <f t="shared" si="96"/>
        <v/>
      </c>
      <c r="W304" s="468" t="str">
        <f t="shared" si="97"/>
        <v/>
      </c>
      <c r="X304" s="468" t="str">
        <f t="shared" si="98"/>
        <v/>
      </c>
      <c r="Y304" s="283" t="str">
        <f t="shared" si="99"/>
        <v/>
      </c>
    </row>
    <row r="305" spans="1:25" ht="15.6" customHeight="1">
      <c r="A305" s="175">
        <f t="shared" si="88"/>
        <v>2026</v>
      </c>
      <c r="B305" s="454" t="str">
        <f t="shared" si="89"/>
        <v>39</v>
      </c>
      <c r="C305" s="454" t="str">
        <f t="array" ref="C305">_xlfn.IFS(_xlfn.NUMBERVALUE(B305)&lt;=13,"Q1",AND(_xlfn.NUMBERVALUE(B305)&gt;13,_xlfn.NUMBERVALUE(B305)&lt;=26),"Q2", AND(_xlfn.NUMBERVALUE(B305)&gt;26,_xlfn.NUMBERVALUE(B305)&lt;=39),"Q3",_xlfn.NUMBERVALUE(B305)&gt;39,"Q4")</f>
        <v>Q3</v>
      </c>
      <c r="D305" s="448">
        <f t="shared" si="100"/>
        <v>45955</v>
      </c>
      <c r="E305" s="448">
        <f t="shared" si="90"/>
        <v>45961</v>
      </c>
      <c r="F305" s="79">
        <v>202539</v>
      </c>
      <c r="G305" s="180">
        <f t="shared" si="91"/>
        <v>0</v>
      </c>
      <c r="H305" s="429"/>
      <c r="I305" s="429"/>
      <c r="J305" s="429"/>
      <c r="K305" s="180">
        <f t="shared" si="101"/>
        <v>0</v>
      </c>
      <c r="L305" s="429"/>
      <c r="M305" s="429"/>
      <c r="N305" s="532"/>
      <c r="O305" s="186" t="str">
        <f t="shared" si="92"/>
        <v/>
      </c>
      <c r="P305" s="468" t="str">
        <f t="shared" si="93"/>
        <v/>
      </c>
      <c r="Q305" s="468" t="str">
        <f t="shared" si="94"/>
        <v/>
      </c>
      <c r="R305" s="186" t="str">
        <f t="shared" si="102"/>
        <v/>
      </c>
      <c r="S305" s="468" t="str">
        <f t="shared" si="103"/>
        <v/>
      </c>
      <c r="T305" s="468" t="str">
        <f t="shared" si="104"/>
        <v/>
      </c>
      <c r="U305" s="186" t="str">
        <f t="shared" si="95"/>
        <v/>
      </c>
      <c r="V305" s="468" t="str">
        <f t="shared" si="96"/>
        <v/>
      </c>
      <c r="W305" s="468" t="str">
        <f t="shared" si="97"/>
        <v/>
      </c>
      <c r="X305" s="468" t="str">
        <f t="shared" si="98"/>
        <v/>
      </c>
      <c r="Y305" s="283" t="str">
        <f t="shared" si="99"/>
        <v/>
      </c>
    </row>
    <row r="306" spans="1:25" ht="15.6" customHeight="1">
      <c r="A306" s="175">
        <f t="shared" si="88"/>
        <v>2026</v>
      </c>
      <c r="B306" s="454" t="str">
        <f t="shared" si="89"/>
        <v>40</v>
      </c>
      <c r="C306" s="454" t="str">
        <f t="array" ref="C306">_xlfn.IFS(_xlfn.NUMBERVALUE(B306)&lt;=13,"Q1",AND(_xlfn.NUMBERVALUE(B306)&gt;13,_xlfn.NUMBERVALUE(B306)&lt;=26),"Q2", AND(_xlfn.NUMBERVALUE(B306)&gt;26,_xlfn.NUMBERVALUE(B306)&lt;=39),"Q3",_xlfn.NUMBERVALUE(B306)&gt;39,"Q4")</f>
        <v>Q4</v>
      </c>
      <c r="D306" s="448">
        <f t="shared" si="100"/>
        <v>45962</v>
      </c>
      <c r="E306" s="448">
        <f t="shared" si="90"/>
        <v>45968</v>
      </c>
      <c r="F306" s="79">
        <v>202540</v>
      </c>
      <c r="G306" s="180">
        <f t="shared" si="91"/>
        <v>0</v>
      </c>
      <c r="H306" s="429"/>
      <c r="I306" s="429"/>
      <c r="J306" s="429"/>
      <c r="K306" s="180">
        <f t="shared" si="101"/>
        <v>0</v>
      </c>
      <c r="L306" s="429"/>
      <c r="M306" s="429"/>
      <c r="N306" s="532"/>
      <c r="O306" s="186" t="str">
        <f t="shared" si="92"/>
        <v/>
      </c>
      <c r="P306" s="468" t="str">
        <f t="shared" si="93"/>
        <v/>
      </c>
      <c r="Q306" s="468" t="str">
        <f t="shared" si="94"/>
        <v/>
      </c>
      <c r="R306" s="186" t="str">
        <f t="shared" si="102"/>
        <v/>
      </c>
      <c r="S306" s="468" t="str">
        <f t="shared" si="103"/>
        <v/>
      </c>
      <c r="T306" s="468" t="str">
        <f t="shared" si="104"/>
        <v/>
      </c>
      <c r="U306" s="186" t="str">
        <f t="shared" si="95"/>
        <v/>
      </c>
      <c r="V306" s="468" t="str">
        <f t="shared" si="96"/>
        <v/>
      </c>
      <c r="W306" s="468" t="str">
        <f t="shared" si="97"/>
        <v/>
      </c>
      <c r="X306" s="468" t="str">
        <f t="shared" si="98"/>
        <v/>
      </c>
      <c r="Y306" s="283" t="str">
        <f t="shared" si="99"/>
        <v/>
      </c>
    </row>
    <row r="307" spans="1:25" ht="15.6" customHeight="1">
      <c r="A307" s="175">
        <f t="shared" si="88"/>
        <v>2026</v>
      </c>
      <c r="B307" s="454" t="str">
        <f t="shared" si="89"/>
        <v>41</v>
      </c>
      <c r="C307" s="454" t="str">
        <f t="array" ref="C307">_xlfn.IFS(_xlfn.NUMBERVALUE(B307)&lt;=13,"Q1",AND(_xlfn.NUMBERVALUE(B307)&gt;13,_xlfn.NUMBERVALUE(B307)&lt;=26),"Q2", AND(_xlfn.NUMBERVALUE(B307)&gt;26,_xlfn.NUMBERVALUE(B307)&lt;=39),"Q3",_xlfn.NUMBERVALUE(B307)&gt;39,"Q4")</f>
        <v>Q4</v>
      </c>
      <c r="D307" s="448">
        <f t="shared" si="100"/>
        <v>45969</v>
      </c>
      <c r="E307" s="448">
        <f t="shared" si="90"/>
        <v>45975</v>
      </c>
      <c r="F307" s="79">
        <v>202541</v>
      </c>
      <c r="G307" s="180">
        <f t="shared" si="91"/>
        <v>0</v>
      </c>
      <c r="H307" s="429"/>
      <c r="I307" s="429"/>
      <c r="J307" s="429"/>
      <c r="K307" s="180">
        <f t="shared" si="101"/>
        <v>0</v>
      </c>
      <c r="L307" s="429"/>
      <c r="M307" s="429"/>
      <c r="N307" s="532"/>
      <c r="O307" s="186" t="str">
        <f t="shared" si="92"/>
        <v/>
      </c>
      <c r="P307" s="468" t="str">
        <f t="shared" si="93"/>
        <v/>
      </c>
      <c r="Q307" s="468" t="str">
        <f t="shared" si="94"/>
        <v/>
      </c>
      <c r="R307" s="186" t="str">
        <f t="shared" si="102"/>
        <v/>
      </c>
      <c r="S307" s="468" t="str">
        <f t="shared" si="103"/>
        <v/>
      </c>
      <c r="T307" s="468" t="str">
        <f t="shared" si="104"/>
        <v/>
      </c>
      <c r="U307" s="186" t="str">
        <f t="shared" si="95"/>
        <v/>
      </c>
      <c r="V307" s="468" t="str">
        <f t="shared" si="96"/>
        <v/>
      </c>
      <c r="W307" s="468" t="str">
        <f t="shared" si="97"/>
        <v/>
      </c>
      <c r="X307" s="468" t="str">
        <f t="shared" si="98"/>
        <v/>
      </c>
      <c r="Y307" s="283" t="str">
        <f t="shared" si="99"/>
        <v/>
      </c>
    </row>
    <row r="308" spans="1:25" ht="15.6" customHeight="1">
      <c r="A308" s="175">
        <f t="shared" si="88"/>
        <v>2026</v>
      </c>
      <c r="B308" s="454" t="str">
        <f t="shared" si="89"/>
        <v>42</v>
      </c>
      <c r="C308" s="454" t="str">
        <f t="array" ref="C308">_xlfn.IFS(_xlfn.NUMBERVALUE(B308)&lt;=13,"Q1",AND(_xlfn.NUMBERVALUE(B308)&gt;13,_xlfn.NUMBERVALUE(B308)&lt;=26),"Q2", AND(_xlfn.NUMBERVALUE(B308)&gt;26,_xlfn.NUMBERVALUE(B308)&lt;=39),"Q3",_xlfn.NUMBERVALUE(B308)&gt;39,"Q4")</f>
        <v>Q4</v>
      </c>
      <c r="D308" s="448">
        <f t="shared" si="100"/>
        <v>45976</v>
      </c>
      <c r="E308" s="448">
        <f t="shared" si="90"/>
        <v>45982</v>
      </c>
      <c r="F308" s="79">
        <v>202542</v>
      </c>
      <c r="G308" s="180">
        <f t="shared" si="91"/>
        <v>0</v>
      </c>
      <c r="H308" s="429"/>
      <c r="I308" s="429"/>
      <c r="J308" s="429"/>
      <c r="K308" s="180">
        <f t="shared" si="101"/>
        <v>0</v>
      </c>
      <c r="L308" s="429"/>
      <c r="M308" s="429"/>
      <c r="N308" s="532"/>
      <c r="O308" s="186" t="str">
        <f t="shared" si="92"/>
        <v/>
      </c>
      <c r="P308" s="468" t="str">
        <f t="shared" si="93"/>
        <v/>
      </c>
      <c r="Q308" s="468" t="str">
        <f t="shared" si="94"/>
        <v/>
      </c>
      <c r="R308" s="186" t="str">
        <f t="shared" si="102"/>
        <v/>
      </c>
      <c r="S308" s="468" t="str">
        <f t="shared" si="103"/>
        <v/>
      </c>
      <c r="T308" s="468" t="str">
        <f t="shared" si="104"/>
        <v/>
      </c>
      <c r="U308" s="186" t="str">
        <f t="shared" si="95"/>
        <v/>
      </c>
      <c r="V308" s="468" t="str">
        <f t="shared" si="96"/>
        <v/>
      </c>
      <c r="W308" s="468" t="str">
        <f t="shared" si="97"/>
        <v/>
      </c>
      <c r="X308" s="468" t="str">
        <f t="shared" si="98"/>
        <v/>
      </c>
      <c r="Y308" s="283" t="str">
        <f t="shared" si="99"/>
        <v/>
      </c>
    </row>
    <row r="309" spans="1:25" ht="15.6" customHeight="1">
      <c r="A309" s="175">
        <f t="shared" si="88"/>
        <v>2026</v>
      </c>
      <c r="B309" s="454" t="str">
        <f t="shared" si="89"/>
        <v>43</v>
      </c>
      <c r="C309" s="454" t="str">
        <f t="array" ref="C309">_xlfn.IFS(_xlfn.NUMBERVALUE(B309)&lt;=13,"Q1",AND(_xlfn.NUMBERVALUE(B309)&gt;13,_xlfn.NUMBERVALUE(B309)&lt;=26),"Q2", AND(_xlfn.NUMBERVALUE(B309)&gt;26,_xlfn.NUMBERVALUE(B309)&lt;=39),"Q3",_xlfn.NUMBERVALUE(B309)&gt;39,"Q4")</f>
        <v>Q4</v>
      </c>
      <c r="D309" s="448">
        <f t="shared" si="100"/>
        <v>45983</v>
      </c>
      <c r="E309" s="448">
        <f t="shared" si="90"/>
        <v>45989</v>
      </c>
      <c r="F309" s="79">
        <v>202543</v>
      </c>
      <c r="G309" s="180">
        <f t="shared" si="91"/>
        <v>0</v>
      </c>
      <c r="H309" s="429"/>
      <c r="I309" s="429"/>
      <c r="J309" s="429"/>
      <c r="K309" s="180">
        <f t="shared" si="101"/>
        <v>0</v>
      </c>
      <c r="L309" s="429"/>
      <c r="M309" s="429"/>
      <c r="N309" s="532"/>
      <c r="O309" s="186" t="str">
        <f t="shared" si="92"/>
        <v/>
      </c>
      <c r="P309" s="468" t="str">
        <f t="shared" si="93"/>
        <v/>
      </c>
      <c r="Q309" s="468" t="str">
        <f t="shared" si="94"/>
        <v/>
      </c>
      <c r="R309" s="186" t="str">
        <f t="shared" si="102"/>
        <v/>
      </c>
      <c r="S309" s="468" t="str">
        <f t="shared" si="103"/>
        <v/>
      </c>
      <c r="T309" s="468" t="str">
        <f t="shared" si="104"/>
        <v/>
      </c>
      <c r="U309" s="186" t="str">
        <f t="shared" si="95"/>
        <v/>
      </c>
      <c r="V309" s="468" t="str">
        <f t="shared" si="96"/>
        <v/>
      </c>
      <c r="W309" s="468" t="str">
        <f t="shared" si="97"/>
        <v/>
      </c>
      <c r="X309" s="468" t="str">
        <f t="shared" si="98"/>
        <v/>
      </c>
      <c r="Y309" s="283" t="str">
        <f t="shared" si="99"/>
        <v/>
      </c>
    </row>
    <row r="310" spans="1:25" ht="15.6" customHeight="1">
      <c r="A310" s="175">
        <f t="shared" si="88"/>
        <v>2026</v>
      </c>
      <c r="B310" s="454" t="str">
        <f t="shared" si="89"/>
        <v>44</v>
      </c>
      <c r="C310" s="454" t="str">
        <f t="array" ref="C310">_xlfn.IFS(_xlfn.NUMBERVALUE(B310)&lt;=13,"Q1",AND(_xlfn.NUMBERVALUE(B310)&gt;13,_xlfn.NUMBERVALUE(B310)&lt;=26),"Q2", AND(_xlfn.NUMBERVALUE(B310)&gt;26,_xlfn.NUMBERVALUE(B310)&lt;=39),"Q3",_xlfn.NUMBERVALUE(B310)&gt;39,"Q4")</f>
        <v>Q4</v>
      </c>
      <c r="D310" s="448">
        <f t="shared" si="100"/>
        <v>45990</v>
      </c>
      <c r="E310" s="448">
        <f t="shared" si="90"/>
        <v>45996</v>
      </c>
      <c r="F310" s="79">
        <v>202544</v>
      </c>
      <c r="G310" s="180">
        <f t="shared" si="91"/>
        <v>0</v>
      </c>
      <c r="H310" s="429"/>
      <c r="I310" s="429"/>
      <c r="J310" s="429"/>
      <c r="K310" s="180">
        <f t="shared" si="101"/>
        <v>0</v>
      </c>
      <c r="L310" s="429"/>
      <c r="M310" s="429"/>
      <c r="N310" s="532"/>
      <c r="O310" s="186" t="str">
        <f t="shared" si="92"/>
        <v/>
      </c>
      <c r="P310" s="468" t="str">
        <f t="shared" si="93"/>
        <v/>
      </c>
      <c r="Q310" s="468" t="str">
        <f t="shared" si="94"/>
        <v/>
      </c>
      <c r="R310" s="186" t="str">
        <f t="shared" si="102"/>
        <v/>
      </c>
      <c r="S310" s="468" t="str">
        <f t="shared" si="103"/>
        <v/>
      </c>
      <c r="T310" s="468" t="str">
        <f t="shared" si="104"/>
        <v/>
      </c>
      <c r="U310" s="186" t="str">
        <f t="shared" si="95"/>
        <v/>
      </c>
      <c r="V310" s="468" t="str">
        <f t="shared" si="96"/>
        <v/>
      </c>
      <c r="W310" s="468" t="str">
        <f t="shared" si="97"/>
        <v/>
      </c>
      <c r="X310" s="468" t="str">
        <f t="shared" si="98"/>
        <v/>
      </c>
      <c r="Y310" s="283" t="str">
        <f t="shared" si="99"/>
        <v/>
      </c>
    </row>
    <row r="311" spans="1:25" ht="15.6" customHeight="1">
      <c r="A311" s="175">
        <f t="shared" si="88"/>
        <v>2026</v>
      </c>
      <c r="B311" s="454" t="str">
        <f t="shared" si="89"/>
        <v>45</v>
      </c>
      <c r="C311" s="454" t="str">
        <f t="array" ref="C311">_xlfn.IFS(_xlfn.NUMBERVALUE(B311)&lt;=13,"Q1",AND(_xlfn.NUMBERVALUE(B311)&gt;13,_xlfn.NUMBERVALUE(B311)&lt;=26),"Q2", AND(_xlfn.NUMBERVALUE(B311)&gt;26,_xlfn.NUMBERVALUE(B311)&lt;=39),"Q3",_xlfn.NUMBERVALUE(B311)&gt;39,"Q4")</f>
        <v>Q4</v>
      </c>
      <c r="D311" s="448">
        <f t="shared" si="100"/>
        <v>45997</v>
      </c>
      <c r="E311" s="448">
        <f t="shared" si="90"/>
        <v>46003</v>
      </c>
      <c r="F311" s="79">
        <v>202545</v>
      </c>
      <c r="G311" s="180">
        <f t="shared" si="91"/>
        <v>0</v>
      </c>
      <c r="H311" s="429"/>
      <c r="I311" s="429"/>
      <c r="J311" s="429"/>
      <c r="K311" s="180">
        <f t="shared" si="101"/>
        <v>0</v>
      </c>
      <c r="L311" s="429"/>
      <c r="M311" s="429"/>
      <c r="N311" s="532"/>
      <c r="O311" s="186" t="str">
        <f t="shared" si="92"/>
        <v/>
      </c>
      <c r="P311" s="468" t="str">
        <f t="shared" si="93"/>
        <v/>
      </c>
      <c r="Q311" s="468" t="str">
        <f t="shared" si="94"/>
        <v/>
      </c>
      <c r="R311" s="186" t="str">
        <f t="shared" si="102"/>
        <v/>
      </c>
      <c r="S311" s="468" t="str">
        <f t="shared" si="103"/>
        <v/>
      </c>
      <c r="T311" s="468" t="str">
        <f t="shared" si="104"/>
        <v/>
      </c>
      <c r="U311" s="186" t="str">
        <f t="shared" si="95"/>
        <v/>
      </c>
      <c r="V311" s="468" t="str">
        <f t="shared" si="96"/>
        <v/>
      </c>
      <c r="W311" s="468" t="str">
        <f t="shared" si="97"/>
        <v/>
      </c>
      <c r="X311" s="468" t="str">
        <f t="shared" si="98"/>
        <v/>
      </c>
      <c r="Y311" s="283" t="str">
        <f t="shared" si="99"/>
        <v/>
      </c>
    </row>
    <row r="312" spans="1:25" ht="15.6" customHeight="1">
      <c r="A312" s="175">
        <f t="shared" si="88"/>
        <v>2026</v>
      </c>
      <c r="B312" s="454" t="str">
        <f t="shared" si="89"/>
        <v>46</v>
      </c>
      <c r="C312" s="454" t="str">
        <f t="array" ref="C312">_xlfn.IFS(_xlfn.NUMBERVALUE(B312)&lt;=13,"Q1",AND(_xlfn.NUMBERVALUE(B312)&gt;13,_xlfn.NUMBERVALUE(B312)&lt;=26),"Q2", AND(_xlfn.NUMBERVALUE(B312)&gt;26,_xlfn.NUMBERVALUE(B312)&lt;=39),"Q3",_xlfn.NUMBERVALUE(B312)&gt;39,"Q4")</f>
        <v>Q4</v>
      </c>
      <c r="D312" s="448">
        <f t="shared" si="100"/>
        <v>46004</v>
      </c>
      <c r="E312" s="448">
        <f t="shared" si="90"/>
        <v>46010</v>
      </c>
      <c r="F312" s="79">
        <v>202546</v>
      </c>
      <c r="G312" s="180">
        <f t="shared" si="91"/>
        <v>0</v>
      </c>
      <c r="H312" s="429"/>
      <c r="I312" s="429"/>
      <c r="J312" s="429"/>
      <c r="K312" s="180">
        <f t="shared" si="101"/>
        <v>0</v>
      </c>
      <c r="L312" s="429"/>
      <c r="M312" s="429"/>
      <c r="N312" s="532"/>
      <c r="O312" s="186" t="str">
        <f t="shared" si="92"/>
        <v/>
      </c>
      <c r="P312" s="468" t="str">
        <f t="shared" si="93"/>
        <v/>
      </c>
      <c r="Q312" s="468" t="str">
        <f t="shared" si="94"/>
        <v/>
      </c>
      <c r="R312" s="186" t="str">
        <f t="shared" si="102"/>
        <v/>
      </c>
      <c r="S312" s="468" t="str">
        <f t="shared" si="103"/>
        <v/>
      </c>
      <c r="T312" s="468" t="str">
        <f t="shared" si="104"/>
        <v/>
      </c>
      <c r="U312" s="186" t="str">
        <f t="shared" si="95"/>
        <v/>
      </c>
      <c r="V312" s="468" t="str">
        <f t="shared" si="96"/>
        <v/>
      </c>
      <c r="W312" s="468" t="str">
        <f t="shared" si="97"/>
        <v/>
      </c>
      <c r="X312" s="468" t="str">
        <f t="shared" si="98"/>
        <v/>
      </c>
      <c r="Y312" s="283" t="str">
        <f t="shared" si="99"/>
        <v/>
      </c>
    </row>
    <row r="313" spans="1:25" ht="15.6" customHeight="1">
      <c r="A313" s="175">
        <f t="shared" si="88"/>
        <v>2026</v>
      </c>
      <c r="B313" s="454" t="str">
        <f t="shared" si="89"/>
        <v>47</v>
      </c>
      <c r="C313" s="454" t="str">
        <f t="array" ref="C313">_xlfn.IFS(_xlfn.NUMBERVALUE(B313)&lt;=13,"Q1",AND(_xlfn.NUMBERVALUE(B313)&gt;13,_xlfn.NUMBERVALUE(B313)&lt;=26),"Q2", AND(_xlfn.NUMBERVALUE(B313)&gt;26,_xlfn.NUMBERVALUE(B313)&lt;=39),"Q3",_xlfn.NUMBERVALUE(B313)&gt;39,"Q4")</f>
        <v>Q4</v>
      </c>
      <c r="D313" s="448">
        <f t="shared" si="100"/>
        <v>46011</v>
      </c>
      <c r="E313" s="448">
        <f t="shared" si="90"/>
        <v>46017</v>
      </c>
      <c r="F313" s="79">
        <v>202547</v>
      </c>
      <c r="G313" s="180">
        <f t="shared" si="91"/>
        <v>0</v>
      </c>
      <c r="H313" s="429"/>
      <c r="I313" s="429"/>
      <c r="J313" s="429"/>
      <c r="K313" s="180">
        <f t="shared" si="101"/>
        <v>0</v>
      </c>
      <c r="L313" s="429"/>
      <c r="M313" s="429"/>
      <c r="N313" s="532"/>
      <c r="O313" s="186" t="str">
        <f t="shared" si="92"/>
        <v/>
      </c>
      <c r="P313" s="468" t="str">
        <f t="shared" si="93"/>
        <v/>
      </c>
      <c r="Q313" s="468" t="str">
        <f t="shared" si="94"/>
        <v/>
      </c>
      <c r="R313" s="186" t="str">
        <f t="shared" si="102"/>
        <v/>
      </c>
      <c r="S313" s="468" t="str">
        <f t="shared" si="103"/>
        <v/>
      </c>
      <c r="T313" s="468" t="str">
        <f t="shared" si="104"/>
        <v/>
      </c>
      <c r="U313" s="186" t="str">
        <f t="shared" si="95"/>
        <v/>
      </c>
      <c r="V313" s="468" t="str">
        <f t="shared" si="96"/>
        <v/>
      </c>
      <c r="W313" s="468" t="str">
        <f t="shared" si="97"/>
        <v/>
      </c>
      <c r="X313" s="468" t="str">
        <f t="shared" si="98"/>
        <v/>
      </c>
      <c r="Y313" s="283" t="str">
        <f t="shared" si="99"/>
        <v/>
      </c>
    </row>
    <row r="314" spans="1:25" ht="15.6" customHeight="1">
      <c r="A314" s="175">
        <f t="shared" si="88"/>
        <v>2026</v>
      </c>
      <c r="B314" s="454" t="str">
        <f t="shared" si="89"/>
        <v>48</v>
      </c>
      <c r="C314" s="454" t="str">
        <f t="array" ref="C314">_xlfn.IFS(_xlfn.NUMBERVALUE(B314)&lt;=13,"Q1",AND(_xlfn.NUMBERVALUE(B314)&gt;13,_xlfn.NUMBERVALUE(B314)&lt;=26),"Q2", AND(_xlfn.NUMBERVALUE(B314)&gt;26,_xlfn.NUMBERVALUE(B314)&lt;=39),"Q3",_xlfn.NUMBERVALUE(B314)&gt;39,"Q4")</f>
        <v>Q4</v>
      </c>
      <c r="D314" s="448">
        <f t="shared" si="100"/>
        <v>46018</v>
      </c>
      <c r="E314" s="448">
        <f t="shared" si="90"/>
        <v>46024</v>
      </c>
      <c r="F314" s="79">
        <v>202548</v>
      </c>
      <c r="G314" s="180">
        <f t="shared" si="91"/>
        <v>0</v>
      </c>
      <c r="H314" s="429"/>
      <c r="I314" s="429"/>
      <c r="J314" s="429"/>
      <c r="K314" s="180">
        <f t="shared" si="101"/>
        <v>0</v>
      </c>
      <c r="L314" s="429"/>
      <c r="M314" s="429"/>
      <c r="N314" s="532"/>
      <c r="O314" s="186" t="str">
        <f t="shared" si="92"/>
        <v/>
      </c>
      <c r="P314" s="468" t="str">
        <f t="shared" si="93"/>
        <v/>
      </c>
      <c r="Q314" s="468" t="str">
        <f t="shared" si="94"/>
        <v/>
      </c>
      <c r="R314" s="186" t="str">
        <f t="shared" si="102"/>
        <v/>
      </c>
      <c r="S314" s="468" t="str">
        <f t="shared" si="103"/>
        <v/>
      </c>
      <c r="T314" s="468" t="str">
        <f t="shared" si="104"/>
        <v/>
      </c>
      <c r="U314" s="186" t="str">
        <f t="shared" si="95"/>
        <v/>
      </c>
      <c r="V314" s="468" t="str">
        <f t="shared" si="96"/>
        <v/>
      </c>
      <c r="W314" s="468" t="str">
        <f t="shared" si="97"/>
        <v/>
      </c>
      <c r="X314" s="468" t="str">
        <f t="shared" si="98"/>
        <v/>
      </c>
      <c r="Y314" s="283" t="str">
        <f t="shared" si="99"/>
        <v/>
      </c>
    </row>
    <row r="315" spans="1:25" ht="15.6" customHeight="1">
      <c r="A315" s="175">
        <f t="shared" si="88"/>
        <v>2026</v>
      </c>
      <c r="B315" s="454" t="str">
        <f t="shared" si="89"/>
        <v>49</v>
      </c>
      <c r="C315" s="454" t="str">
        <f t="array" ref="C315">_xlfn.IFS(_xlfn.NUMBERVALUE(B315)&lt;=13,"Q1",AND(_xlfn.NUMBERVALUE(B315)&gt;13,_xlfn.NUMBERVALUE(B315)&lt;=26),"Q2", AND(_xlfn.NUMBERVALUE(B315)&gt;26,_xlfn.NUMBERVALUE(B315)&lt;=39),"Q3",_xlfn.NUMBERVALUE(B315)&gt;39,"Q4")</f>
        <v>Q4</v>
      </c>
      <c r="D315" s="448">
        <f t="shared" si="100"/>
        <v>46025</v>
      </c>
      <c r="E315" s="448">
        <f t="shared" si="90"/>
        <v>46031</v>
      </c>
      <c r="F315" s="79">
        <v>202549</v>
      </c>
      <c r="G315" s="180">
        <f t="shared" si="91"/>
        <v>0</v>
      </c>
      <c r="H315" s="429"/>
      <c r="I315" s="429"/>
      <c r="J315" s="429"/>
      <c r="K315" s="180">
        <f t="shared" ref="K315:K318" si="105">SUM(L315:N315)</f>
        <v>0</v>
      </c>
      <c r="L315" s="429"/>
      <c r="M315" s="429"/>
      <c r="N315" s="532"/>
      <c r="O315" s="186" t="str">
        <f t="shared" si="92"/>
        <v/>
      </c>
      <c r="P315" s="468" t="str">
        <f t="shared" si="93"/>
        <v/>
      </c>
      <c r="Q315" s="468" t="str">
        <f t="shared" si="94"/>
        <v/>
      </c>
      <c r="R315" s="186" t="str">
        <f t="shared" si="102"/>
        <v/>
      </c>
      <c r="S315" s="468" t="str">
        <f t="shared" si="103"/>
        <v/>
      </c>
      <c r="T315" s="468" t="str">
        <f t="shared" si="104"/>
        <v/>
      </c>
      <c r="U315" s="186" t="str">
        <f t="shared" si="95"/>
        <v/>
      </c>
      <c r="V315" s="468" t="str">
        <f t="shared" si="96"/>
        <v/>
      </c>
      <c r="W315" s="468" t="str">
        <f t="shared" si="97"/>
        <v/>
      </c>
      <c r="X315" s="468" t="str">
        <f t="shared" si="98"/>
        <v/>
      </c>
      <c r="Y315" s="283" t="str">
        <f t="shared" si="99"/>
        <v/>
      </c>
    </row>
    <row r="316" spans="1:25" ht="15.6" customHeight="1">
      <c r="A316" s="175">
        <f t="shared" si="88"/>
        <v>2026</v>
      </c>
      <c r="B316" s="454" t="str">
        <f t="shared" si="89"/>
        <v>50</v>
      </c>
      <c r="C316" s="454" t="str">
        <f t="array" ref="C316">_xlfn.IFS(_xlfn.NUMBERVALUE(B316)&lt;=13,"Q1",AND(_xlfn.NUMBERVALUE(B316)&gt;13,_xlfn.NUMBERVALUE(B316)&lt;=26),"Q2", AND(_xlfn.NUMBERVALUE(B316)&gt;26,_xlfn.NUMBERVALUE(B316)&lt;=39),"Q3",_xlfn.NUMBERVALUE(B316)&gt;39,"Q4")</f>
        <v>Q4</v>
      </c>
      <c r="D316" s="448">
        <f t="shared" si="100"/>
        <v>46032</v>
      </c>
      <c r="E316" s="448">
        <f t="shared" si="90"/>
        <v>46038</v>
      </c>
      <c r="F316" s="79">
        <v>202550</v>
      </c>
      <c r="G316" s="180">
        <f t="shared" si="91"/>
        <v>0</v>
      </c>
      <c r="H316" s="429"/>
      <c r="I316" s="429"/>
      <c r="J316" s="429"/>
      <c r="K316" s="180">
        <f t="shared" si="105"/>
        <v>0</v>
      </c>
      <c r="L316" s="429"/>
      <c r="M316" s="429"/>
      <c r="N316" s="532"/>
      <c r="O316" s="186" t="str">
        <f t="shared" si="92"/>
        <v/>
      </c>
      <c r="P316" s="468" t="str">
        <f t="shared" si="93"/>
        <v/>
      </c>
      <c r="Q316" s="468" t="str">
        <f t="shared" si="94"/>
        <v/>
      </c>
      <c r="R316" s="186" t="str">
        <f t="shared" si="102"/>
        <v/>
      </c>
      <c r="S316" s="468" t="str">
        <f t="shared" si="103"/>
        <v/>
      </c>
      <c r="T316" s="468" t="str">
        <f t="shared" si="104"/>
        <v/>
      </c>
      <c r="U316" s="186" t="str">
        <f t="shared" si="95"/>
        <v/>
      </c>
      <c r="V316" s="468" t="str">
        <f t="shared" si="96"/>
        <v/>
      </c>
      <c r="W316" s="468" t="str">
        <f t="shared" si="97"/>
        <v/>
      </c>
      <c r="X316" s="468" t="str">
        <f t="shared" si="98"/>
        <v/>
      </c>
      <c r="Y316" s="283" t="str">
        <f t="shared" si="99"/>
        <v/>
      </c>
    </row>
    <row r="317" spans="1:25" ht="15.6" customHeight="1">
      <c r="A317" s="175">
        <f t="shared" si="88"/>
        <v>2026</v>
      </c>
      <c r="B317" s="454" t="str">
        <f t="shared" si="89"/>
        <v>51</v>
      </c>
      <c r="C317" s="454" t="str">
        <f t="array" ref="C317">_xlfn.IFS(_xlfn.NUMBERVALUE(B317)&lt;=13,"Q1",AND(_xlfn.NUMBERVALUE(B317)&gt;13,_xlfn.NUMBERVALUE(B317)&lt;=26),"Q2", AND(_xlfn.NUMBERVALUE(B317)&gt;26,_xlfn.NUMBERVALUE(B317)&lt;=39),"Q3",_xlfn.NUMBERVALUE(B317)&gt;39,"Q4")</f>
        <v>Q4</v>
      </c>
      <c r="D317" s="448">
        <f t="shared" si="100"/>
        <v>46039</v>
      </c>
      <c r="E317" s="448">
        <f t="shared" si="90"/>
        <v>46045</v>
      </c>
      <c r="F317" s="79">
        <v>202551</v>
      </c>
      <c r="G317" s="180">
        <f t="shared" si="91"/>
        <v>0</v>
      </c>
      <c r="H317" s="429"/>
      <c r="I317" s="429"/>
      <c r="J317" s="429"/>
      <c r="K317" s="180">
        <f t="shared" si="105"/>
        <v>0</v>
      </c>
      <c r="L317" s="429"/>
      <c r="M317" s="429"/>
      <c r="N317" s="532"/>
      <c r="O317" s="186" t="str">
        <f t="shared" si="92"/>
        <v/>
      </c>
      <c r="P317" s="468" t="str">
        <f t="shared" si="93"/>
        <v/>
      </c>
      <c r="Q317" s="468" t="str">
        <f t="shared" si="94"/>
        <v/>
      </c>
      <c r="R317" s="186" t="str">
        <f t="shared" si="102"/>
        <v/>
      </c>
      <c r="S317" s="468" t="str">
        <f t="shared" si="103"/>
        <v/>
      </c>
      <c r="T317" s="468" t="str">
        <f t="shared" si="104"/>
        <v/>
      </c>
      <c r="U317" s="186" t="str">
        <f t="shared" si="95"/>
        <v/>
      </c>
      <c r="V317" s="468" t="str">
        <f t="shared" si="96"/>
        <v/>
      </c>
      <c r="W317" s="468" t="str">
        <f t="shared" si="97"/>
        <v/>
      </c>
      <c r="X317" s="468" t="str">
        <f t="shared" si="98"/>
        <v/>
      </c>
      <c r="Y317" s="283" t="str">
        <f t="shared" si="99"/>
        <v/>
      </c>
    </row>
    <row r="318" spans="1:25" ht="15.75" customHeight="1" thickBot="1">
      <c r="A318" s="176">
        <f t="shared" si="88"/>
        <v>2026</v>
      </c>
      <c r="B318" s="177" t="str">
        <f t="shared" si="89"/>
        <v>52</v>
      </c>
      <c r="C318" s="177" t="str">
        <f t="array" ref="C318">_xlfn.IFS(_xlfn.NUMBERVALUE(B318)&lt;=13,"Q1",AND(_xlfn.NUMBERVALUE(B318)&gt;13,_xlfn.NUMBERVALUE(B318)&lt;=26),"Q2", AND(_xlfn.NUMBERVALUE(B318)&gt;26,_xlfn.NUMBERVALUE(B318)&lt;=39),"Q3",_xlfn.NUMBERVALUE(B318)&gt;39,"Q4")</f>
        <v>Q4</v>
      </c>
      <c r="D318" s="178">
        <f t="shared" si="100"/>
        <v>46046</v>
      </c>
      <c r="E318" s="178">
        <f t="shared" si="90"/>
        <v>46052</v>
      </c>
      <c r="F318" s="88">
        <v>202552</v>
      </c>
      <c r="G318" s="181">
        <f t="shared" si="91"/>
        <v>0</v>
      </c>
      <c r="H318" s="105"/>
      <c r="I318" s="105"/>
      <c r="J318" s="105"/>
      <c r="K318" s="181">
        <f t="shared" si="105"/>
        <v>0</v>
      </c>
      <c r="L318" s="105"/>
      <c r="M318" s="105"/>
      <c r="N318" s="778"/>
      <c r="O318" s="434" t="str">
        <f t="shared" si="92"/>
        <v/>
      </c>
      <c r="P318" s="435" t="str">
        <f t="shared" si="93"/>
        <v/>
      </c>
      <c r="Q318" s="435" t="str">
        <f t="shared" si="94"/>
        <v/>
      </c>
      <c r="R318" s="434" t="str">
        <f t="shared" si="102"/>
        <v/>
      </c>
      <c r="S318" s="435" t="str">
        <f t="shared" si="103"/>
        <v/>
      </c>
      <c r="T318" s="435" t="str">
        <f t="shared" si="104"/>
        <v/>
      </c>
      <c r="U318" s="434" t="str">
        <f t="shared" si="95"/>
        <v/>
      </c>
      <c r="V318" s="435" t="str">
        <f t="shared" si="96"/>
        <v/>
      </c>
      <c r="W318" s="435" t="str">
        <f t="shared" si="97"/>
        <v/>
      </c>
      <c r="X318" s="435" t="str">
        <f t="shared" si="98"/>
        <v/>
      </c>
      <c r="Y318" s="436" t="str">
        <f t="shared" si="99"/>
        <v/>
      </c>
    </row>
  </sheetData>
  <mergeCells count="3">
    <mergeCell ref="E1:E3"/>
    <mergeCell ref="D1:D3"/>
    <mergeCell ref="A1:C3"/>
  </mergeCells>
  <conditionalFormatting sqref="G1:Y2">
    <cfRule type="cellIs" dxfId="79" priority="1" operator="between">
      <formula>-0.1</formula>
      <formula>0</formula>
    </cfRule>
    <cfRule type="cellIs" dxfId="78" priority="2" operator="between">
      <formula>0</formula>
      <formula>0.1</formula>
    </cfRule>
    <cfRule type="cellIs" dxfId="77" priority="3" operator="lessThanOrEqual">
      <formula>-0.1</formula>
    </cfRule>
    <cfRule type="cellIs" dxfId="76" priority="4" operator="greaterThanOrEqual">
      <formula>0.1</formula>
    </cfRule>
  </conditionalFormatting>
  <pageMargins left="0.7" right="0.7" top="0.75" bottom="0.75" header="0.3" footer="0.3"/>
  <pageSetup orientation="portrait"/>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A1:AB368"/>
  <sheetViews>
    <sheetView showGridLines="0" zoomScale="83" zoomScaleNormal="83" workbookViewId="0">
      <pane xSplit="6" ySplit="8" topLeftCell="G268" activePane="bottomRight" state="frozen"/>
      <selection pane="topRight" activeCell="W230" sqref="W230:AA230"/>
      <selection pane="bottomLeft" activeCell="W230" sqref="W230:AA230"/>
      <selection pane="bottomRight" activeCell="G275" sqref="G275"/>
    </sheetView>
  </sheetViews>
  <sheetFormatPr defaultColWidth="8.42578125" defaultRowHeight="15"/>
  <cols>
    <col min="1" max="1" width="7.5703125" style="78" bestFit="1" customWidth="1"/>
    <col min="2" max="2" width="7" style="78" bestFit="1" customWidth="1"/>
    <col min="3" max="3" width="8" style="78" bestFit="1" customWidth="1"/>
    <col min="4" max="4" width="11" style="78" customWidth="1"/>
    <col min="5" max="5" width="10.5703125" style="78" bestFit="1" customWidth="1"/>
    <col min="6" max="6" width="16.5703125" style="78" bestFit="1" customWidth="1"/>
    <col min="7" max="7" width="12.42578125" style="78" customWidth="1"/>
    <col min="8" max="8" width="15.5703125" style="78" customWidth="1"/>
    <col min="9" max="9" width="11.42578125" style="78" customWidth="1"/>
    <col min="10" max="10" width="13.5703125" style="78" bestFit="1" customWidth="1"/>
    <col min="11" max="11" width="12.42578125" style="78" bestFit="1" customWidth="1"/>
    <col min="12" max="12" width="15.5703125" style="78" customWidth="1"/>
    <col min="13" max="13" width="11.42578125" style="78" bestFit="1" customWidth="1"/>
    <col min="14" max="14" width="12.42578125" style="78" bestFit="1" customWidth="1"/>
    <col min="15" max="15" width="14" style="78" customWidth="1"/>
    <col min="16" max="16" width="16.5703125" style="78" bestFit="1" customWidth="1"/>
    <col min="17" max="17" width="12.5703125" style="78" bestFit="1" customWidth="1"/>
    <col min="18" max="18" width="14.5703125" style="78" bestFit="1" customWidth="1"/>
    <col min="19" max="19" width="11.42578125" style="78" bestFit="1" customWidth="1"/>
    <col min="20" max="20" width="8.5703125" style="78" customWidth="1"/>
    <col min="21" max="21" width="13.5703125" style="78" bestFit="1" customWidth="1"/>
    <col min="22" max="23" width="8.42578125" style="78" customWidth="1"/>
    <col min="24" max="24" width="9.42578125" style="78" bestFit="1" customWidth="1"/>
    <col min="25" max="25" width="10.5703125" style="78" bestFit="1" customWidth="1"/>
    <col min="26" max="27" width="8.42578125" style="78" customWidth="1"/>
    <col min="28" max="28" width="10.5703125" style="78" bestFit="1" customWidth="1"/>
    <col min="29" max="91" width="8.42578125" style="78" customWidth="1"/>
    <col min="92" max="16384" width="8.42578125" style="78"/>
  </cols>
  <sheetData>
    <row r="1" spans="1:18" ht="15.75" customHeight="1" thickBot="1">
      <c r="A1" s="979">
        <f>VLOOKUP(E1,E8:F321,2,FALSE)</f>
        <v>202505</v>
      </c>
      <c r="B1" s="980"/>
      <c r="C1" s="980"/>
      <c r="D1" s="976">
        <f>E1-6</f>
        <v>45717</v>
      </c>
      <c r="E1" s="976">
        <f>'Overall Metrics'!E1</f>
        <v>45723</v>
      </c>
      <c r="F1" s="94" t="s">
        <v>162</v>
      </c>
      <c r="G1" s="292">
        <f>IFERROR(VLOOKUP($A$1,$F$9:G321,COLUMNS($F$9:G321),FALSE)/VLOOKUP(($A$1-IF(RIGHT($A$1,2)="01",48,1)),$F$9:G321,COLUMNS($F$9:G321),FALSE)-1,"NA")</f>
        <v>0.73704699886749725</v>
      </c>
      <c r="H1" s="293">
        <f>IFERROR(VLOOKUP($A$1,$F$9:H321,COLUMNS($F$9:H321),FALSE)/VLOOKUP(($A$1-IF(RIGHT($A$1,2)="01",48,1)),$F$9:H321,COLUMNS($F$9:H321),FALSE)-1,"NA")</f>
        <v>8.7089569555632851E-2</v>
      </c>
      <c r="I1" s="293">
        <f>IFERROR(VLOOKUP($A$1,$F$9:I321,COLUMNS($F$9:I321),FALSE)/VLOOKUP(($A$1-IF(RIGHT($A$1,2)="01",48,1)),$F$9:I321,COLUMNS($F$9:I321),FALSE)-1,"NA")</f>
        <v>-0.10496457384235669</v>
      </c>
      <c r="J1" s="294">
        <f>IFERROR(VLOOKUP($A$1,$F$9:J321,COLUMNS($F$9:J321),FALSE)/VLOOKUP(($A$1-IF(RIGHT($A$1,2)="01",48,1)),$F$9:J321,COLUMNS($F$9:J321),FALSE)-1,"NA")</f>
        <v>0.18902276934379247</v>
      </c>
      <c r="K1" s="292">
        <f>IFERROR(VLOOKUP($A$1,$F$9:K321,COLUMNS($F$9:K321),FALSE)/VLOOKUP(($A$1-IF(RIGHT($A$1,2)="01",48,1)),$F$9:K321,COLUMNS($F$9:K321),FALSE)-1,"NA")</f>
        <v>0.41757297221442613</v>
      </c>
      <c r="L1" s="293">
        <f>IFERROR(VLOOKUP($A$1,$F$9:L321,COLUMNS($F$9:L321),FALSE)/VLOOKUP(($A$1-IF(RIGHT($A$1,2)="01",48,1)),$F$9:L321,COLUMNS($F$9:L321),FALSE)-1,"NA")</f>
        <v>0.12223851254539997</v>
      </c>
      <c r="M1" s="293">
        <f>IFERROR(VLOOKUP($A$1,$F$9:M321,COLUMNS($F$9:M321),FALSE)/VLOOKUP(($A$1-IF(RIGHT($A$1,2)="01",48,1)),$F$9:M321,COLUMNS($F$9:M321),FALSE)-1,"NA")</f>
        <v>-0.44976562024391731</v>
      </c>
      <c r="N1" s="293">
        <f>IFERROR(VLOOKUP($A$1,$F$9:N321,COLUMNS($F$9:N321),FALSE)/VLOOKUP(($A$1-IF(RIGHT($A$1,2)="01",48,1)),$F$9:N321,COLUMNS($F$9:N321),FALSE)-1,"NA")</f>
        <v>-6.1162958977308612E-2</v>
      </c>
      <c r="O1" s="292">
        <f>IFERROR(VLOOKUP($A$1,$F$9:O321,COLUMNS($F$9:O321),FALSE)/VLOOKUP(($A$1-IF(RIGHT($A$1,2)="01",48,1)),$F$9:O321,COLUMNS($F$9:O321),FALSE)-1,"NA")</f>
        <v>2.3203175782338104E-2</v>
      </c>
      <c r="P1" s="293">
        <f>IFERROR(VLOOKUP($A$1,$F$9:P321,COLUMNS($F$9:P321),FALSE)/VLOOKUP(($A$1-IF(RIGHT($A$1,2)="01",48,1)),$F$9:P321,COLUMNS($F$9:P321),FALSE)-1,"NA")</f>
        <v>6.6611796982167348E-2</v>
      </c>
      <c r="Q1" s="293">
        <f>IFERROR(VLOOKUP($A$1,$F$9:Q321,COLUMNS($F$9:Q321),FALSE)/VLOOKUP(($A$1-IF(RIGHT($A$1,2)="01",48,1)),$F$9:Q321,COLUMNS($F$9:Q321),FALSE)-1,"NA")</f>
        <v>-0.1296653150011231</v>
      </c>
      <c r="R1" s="294">
        <f>IFERROR(VLOOKUP($A$1,$F$9:R321,COLUMNS($F$9:R321),FALSE)/VLOOKUP(($A$1-IF(RIGHT($A$1,2)="01",48,1)),$F$9:R321,COLUMNS($F$9:R321),FALSE)-1,"NA")</f>
        <v>-1.6881533744597554E-2</v>
      </c>
    </row>
    <row r="2" spans="1:18" ht="15.75" customHeight="1">
      <c r="A2" s="981"/>
      <c r="B2" s="986"/>
      <c r="C2" s="986"/>
      <c r="D2" s="986"/>
      <c r="E2" s="986"/>
      <c r="F2" s="95" t="s">
        <v>233</v>
      </c>
      <c r="G2" s="295">
        <f>IFERROR(VLOOKUP($A$1,$F$9:G321,COLUMNS($F$9:G321),FALSE)-VLOOKUP(($A$1-IF(RIGHT($A$1,2)="01",48,1)),$F$9:G321,COLUMNS($F$9:G321),FALSE),"NA")</f>
        <v>41652</v>
      </c>
      <c r="H2" s="783">
        <f>IFERROR(VLOOKUP($A$1,$F$9:H321,COLUMNS($F$9:H321),FALSE)-VLOOKUP(($A$1-IF(RIGHT($A$1,2)="01",48,1)),$F$9:H321,COLUMNS($F$9:H321),FALSE),"NA")</f>
        <v>6005</v>
      </c>
      <c r="I2" s="783">
        <f>IFERROR(VLOOKUP($A$1,$F$9:I321,COLUMNS($F$9:I321),FALSE)-VLOOKUP(($A$1-IF(RIGHT($A$1,2)="01",48,1)),$F$9:I321,COLUMNS($F$9:I321),FALSE),"NA")</f>
        <v>-8548</v>
      </c>
      <c r="J2" s="783">
        <f>IFERROR(VLOOKUP($A$1,$F$9:J321,COLUMNS($F$9:J321),FALSE)-VLOOKUP(($A$1-IF(RIGHT($A$1,2)="01",48,1)),$F$9:J321,COLUMNS($F$9:J321),FALSE),"NA")</f>
        <v>39109</v>
      </c>
      <c r="K2" s="295">
        <f>IFERROR(VLOOKUP($A$1,$F$9:K321,COLUMNS($F$9:K321),FALSE)-VLOOKUP(($A$1-IF(RIGHT($A$1,2)="01",48,1)),$F$9:K321,COLUMNS($F$9:K321),FALSE),"NA")</f>
        <v>23805</v>
      </c>
      <c r="L2" s="783">
        <f>IFERROR(VLOOKUP($A$1,$F$9:L321,COLUMNS($F$9:L321),FALSE)-VLOOKUP(($A$1-IF(RIGHT($A$1,2)="01",48,1)),$F$9:L321,COLUMNS($F$9:L321),FALSE),"NA")</f>
        <v>7337</v>
      </c>
      <c r="M2" s="783">
        <f>IFERROR(VLOOKUP($A$1,$F$9:M321,COLUMNS($F$9:M321),FALSE)-VLOOKUP(($A$1-IF(RIGHT($A$1,2)="01",48,1)),$F$9:M321,COLUMNS($F$9:M321),FALSE),"NA")</f>
        <v>-44328</v>
      </c>
      <c r="N2" s="783">
        <f>IFERROR(VLOOKUP($A$1,$F$9:N321,COLUMNS($F$9:N321),FALSE)-VLOOKUP(($A$1-IF(RIGHT($A$1,2)="01",48,1)),$F$9:N321,COLUMNS($F$9:N321),FALSE),"NA")</f>
        <v>-13186</v>
      </c>
      <c r="O2" s="295">
        <f>IFERROR(VLOOKUP($A$1,$F$9:O321,COLUMNS($F$9:O321),FALSE)-VLOOKUP(($A$1-IF(RIGHT($A$1,2)="01",48,1)),$F$9:O321,COLUMNS($F$9:O321),FALSE),"NA")</f>
        <v>1999</v>
      </c>
      <c r="P2" s="783">
        <f>IFERROR(VLOOKUP($A$1,$F$9:P321,COLUMNS($F$9:P321),FALSE)-VLOOKUP(($A$1-IF(RIGHT($A$1,2)="01",48,1)),$F$9:P321,COLUMNS($F$9:P321),FALSE),"NA")</f>
        <v>4856</v>
      </c>
      <c r="Q2" s="783">
        <f>IFERROR(VLOOKUP($A$1,$F$9:Q321,COLUMNS($F$9:Q321),FALSE)-VLOOKUP(($A$1-IF(RIGHT($A$1,2)="01",48,1)),$F$9:Q321,COLUMNS($F$9:Q321),FALSE),"NA")</f>
        <v>-10968</v>
      </c>
      <c r="R2" s="296">
        <f>IFERROR(VLOOKUP($A$1,$F$9:R321,COLUMNS($F$9:R321),FALSE)-VLOOKUP(($A$1-IF(RIGHT($A$1,2)="01",48,1)),$F$9:R321,COLUMNS($F$9:R321),FALSE),"NA")</f>
        <v>-4113</v>
      </c>
    </row>
    <row r="3" spans="1:18" ht="15.75" customHeight="1">
      <c r="A3" s="981"/>
      <c r="B3" s="986"/>
      <c r="C3" s="986"/>
      <c r="D3" s="986"/>
      <c r="E3" s="986"/>
      <c r="F3" s="95" t="s">
        <v>163</v>
      </c>
      <c r="G3" s="297">
        <f>IFERROR(VLOOKUP($A$1,$F$9:G321,COLUMNS($F$9:G321),FALSE)/VLOOKUP(($A$1-99),$F$9:G321,COLUMNS($F$9:G321),FALSE)-1,"NA")</f>
        <v>8.653399154362118E-2</v>
      </c>
      <c r="H3" s="790">
        <f>IFERROR(VLOOKUP($A$1,$F$9:H321,COLUMNS($F$9:H321),FALSE)/VLOOKUP(($A$1-99),$F$9:H321,COLUMNS($F$9:H321),FALSE)-1,"NA")</f>
        <v>-0.20381326676934519</v>
      </c>
      <c r="I3" s="790">
        <f>IFERROR(VLOOKUP($A$1,$F$9:I321,COLUMNS($F$9:I321),FALSE)/VLOOKUP(($A$1-99),$F$9:I321,COLUMNS($F$9:I321),FALSE)-1,"NA")</f>
        <v>-0.22321333418590272</v>
      </c>
      <c r="J3" s="790">
        <f>IFERROR(VLOOKUP($A$1,$F$9:J321,COLUMNS($F$9:J321),FALSE)/VLOOKUP(($A$1-99),$F$9:J321,COLUMNS($F$9:J321),FALSE)-1,"NA")</f>
        <v>-0.11610527261295245</v>
      </c>
      <c r="K3" s="297">
        <f>IFERROR(VLOOKUP($A$1,$F$9:K321,COLUMNS($F$9:K321),FALSE)/VLOOKUP(($A$1-99),$F$9:K321,COLUMNS($F$9:K321),FALSE)-1,"NA")</f>
        <v>-8.2379524912567614E-2</v>
      </c>
      <c r="L3" s="790">
        <f>IFERROR(VLOOKUP($A$1,$F$9:L321,COLUMNS($F$9:L321),FALSE)/VLOOKUP(($A$1-99),$F$9:L321,COLUMNS($F$9:L321),FALSE)-1,"NA")</f>
        <v>-0.31769007921233361</v>
      </c>
      <c r="M3" s="790">
        <f>IFERROR(VLOOKUP($A$1,$F$9:M321,COLUMNS($F$9:M321),FALSE)/VLOOKUP(($A$1-99),$F$9:M321,COLUMNS($F$9:M321),FALSE)-1,"NA")</f>
        <v>4.4452676421560255E-3</v>
      </c>
      <c r="N3" s="790">
        <f>IFERROR(VLOOKUP($A$1,$F$9:N321,COLUMNS($F$9:N321),FALSE)/VLOOKUP(($A$1-99),$F$9:N321,COLUMNS($F$9:N321),FALSE)-1,"NA")</f>
        <v>-0.15939031481020016</v>
      </c>
      <c r="O3" s="297">
        <f>IFERROR(VLOOKUP($A$1,$F$9:O321,COLUMNS($F$9:O321),FALSE)/VLOOKUP(($A$1-99),$F$9:O321,COLUMNS($F$9:O321),FALSE)-1,"NA")</f>
        <v>-1.4202480401695361E-2</v>
      </c>
      <c r="P3" s="790">
        <f>IFERROR(VLOOKUP($A$1,$F$9:P321,COLUMNS($F$9:P321),FALSE)/VLOOKUP(($A$1-99),$F$9:P321,COLUMNS($F$9:P321),FALSE)-1,"NA")</f>
        <v>0.46160642117333039</v>
      </c>
      <c r="Q3" s="790">
        <f>IFERROR(VLOOKUP($A$1,$F$9:Q321,COLUMNS($F$9:Q321),FALSE)/VLOOKUP(($A$1-99),$F$9:Q321,COLUMNS($F$9:Q321),FALSE)-1,"NA")</f>
        <v>-0.10133056640625004</v>
      </c>
      <c r="R3" s="298">
        <f>IFERROR(VLOOKUP($A$1,$F$9:R321,COLUMNS($F$9:R321),FALSE)/VLOOKUP(($A$1-99),$F$9:R321,COLUMNS($F$9:R321),FALSE)-1,"NA")</f>
        <v>6.674089249131554E-2</v>
      </c>
    </row>
    <row r="4" spans="1:18" ht="15.75" customHeight="1">
      <c r="A4" s="981"/>
      <c r="B4" s="986"/>
      <c r="C4" s="986"/>
      <c r="D4" s="986"/>
      <c r="E4" s="986"/>
      <c r="F4" s="95" t="s">
        <v>388</v>
      </c>
      <c r="G4" s="297">
        <f>IFERROR(VLOOKUP($A$1,$F$9:G321,COLUMNS($F$9:G321),FALSE)/VLOOKUP(($A$1),$F$9:$J$321,COLUMNS($F$9:$J$321),FALSE),"NA")</f>
        <v>0.39902442990122355</v>
      </c>
      <c r="H4" s="790">
        <f>IFERROR(VLOOKUP($A$1,$F$9:H321,COLUMNS($F$9:H321),FALSE)/VLOOKUP(($A$1),$F$9:$J$321,COLUMNS($F$9:$J$321),FALSE),"NA")</f>
        <v>0.30469086622495023</v>
      </c>
      <c r="I4" s="790">
        <f>IFERROR(VLOOKUP($A$1,$F$9:I321,COLUMNS($F$9:I321),FALSE)/VLOOKUP(($A$1),$F$9:$J$321,COLUMNS($F$9:$J$321),FALSE),"NA")</f>
        <v>0.29628470387382627</v>
      </c>
      <c r="J4" s="790">
        <f>IFERROR(VLOOKUP($A$1,$F$9:J321,COLUMNS($F$9:J321),FALSE)/VLOOKUP(($A$1),$F$9:$J$321,COLUMNS($F$9:$J$321),FALSE),"NA")</f>
        <v>1</v>
      </c>
      <c r="K4" s="297">
        <f>IFERROR(VLOOKUP($A$1,$F$9:K321,COLUMNS($F$9:K321),FALSE)/VLOOKUP(($A$1),$F$9:$N$321,COLUMNS($F$9:$N$321),FALSE),"NA")</f>
        <v>0.39926977006156067</v>
      </c>
      <c r="L4" s="790">
        <f>IFERROR(VLOOKUP($A$1,$F$9:L321,COLUMNS($F$9:L321),FALSE)/VLOOKUP(($A$1),$F$9:$N$321,COLUMNS($F$9:$N$321),FALSE),"NA")</f>
        <v>0.3327980948804854</v>
      </c>
      <c r="M4" s="790">
        <f>IFERROR(VLOOKUP($A$1,$F$9:M321,COLUMNS($F$9:M321),FALSE)/VLOOKUP(($A$1),$F$9:$N$321,COLUMNS($F$9:$N$321),FALSE),"NA")</f>
        <v>0.26793213505795399</v>
      </c>
      <c r="N4" s="790">
        <f>IFERROR(VLOOKUP($A$1,$F$9:N321,COLUMNS($F$9:N321),FALSE)/VLOOKUP(($A$1),$F$9:$N$321,COLUMNS($F$9:$N$321),FALSE),"NA")</f>
        <v>1</v>
      </c>
      <c r="O4" s="297">
        <f>IFERROR(VLOOKUP($A$1,$F$9:O321,COLUMNS($F$9:O321),FALSE)/VLOOKUP(($A$1),$F$9:$R$321,COLUMNS($F$9:$R$321),FALSE),"NA")</f>
        <v>0.36802267812262551</v>
      </c>
      <c r="P4" s="790">
        <f>IFERROR(VLOOKUP($A$1,$F$9:P321,COLUMNS($F$9:P321),FALSE)/VLOOKUP(($A$1),$F$9:$R$321,COLUMNS($F$9:$R$321),FALSE),"NA")</f>
        <v>0.32462446665497691</v>
      </c>
      <c r="Q4" s="790">
        <f>IFERROR(VLOOKUP($A$1,$F$9:Q321,COLUMNS($F$9:Q321),FALSE)/VLOOKUP(($A$1),$F$9:$R$321,COLUMNS($F$9:$R$321),FALSE),"NA")</f>
        <v>0.30735285522239758</v>
      </c>
      <c r="R4" s="298">
        <f>IFERROR(VLOOKUP($A$1,$F$9:R321,COLUMNS($F$9:R321),FALSE)/VLOOKUP(($A$1),$F$9:$R$321,COLUMNS($F$9:$R$321),FALSE),"NA")</f>
        <v>1</v>
      </c>
    </row>
    <row r="5" spans="1:18" ht="16.350000000000001" customHeight="1">
      <c r="A5" s="981"/>
      <c r="B5" s="986"/>
      <c r="C5" s="986"/>
      <c r="D5" s="986"/>
      <c r="E5" s="986"/>
      <c r="F5" s="95" t="s">
        <v>164</v>
      </c>
      <c r="G5" s="86" t="s">
        <v>326</v>
      </c>
      <c r="H5" s="79" t="s">
        <v>326</v>
      </c>
      <c r="I5" s="79" t="s">
        <v>326</v>
      </c>
      <c r="J5" s="97" t="s">
        <v>166</v>
      </c>
      <c r="K5" s="86" t="s">
        <v>326</v>
      </c>
      <c r="L5" s="79" t="s">
        <v>326</v>
      </c>
      <c r="M5" s="79" t="s">
        <v>326</v>
      </c>
      <c r="N5" s="97" t="s">
        <v>166</v>
      </c>
      <c r="O5" s="86" t="s">
        <v>326</v>
      </c>
      <c r="P5" s="79" t="s">
        <v>326</v>
      </c>
      <c r="Q5" s="79" t="s">
        <v>326</v>
      </c>
      <c r="R5" s="97" t="s">
        <v>166</v>
      </c>
    </row>
    <row r="6" spans="1:18" ht="16.5" customHeight="1" thickBot="1">
      <c r="A6" s="982"/>
      <c r="B6" s="978"/>
      <c r="C6" s="978"/>
      <c r="D6" s="978"/>
      <c r="E6" s="978"/>
      <c r="F6" s="96" t="s">
        <v>174</v>
      </c>
      <c r="G6" s="284"/>
      <c r="H6" s="285"/>
      <c r="I6" s="285"/>
      <c r="J6" s="286"/>
      <c r="K6" s="284"/>
      <c r="L6" s="285"/>
      <c r="M6" s="285"/>
      <c r="N6" s="286"/>
      <c r="O6" s="284"/>
      <c r="P6" s="285"/>
      <c r="Q6" s="285"/>
      <c r="R6" s="286"/>
    </row>
    <row r="7" spans="1:18" ht="15.75" customHeight="1" thickBot="1"/>
    <row r="8" spans="1:18" s="158" customFormat="1" ht="30.75" customHeight="1" thickBot="1">
      <c r="A8" s="81" t="s">
        <v>41</v>
      </c>
      <c r="B8" s="82" t="s">
        <v>44</v>
      </c>
      <c r="C8" s="82" t="s">
        <v>177</v>
      </c>
      <c r="D8" s="82" t="s">
        <v>323</v>
      </c>
      <c r="E8" s="82" t="s">
        <v>48</v>
      </c>
      <c r="F8" s="83" t="s">
        <v>178</v>
      </c>
      <c r="G8" s="81" t="s">
        <v>389</v>
      </c>
      <c r="H8" s="82" t="s">
        <v>390</v>
      </c>
      <c r="I8" s="82" t="s">
        <v>391</v>
      </c>
      <c r="J8" s="83" t="s">
        <v>392</v>
      </c>
      <c r="K8" s="81" t="s">
        <v>393</v>
      </c>
      <c r="L8" s="82" t="s">
        <v>394</v>
      </c>
      <c r="M8" s="82" t="s">
        <v>395</v>
      </c>
      <c r="N8" s="83" t="s">
        <v>396</v>
      </c>
      <c r="O8" s="81" t="s">
        <v>397</v>
      </c>
      <c r="P8" s="82" t="s">
        <v>398</v>
      </c>
      <c r="Q8" s="82" t="s">
        <v>399</v>
      </c>
      <c r="R8" s="83" t="s">
        <v>400</v>
      </c>
    </row>
    <row r="9" spans="1:18" ht="15.75" customHeight="1">
      <c r="A9" s="188">
        <f t="shared" ref="A9:A72" si="0">LEFT(F9,4)+1</f>
        <v>2021</v>
      </c>
      <c r="B9" s="172" t="str">
        <f t="shared" ref="B9:B72" si="1">RIGHT(F9,2)</f>
        <v>01</v>
      </c>
      <c r="C9" s="172" t="str">
        <f t="array" ref="C9">_xlfn.IFS(_xlfn.NUMBERVALUE(B9)&lt;=13,"Q1",AND(_xlfn.NUMBERVALUE(B9)&gt;13,_xlfn.NUMBERVALUE(B9)&lt;=26),"Q2", AND(_xlfn.NUMBERVALUE(B9)&gt;26,_xlfn.NUMBERVALUE(B9)&lt;=39),"Q3",_xlfn.NUMBERVALUE(B9)&gt;39,"Q4")</f>
        <v>Q1</v>
      </c>
      <c r="D9" s="173">
        <v>43862</v>
      </c>
      <c r="E9" s="174">
        <f t="shared" ref="E9:E72" si="2">D9+6</f>
        <v>43868</v>
      </c>
      <c r="F9" s="236">
        <v>202001</v>
      </c>
      <c r="G9" s="99"/>
      <c r="H9" s="100"/>
      <c r="I9" s="100"/>
      <c r="J9" s="213">
        <f t="shared" ref="J9:J72" si="3">SUM(G9:I9)</f>
        <v>0</v>
      </c>
      <c r="K9" s="99"/>
      <c r="L9" s="100"/>
      <c r="M9" s="100"/>
      <c r="N9" s="213">
        <f t="shared" ref="N9:N72" si="4">SUM(K9:M9)</f>
        <v>0</v>
      </c>
      <c r="O9" s="287"/>
      <c r="P9" s="195"/>
      <c r="Q9" s="195"/>
      <c r="R9" s="300">
        <f t="shared" ref="R9:R72" si="5">SUM(O9:Q9)</f>
        <v>0</v>
      </c>
    </row>
    <row r="10" spans="1:18" ht="16.350000000000001" customHeight="1">
      <c r="A10" s="175">
        <f t="shared" si="0"/>
        <v>2021</v>
      </c>
      <c r="B10" s="454" t="str">
        <f t="shared" si="1"/>
        <v>02</v>
      </c>
      <c r="C10" s="454" t="str">
        <f t="array" ref="C10">_xlfn.IFS(_xlfn.NUMBERVALUE(B10)&lt;=13,"Q1",AND(_xlfn.NUMBERVALUE(B10)&gt;13,_xlfn.NUMBERVALUE(B10)&lt;=26),"Q2", AND(_xlfn.NUMBERVALUE(B10)&gt;26,_xlfn.NUMBERVALUE(B10)&lt;=39),"Q3",_xlfn.NUMBERVALUE(B10)&gt;39,"Q4")</f>
        <v>Q1</v>
      </c>
      <c r="D10" s="448">
        <f t="shared" ref="D10:D73" si="6">E9+1</f>
        <v>43869</v>
      </c>
      <c r="E10" s="448">
        <f t="shared" si="2"/>
        <v>43875</v>
      </c>
      <c r="F10" s="97">
        <v>202002</v>
      </c>
      <c r="G10" s="103"/>
      <c r="H10" s="429"/>
      <c r="I10" s="429"/>
      <c r="J10" s="214">
        <f t="shared" si="3"/>
        <v>0</v>
      </c>
      <c r="K10" s="103"/>
      <c r="L10" s="429"/>
      <c r="M10" s="429"/>
      <c r="N10" s="214">
        <f t="shared" si="4"/>
        <v>0</v>
      </c>
      <c r="O10" s="201"/>
      <c r="P10" s="446"/>
      <c r="Q10" s="446"/>
      <c r="R10" s="301">
        <f t="shared" si="5"/>
        <v>0</v>
      </c>
    </row>
    <row r="11" spans="1:18" ht="16.350000000000001" customHeight="1">
      <c r="A11" s="175">
        <f t="shared" si="0"/>
        <v>2021</v>
      </c>
      <c r="B11" s="454" t="str">
        <f t="shared" si="1"/>
        <v>03</v>
      </c>
      <c r="C11" s="454" t="str">
        <f t="array" ref="C11">_xlfn.IFS(_xlfn.NUMBERVALUE(B11)&lt;=13,"Q1",AND(_xlfn.NUMBERVALUE(B11)&gt;13,_xlfn.NUMBERVALUE(B11)&lt;=26),"Q2", AND(_xlfn.NUMBERVALUE(B11)&gt;26,_xlfn.NUMBERVALUE(B11)&lt;=39),"Q3",_xlfn.NUMBERVALUE(B11)&gt;39,"Q4")</f>
        <v>Q1</v>
      </c>
      <c r="D11" s="448">
        <f t="shared" si="6"/>
        <v>43876</v>
      </c>
      <c r="E11" s="448">
        <f t="shared" si="2"/>
        <v>43882</v>
      </c>
      <c r="F11" s="97">
        <v>202003</v>
      </c>
      <c r="G11" s="103"/>
      <c r="H11" s="429"/>
      <c r="I11" s="429"/>
      <c r="J11" s="214">
        <f t="shared" si="3"/>
        <v>0</v>
      </c>
      <c r="K11" s="103"/>
      <c r="L11" s="429"/>
      <c r="M11" s="429"/>
      <c r="N11" s="214">
        <f t="shared" si="4"/>
        <v>0</v>
      </c>
      <c r="O11" s="201"/>
      <c r="P11" s="446"/>
      <c r="Q11" s="446"/>
      <c r="R11" s="301">
        <f t="shared" si="5"/>
        <v>0</v>
      </c>
    </row>
    <row r="12" spans="1:18" ht="16.350000000000001" customHeight="1">
      <c r="A12" s="175">
        <f t="shared" si="0"/>
        <v>2021</v>
      </c>
      <c r="B12" s="454" t="str">
        <f t="shared" si="1"/>
        <v>04</v>
      </c>
      <c r="C12" s="454" t="str">
        <f t="array" ref="C12">_xlfn.IFS(_xlfn.NUMBERVALUE(B12)&lt;=13,"Q1",AND(_xlfn.NUMBERVALUE(B12)&gt;13,_xlfn.NUMBERVALUE(B12)&lt;=26),"Q2", AND(_xlfn.NUMBERVALUE(B12)&gt;26,_xlfn.NUMBERVALUE(B12)&lt;=39),"Q3",_xlfn.NUMBERVALUE(B12)&gt;39,"Q4")</f>
        <v>Q1</v>
      </c>
      <c r="D12" s="448">
        <f t="shared" si="6"/>
        <v>43883</v>
      </c>
      <c r="E12" s="448">
        <f t="shared" si="2"/>
        <v>43889</v>
      </c>
      <c r="F12" s="97">
        <v>202004</v>
      </c>
      <c r="G12" s="103"/>
      <c r="H12" s="429"/>
      <c r="I12" s="429"/>
      <c r="J12" s="214">
        <f t="shared" si="3"/>
        <v>0</v>
      </c>
      <c r="K12" s="103"/>
      <c r="L12" s="429"/>
      <c r="M12" s="429"/>
      <c r="N12" s="214">
        <f t="shared" si="4"/>
        <v>0</v>
      </c>
      <c r="O12" s="201"/>
      <c r="P12" s="446"/>
      <c r="Q12" s="446"/>
      <c r="R12" s="301">
        <f t="shared" si="5"/>
        <v>0</v>
      </c>
    </row>
    <row r="13" spans="1:18" ht="16.350000000000001" customHeight="1">
      <c r="A13" s="175">
        <f t="shared" si="0"/>
        <v>2021</v>
      </c>
      <c r="B13" s="454" t="str">
        <f t="shared" si="1"/>
        <v>05</v>
      </c>
      <c r="C13" s="454" t="str">
        <f t="array" ref="C13">_xlfn.IFS(_xlfn.NUMBERVALUE(B13)&lt;=13,"Q1",AND(_xlfn.NUMBERVALUE(B13)&gt;13,_xlfn.NUMBERVALUE(B13)&lt;=26),"Q2", AND(_xlfn.NUMBERVALUE(B13)&gt;26,_xlfn.NUMBERVALUE(B13)&lt;=39),"Q3",_xlfn.NUMBERVALUE(B13)&gt;39,"Q4")</f>
        <v>Q1</v>
      </c>
      <c r="D13" s="448">
        <f t="shared" si="6"/>
        <v>43890</v>
      </c>
      <c r="E13" s="448">
        <f t="shared" si="2"/>
        <v>43896</v>
      </c>
      <c r="F13" s="97">
        <v>202005</v>
      </c>
      <c r="G13" s="103"/>
      <c r="H13" s="429"/>
      <c r="I13" s="429"/>
      <c r="J13" s="214">
        <f t="shared" si="3"/>
        <v>0</v>
      </c>
      <c r="K13" s="103"/>
      <c r="L13" s="429"/>
      <c r="M13" s="429"/>
      <c r="N13" s="214">
        <f t="shared" si="4"/>
        <v>0</v>
      </c>
      <c r="O13" s="201"/>
      <c r="P13" s="446"/>
      <c r="Q13" s="446"/>
      <c r="R13" s="301">
        <f t="shared" si="5"/>
        <v>0</v>
      </c>
    </row>
    <row r="14" spans="1:18" ht="16.350000000000001" customHeight="1">
      <c r="A14" s="175">
        <f t="shared" si="0"/>
        <v>2021</v>
      </c>
      <c r="B14" s="454" t="str">
        <f t="shared" si="1"/>
        <v>06</v>
      </c>
      <c r="C14" s="454" t="str">
        <f t="array" ref="C14">_xlfn.IFS(_xlfn.NUMBERVALUE(B14)&lt;=13,"Q1",AND(_xlfn.NUMBERVALUE(B14)&gt;13,_xlfn.NUMBERVALUE(B14)&lt;=26),"Q2", AND(_xlfn.NUMBERVALUE(B14)&gt;26,_xlfn.NUMBERVALUE(B14)&lt;=39),"Q3",_xlfn.NUMBERVALUE(B14)&gt;39,"Q4")</f>
        <v>Q1</v>
      </c>
      <c r="D14" s="448">
        <f t="shared" si="6"/>
        <v>43897</v>
      </c>
      <c r="E14" s="448">
        <f t="shared" si="2"/>
        <v>43903</v>
      </c>
      <c r="F14" s="97">
        <v>202006</v>
      </c>
      <c r="G14" s="103"/>
      <c r="H14" s="429"/>
      <c r="I14" s="429"/>
      <c r="J14" s="214">
        <f t="shared" si="3"/>
        <v>0</v>
      </c>
      <c r="K14" s="103"/>
      <c r="L14" s="429"/>
      <c r="M14" s="429"/>
      <c r="N14" s="214">
        <f t="shared" si="4"/>
        <v>0</v>
      </c>
      <c r="O14" s="201"/>
      <c r="P14" s="446"/>
      <c r="Q14" s="446"/>
      <c r="R14" s="301">
        <f t="shared" si="5"/>
        <v>0</v>
      </c>
    </row>
    <row r="15" spans="1:18" ht="16.350000000000001" customHeight="1">
      <c r="A15" s="175">
        <f t="shared" si="0"/>
        <v>2021</v>
      </c>
      <c r="B15" s="454" t="str">
        <f t="shared" si="1"/>
        <v>07</v>
      </c>
      <c r="C15" s="454" t="str">
        <f t="array" ref="C15">_xlfn.IFS(_xlfn.NUMBERVALUE(B15)&lt;=13,"Q1",AND(_xlfn.NUMBERVALUE(B15)&gt;13,_xlfn.NUMBERVALUE(B15)&lt;=26),"Q2", AND(_xlfn.NUMBERVALUE(B15)&gt;26,_xlfn.NUMBERVALUE(B15)&lt;=39),"Q3",_xlfn.NUMBERVALUE(B15)&gt;39,"Q4")</f>
        <v>Q1</v>
      </c>
      <c r="D15" s="448">
        <f t="shared" si="6"/>
        <v>43904</v>
      </c>
      <c r="E15" s="448">
        <f t="shared" si="2"/>
        <v>43910</v>
      </c>
      <c r="F15" s="97">
        <v>202007</v>
      </c>
      <c r="G15" s="103"/>
      <c r="H15" s="429"/>
      <c r="I15" s="429"/>
      <c r="J15" s="214">
        <f t="shared" si="3"/>
        <v>0</v>
      </c>
      <c r="K15" s="103"/>
      <c r="L15" s="429"/>
      <c r="M15" s="429"/>
      <c r="N15" s="214">
        <f t="shared" si="4"/>
        <v>0</v>
      </c>
      <c r="O15" s="201"/>
      <c r="P15" s="446"/>
      <c r="Q15" s="446"/>
      <c r="R15" s="301">
        <f t="shared" si="5"/>
        <v>0</v>
      </c>
    </row>
    <row r="16" spans="1:18" ht="16.350000000000001" customHeight="1">
      <c r="A16" s="175">
        <f t="shared" si="0"/>
        <v>2021</v>
      </c>
      <c r="B16" s="454" t="str">
        <f t="shared" si="1"/>
        <v>08</v>
      </c>
      <c r="C16" s="454" t="str">
        <f t="array" ref="C16">_xlfn.IFS(_xlfn.NUMBERVALUE(B16)&lt;=13,"Q1",AND(_xlfn.NUMBERVALUE(B16)&gt;13,_xlfn.NUMBERVALUE(B16)&lt;=26),"Q2", AND(_xlfn.NUMBERVALUE(B16)&gt;26,_xlfn.NUMBERVALUE(B16)&lt;=39),"Q3",_xlfn.NUMBERVALUE(B16)&gt;39,"Q4")</f>
        <v>Q1</v>
      </c>
      <c r="D16" s="448">
        <f t="shared" si="6"/>
        <v>43911</v>
      </c>
      <c r="E16" s="448">
        <f t="shared" si="2"/>
        <v>43917</v>
      </c>
      <c r="F16" s="97">
        <v>202008</v>
      </c>
      <c r="G16" s="103"/>
      <c r="H16" s="429"/>
      <c r="I16" s="429"/>
      <c r="J16" s="214">
        <f t="shared" si="3"/>
        <v>0</v>
      </c>
      <c r="K16" s="103"/>
      <c r="L16" s="429"/>
      <c r="M16" s="429"/>
      <c r="N16" s="214">
        <f t="shared" si="4"/>
        <v>0</v>
      </c>
      <c r="O16" s="201"/>
      <c r="P16" s="446"/>
      <c r="Q16" s="446"/>
      <c r="R16" s="301">
        <f t="shared" si="5"/>
        <v>0</v>
      </c>
    </row>
    <row r="17" spans="1:18" ht="16.350000000000001" customHeight="1">
      <c r="A17" s="175">
        <f t="shared" si="0"/>
        <v>2021</v>
      </c>
      <c r="B17" s="454" t="str">
        <f t="shared" si="1"/>
        <v>09</v>
      </c>
      <c r="C17" s="454" t="str">
        <f t="array" ref="C17">_xlfn.IFS(_xlfn.NUMBERVALUE(B17)&lt;=13,"Q1",AND(_xlfn.NUMBERVALUE(B17)&gt;13,_xlfn.NUMBERVALUE(B17)&lt;=26),"Q2", AND(_xlfn.NUMBERVALUE(B17)&gt;26,_xlfn.NUMBERVALUE(B17)&lt;=39),"Q3",_xlfn.NUMBERVALUE(B17)&gt;39,"Q4")</f>
        <v>Q1</v>
      </c>
      <c r="D17" s="448">
        <f t="shared" si="6"/>
        <v>43918</v>
      </c>
      <c r="E17" s="448">
        <f t="shared" si="2"/>
        <v>43924</v>
      </c>
      <c r="F17" s="97">
        <v>202009</v>
      </c>
      <c r="G17" s="103"/>
      <c r="H17" s="429"/>
      <c r="I17" s="429"/>
      <c r="J17" s="214">
        <f t="shared" si="3"/>
        <v>0</v>
      </c>
      <c r="K17" s="103"/>
      <c r="L17" s="429"/>
      <c r="M17" s="429"/>
      <c r="N17" s="214">
        <f t="shared" si="4"/>
        <v>0</v>
      </c>
      <c r="O17" s="201"/>
      <c r="P17" s="446"/>
      <c r="Q17" s="446"/>
      <c r="R17" s="301">
        <f t="shared" si="5"/>
        <v>0</v>
      </c>
    </row>
    <row r="18" spans="1:18" ht="16.350000000000001" customHeight="1">
      <c r="A18" s="175">
        <f t="shared" si="0"/>
        <v>2021</v>
      </c>
      <c r="B18" s="454" t="str">
        <f t="shared" si="1"/>
        <v>10</v>
      </c>
      <c r="C18" s="454" t="str">
        <f t="array" ref="C18">_xlfn.IFS(_xlfn.NUMBERVALUE(B18)&lt;=13,"Q1",AND(_xlfn.NUMBERVALUE(B18)&gt;13,_xlfn.NUMBERVALUE(B18)&lt;=26),"Q2", AND(_xlfn.NUMBERVALUE(B18)&gt;26,_xlfn.NUMBERVALUE(B18)&lt;=39),"Q3",_xlfn.NUMBERVALUE(B18)&gt;39,"Q4")</f>
        <v>Q1</v>
      </c>
      <c r="D18" s="448">
        <f t="shared" si="6"/>
        <v>43925</v>
      </c>
      <c r="E18" s="448">
        <f t="shared" si="2"/>
        <v>43931</v>
      </c>
      <c r="F18" s="97">
        <v>202010</v>
      </c>
      <c r="G18" s="103"/>
      <c r="H18" s="429"/>
      <c r="I18" s="429"/>
      <c r="J18" s="214">
        <f t="shared" si="3"/>
        <v>0</v>
      </c>
      <c r="K18" s="103"/>
      <c r="L18" s="429"/>
      <c r="M18" s="429"/>
      <c r="N18" s="214">
        <f t="shared" si="4"/>
        <v>0</v>
      </c>
      <c r="O18" s="201"/>
      <c r="P18" s="446"/>
      <c r="Q18" s="446"/>
      <c r="R18" s="301">
        <f t="shared" si="5"/>
        <v>0</v>
      </c>
    </row>
    <row r="19" spans="1:18" ht="16.350000000000001" customHeight="1">
      <c r="A19" s="175">
        <f t="shared" si="0"/>
        <v>2021</v>
      </c>
      <c r="B19" s="454" t="str">
        <f t="shared" si="1"/>
        <v>11</v>
      </c>
      <c r="C19" s="454" t="str">
        <f t="array" ref="C19">_xlfn.IFS(_xlfn.NUMBERVALUE(B19)&lt;=13,"Q1",AND(_xlfn.NUMBERVALUE(B19)&gt;13,_xlfn.NUMBERVALUE(B19)&lt;=26),"Q2", AND(_xlfn.NUMBERVALUE(B19)&gt;26,_xlfn.NUMBERVALUE(B19)&lt;=39),"Q3",_xlfn.NUMBERVALUE(B19)&gt;39,"Q4")</f>
        <v>Q1</v>
      </c>
      <c r="D19" s="448">
        <f t="shared" si="6"/>
        <v>43932</v>
      </c>
      <c r="E19" s="448">
        <f t="shared" si="2"/>
        <v>43938</v>
      </c>
      <c r="F19" s="97">
        <v>202011</v>
      </c>
      <c r="G19" s="103"/>
      <c r="H19" s="429"/>
      <c r="I19" s="429"/>
      <c r="J19" s="214">
        <f t="shared" si="3"/>
        <v>0</v>
      </c>
      <c r="K19" s="103"/>
      <c r="L19" s="429"/>
      <c r="M19" s="429"/>
      <c r="N19" s="214">
        <f t="shared" si="4"/>
        <v>0</v>
      </c>
      <c r="O19" s="201"/>
      <c r="P19" s="446"/>
      <c r="Q19" s="446"/>
      <c r="R19" s="301">
        <f t="shared" si="5"/>
        <v>0</v>
      </c>
    </row>
    <row r="20" spans="1:18" ht="16.350000000000001" customHeight="1">
      <c r="A20" s="175">
        <f t="shared" si="0"/>
        <v>2021</v>
      </c>
      <c r="B20" s="454" t="str">
        <f t="shared" si="1"/>
        <v>12</v>
      </c>
      <c r="C20" s="454" t="str">
        <f t="array" ref="C20">_xlfn.IFS(_xlfn.NUMBERVALUE(B20)&lt;=13,"Q1",AND(_xlfn.NUMBERVALUE(B20)&gt;13,_xlfn.NUMBERVALUE(B20)&lt;=26),"Q2", AND(_xlfn.NUMBERVALUE(B20)&gt;26,_xlfn.NUMBERVALUE(B20)&lt;=39),"Q3",_xlfn.NUMBERVALUE(B20)&gt;39,"Q4")</f>
        <v>Q1</v>
      </c>
      <c r="D20" s="448">
        <f t="shared" si="6"/>
        <v>43939</v>
      </c>
      <c r="E20" s="448">
        <f t="shared" si="2"/>
        <v>43945</v>
      </c>
      <c r="F20" s="97">
        <v>202012</v>
      </c>
      <c r="G20" s="103"/>
      <c r="H20" s="429"/>
      <c r="I20" s="429"/>
      <c r="J20" s="214">
        <f t="shared" si="3"/>
        <v>0</v>
      </c>
      <c r="K20" s="103"/>
      <c r="L20" s="429"/>
      <c r="M20" s="429"/>
      <c r="N20" s="214">
        <f t="shared" si="4"/>
        <v>0</v>
      </c>
      <c r="O20" s="201"/>
      <c r="P20" s="446"/>
      <c r="Q20" s="446"/>
      <c r="R20" s="301">
        <f t="shared" si="5"/>
        <v>0</v>
      </c>
    </row>
    <row r="21" spans="1:18" ht="16.350000000000001" customHeight="1">
      <c r="A21" s="175">
        <f t="shared" si="0"/>
        <v>2021</v>
      </c>
      <c r="B21" s="454" t="str">
        <f t="shared" si="1"/>
        <v>13</v>
      </c>
      <c r="C21" s="454" t="str">
        <f t="array" ref="C21">_xlfn.IFS(_xlfn.NUMBERVALUE(B21)&lt;=13,"Q1",AND(_xlfn.NUMBERVALUE(B21)&gt;13,_xlfn.NUMBERVALUE(B21)&lt;=26),"Q2", AND(_xlfn.NUMBERVALUE(B21)&gt;26,_xlfn.NUMBERVALUE(B21)&lt;=39),"Q3",_xlfn.NUMBERVALUE(B21)&gt;39,"Q4")</f>
        <v>Q1</v>
      </c>
      <c r="D21" s="448">
        <f t="shared" si="6"/>
        <v>43946</v>
      </c>
      <c r="E21" s="448">
        <f t="shared" si="2"/>
        <v>43952</v>
      </c>
      <c r="F21" s="97">
        <v>202013</v>
      </c>
      <c r="G21" s="103"/>
      <c r="H21" s="429"/>
      <c r="I21" s="429"/>
      <c r="J21" s="214">
        <f t="shared" si="3"/>
        <v>0</v>
      </c>
      <c r="K21" s="103"/>
      <c r="L21" s="429"/>
      <c r="M21" s="429"/>
      <c r="N21" s="214">
        <f t="shared" si="4"/>
        <v>0</v>
      </c>
      <c r="O21" s="201"/>
      <c r="P21" s="446"/>
      <c r="Q21" s="446"/>
      <c r="R21" s="301">
        <f t="shared" si="5"/>
        <v>0</v>
      </c>
    </row>
    <row r="22" spans="1:18" ht="16.350000000000001" customHeight="1">
      <c r="A22" s="175">
        <f t="shared" si="0"/>
        <v>2021</v>
      </c>
      <c r="B22" s="454" t="str">
        <f t="shared" si="1"/>
        <v>14</v>
      </c>
      <c r="C22" s="454" t="str">
        <f t="array" ref="C22">_xlfn.IFS(_xlfn.NUMBERVALUE(B22)&lt;=13,"Q1",AND(_xlfn.NUMBERVALUE(B22)&gt;13,_xlfn.NUMBERVALUE(B22)&lt;=26),"Q2", AND(_xlfn.NUMBERVALUE(B22)&gt;26,_xlfn.NUMBERVALUE(B22)&lt;=39),"Q3",_xlfn.NUMBERVALUE(B22)&gt;39,"Q4")</f>
        <v>Q2</v>
      </c>
      <c r="D22" s="448">
        <f t="shared" si="6"/>
        <v>43953</v>
      </c>
      <c r="E22" s="448">
        <f t="shared" si="2"/>
        <v>43959</v>
      </c>
      <c r="F22" s="97">
        <v>202014</v>
      </c>
      <c r="G22" s="103"/>
      <c r="H22" s="429"/>
      <c r="I22" s="429"/>
      <c r="J22" s="214">
        <f t="shared" si="3"/>
        <v>0</v>
      </c>
      <c r="K22" s="103"/>
      <c r="L22" s="429"/>
      <c r="M22" s="429"/>
      <c r="N22" s="214">
        <f t="shared" si="4"/>
        <v>0</v>
      </c>
      <c r="O22" s="201"/>
      <c r="P22" s="446"/>
      <c r="Q22" s="446"/>
      <c r="R22" s="301">
        <f t="shared" si="5"/>
        <v>0</v>
      </c>
    </row>
    <row r="23" spans="1:18" ht="16.350000000000001" customHeight="1">
      <c r="A23" s="175">
        <f t="shared" si="0"/>
        <v>2021</v>
      </c>
      <c r="B23" s="454" t="str">
        <f t="shared" si="1"/>
        <v>15</v>
      </c>
      <c r="C23" s="454" t="str">
        <f t="array" ref="C23">_xlfn.IFS(_xlfn.NUMBERVALUE(B23)&lt;=13,"Q1",AND(_xlfn.NUMBERVALUE(B23)&gt;13,_xlfn.NUMBERVALUE(B23)&lt;=26),"Q2", AND(_xlfn.NUMBERVALUE(B23)&gt;26,_xlfn.NUMBERVALUE(B23)&lt;=39),"Q3",_xlfn.NUMBERVALUE(B23)&gt;39,"Q4")</f>
        <v>Q2</v>
      </c>
      <c r="D23" s="448">
        <f t="shared" si="6"/>
        <v>43960</v>
      </c>
      <c r="E23" s="448">
        <f t="shared" si="2"/>
        <v>43966</v>
      </c>
      <c r="F23" s="97">
        <v>202015</v>
      </c>
      <c r="G23" s="103"/>
      <c r="H23" s="429"/>
      <c r="I23" s="429"/>
      <c r="J23" s="214">
        <f t="shared" si="3"/>
        <v>0</v>
      </c>
      <c r="K23" s="103"/>
      <c r="L23" s="429"/>
      <c r="M23" s="429"/>
      <c r="N23" s="214">
        <f t="shared" si="4"/>
        <v>0</v>
      </c>
      <c r="O23" s="201"/>
      <c r="P23" s="446"/>
      <c r="Q23" s="446"/>
      <c r="R23" s="301">
        <f t="shared" si="5"/>
        <v>0</v>
      </c>
    </row>
    <row r="24" spans="1:18" ht="16.350000000000001" customHeight="1">
      <c r="A24" s="175">
        <f t="shared" si="0"/>
        <v>2021</v>
      </c>
      <c r="B24" s="454" t="str">
        <f t="shared" si="1"/>
        <v>16</v>
      </c>
      <c r="C24" s="454" t="str">
        <f t="array" ref="C24">_xlfn.IFS(_xlfn.NUMBERVALUE(B24)&lt;=13,"Q1",AND(_xlfn.NUMBERVALUE(B24)&gt;13,_xlfn.NUMBERVALUE(B24)&lt;=26),"Q2", AND(_xlfn.NUMBERVALUE(B24)&gt;26,_xlfn.NUMBERVALUE(B24)&lt;=39),"Q3",_xlfn.NUMBERVALUE(B24)&gt;39,"Q4")</f>
        <v>Q2</v>
      </c>
      <c r="D24" s="448">
        <f t="shared" si="6"/>
        <v>43967</v>
      </c>
      <c r="E24" s="448">
        <f t="shared" si="2"/>
        <v>43973</v>
      </c>
      <c r="F24" s="97">
        <v>202016</v>
      </c>
      <c r="G24" s="103"/>
      <c r="H24" s="429"/>
      <c r="I24" s="429"/>
      <c r="J24" s="214">
        <f t="shared" si="3"/>
        <v>0</v>
      </c>
      <c r="K24" s="103"/>
      <c r="L24" s="429"/>
      <c r="M24" s="429"/>
      <c r="N24" s="214">
        <f t="shared" si="4"/>
        <v>0</v>
      </c>
      <c r="O24" s="201"/>
      <c r="P24" s="446"/>
      <c r="Q24" s="446"/>
      <c r="R24" s="301">
        <f t="shared" si="5"/>
        <v>0</v>
      </c>
    </row>
    <row r="25" spans="1:18" ht="16.350000000000001" customHeight="1">
      <c r="A25" s="175">
        <f t="shared" si="0"/>
        <v>2021</v>
      </c>
      <c r="B25" s="454" t="str">
        <f t="shared" si="1"/>
        <v>17</v>
      </c>
      <c r="C25" s="454" t="str">
        <f t="array" ref="C25">_xlfn.IFS(_xlfn.NUMBERVALUE(B25)&lt;=13,"Q1",AND(_xlfn.NUMBERVALUE(B25)&gt;13,_xlfn.NUMBERVALUE(B25)&lt;=26),"Q2", AND(_xlfn.NUMBERVALUE(B25)&gt;26,_xlfn.NUMBERVALUE(B25)&lt;=39),"Q3",_xlfn.NUMBERVALUE(B25)&gt;39,"Q4")</f>
        <v>Q2</v>
      </c>
      <c r="D25" s="448">
        <f t="shared" si="6"/>
        <v>43974</v>
      </c>
      <c r="E25" s="448">
        <f t="shared" si="2"/>
        <v>43980</v>
      </c>
      <c r="F25" s="97">
        <v>202017</v>
      </c>
      <c r="G25" s="103"/>
      <c r="H25" s="429"/>
      <c r="I25" s="429"/>
      <c r="J25" s="214">
        <f t="shared" si="3"/>
        <v>0</v>
      </c>
      <c r="K25" s="103"/>
      <c r="L25" s="429"/>
      <c r="M25" s="429"/>
      <c r="N25" s="214">
        <f t="shared" si="4"/>
        <v>0</v>
      </c>
      <c r="O25" s="201"/>
      <c r="P25" s="446"/>
      <c r="Q25" s="446"/>
      <c r="R25" s="301">
        <f t="shared" si="5"/>
        <v>0</v>
      </c>
    </row>
    <row r="26" spans="1:18" ht="16.350000000000001" customHeight="1">
      <c r="A26" s="175">
        <f t="shared" si="0"/>
        <v>2021</v>
      </c>
      <c r="B26" s="454" t="str">
        <f t="shared" si="1"/>
        <v>18</v>
      </c>
      <c r="C26" s="454" t="str">
        <f t="array" ref="C26">_xlfn.IFS(_xlfn.NUMBERVALUE(B26)&lt;=13,"Q1",AND(_xlfn.NUMBERVALUE(B26)&gt;13,_xlfn.NUMBERVALUE(B26)&lt;=26),"Q2", AND(_xlfn.NUMBERVALUE(B26)&gt;26,_xlfn.NUMBERVALUE(B26)&lt;=39),"Q3",_xlfn.NUMBERVALUE(B26)&gt;39,"Q4")</f>
        <v>Q2</v>
      </c>
      <c r="D26" s="448">
        <f t="shared" si="6"/>
        <v>43981</v>
      </c>
      <c r="E26" s="448">
        <f t="shared" si="2"/>
        <v>43987</v>
      </c>
      <c r="F26" s="97">
        <v>202018</v>
      </c>
      <c r="G26" s="103"/>
      <c r="H26" s="429"/>
      <c r="I26" s="429"/>
      <c r="J26" s="214">
        <f t="shared" si="3"/>
        <v>0</v>
      </c>
      <c r="K26" s="103"/>
      <c r="L26" s="429"/>
      <c r="M26" s="429"/>
      <c r="N26" s="214">
        <f t="shared" si="4"/>
        <v>0</v>
      </c>
      <c r="O26" s="201"/>
      <c r="P26" s="446"/>
      <c r="Q26" s="446"/>
      <c r="R26" s="301">
        <f t="shared" si="5"/>
        <v>0</v>
      </c>
    </row>
    <row r="27" spans="1:18" ht="16.350000000000001" customHeight="1">
      <c r="A27" s="175">
        <f t="shared" si="0"/>
        <v>2021</v>
      </c>
      <c r="B27" s="454" t="str">
        <f t="shared" si="1"/>
        <v>19</v>
      </c>
      <c r="C27" s="454" t="str">
        <f t="array" ref="C27">_xlfn.IFS(_xlfn.NUMBERVALUE(B27)&lt;=13,"Q1",AND(_xlfn.NUMBERVALUE(B27)&gt;13,_xlfn.NUMBERVALUE(B27)&lt;=26),"Q2", AND(_xlfn.NUMBERVALUE(B27)&gt;26,_xlfn.NUMBERVALUE(B27)&lt;=39),"Q3",_xlfn.NUMBERVALUE(B27)&gt;39,"Q4")</f>
        <v>Q2</v>
      </c>
      <c r="D27" s="448">
        <f t="shared" si="6"/>
        <v>43988</v>
      </c>
      <c r="E27" s="448">
        <f t="shared" si="2"/>
        <v>43994</v>
      </c>
      <c r="F27" s="97">
        <v>202019</v>
      </c>
      <c r="G27" s="103"/>
      <c r="H27" s="429"/>
      <c r="I27" s="429"/>
      <c r="J27" s="214">
        <f t="shared" si="3"/>
        <v>0</v>
      </c>
      <c r="K27" s="103"/>
      <c r="L27" s="429"/>
      <c r="M27" s="429"/>
      <c r="N27" s="214">
        <f t="shared" si="4"/>
        <v>0</v>
      </c>
      <c r="O27" s="197"/>
      <c r="P27" s="462"/>
      <c r="Q27" s="462"/>
      <c r="R27" s="301">
        <f t="shared" si="5"/>
        <v>0</v>
      </c>
    </row>
    <row r="28" spans="1:18" ht="16.350000000000001" customHeight="1">
      <c r="A28" s="175">
        <f t="shared" si="0"/>
        <v>2021</v>
      </c>
      <c r="B28" s="454" t="str">
        <f t="shared" si="1"/>
        <v>20</v>
      </c>
      <c r="C28" s="454" t="str">
        <f t="array" ref="C28">_xlfn.IFS(_xlfn.NUMBERVALUE(B28)&lt;=13,"Q1",AND(_xlfn.NUMBERVALUE(B28)&gt;13,_xlfn.NUMBERVALUE(B28)&lt;=26),"Q2", AND(_xlfn.NUMBERVALUE(B28)&gt;26,_xlfn.NUMBERVALUE(B28)&lt;=39),"Q3",_xlfn.NUMBERVALUE(B28)&gt;39,"Q4")</f>
        <v>Q2</v>
      </c>
      <c r="D28" s="448">
        <f t="shared" si="6"/>
        <v>43995</v>
      </c>
      <c r="E28" s="448">
        <f t="shared" si="2"/>
        <v>44001</v>
      </c>
      <c r="F28" s="97">
        <v>202020</v>
      </c>
      <c r="G28" s="103"/>
      <c r="H28" s="429"/>
      <c r="I28" s="429"/>
      <c r="J28" s="214">
        <f t="shared" si="3"/>
        <v>0</v>
      </c>
      <c r="K28" s="103"/>
      <c r="L28" s="429"/>
      <c r="M28" s="429"/>
      <c r="N28" s="214">
        <f t="shared" si="4"/>
        <v>0</v>
      </c>
      <c r="O28" s="201"/>
      <c r="P28" s="446"/>
      <c r="Q28" s="446"/>
      <c r="R28" s="301">
        <f t="shared" si="5"/>
        <v>0</v>
      </c>
    </row>
    <row r="29" spans="1:18" ht="16.350000000000001" customHeight="1">
      <c r="A29" s="175">
        <f t="shared" si="0"/>
        <v>2021</v>
      </c>
      <c r="B29" s="454" t="str">
        <f t="shared" si="1"/>
        <v>21</v>
      </c>
      <c r="C29" s="454" t="str">
        <f t="array" ref="C29">_xlfn.IFS(_xlfn.NUMBERVALUE(B29)&lt;=13,"Q1",AND(_xlfn.NUMBERVALUE(B29)&gt;13,_xlfn.NUMBERVALUE(B29)&lt;=26),"Q2", AND(_xlfn.NUMBERVALUE(B29)&gt;26,_xlfn.NUMBERVALUE(B29)&lt;=39),"Q3",_xlfn.NUMBERVALUE(B29)&gt;39,"Q4")</f>
        <v>Q2</v>
      </c>
      <c r="D29" s="448">
        <f t="shared" si="6"/>
        <v>44002</v>
      </c>
      <c r="E29" s="448">
        <f t="shared" si="2"/>
        <v>44008</v>
      </c>
      <c r="F29" s="97">
        <v>202021</v>
      </c>
      <c r="G29" s="103"/>
      <c r="H29" s="429"/>
      <c r="I29" s="429"/>
      <c r="J29" s="214">
        <f t="shared" si="3"/>
        <v>0</v>
      </c>
      <c r="K29" s="103"/>
      <c r="L29" s="429"/>
      <c r="M29" s="429"/>
      <c r="N29" s="214">
        <f t="shared" si="4"/>
        <v>0</v>
      </c>
      <c r="O29" s="197"/>
      <c r="P29" s="462"/>
      <c r="Q29" s="462"/>
      <c r="R29" s="301">
        <f t="shared" si="5"/>
        <v>0</v>
      </c>
    </row>
    <row r="30" spans="1:18" ht="16.350000000000001" customHeight="1">
      <c r="A30" s="175">
        <f t="shared" si="0"/>
        <v>2021</v>
      </c>
      <c r="B30" s="454" t="str">
        <f t="shared" si="1"/>
        <v>22</v>
      </c>
      <c r="C30" s="454" t="str">
        <f t="array" ref="C30">_xlfn.IFS(_xlfn.NUMBERVALUE(B30)&lt;=13,"Q1",AND(_xlfn.NUMBERVALUE(B30)&gt;13,_xlfn.NUMBERVALUE(B30)&lt;=26),"Q2", AND(_xlfn.NUMBERVALUE(B30)&gt;26,_xlfn.NUMBERVALUE(B30)&lt;=39),"Q3",_xlfn.NUMBERVALUE(B30)&gt;39,"Q4")</f>
        <v>Q2</v>
      </c>
      <c r="D30" s="448">
        <f t="shared" si="6"/>
        <v>44009</v>
      </c>
      <c r="E30" s="448">
        <f t="shared" si="2"/>
        <v>44015</v>
      </c>
      <c r="F30" s="97">
        <v>202022</v>
      </c>
      <c r="G30" s="103"/>
      <c r="H30" s="429"/>
      <c r="I30" s="429"/>
      <c r="J30" s="214">
        <f t="shared" si="3"/>
        <v>0</v>
      </c>
      <c r="K30" s="103"/>
      <c r="L30" s="429"/>
      <c r="M30" s="429"/>
      <c r="N30" s="214">
        <f t="shared" si="4"/>
        <v>0</v>
      </c>
      <c r="O30" s="201"/>
      <c r="P30" s="446"/>
      <c r="Q30" s="446"/>
      <c r="R30" s="301">
        <f t="shared" si="5"/>
        <v>0</v>
      </c>
    </row>
    <row r="31" spans="1:18" ht="16.350000000000001" customHeight="1">
      <c r="A31" s="175">
        <f t="shared" si="0"/>
        <v>2021</v>
      </c>
      <c r="B31" s="454" t="str">
        <f t="shared" si="1"/>
        <v>23</v>
      </c>
      <c r="C31" s="454" t="str">
        <f t="array" ref="C31">_xlfn.IFS(_xlfn.NUMBERVALUE(B31)&lt;=13,"Q1",AND(_xlfn.NUMBERVALUE(B31)&gt;13,_xlfn.NUMBERVALUE(B31)&lt;=26),"Q2", AND(_xlfn.NUMBERVALUE(B31)&gt;26,_xlfn.NUMBERVALUE(B31)&lt;=39),"Q3",_xlfn.NUMBERVALUE(B31)&gt;39,"Q4")</f>
        <v>Q2</v>
      </c>
      <c r="D31" s="448">
        <f t="shared" si="6"/>
        <v>44016</v>
      </c>
      <c r="E31" s="448">
        <f t="shared" si="2"/>
        <v>44022</v>
      </c>
      <c r="F31" s="97">
        <v>202023</v>
      </c>
      <c r="G31" s="103"/>
      <c r="H31" s="429"/>
      <c r="I31" s="429"/>
      <c r="J31" s="214">
        <f t="shared" si="3"/>
        <v>0</v>
      </c>
      <c r="K31" s="103"/>
      <c r="L31" s="429"/>
      <c r="M31" s="429"/>
      <c r="N31" s="214">
        <f t="shared" si="4"/>
        <v>0</v>
      </c>
      <c r="O31" s="201"/>
      <c r="P31" s="446"/>
      <c r="Q31" s="446"/>
      <c r="R31" s="301">
        <f t="shared" si="5"/>
        <v>0</v>
      </c>
    </row>
    <row r="32" spans="1:18" ht="16.350000000000001" customHeight="1">
      <c r="A32" s="175">
        <f t="shared" si="0"/>
        <v>2021</v>
      </c>
      <c r="B32" s="454" t="str">
        <f t="shared" si="1"/>
        <v>24</v>
      </c>
      <c r="C32" s="454" t="str">
        <f t="array" ref="C32">_xlfn.IFS(_xlfn.NUMBERVALUE(B32)&lt;=13,"Q1",AND(_xlfn.NUMBERVALUE(B32)&gt;13,_xlfn.NUMBERVALUE(B32)&lt;=26),"Q2", AND(_xlfn.NUMBERVALUE(B32)&gt;26,_xlfn.NUMBERVALUE(B32)&lt;=39),"Q3",_xlfn.NUMBERVALUE(B32)&gt;39,"Q4")</f>
        <v>Q2</v>
      </c>
      <c r="D32" s="448">
        <f t="shared" si="6"/>
        <v>44023</v>
      </c>
      <c r="E32" s="448">
        <f t="shared" si="2"/>
        <v>44029</v>
      </c>
      <c r="F32" s="97">
        <v>202024</v>
      </c>
      <c r="G32" s="103"/>
      <c r="H32" s="429"/>
      <c r="I32" s="429"/>
      <c r="J32" s="214">
        <f t="shared" si="3"/>
        <v>0</v>
      </c>
      <c r="K32" s="103"/>
      <c r="L32" s="429"/>
      <c r="M32" s="429"/>
      <c r="N32" s="214">
        <f t="shared" si="4"/>
        <v>0</v>
      </c>
      <c r="O32" s="201"/>
      <c r="P32" s="446"/>
      <c r="Q32" s="446"/>
      <c r="R32" s="301">
        <f t="shared" si="5"/>
        <v>0</v>
      </c>
    </row>
    <row r="33" spans="1:18" ht="16.350000000000001" customHeight="1">
      <c r="A33" s="175">
        <f t="shared" si="0"/>
        <v>2021</v>
      </c>
      <c r="B33" s="454" t="str">
        <f t="shared" si="1"/>
        <v>25</v>
      </c>
      <c r="C33" s="454" t="str">
        <f t="array" ref="C33">_xlfn.IFS(_xlfn.NUMBERVALUE(B33)&lt;=13,"Q1",AND(_xlfn.NUMBERVALUE(B33)&gt;13,_xlfn.NUMBERVALUE(B33)&lt;=26),"Q2", AND(_xlfn.NUMBERVALUE(B33)&gt;26,_xlfn.NUMBERVALUE(B33)&lt;=39),"Q3",_xlfn.NUMBERVALUE(B33)&gt;39,"Q4")</f>
        <v>Q2</v>
      </c>
      <c r="D33" s="448">
        <f t="shared" si="6"/>
        <v>44030</v>
      </c>
      <c r="E33" s="448">
        <f t="shared" si="2"/>
        <v>44036</v>
      </c>
      <c r="F33" s="97">
        <v>202025</v>
      </c>
      <c r="G33" s="103"/>
      <c r="H33" s="429"/>
      <c r="I33" s="429"/>
      <c r="J33" s="214">
        <f t="shared" si="3"/>
        <v>0</v>
      </c>
      <c r="K33" s="103"/>
      <c r="L33" s="429"/>
      <c r="M33" s="429"/>
      <c r="N33" s="214">
        <f t="shared" si="4"/>
        <v>0</v>
      </c>
      <c r="O33" s="197"/>
      <c r="P33" s="462"/>
      <c r="Q33" s="462"/>
      <c r="R33" s="301">
        <f t="shared" si="5"/>
        <v>0</v>
      </c>
    </row>
    <row r="34" spans="1:18" ht="16.350000000000001" customHeight="1">
      <c r="A34" s="175">
        <f t="shared" si="0"/>
        <v>2021</v>
      </c>
      <c r="B34" s="454" t="str">
        <f t="shared" si="1"/>
        <v>26</v>
      </c>
      <c r="C34" s="454" t="str">
        <f t="array" ref="C34">_xlfn.IFS(_xlfn.NUMBERVALUE(B34)&lt;=13,"Q1",AND(_xlfn.NUMBERVALUE(B34)&gt;13,_xlfn.NUMBERVALUE(B34)&lt;=26),"Q2", AND(_xlfn.NUMBERVALUE(B34)&gt;26,_xlfn.NUMBERVALUE(B34)&lt;=39),"Q3",_xlfn.NUMBERVALUE(B34)&gt;39,"Q4")</f>
        <v>Q2</v>
      </c>
      <c r="D34" s="448">
        <f t="shared" si="6"/>
        <v>44037</v>
      </c>
      <c r="E34" s="448">
        <f t="shared" si="2"/>
        <v>44043</v>
      </c>
      <c r="F34" s="97">
        <v>202026</v>
      </c>
      <c r="G34" s="103"/>
      <c r="H34" s="429"/>
      <c r="I34" s="429"/>
      <c r="J34" s="214">
        <f t="shared" si="3"/>
        <v>0</v>
      </c>
      <c r="K34" s="103"/>
      <c r="L34" s="429"/>
      <c r="M34" s="429"/>
      <c r="N34" s="214">
        <f t="shared" si="4"/>
        <v>0</v>
      </c>
      <c r="O34" s="201"/>
      <c r="P34" s="446"/>
      <c r="Q34" s="446"/>
      <c r="R34" s="301">
        <f t="shared" si="5"/>
        <v>0</v>
      </c>
    </row>
    <row r="35" spans="1:18" ht="16.350000000000001" customHeight="1">
      <c r="A35" s="175">
        <f t="shared" si="0"/>
        <v>2021</v>
      </c>
      <c r="B35" s="454" t="str">
        <f t="shared" si="1"/>
        <v>27</v>
      </c>
      <c r="C35" s="454" t="str">
        <f t="array" ref="C35">_xlfn.IFS(_xlfn.NUMBERVALUE(B35)&lt;=13,"Q1",AND(_xlfn.NUMBERVALUE(B35)&gt;13,_xlfn.NUMBERVALUE(B35)&lt;=26),"Q2", AND(_xlfn.NUMBERVALUE(B35)&gt;26,_xlfn.NUMBERVALUE(B35)&lt;=39),"Q3",_xlfn.NUMBERVALUE(B35)&gt;39,"Q4")</f>
        <v>Q3</v>
      </c>
      <c r="D35" s="448">
        <f t="shared" si="6"/>
        <v>44044</v>
      </c>
      <c r="E35" s="448">
        <f t="shared" si="2"/>
        <v>44050</v>
      </c>
      <c r="F35" s="97">
        <v>202027</v>
      </c>
      <c r="G35" s="103"/>
      <c r="H35" s="429"/>
      <c r="I35" s="429"/>
      <c r="J35" s="214">
        <f t="shared" si="3"/>
        <v>0</v>
      </c>
      <c r="K35" s="103"/>
      <c r="L35" s="429"/>
      <c r="M35" s="429"/>
      <c r="N35" s="214">
        <f t="shared" si="4"/>
        <v>0</v>
      </c>
      <c r="O35" s="201"/>
      <c r="P35" s="446"/>
      <c r="Q35" s="446"/>
      <c r="R35" s="301">
        <f t="shared" si="5"/>
        <v>0</v>
      </c>
    </row>
    <row r="36" spans="1:18" ht="16.350000000000001" customHeight="1">
      <c r="A36" s="175">
        <f t="shared" si="0"/>
        <v>2021</v>
      </c>
      <c r="B36" s="454" t="str">
        <f t="shared" si="1"/>
        <v>28</v>
      </c>
      <c r="C36" s="454" t="str">
        <f t="array" ref="C36">_xlfn.IFS(_xlfn.NUMBERVALUE(B36)&lt;=13,"Q1",AND(_xlfn.NUMBERVALUE(B36)&gt;13,_xlfn.NUMBERVALUE(B36)&lt;=26),"Q2", AND(_xlfn.NUMBERVALUE(B36)&gt;26,_xlfn.NUMBERVALUE(B36)&lt;=39),"Q3",_xlfn.NUMBERVALUE(B36)&gt;39,"Q4")</f>
        <v>Q3</v>
      </c>
      <c r="D36" s="448">
        <f t="shared" si="6"/>
        <v>44051</v>
      </c>
      <c r="E36" s="448">
        <f t="shared" si="2"/>
        <v>44057</v>
      </c>
      <c r="F36" s="97">
        <v>202028</v>
      </c>
      <c r="G36" s="103"/>
      <c r="H36" s="429"/>
      <c r="I36" s="429"/>
      <c r="J36" s="214">
        <f t="shared" si="3"/>
        <v>0</v>
      </c>
      <c r="K36" s="103"/>
      <c r="L36" s="429"/>
      <c r="M36" s="429"/>
      <c r="N36" s="214">
        <f t="shared" si="4"/>
        <v>0</v>
      </c>
      <c r="O36" s="201"/>
      <c r="P36" s="446"/>
      <c r="Q36" s="446"/>
      <c r="R36" s="301">
        <f t="shared" si="5"/>
        <v>0</v>
      </c>
    </row>
    <row r="37" spans="1:18" ht="16.350000000000001" customHeight="1">
      <c r="A37" s="175">
        <f t="shared" si="0"/>
        <v>2021</v>
      </c>
      <c r="B37" s="454" t="str">
        <f t="shared" si="1"/>
        <v>29</v>
      </c>
      <c r="C37" s="454" t="str">
        <f t="array" ref="C37">_xlfn.IFS(_xlfn.NUMBERVALUE(B37)&lt;=13,"Q1",AND(_xlfn.NUMBERVALUE(B37)&gt;13,_xlfn.NUMBERVALUE(B37)&lt;=26),"Q2", AND(_xlfn.NUMBERVALUE(B37)&gt;26,_xlfn.NUMBERVALUE(B37)&lt;=39),"Q3",_xlfn.NUMBERVALUE(B37)&gt;39,"Q4")</f>
        <v>Q3</v>
      </c>
      <c r="D37" s="448">
        <f t="shared" si="6"/>
        <v>44058</v>
      </c>
      <c r="E37" s="448">
        <f t="shared" si="2"/>
        <v>44064</v>
      </c>
      <c r="F37" s="97">
        <v>202029</v>
      </c>
      <c r="G37" s="103"/>
      <c r="H37" s="429"/>
      <c r="I37" s="429"/>
      <c r="J37" s="214">
        <f t="shared" si="3"/>
        <v>0</v>
      </c>
      <c r="K37" s="103"/>
      <c r="L37" s="429"/>
      <c r="M37" s="429"/>
      <c r="N37" s="214">
        <f t="shared" si="4"/>
        <v>0</v>
      </c>
      <c r="O37" s="201"/>
      <c r="P37" s="446"/>
      <c r="Q37" s="446"/>
      <c r="R37" s="301">
        <f t="shared" si="5"/>
        <v>0</v>
      </c>
    </row>
    <row r="38" spans="1:18" ht="16.350000000000001" customHeight="1">
      <c r="A38" s="175">
        <f t="shared" si="0"/>
        <v>2021</v>
      </c>
      <c r="B38" s="454" t="str">
        <f t="shared" si="1"/>
        <v>30</v>
      </c>
      <c r="C38" s="454" t="str">
        <f t="array" ref="C38">_xlfn.IFS(_xlfn.NUMBERVALUE(B38)&lt;=13,"Q1",AND(_xlfn.NUMBERVALUE(B38)&gt;13,_xlfn.NUMBERVALUE(B38)&lt;=26),"Q2", AND(_xlfn.NUMBERVALUE(B38)&gt;26,_xlfn.NUMBERVALUE(B38)&lt;=39),"Q3",_xlfn.NUMBERVALUE(B38)&gt;39,"Q4")</f>
        <v>Q3</v>
      </c>
      <c r="D38" s="448">
        <f t="shared" si="6"/>
        <v>44065</v>
      </c>
      <c r="E38" s="448">
        <f t="shared" si="2"/>
        <v>44071</v>
      </c>
      <c r="F38" s="97">
        <v>202030</v>
      </c>
      <c r="G38" s="103"/>
      <c r="H38" s="429"/>
      <c r="I38" s="429"/>
      <c r="J38" s="214">
        <f t="shared" si="3"/>
        <v>0</v>
      </c>
      <c r="K38" s="103"/>
      <c r="L38" s="429"/>
      <c r="M38" s="429"/>
      <c r="N38" s="214">
        <f t="shared" si="4"/>
        <v>0</v>
      </c>
      <c r="O38" s="201"/>
      <c r="P38" s="446"/>
      <c r="Q38" s="446"/>
      <c r="R38" s="301">
        <f t="shared" si="5"/>
        <v>0</v>
      </c>
    </row>
    <row r="39" spans="1:18" ht="16.350000000000001" customHeight="1">
      <c r="A39" s="175">
        <f t="shared" si="0"/>
        <v>2021</v>
      </c>
      <c r="B39" s="454" t="str">
        <f t="shared" si="1"/>
        <v>31</v>
      </c>
      <c r="C39" s="454" t="str">
        <f t="array" ref="C39">_xlfn.IFS(_xlfn.NUMBERVALUE(B39)&lt;=13,"Q1",AND(_xlfn.NUMBERVALUE(B39)&gt;13,_xlfn.NUMBERVALUE(B39)&lt;=26),"Q2", AND(_xlfn.NUMBERVALUE(B39)&gt;26,_xlfn.NUMBERVALUE(B39)&lt;=39),"Q3",_xlfn.NUMBERVALUE(B39)&gt;39,"Q4")</f>
        <v>Q3</v>
      </c>
      <c r="D39" s="448">
        <f t="shared" si="6"/>
        <v>44072</v>
      </c>
      <c r="E39" s="448">
        <f t="shared" si="2"/>
        <v>44078</v>
      </c>
      <c r="F39" s="97">
        <v>202031</v>
      </c>
      <c r="G39" s="103"/>
      <c r="H39" s="429"/>
      <c r="I39" s="429"/>
      <c r="J39" s="214">
        <f t="shared" si="3"/>
        <v>0</v>
      </c>
      <c r="K39" s="103"/>
      <c r="L39" s="429"/>
      <c r="M39" s="429"/>
      <c r="N39" s="214">
        <f t="shared" si="4"/>
        <v>0</v>
      </c>
      <c r="O39" s="201"/>
      <c r="P39" s="446"/>
      <c r="Q39" s="446"/>
      <c r="R39" s="301">
        <f t="shared" si="5"/>
        <v>0</v>
      </c>
    </row>
    <row r="40" spans="1:18" ht="16.350000000000001" customHeight="1">
      <c r="A40" s="175">
        <f t="shared" si="0"/>
        <v>2021</v>
      </c>
      <c r="B40" s="454" t="str">
        <f t="shared" si="1"/>
        <v>32</v>
      </c>
      <c r="C40" s="454" t="str">
        <f t="array" ref="C40">_xlfn.IFS(_xlfn.NUMBERVALUE(B40)&lt;=13,"Q1",AND(_xlfn.NUMBERVALUE(B40)&gt;13,_xlfn.NUMBERVALUE(B40)&lt;=26),"Q2", AND(_xlfn.NUMBERVALUE(B40)&gt;26,_xlfn.NUMBERVALUE(B40)&lt;=39),"Q3",_xlfn.NUMBERVALUE(B40)&gt;39,"Q4")</f>
        <v>Q3</v>
      </c>
      <c r="D40" s="448">
        <f t="shared" si="6"/>
        <v>44079</v>
      </c>
      <c r="E40" s="448">
        <f t="shared" si="2"/>
        <v>44085</v>
      </c>
      <c r="F40" s="97">
        <v>202032</v>
      </c>
      <c r="G40" s="103"/>
      <c r="H40" s="429"/>
      <c r="I40" s="429"/>
      <c r="J40" s="214">
        <f t="shared" si="3"/>
        <v>0</v>
      </c>
      <c r="K40" s="103"/>
      <c r="L40" s="429"/>
      <c r="M40" s="429"/>
      <c r="N40" s="214">
        <f t="shared" si="4"/>
        <v>0</v>
      </c>
      <c r="O40" s="201"/>
      <c r="P40" s="446"/>
      <c r="Q40" s="446"/>
      <c r="R40" s="301">
        <f t="shared" si="5"/>
        <v>0</v>
      </c>
    </row>
    <row r="41" spans="1:18" ht="16.350000000000001" customHeight="1">
      <c r="A41" s="175">
        <f t="shared" si="0"/>
        <v>2021</v>
      </c>
      <c r="B41" s="454" t="str">
        <f t="shared" si="1"/>
        <v>33</v>
      </c>
      <c r="C41" s="454" t="str">
        <f t="array" ref="C41">_xlfn.IFS(_xlfn.NUMBERVALUE(B41)&lt;=13,"Q1",AND(_xlfn.NUMBERVALUE(B41)&gt;13,_xlfn.NUMBERVALUE(B41)&lt;=26),"Q2", AND(_xlfn.NUMBERVALUE(B41)&gt;26,_xlfn.NUMBERVALUE(B41)&lt;=39),"Q3",_xlfn.NUMBERVALUE(B41)&gt;39,"Q4")</f>
        <v>Q3</v>
      </c>
      <c r="D41" s="448">
        <f t="shared" si="6"/>
        <v>44086</v>
      </c>
      <c r="E41" s="448">
        <f t="shared" si="2"/>
        <v>44092</v>
      </c>
      <c r="F41" s="97">
        <v>202033</v>
      </c>
      <c r="G41" s="103"/>
      <c r="H41" s="429"/>
      <c r="I41" s="429"/>
      <c r="J41" s="214">
        <f t="shared" si="3"/>
        <v>0</v>
      </c>
      <c r="K41" s="103"/>
      <c r="L41" s="429"/>
      <c r="M41" s="429"/>
      <c r="N41" s="214">
        <f t="shared" si="4"/>
        <v>0</v>
      </c>
      <c r="O41" s="201"/>
      <c r="P41" s="446"/>
      <c r="Q41" s="446"/>
      <c r="R41" s="301">
        <f t="shared" si="5"/>
        <v>0</v>
      </c>
    </row>
    <row r="42" spans="1:18" ht="16.350000000000001" customHeight="1">
      <c r="A42" s="175">
        <f t="shared" si="0"/>
        <v>2021</v>
      </c>
      <c r="B42" s="454" t="str">
        <f t="shared" si="1"/>
        <v>34</v>
      </c>
      <c r="C42" s="454" t="str">
        <f t="array" ref="C42">_xlfn.IFS(_xlfn.NUMBERVALUE(B42)&lt;=13,"Q1",AND(_xlfn.NUMBERVALUE(B42)&gt;13,_xlfn.NUMBERVALUE(B42)&lt;=26),"Q2", AND(_xlfn.NUMBERVALUE(B42)&gt;26,_xlfn.NUMBERVALUE(B42)&lt;=39),"Q3",_xlfn.NUMBERVALUE(B42)&gt;39,"Q4")</f>
        <v>Q3</v>
      </c>
      <c r="D42" s="448">
        <f t="shared" si="6"/>
        <v>44093</v>
      </c>
      <c r="E42" s="448">
        <f t="shared" si="2"/>
        <v>44099</v>
      </c>
      <c r="F42" s="97">
        <v>202034</v>
      </c>
      <c r="G42" s="103"/>
      <c r="H42" s="429"/>
      <c r="I42" s="429"/>
      <c r="J42" s="214">
        <f t="shared" si="3"/>
        <v>0</v>
      </c>
      <c r="K42" s="103"/>
      <c r="L42" s="429"/>
      <c r="M42" s="429"/>
      <c r="N42" s="214">
        <f t="shared" si="4"/>
        <v>0</v>
      </c>
      <c r="O42" s="201"/>
      <c r="P42" s="446"/>
      <c r="Q42" s="446"/>
      <c r="R42" s="301">
        <f t="shared" si="5"/>
        <v>0</v>
      </c>
    </row>
    <row r="43" spans="1:18" ht="16.350000000000001" customHeight="1">
      <c r="A43" s="175">
        <f t="shared" si="0"/>
        <v>2021</v>
      </c>
      <c r="B43" s="454" t="str">
        <f t="shared" si="1"/>
        <v>35</v>
      </c>
      <c r="C43" s="454" t="str">
        <f t="array" ref="C43">_xlfn.IFS(_xlfn.NUMBERVALUE(B43)&lt;=13,"Q1",AND(_xlfn.NUMBERVALUE(B43)&gt;13,_xlfn.NUMBERVALUE(B43)&lt;=26),"Q2", AND(_xlfn.NUMBERVALUE(B43)&gt;26,_xlfn.NUMBERVALUE(B43)&lt;=39),"Q3",_xlfn.NUMBERVALUE(B43)&gt;39,"Q4")</f>
        <v>Q3</v>
      </c>
      <c r="D43" s="448">
        <f t="shared" si="6"/>
        <v>44100</v>
      </c>
      <c r="E43" s="448">
        <f t="shared" si="2"/>
        <v>44106</v>
      </c>
      <c r="F43" s="97">
        <v>202035</v>
      </c>
      <c r="G43" s="103"/>
      <c r="H43" s="429"/>
      <c r="I43" s="429"/>
      <c r="J43" s="214">
        <f t="shared" si="3"/>
        <v>0</v>
      </c>
      <c r="K43" s="103"/>
      <c r="L43" s="429"/>
      <c r="M43" s="429"/>
      <c r="N43" s="214">
        <f t="shared" si="4"/>
        <v>0</v>
      </c>
      <c r="O43" s="201"/>
      <c r="P43" s="446"/>
      <c r="Q43" s="446"/>
      <c r="R43" s="301">
        <f t="shared" si="5"/>
        <v>0</v>
      </c>
    </row>
    <row r="44" spans="1:18" ht="16.350000000000001" customHeight="1">
      <c r="A44" s="175">
        <f t="shared" si="0"/>
        <v>2021</v>
      </c>
      <c r="B44" s="454" t="str">
        <f t="shared" si="1"/>
        <v>36</v>
      </c>
      <c r="C44" s="454" t="str">
        <f t="array" ref="C44">_xlfn.IFS(_xlfn.NUMBERVALUE(B44)&lt;=13,"Q1",AND(_xlfn.NUMBERVALUE(B44)&gt;13,_xlfn.NUMBERVALUE(B44)&lt;=26),"Q2", AND(_xlfn.NUMBERVALUE(B44)&gt;26,_xlfn.NUMBERVALUE(B44)&lt;=39),"Q3",_xlfn.NUMBERVALUE(B44)&gt;39,"Q4")</f>
        <v>Q3</v>
      </c>
      <c r="D44" s="448">
        <f t="shared" si="6"/>
        <v>44107</v>
      </c>
      <c r="E44" s="448">
        <f t="shared" si="2"/>
        <v>44113</v>
      </c>
      <c r="F44" s="97">
        <v>202036</v>
      </c>
      <c r="G44" s="103"/>
      <c r="H44" s="429"/>
      <c r="I44" s="429"/>
      <c r="J44" s="214">
        <f t="shared" si="3"/>
        <v>0</v>
      </c>
      <c r="K44" s="103"/>
      <c r="L44" s="429"/>
      <c r="M44" s="429"/>
      <c r="N44" s="214">
        <f t="shared" si="4"/>
        <v>0</v>
      </c>
      <c r="O44" s="201"/>
      <c r="P44" s="446"/>
      <c r="Q44" s="446"/>
      <c r="R44" s="301">
        <f t="shared" si="5"/>
        <v>0</v>
      </c>
    </row>
    <row r="45" spans="1:18" ht="16.350000000000001" customHeight="1">
      <c r="A45" s="175">
        <f t="shared" si="0"/>
        <v>2021</v>
      </c>
      <c r="B45" s="454" t="str">
        <f t="shared" si="1"/>
        <v>37</v>
      </c>
      <c r="C45" s="454" t="str">
        <f t="array" ref="C45">_xlfn.IFS(_xlfn.NUMBERVALUE(B45)&lt;=13,"Q1",AND(_xlfn.NUMBERVALUE(B45)&gt;13,_xlfn.NUMBERVALUE(B45)&lt;=26),"Q2", AND(_xlfn.NUMBERVALUE(B45)&gt;26,_xlfn.NUMBERVALUE(B45)&lt;=39),"Q3",_xlfn.NUMBERVALUE(B45)&gt;39,"Q4")</f>
        <v>Q3</v>
      </c>
      <c r="D45" s="448">
        <f t="shared" si="6"/>
        <v>44114</v>
      </c>
      <c r="E45" s="448">
        <f t="shared" si="2"/>
        <v>44120</v>
      </c>
      <c r="F45" s="97">
        <v>202037</v>
      </c>
      <c r="G45" s="103"/>
      <c r="H45" s="429"/>
      <c r="I45" s="429"/>
      <c r="J45" s="214">
        <f t="shared" si="3"/>
        <v>0</v>
      </c>
      <c r="K45" s="103"/>
      <c r="L45" s="429"/>
      <c r="M45" s="429"/>
      <c r="N45" s="214">
        <f t="shared" si="4"/>
        <v>0</v>
      </c>
      <c r="O45" s="201"/>
      <c r="P45" s="446"/>
      <c r="Q45" s="446"/>
      <c r="R45" s="301">
        <f t="shared" si="5"/>
        <v>0</v>
      </c>
    </row>
    <row r="46" spans="1:18" ht="16.350000000000001" customHeight="1">
      <c r="A46" s="175">
        <f t="shared" si="0"/>
        <v>2021</v>
      </c>
      <c r="B46" s="454" t="str">
        <f t="shared" si="1"/>
        <v>38</v>
      </c>
      <c r="C46" s="454" t="str">
        <f t="array" ref="C46">_xlfn.IFS(_xlfn.NUMBERVALUE(B46)&lt;=13,"Q1",AND(_xlfn.NUMBERVALUE(B46)&gt;13,_xlfn.NUMBERVALUE(B46)&lt;=26),"Q2", AND(_xlfn.NUMBERVALUE(B46)&gt;26,_xlfn.NUMBERVALUE(B46)&lt;=39),"Q3",_xlfn.NUMBERVALUE(B46)&gt;39,"Q4")</f>
        <v>Q3</v>
      </c>
      <c r="D46" s="448">
        <f t="shared" si="6"/>
        <v>44121</v>
      </c>
      <c r="E46" s="448">
        <f t="shared" si="2"/>
        <v>44127</v>
      </c>
      <c r="F46" s="97">
        <v>202038</v>
      </c>
      <c r="G46" s="103"/>
      <c r="H46" s="429"/>
      <c r="I46" s="429"/>
      <c r="J46" s="214">
        <f t="shared" si="3"/>
        <v>0</v>
      </c>
      <c r="K46" s="103"/>
      <c r="L46" s="429"/>
      <c r="M46" s="429"/>
      <c r="N46" s="214">
        <f t="shared" si="4"/>
        <v>0</v>
      </c>
      <c r="O46" s="201"/>
      <c r="P46" s="446"/>
      <c r="Q46" s="446"/>
      <c r="R46" s="301">
        <f t="shared" si="5"/>
        <v>0</v>
      </c>
    </row>
    <row r="47" spans="1:18" ht="16.350000000000001" customHeight="1">
      <c r="A47" s="175">
        <f t="shared" si="0"/>
        <v>2021</v>
      </c>
      <c r="B47" s="454" t="str">
        <f t="shared" si="1"/>
        <v>39</v>
      </c>
      <c r="C47" s="454" t="str">
        <f t="array" ref="C47">_xlfn.IFS(_xlfn.NUMBERVALUE(B47)&lt;=13,"Q1",AND(_xlfn.NUMBERVALUE(B47)&gt;13,_xlfn.NUMBERVALUE(B47)&lt;=26),"Q2", AND(_xlfn.NUMBERVALUE(B47)&gt;26,_xlfn.NUMBERVALUE(B47)&lt;=39),"Q3",_xlfn.NUMBERVALUE(B47)&gt;39,"Q4")</f>
        <v>Q3</v>
      </c>
      <c r="D47" s="448">
        <f t="shared" si="6"/>
        <v>44128</v>
      </c>
      <c r="E47" s="448">
        <f t="shared" si="2"/>
        <v>44134</v>
      </c>
      <c r="F47" s="97">
        <v>202039</v>
      </c>
      <c r="G47" s="103"/>
      <c r="H47" s="429"/>
      <c r="I47" s="429"/>
      <c r="J47" s="214">
        <f t="shared" si="3"/>
        <v>0</v>
      </c>
      <c r="K47" s="103"/>
      <c r="L47" s="429"/>
      <c r="M47" s="429"/>
      <c r="N47" s="214">
        <f t="shared" si="4"/>
        <v>0</v>
      </c>
      <c r="O47" s="201"/>
      <c r="P47" s="446"/>
      <c r="Q47" s="446"/>
      <c r="R47" s="301">
        <f t="shared" si="5"/>
        <v>0</v>
      </c>
    </row>
    <row r="48" spans="1:18" ht="16.350000000000001" customHeight="1">
      <c r="A48" s="175">
        <f t="shared" si="0"/>
        <v>2021</v>
      </c>
      <c r="B48" s="454" t="str">
        <f t="shared" si="1"/>
        <v>40</v>
      </c>
      <c r="C48" s="454" t="str">
        <f t="array" ref="C48">_xlfn.IFS(_xlfn.NUMBERVALUE(B48)&lt;=13,"Q1",AND(_xlfn.NUMBERVALUE(B48)&gt;13,_xlfn.NUMBERVALUE(B48)&lt;=26),"Q2", AND(_xlfn.NUMBERVALUE(B48)&gt;26,_xlfn.NUMBERVALUE(B48)&lt;=39),"Q3",_xlfn.NUMBERVALUE(B48)&gt;39,"Q4")</f>
        <v>Q4</v>
      </c>
      <c r="D48" s="448">
        <f t="shared" si="6"/>
        <v>44135</v>
      </c>
      <c r="E48" s="448">
        <f t="shared" si="2"/>
        <v>44141</v>
      </c>
      <c r="F48" s="97">
        <v>202040</v>
      </c>
      <c r="G48" s="103"/>
      <c r="H48" s="429"/>
      <c r="I48" s="429"/>
      <c r="J48" s="214">
        <f t="shared" si="3"/>
        <v>0</v>
      </c>
      <c r="K48" s="103"/>
      <c r="L48" s="429"/>
      <c r="M48" s="429"/>
      <c r="N48" s="214">
        <f t="shared" si="4"/>
        <v>0</v>
      </c>
      <c r="O48" s="201"/>
      <c r="P48" s="446"/>
      <c r="Q48" s="446"/>
      <c r="R48" s="301">
        <f t="shared" si="5"/>
        <v>0</v>
      </c>
    </row>
    <row r="49" spans="1:18" ht="16.350000000000001" customHeight="1">
      <c r="A49" s="175">
        <f t="shared" si="0"/>
        <v>2021</v>
      </c>
      <c r="B49" s="454" t="str">
        <f t="shared" si="1"/>
        <v>41</v>
      </c>
      <c r="C49" s="454" t="str">
        <f t="array" ref="C49">_xlfn.IFS(_xlfn.NUMBERVALUE(B49)&lt;=13,"Q1",AND(_xlfn.NUMBERVALUE(B49)&gt;13,_xlfn.NUMBERVALUE(B49)&lt;=26),"Q2", AND(_xlfn.NUMBERVALUE(B49)&gt;26,_xlfn.NUMBERVALUE(B49)&lt;=39),"Q3",_xlfn.NUMBERVALUE(B49)&gt;39,"Q4")</f>
        <v>Q4</v>
      </c>
      <c r="D49" s="448">
        <f t="shared" si="6"/>
        <v>44142</v>
      </c>
      <c r="E49" s="448">
        <f t="shared" si="2"/>
        <v>44148</v>
      </c>
      <c r="F49" s="97">
        <v>202041</v>
      </c>
      <c r="G49" s="103"/>
      <c r="H49" s="429"/>
      <c r="I49" s="429"/>
      <c r="J49" s="214">
        <f t="shared" si="3"/>
        <v>0</v>
      </c>
      <c r="K49" s="103"/>
      <c r="L49" s="429"/>
      <c r="M49" s="429"/>
      <c r="N49" s="214">
        <f t="shared" si="4"/>
        <v>0</v>
      </c>
      <c r="O49" s="201"/>
      <c r="P49" s="446"/>
      <c r="Q49" s="446"/>
      <c r="R49" s="301">
        <f t="shared" si="5"/>
        <v>0</v>
      </c>
    </row>
    <row r="50" spans="1:18" ht="16.350000000000001" customHeight="1">
      <c r="A50" s="175">
        <f t="shared" si="0"/>
        <v>2021</v>
      </c>
      <c r="B50" s="454" t="str">
        <f t="shared" si="1"/>
        <v>42</v>
      </c>
      <c r="C50" s="454" t="str">
        <f t="array" ref="C50">_xlfn.IFS(_xlfn.NUMBERVALUE(B50)&lt;=13,"Q1",AND(_xlfn.NUMBERVALUE(B50)&gt;13,_xlfn.NUMBERVALUE(B50)&lt;=26),"Q2", AND(_xlfn.NUMBERVALUE(B50)&gt;26,_xlfn.NUMBERVALUE(B50)&lt;=39),"Q3",_xlfn.NUMBERVALUE(B50)&gt;39,"Q4")</f>
        <v>Q4</v>
      </c>
      <c r="D50" s="448">
        <f t="shared" si="6"/>
        <v>44149</v>
      </c>
      <c r="E50" s="448">
        <f t="shared" si="2"/>
        <v>44155</v>
      </c>
      <c r="F50" s="97">
        <v>202042</v>
      </c>
      <c r="G50" s="103"/>
      <c r="H50" s="429"/>
      <c r="I50" s="429"/>
      <c r="J50" s="214">
        <f t="shared" si="3"/>
        <v>0</v>
      </c>
      <c r="K50" s="103"/>
      <c r="L50" s="429"/>
      <c r="M50" s="429"/>
      <c r="N50" s="214">
        <f t="shared" si="4"/>
        <v>0</v>
      </c>
      <c r="O50" s="201"/>
      <c r="P50" s="446"/>
      <c r="Q50" s="446"/>
      <c r="R50" s="301">
        <f t="shared" si="5"/>
        <v>0</v>
      </c>
    </row>
    <row r="51" spans="1:18" ht="16.350000000000001" customHeight="1">
      <c r="A51" s="175">
        <f t="shared" si="0"/>
        <v>2021</v>
      </c>
      <c r="B51" s="454" t="str">
        <f t="shared" si="1"/>
        <v>43</v>
      </c>
      <c r="C51" s="454" t="str">
        <f t="array" ref="C51">_xlfn.IFS(_xlfn.NUMBERVALUE(B51)&lt;=13,"Q1",AND(_xlfn.NUMBERVALUE(B51)&gt;13,_xlfn.NUMBERVALUE(B51)&lt;=26),"Q2", AND(_xlfn.NUMBERVALUE(B51)&gt;26,_xlfn.NUMBERVALUE(B51)&lt;=39),"Q3",_xlfn.NUMBERVALUE(B51)&gt;39,"Q4")</f>
        <v>Q4</v>
      </c>
      <c r="D51" s="448">
        <f t="shared" si="6"/>
        <v>44156</v>
      </c>
      <c r="E51" s="448">
        <f t="shared" si="2"/>
        <v>44162</v>
      </c>
      <c r="F51" s="97">
        <v>202043</v>
      </c>
      <c r="G51" s="103"/>
      <c r="H51" s="429"/>
      <c r="I51" s="429"/>
      <c r="J51" s="214">
        <f t="shared" si="3"/>
        <v>0</v>
      </c>
      <c r="K51" s="103"/>
      <c r="L51" s="429"/>
      <c r="M51" s="429"/>
      <c r="N51" s="214">
        <f t="shared" si="4"/>
        <v>0</v>
      </c>
      <c r="O51" s="201"/>
      <c r="P51" s="446"/>
      <c r="Q51" s="446"/>
      <c r="R51" s="301">
        <f t="shared" si="5"/>
        <v>0</v>
      </c>
    </row>
    <row r="52" spans="1:18" ht="16.350000000000001" customHeight="1">
      <c r="A52" s="175">
        <f t="shared" si="0"/>
        <v>2021</v>
      </c>
      <c r="B52" s="454" t="str">
        <f t="shared" si="1"/>
        <v>44</v>
      </c>
      <c r="C52" s="454" t="str">
        <f t="array" ref="C52">_xlfn.IFS(_xlfn.NUMBERVALUE(B52)&lt;=13,"Q1",AND(_xlfn.NUMBERVALUE(B52)&gt;13,_xlfn.NUMBERVALUE(B52)&lt;=26),"Q2", AND(_xlfn.NUMBERVALUE(B52)&gt;26,_xlfn.NUMBERVALUE(B52)&lt;=39),"Q3",_xlfn.NUMBERVALUE(B52)&gt;39,"Q4")</f>
        <v>Q4</v>
      </c>
      <c r="D52" s="448">
        <f t="shared" si="6"/>
        <v>44163</v>
      </c>
      <c r="E52" s="448">
        <f t="shared" si="2"/>
        <v>44169</v>
      </c>
      <c r="F52" s="97">
        <v>202044</v>
      </c>
      <c r="G52" s="103"/>
      <c r="H52" s="429"/>
      <c r="I52" s="429"/>
      <c r="J52" s="214">
        <f t="shared" si="3"/>
        <v>0</v>
      </c>
      <c r="K52" s="103"/>
      <c r="L52" s="429"/>
      <c r="M52" s="429"/>
      <c r="N52" s="214">
        <f t="shared" si="4"/>
        <v>0</v>
      </c>
      <c r="O52" s="201"/>
      <c r="P52" s="446"/>
      <c r="Q52" s="446"/>
      <c r="R52" s="301">
        <f t="shared" si="5"/>
        <v>0</v>
      </c>
    </row>
    <row r="53" spans="1:18" ht="16.350000000000001" customHeight="1">
      <c r="A53" s="175">
        <f t="shared" si="0"/>
        <v>2021</v>
      </c>
      <c r="B53" s="454" t="str">
        <f t="shared" si="1"/>
        <v>45</v>
      </c>
      <c r="C53" s="454" t="str">
        <f t="array" ref="C53">_xlfn.IFS(_xlfn.NUMBERVALUE(B53)&lt;=13,"Q1",AND(_xlfn.NUMBERVALUE(B53)&gt;13,_xlfn.NUMBERVALUE(B53)&lt;=26),"Q2", AND(_xlfn.NUMBERVALUE(B53)&gt;26,_xlfn.NUMBERVALUE(B53)&lt;=39),"Q3",_xlfn.NUMBERVALUE(B53)&gt;39,"Q4")</f>
        <v>Q4</v>
      </c>
      <c r="D53" s="448">
        <f t="shared" si="6"/>
        <v>44170</v>
      </c>
      <c r="E53" s="448">
        <f t="shared" si="2"/>
        <v>44176</v>
      </c>
      <c r="F53" s="97">
        <v>202045</v>
      </c>
      <c r="G53" s="103"/>
      <c r="H53" s="429"/>
      <c r="I53" s="429"/>
      <c r="J53" s="214">
        <f t="shared" si="3"/>
        <v>0</v>
      </c>
      <c r="K53" s="103"/>
      <c r="L53" s="429"/>
      <c r="M53" s="429"/>
      <c r="N53" s="214">
        <f t="shared" si="4"/>
        <v>0</v>
      </c>
      <c r="O53" s="201"/>
      <c r="P53" s="446"/>
      <c r="Q53" s="446"/>
      <c r="R53" s="301">
        <f t="shared" si="5"/>
        <v>0</v>
      </c>
    </row>
    <row r="54" spans="1:18" ht="16.350000000000001" customHeight="1">
      <c r="A54" s="175">
        <f t="shared" si="0"/>
        <v>2021</v>
      </c>
      <c r="B54" s="454" t="str">
        <f t="shared" si="1"/>
        <v>46</v>
      </c>
      <c r="C54" s="454" t="str">
        <f t="array" ref="C54">_xlfn.IFS(_xlfn.NUMBERVALUE(B54)&lt;=13,"Q1",AND(_xlfn.NUMBERVALUE(B54)&gt;13,_xlfn.NUMBERVALUE(B54)&lt;=26),"Q2", AND(_xlfn.NUMBERVALUE(B54)&gt;26,_xlfn.NUMBERVALUE(B54)&lt;=39),"Q3",_xlfn.NUMBERVALUE(B54)&gt;39,"Q4")</f>
        <v>Q4</v>
      </c>
      <c r="D54" s="448">
        <f t="shared" si="6"/>
        <v>44177</v>
      </c>
      <c r="E54" s="448">
        <f t="shared" si="2"/>
        <v>44183</v>
      </c>
      <c r="F54" s="97">
        <v>202046</v>
      </c>
      <c r="G54" s="103"/>
      <c r="H54" s="429"/>
      <c r="I54" s="429"/>
      <c r="J54" s="214">
        <f t="shared" si="3"/>
        <v>0</v>
      </c>
      <c r="K54" s="103"/>
      <c r="L54" s="429"/>
      <c r="M54" s="429"/>
      <c r="N54" s="214">
        <f t="shared" si="4"/>
        <v>0</v>
      </c>
      <c r="O54" s="201"/>
      <c r="P54" s="446"/>
      <c r="Q54" s="446"/>
      <c r="R54" s="301">
        <f t="shared" si="5"/>
        <v>0</v>
      </c>
    </row>
    <row r="55" spans="1:18" ht="16.350000000000001" customHeight="1">
      <c r="A55" s="175">
        <f t="shared" si="0"/>
        <v>2021</v>
      </c>
      <c r="B55" s="454" t="str">
        <f t="shared" si="1"/>
        <v>47</v>
      </c>
      <c r="C55" s="454" t="str">
        <f t="array" ref="C55">_xlfn.IFS(_xlfn.NUMBERVALUE(B55)&lt;=13,"Q1",AND(_xlfn.NUMBERVALUE(B55)&gt;13,_xlfn.NUMBERVALUE(B55)&lt;=26),"Q2", AND(_xlfn.NUMBERVALUE(B55)&gt;26,_xlfn.NUMBERVALUE(B55)&lt;=39),"Q3",_xlfn.NUMBERVALUE(B55)&gt;39,"Q4")</f>
        <v>Q4</v>
      </c>
      <c r="D55" s="448">
        <f t="shared" si="6"/>
        <v>44184</v>
      </c>
      <c r="E55" s="448">
        <f t="shared" si="2"/>
        <v>44190</v>
      </c>
      <c r="F55" s="97">
        <v>202047</v>
      </c>
      <c r="G55" s="103"/>
      <c r="H55" s="429"/>
      <c r="I55" s="429"/>
      <c r="J55" s="214">
        <f t="shared" si="3"/>
        <v>0</v>
      </c>
      <c r="K55" s="103"/>
      <c r="L55" s="429"/>
      <c r="M55" s="429"/>
      <c r="N55" s="214">
        <f t="shared" si="4"/>
        <v>0</v>
      </c>
      <c r="O55" s="201"/>
      <c r="P55" s="446"/>
      <c r="Q55" s="446"/>
      <c r="R55" s="301">
        <f t="shared" si="5"/>
        <v>0</v>
      </c>
    </row>
    <row r="56" spans="1:18" ht="16.350000000000001" customHeight="1">
      <c r="A56" s="175">
        <f t="shared" si="0"/>
        <v>2021</v>
      </c>
      <c r="B56" s="454" t="str">
        <f t="shared" si="1"/>
        <v>48</v>
      </c>
      <c r="C56" s="454" t="str">
        <f t="array" ref="C56">_xlfn.IFS(_xlfn.NUMBERVALUE(B56)&lt;=13,"Q1",AND(_xlfn.NUMBERVALUE(B56)&gt;13,_xlfn.NUMBERVALUE(B56)&lt;=26),"Q2", AND(_xlfn.NUMBERVALUE(B56)&gt;26,_xlfn.NUMBERVALUE(B56)&lt;=39),"Q3",_xlfn.NUMBERVALUE(B56)&gt;39,"Q4")</f>
        <v>Q4</v>
      </c>
      <c r="D56" s="448">
        <f t="shared" si="6"/>
        <v>44191</v>
      </c>
      <c r="E56" s="448">
        <f t="shared" si="2"/>
        <v>44197</v>
      </c>
      <c r="F56" s="97">
        <v>202048</v>
      </c>
      <c r="G56" s="103"/>
      <c r="H56" s="429"/>
      <c r="I56" s="429"/>
      <c r="J56" s="214">
        <f t="shared" si="3"/>
        <v>0</v>
      </c>
      <c r="K56" s="103"/>
      <c r="L56" s="429"/>
      <c r="M56" s="429"/>
      <c r="N56" s="214">
        <f t="shared" si="4"/>
        <v>0</v>
      </c>
      <c r="O56" s="201"/>
      <c r="P56" s="446"/>
      <c r="Q56" s="446"/>
      <c r="R56" s="301">
        <f t="shared" si="5"/>
        <v>0</v>
      </c>
    </row>
    <row r="57" spans="1:18" ht="16.350000000000001" customHeight="1">
      <c r="A57" s="175">
        <f t="shared" si="0"/>
        <v>2021</v>
      </c>
      <c r="B57" s="454" t="str">
        <f t="shared" si="1"/>
        <v>49</v>
      </c>
      <c r="C57" s="454" t="str">
        <f t="array" ref="C57">_xlfn.IFS(_xlfn.NUMBERVALUE(B57)&lt;=13,"Q1",AND(_xlfn.NUMBERVALUE(B57)&gt;13,_xlfn.NUMBERVALUE(B57)&lt;=26),"Q2", AND(_xlfn.NUMBERVALUE(B57)&gt;26,_xlfn.NUMBERVALUE(B57)&lt;=39),"Q3",_xlfn.NUMBERVALUE(B57)&gt;39,"Q4")</f>
        <v>Q4</v>
      </c>
      <c r="D57" s="448">
        <f t="shared" si="6"/>
        <v>44198</v>
      </c>
      <c r="E57" s="448">
        <f t="shared" si="2"/>
        <v>44204</v>
      </c>
      <c r="F57" s="97">
        <v>202049</v>
      </c>
      <c r="G57" s="103"/>
      <c r="H57" s="429"/>
      <c r="I57" s="429"/>
      <c r="J57" s="214">
        <f t="shared" si="3"/>
        <v>0</v>
      </c>
      <c r="K57" s="103"/>
      <c r="L57" s="429"/>
      <c r="M57" s="429"/>
      <c r="N57" s="214">
        <f t="shared" si="4"/>
        <v>0</v>
      </c>
      <c r="O57" s="201"/>
      <c r="P57" s="446"/>
      <c r="Q57" s="446"/>
      <c r="R57" s="301">
        <f t="shared" si="5"/>
        <v>0</v>
      </c>
    </row>
    <row r="58" spans="1:18" ht="16.350000000000001" customHeight="1">
      <c r="A58" s="175">
        <f t="shared" si="0"/>
        <v>2021</v>
      </c>
      <c r="B58" s="454" t="str">
        <f t="shared" si="1"/>
        <v>50</v>
      </c>
      <c r="C58" s="454" t="str">
        <f t="array" ref="C58">_xlfn.IFS(_xlfn.NUMBERVALUE(B58)&lt;=13,"Q1",AND(_xlfn.NUMBERVALUE(B58)&gt;13,_xlfn.NUMBERVALUE(B58)&lt;=26),"Q2", AND(_xlfn.NUMBERVALUE(B58)&gt;26,_xlfn.NUMBERVALUE(B58)&lt;=39),"Q3",_xlfn.NUMBERVALUE(B58)&gt;39,"Q4")</f>
        <v>Q4</v>
      </c>
      <c r="D58" s="448">
        <f t="shared" si="6"/>
        <v>44205</v>
      </c>
      <c r="E58" s="448">
        <f t="shared" si="2"/>
        <v>44211</v>
      </c>
      <c r="F58" s="97">
        <v>202050</v>
      </c>
      <c r="G58" s="103"/>
      <c r="H58" s="429"/>
      <c r="I58" s="429"/>
      <c r="J58" s="214">
        <f t="shared" si="3"/>
        <v>0</v>
      </c>
      <c r="K58" s="103"/>
      <c r="L58" s="429"/>
      <c r="M58" s="429"/>
      <c r="N58" s="214">
        <f t="shared" si="4"/>
        <v>0</v>
      </c>
      <c r="O58" s="201"/>
      <c r="P58" s="446"/>
      <c r="Q58" s="446"/>
      <c r="R58" s="301">
        <f t="shared" si="5"/>
        <v>0</v>
      </c>
    </row>
    <row r="59" spans="1:18" ht="16.350000000000001" customHeight="1">
      <c r="A59" s="175">
        <f t="shared" si="0"/>
        <v>2021</v>
      </c>
      <c r="B59" s="454" t="str">
        <f t="shared" si="1"/>
        <v>51</v>
      </c>
      <c r="C59" s="454" t="str">
        <f t="array" ref="C59">_xlfn.IFS(_xlfn.NUMBERVALUE(B59)&lt;=13,"Q1",AND(_xlfn.NUMBERVALUE(B59)&gt;13,_xlfn.NUMBERVALUE(B59)&lt;=26),"Q2", AND(_xlfn.NUMBERVALUE(B59)&gt;26,_xlfn.NUMBERVALUE(B59)&lt;=39),"Q3",_xlfn.NUMBERVALUE(B59)&gt;39,"Q4")</f>
        <v>Q4</v>
      </c>
      <c r="D59" s="448">
        <f t="shared" si="6"/>
        <v>44212</v>
      </c>
      <c r="E59" s="448">
        <f t="shared" si="2"/>
        <v>44218</v>
      </c>
      <c r="F59" s="97">
        <v>202051</v>
      </c>
      <c r="G59" s="103"/>
      <c r="H59" s="429"/>
      <c r="I59" s="429"/>
      <c r="J59" s="214">
        <f t="shared" si="3"/>
        <v>0</v>
      </c>
      <c r="K59" s="103"/>
      <c r="L59" s="429"/>
      <c r="M59" s="429"/>
      <c r="N59" s="214">
        <f t="shared" si="4"/>
        <v>0</v>
      </c>
      <c r="O59" s="201"/>
      <c r="P59" s="446"/>
      <c r="Q59" s="446"/>
      <c r="R59" s="301">
        <f t="shared" si="5"/>
        <v>0</v>
      </c>
    </row>
    <row r="60" spans="1:18" ht="16.350000000000001" customHeight="1">
      <c r="A60" s="175">
        <f t="shared" si="0"/>
        <v>2021</v>
      </c>
      <c r="B60" s="454" t="str">
        <f t="shared" si="1"/>
        <v>52</v>
      </c>
      <c r="C60" s="454" t="str">
        <f t="array" ref="C60">_xlfn.IFS(_xlfn.NUMBERVALUE(B60)&lt;=13,"Q1",AND(_xlfn.NUMBERVALUE(B60)&gt;13,_xlfn.NUMBERVALUE(B60)&lt;=26),"Q2", AND(_xlfn.NUMBERVALUE(B60)&gt;26,_xlfn.NUMBERVALUE(B60)&lt;=39),"Q3",_xlfn.NUMBERVALUE(B60)&gt;39,"Q4")</f>
        <v>Q4</v>
      </c>
      <c r="D60" s="448">
        <f t="shared" si="6"/>
        <v>44219</v>
      </c>
      <c r="E60" s="448">
        <f t="shared" si="2"/>
        <v>44225</v>
      </c>
      <c r="F60" s="97">
        <v>202052</v>
      </c>
      <c r="G60" s="103"/>
      <c r="H60" s="429"/>
      <c r="I60" s="429"/>
      <c r="J60" s="214">
        <f t="shared" si="3"/>
        <v>0</v>
      </c>
      <c r="K60" s="103"/>
      <c r="L60" s="429"/>
      <c r="M60" s="429"/>
      <c r="N60" s="214">
        <f t="shared" si="4"/>
        <v>0</v>
      </c>
      <c r="O60" s="201"/>
      <c r="P60" s="446"/>
      <c r="Q60" s="446"/>
      <c r="R60" s="301">
        <f t="shared" si="5"/>
        <v>0</v>
      </c>
    </row>
    <row r="61" spans="1:18" ht="16.350000000000001" customHeight="1">
      <c r="A61" s="175">
        <f t="shared" si="0"/>
        <v>2022</v>
      </c>
      <c r="B61" s="454" t="str">
        <f t="shared" si="1"/>
        <v>01</v>
      </c>
      <c r="C61" s="454" t="str">
        <f t="array" ref="C61">_xlfn.IFS(_xlfn.NUMBERVALUE(B61)&lt;=13,"Q1",AND(_xlfn.NUMBERVALUE(B61)&gt;13,_xlfn.NUMBERVALUE(B61)&lt;=26),"Q2", AND(_xlfn.NUMBERVALUE(B61)&gt;26,_xlfn.NUMBERVALUE(B61)&lt;=39),"Q3",_xlfn.NUMBERVALUE(B61)&gt;39,"Q4")</f>
        <v>Q1</v>
      </c>
      <c r="D61" s="448">
        <f t="shared" si="6"/>
        <v>44226</v>
      </c>
      <c r="E61" s="448">
        <f t="shared" si="2"/>
        <v>44232</v>
      </c>
      <c r="F61" s="97">
        <v>202101</v>
      </c>
      <c r="G61" s="103"/>
      <c r="H61" s="429"/>
      <c r="I61" s="429"/>
      <c r="J61" s="214">
        <f t="shared" si="3"/>
        <v>0</v>
      </c>
      <c r="K61" s="103"/>
      <c r="L61" s="429"/>
      <c r="M61" s="429"/>
      <c r="N61" s="214">
        <f t="shared" si="4"/>
        <v>0</v>
      </c>
      <c r="O61" s="197"/>
      <c r="P61" s="462"/>
      <c r="Q61" s="462"/>
      <c r="R61" s="301">
        <f t="shared" si="5"/>
        <v>0</v>
      </c>
    </row>
    <row r="62" spans="1:18" ht="16.350000000000001" customHeight="1">
      <c r="A62" s="175">
        <f t="shared" si="0"/>
        <v>2022</v>
      </c>
      <c r="B62" s="454" t="str">
        <f t="shared" si="1"/>
        <v>02</v>
      </c>
      <c r="C62" s="454" t="str">
        <f t="array" ref="C62">_xlfn.IFS(_xlfn.NUMBERVALUE(B62)&lt;=13,"Q1",AND(_xlfn.NUMBERVALUE(B62)&gt;13,_xlfn.NUMBERVALUE(B62)&lt;=26),"Q2", AND(_xlfn.NUMBERVALUE(B62)&gt;26,_xlfn.NUMBERVALUE(B62)&lt;=39),"Q3",_xlfn.NUMBERVALUE(B62)&gt;39,"Q4")</f>
        <v>Q1</v>
      </c>
      <c r="D62" s="448">
        <f t="shared" si="6"/>
        <v>44233</v>
      </c>
      <c r="E62" s="448">
        <f t="shared" si="2"/>
        <v>44239</v>
      </c>
      <c r="F62" s="97">
        <v>202102</v>
      </c>
      <c r="G62" s="103"/>
      <c r="H62" s="429"/>
      <c r="I62" s="429"/>
      <c r="J62" s="214">
        <f t="shared" si="3"/>
        <v>0</v>
      </c>
      <c r="K62" s="103"/>
      <c r="L62" s="429"/>
      <c r="M62" s="429"/>
      <c r="N62" s="214">
        <f t="shared" si="4"/>
        <v>0</v>
      </c>
      <c r="O62" s="197"/>
      <c r="P62" s="462"/>
      <c r="Q62" s="462"/>
      <c r="R62" s="301">
        <f t="shared" si="5"/>
        <v>0</v>
      </c>
    </row>
    <row r="63" spans="1:18" ht="16.350000000000001" customHeight="1">
      <c r="A63" s="175">
        <f t="shared" si="0"/>
        <v>2022</v>
      </c>
      <c r="B63" s="454" t="str">
        <f t="shared" si="1"/>
        <v>03</v>
      </c>
      <c r="C63" s="454" t="str">
        <f t="array" ref="C63">_xlfn.IFS(_xlfn.NUMBERVALUE(B63)&lt;=13,"Q1",AND(_xlfn.NUMBERVALUE(B63)&gt;13,_xlfn.NUMBERVALUE(B63)&lt;=26),"Q2", AND(_xlfn.NUMBERVALUE(B63)&gt;26,_xlfn.NUMBERVALUE(B63)&lt;=39),"Q3",_xlfn.NUMBERVALUE(B63)&gt;39,"Q4")</f>
        <v>Q1</v>
      </c>
      <c r="D63" s="448">
        <f t="shared" si="6"/>
        <v>44240</v>
      </c>
      <c r="E63" s="448">
        <f t="shared" si="2"/>
        <v>44246</v>
      </c>
      <c r="F63" s="97">
        <v>202103</v>
      </c>
      <c r="G63" s="103"/>
      <c r="H63" s="429"/>
      <c r="I63" s="429"/>
      <c r="J63" s="214">
        <f t="shared" si="3"/>
        <v>0</v>
      </c>
      <c r="K63" s="103"/>
      <c r="L63" s="429"/>
      <c r="M63" s="429"/>
      <c r="N63" s="214">
        <f t="shared" si="4"/>
        <v>0</v>
      </c>
      <c r="O63" s="197"/>
      <c r="P63" s="462"/>
      <c r="Q63" s="462"/>
      <c r="R63" s="301">
        <f t="shared" si="5"/>
        <v>0</v>
      </c>
    </row>
    <row r="64" spans="1:18" ht="16.350000000000001" customHeight="1">
      <c r="A64" s="175">
        <f t="shared" si="0"/>
        <v>2022</v>
      </c>
      <c r="B64" s="454" t="str">
        <f t="shared" si="1"/>
        <v>04</v>
      </c>
      <c r="C64" s="454" t="str">
        <f t="array" ref="C64">_xlfn.IFS(_xlfn.NUMBERVALUE(B64)&lt;=13,"Q1",AND(_xlfn.NUMBERVALUE(B64)&gt;13,_xlfn.NUMBERVALUE(B64)&lt;=26),"Q2", AND(_xlfn.NUMBERVALUE(B64)&gt;26,_xlfn.NUMBERVALUE(B64)&lt;=39),"Q3",_xlfn.NUMBERVALUE(B64)&gt;39,"Q4")</f>
        <v>Q1</v>
      </c>
      <c r="D64" s="448">
        <f t="shared" si="6"/>
        <v>44247</v>
      </c>
      <c r="E64" s="448">
        <f t="shared" si="2"/>
        <v>44253</v>
      </c>
      <c r="F64" s="97">
        <v>202104</v>
      </c>
      <c r="G64" s="103"/>
      <c r="H64" s="429"/>
      <c r="I64" s="429"/>
      <c r="J64" s="214">
        <f t="shared" si="3"/>
        <v>0</v>
      </c>
      <c r="K64" s="103"/>
      <c r="L64" s="429"/>
      <c r="M64" s="429"/>
      <c r="N64" s="214">
        <f t="shared" si="4"/>
        <v>0</v>
      </c>
      <c r="O64" s="197"/>
      <c r="P64" s="462"/>
      <c r="Q64" s="462"/>
      <c r="R64" s="301">
        <f t="shared" si="5"/>
        <v>0</v>
      </c>
    </row>
    <row r="65" spans="1:18" ht="16.350000000000001" customHeight="1">
      <c r="A65" s="175">
        <f t="shared" si="0"/>
        <v>2022</v>
      </c>
      <c r="B65" s="454" t="str">
        <f t="shared" si="1"/>
        <v>05</v>
      </c>
      <c r="C65" s="454" t="str">
        <f t="array" ref="C65">_xlfn.IFS(_xlfn.NUMBERVALUE(B65)&lt;=13,"Q1",AND(_xlfn.NUMBERVALUE(B65)&gt;13,_xlfn.NUMBERVALUE(B65)&lt;=26),"Q2", AND(_xlfn.NUMBERVALUE(B65)&gt;26,_xlfn.NUMBERVALUE(B65)&lt;=39),"Q3",_xlfn.NUMBERVALUE(B65)&gt;39,"Q4")</f>
        <v>Q1</v>
      </c>
      <c r="D65" s="448">
        <f t="shared" si="6"/>
        <v>44254</v>
      </c>
      <c r="E65" s="448">
        <f t="shared" si="2"/>
        <v>44260</v>
      </c>
      <c r="F65" s="97">
        <v>202105</v>
      </c>
      <c r="G65" s="103"/>
      <c r="H65" s="429"/>
      <c r="I65" s="429"/>
      <c r="J65" s="214">
        <f t="shared" si="3"/>
        <v>0</v>
      </c>
      <c r="K65" s="103"/>
      <c r="L65" s="429"/>
      <c r="M65" s="429"/>
      <c r="N65" s="214">
        <f t="shared" si="4"/>
        <v>0</v>
      </c>
      <c r="O65" s="201"/>
      <c r="P65" s="446"/>
      <c r="Q65" s="446"/>
      <c r="R65" s="301">
        <f t="shared" si="5"/>
        <v>0</v>
      </c>
    </row>
    <row r="66" spans="1:18" ht="16.350000000000001" customHeight="1">
      <c r="A66" s="175">
        <f t="shared" si="0"/>
        <v>2022</v>
      </c>
      <c r="B66" s="454" t="str">
        <f t="shared" si="1"/>
        <v>06</v>
      </c>
      <c r="C66" s="454" t="str">
        <f t="array" ref="C66">_xlfn.IFS(_xlfn.NUMBERVALUE(B66)&lt;=13,"Q1",AND(_xlfn.NUMBERVALUE(B66)&gt;13,_xlfn.NUMBERVALUE(B66)&lt;=26),"Q2", AND(_xlfn.NUMBERVALUE(B66)&gt;26,_xlfn.NUMBERVALUE(B66)&lt;=39),"Q3",_xlfn.NUMBERVALUE(B66)&gt;39,"Q4")</f>
        <v>Q1</v>
      </c>
      <c r="D66" s="448">
        <f t="shared" si="6"/>
        <v>44261</v>
      </c>
      <c r="E66" s="448">
        <f t="shared" si="2"/>
        <v>44267</v>
      </c>
      <c r="F66" s="97">
        <v>202106</v>
      </c>
      <c r="G66" s="103"/>
      <c r="H66" s="429"/>
      <c r="I66" s="429"/>
      <c r="J66" s="214">
        <f t="shared" si="3"/>
        <v>0</v>
      </c>
      <c r="K66" s="103"/>
      <c r="L66" s="429"/>
      <c r="M66" s="429"/>
      <c r="N66" s="214">
        <f t="shared" si="4"/>
        <v>0</v>
      </c>
      <c r="O66" s="201"/>
      <c r="P66" s="446"/>
      <c r="Q66" s="446"/>
      <c r="R66" s="301">
        <f t="shared" si="5"/>
        <v>0</v>
      </c>
    </row>
    <row r="67" spans="1:18" ht="16.350000000000001" customHeight="1">
      <c r="A67" s="175">
        <f t="shared" si="0"/>
        <v>2022</v>
      </c>
      <c r="B67" s="454" t="str">
        <f t="shared" si="1"/>
        <v>07</v>
      </c>
      <c r="C67" s="454" t="str">
        <f t="array" ref="C67">_xlfn.IFS(_xlfn.NUMBERVALUE(B67)&lt;=13,"Q1",AND(_xlfn.NUMBERVALUE(B67)&gt;13,_xlfn.NUMBERVALUE(B67)&lt;=26),"Q2", AND(_xlfn.NUMBERVALUE(B67)&gt;26,_xlfn.NUMBERVALUE(B67)&lt;=39),"Q3",_xlfn.NUMBERVALUE(B67)&gt;39,"Q4")</f>
        <v>Q1</v>
      </c>
      <c r="D67" s="448">
        <f t="shared" si="6"/>
        <v>44268</v>
      </c>
      <c r="E67" s="448">
        <f t="shared" si="2"/>
        <v>44274</v>
      </c>
      <c r="F67" s="97">
        <v>202107</v>
      </c>
      <c r="G67" s="103"/>
      <c r="H67" s="429"/>
      <c r="I67" s="429"/>
      <c r="J67" s="214">
        <f t="shared" si="3"/>
        <v>0</v>
      </c>
      <c r="K67" s="103"/>
      <c r="L67" s="429"/>
      <c r="M67" s="429"/>
      <c r="N67" s="214">
        <f t="shared" si="4"/>
        <v>0</v>
      </c>
      <c r="O67" s="201"/>
      <c r="P67" s="446"/>
      <c r="Q67" s="446"/>
      <c r="R67" s="301">
        <f t="shared" si="5"/>
        <v>0</v>
      </c>
    </row>
    <row r="68" spans="1:18" ht="16.350000000000001" customHeight="1">
      <c r="A68" s="175">
        <f t="shared" si="0"/>
        <v>2022</v>
      </c>
      <c r="B68" s="454" t="str">
        <f t="shared" si="1"/>
        <v>08</v>
      </c>
      <c r="C68" s="454" t="str">
        <f t="array" ref="C68">_xlfn.IFS(_xlfn.NUMBERVALUE(B68)&lt;=13,"Q1",AND(_xlfn.NUMBERVALUE(B68)&gt;13,_xlfn.NUMBERVALUE(B68)&lt;=26),"Q2", AND(_xlfn.NUMBERVALUE(B68)&gt;26,_xlfn.NUMBERVALUE(B68)&lt;=39),"Q3",_xlfn.NUMBERVALUE(B68)&gt;39,"Q4")</f>
        <v>Q1</v>
      </c>
      <c r="D68" s="448">
        <f t="shared" si="6"/>
        <v>44275</v>
      </c>
      <c r="E68" s="448">
        <f t="shared" si="2"/>
        <v>44281</v>
      </c>
      <c r="F68" s="97">
        <v>202108</v>
      </c>
      <c r="G68" s="103"/>
      <c r="H68" s="429"/>
      <c r="I68" s="429"/>
      <c r="J68" s="214">
        <f t="shared" si="3"/>
        <v>0</v>
      </c>
      <c r="K68" s="103"/>
      <c r="L68" s="429"/>
      <c r="M68" s="429"/>
      <c r="N68" s="214">
        <f t="shared" si="4"/>
        <v>0</v>
      </c>
      <c r="O68" s="197"/>
      <c r="P68" s="462"/>
      <c r="Q68" s="462"/>
      <c r="R68" s="301">
        <f t="shared" si="5"/>
        <v>0</v>
      </c>
    </row>
    <row r="69" spans="1:18" ht="16.350000000000001" customHeight="1">
      <c r="A69" s="175">
        <f t="shared" si="0"/>
        <v>2022</v>
      </c>
      <c r="B69" s="454" t="str">
        <f t="shared" si="1"/>
        <v>09</v>
      </c>
      <c r="C69" s="454" t="str">
        <f t="array" ref="C69">_xlfn.IFS(_xlfn.NUMBERVALUE(B69)&lt;=13,"Q1",AND(_xlfn.NUMBERVALUE(B69)&gt;13,_xlfn.NUMBERVALUE(B69)&lt;=26),"Q2", AND(_xlfn.NUMBERVALUE(B69)&gt;26,_xlfn.NUMBERVALUE(B69)&lt;=39),"Q3",_xlfn.NUMBERVALUE(B69)&gt;39,"Q4")</f>
        <v>Q1</v>
      </c>
      <c r="D69" s="448">
        <f t="shared" si="6"/>
        <v>44282</v>
      </c>
      <c r="E69" s="448">
        <f t="shared" si="2"/>
        <v>44288</v>
      </c>
      <c r="F69" s="97">
        <v>202109</v>
      </c>
      <c r="G69" s="103"/>
      <c r="H69" s="429"/>
      <c r="I69" s="429"/>
      <c r="J69" s="214">
        <f t="shared" si="3"/>
        <v>0</v>
      </c>
      <c r="K69" s="103"/>
      <c r="L69" s="429"/>
      <c r="M69" s="429"/>
      <c r="N69" s="214">
        <f t="shared" si="4"/>
        <v>0</v>
      </c>
      <c r="O69" s="201"/>
      <c r="P69" s="446"/>
      <c r="Q69" s="446"/>
      <c r="R69" s="301">
        <f t="shared" si="5"/>
        <v>0</v>
      </c>
    </row>
    <row r="70" spans="1:18" ht="16.350000000000001" customHeight="1">
      <c r="A70" s="175">
        <f t="shared" si="0"/>
        <v>2022</v>
      </c>
      <c r="B70" s="454" t="str">
        <f t="shared" si="1"/>
        <v>10</v>
      </c>
      <c r="C70" s="454" t="str">
        <f t="array" ref="C70">_xlfn.IFS(_xlfn.NUMBERVALUE(B70)&lt;=13,"Q1",AND(_xlfn.NUMBERVALUE(B70)&gt;13,_xlfn.NUMBERVALUE(B70)&lt;=26),"Q2", AND(_xlfn.NUMBERVALUE(B70)&gt;26,_xlfn.NUMBERVALUE(B70)&lt;=39),"Q3",_xlfn.NUMBERVALUE(B70)&gt;39,"Q4")</f>
        <v>Q1</v>
      </c>
      <c r="D70" s="448">
        <f t="shared" si="6"/>
        <v>44289</v>
      </c>
      <c r="E70" s="448">
        <f t="shared" si="2"/>
        <v>44295</v>
      </c>
      <c r="F70" s="97">
        <v>202110</v>
      </c>
      <c r="G70" s="103"/>
      <c r="H70" s="429"/>
      <c r="I70" s="429"/>
      <c r="J70" s="214">
        <f t="shared" si="3"/>
        <v>0</v>
      </c>
      <c r="K70" s="103"/>
      <c r="L70" s="429"/>
      <c r="M70" s="429"/>
      <c r="N70" s="214">
        <f t="shared" si="4"/>
        <v>0</v>
      </c>
      <c r="O70" s="197"/>
      <c r="P70" s="462"/>
      <c r="Q70" s="462"/>
      <c r="R70" s="301">
        <f t="shared" si="5"/>
        <v>0</v>
      </c>
    </row>
    <row r="71" spans="1:18" ht="16.350000000000001" customHeight="1">
      <c r="A71" s="175">
        <f t="shared" si="0"/>
        <v>2022</v>
      </c>
      <c r="B71" s="454" t="str">
        <f t="shared" si="1"/>
        <v>11</v>
      </c>
      <c r="C71" s="454" t="str">
        <f t="array" ref="C71">_xlfn.IFS(_xlfn.NUMBERVALUE(B71)&lt;=13,"Q1",AND(_xlfn.NUMBERVALUE(B71)&gt;13,_xlfn.NUMBERVALUE(B71)&lt;=26),"Q2", AND(_xlfn.NUMBERVALUE(B71)&gt;26,_xlfn.NUMBERVALUE(B71)&lt;=39),"Q3",_xlfn.NUMBERVALUE(B71)&gt;39,"Q4")</f>
        <v>Q1</v>
      </c>
      <c r="D71" s="448">
        <f t="shared" si="6"/>
        <v>44296</v>
      </c>
      <c r="E71" s="448">
        <f t="shared" si="2"/>
        <v>44302</v>
      </c>
      <c r="F71" s="97">
        <v>202111</v>
      </c>
      <c r="G71" s="103"/>
      <c r="H71" s="429"/>
      <c r="I71" s="429"/>
      <c r="J71" s="214">
        <f t="shared" si="3"/>
        <v>0</v>
      </c>
      <c r="K71" s="103"/>
      <c r="L71" s="429"/>
      <c r="M71" s="429"/>
      <c r="N71" s="214">
        <f t="shared" si="4"/>
        <v>0</v>
      </c>
      <c r="O71" s="201"/>
      <c r="P71" s="446"/>
      <c r="Q71" s="446"/>
      <c r="R71" s="301">
        <f t="shared" si="5"/>
        <v>0</v>
      </c>
    </row>
    <row r="72" spans="1:18" ht="16.350000000000001" customHeight="1">
      <c r="A72" s="175">
        <f t="shared" si="0"/>
        <v>2022</v>
      </c>
      <c r="B72" s="454" t="str">
        <f t="shared" si="1"/>
        <v>12</v>
      </c>
      <c r="C72" s="454" t="str">
        <f t="array" ref="C72">_xlfn.IFS(_xlfn.NUMBERVALUE(B72)&lt;=13,"Q1",AND(_xlfn.NUMBERVALUE(B72)&gt;13,_xlfn.NUMBERVALUE(B72)&lt;=26),"Q2", AND(_xlfn.NUMBERVALUE(B72)&gt;26,_xlfn.NUMBERVALUE(B72)&lt;=39),"Q3",_xlfn.NUMBERVALUE(B72)&gt;39,"Q4")</f>
        <v>Q1</v>
      </c>
      <c r="D72" s="448">
        <f t="shared" si="6"/>
        <v>44303</v>
      </c>
      <c r="E72" s="448">
        <f t="shared" si="2"/>
        <v>44309</v>
      </c>
      <c r="F72" s="97">
        <v>202112</v>
      </c>
      <c r="G72" s="103"/>
      <c r="H72" s="429"/>
      <c r="I72" s="429"/>
      <c r="J72" s="214">
        <f t="shared" si="3"/>
        <v>0</v>
      </c>
      <c r="K72" s="103"/>
      <c r="L72" s="429"/>
      <c r="M72" s="429"/>
      <c r="N72" s="214">
        <f t="shared" si="4"/>
        <v>0</v>
      </c>
      <c r="O72" s="201"/>
      <c r="P72" s="446"/>
      <c r="Q72" s="446"/>
      <c r="R72" s="301">
        <f t="shared" si="5"/>
        <v>0</v>
      </c>
    </row>
    <row r="73" spans="1:18" ht="16.350000000000001" customHeight="1">
      <c r="A73" s="175">
        <f t="shared" ref="A73:A136" si="7">LEFT(F73,4)+1</f>
        <v>2022</v>
      </c>
      <c r="B73" s="454" t="str">
        <f t="shared" ref="B73:B136" si="8">RIGHT(F73,2)</f>
        <v>13</v>
      </c>
      <c r="C73" s="454" t="str">
        <f t="array" ref="C73">_xlfn.IFS(_xlfn.NUMBERVALUE(B73)&lt;=13,"Q1",AND(_xlfn.NUMBERVALUE(B73)&gt;13,_xlfn.NUMBERVALUE(B73)&lt;=26),"Q2", AND(_xlfn.NUMBERVALUE(B73)&gt;26,_xlfn.NUMBERVALUE(B73)&lt;=39),"Q3",_xlfn.NUMBERVALUE(B73)&gt;39,"Q4")</f>
        <v>Q1</v>
      </c>
      <c r="D73" s="448">
        <f t="shared" si="6"/>
        <v>44310</v>
      </c>
      <c r="E73" s="448">
        <f t="shared" ref="E73:E136" si="9">D73+6</f>
        <v>44316</v>
      </c>
      <c r="F73" s="97">
        <v>202113</v>
      </c>
      <c r="G73" s="103"/>
      <c r="H73" s="429"/>
      <c r="I73" s="429"/>
      <c r="J73" s="214">
        <f t="shared" ref="J73:J136" si="10">SUM(G73:I73)</f>
        <v>0</v>
      </c>
      <c r="K73" s="103"/>
      <c r="L73" s="429"/>
      <c r="M73" s="429"/>
      <c r="N73" s="214">
        <f t="shared" ref="N73:N136" si="11">SUM(K73:M73)</f>
        <v>0</v>
      </c>
      <c r="O73" s="197"/>
      <c r="P73" s="462"/>
      <c r="Q73" s="462"/>
      <c r="R73" s="301">
        <f t="shared" ref="R73:R136" si="12">SUM(O73:Q73)</f>
        <v>0</v>
      </c>
    </row>
    <row r="74" spans="1:18" ht="16.350000000000001" customHeight="1">
      <c r="A74" s="175">
        <f t="shared" si="7"/>
        <v>2022</v>
      </c>
      <c r="B74" s="454" t="str">
        <f t="shared" si="8"/>
        <v>14</v>
      </c>
      <c r="C74" s="454" t="str">
        <f t="array" ref="C74">_xlfn.IFS(_xlfn.NUMBERVALUE(B74)&lt;=13,"Q1",AND(_xlfn.NUMBERVALUE(B74)&gt;13,_xlfn.NUMBERVALUE(B74)&lt;=26),"Q2", AND(_xlfn.NUMBERVALUE(B74)&gt;26,_xlfn.NUMBERVALUE(B74)&lt;=39),"Q3",_xlfn.NUMBERVALUE(B74)&gt;39,"Q4")</f>
        <v>Q2</v>
      </c>
      <c r="D74" s="448">
        <f t="shared" ref="D74:D137" si="13">E73+1</f>
        <v>44317</v>
      </c>
      <c r="E74" s="448">
        <f t="shared" si="9"/>
        <v>44323</v>
      </c>
      <c r="F74" s="97">
        <v>202114</v>
      </c>
      <c r="G74" s="103"/>
      <c r="H74" s="429"/>
      <c r="I74" s="429"/>
      <c r="J74" s="214">
        <f t="shared" si="10"/>
        <v>0</v>
      </c>
      <c r="K74" s="103"/>
      <c r="L74" s="429"/>
      <c r="M74" s="429"/>
      <c r="N74" s="214">
        <f t="shared" si="11"/>
        <v>0</v>
      </c>
      <c r="O74" s="197"/>
      <c r="P74" s="462"/>
      <c r="Q74" s="462"/>
      <c r="R74" s="301">
        <f t="shared" si="12"/>
        <v>0</v>
      </c>
    </row>
    <row r="75" spans="1:18" ht="16.350000000000001" customHeight="1">
      <c r="A75" s="175">
        <f t="shared" si="7"/>
        <v>2022</v>
      </c>
      <c r="B75" s="454" t="str">
        <f t="shared" si="8"/>
        <v>15</v>
      </c>
      <c r="C75" s="454" t="str">
        <f t="array" ref="C75">_xlfn.IFS(_xlfn.NUMBERVALUE(B75)&lt;=13,"Q1",AND(_xlfn.NUMBERVALUE(B75)&gt;13,_xlfn.NUMBERVALUE(B75)&lt;=26),"Q2", AND(_xlfn.NUMBERVALUE(B75)&gt;26,_xlfn.NUMBERVALUE(B75)&lt;=39),"Q3",_xlfn.NUMBERVALUE(B75)&gt;39,"Q4")</f>
        <v>Q2</v>
      </c>
      <c r="D75" s="448">
        <f t="shared" si="13"/>
        <v>44324</v>
      </c>
      <c r="E75" s="448">
        <f t="shared" si="9"/>
        <v>44330</v>
      </c>
      <c r="F75" s="97">
        <v>202115</v>
      </c>
      <c r="G75" s="103"/>
      <c r="H75" s="429"/>
      <c r="I75" s="429"/>
      <c r="J75" s="214">
        <f t="shared" si="10"/>
        <v>0</v>
      </c>
      <c r="K75" s="103"/>
      <c r="L75" s="429"/>
      <c r="M75" s="429"/>
      <c r="N75" s="214">
        <f t="shared" si="11"/>
        <v>0</v>
      </c>
      <c r="O75" s="197"/>
      <c r="P75" s="462"/>
      <c r="Q75" s="462"/>
      <c r="R75" s="301">
        <f t="shared" si="12"/>
        <v>0</v>
      </c>
    </row>
    <row r="76" spans="1:18" ht="16.350000000000001" customHeight="1">
      <c r="A76" s="175">
        <f t="shared" si="7"/>
        <v>2022</v>
      </c>
      <c r="B76" s="454" t="str">
        <f t="shared" si="8"/>
        <v>16</v>
      </c>
      <c r="C76" s="454" t="str">
        <f t="array" ref="C76">_xlfn.IFS(_xlfn.NUMBERVALUE(B76)&lt;=13,"Q1",AND(_xlfn.NUMBERVALUE(B76)&gt;13,_xlfn.NUMBERVALUE(B76)&lt;=26),"Q2", AND(_xlfn.NUMBERVALUE(B76)&gt;26,_xlfn.NUMBERVALUE(B76)&lt;=39),"Q3",_xlfn.NUMBERVALUE(B76)&gt;39,"Q4")</f>
        <v>Q2</v>
      </c>
      <c r="D76" s="448">
        <f t="shared" si="13"/>
        <v>44331</v>
      </c>
      <c r="E76" s="448">
        <f t="shared" si="9"/>
        <v>44337</v>
      </c>
      <c r="F76" s="97">
        <v>202116</v>
      </c>
      <c r="G76" s="103"/>
      <c r="H76" s="429"/>
      <c r="I76" s="429"/>
      <c r="J76" s="214">
        <f t="shared" si="10"/>
        <v>0</v>
      </c>
      <c r="K76" s="103"/>
      <c r="L76" s="429"/>
      <c r="M76" s="429"/>
      <c r="N76" s="214">
        <f t="shared" si="11"/>
        <v>0</v>
      </c>
      <c r="O76" s="197"/>
      <c r="P76" s="462"/>
      <c r="Q76" s="462"/>
      <c r="R76" s="301">
        <f t="shared" si="12"/>
        <v>0</v>
      </c>
    </row>
    <row r="77" spans="1:18" ht="16.350000000000001" customHeight="1">
      <c r="A77" s="175">
        <f t="shared" si="7"/>
        <v>2022</v>
      </c>
      <c r="B77" s="454" t="str">
        <f t="shared" si="8"/>
        <v>17</v>
      </c>
      <c r="C77" s="454" t="str">
        <f t="array" ref="C77">_xlfn.IFS(_xlfn.NUMBERVALUE(B77)&lt;=13,"Q1",AND(_xlfn.NUMBERVALUE(B77)&gt;13,_xlfn.NUMBERVALUE(B77)&lt;=26),"Q2", AND(_xlfn.NUMBERVALUE(B77)&gt;26,_xlfn.NUMBERVALUE(B77)&lt;=39),"Q3",_xlfn.NUMBERVALUE(B77)&gt;39,"Q4")</f>
        <v>Q2</v>
      </c>
      <c r="D77" s="448">
        <f t="shared" si="13"/>
        <v>44338</v>
      </c>
      <c r="E77" s="448">
        <f t="shared" si="9"/>
        <v>44344</v>
      </c>
      <c r="F77" s="97">
        <v>202117</v>
      </c>
      <c r="G77" s="103"/>
      <c r="H77" s="429"/>
      <c r="I77" s="429"/>
      <c r="J77" s="214">
        <f t="shared" si="10"/>
        <v>0</v>
      </c>
      <c r="K77" s="103"/>
      <c r="L77" s="429"/>
      <c r="M77" s="429"/>
      <c r="N77" s="214">
        <f t="shared" si="11"/>
        <v>0</v>
      </c>
      <c r="O77" s="197"/>
      <c r="P77" s="462"/>
      <c r="Q77" s="462"/>
      <c r="R77" s="301">
        <f t="shared" si="12"/>
        <v>0</v>
      </c>
    </row>
    <row r="78" spans="1:18" ht="16.350000000000001" customHeight="1">
      <c r="A78" s="175">
        <f t="shared" si="7"/>
        <v>2022</v>
      </c>
      <c r="B78" s="454" t="str">
        <f t="shared" si="8"/>
        <v>18</v>
      </c>
      <c r="C78" s="454" t="str">
        <f t="array" ref="C78">_xlfn.IFS(_xlfn.NUMBERVALUE(B78)&lt;=13,"Q1",AND(_xlfn.NUMBERVALUE(B78)&gt;13,_xlfn.NUMBERVALUE(B78)&lt;=26),"Q2", AND(_xlfn.NUMBERVALUE(B78)&gt;26,_xlfn.NUMBERVALUE(B78)&lt;=39),"Q3",_xlfn.NUMBERVALUE(B78)&gt;39,"Q4")</f>
        <v>Q2</v>
      </c>
      <c r="D78" s="448">
        <f t="shared" si="13"/>
        <v>44345</v>
      </c>
      <c r="E78" s="448">
        <f t="shared" si="9"/>
        <v>44351</v>
      </c>
      <c r="F78" s="97">
        <v>202118</v>
      </c>
      <c r="G78" s="103"/>
      <c r="H78" s="429"/>
      <c r="I78" s="429"/>
      <c r="J78" s="214">
        <f t="shared" si="10"/>
        <v>0</v>
      </c>
      <c r="K78" s="103"/>
      <c r="L78" s="429"/>
      <c r="M78" s="429"/>
      <c r="N78" s="214">
        <f t="shared" si="11"/>
        <v>0</v>
      </c>
      <c r="O78" s="197"/>
      <c r="P78" s="462"/>
      <c r="Q78" s="462"/>
      <c r="R78" s="301">
        <f t="shared" si="12"/>
        <v>0</v>
      </c>
    </row>
    <row r="79" spans="1:18" ht="16.350000000000001" customHeight="1">
      <c r="A79" s="175">
        <f t="shared" si="7"/>
        <v>2022</v>
      </c>
      <c r="B79" s="454" t="str">
        <f t="shared" si="8"/>
        <v>19</v>
      </c>
      <c r="C79" s="454" t="str">
        <f t="array" ref="C79">_xlfn.IFS(_xlfn.NUMBERVALUE(B79)&lt;=13,"Q1",AND(_xlfn.NUMBERVALUE(B79)&gt;13,_xlfn.NUMBERVALUE(B79)&lt;=26),"Q2", AND(_xlfn.NUMBERVALUE(B79)&gt;26,_xlfn.NUMBERVALUE(B79)&lt;=39),"Q3",_xlfn.NUMBERVALUE(B79)&gt;39,"Q4")</f>
        <v>Q2</v>
      </c>
      <c r="D79" s="448">
        <f t="shared" si="13"/>
        <v>44352</v>
      </c>
      <c r="E79" s="448">
        <f t="shared" si="9"/>
        <v>44358</v>
      </c>
      <c r="F79" s="97">
        <v>202119</v>
      </c>
      <c r="G79" s="103"/>
      <c r="H79" s="429"/>
      <c r="I79" s="429"/>
      <c r="J79" s="214">
        <f t="shared" si="10"/>
        <v>0</v>
      </c>
      <c r="K79" s="103"/>
      <c r="L79" s="429"/>
      <c r="M79" s="429"/>
      <c r="N79" s="214">
        <f t="shared" si="11"/>
        <v>0</v>
      </c>
      <c r="O79" s="197"/>
      <c r="P79" s="462"/>
      <c r="Q79" s="462"/>
      <c r="R79" s="301">
        <f t="shared" si="12"/>
        <v>0</v>
      </c>
    </row>
    <row r="80" spans="1:18" ht="16.350000000000001" customHeight="1">
      <c r="A80" s="175">
        <f t="shared" si="7"/>
        <v>2022</v>
      </c>
      <c r="B80" s="454" t="str">
        <f t="shared" si="8"/>
        <v>20</v>
      </c>
      <c r="C80" s="454" t="str">
        <f t="array" ref="C80">_xlfn.IFS(_xlfn.NUMBERVALUE(B80)&lt;=13,"Q1",AND(_xlfn.NUMBERVALUE(B80)&gt;13,_xlfn.NUMBERVALUE(B80)&lt;=26),"Q2", AND(_xlfn.NUMBERVALUE(B80)&gt;26,_xlfn.NUMBERVALUE(B80)&lt;=39),"Q3",_xlfn.NUMBERVALUE(B80)&gt;39,"Q4")</f>
        <v>Q2</v>
      </c>
      <c r="D80" s="448">
        <f t="shared" si="13"/>
        <v>44359</v>
      </c>
      <c r="E80" s="448">
        <f t="shared" si="9"/>
        <v>44365</v>
      </c>
      <c r="F80" s="97">
        <v>202120</v>
      </c>
      <c r="G80" s="103"/>
      <c r="H80" s="429"/>
      <c r="I80" s="429"/>
      <c r="J80" s="214">
        <f t="shared" si="10"/>
        <v>0</v>
      </c>
      <c r="K80" s="103"/>
      <c r="L80" s="429"/>
      <c r="M80" s="429"/>
      <c r="N80" s="214">
        <f t="shared" si="11"/>
        <v>0</v>
      </c>
      <c r="O80" s="197"/>
      <c r="P80" s="462"/>
      <c r="Q80" s="462"/>
      <c r="R80" s="301">
        <f t="shared" si="12"/>
        <v>0</v>
      </c>
    </row>
    <row r="81" spans="1:18" ht="16.350000000000001" customHeight="1">
      <c r="A81" s="175">
        <f t="shared" si="7"/>
        <v>2022</v>
      </c>
      <c r="B81" s="454" t="str">
        <f t="shared" si="8"/>
        <v>21</v>
      </c>
      <c r="C81" s="454" t="str">
        <f t="array" ref="C81">_xlfn.IFS(_xlfn.NUMBERVALUE(B81)&lt;=13,"Q1",AND(_xlfn.NUMBERVALUE(B81)&gt;13,_xlfn.NUMBERVALUE(B81)&lt;=26),"Q2", AND(_xlfn.NUMBERVALUE(B81)&gt;26,_xlfn.NUMBERVALUE(B81)&lt;=39),"Q3",_xlfn.NUMBERVALUE(B81)&gt;39,"Q4")</f>
        <v>Q2</v>
      </c>
      <c r="D81" s="448">
        <f t="shared" si="13"/>
        <v>44366</v>
      </c>
      <c r="E81" s="448">
        <f t="shared" si="9"/>
        <v>44372</v>
      </c>
      <c r="F81" s="97">
        <v>202121</v>
      </c>
      <c r="G81" s="103"/>
      <c r="H81" s="429"/>
      <c r="I81" s="429"/>
      <c r="J81" s="214">
        <f t="shared" si="10"/>
        <v>0</v>
      </c>
      <c r="K81" s="103"/>
      <c r="L81" s="429"/>
      <c r="M81" s="429"/>
      <c r="N81" s="214">
        <f t="shared" si="11"/>
        <v>0</v>
      </c>
      <c r="O81" s="197"/>
      <c r="P81" s="462"/>
      <c r="Q81" s="462"/>
      <c r="R81" s="301">
        <f t="shared" si="12"/>
        <v>0</v>
      </c>
    </row>
    <row r="82" spans="1:18" ht="16.350000000000001" customHeight="1">
      <c r="A82" s="175">
        <f t="shared" si="7"/>
        <v>2022</v>
      </c>
      <c r="B82" s="454" t="str">
        <f t="shared" si="8"/>
        <v>22</v>
      </c>
      <c r="C82" s="454" t="str">
        <f t="array" ref="C82">_xlfn.IFS(_xlfn.NUMBERVALUE(B82)&lt;=13,"Q1",AND(_xlfn.NUMBERVALUE(B82)&gt;13,_xlfn.NUMBERVALUE(B82)&lt;=26),"Q2", AND(_xlfn.NUMBERVALUE(B82)&gt;26,_xlfn.NUMBERVALUE(B82)&lt;=39),"Q3",_xlfn.NUMBERVALUE(B82)&gt;39,"Q4")</f>
        <v>Q2</v>
      </c>
      <c r="D82" s="448">
        <f t="shared" si="13"/>
        <v>44373</v>
      </c>
      <c r="E82" s="448">
        <f t="shared" si="9"/>
        <v>44379</v>
      </c>
      <c r="F82" s="97">
        <v>202122</v>
      </c>
      <c r="G82" s="103"/>
      <c r="H82" s="429"/>
      <c r="I82" s="429"/>
      <c r="J82" s="214">
        <f t="shared" si="10"/>
        <v>0</v>
      </c>
      <c r="K82" s="103"/>
      <c r="L82" s="429"/>
      <c r="M82" s="429"/>
      <c r="N82" s="214">
        <f t="shared" si="11"/>
        <v>0</v>
      </c>
      <c r="O82" s="197"/>
      <c r="P82" s="462"/>
      <c r="Q82" s="462"/>
      <c r="R82" s="301">
        <f t="shared" si="12"/>
        <v>0</v>
      </c>
    </row>
    <row r="83" spans="1:18" ht="16.350000000000001" customHeight="1">
      <c r="A83" s="175">
        <f t="shared" si="7"/>
        <v>2022</v>
      </c>
      <c r="B83" s="454" t="str">
        <f t="shared" si="8"/>
        <v>23</v>
      </c>
      <c r="C83" s="454" t="str">
        <f t="array" ref="C83">_xlfn.IFS(_xlfn.NUMBERVALUE(B83)&lt;=13,"Q1",AND(_xlfn.NUMBERVALUE(B83)&gt;13,_xlfn.NUMBERVALUE(B83)&lt;=26),"Q2", AND(_xlfn.NUMBERVALUE(B83)&gt;26,_xlfn.NUMBERVALUE(B83)&lt;=39),"Q3",_xlfn.NUMBERVALUE(B83)&gt;39,"Q4")</f>
        <v>Q2</v>
      </c>
      <c r="D83" s="448">
        <f t="shared" si="13"/>
        <v>44380</v>
      </c>
      <c r="E83" s="448">
        <f t="shared" si="9"/>
        <v>44386</v>
      </c>
      <c r="F83" s="97">
        <v>202123</v>
      </c>
      <c r="G83" s="103"/>
      <c r="H83" s="429"/>
      <c r="I83" s="429"/>
      <c r="J83" s="214">
        <f t="shared" si="10"/>
        <v>0</v>
      </c>
      <c r="K83" s="103"/>
      <c r="L83" s="429"/>
      <c r="M83" s="429"/>
      <c r="N83" s="214">
        <f t="shared" si="11"/>
        <v>0</v>
      </c>
      <c r="O83" s="197"/>
      <c r="P83" s="462"/>
      <c r="Q83" s="462"/>
      <c r="R83" s="301">
        <f t="shared" si="12"/>
        <v>0</v>
      </c>
    </row>
    <row r="84" spans="1:18" ht="16.350000000000001" customHeight="1">
      <c r="A84" s="175">
        <f t="shared" si="7"/>
        <v>2022</v>
      </c>
      <c r="B84" s="454" t="str">
        <f t="shared" si="8"/>
        <v>24</v>
      </c>
      <c r="C84" s="454" t="str">
        <f t="array" ref="C84">_xlfn.IFS(_xlfn.NUMBERVALUE(B84)&lt;=13,"Q1",AND(_xlfn.NUMBERVALUE(B84)&gt;13,_xlfn.NUMBERVALUE(B84)&lt;=26),"Q2", AND(_xlfn.NUMBERVALUE(B84)&gt;26,_xlfn.NUMBERVALUE(B84)&lt;=39),"Q3",_xlfn.NUMBERVALUE(B84)&gt;39,"Q4")</f>
        <v>Q2</v>
      </c>
      <c r="D84" s="448">
        <f t="shared" si="13"/>
        <v>44387</v>
      </c>
      <c r="E84" s="448">
        <f t="shared" si="9"/>
        <v>44393</v>
      </c>
      <c r="F84" s="97">
        <v>202124</v>
      </c>
      <c r="G84" s="103"/>
      <c r="H84" s="429"/>
      <c r="I84" s="429"/>
      <c r="J84" s="214">
        <f t="shared" si="10"/>
        <v>0</v>
      </c>
      <c r="K84" s="103"/>
      <c r="L84" s="429"/>
      <c r="M84" s="429"/>
      <c r="N84" s="214">
        <f t="shared" si="11"/>
        <v>0</v>
      </c>
      <c r="O84" s="197"/>
      <c r="P84" s="462"/>
      <c r="Q84" s="462"/>
      <c r="R84" s="301">
        <f t="shared" si="12"/>
        <v>0</v>
      </c>
    </row>
    <row r="85" spans="1:18" ht="16.350000000000001" customHeight="1">
      <c r="A85" s="175">
        <f t="shared" si="7"/>
        <v>2022</v>
      </c>
      <c r="B85" s="454" t="str">
        <f t="shared" si="8"/>
        <v>25</v>
      </c>
      <c r="C85" s="454" t="str">
        <f t="array" ref="C85">_xlfn.IFS(_xlfn.NUMBERVALUE(B85)&lt;=13,"Q1",AND(_xlfn.NUMBERVALUE(B85)&gt;13,_xlfn.NUMBERVALUE(B85)&lt;=26),"Q2", AND(_xlfn.NUMBERVALUE(B85)&gt;26,_xlfn.NUMBERVALUE(B85)&lt;=39),"Q3",_xlfn.NUMBERVALUE(B85)&gt;39,"Q4")</f>
        <v>Q2</v>
      </c>
      <c r="D85" s="448">
        <f t="shared" si="13"/>
        <v>44394</v>
      </c>
      <c r="E85" s="448">
        <f t="shared" si="9"/>
        <v>44400</v>
      </c>
      <c r="F85" s="97">
        <v>202125</v>
      </c>
      <c r="G85" s="103"/>
      <c r="H85" s="429"/>
      <c r="I85" s="429"/>
      <c r="J85" s="214">
        <f t="shared" si="10"/>
        <v>0</v>
      </c>
      <c r="K85" s="103"/>
      <c r="L85" s="429"/>
      <c r="M85" s="429"/>
      <c r="N85" s="214">
        <f t="shared" si="11"/>
        <v>0</v>
      </c>
      <c r="O85" s="197"/>
      <c r="P85" s="462"/>
      <c r="Q85" s="462"/>
      <c r="R85" s="301">
        <f t="shared" si="12"/>
        <v>0</v>
      </c>
    </row>
    <row r="86" spans="1:18" ht="16.350000000000001" customHeight="1">
      <c r="A86" s="175">
        <f t="shared" si="7"/>
        <v>2022</v>
      </c>
      <c r="B86" s="454" t="str">
        <f t="shared" si="8"/>
        <v>26</v>
      </c>
      <c r="C86" s="454" t="str">
        <f t="array" ref="C86">_xlfn.IFS(_xlfn.NUMBERVALUE(B86)&lt;=13,"Q1",AND(_xlfn.NUMBERVALUE(B86)&gt;13,_xlfn.NUMBERVALUE(B86)&lt;=26),"Q2", AND(_xlfn.NUMBERVALUE(B86)&gt;26,_xlfn.NUMBERVALUE(B86)&lt;=39),"Q3",_xlfn.NUMBERVALUE(B86)&gt;39,"Q4")</f>
        <v>Q2</v>
      </c>
      <c r="D86" s="448">
        <f t="shared" si="13"/>
        <v>44401</v>
      </c>
      <c r="E86" s="448">
        <f t="shared" si="9"/>
        <v>44407</v>
      </c>
      <c r="F86" s="97">
        <v>202126</v>
      </c>
      <c r="G86" s="103"/>
      <c r="H86" s="429"/>
      <c r="I86" s="429"/>
      <c r="J86" s="214">
        <f t="shared" si="10"/>
        <v>0</v>
      </c>
      <c r="K86" s="103"/>
      <c r="L86" s="429"/>
      <c r="M86" s="429"/>
      <c r="N86" s="214">
        <f t="shared" si="11"/>
        <v>0</v>
      </c>
      <c r="O86" s="197"/>
      <c r="P86" s="462"/>
      <c r="Q86" s="462"/>
      <c r="R86" s="301">
        <f t="shared" si="12"/>
        <v>0</v>
      </c>
    </row>
    <row r="87" spans="1:18" ht="16.350000000000001" customHeight="1">
      <c r="A87" s="175">
        <f t="shared" si="7"/>
        <v>2022</v>
      </c>
      <c r="B87" s="454" t="str">
        <f t="shared" si="8"/>
        <v>27</v>
      </c>
      <c r="C87" s="454" t="str">
        <f t="array" ref="C87">_xlfn.IFS(_xlfn.NUMBERVALUE(B87)&lt;=13,"Q1",AND(_xlfn.NUMBERVALUE(B87)&gt;13,_xlfn.NUMBERVALUE(B87)&lt;=26),"Q2", AND(_xlfn.NUMBERVALUE(B87)&gt;26,_xlfn.NUMBERVALUE(B87)&lt;=39),"Q3",_xlfn.NUMBERVALUE(B87)&gt;39,"Q4")</f>
        <v>Q3</v>
      </c>
      <c r="D87" s="448">
        <f t="shared" si="13"/>
        <v>44408</v>
      </c>
      <c r="E87" s="448">
        <f t="shared" si="9"/>
        <v>44414</v>
      </c>
      <c r="F87" s="97">
        <v>202127</v>
      </c>
      <c r="G87" s="103"/>
      <c r="H87" s="429"/>
      <c r="I87" s="429"/>
      <c r="J87" s="214">
        <f t="shared" si="10"/>
        <v>0</v>
      </c>
      <c r="K87" s="103"/>
      <c r="L87" s="429"/>
      <c r="M87" s="429"/>
      <c r="N87" s="214">
        <f t="shared" si="11"/>
        <v>0</v>
      </c>
      <c r="O87" s="197"/>
      <c r="P87" s="462"/>
      <c r="Q87" s="462"/>
      <c r="R87" s="301">
        <f t="shared" si="12"/>
        <v>0</v>
      </c>
    </row>
    <row r="88" spans="1:18" ht="16.350000000000001" customHeight="1">
      <c r="A88" s="175">
        <f t="shared" si="7"/>
        <v>2022</v>
      </c>
      <c r="B88" s="454" t="str">
        <f t="shared" si="8"/>
        <v>28</v>
      </c>
      <c r="C88" s="454" t="str">
        <f t="array" ref="C88">_xlfn.IFS(_xlfn.NUMBERVALUE(B88)&lt;=13,"Q1",AND(_xlfn.NUMBERVALUE(B88)&gt;13,_xlfn.NUMBERVALUE(B88)&lt;=26),"Q2", AND(_xlfn.NUMBERVALUE(B88)&gt;26,_xlfn.NUMBERVALUE(B88)&lt;=39),"Q3",_xlfn.NUMBERVALUE(B88)&gt;39,"Q4")</f>
        <v>Q3</v>
      </c>
      <c r="D88" s="448">
        <f t="shared" si="13"/>
        <v>44415</v>
      </c>
      <c r="E88" s="448">
        <f t="shared" si="9"/>
        <v>44421</v>
      </c>
      <c r="F88" s="97">
        <v>202128</v>
      </c>
      <c r="G88" s="103"/>
      <c r="H88" s="429"/>
      <c r="I88" s="429"/>
      <c r="J88" s="214">
        <f t="shared" si="10"/>
        <v>0</v>
      </c>
      <c r="K88" s="103"/>
      <c r="L88" s="429"/>
      <c r="M88" s="429"/>
      <c r="N88" s="214">
        <f t="shared" si="11"/>
        <v>0</v>
      </c>
      <c r="O88" s="197"/>
      <c r="P88" s="462"/>
      <c r="Q88" s="462"/>
      <c r="R88" s="301">
        <f t="shared" si="12"/>
        <v>0</v>
      </c>
    </row>
    <row r="89" spans="1:18" ht="16.350000000000001" customHeight="1">
      <c r="A89" s="175">
        <f t="shared" si="7"/>
        <v>2022</v>
      </c>
      <c r="B89" s="454" t="str">
        <f t="shared" si="8"/>
        <v>29</v>
      </c>
      <c r="C89" s="454" t="str">
        <f t="array" ref="C89">_xlfn.IFS(_xlfn.NUMBERVALUE(B89)&lt;=13,"Q1",AND(_xlfn.NUMBERVALUE(B89)&gt;13,_xlfn.NUMBERVALUE(B89)&lt;=26),"Q2", AND(_xlfn.NUMBERVALUE(B89)&gt;26,_xlfn.NUMBERVALUE(B89)&lt;=39),"Q3",_xlfn.NUMBERVALUE(B89)&gt;39,"Q4")</f>
        <v>Q3</v>
      </c>
      <c r="D89" s="448">
        <f t="shared" si="13"/>
        <v>44422</v>
      </c>
      <c r="E89" s="448">
        <f t="shared" si="9"/>
        <v>44428</v>
      </c>
      <c r="F89" s="97">
        <v>202129</v>
      </c>
      <c r="G89" s="103"/>
      <c r="H89" s="429"/>
      <c r="I89" s="429"/>
      <c r="J89" s="214">
        <f t="shared" si="10"/>
        <v>0</v>
      </c>
      <c r="K89" s="103"/>
      <c r="L89" s="429"/>
      <c r="M89" s="429"/>
      <c r="N89" s="214">
        <f t="shared" si="11"/>
        <v>0</v>
      </c>
      <c r="O89" s="197"/>
      <c r="P89" s="462"/>
      <c r="Q89" s="462"/>
      <c r="R89" s="301">
        <f t="shared" si="12"/>
        <v>0</v>
      </c>
    </row>
    <row r="90" spans="1:18" ht="16.350000000000001" customHeight="1">
      <c r="A90" s="175">
        <f t="shared" si="7"/>
        <v>2022</v>
      </c>
      <c r="B90" s="454" t="str">
        <f t="shared" si="8"/>
        <v>30</v>
      </c>
      <c r="C90" s="454" t="str">
        <f t="array" ref="C90">_xlfn.IFS(_xlfn.NUMBERVALUE(B90)&lt;=13,"Q1",AND(_xlfn.NUMBERVALUE(B90)&gt;13,_xlfn.NUMBERVALUE(B90)&lt;=26),"Q2", AND(_xlfn.NUMBERVALUE(B90)&gt;26,_xlfn.NUMBERVALUE(B90)&lt;=39),"Q3",_xlfn.NUMBERVALUE(B90)&gt;39,"Q4")</f>
        <v>Q3</v>
      </c>
      <c r="D90" s="448">
        <f t="shared" si="13"/>
        <v>44429</v>
      </c>
      <c r="E90" s="448">
        <f t="shared" si="9"/>
        <v>44435</v>
      </c>
      <c r="F90" s="97">
        <v>202130</v>
      </c>
      <c r="G90" s="103"/>
      <c r="H90" s="429"/>
      <c r="I90" s="429"/>
      <c r="J90" s="214">
        <f t="shared" si="10"/>
        <v>0</v>
      </c>
      <c r="K90" s="103"/>
      <c r="L90" s="429"/>
      <c r="M90" s="429"/>
      <c r="N90" s="214">
        <f t="shared" si="11"/>
        <v>0</v>
      </c>
      <c r="O90" s="197"/>
      <c r="P90" s="462"/>
      <c r="Q90" s="462"/>
      <c r="R90" s="301">
        <f t="shared" si="12"/>
        <v>0</v>
      </c>
    </row>
    <row r="91" spans="1:18" ht="16.350000000000001" customHeight="1">
      <c r="A91" s="175">
        <f t="shared" si="7"/>
        <v>2022</v>
      </c>
      <c r="B91" s="454" t="str">
        <f t="shared" si="8"/>
        <v>31</v>
      </c>
      <c r="C91" s="454" t="str">
        <f t="array" ref="C91">_xlfn.IFS(_xlfn.NUMBERVALUE(B91)&lt;=13,"Q1",AND(_xlfn.NUMBERVALUE(B91)&gt;13,_xlfn.NUMBERVALUE(B91)&lt;=26),"Q2", AND(_xlfn.NUMBERVALUE(B91)&gt;26,_xlfn.NUMBERVALUE(B91)&lt;=39),"Q3",_xlfn.NUMBERVALUE(B91)&gt;39,"Q4")</f>
        <v>Q3</v>
      </c>
      <c r="D91" s="448">
        <f t="shared" si="13"/>
        <v>44436</v>
      </c>
      <c r="E91" s="448">
        <f t="shared" si="9"/>
        <v>44442</v>
      </c>
      <c r="F91" s="97">
        <v>202131</v>
      </c>
      <c r="G91" s="103"/>
      <c r="H91" s="429"/>
      <c r="I91" s="429"/>
      <c r="J91" s="214">
        <f t="shared" si="10"/>
        <v>0</v>
      </c>
      <c r="K91" s="103"/>
      <c r="L91" s="429"/>
      <c r="M91" s="429"/>
      <c r="N91" s="214">
        <f t="shared" si="11"/>
        <v>0</v>
      </c>
      <c r="O91" s="197"/>
      <c r="P91" s="462"/>
      <c r="Q91" s="462"/>
      <c r="R91" s="301">
        <f t="shared" si="12"/>
        <v>0</v>
      </c>
    </row>
    <row r="92" spans="1:18" ht="16.350000000000001" customHeight="1">
      <c r="A92" s="175">
        <f t="shared" si="7"/>
        <v>2022</v>
      </c>
      <c r="B92" s="454" t="str">
        <f t="shared" si="8"/>
        <v>32</v>
      </c>
      <c r="C92" s="454" t="str">
        <f t="array" ref="C92">_xlfn.IFS(_xlfn.NUMBERVALUE(B92)&lt;=13,"Q1",AND(_xlfn.NUMBERVALUE(B92)&gt;13,_xlfn.NUMBERVALUE(B92)&lt;=26),"Q2", AND(_xlfn.NUMBERVALUE(B92)&gt;26,_xlfn.NUMBERVALUE(B92)&lt;=39),"Q3",_xlfn.NUMBERVALUE(B92)&gt;39,"Q4")</f>
        <v>Q3</v>
      </c>
      <c r="D92" s="448">
        <f t="shared" si="13"/>
        <v>44443</v>
      </c>
      <c r="E92" s="448">
        <f t="shared" si="9"/>
        <v>44449</v>
      </c>
      <c r="F92" s="97">
        <v>202132</v>
      </c>
      <c r="G92" s="103"/>
      <c r="H92" s="429"/>
      <c r="I92" s="429"/>
      <c r="J92" s="214">
        <f t="shared" si="10"/>
        <v>0</v>
      </c>
      <c r="K92" s="103"/>
      <c r="L92" s="429"/>
      <c r="M92" s="429"/>
      <c r="N92" s="214">
        <f t="shared" si="11"/>
        <v>0</v>
      </c>
      <c r="O92" s="197"/>
      <c r="P92" s="462"/>
      <c r="Q92" s="462"/>
      <c r="R92" s="301">
        <f t="shared" si="12"/>
        <v>0</v>
      </c>
    </row>
    <row r="93" spans="1:18" ht="16.350000000000001" customHeight="1">
      <c r="A93" s="175">
        <f t="shared" si="7"/>
        <v>2022</v>
      </c>
      <c r="B93" s="454" t="str">
        <f t="shared" si="8"/>
        <v>33</v>
      </c>
      <c r="C93" s="454" t="str">
        <f t="array" ref="C93">_xlfn.IFS(_xlfn.NUMBERVALUE(B93)&lt;=13,"Q1",AND(_xlfn.NUMBERVALUE(B93)&gt;13,_xlfn.NUMBERVALUE(B93)&lt;=26),"Q2", AND(_xlfn.NUMBERVALUE(B93)&gt;26,_xlfn.NUMBERVALUE(B93)&lt;=39),"Q3",_xlfn.NUMBERVALUE(B93)&gt;39,"Q4")</f>
        <v>Q3</v>
      </c>
      <c r="D93" s="448">
        <f t="shared" si="13"/>
        <v>44450</v>
      </c>
      <c r="E93" s="448">
        <f t="shared" si="9"/>
        <v>44456</v>
      </c>
      <c r="F93" s="97">
        <v>202133</v>
      </c>
      <c r="G93" s="103"/>
      <c r="H93" s="429"/>
      <c r="I93" s="429"/>
      <c r="J93" s="214">
        <f t="shared" si="10"/>
        <v>0</v>
      </c>
      <c r="K93" s="103"/>
      <c r="L93" s="429"/>
      <c r="M93" s="429"/>
      <c r="N93" s="214">
        <f t="shared" si="11"/>
        <v>0</v>
      </c>
      <c r="O93" s="197"/>
      <c r="P93" s="462"/>
      <c r="Q93" s="462"/>
      <c r="R93" s="301">
        <f t="shared" si="12"/>
        <v>0</v>
      </c>
    </row>
    <row r="94" spans="1:18" ht="16.350000000000001" customHeight="1">
      <c r="A94" s="175">
        <f t="shared" si="7"/>
        <v>2022</v>
      </c>
      <c r="B94" s="454" t="str">
        <f t="shared" si="8"/>
        <v>34</v>
      </c>
      <c r="C94" s="454" t="str">
        <f t="array" ref="C94">_xlfn.IFS(_xlfn.NUMBERVALUE(B94)&lt;=13,"Q1",AND(_xlfn.NUMBERVALUE(B94)&gt;13,_xlfn.NUMBERVALUE(B94)&lt;=26),"Q2", AND(_xlfn.NUMBERVALUE(B94)&gt;26,_xlfn.NUMBERVALUE(B94)&lt;=39),"Q3",_xlfn.NUMBERVALUE(B94)&gt;39,"Q4")</f>
        <v>Q3</v>
      </c>
      <c r="D94" s="448">
        <f t="shared" si="13"/>
        <v>44457</v>
      </c>
      <c r="E94" s="448">
        <f t="shared" si="9"/>
        <v>44463</v>
      </c>
      <c r="F94" s="97">
        <v>202134</v>
      </c>
      <c r="G94" s="103"/>
      <c r="H94" s="429"/>
      <c r="I94" s="429"/>
      <c r="J94" s="214">
        <f t="shared" si="10"/>
        <v>0</v>
      </c>
      <c r="K94" s="103"/>
      <c r="L94" s="429"/>
      <c r="M94" s="429"/>
      <c r="N94" s="214">
        <f t="shared" si="11"/>
        <v>0</v>
      </c>
      <c r="O94" s="197"/>
      <c r="P94" s="462"/>
      <c r="Q94" s="462"/>
      <c r="R94" s="301">
        <f t="shared" si="12"/>
        <v>0</v>
      </c>
    </row>
    <row r="95" spans="1:18" ht="16.350000000000001" customHeight="1">
      <c r="A95" s="175">
        <f t="shared" si="7"/>
        <v>2022</v>
      </c>
      <c r="B95" s="454" t="str">
        <f t="shared" si="8"/>
        <v>35</v>
      </c>
      <c r="C95" s="454" t="str">
        <f t="array" ref="C95">_xlfn.IFS(_xlfn.NUMBERVALUE(B95)&lt;=13,"Q1",AND(_xlfn.NUMBERVALUE(B95)&gt;13,_xlfn.NUMBERVALUE(B95)&lt;=26),"Q2", AND(_xlfn.NUMBERVALUE(B95)&gt;26,_xlfn.NUMBERVALUE(B95)&lt;=39),"Q3",_xlfn.NUMBERVALUE(B95)&gt;39,"Q4")</f>
        <v>Q3</v>
      </c>
      <c r="D95" s="448">
        <f t="shared" si="13"/>
        <v>44464</v>
      </c>
      <c r="E95" s="448">
        <f t="shared" si="9"/>
        <v>44470</v>
      </c>
      <c r="F95" s="97">
        <v>202135</v>
      </c>
      <c r="G95" s="103"/>
      <c r="H95" s="429"/>
      <c r="I95" s="429"/>
      <c r="J95" s="214">
        <f t="shared" si="10"/>
        <v>0</v>
      </c>
      <c r="K95" s="103"/>
      <c r="L95" s="429"/>
      <c r="M95" s="429"/>
      <c r="N95" s="214">
        <f t="shared" si="11"/>
        <v>0</v>
      </c>
      <c r="O95" s="197"/>
      <c r="P95" s="462"/>
      <c r="Q95" s="462"/>
      <c r="R95" s="301">
        <f t="shared" si="12"/>
        <v>0</v>
      </c>
    </row>
    <row r="96" spans="1:18" ht="16.350000000000001" customHeight="1">
      <c r="A96" s="175">
        <f t="shared" si="7"/>
        <v>2022</v>
      </c>
      <c r="B96" s="454" t="str">
        <f t="shared" si="8"/>
        <v>36</v>
      </c>
      <c r="C96" s="454" t="str">
        <f t="array" ref="C96">_xlfn.IFS(_xlfn.NUMBERVALUE(B96)&lt;=13,"Q1",AND(_xlfn.NUMBERVALUE(B96)&gt;13,_xlfn.NUMBERVALUE(B96)&lt;=26),"Q2", AND(_xlfn.NUMBERVALUE(B96)&gt;26,_xlfn.NUMBERVALUE(B96)&lt;=39),"Q3",_xlfn.NUMBERVALUE(B96)&gt;39,"Q4")</f>
        <v>Q3</v>
      </c>
      <c r="D96" s="448">
        <f t="shared" si="13"/>
        <v>44471</v>
      </c>
      <c r="E96" s="448">
        <f t="shared" si="9"/>
        <v>44477</v>
      </c>
      <c r="F96" s="97">
        <v>202136</v>
      </c>
      <c r="G96" s="103"/>
      <c r="H96" s="429"/>
      <c r="I96" s="429"/>
      <c r="J96" s="214">
        <f t="shared" si="10"/>
        <v>0</v>
      </c>
      <c r="K96" s="103"/>
      <c r="L96" s="429"/>
      <c r="M96" s="429"/>
      <c r="N96" s="214">
        <f t="shared" si="11"/>
        <v>0</v>
      </c>
      <c r="O96" s="197"/>
      <c r="P96" s="462"/>
      <c r="Q96" s="462"/>
      <c r="R96" s="301">
        <f t="shared" si="12"/>
        <v>0</v>
      </c>
    </row>
    <row r="97" spans="1:18" ht="16.350000000000001" customHeight="1">
      <c r="A97" s="175">
        <f t="shared" si="7"/>
        <v>2022</v>
      </c>
      <c r="B97" s="454" t="str">
        <f t="shared" si="8"/>
        <v>37</v>
      </c>
      <c r="C97" s="454" t="str">
        <f t="array" ref="C97">_xlfn.IFS(_xlfn.NUMBERVALUE(B97)&lt;=13,"Q1",AND(_xlfn.NUMBERVALUE(B97)&gt;13,_xlfn.NUMBERVALUE(B97)&lt;=26),"Q2", AND(_xlfn.NUMBERVALUE(B97)&gt;26,_xlfn.NUMBERVALUE(B97)&lt;=39),"Q3",_xlfn.NUMBERVALUE(B97)&gt;39,"Q4")</f>
        <v>Q3</v>
      </c>
      <c r="D97" s="448">
        <f t="shared" si="13"/>
        <v>44478</v>
      </c>
      <c r="E97" s="448">
        <f t="shared" si="9"/>
        <v>44484</v>
      </c>
      <c r="F97" s="97">
        <v>202137</v>
      </c>
      <c r="G97" s="103"/>
      <c r="H97" s="429"/>
      <c r="I97" s="429"/>
      <c r="J97" s="214">
        <f t="shared" si="10"/>
        <v>0</v>
      </c>
      <c r="K97" s="103"/>
      <c r="L97" s="429"/>
      <c r="M97" s="429"/>
      <c r="N97" s="214">
        <f t="shared" si="11"/>
        <v>0</v>
      </c>
      <c r="O97" s="197"/>
      <c r="P97" s="462"/>
      <c r="Q97" s="462"/>
      <c r="R97" s="301">
        <f t="shared" si="12"/>
        <v>0</v>
      </c>
    </row>
    <row r="98" spans="1:18" ht="16.350000000000001" customHeight="1">
      <c r="A98" s="175">
        <f t="shared" si="7"/>
        <v>2022</v>
      </c>
      <c r="B98" s="454" t="str">
        <f t="shared" si="8"/>
        <v>38</v>
      </c>
      <c r="C98" s="454" t="str">
        <f t="array" ref="C98">_xlfn.IFS(_xlfn.NUMBERVALUE(B98)&lt;=13,"Q1",AND(_xlfn.NUMBERVALUE(B98)&gt;13,_xlfn.NUMBERVALUE(B98)&lt;=26),"Q2", AND(_xlfn.NUMBERVALUE(B98)&gt;26,_xlfn.NUMBERVALUE(B98)&lt;=39),"Q3",_xlfn.NUMBERVALUE(B98)&gt;39,"Q4")</f>
        <v>Q3</v>
      </c>
      <c r="D98" s="448">
        <f t="shared" si="13"/>
        <v>44485</v>
      </c>
      <c r="E98" s="448">
        <f t="shared" si="9"/>
        <v>44491</v>
      </c>
      <c r="F98" s="97">
        <v>202138</v>
      </c>
      <c r="G98" s="103"/>
      <c r="H98" s="429"/>
      <c r="I98" s="429"/>
      <c r="J98" s="214">
        <f t="shared" si="10"/>
        <v>0</v>
      </c>
      <c r="K98" s="103"/>
      <c r="L98" s="429"/>
      <c r="M98" s="429"/>
      <c r="N98" s="214">
        <f t="shared" si="11"/>
        <v>0</v>
      </c>
      <c r="O98" s="197"/>
      <c r="P98" s="462"/>
      <c r="Q98" s="462"/>
      <c r="R98" s="301">
        <f t="shared" si="12"/>
        <v>0</v>
      </c>
    </row>
    <row r="99" spans="1:18" ht="16.350000000000001" customHeight="1">
      <c r="A99" s="175">
        <f t="shared" si="7"/>
        <v>2022</v>
      </c>
      <c r="B99" s="454" t="str">
        <f t="shared" si="8"/>
        <v>39</v>
      </c>
      <c r="C99" s="454" t="str">
        <f t="array" ref="C99">_xlfn.IFS(_xlfn.NUMBERVALUE(B99)&lt;=13,"Q1",AND(_xlfn.NUMBERVALUE(B99)&gt;13,_xlfn.NUMBERVALUE(B99)&lt;=26),"Q2", AND(_xlfn.NUMBERVALUE(B99)&gt;26,_xlfn.NUMBERVALUE(B99)&lt;=39),"Q3",_xlfn.NUMBERVALUE(B99)&gt;39,"Q4")</f>
        <v>Q3</v>
      </c>
      <c r="D99" s="448">
        <f t="shared" si="13"/>
        <v>44492</v>
      </c>
      <c r="E99" s="448">
        <f t="shared" si="9"/>
        <v>44498</v>
      </c>
      <c r="F99" s="97">
        <v>202139</v>
      </c>
      <c r="G99" s="103"/>
      <c r="H99" s="429"/>
      <c r="I99" s="429"/>
      <c r="J99" s="214">
        <f t="shared" si="10"/>
        <v>0</v>
      </c>
      <c r="K99" s="103"/>
      <c r="L99" s="429"/>
      <c r="M99" s="429"/>
      <c r="N99" s="214">
        <f t="shared" si="11"/>
        <v>0</v>
      </c>
      <c r="O99" s="110"/>
      <c r="P99" s="430"/>
      <c r="Q99" s="430"/>
      <c r="R99" s="301">
        <f t="shared" si="12"/>
        <v>0</v>
      </c>
    </row>
    <row r="100" spans="1:18" ht="16.350000000000001" customHeight="1">
      <c r="A100" s="175">
        <f t="shared" si="7"/>
        <v>2022</v>
      </c>
      <c r="B100" s="454" t="str">
        <f t="shared" si="8"/>
        <v>40</v>
      </c>
      <c r="C100" s="454" t="str">
        <f t="array" ref="C100">_xlfn.IFS(_xlfn.NUMBERVALUE(B100)&lt;=13,"Q1",AND(_xlfn.NUMBERVALUE(B100)&gt;13,_xlfn.NUMBERVALUE(B100)&lt;=26),"Q2", AND(_xlfn.NUMBERVALUE(B100)&gt;26,_xlfn.NUMBERVALUE(B100)&lt;=39),"Q3",_xlfn.NUMBERVALUE(B100)&gt;39,"Q4")</f>
        <v>Q4</v>
      </c>
      <c r="D100" s="448">
        <f t="shared" si="13"/>
        <v>44499</v>
      </c>
      <c r="E100" s="448">
        <f t="shared" si="9"/>
        <v>44505</v>
      </c>
      <c r="F100" s="97">
        <v>202140</v>
      </c>
      <c r="G100" s="103"/>
      <c r="H100" s="429"/>
      <c r="I100" s="429"/>
      <c r="J100" s="214">
        <f t="shared" si="10"/>
        <v>0</v>
      </c>
      <c r="K100" s="103"/>
      <c r="L100" s="429"/>
      <c r="M100" s="429"/>
      <c r="N100" s="214">
        <f t="shared" si="11"/>
        <v>0</v>
      </c>
      <c r="O100" s="110"/>
      <c r="P100" s="430"/>
      <c r="Q100" s="430"/>
      <c r="R100" s="301">
        <f t="shared" si="12"/>
        <v>0</v>
      </c>
    </row>
    <row r="101" spans="1:18" ht="16.350000000000001" customHeight="1">
      <c r="A101" s="175">
        <f t="shared" si="7"/>
        <v>2022</v>
      </c>
      <c r="B101" s="454" t="str">
        <f t="shared" si="8"/>
        <v>41</v>
      </c>
      <c r="C101" s="454" t="str">
        <f t="array" ref="C101">_xlfn.IFS(_xlfn.NUMBERVALUE(B101)&lt;=13,"Q1",AND(_xlfn.NUMBERVALUE(B101)&gt;13,_xlfn.NUMBERVALUE(B101)&lt;=26),"Q2", AND(_xlfn.NUMBERVALUE(B101)&gt;26,_xlfn.NUMBERVALUE(B101)&lt;=39),"Q3",_xlfn.NUMBERVALUE(B101)&gt;39,"Q4")</f>
        <v>Q4</v>
      </c>
      <c r="D101" s="448">
        <f t="shared" si="13"/>
        <v>44506</v>
      </c>
      <c r="E101" s="448">
        <f t="shared" si="9"/>
        <v>44512</v>
      </c>
      <c r="F101" s="97">
        <v>202141</v>
      </c>
      <c r="G101" s="103"/>
      <c r="H101" s="429"/>
      <c r="I101" s="429"/>
      <c r="J101" s="214">
        <f t="shared" si="10"/>
        <v>0</v>
      </c>
      <c r="K101" s="103"/>
      <c r="L101" s="429"/>
      <c r="M101" s="429"/>
      <c r="N101" s="214">
        <f t="shared" si="11"/>
        <v>0</v>
      </c>
      <c r="O101" s="110"/>
      <c r="P101" s="430"/>
      <c r="Q101" s="430"/>
      <c r="R101" s="301">
        <f t="shared" si="12"/>
        <v>0</v>
      </c>
    </row>
    <row r="102" spans="1:18" ht="16.350000000000001" customHeight="1">
      <c r="A102" s="175">
        <f t="shared" si="7"/>
        <v>2022</v>
      </c>
      <c r="B102" s="454" t="str">
        <f t="shared" si="8"/>
        <v>42</v>
      </c>
      <c r="C102" s="454" t="str">
        <f t="array" ref="C102">_xlfn.IFS(_xlfn.NUMBERVALUE(B102)&lt;=13,"Q1",AND(_xlfn.NUMBERVALUE(B102)&gt;13,_xlfn.NUMBERVALUE(B102)&lt;=26),"Q2", AND(_xlfn.NUMBERVALUE(B102)&gt;26,_xlfn.NUMBERVALUE(B102)&lt;=39),"Q3",_xlfn.NUMBERVALUE(B102)&gt;39,"Q4")</f>
        <v>Q4</v>
      </c>
      <c r="D102" s="448">
        <f t="shared" si="13"/>
        <v>44513</v>
      </c>
      <c r="E102" s="448">
        <f t="shared" si="9"/>
        <v>44519</v>
      </c>
      <c r="F102" s="97">
        <v>202142</v>
      </c>
      <c r="G102" s="103"/>
      <c r="H102" s="429"/>
      <c r="I102" s="429"/>
      <c r="J102" s="214">
        <f t="shared" si="10"/>
        <v>0</v>
      </c>
      <c r="K102" s="103"/>
      <c r="L102" s="429"/>
      <c r="M102" s="429"/>
      <c r="N102" s="214">
        <f t="shared" si="11"/>
        <v>0</v>
      </c>
      <c r="O102" s="110"/>
      <c r="P102" s="430"/>
      <c r="Q102" s="430"/>
      <c r="R102" s="301">
        <f t="shared" si="12"/>
        <v>0</v>
      </c>
    </row>
    <row r="103" spans="1:18" ht="16.350000000000001" customHeight="1">
      <c r="A103" s="175">
        <f t="shared" si="7"/>
        <v>2022</v>
      </c>
      <c r="B103" s="454" t="str">
        <f t="shared" si="8"/>
        <v>43</v>
      </c>
      <c r="C103" s="454" t="str">
        <f t="array" ref="C103">_xlfn.IFS(_xlfn.NUMBERVALUE(B103)&lt;=13,"Q1",AND(_xlfn.NUMBERVALUE(B103)&gt;13,_xlfn.NUMBERVALUE(B103)&lt;=26),"Q2", AND(_xlfn.NUMBERVALUE(B103)&gt;26,_xlfn.NUMBERVALUE(B103)&lt;=39),"Q3",_xlfn.NUMBERVALUE(B103)&gt;39,"Q4")</f>
        <v>Q4</v>
      </c>
      <c r="D103" s="448">
        <f t="shared" si="13"/>
        <v>44520</v>
      </c>
      <c r="E103" s="448">
        <f t="shared" si="9"/>
        <v>44526</v>
      </c>
      <c r="F103" s="97">
        <v>202143</v>
      </c>
      <c r="G103" s="288"/>
      <c r="H103" s="463"/>
      <c r="I103" s="463"/>
      <c r="J103" s="299">
        <f t="shared" si="10"/>
        <v>0</v>
      </c>
      <c r="K103" s="103"/>
      <c r="L103" s="429"/>
      <c r="M103" s="429"/>
      <c r="N103" s="214">
        <f t="shared" si="11"/>
        <v>0</v>
      </c>
      <c r="O103" s="110"/>
      <c r="P103" s="430"/>
      <c r="Q103" s="430"/>
      <c r="R103" s="301">
        <f t="shared" si="12"/>
        <v>0</v>
      </c>
    </row>
    <row r="104" spans="1:18" ht="16.350000000000001" customHeight="1">
      <c r="A104" s="175">
        <f t="shared" si="7"/>
        <v>2022</v>
      </c>
      <c r="B104" s="454" t="str">
        <f t="shared" si="8"/>
        <v>44</v>
      </c>
      <c r="C104" s="454" t="str">
        <f t="array" ref="C104">_xlfn.IFS(_xlfn.NUMBERVALUE(B104)&lt;=13,"Q1",AND(_xlfn.NUMBERVALUE(B104)&gt;13,_xlfn.NUMBERVALUE(B104)&lt;=26),"Q2", AND(_xlfn.NUMBERVALUE(B104)&gt;26,_xlfn.NUMBERVALUE(B104)&lt;=39),"Q3",_xlfn.NUMBERVALUE(B104)&gt;39,"Q4")</f>
        <v>Q4</v>
      </c>
      <c r="D104" s="448">
        <f t="shared" si="13"/>
        <v>44527</v>
      </c>
      <c r="E104" s="448">
        <f t="shared" si="9"/>
        <v>44533</v>
      </c>
      <c r="F104" s="97">
        <v>202144</v>
      </c>
      <c r="G104" s="103"/>
      <c r="H104" s="429"/>
      <c r="I104" s="429"/>
      <c r="J104" s="214">
        <f t="shared" si="10"/>
        <v>0</v>
      </c>
      <c r="K104" s="103"/>
      <c r="L104" s="429"/>
      <c r="M104" s="429"/>
      <c r="N104" s="214">
        <f t="shared" si="11"/>
        <v>0</v>
      </c>
      <c r="O104" s="110"/>
      <c r="P104" s="430"/>
      <c r="Q104" s="430"/>
      <c r="R104" s="301">
        <f t="shared" si="12"/>
        <v>0</v>
      </c>
    </row>
    <row r="105" spans="1:18" ht="16.350000000000001" customHeight="1">
      <c r="A105" s="175">
        <f t="shared" si="7"/>
        <v>2022</v>
      </c>
      <c r="B105" s="454" t="str">
        <f t="shared" si="8"/>
        <v>45</v>
      </c>
      <c r="C105" s="454" t="str">
        <f t="array" ref="C105">_xlfn.IFS(_xlfn.NUMBERVALUE(B105)&lt;=13,"Q1",AND(_xlfn.NUMBERVALUE(B105)&gt;13,_xlfn.NUMBERVALUE(B105)&lt;=26),"Q2", AND(_xlfn.NUMBERVALUE(B105)&gt;26,_xlfn.NUMBERVALUE(B105)&lt;=39),"Q3",_xlfn.NUMBERVALUE(B105)&gt;39,"Q4")</f>
        <v>Q4</v>
      </c>
      <c r="D105" s="448">
        <f t="shared" si="13"/>
        <v>44534</v>
      </c>
      <c r="E105" s="448">
        <f t="shared" si="9"/>
        <v>44540</v>
      </c>
      <c r="F105" s="97">
        <v>202145</v>
      </c>
      <c r="G105" s="103"/>
      <c r="H105" s="429"/>
      <c r="I105" s="429"/>
      <c r="J105" s="214">
        <f t="shared" si="10"/>
        <v>0</v>
      </c>
      <c r="K105" s="103"/>
      <c r="L105" s="429"/>
      <c r="M105" s="429"/>
      <c r="N105" s="214">
        <f t="shared" si="11"/>
        <v>0</v>
      </c>
      <c r="O105" s="110"/>
      <c r="P105" s="430"/>
      <c r="Q105" s="430"/>
      <c r="R105" s="301">
        <f t="shared" si="12"/>
        <v>0</v>
      </c>
    </row>
    <row r="106" spans="1:18" ht="16.350000000000001" customHeight="1">
      <c r="A106" s="175">
        <f t="shared" si="7"/>
        <v>2022</v>
      </c>
      <c r="B106" s="454" t="str">
        <f t="shared" si="8"/>
        <v>46</v>
      </c>
      <c r="C106" s="454" t="str">
        <f t="array" ref="C106">_xlfn.IFS(_xlfn.NUMBERVALUE(B106)&lt;=13,"Q1",AND(_xlfn.NUMBERVALUE(B106)&gt;13,_xlfn.NUMBERVALUE(B106)&lt;=26),"Q2", AND(_xlfn.NUMBERVALUE(B106)&gt;26,_xlfn.NUMBERVALUE(B106)&lt;=39),"Q3",_xlfn.NUMBERVALUE(B106)&gt;39,"Q4")</f>
        <v>Q4</v>
      </c>
      <c r="D106" s="448">
        <f t="shared" si="13"/>
        <v>44541</v>
      </c>
      <c r="E106" s="448">
        <f t="shared" si="9"/>
        <v>44547</v>
      </c>
      <c r="F106" s="97">
        <v>202146</v>
      </c>
      <c r="G106" s="103"/>
      <c r="H106" s="429"/>
      <c r="I106" s="429"/>
      <c r="J106" s="214">
        <f t="shared" si="10"/>
        <v>0</v>
      </c>
      <c r="K106" s="103"/>
      <c r="L106" s="429"/>
      <c r="M106" s="429"/>
      <c r="N106" s="214">
        <f t="shared" si="11"/>
        <v>0</v>
      </c>
      <c r="O106" s="110"/>
      <c r="P106" s="430"/>
      <c r="Q106" s="430"/>
      <c r="R106" s="301">
        <f t="shared" si="12"/>
        <v>0</v>
      </c>
    </row>
    <row r="107" spans="1:18" ht="16.350000000000001" customHeight="1">
      <c r="A107" s="175">
        <f t="shared" si="7"/>
        <v>2022</v>
      </c>
      <c r="B107" s="454" t="str">
        <f t="shared" si="8"/>
        <v>47</v>
      </c>
      <c r="C107" s="454" t="str">
        <f t="array" ref="C107">_xlfn.IFS(_xlfn.NUMBERVALUE(B107)&lt;=13,"Q1",AND(_xlfn.NUMBERVALUE(B107)&gt;13,_xlfn.NUMBERVALUE(B107)&lt;=26),"Q2", AND(_xlfn.NUMBERVALUE(B107)&gt;26,_xlfn.NUMBERVALUE(B107)&lt;=39),"Q3",_xlfn.NUMBERVALUE(B107)&gt;39,"Q4")</f>
        <v>Q4</v>
      </c>
      <c r="D107" s="448">
        <f t="shared" si="13"/>
        <v>44548</v>
      </c>
      <c r="E107" s="448">
        <f t="shared" si="9"/>
        <v>44554</v>
      </c>
      <c r="F107" s="97">
        <v>202147</v>
      </c>
      <c r="G107" s="103"/>
      <c r="H107" s="429"/>
      <c r="I107" s="429"/>
      <c r="J107" s="214">
        <f t="shared" si="10"/>
        <v>0</v>
      </c>
      <c r="K107" s="103"/>
      <c r="L107" s="429"/>
      <c r="M107" s="429"/>
      <c r="N107" s="214">
        <f t="shared" si="11"/>
        <v>0</v>
      </c>
      <c r="O107" s="110"/>
      <c r="P107" s="430"/>
      <c r="Q107" s="430"/>
      <c r="R107" s="301">
        <f t="shared" si="12"/>
        <v>0</v>
      </c>
    </row>
    <row r="108" spans="1:18" ht="16.350000000000001" customHeight="1">
      <c r="A108" s="175">
        <f t="shared" si="7"/>
        <v>2022</v>
      </c>
      <c r="B108" s="454" t="str">
        <f t="shared" si="8"/>
        <v>48</v>
      </c>
      <c r="C108" s="454" t="str">
        <f t="array" ref="C108">_xlfn.IFS(_xlfn.NUMBERVALUE(B108)&lt;=13,"Q1",AND(_xlfn.NUMBERVALUE(B108)&gt;13,_xlfn.NUMBERVALUE(B108)&lt;=26),"Q2", AND(_xlfn.NUMBERVALUE(B108)&gt;26,_xlfn.NUMBERVALUE(B108)&lt;=39),"Q3",_xlfn.NUMBERVALUE(B108)&gt;39,"Q4")</f>
        <v>Q4</v>
      </c>
      <c r="D108" s="448">
        <f t="shared" si="13"/>
        <v>44555</v>
      </c>
      <c r="E108" s="448">
        <f t="shared" si="9"/>
        <v>44561</v>
      </c>
      <c r="F108" s="97">
        <v>202148</v>
      </c>
      <c r="G108" s="103"/>
      <c r="H108" s="429"/>
      <c r="I108" s="429"/>
      <c r="J108" s="214">
        <f t="shared" si="10"/>
        <v>0</v>
      </c>
      <c r="K108" s="103"/>
      <c r="L108" s="429"/>
      <c r="M108" s="429"/>
      <c r="N108" s="214">
        <f t="shared" si="11"/>
        <v>0</v>
      </c>
      <c r="O108" s="110"/>
      <c r="P108" s="430"/>
      <c r="Q108" s="430"/>
      <c r="R108" s="301">
        <f t="shared" si="12"/>
        <v>0</v>
      </c>
    </row>
    <row r="109" spans="1:18" ht="16.350000000000001" customHeight="1">
      <c r="A109" s="175">
        <f t="shared" si="7"/>
        <v>2022</v>
      </c>
      <c r="B109" s="454" t="str">
        <f t="shared" si="8"/>
        <v>49</v>
      </c>
      <c r="C109" s="454" t="str">
        <f t="array" ref="C109">_xlfn.IFS(_xlfn.NUMBERVALUE(B109)&lt;=13,"Q1",AND(_xlfn.NUMBERVALUE(B109)&gt;13,_xlfn.NUMBERVALUE(B109)&lt;=26),"Q2", AND(_xlfn.NUMBERVALUE(B109)&gt;26,_xlfn.NUMBERVALUE(B109)&lt;=39),"Q3",_xlfn.NUMBERVALUE(B109)&gt;39,"Q4")</f>
        <v>Q4</v>
      </c>
      <c r="D109" s="448">
        <f t="shared" si="13"/>
        <v>44562</v>
      </c>
      <c r="E109" s="448">
        <f t="shared" si="9"/>
        <v>44568</v>
      </c>
      <c r="F109" s="97">
        <v>202149</v>
      </c>
      <c r="G109" s="103"/>
      <c r="H109" s="429"/>
      <c r="I109" s="429"/>
      <c r="J109" s="214">
        <f t="shared" si="10"/>
        <v>0</v>
      </c>
      <c r="K109" s="103"/>
      <c r="L109" s="429"/>
      <c r="M109" s="429"/>
      <c r="N109" s="214">
        <f t="shared" si="11"/>
        <v>0</v>
      </c>
      <c r="O109" s="110"/>
      <c r="P109" s="430"/>
      <c r="Q109" s="430"/>
      <c r="R109" s="301">
        <f t="shared" si="12"/>
        <v>0</v>
      </c>
    </row>
    <row r="110" spans="1:18" ht="16.350000000000001" customHeight="1">
      <c r="A110" s="175">
        <f t="shared" si="7"/>
        <v>2022</v>
      </c>
      <c r="B110" s="454" t="str">
        <f t="shared" si="8"/>
        <v>50</v>
      </c>
      <c r="C110" s="454" t="str">
        <f t="array" ref="C110">_xlfn.IFS(_xlfn.NUMBERVALUE(B110)&lt;=13,"Q1",AND(_xlfn.NUMBERVALUE(B110)&gt;13,_xlfn.NUMBERVALUE(B110)&lt;=26),"Q2", AND(_xlfn.NUMBERVALUE(B110)&gt;26,_xlfn.NUMBERVALUE(B110)&lt;=39),"Q3",_xlfn.NUMBERVALUE(B110)&gt;39,"Q4")</f>
        <v>Q4</v>
      </c>
      <c r="D110" s="448">
        <f t="shared" si="13"/>
        <v>44569</v>
      </c>
      <c r="E110" s="448">
        <f t="shared" si="9"/>
        <v>44575</v>
      </c>
      <c r="F110" s="97">
        <v>202150</v>
      </c>
      <c r="G110" s="103"/>
      <c r="H110" s="429"/>
      <c r="I110" s="429"/>
      <c r="J110" s="214">
        <f t="shared" si="10"/>
        <v>0</v>
      </c>
      <c r="K110" s="103"/>
      <c r="L110" s="429"/>
      <c r="M110" s="429"/>
      <c r="N110" s="214">
        <f t="shared" si="11"/>
        <v>0</v>
      </c>
      <c r="O110" s="110"/>
      <c r="P110" s="430"/>
      <c r="Q110" s="430"/>
      <c r="R110" s="301">
        <f t="shared" si="12"/>
        <v>0</v>
      </c>
    </row>
    <row r="111" spans="1:18" ht="16.350000000000001" customHeight="1">
      <c r="A111" s="175">
        <f t="shared" si="7"/>
        <v>2022</v>
      </c>
      <c r="B111" s="454" t="str">
        <f t="shared" si="8"/>
        <v>51</v>
      </c>
      <c r="C111" s="454" t="str">
        <f t="array" ref="C111">_xlfn.IFS(_xlfn.NUMBERVALUE(B111)&lt;=13,"Q1",AND(_xlfn.NUMBERVALUE(B111)&gt;13,_xlfn.NUMBERVALUE(B111)&lt;=26),"Q2", AND(_xlfn.NUMBERVALUE(B111)&gt;26,_xlfn.NUMBERVALUE(B111)&lt;=39),"Q3",_xlfn.NUMBERVALUE(B111)&gt;39,"Q4")</f>
        <v>Q4</v>
      </c>
      <c r="D111" s="448">
        <f t="shared" si="13"/>
        <v>44576</v>
      </c>
      <c r="E111" s="448">
        <f t="shared" si="9"/>
        <v>44582</v>
      </c>
      <c r="F111" s="97">
        <v>202151</v>
      </c>
      <c r="G111" s="103"/>
      <c r="H111" s="429"/>
      <c r="I111" s="429"/>
      <c r="J111" s="214">
        <f t="shared" si="10"/>
        <v>0</v>
      </c>
      <c r="K111" s="103"/>
      <c r="L111" s="429"/>
      <c r="M111" s="429"/>
      <c r="N111" s="214">
        <f t="shared" si="11"/>
        <v>0</v>
      </c>
      <c r="O111" s="110"/>
      <c r="P111" s="430"/>
      <c r="Q111" s="430"/>
      <c r="R111" s="301">
        <f t="shared" si="12"/>
        <v>0</v>
      </c>
    </row>
    <row r="112" spans="1:18" ht="16.350000000000001" customHeight="1">
      <c r="A112" s="175">
        <f t="shared" si="7"/>
        <v>2022</v>
      </c>
      <c r="B112" s="454" t="str">
        <f t="shared" si="8"/>
        <v>52</v>
      </c>
      <c r="C112" s="454" t="str">
        <f t="array" ref="C112">_xlfn.IFS(_xlfn.NUMBERVALUE(B112)&lt;=13,"Q1",AND(_xlfn.NUMBERVALUE(B112)&gt;13,_xlfn.NUMBERVALUE(B112)&lt;=26),"Q2", AND(_xlfn.NUMBERVALUE(B112)&gt;26,_xlfn.NUMBERVALUE(B112)&lt;=39),"Q3",_xlfn.NUMBERVALUE(B112)&gt;39,"Q4")</f>
        <v>Q4</v>
      </c>
      <c r="D112" s="448">
        <f t="shared" si="13"/>
        <v>44583</v>
      </c>
      <c r="E112" s="448">
        <f t="shared" si="9"/>
        <v>44589</v>
      </c>
      <c r="F112" s="97">
        <v>202152</v>
      </c>
      <c r="G112" s="103"/>
      <c r="H112" s="429"/>
      <c r="I112" s="429"/>
      <c r="J112" s="214">
        <f t="shared" si="10"/>
        <v>0</v>
      </c>
      <c r="K112" s="103"/>
      <c r="L112" s="429"/>
      <c r="M112" s="429"/>
      <c r="N112" s="214">
        <f t="shared" si="11"/>
        <v>0</v>
      </c>
      <c r="O112" s="110"/>
      <c r="P112" s="430"/>
      <c r="Q112" s="430"/>
      <c r="R112" s="301">
        <f t="shared" si="12"/>
        <v>0</v>
      </c>
    </row>
    <row r="113" spans="1:18" ht="16.350000000000001" customHeight="1">
      <c r="A113" s="175">
        <f t="shared" si="7"/>
        <v>2023</v>
      </c>
      <c r="B113" s="454" t="str">
        <f t="shared" si="8"/>
        <v>01</v>
      </c>
      <c r="C113" s="454" t="str">
        <f t="array" ref="C113">_xlfn.IFS(_xlfn.NUMBERVALUE(B113)&lt;=13,"Q1",AND(_xlfn.NUMBERVALUE(B113)&gt;13,_xlfn.NUMBERVALUE(B113)&lt;=26),"Q2", AND(_xlfn.NUMBERVALUE(B113)&gt;26,_xlfn.NUMBERVALUE(B113)&lt;=39),"Q3",_xlfn.NUMBERVALUE(B113)&gt;39,"Q4")</f>
        <v>Q1</v>
      </c>
      <c r="D113" s="448">
        <f t="shared" si="13"/>
        <v>44590</v>
      </c>
      <c r="E113" s="448">
        <f t="shared" si="9"/>
        <v>44596</v>
      </c>
      <c r="F113" s="97">
        <v>202201</v>
      </c>
      <c r="G113" s="103"/>
      <c r="H113" s="429"/>
      <c r="I113" s="429"/>
      <c r="J113" s="214">
        <f t="shared" si="10"/>
        <v>0</v>
      </c>
      <c r="K113" s="103"/>
      <c r="L113" s="429"/>
      <c r="M113" s="429"/>
      <c r="N113" s="214">
        <f t="shared" si="11"/>
        <v>0</v>
      </c>
      <c r="O113" s="110"/>
      <c r="P113" s="430"/>
      <c r="Q113" s="430"/>
      <c r="R113" s="301">
        <f t="shared" si="12"/>
        <v>0</v>
      </c>
    </row>
    <row r="114" spans="1:18" ht="16.350000000000001" customHeight="1">
      <c r="A114" s="175">
        <f t="shared" si="7"/>
        <v>2023</v>
      </c>
      <c r="B114" s="454" t="str">
        <f t="shared" si="8"/>
        <v>02</v>
      </c>
      <c r="C114" s="454" t="str">
        <f t="array" ref="C114">_xlfn.IFS(_xlfn.NUMBERVALUE(B114)&lt;=13,"Q1",AND(_xlfn.NUMBERVALUE(B114)&gt;13,_xlfn.NUMBERVALUE(B114)&lt;=26),"Q2", AND(_xlfn.NUMBERVALUE(B114)&gt;26,_xlfn.NUMBERVALUE(B114)&lt;=39),"Q3",_xlfn.NUMBERVALUE(B114)&gt;39,"Q4")</f>
        <v>Q1</v>
      </c>
      <c r="D114" s="448">
        <f t="shared" si="13"/>
        <v>44597</v>
      </c>
      <c r="E114" s="448">
        <f t="shared" si="9"/>
        <v>44603</v>
      </c>
      <c r="F114" s="97">
        <v>202202</v>
      </c>
      <c r="G114" s="103"/>
      <c r="H114" s="429"/>
      <c r="I114" s="429"/>
      <c r="J114" s="214">
        <f t="shared" si="10"/>
        <v>0</v>
      </c>
      <c r="K114" s="103"/>
      <c r="L114" s="429"/>
      <c r="M114" s="429"/>
      <c r="N114" s="214">
        <f t="shared" si="11"/>
        <v>0</v>
      </c>
      <c r="O114" s="110"/>
      <c r="P114" s="430"/>
      <c r="Q114" s="430"/>
      <c r="R114" s="301">
        <f t="shared" si="12"/>
        <v>0</v>
      </c>
    </row>
    <row r="115" spans="1:18" ht="16.350000000000001" customHeight="1">
      <c r="A115" s="175">
        <f t="shared" si="7"/>
        <v>2023</v>
      </c>
      <c r="B115" s="454" t="str">
        <f t="shared" si="8"/>
        <v>03</v>
      </c>
      <c r="C115" s="454" t="str">
        <f t="array" ref="C115">_xlfn.IFS(_xlfn.NUMBERVALUE(B115)&lt;=13,"Q1",AND(_xlfn.NUMBERVALUE(B115)&gt;13,_xlfn.NUMBERVALUE(B115)&lt;=26),"Q2", AND(_xlfn.NUMBERVALUE(B115)&gt;26,_xlfn.NUMBERVALUE(B115)&lt;=39),"Q3",_xlfn.NUMBERVALUE(B115)&gt;39,"Q4")</f>
        <v>Q1</v>
      </c>
      <c r="D115" s="448">
        <f t="shared" si="13"/>
        <v>44604</v>
      </c>
      <c r="E115" s="448">
        <f t="shared" si="9"/>
        <v>44610</v>
      </c>
      <c r="F115" s="97">
        <v>202203</v>
      </c>
      <c r="G115" s="103"/>
      <c r="H115" s="429"/>
      <c r="I115" s="429"/>
      <c r="J115" s="214">
        <f t="shared" si="10"/>
        <v>0</v>
      </c>
      <c r="K115" s="103"/>
      <c r="L115" s="429"/>
      <c r="M115" s="429"/>
      <c r="N115" s="214">
        <f t="shared" si="11"/>
        <v>0</v>
      </c>
      <c r="O115" s="110"/>
      <c r="P115" s="430"/>
      <c r="Q115" s="430"/>
      <c r="R115" s="301">
        <f t="shared" si="12"/>
        <v>0</v>
      </c>
    </row>
    <row r="116" spans="1:18" ht="16.350000000000001" customHeight="1">
      <c r="A116" s="175">
        <f t="shared" si="7"/>
        <v>2023</v>
      </c>
      <c r="B116" s="454" t="str">
        <f t="shared" si="8"/>
        <v>04</v>
      </c>
      <c r="C116" s="454" t="str">
        <f t="array" ref="C116">_xlfn.IFS(_xlfn.NUMBERVALUE(B116)&lt;=13,"Q1",AND(_xlfn.NUMBERVALUE(B116)&gt;13,_xlfn.NUMBERVALUE(B116)&lt;=26),"Q2", AND(_xlfn.NUMBERVALUE(B116)&gt;26,_xlfn.NUMBERVALUE(B116)&lt;=39),"Q3",_xlfn.NUMBERVALUE(B116)&gt;39,"Q4")</f>
        <v>Q1</v>
      </c>
      <c r="D116" s="448">
        <f t="shared" si="13"/>
        <v>44611</v>
      </c>
      <c r="E116" s="448">
        <f t="shared" si="9"/>
        <v>44617</v>
      </c>
      <c r="F116" s="97">
        <v>202204</v>
      </c>
      <c r="G116" s="103"/>
      <c r="H116" s="429"/>
      <c r="I116" s="429"/>
      <c r="J116" s="214">
        <f t="shared" si="10"/>
        <v>0</v>
      </c>
      <c r="K116" s="103"/>
      <c r="L116" s="429"/>
      <c r="M116" s="429"/>
      <c r="N116" s="214">
        <f t="shared" si="11"/>
        <v>0</v>
      </c>
      <c r="O116" s="110"/>
      <c r="P116" s="430"/>
      <c r="Q116" s="430"/>
      <c r="R116" s="301">
        <f t="shared" si="12"/>
        <v>0</v>
      </c>
    </row>
    <row r="117" spans="1:18" ht="16.350000000000001" customHeight="1">
      <c r="A117" s="175">
        <f t="shared" si="7"/>
        <v>2023</v>
      </c>
      <c r="B117" s="454" t="str">
        <f t="shared" si="8"/>
        <v>05</v>
      </c>
      <c r="C117" s="454" t="str">
        <f t="array" ref="C117">_xlfn.IFS(_xlfn.NUMBERVALUE(B117)&lt;=13,"Q1",AND(_xlfn.NUMBERVALUE(B117)&gt;13,_xlfn.NUMBERVALUE(B117)&lt;=26),"Q2", AND(_xlfn.NUMBERVALUE(B117)&gt;26,_xlfn.NUMBERVALUE(B117)&lt;=39),"Q3",_xlfn.NUMBERVALUE(B117)&gt;39,"Q4")</f>
        <v>Q1</v>
      </c>
      <c r="D117" s="448">
        <f t="shared" si="13"/>
        <v>44618</v>
      </c>
      <c r="E117" s="448">
        <f t="shared" si="9"/>
        <v>44624</v>
      </c>
      <c r="F117" s="97">
        <v>202205</v>
      </c>
      <c r="G117" s="103"/>
      <c r="H117" s="429"/>
      <c r="I117" s="429"/>
      <c r="J117" s="214">
        <f t="shared" si="10"/>
        <v>0</v>
      </c>
      <c r="K117" s="103"/>
      <c r="L117" s="429"/>
      <c r="M117" s="429"/>
      <c r="N117" s="214">
        <f t="shared" si="11"/>
        <v>0</v>
      </c>
      <c r="O117" s="110"/>
      <c r="P117" s="430"/>
      <c r="Q117" s="430"/>
      <c r="R117" s="301">
        <f t="shared" si="12"/>
        <v>0</v>
      </c>
    </row>
    <row r="118" spans="1:18" ht="16.350000000000001" customHeight="1">
      <c r="A118" s="175">
        <f t="shared" si="7"/>
        <v>2023</v>
      </c>
      <c r="B118" s="454" t="str">
        <f t="shared" si="8"/>
        <v>06</v>
      </c>
      <c r="C118" s="454" t="str">
        <f t="array" ref="C118">_xlfn.IFS(_xlfn.NUMBERVALUE(B118)&lt;=13,"Q1",AND(_xlfn.NUMBERVALUE(B118)&gt;13,_xlfn.NUMBERVALUE(B118)&lt;=26),"Q2", AND(_xlfn.NUMBERVALUE(B118)&gt;26,_xlfn.NUMBERVALUE(B118)&lt;=39),"Q3",_xlfn.NUMBERVALUE(B118)&gt;39,"Q4")</f>
        <v>Q1</v>
      </c>
      <c r="D118" s="448">
        <f t="shared" si="13"/>
        <v>44625</v>
      </c>
      <c r="E118" s="448">
        <f t="shared" si="9"/>
        <v>44631</v>
      </c>
      <c r="F118" s="97">
        <v>202206</v>
      </c>
      <c r="G118" s="103"/>
      <c r="H118" s="429"/>
      <c r="I118" s="429"/>
      <c r="J118" s="214">
        <f t="shared" si="10"/>
        <v>0</v>
      </c>
      <c r="K118" s="103"/>
      <c r="L118" s="429"/>
      <c r="M118" s="429"/>
      <c r="N118" s="214">
        <f t="shared" si="11"/>
        <v>0</v>
      </c>
      <c r="O118" s="110"/>
      <c r="P118" s="430"/>
      <c r="Q118" s="430"/>
      <c r="R118" s="301">
        <f t="shared" si="12"/>
        <v>0</v>
      </c>
    </row>
    <row r="119" spans="1:18" ht="16.350000000000001" customHeight="1">
      <c r="A119" s="175">
        <f t="shared" si="7"/>
        <v>2023</v>
      </c>
      <c r="B119" s="454" t="str">
        <f t="shared" si="8"/>
        <v>07</v>
      </c>
      <c r="C119" s="454" t="str">
        <f t="array" ref="C119">_xlfn.IFS(_xlfn.NUMBERVALUE(B119)&lt;=13,"Q1",AND(_xlfn.NUMBERVALUE(B119)&gt;13,_xlfn.NUMBERVALUE(B119)&lt;=26),"Q2", AND(_xlfn.NUMBERVALUE(B119)&gt;26,_xlfn.NUMBERVALUE(B119)&lt;=39),"Q3",_xlfn.NUMBERVALUE(B119)&gt;39,"Q4")</f>
        <v>Q1</v>
      </c>
      <c r="D119" s="448">
        <f t="shared" si="13"/>
        <v>44632</v>
      </c>
      <c r="E119" s="448">
        <f t="shared" si="9"/>
        <v>44638</v>
      </c>
      <c r="F119" s="97">
        <v>202207</v>
      </c>
      <c r="G119" s="103"/>
      <c r="H119" s="429"/>
      <c r="I119" s="429"/>
      <c r="J119" s="214">
        <f t="shared" si="10"/>
        <v>0</v>
      </c>
      <c r="K119" s="103"/>
      <c r="L119" s="429"/>
      <c r="M119" s="429"/>
      <c r="N119" s="214">
        <f t="shared" si="11"/>
        <v>0</v>
      </c>
      <c r="O119" s="110"/>
      <c r="P119" s="430"/>
      <c r="Q119" s="430"/>
      <c r="R119" s="301">
        <f t="shared" si="12"/>
        <v>0</v>
      </c>
    </row>
    <row r="120" spans="1:18" ht="16.350000000000001" customHeight="1">
      <c r="A120" s="175">
        <f t="shared" si="7"/>
        <v>2023</v>
      </c>
      <c r="B120" s="454" t="str">
        <f t="shared" si="8"/>
        <v>08</v>
      </c>
      <c r="C120" s="454" t="str">
        <f t="array" ref="C120">_xlfn.IFS(_xlfn.NUMBERVALUE(B120)&lt;=13,"Q1",AND(_xlfn.NUMBERVALUE(B120)&gt;13,_xlfn.NUMBERVALUE(B120)&lt;=26),"Q2", AND(_xlfn.NUMBERVALUE(B120)&gt;26,_xlfn.NUMBERVALUE(B120)&lt;=39),"Q3",_xlfn.NUMBERVALUE(B120)&gt;39,"Q4")</f>
        <v>Q1</v>
      </c>
      <c r="D120" s="448">
        <f t="shared" si="13"/>
        <v>44639</v>
      </c>
      <c r="E120" s="448">
        <f t="shared" si="9"/>
        <v>44645</v>
      </c>
      <c r="F120" s="97">
        <v>202208</v>
      </c>
      <c r="G120" s="103"/>
      <c r="H120" s="429"/>
      <c r="I120" s="429"/>
      <c r="J120" s="214">
        <f t="shared" si="10"/>
        <v>0</v>
      </c>
      <c r="K120" s="103"/>
      <c r="L120" s="429"/>
      <c r="M120" s="429"/>
      <c r="N120" s="214">
        <f t="shared" si="11"/>
        <v>0</v>
      </c>
      <c r="O120" s="110"/>
      <c r="P120" s="430"/>
      <c r="Q120" s="430"/>
      <c r="R120" s="301">
        <f t="shared" si="12"/>
        <v>0</v>
      </c>
    </row>
    <row r="121" spans="1:18" ht="16.350000000000001" customHeight="1">
      <c r="A121" s="175">
        <f t="shared" si="7"/>
        <v>2023</v>
      </c>
      <c r="B121" s="454" t="str">
        <f t="shared" si="8"/>
        <v>09</v>
      </c>
      <c r="C121" s="454" t="str">
        <f t="array" ref="C121">_xlfn.IFS(_xlfn.NUMBERVALUE(B121)&lt;=13,"Q1",AND(_xlfn.NUMBERVALUE(B121)&gt;13,_xlfn.NUMBERVALUE(B121)&lt;=26),"Q2", AND(_xlfn.NUMBERVALUE(B121)&gt;26,_xlfn.NUMBERVALUE(B121)&lt;=39),"Q3",_xlfn.NUMBERVALUE(B121)&gt;39,"Q4")</f>
        <v>Q1</v>
      </c>
      <c r="D121" s="448">
        <f t="shared" si="13"/>
        <v>44646</v>
      </c>
      <c r="E121" s="448">
        <f t="shared" si="9"/>
        <v>44652</v>
      </c>
      <c r="F121" s="97">
        <v>202209</v>
      </c>
      <c r="G121" s="103"/>
      <c r="H121" s="429"/>
      <c r="I121" s="429"/>
      <c r="J121" s="214">
        <f t="shared" si="10"/>
        <v>0</v>
      </c>
      <c r="K121" s="103"/>
      <c r="L121" s="429"/>
      <c r="M121" s="429"/>
      <c r="N121" s="214">
        <f t="shared" si="11"/>
        <v>0</v>
      </c>
      <c r="O121" s="110"/>
      <c r="P121" s="430"/>
      <c r="Q121" s="430"/>
      <c r="R121" s="301">
        <f t="shared" si="12"/>
        <v>0</v>
      </c>
    </row>
    <row r="122" spans="1:18" ht="16.350000000000001" customHeight="1">
      <c r="A122" s="175">
        <f t="shared" si="7"/>
        <v>2023</v>
      </c>
      <c r="B122" s="454" t="str">
        <f t="shared" si="8"/>
        <v>10</v>
      </c>
      <c r="C122" s="454" t="str">
        <f t="array" ref="C122">_xlfn.IFS(_xlfn.NUMBERVALUE(B122)&lt;=13,"Q1",AND(_xlfn.NUMBERVALUE(B122)&gt;13,_xlfn.NUMBERVALUE(B122)&lt;=26),"Q2", AND(_xlfn.NUMBERVALUE(B122)&gt;26,_xlfn.NUMBERVALUE(B122)&lt;=39),"Q3",_xlfn.NUMBERVALUE(B122)&gt;39,"Q4")</f>
        <v>Q1</v>
      </c>
      <c r="D122" s="448">
        <f t="shared" si="13"/>
        <v>44653</v>
      </c>
      <c r="E122" s="448">
        <f t="shared" si="9"/>
        <v>44659</v>
      </c>
      <c r="F122" s="97">
        <v>202210</v>
      </c>
      <c r="G122" s="103"/>
      <c r="H122" s="429"/>
      <c r="I122" s="429"/>
      <c r="J122" s="214">
        <f t="shared" si="10"/>
        <v>0</v>
      </c>
      <c r="K122" s="103"/>
      <c r="L122" s="429"/>
      <c r="M122" s="429"/>
      <c r="N122" s="214">
        <f t="shared" si="11"/>
        <v>0</v>
      </c>
      <c r="O122" s="110"/>
      <c r="P122" s="430"/>
      <c r="Q122" s="430"/>
      <c r="R122" s="301">
        <f t="shared" si="12"/>
        <v>0</v>
      </c>
    </row>
    <row r="123" spans="1:18" ht="16.350000000000001" customHeight="1">
      <c r="A123" s="175">
        <f t="shared" si="7"/>
        <v>2023</v>
      </c>
      <c r="B123" s="454" t="str">
        <f t="shared" si="8"/>
        <v>11</v>
      </c>
      <c r="C123" s="454" t="str">
        <f t="array" ref="C123">_xlfn.IFS(_xlfn.NUMBERVALUE(B123)&lt;=13,"Q1",AND(_xlfn.NUMBERVALUE(B123)&gt;13,_xlfn.NUMBERVALUE(B123)&lt;=26),"Q2", AND(_xlfn.NUMBERVALUE(B123)&gt;26,_xlfn.NUMBERVALUE(B123)&lt;=39),"Q3",_xlfn.NUMBERVALUE(B123)&gt;39,"Q4")</f>
        <v>Q1</v>
      </c>
      <c r="D123" s="448">
        <f t="shared" si="13"/>
        <v>44660</v>
      </c>
      <c r="E123" s="448">
        <f t="shared" si="9"/>
        <v>44666</v>
      </c>
      <c r="F123" s="97">
        <v>202211</v>
      </c>
      <c r="G123" s="103"/>
      <c r="H123" s="429"/>
      <c r="I123" s="429"/>
      <c r="J123" s="214">
        <f t="shared" si="10"/>
        <v>0</v>
      </c>
      <c r="K123" s="103"/>
      <c r="L123" s="429"/>
      <c r="M123" s="429"/>
      <c r="N123" s="214">
        <f t="shared" si="11"/>
        <v>0</v>
      </c>
      <c r="O123" s="110"/>
      <c r="P123" s="430"/>
      <c r="Q123" s="430"/>
      <c r="R123" s="301">
        <f t="shared" si="12"/>
        <v>0</v>
      </c>
    </row>
    <row r="124" spans="1:18" ht="16.350000000000001" customHeight="1">
      <c r="A124" s="175">
        <f t="shared" si="7"/>
        <v>2023</v>
      </c>
      <c r="B124" s="454" t="str">
        <f t="shared" si="8"/>
        <v>12</v>
      </c>
      <c r="C124" s="454" t="str">
        <f t="array" ref="C124">_xlfn.IFS(_xlfn.NUMBERVALUE(B124)&lt;=13,"Q1",AND(_xlfn.NUMBERVALUE(B124)&gt;13,_xlfn.NUMBERVALUE(B124)&lt;=26),"Q2", AND(_xlfn.NUMBERVALUE(B124)&gt;26,_xlfn.NUMBERVALUE(B124)&lt;=39),"Q3",_xlfn.NUMBERVALUE(B124)&gt;39,"Q4")</f>
        <v>Q1</v>
      </c>
      <c r="D124" s="448">
        <f t="shared" si="13"/>
        <v>44667</v>
      </c>
      <c r="E124" s="448">
        <f t="shared" si="9"/>
        <v>44673</v>
      </c>
      <c r="F124" s="97">
        <v>202212</v>
      </c>
      <c r="G124" s="103"/>
      <c r="H124" s="429"/>
      <c r="I124" s="429"/>
      <c r="J124" s="214">
        <f t="shared" si="10"/>
        <v>0</v>
      </c>
      <c r="K124" s="103"/>
      <c r="L124" s="429"/>
      <c r="M124" s="429"/>
      <c r="N124" s="214">
        <f t="shared" si="11"/>
        <v>0</v>
      </c>
      <c r="O124" s="110"/>
      <c r="P124" s="430"/>
      <c r="Q124" s="430"/>
      <c r="R124" s="301">
        <f t="shared" si="12"/>
        <v>0</v>
      </c>
    </row>
    <row r="125" spans="1:18" ht="16.350000000000001" customHeight="1">
      <c r="A125" s="175">
        <f t="shared" si="7"/>
        <v>2023</v>
      </c>
      <c r="B125" s="454" t="str">
        <f t="shared" si="8"/>
        <v>13</v>
      </c>
      <c r="C125" s="454" t="str">
        <f t="array" ref="C125">_xlfn.IFS(_xlfn.NUMBERVALUE(B125)&lt;=13,"Q1",AND(_xlfn.NUMBERVALUE(B125)&gt;13,_xlfn.NUMBERVALUE(B125)&lt;=26),"Q2", AND(_xlfn.NUMBERVALUE(B125)&gt;26,_xlfn.NUMBERVALUE(B125)&lt;=39),"Q3",_xlfn.NUMBERVALUE(B125)&gt;39,"Q4")</f>
        <v>Q1</v>
      </c>
      <c r="D125" s="448">
        <f t="shared" si="13"/>
        <v>44674</v>
      </c>
      <c r="E125" s="448">
        <f t="shared" si="9"/>
        <v>44680</v>
      </c>
      <c r="F125" s="97">
        <v>202213</v>
      </c>
      <c r="G125" s="103"/>
      <c r="H125" s="429"/>
      <c r="I125" s="429"/>
      <c r="J125" s="214">
        <f t="shared" si="10"/>
        <v>0</v>
      </c>
      <c r="K125" s="103"/>
      <c r="L125" s="429"/>
      <c r="M125" s="429"/>
      <c r="N125" s="214">
        <f t="shared" si="11"/>
        <v>0</v>
      </c>
      <c r="O125" s="110"/>
      <c r="P125" s="430"/>
      <c r="Q125" s="430"/>
      <c r="R125" s="301">
        <f t="shared" si="12"/>
        <v>0</v>
      </c>
    </row>
    <row r="126" spans="1:18" ht="16.350000000000001" customHeight="1">
      <c r="A126" s="175">
        <f t="shared" si="7"/>
        <v>2023</v>
      </c>
      <c r="B126" s="454" t="str">
        <f t="shared" si="8"/>
        <v>14</v>
      </c>
      <c r="C126" s="454" t="str">
        <f t="array" ref="C126">_xlfn.IFS(_xlfn.NUMBERVALUE(B126)&lt;=13,"Q1",AND(_xlfn.NUMBERVALUE(B126)&gt;13,_xlfn.NUMBERVALUE(B126)&lt;=26),"Q2", AND(_xlfn.NUMBERVALUE(B126)&gt;26,_xlfn.NUMBERVALUE(B126)&lt;=39),"Q3",_xlfn.NUMBERVALUE(B126)&gt;39,"Q4")</f>
        <v>Q2</v>
      </c>
      <c r="D126" s="448">
        <f t="shared" si="13"/>
        <v>44681</v>
      </c>
      <c r="E126" s="448">
        <f t="shared" si="9"/>
        <v>44687</v>
      </c>
      <c r="F126" s="97">
        <v>202214</v>
      </c>
      <c r="G126" s="103"/>
      <c r="H126" s="429"/>
      <c r="I126" s="429"/>
      <c r="J126" s="214">
        <f t="shared" si="10"/>
        <v>0</v>
      </c>
      <c r="K126" s="103"/>
      <c r="L126" s="429"/>
      <c r="M126" s="429"/>
      <c r="N126" s="214">
        <f t="shared" si="11"/>
        <v>0</v>
      </c>
      <c r="O126" s="197"/>
      <c r="P126" s="462"/>
      <c r="Q126" s="462"/>
      <c r="R126" s="301">
        <f t="shared" si="12"/>
        <v>0</v>
      </c>
    </row>
    <row r="127" spans="1:18" ht="16.350000000000001" customHeight="1">
      <c r="A127" s="175">
        <f t="shared" si="7"/>
        <v>2023</v>
      </c>
      <c r="B127" s="454" t="str">
        <f t="shared" si="8"/>
        <v>15</v>
      </c>
      <c r="C127" s="454" t="str">
        <f t="array" ref="C127">_xlfn.IFS(_xlfn.NUMBERVALUE(B127)&lt;=13,"Q1",AND(_xlfn.NUMBERVALUE(B127)&gt;13,_xlfn.NUMBERVALUE(B127)&lt;=26),"Q2", AND(_xlfn.NUMBERVALUE(B127)&gt;26,_xlfn.NUMBERVALUE(B127)&lt;=39),"Q3",_xlfn.NUMBERVALUE(B127)&gt;39,"Q4")</f>
        <v>Q2</v>
      </c>
      <c r="D127" s="448">
        <f t="shared" si="13"/>
        <v>44688</v>
      </c>
      <c r="E127" s="448">
        <f t="shared" si="9"/>
        <v>44694</v>
      </c>
      <c r="F127" s="97">
        <v>202215</v>
      </c>
      <c r="G127" s="103"/>
      <c r="H127" s="429"/>
      <c r="I127" s="429"/>
      <c r="J127" s="214">
        <f t="shared" si="10"/>
        <v>0</v>
      </c>
      <c r="K127" s="103"/>
      <c r="L127" s="429"/>
      <c r="M127" s="429"/>
      <c r="N127" s="214">
        <f t="shared" si="11"/>
        <v>0</v>
      </c>
      <c r="O127" s="197"/>
      <c r="P127" s="462"/>
      <c r="Q127" s="462"/>
      <c r="R127" s="301">
        <f t="shared" si="12"/>
        <v>0</v>
      </c>
    </row>
    <row r="128" spans="1:18" ht="16.350000000000001" customHeight="1">
      <c r="A128" s="175">
        <f t="shared" si="7"/>
        <v>2023</v>
      </c>
      <c r="B128" s="454" t="str">
        <f t="shared" si="8"/>
        <v>16</v>
      </c>
      <c r="C128" s="454" t="str">
        <f t="array" ref="C128">_xlfn.IFS(_xlfn.NUMBERVALUE(B128)&lt;=13,"Q1",AND(_xlfn.NUMBERVALUE(B128)&gt;13,_xlfn.NUMBERVALUE(B128)&lt;=26),"Q2", AND(_xlfn.NUMBERVALUE(B128)&gt;26,_xlfn.NUMBERVALUE(B128)&lt;=39),"Q3",_xlfn.NUMBERVALUE(B128)&gt;39,"Q4")</f>
        <v>Q2</v>
      </c>
      <c r="D128" s="448">
        <f t="shared" si="13"/>
        <v>44695</v>
      </c>
      <c r="E128" s="448">
        <f t="shared" si="9"/>
        <v>44701</v>
      </c>
      <c r="F128" s="97">
        <v>202216</v>
      </c>
      <c r="G128" s="103"/>
      <c r="H128" s="429"/>
      <c r="I128" s="429"/>
      <c r="J128" s="214">
        <f t="shared" si="10"/>
        <v>0</v>
      </c>
      <c r="K128" s="103"/>
      <c r="L128" s="429"/>
      <c r="M128" s="429"/>
      <c r="N128" s="214">
        <f t="shared" si="11"/>
        <v>0</v>
      </c>
      <c r="O128" s="197"/>
      <c r="P128" s="462"/>
      <c r="Q128" s="462"/>
      <c r="R128" s="301">
        <f t="shared" si="12"/>
        <v>0</v>
      </c>
    </row>
    <row r="129" spans="1:18" ht="16.350000000000001" customHeight="1">
      <c r="A129" s="175">
        <f t="shared" si="7"/>
        <v>2023</v>
      </c>
      <c r="B129" s="454" t="str">
        <f t="shared" si="8"/>
        <v>17</v>
      </c>
      <c r="C129" s="454" t="str">
        <f t="array" ref="C129">_xlfn.IFS(_xlfn.NUMBERVALUE(B129)&lt;=13,"Q1",AND(_xlfn.NUMBERVALUE(B129)&gt;13,_xlfn.NUMBERVALUE(B129)&lt;=26),"Q2", AND(_xlfn.NUMBERVALUE(B129)&gt;26,_xlfn.NUMBERVALUE(B129)&lt;=39),"Q3",_xlfn.NUMBERVALUE(B129)&gt;39,"Q4")</f>
        <v>Q2</v>
      </c>
      <c r="D129" s="448">
        <f t="shared" si="13"/>
        <v>44702</v>
      </c>
      <c r="E129" s="448">
        <f t="shared" si="9"/>
        <v>44708</v>
      </c>
      <c r="F129" s="97">
        <v>202217</v>
      </c>
      <c r="G129" s="103"/>
      <c r="H129" s="429"/>
      <c r="I129" s="429"/>
      <c r="J129" s="214">
        <f t="shared" si="10"/>
        <v>0</v>
      </c>
      <c r="K129" s="103"/>
      <c r="L129" s="429"/>
      <c r="M129" s="429"/>
      <c r="N129" s="214">
        <f t="shared" si="11"/>
        <v>0</v>
      </c>
      <c r="O129" s="197"/>
      <c r="P129" s="462"/>
      <c r="Q129" s="462"/>
      <c r="R129" s="301">
        <f t="shared" si="12"/>
        <v>0</v>
      </c>
    </row>
    <row r="130" spans="1:18" ht="16.350000000000001" customHeight="1">
      <c r="A130" s="175">
        <f t="shared" si="7"/>
        <v>2023</v>
      </c>
      <c r="B130" s="454" t="str">
        <f t="shared" si="8"/>
        <v>18</v>
      </c>
      <c r="C130" s="454" t="str">
        <f t="array" ref="C130">_xlfn.IFS(_xlfn.NUMBERVALUE(B130)&lt;=13,"Q1",AND(_xlfn.NUMBERVALUE(B130)&gt;13,_xlfn.NUMBERVALUE(B130)&lt;=26),"Q2", AND(_xlfn.NUMBERVALUE(B130)&gt;26,_xlfn.NUMBERVALUE(B130)&lt;=39),"Q3",_xlfn.NUMBERVALUE(B130)&gt;39,"Q4")</f>
        <v>Q2</v>
      </c>
      <c r="D130" s="448">
        <f t="shared" si="13"/>
        <v>44709</v>
      </c>
      <c r="E130" s="448">
        <f t="shared" si="9"/>
        <v>44715</v>
      </c>
      <c r="F130" s="97">
        <v>202218</v>
      </c>
      <c r="G130" s="103"/>
      <c r="H130" s="429"/>
      <c r="I130" s="429"/>
      <c r="J130" s="214">
        <f t="shared" si="10"/>
        <v>0</v>
      </c>
      <c r="K130" s="103"/>
      <c r="L130" s="429"/>
      <c r="M130" s="429"/>
      <c r="N130" s="214">
        <f t="shared" si="11"/>
        <v>0</v>
      </c>
      <c r="O130" s="197"/>
      <c r="P130" s="462"/>
      <c r="Q130" s="462"/>
      <c r="R130" s="301">
        <f t="shared" si="12"/>
        <v>0</v>
      </c>
    </row>
    <row r="131" spans="1:18" ht="16.350000000000001" customHeight="1">
      <c r="A131" s="175">
        <f t="shared" si="7"/>
        <v>2023</v>
      </c>
      <c r="B131" s="454" t="str">
        <f t="shared" si="8"/>
        <v>19</v>
      </c>
      <c r="C131" s="454" t="str">
        <f t="array" ref="C131">_xlfn.IFS(_xlfn.NUMBERVALUE(B131)&lt;=13,"Q1",AND(_xlfn.NUMBERVALUE(B131)&gt;13,_xlfn.NUMBERVALUE(B131)&lt;=26),"Q2", AND(_xlfn.NUMBERVALUE(B131)&gt;26,_xlfn.NUMBERVALUE(B131)&lt;=39),"Q3",_xlfn.NUMBERVALUE(B131)&gt;39,"Q4")</f>
        <v>Q2</v>
      </c>
      <c r="D131" s="448">
        <f t="shared" si="13"/>
        <v>44716</v>
      </c>
      <c r="E131" s="448">
        <f t="shared" si="9"/>
        <v>44722</v>
      </c>
      <c r="F131" s="97">
        <v>202219</v>
      </c>
      <c r="G131" s="103"/>
      <c r="H131" s="429"/>
      <c r="I131" s="429"/>
      <c r="J131" s="214">
        <f t="shared" si="10"/>
        <v>0</v>
      </c>
      <c r="K131" s="103"/>
      <c r="L131" s="429"/>
      <c r="M131" s="429"/>
      <c r="N131" s="214">
        <f t="shared" si="11"/>
        <v>0</v>
      </c>
      <c r="O131" s="197"/>
      <c r="P131" s="462"/>
      <c r="Q131" s="462"/>
      <c r="R131" s="301">
        <f t="shared" si="12"/>
        <v>0</v>
      </c>
    </row>
    <row r="132" spans="1:18" ht="16.350000000000001" customHeight="1">
      <c r="A132" s="175">
        <f t="shared" si="7"/>
        <v>2023</v>
      </c>
      <c r="B132" s="454" t="str">
        <f t="shared" si="8"/>
        <v>20</v>
      </c>
      <c r="C132" s="454" t="str">
        <f t="array" ref="C132">_xlfn.IFS(_xlfn.NUMBERVALUE(B132)&lt;=13,"Q1",AND(_xlfn.NUMBERVALUE(B132)&gt;13,_xlfn.NUMBERVALUE(B132)&lt;=26),"Q2", AND(_xlfn.NUMBERVALUE(B132)&gt;26,_xlfn.NUMBERVALUE(B132)&lt;=39),"Q3",_xlfn.NUMBERVALUE(B132)&gt;39,"Q4")</f>
        <v>Q2</v>
      </c>
      <c r="D132" s="448">
        <f t="shared" si="13"/>
        <v>44723</v>
      </c>
      <c r="E132" s="448">
        <f t="shared" si="9"/>
        <v>44729</v>
      </c>
      <c r="F132" s="97">
        <v>202220</v>
      </c>
      <c r="G132" s="103"/>
      <c r="H132" s="429"/>
      <c r="I132" s="429"/>
      <c r="J132" s="214">
        <f t="shared" si="10"/>
        <v>0</v>
      </c>
      <c r="K132" s="103"/>
      <c r="L132" s="429"/>
      <c r="M132" s="429"/>
      <c r="N132" s="214">
        <f t="shared" si="11"/>
        <v>0</v>
      </c>
      <c r="O132" s="197"/>
      <c r="P132" s="462"/>
      <c r="Q132" s="462"/>
      <c r="R132" s="301">
        <f t="shared" si="12"/>
        <v>0</v>
      </c>
    </row>
    <row r="133" spans="1:18" ht="16.350000000000001" customHeight="1">
      <c r="A133" s="175">
        <f t="shared" si="7"/>
        <v>2023</v>
      </c>
      <c r="B133" s="454" t="str">
        <f t="shared" si="8"/>
        <v>21</v>
      </c>
      <c r="C133" s="454" t="str">
        <f t="array" ref="C133">_xlfn.IFS(_xlfn.NUMBERVALUE(B133)&lt;=13,"Q1",AND(_xlfn.NUMBERVALUE(B133)&gt;13,_xlfn.NUMBERVALUE(B133)&lt;=26),"Q2", AND(_xlfn.NUMBERVALUE(B133)&gt;26,_xlfn.NUMBERVALUE(B133)&lt;=39),"Q3",_xlfn.NUMBERVALUE(B133)&gt;39,"Q4")</f>
        <v>Q2</v>
      </c>
      <c r="D133" s="448">
        <f t="shared" si="13"/>
        <v>44730</v>
      </c>
      <c r="E133" s="448">
        <f t="shared" si="9"/>
        <v>44736</v>
      </c>
      <c r="F133" s="97">
        <v>202221</v>
      </c>
      <c r="G133" s="103"/>
      <c r="H133" s="429"/>
      <c r="I133" s="429"/>
      <c r="J133" s="214">
        <f t="shared" si="10"/>
        <v>0</v>
      </c>
      <c r="K133" s="103"/>
      <c r="L133" s="429"/>
      <c r="M133" s="429"/>
      <c r="N133" s="214">
        <f t="shared" si="11"/>
        <v>0</v>
      </c>
      <c r="O133" s="197"/>
      <c r="P133" s="462"/>
      <c r="Q133" s="462"/>
      <c r="R133" s="301">
        <f t="shared" si="12"/>
        <v>0</v>
      </c>
    </row>
    <row r="134" spans="1:18" ht="16.350000000000001" customHeight="1">
      <c r="A134" s="175">
        <f t="shared" si="7"/>
        <v>2023</v>
      </c>
      <c r="B134" s="454" t="str">
        <f t="shared" si="8"/>
        <v>22</v>
      </c>
      <c r="C134" s="454" t="str">
        <f t="array" ref="C134">_xlfn.IFS(_xlfn.NUMBERVALUE(B134)&lt;=13,"Q1",AND(_xlfn.NUMBERVALUE(B134)&gt;13,_xlfn.NUMBERVALUE(B134)&lt;=26),"Q2", AND(_xlfn.NUMBERVALUE(B134)&gt;26,_xlfn.NUMBERVALUE(B134)&lt;=39),"Q3",_xlfn.NUMBERVALUE(B134)&gt;39,"Q4")</f>
        <v>Q2</v>
      </c>
      <c r="D134" s="448">
        <f t="shared" si="13"/>
        <v>44737</v>
      </c>
      <c r="E134" s="448">
        <f t="shared" si="9"/>
        <v>44743</v>
      </c>
      <c r="F134" s="97">
        <v>202222</v>
      </c>
      <c r="G134" s="103"/>
      <c r="H134" s="429"/>
      <c r="I134" s="429"/>
      <c r="J134" s="214">
        <f t="shared" si="10"/>
        <v>0</v>
      </c>
      <c r="K134" s="103"/>
      <c r="L134" s="429"/>
      <c r="M134" s="429"/>
      <c r="N134" s="214">
        <f t="shared" si="11"/>
        <v>0</v>
      </c>
      <c r="O134" s="197"/>
      <c r="P134" s="462"/>
      <c r="Q134" s="462"/>
      <c r="R134" s="301">
        <f t="shared" si="12"/>
        <v>0</v>
      </c>
    </row>
    <row r="135" spans="1:18" ht="16.350000000000001" customHeight="1">
      <c r="A135" s="175">
        <f t="shared" si="7"/>
        <v>2023</v>
      </c>
      <c r="B135" s="454" t="str">
        <f t="shared" si="8"/>
        <v>23</v>
      </c>
      <c r="C135" s="454" t="str">
        <f t="array" ref="C135">_xlfn.IFS(_xlfn.NUMBERVALUE(B135)&lt;=13,"Q1",AND(_xlfn.NUMBERVALUE(B135)&gt;13,_xlfn.NUMBERVALUE(B135)&lt;=26),"Q2", AND(_xlfn.NUMBERVALUE(B135)&gt;26,_xlfn.NUMBERVALUE(B135)&lt;=39),"Q3",_xlfn.NUMBERVALUE(B135)&gt;39,"Q4")</f>
        <v>Q2</v>
      </c>
      <c r="D135" s="448">
        <f t="shared" si="13"/>
        <v>44744</v>
      </c>
      <c r="E135" s="448">
        <f t="shared" si="9"/>
        <v>44750</v>
      </c>
      <c r="F135" s="97">
        <v>202223</v>
      </c>
      <c r="G135" s="103"/>
      <c r="H135" s="429"/>
      <c r="I135" s="429"/>
      <c r="J135" s="214">
        <f t="shared" si="10"/>
        <v>0</v>
      </c>
      <c r="K135" s="103"/>
      <c r="L135" s="429"/>
      <c r="M135" s="429"/>
      <c r="N135" s="214">
        <f t="shared" si="11"/>
        <v>0</v>
      </c>
      <c r="O135" s="197"/>
      <c r="P135" s="462"/>
      <c r="Q135" s="462"/>
      <c r="R135" s="301">
        <f t="shared" si="12"/>
        <v>0</v>
      </c>
    </row>
    <row r="136" spans="1:18" ht="16.350000000000001" customHeight="1">
      <c r="A136" s="175">
        <f t="shared" si="7"/>
        <v>2023</v>
      </c>
      <c r="B136" s="454" t="str">
        <f t="shared" si="8"/>
        <v>24</v>
      </c>
      <c r="C136" s="454" t="str">
        <f t="array" ref="C136">_xlfn.IFS(_xlfn.NUMBERVALUE(B136)&lt;=13,"Q1",AND(_xlfn.NUMBERVALUE(B136)&gt;13,_xlfn.NUMBERVALUE(B136)&lt;=26),"Q2", AND(_xlfn.NUMBERVALUE(B136)&gt;26,_xlfn.NUMBERVALUE(B136)&lt;=39),"Q3",_xlfn.NUMBERVALUE(B136)&gt;39,"Q4")</f>
        <v>Q2</v>
      </c>
      <c r="D136" s="448">
        <f t="shared" si="13"/>
        <v>44751</v>
      </c>
      <c r="E136" s="448">
        <f t="shared" si="9"/>
        <v>44757</v>
      </c>
      <c r="F136" s="97">
        <v>202224</v>
      </c>
      <c r="G136" s="103"/>
      <c r="H136" s="429"/>
      <c r="I136" s="429"/>
      <c r="J136" s="214">
        <f t="shared" si="10"/>
        <v>0</v>
      </c>
      <c r="K136" s="103"/>
      <c r="L136" s="429"/>
      <c r="M136" s="429"/>
      <c r="N136" s="214">
        <f t="shared" si="11"/>
        <v>0</v>
      </c>
      <c r="O136" s="197"/>
      <c r="P136" s="462"/>
      <c r="Q136" s="462"/>
      <c r="R136" s="301">
        <f t="shared" si="12"/>
        <v>0</v>
      </c>
    </row>
    <row r="137" spans="1:18" ht="16.350000000000001" customHeight="1">
      <c r="A137" s="175">
        <f t="shared" ref="A137:A200" si="14">LEFT(F137,4)+1</f>
        <v>2023</v>
      </c>
      <c r="B137" s="454" t="str">
        <f t="shared" ref="B137:B200" si="15">RIGHT(F137,2)</f>
        <v>25</v>
      </c>
      <c r="C137" s="454" t="str">
        <f t="array" ref="C137">_xlfn.IFS(_xlfn.NUMBERVALUE(B137)&lt;=13,"Q1",AND(_xlfn.NUMBERVALUE(B137)&gt;13,_xlfn.NUMBERVALUE(B137)&lt;=26),"Q2", AND(_xlfn.NUMBERVALUE(B137)&gt;26,_xlfn.NUMBERVALUE(B137)&lt;=39),"Q3",_xlfn.NUMBERVALUE(B137)&gt;39,"Q4")</f>
        <v>Q2</v>
      </c>
      <c r="D137" s="448">
        <f t="shared" si="13"/>
        <v>44758</v>
      </c>
      <c r="E137" s="448">
        <f t="shared" ref="E137:E200" si="16">D137+6</f>
        <v>44764</v>
      </c>
      <c r="F137" s="97">
        <v>202225</v>
      </c>
      <c r="G137" s="103"/>
      <c r="H137" s="429"/>
      <c r="I137" s="429"/>
      <c r="J137" s="214">
        <f t="shared" ref="J137:J200" si="17">SUM(G137:I137)</f>
        <v>0</v>
      </c>
      <c r="K137" s="103"/>
      <c r="L137" s="429"/>
      <c r="M137" s="429"/>
      <c r="N137" s="214">
        <f t="shared" ref="N137:N200" si="18">SUM(K137:M137)</f>
        <v>0</v>
      </c>
      <c r="O137" s="197"/>
      <c r="P137" s="462"/>
      <c r="Q137" s="462"/>
      <c r="R137" s="301">
        <f t="shared" ref="R137:R200" si="19">SUM(O137:Q137)</f>
        <v>0</v>
      </c>
    </row>
    <row r="138" spans="1:18" ht="16.350000000000001" customHeight="1">
      <c r="A138" s="175">
        <f t="shared" si="14"/>
        <v>2023</v>
      </c>
      <c r="B138" s="454" t="str">
        <f t="shared" si="15"/>
        <v>26</v>
      </c>
      <c r="C138" s="454" t="str">
        <f t="array" ref="C138">_xlfn.IFS(_xlfn.NUMBERVALUE(B138)&lt;=13,"Q1",AND(_xlfn.NUMBERVALUE(B138)&gt;13,_xlfn.NUMBERVALUE(B138)&lt;=26),"Q2", AND(_xlfn.NUMBERVALUE(B138)&gt;26,_xlfn.NUMBERVALUE(B138)&lt;=39),"Q3",_xlfn.NUMBERVALUE(B138)&gt;39,"Q4")</f>
        <v>Q2</v>
      </c>
      <c r="D138" s="448">
        <f t="shared" ref="D138:D201" si="20">E137+1</f>
        <v>44765</v>
      </c>
      <c r="E138" s="448">
        <f t="shared" si="16"/>
        <v>44771</v>
      </c>
      <c r="F138" s="97">
        <v>202226</v>
      </c>
      <c r="G138" s="103"/>
      <c r="H138" s="429"/>
      <c r="I138" s="429"/>
      <c r="J138" s="214">
        <f t="shared" si="17"/>
        <v>0</v>
      </c>
      <c r="K138" s="103"/>
      <c r="L138" s="429"/>
      <c r="M138" s="429"/>
      <c r="N138" s="214">
        <f t="shared" si="18"/>
        <v>0</v>
      </c>
      <c r="O138" s="197"/>
      <c r="P138" s="462"/>
      <c r="Q138" s="462"/>
      <c r="R138" s="301">
        <f t="shared" si="19"/>
        <v>0</v>
      </c>
    </row>
    <row r="139" spans="1:18" ht="16.350000000000001" customHeight="1">
      <c r="A139" s="175">
        <f t="shared" si="14"/>
        <v>2023</v>
      </c>
      <c r="B139" s="454" t="str">
        <f t="shared" si="15"/>
        <v>27</v>
      </c>
      <c r="C139" s="454" t="str">
        <f t="array" ref="C139">_xlfn.IFS(_xlfn.NUMBERVALUE(B139)&lt;=13,"Q1",AND(_xlfn.NUMBERVALUE(B139)&gt;13,_xlfn.NUMBERVALUE(B139)&lt;=26),"Q2", AND(_xlfn.NUMBERVALUE(B139)&gt;26,_xlfn.NUMBERVALUE(B139)&lt;=39),"Q3",_xlfn.NUMBERVALUE(B139)&gt;39,"Q4")</f>
        <v>Q3</v>
      </c>
      <c r="D139" s="448">
        <f t="shared" si="20"/>
        <v>44772</v>
      </c>
      <c r="E139" s="448">
        <f t="shared" si="16"/>
        <v>44778</v>
      </c>
      <c r="F139" s="97">
        <v>202227</v>
      </c>
      <c r="G139" s="103"/>
      <c r="H139" s="429"/>
      <c r="I139" s="429"/>
      <c r="J139" s="214">
        <f t="shared" si="17"/>
        <v>0</v>
      </c>
      <c r="K139" s="103"/>
      <c r="L139" s="429"/>
      <c r="M139" s="429"/>
      <c r="N139" s="214">
        <f t="shared" si="18"/>
        <v>0</v>
      </c>
      <c r="O139" s="197"/>
      <c r="P139" s="462"/>
      <c r="Q139" s="462"/>
      <c r="R139" s="301">
        <f t="shared" si="19"/>
        <v>0</v>
      </c>
    </row>
    <row r="140" spans="1:18" ht="16.350000000000001" customHeight="1">
      <c r="A140" s="175">
        <f t="shared" si="14"/>
        <v>2023</v>
      </c>
      <c r="B140" s="454" t="str">
        <f t="shared" si="15"/>
        <v>28</v>
      </c>
      <c r="C140" s="454" t="str">
        <f t="array" ref="C140">_xlfn.IFS(_xlfn.NUMBERVALUE(B140)&lt;=13,"Q1",AND(_xlfn.NUMBERVALUE(B140)&gt;13,_xlfn.NUMBERVALUE(B140)&lt;=26),"Q2", AND(_xlfn.NUMBERVALUE(B140)&gt;26,_xlfn.NUMBERVALUE(B140)&lt;=39),"Q3",_xlfn.NUMBERVALUE(B140)&gt;39,"Q4")</f>
        <v>Q3</v>
      </c>
      <c r="D140" s="448">
        <f t="shared" si="20"/>
        <v>44779</v>
      </c>
      <c r="E140" s="448">
        <f t="shared" si="16"/>
        <v>44785</v>
      </c>
      <c r="F140" s="97">
        <v>202228</v>
      </c>
      <c r="G140" s="103"/>
      <c r="H140" s="429"/>
      <c r="I140" s="429"/>
      <c r="J140" s="214">
        <f t="shared" si="17"/>
        <v>0</v>
      </c>
      <c r="K140" s="103"/>
      <c r="L140" s="429"/>
      <c r="M140" s="429"/>
      <c r="N140" s="214">
        <f t="shared" si="18"/>
        <v>0</v>
      </c>
      <c r="O140" s="197"/>
      <c r="P140" s="462"/>
      <c r="Q140" s="462"/>
      <c r="R140" s="301">
        <f t="shared" si="19"/>
        <v>0</v>
      </c>
    </row>
    <row r="141" spans="1:18" ht="16.350000000000001" customHeight="1">
      <c r="A141" s="175">
        <f t="shared" si="14"/>
        <v>2023</v>
      </c>
      <c r="B141" s="454" t="str">
        <f t="shared" si="15"/>
        <v>29</v>
      </c>
      <c r="C141" s="454" t="str">
        <f t="array" ref="C141">_xlfn.IFS(_xlfn.NUMBERVALUE(B141)&lt;=13,"Q1",AND(_xlfn.NUMBERVALUE(B141)&gt;13,_xlfn.NUMBERVALUE(B141)&lt;=26),"Q2", AND(_xlfn.NUMBERVALUE(B141)&gt;26,_xlfn.NUMBERVALUE(B141)&lt;=39),"Q3",_xlfn.NUMBERVALUE(B141)&gt;39,"Q4")</f>
        <v>Q3</v>
      </c>
      <c r="D141" s="448">
        <f t="shared" si="20"/>
        <v>44786</v>
      </c>
      <c r="E141" s="448">
        <f t="shared" si="16"/>
        <v>44792</v>
      </c>
      <c r="F141" s="97">
        <v>202229</v>
      </c>
      <c r="G141" s="103"/>
      <c r="H141" s="429"/>
      <c r="I141" s="429"/>
      <c r="J141" s="214">
        <f t="shared" si="17"/>
        <v>0</v>
      </c>
      <c r="K141" s="103"/>
      <c r="L141" s="429"/>
      <c r="M141" s="429"/>
      <c r="N141" s="214">
        <f t="shared" si="18"/>
        <v>0</v>
      </c>
      <c r="O141" s="197"/>
      <c r="P141" s="462"/>
      <c r="Q141" s="462"/>
      <c r="R141" s="301">
        <f t="shared" si="19"/>
        <v>0</v>
      </c>
    </row>
    <row r="142" spans="1:18" ht="16.350000000000001" customHeight="1">
      <c r="A142" s="175">
        <f t="shared" si="14"/>
        <v>2023</v>
      </c>
      <c r="B142" s="454" t="str">
        <f t="shared" si="15"/>
        <v>30</v>
      </c>
      <c r="C142" s="454" t="str">
        <f t="array" ref="C142">_xlfn.IFS(_xlfn.NUMBERVALUE(B142)&lt;=13,"Q1",AND(_xlfn.NUMBERVALUE(B142)&gt;13,_xlfn.NUMBERVALUE(B142)&lt;=26),"Q2", AND(_xlfn.NUMBERVALUE(B142)&gt;26,_xlfn.NUMBERVALUE(B142)&lt;=39),"Q3",_xlfn.NUMBERVALUE(B142)&gt;39,"Q4")</f>
        <v>Q3</v>
      </c>
      <c r="D142" s="448">
        <f t="shared" si="20"/>
        <v>44793</v>
      </c>
      <c r="E142" s="448">
        <f t="shared" si="16"/>
        <v>44799</v>
      </c>
      <c r="F142" s="97">
        <v>202230</v>
      </c>
      <c r="G142" s="103"/>
      <c r="H142" s="429"/>
      <c r="I142" s="429"/>
      <c r="J142" s="214">
        <f t="shared" si="17"/>
        <v>0</v>
      </c>
      <c r="K142" s="103"/>
      <c r="L142" s="429"/>
      <c r="M142" s="429"/>
      <c r="N142" s="214">
        <f t="shared" si="18"/>
        <v>0</v>
      </c>
      <c r="O142" s="197"/>
      <c r="P142" s="462"/>
      <c r="Q142" s="462"/>
      <c r="R142" s="301">
        <f t="shared" si="19"/>
        <v>0</v>
      </c>
    </row>
    <row r="143" spans="1:18" ht="16.350000000000001" customHeight="1">
      <c r="A143" s="175">
        <f t="shared" si="14"/>
        <v>2023</v>
      </c>
      <c r="B143" s="454" t="str">
        <f t="shared" si="15"/>
        <v>31</v>
      </c>
      <c r="C143" s="454" t="str">
        <f t="array" ref="C143">_xlfn.IFS(_xlfn.NUMBERVALUE(B143)&lt;=13,"Q1",AND(_xlfn.NUMBERVALUE(B143)&gt;13,_xlfn.NUMBERVALUE(B143)&lt;=26),"Q2", AND(_xlfn.NUMBERVALUE(B143)&gt;26,_xlfn.NUMBERVALUE(B143)&lt;=39),"Q3",_xlfn.NUMBERVALUE(B143)&gt;39,"Q4")</f>
        <v>Q3</v>
      </c>
      <c r="D143" s="448">
        <f t="shared" si="20"/>
        <v>44800</v>
      </c>
      <c r="E143" s="448">
        <f t="shared" si="16"/>
        <v>44806</v>
      </c>
      <c r="F143" s="97">
        <v>202231</v>
      </c>
      <c r="G143" s="103"/>
      <c r="H143" s="429"/>
      <c r="I143" s="429"/>
      <c r="J143" s="214">
        <f t="shared" si="17"/>
        <v>0</v>
      </c>
      <c r="K143" s="103"/>
      <c r="L143" s="429"/>
      <c r="M143" s="429"/>
      <c r="N143" s="214">
        <f t="shared" si="18"/>
        <v>0</v>
      </c>
      <c r="O143" s="197"/>
      <c r="P143" s="462"/>
      <c r="Q143" s="462"/>
      <c r="R143" s="301">
        <f t="shared" si="19"/>
        <v>0</v>
      </c>
    </row>
    <row r="144" spans="1:18" ht="16.350000000000001" customHeight="1">
      <c r="A144" s="175">
        <f t="shared" si="14"/>
        <v>2023</v>
      </c>
      <c r="B144" s="454" t="str">
        <f t="shared" si="15"/>
        <v>32</v>
      </c>
      <c r="C144" s="454" t="str">
        <f t="array" ref="C144">_xlfn.IFS(_xlfn.NUMBERVALUE(B144)&lt;=13,"Q1",AND(_xlfn.NUMBERVALUE(B144)&gt;13,_xlfn.NUMBERVALUE(B144)&lt;=26),"Q2", AND(_xlfn.NUMBERVALUE(B144)&gt;26,_xlfn.NUMBERVALUE(B144)&lt;=39),"Q3",_xlfn.NUMBERVALUE(B144)&gt;39,"Q4")</f>
        <v>Q3</v>
      </c>
      <c r="D144" s="448">
        <f t="shared" si="20"/>
        <v>44807</v>
      </c>
      <c r="E144" s="448">
        <f t="shared" si="16"/>
        <v>44813</v>
      </c>
      <c r="F144" s="97">
        <v>202232</v>
      </c>
      <c r="G144" s="103"/>
      <c r="H144" s="429"/>
      <c r="I144" s="429"/>
      <c r="J144" s="214">
        <f t="shared" si="17"/>
        <v>0</v>
      </c>
      <c r="K144" s="103"/>
      <c r="L144" s="429"/>
      <c r="M144" s="429"/>
      <c r="N144" s="214">
        <f t="shared" si="18"/>
        <v>0</v>
      </c>
      <c r="O144" s="197"/>
      <c r="P144" s="462"/>
      <c r="Q144" s="462"/>
      <c r="R144" s="301">
        <f t="shared" si="19"/>
        <v>0</v>
      </c>
    </row>
    <row r="145" spans="1:18" ht="16.350000000000001" customHeight="1">
      <c r="A145" s="175">
        <f t="shared" si="14"/>
        <v>2023</v>
      </c>
      <c r="B145" s="454" t="str">
        <f t="shared" si="15"/>
        <v>33</v>
      </c>
      <c r="C145" s="454" t="str">
        <f t="array" ref="C145">_xlfn.IFS(_xlfn.NUMBERVALUE(B145)&lt;=13,"Q1",AND(_xlfn.NUMBERVALUE(B145)&gt;13,_xlfn.NUMBERVALUE(B145)&lt;=26),"Q2", AND(_xlfn.NUMBERVALUE(B145)&gt;26,_xlfn.NUMBERVALUE(B145)&lt;=39),"Q3",_xlfn.NUMBERVALUE(B145)&gt;39,"Q4")</f>
        <v>Q3</v>
      </c>
      <c r="D145" s="448">
        <f t="shared" si="20"/>
        <v>44814</v>
      </c>
      <c r="E145" s="448">
        <f t="shared" si="16"/>
        <v>44820</v>
      </c>
      <c r="F145" s="97">
        <v>202233</v>
      </c>
      <c r="G145" s="103"/>
      <c r="H145" s="429"/>
      <c r="I145" s="429"/>
      <c r="J145" s="214">
        <f t="shared" si="17"/>
        <v>0</v>
      </c>
      <c r="K145" s="103"/>
      <c r="L145" s="429"/>
      <c r="M145" s="429"/>
      <c r="N145" s="214">
        <f t="shared" si="18"/>
        <v>0</v>
      </c>
      <c r="O145" s="197"/>
      <c r="P145" s="462"/>
      <c r="Q145" s="462"/>
      <c r="R145" s="301">
        <f t="shared" si="19"/>
        <v>0</v>
      </c>
    </row>
    <row r="146" spans="1:18" ht="16.350000000000001" customHeight="1">
      <c r="A146" s="175">
        <f t="shared" si="14"/>
        <v>2023</v>
      </c>
      <c r="B146" s="454" t="str">
        <f t="shared" si="15"/>
        <v>34</v>
      </c>
      <c r="C146" s="454" t="str">
        <f t="array" ref="C146">_xlfn.IFS(_xlfn.NUMBERVALUE(B146)&lt;=13,"Q1",AND(_xlfn.NUMBERVALUE(B146)&gt;13,_xlfn.NUMBERVALUE(B146)&lt;=26),"Q2", AND(_xlfn.NUMBERVALUE(B146)&gt;26,_xlfn.NUMBERVALUE(B146)&lt;=39),"Q3",_xlfn.NUMBERVALUE(B146)&gt;39,"Q4")</f>
        <v>Q3</v>
      </c>
      <c r="D146" s="448">
        <f t="shared" si="20"/>
        <v>44821</v>
      </c>
      <c r="E146" s="448">
        <f t="shared" si="16"/>
        <v>44827</v>
      </c>
      <c r="F146" s="97">
        <v>202234</v>
      </c>
      <c r="G146" s="103"/>
      <c r="H146" s="429"/>
      <c r="I146" s="429"/>
      <c r="J146" s="214">
        <f t="shared" si="17"/>
        <v>0</v>
      </c>
      <c r="K146" s="103"/>
      <c r="L146" s="429"/>
      <c r="M146" s="429"/>
      <c r="N146" s="214">
        <f t="shared" si="18"/>
        <v>0</v>
      </c>
      <c r="O146" s="197"/>
      <c r="P146" s="462"/>
      <c r="Q146" s="462"/>
      <c r="R146" s="301">
        <f t="shared" si="19"/>
        <v>0</v>
      </c>
    </row>
    <row r="147" spans="1:18" ht="16.350000000000001" customHeight="1">
      <c r="A147" s="175">
        <f t="shared" si="14"/>
        <v>2023</v>
      </c>
      <c r="B147" s="454" t="str">
        <f t="shared" si="15"/>
        <v>35</v>
      </c>
      <c r="C147" s="454" t="str">
        <f t="array" ref="C147">_xlfn.IFS(_xlfn.NUMBERVALUE(B147)&lt;=13,"Q1",AND(_xlfn.NUMBERVALUE(B147)&gt;13,_xlfn.NUMBERVALUE(B147)&lt;=26),"Q2", AND(_xlfn.NUMBERVALUE(B147)&gt;26,_xlfn.NUMBERVALUE(B147)&lt;=39),"Q3",_xlfn.NUMBERVALUE(B147)&gt;39,"Q4")</f>
        <v>Q3</v>
      </c>
      <c r="D147" s="448">
        <f t="shared" si="20"/>
        <v>44828</v>
      </c>
      <c r="E147" s="448">
        <f t="shared" si="16"/>
        <v>44834</v>
      </c>
      <c r="F147" s="97">
        <v>202235</v>
      </c>
      <c r="G147" s="103"/>
      <c r="H147" s="429"/>
      <c r="I147" s="429"/>
      <c r="J147" s="214">
        <f t="shared" si="17"/>
        <v>0</v>
      </c>
      <c r="K147" s="103"/>
      <c r="L147" s="429"/>
      <c r="M147" s="429"/>
      <c r="N147" s="214">
        <f t="shared" si="18"/>
        <v>0</v>
      </c>
      <c r="O147" s="197"/>
      <c r="P147" s="462"/>
      <c r="Q147" s="462"/>
      <c r="R147" s="301">
        <f t="shared" si="19"/>
        <v>0</v>
      </c>
    </row>
    <row r="148" spans="1:18" ht="16.350000000000001" customHeight="1">
      <c r="A148" s="175">
        <f t="shared" si="14"/>
        <v>2023</v>
      </c>
      <c r="B148" s="454" t="str">
        <f t="shared" si="15"/>
        <v>36</v>
      </c>
      <c r="C148" s="454" t="str">
        <f t="array" ref="C148">_xlfn.IFS(_xlfn.NUMBERVALUE(B148)&lt;=13,"Q1",AND(_xlfn.NUMBERVALUE(B148)&gt;13,_xlfn.NUMBERVALUE(B148)&lt;=26),"Q2", AND(_xlfn.NUMBERVALUE(B148)&gt;26,_xlfn.NUMBERVALUE(B148)&lt;=39),"Q3",_xlfn.NUMBERVALUE(B148)&gt;39,"Q4")</f>
        <v>Q3</v>
      </c>
      <c r="D148" s="448">
        <f t="shared" si="20"/>
        <v>44835</v>
      </c>
      <c r="E148" s="448">
        <f t="shared" si="16"/>
        <v>44841</v>
      </c>
      <c r="F148" s="97">
        <v>202236</v>
      </c>
      <c r="G148" s="103"/>
      <c r="H148" s="429"/>
      <c r="I148" s="429"/>
      <c r="J148" s="214">
        <f t="shared" si="17"/>
        <v>0</v>
      </c>
      <c r="K148" s="103"/>
      <c r="L148" s="429"/>
      <c r="M148" s="429"/>
      <c r="N148" s="214">
        <f t="shared" si="18"/>
        <v>0</v>
      </c>
      <c r="O148" s="197"/>
      <c r="P148" s="462"/>
      <c r="Q148" s="462"/>
      <c r="R148" s="301">
        <f t="shared" si="19"/>
        <v>0</v>
      </c>
    </row>
    <row r="149" spans="1:18" ht="16.350000000000001" customHeight="1">
      <c r="A149" s="175">
        <f t="shared" si="14"/>
        <v>2023</v>
      </c>
      <c r="B149" s="454" t="str">
        <f t="shared" si="15"/>
        <v>37</v>
      </c>
      <c r="C149" s="454" t="str">
        <f t="array" ref="C149">_xlfn.IFS(_xlfn.NUMBERVALUE(B149)&lt;=13,"Q1",AND(_xlfn.NUMBERVALUE(B149)&gt;13,_xlfn.NUMBERVALUE(B149)&lt;=26),"Q2", AND(_xlfn.NUMBERVALUE(B149)&gt;26,_xlfn.NUMBERVALUE(B149)&lt;=39),"Q3",_xlfn.NUMBERVALUE(B149)&gt;39,"Q4")</f>
        <v>Q3</v>
      </c>
      <c r="D149" s="448">
        <f t="shared" si="20"/>
        <v>44842</v>
      </c>
      <c r="E149" s="448">
        <f t="shared" si="16"/>
        <v>44848</v>
      </c>
      <c r="F149" s="97">
        <v>202237</v>
      </c>
      <c r="G149" s="103"/>
      <c r="H149" s="429"/>
      <c r="I149" s="429"/>
      <c r="J149" s="214">
        <f t="shared" si="17"/>
        <v>0</v>
      </c>
      <c r="K149" s="103"/>
      <c r="L149" s="429"/>
      <c r="M149" s="429"/>
      <c r="N149" s="214">
        <f t="shared" si="18"/>
        <v>0</v>
      </c>
      <c r="O149" s="197"/>
      <c r="P149" s="462"/>
      <c r="Q149" s="462"/>
      <c r="R149" s="301">
        <f t="shared" si="19"/>
        <v>0</v>
      </c>
    </row>
    <row r="150" spans="1:18" ht="16.350000000000001" customHeight="1">
      <c r="A150" s="175">
        <f t="shared" si="14"/>
        <v>2023</v>
      </c>
      <c r="B150" s="454" t="str">
        <f t="shared" si="15"/>
        <v>38</v>
      </c>
      <c r="C150" s="454" t="str">
        <f t="array" ref="C150">_xlfn.IFS(_xlfn.NUMBERVALUE(B150)&lt;=13,"Q1",AND(_xlfn.NUMBERVALUE(B150)&gt;13,_xlfn.NUMBERVALUE(B150)&lt;=26),"Q2", AND(_xlfn.NUMBERVALUE(B150)&gt;26,_xlfn.NUMBERVALUE(B150)&lt;=39),"Q3",_xlfn.NUMBERVALUE(B150)&gt;39,"Q4")</f>
        <v>Q3</v>
      </c>
      <c r="D150" s="448">
        <f t="shared" si="20"/>
        <v>44849</v>
      </c>
      <c r="E150" s="448">
        <f t="shared" si="16"/>
        <v>44855</v>
      </c>
      <c r="F150" s="97">
        <v>202238</v>
      </c>
      <c r="G150" s="103"/>
      <c r="H150" s="429"/>
      <c r="I150" s="429"/>
      <c r="J150" s="214">
        <f t="shared" si="17"/>
        <v>0</v>
      </c>
      <c r="K150" s="103"/>
      <c r="L150" s="429"/>
      <c r="M150" s="429"/>
      <c r="N150" s="214">
        <f t="shared" si="18"/>
        <v>0</v>
      </c>
      <c r="O150" s="197"/>
      <c r="P150" s="462"/>
      <c r="Q150" s="462"/>
      <c r="R150" s="301">
        <f t="shared" si="19"/>
        <v>0</v>
      </c>
    </row>
    <row r="151" spans="1:18" ht="16.350000000000001" customHeight="1">
      <c r="A151" s="175">
        <f t="shared" si="14"/>
        <v>2023</v>
      </c>
      <c r="B151" s="454" t="str">
        <f t="shared" si="15"/>
        <v>39</v>
      </c>
      <c r="C151" s="454" t="str">
        <f t="array" ref="C151">_xlfn.IFS(_xlfn.NUMBERVALUE(B151)&lt;=13,"Q1",AND(_xlfn.NUMBERVALUE(B151)&gt;13,_xlfn.NUMBERVALUE(B151)&lt;=26),"Q2", AND(_xlfn.NUMBERVALUE(B151)&gt;26,_xlfn.NUMBERVALUE(B151)&lt;=39),"Q3",_xlfn.NUMBERVALUE(B151)&gt;39,"Q4")</f>
        <v>Q3</v>
      </c>
      <c r="D151" s="448">
        <f t="shared" si="20"/>
        <v>44856</v>
      </c>
      <c r="E151" s="448">
        <f t="shared" si="16"/>
        <v>44862</v>
      </c>
      <c r="F151" s="97">
        <v>202239</v>
      </c>
      <c r="G151" s="103"/>
      <c r="H151" s="429"/>
      <c r="I151" s="429"/>
      <c r="J151" s="214">
        <f t="shared" si="17"/>
        <v>0</v>
      </c>
      <c r="K151" s="103"/>
      <c r="L151" s="429"/>
      <c r="M151" s="429"/>
      <c r="N151" s="214">
        <f t="shared" si="18"/>
        <v>0</v>
      </c>
      <c r="O151" s="110"/>
      <c r="P151" s="430"/>
      <c r="Q151" s="430"/>
      <c r="R151" s="301">
        <f t="shared" si="19"/>
        <v>0</v>
      </c>
    </row>
    <row r="152" spans="1:18" ht="16.350000000000001" customHeight="1">
      <c r="A152" s="175">
        <f t="shared" si="14"/>
        <v>2023</v>
      </c>
      <c r="B152" s="454" t="str">
        <f t="shared" si="15"/>
        <v>40</v>
      </c>
      <c r="C152" s="454" t="str">
        <f t="array" ref="C152">_xlfn.IFS(_xlfn.NUMBERVALUE(B152)&lt;=13,"Q1",AND(_xlfn.NUMBERVALUE(B152)&gt;13,_xlfn.NUMBERVALUE(B152)&lt;=26),"Q2", AND(_xlfn.NUMBERVALUE(B152)&gt;26,_xlfn.NUMBERVALUE(B152)&lt;=39),"Q3",_xlfn.NUMBERVALUE(B152)&gt;39,"Q4")</f>
        <v>Q4</v>
      </c>
      <c r="D152" s="448">
        <f t="shared" si="20"/>
        <v>44863</v>
      </c>
      <c r="E152" s="448">
        <f t="shared" si="16"/>
        <v>44869</v>
      </c>
      <c r="F152" s="97">
        <v>202240</v>
      </c>
      <c r="G152" s="103"/>
      <c r="H152" s="429"/>
      <c r="I152" s="429"/>
      <c r="J152" s="214">
        <f t="shared" si="17"/>
        <v>0</v>
      </c>
      <c r="K152" s="103"/>
      <c r="L152" s="429"/>
      <c r="M152" s="429"/>
      <c r="N152" s="214">
        <f t="shared" si="18"/>
        <v>0</v>
      </c>
      <c r="O152" s="110"/>
      <c r="P152" s="430"/>
      <c r="Q152" s="430"/>
      <c r="R152" s="301">
        <f t="shared" si="19"/>
        <v>0</v>
      </c>
    </row>
    <row r="153" spans="1:18" ht="16.350000000000001" customHeight="1">
      <c r="A153" s="175">
        <f t="shared" si="14"/>
        <v>2023</v>
      </c>
      <c r="B153" s="454" t="str">
        <f t="shared" si="15"/>
        <v>41</v>
      </c>
      <c r="C153" s="454" t="str">
        <f t="array" ref="C153">_xlfn.IFS(_xlfn.NUMBERVALUE(B153)&lt;=13,"Q1",AND(_xlfn.NUMBERVALUE(B153)&gt;13,_xlfn.NUMBERVALUE(B153)&lt;=26),"Q2", AND(_xlfn.NUMBERVALUE(B153)&gt;26,_xlfn.NUMBERVALUE(B153)&lt;=39),"Q3",_xlfn.NUMBERVALUE(B153)&gt;39,"Q4")</f>
        <v>Q4</v>
      </c>
      <c r="D153" s="448">
        <f t="shared" si="20"/>
        <v>44870</v>
      </c>
      <c r="E153" s="448">
        <f t="shared" si="16"/>
        <v>44876</v>
      </c>
      <c r="F153" s="97">
        <v>202241</v>
      </c>
      <c r="G153" s="103"/>
      <c r="H153" s="429"/>
      <c r="I153" s="429"/>
      <c r="J153" s="214">
        <f t="shared" si="17"/>
        <v>0</v>
      </c>
      <c r="K153" s="103"/>
      <c r="L153" s="429"/>
      <c r="M153" s="429"/>
      <c r="N153" s="214">
        <f t="shared" si="18"/>
        <v>0</v>
      </c>
      <c r="O153" s="110"/>
      <c r="P153" s="430"/>
      <c r="Q153" s="430"/>
      <c r="R153" s="301">
        <f t="shared" si="19"/>
        <v>0</v>
      </c>
    </row>
    <row r="154" spans="1:18" ht="16.350000000000001" customHeight="1">
      <c r="A154" s="175">
        <f t="shared" si="14"/>
        <v>2023</v>
      </c>
      <c r="B154" s="454" t="str">
        <f t="shared" si="15"/>
        <v>42</v>
      </c>
      <c r="C154" s="454" t="str">
        <f t="array" ref="C154">_xlfn.IFS(_xlfn.NUMBERVALUE(B154)&lt;=13,"Q1",AND(_xlfn.NUMBERVALUE(B154)&gt;13,_xlfn.NUMBERVALUE(B154)&lt;=26),"Q2", AND(_xlfn.NUMBERVALUE(B154)&gt;26,_xlfn.NUMBERVALUE(B154)&lt;=39),"Q3",_xlfn.NUMBERVALUE(B154)&gt;39,"Q4")</f>
        <v>Q4</v>
      </c>
      <c r="D154" s="448">
        <f t="shared" si="20"/>
        <v>44877</v>
      </c>
      <c r="E154" s="448">
        <f t="shared" si="16"/>
        <v>44883</v>
      </c>
      <c r="F154" s="97">
        <v>202242</v>
      </c>
      <c r="G154" s="103"/>
      <c r="H154" s="429"/>
      <c r="I154" s="429"/>
      <c r="J154" s="214">
        <f t="shared" si="17"/>
        <v>0</v>
      </c>
      <c r="K154" s="103"/>
      <c r="L154" s="429"/>
      <c r="M154" s="429"/>
      <c r="N154" s="214">
        <f t="shared" si="18"/>
        <v>0</v>
      </c>
      <c r="O154" s="110"/>
      <c r="P154" s="430"/>
      <c r="Q154" s="430"/>
      <c r="R154" s="301">
        <f t="shared" si="19"/>
        <v>0</v>
      </c>
    </row>
    <row r="155" spans="1:18" ht="16.350000000000001" customHeight="1">
      <c r="A155" s="175">
        <f t="shared" si="14"/>
        <v>2023</v>
      </c>
      <c r="B155" s="454" t="str">
        <f t="shared" si="15"/>
        <v>43</v>
      </c>
      <c r="C155" s="454" t="str">
        <f t="array" ref="C155">_xlfn.IFS(_xlfn.NUMBERVALUE(B155)&lt;=13,"Q1",AND(_xlfn.NUMBERVALUE(B155)&gt;13,_xlfn.NUMBERVALUE(B155)&lt;=26),"Q2", AND(_xlfn.NUMBERVALUE(B155)&gt;26,_xlfn.NUMBERVALUE(B155)&lt;=39),"Q3",_xlfn.NUMBERVALUE(B155)&gt;39,"Q4")</f>
        <v>Q4</v>
      </c>
      <c r="D155" s="448">
        <f t="shared" si="20"/>
        <v>44884</v>
      </c>
      <c r="E155" s="448">
        <f t="shared" si="16"/>
        <v>44890</v>
      </c>
      <c r="F155" s="97">
        <v>202243</v>
      </c>
      <c r="G155" s="103"/>
      <c r="H155" s="429"/>
      <c r="I155" s="429"/>
      <c r="J155" s="214">
        <f t="shared" si="17"/>
        <v>0</v>
      </c>
      <c r="K155" s="103"/>
      <c r="L155" s="429"/>
      <c r="M155" s="429"/>
      <c r="N155" s="214">
        <f t="shared" si="18"/>
        <v>0</v>
      </c>
      <c r="O155" s="110"/>
      <c r="P155" s="430"/>
      <c r="Q155" s="430"/>
      <c r="R155" s="301">
        <f t="shared" si="19"/>
        <v>0</v>
      </c>
    </row>
    <row r="156" spans="1:18" ht="16.350000000000001" customHeight="1">
      <c r="A156" s="175">
        <f t="shared" si="14"/>
        <v>2023</v>
      </c>
      <c r="B156" s="454" t="str">
        <f t="shared" si="15"/>
        <v>44</v>
      </c>
      <c r="C156" s="454" t="str">
        <f t="array" ref="C156">_xlfn.IFS(_xlfn.NUMBERVALUE(B156)&lt;=13,"Q1",AND(_xlfn.NUMBERVALUE(B156)&gt;13,_xlfn.NUMBERVALUE(B156)&lt;=26),"Q2", AND(_xlfn.NUMBERVALUE(B156)&gt;26,_xlfn.NUMBERVALUE(B156)&lt;=39),"Q3",_xlfn.NUMBERVALUE(B156)&gt;39,"Q4")</f>
        <v>Q4</v>
      </c>
      <c r="D156" s="448">
        <f t="shared" si="20"/>
        <v>44891</v>
      </c>
      <c r="E156" s="448">
        <f t="shared" si="16"/>
        <v>44897</v>
      </c>
      <c r="F156" s="97">
        <v>202244</v>
      </c>
      <c r="G156" s="103"/>
      <c r="H156" s="429"/>
      <c r="I156" s="429"/>
      <c r="J156" s="214">
        <f t="shared" si="17"/>
        <v>0</v>
      </c>
      <c r="K156" s="103"/>
      <c r="L156" s="429"/>
      <c r="M156" s="429"/>
      <c r="N156" s="214">
        <f t="shared" si="18"/>
        <v>0</v>
      </c>
      <c r="O156" s="110"/>
      <c r="P156" s="430"/>
      <c r="Q156" s="430"/>
      <c r="R156" s="301">
        <f t="shared" si="19"/>
        <v>0</v>
      </c>
    </row>
    <row r="157" spans="1:18" ht="16.350000000000001" customHeight="1">
      <c r="A157" s="175">
        <f t="shared" si="14"/>
        <v>2023</v>
      </c>
      <c r="B157" s="454" t="str">
        <f t="shared" si="15"/>
        <v>45</v>
      </c>
      <c r="C157" s="454" t="str">
        <f t="array" ref="C157">_xlfn.IFS(_xlfn.NUMBERVALUE(B157)&lt;=13,"Q1",AND(_xlfn.NUMBERVALUE(B157)&gt;13,_xlfn.NUMBERVALUE(B157)&lt;=26),"Q2", AND(_xlfn.NUMBERVALUE(B157)&gt;26,_xlfn.NUMBERVALUE(B157)&lt;=39),"Q3",_xlfn.NUMBERVALUE(B157)&gt;39,"Q4")</f>
        <v>Q4</v>
      </c>
      <c r="D157" s="448">
        <f t="shared" si="20"/>
        <v>44898</v>
      </c>
      <c r="E157" s="448">
        <f t="shared" si="16"/>
        <v>44904</v>
      </c>
      <c r="F157" s="97">
        <v>202245</v>
      </c>
      <c r="G157" s="103"/>
      <c r="H157" s="429"/>
      <c r="I157" s="429"/>
      <c r="J157" s="214">
        <f t="shared" si="17"/>
        <v>0</v>
      </c>
      <c r="K157" s="103"/>
      <c r="L157" s="429"/>
      <c r="M157" s="429"/>
      <c r="N157" s="214">
        <f t="shared" si="18"/>
        <v>0</v>
      </c>
      <c r="O157" s="110"/>
      <c r="P157" s="430"/>
      <c r="Q157" s="430"/>
      <c r="R157" s="301">
        <f t="shared" si="19"/>
        <v>0</v>
      </c>
    </row>
    <row r="158" spans="1:18" ht="16.350000000000001" customHeight="1">
      <c r="A158" s="175">
        <f t="shared" si="14"/>
        <v>2023</v>
      </c>
      <c r="B158" s="454" t="str">
        <f t="shared" si="15"/>
        <v>46</v>
      </c>
      <c r="C158" s="454" t="str">
        <f t="array" ref="C158">_xlfn.IFS(_xlfn.NUMBERVALUE(B158)&lt;=13,"Q1",AND(_xlfn.NUMBERVALUE(B158)&gt;13,_xlfn.NUMBERVALUE(B158)&lt;=26),"Q2", AND(_xlfn.NUMBERVALUE(B158)&gt;26,_xlfn.NUMBERVALUE(B158)&lt;=39),"Q3",_xlfn.NUMBERVALUE(B158)&gt;39,"Q4")</f>
        <v>Q4</v>
      </c>
      <c r="D158" s="448">
        <f t="shared" si="20"/>
        <v>44905</v>
      </c>
      <c r="E158" s="448">
        <f t="shared" si="16"/>
        <v>44911</v>
      </c>
      <c r="F158" s="97">
        <v>202246</v>
      </c>
      <c r="G158" s="103"/>
      <c r="H158" s="429"/>
      <c r="I158" s="429"/>
      <c r="J158" s="214">
        <f t="shared" si="17"/>
        <v>0</v>
      </c>
      <c r="K158" s="103"/>
      <c r="L158" s="429"/>
      <c r="M158" s="429"/>
      <c r="N158" s="214">
        <f t="shared" si="18"/>
        <v>0</v>
      </c>
      <c r="O158" s="110"/>
      <c r="P158" s="430"/>
      <c r="Q158" s="430"/>
      <c r="R158" s="301">
        <f t="shared" si="19"/>
        <v>0</v>
      </c>
    </row>
    <row r="159" spans="1:18" ht="16.350000000000001" customHeight="1">
      <c r="A159" s="175">
        <f t="shared" si="14"/>
        <v>2023</v>
      </c>
      <c r="B159" s="454" t="str">
        <f t="shared" si="15"/>
        <v>47</v>
      </c>
      <c r="C159" s="454" t="str">
        <f t="array" ref="C159">_xlfn.IFS(_xlfn.NUMBERVALUE(B159)&lt;=13,"Q1",AND(_xlfn.NUMBERVALUE(B159)&gt;13,_xlfn.NUMBERVALUE(B159)&lt;=26),"Q2", AND(_xlfn.NUMBERVALUE(B159)&gt;26,_xlfn.NUMBERVALUE(B159)&lt;=39),"Q3",_xlfn.NUMBERVALUE(B159)&gt;39,"Q4")</f>
        <v>Q4</v>
      </c>
      <c r="D159" s="448">
        <f t="shared" si="20"/>
        <v>44912</v>
      </c>
      <c r="E159" s="448">
        <f t="shared" si="16"/>
        <v>44918</v>
      </c>
      <c r="F159" s="97">
        <v>202247</v>
      </c>
      <c r="G159" s="103"/>
      <c r="H159" s="429"/>
      <c r="I159" s="429"/>
      <c r="J159" s="214">
        <f t="shared" si="17"/>
        <v>0</v>
      </c>
      <c r="K159" s="103"/>
      <c r="L159" s="429"/>
      <c r="M159" s="429"/>
      <c r="N159" s="214">
        <f t="shared" si="18"/>
        <v>0</v>
      </c>
      <c r="O159" s="110"/>
      <c r="P159" s="430"/>
      <c r="Q159" s="430"/>
      <c r="R159" s="301">
        <f t="shared" si="19"/>
        <v>0</v>
      </c>
    </row>
    <row r="160" spans="1:18" ht="16.350000000000001" customHeight="1">
      <c r="A160" s="175">
        <f t="shared" si="14"/>
        <v>2023</v>
      </c>
      <c r="B160" s="454" t="str">
        <f t="shared" si="15"/>
        <v>48</v>
      </c>
      <c r="C160" s="454" t="str">
        <f t="array" ref="C160">_xlfn.IFS(_xlfn.NUMBERVALUE(B160)&lt;=13,"Q1",AND(_xlfn.NUMBERVALUE(B160)&gt;13,_xlfn.NUMBERVALUE(B160)&lt;=26),"Q2", AND(_xlfn.NUMBERVALUE(B160)&gt;26,_xlfn.NUMBERVALUE(B160)&lt;=39),"Q3",_xlfn.NUMBERVALUE(B160)&gt;39,"Q4")</f>
        <v>Q4</v>
      </c>
      <c r="D160" s="448">
        <f t="shared" si="20"/>
        <v>44919</v>
      </c>
      <c r="E160" s="448">
        <f t="shared" si="16"/>
        <v>44925</v>
      </c>
      <c r="F160" s="97">
        <v>202248</v>
      </c>
      <c r="G160" s="103"/>
      <c r="H160" s="429"/>
      <c r="I160" s="429"/>
      <c r="J160" s="214">
        <f t="shared" si="17"/>
        <v>0</v>
      </c>
      <c r="K160" s="103"/>
      <c r="L160" s="429"/>
      <c r="M160" s="429"/>
      <c r="N160" s="214">
        <f t="shared" si="18"/>
        <v>0</v>
      </c>
      <c r="O160" s="110"/>
      <c r="P160" s="430"/>
      <c r="Q160" s="430"/>
      <c r="R160" s="301">
        <f t="shared" si="19"/>
        <v>0</v>
      </c>
    </row>
    <row r="161" spans="1:18" ht="16.350000000000001" customHeight="1">
      <c r="A161" s="175">
        <f t="shared" si="14"/>
        <v>2023</v>
      </c>
      <c r="B161" s="454" t="str">
        <f t="shared" si="15"/>
        <v>49</v>
      </c>
      <c r="C161" s="454" t="str">
        <f t="array" ref="C161">_xlfn.IFS(_xlfn.NUMBERVALUE(B161)&lt;=13,"Q1",AND(_xlfn.NUMBERVALUE(B161)&gt;13,_xlfn.NUMBERVALUE(B161)&lt;=26),"Q2", AND(_xlfn.NUMBERVALUE(B161)&gt;26,_xlfn.NUMBERVALUE(B161)&lt;=39),"Q3",_xlfn.NUMBERVALUE(B161)&gt;39,"Q4")</f>
        <v>Q4</v>
      </c>
      <c r="D161" s="448">
        <f t="shared" si="20"/>
        <v>44926</v>
      </c>
      <c r="E161" s="448">
        <f t="shared" si="16"/>
        <v>44932</v>
      </c>
      <c r="F161" s="97">
        <v>202249</v>
      </c>
      <c r="G161" s="103"/>
      <c r="H161" s="429"/>
      <c r="I161" s="429"/>
      <c r="J161" s="214">
        <f t="shared" si="17"/>
        <v>0</v>
      </c>
      <c r="K161" s="103"/>
      <c r="L161" s="429"/>
      <c r="M161" s="429"/>
      <c r="N161" s="214">
        <f t="shared" si="18"/>
        <v>0</v>
      </c>
      <c r="O161" s="110"/>
      <c r="P161" s="430"/>
      <c r="Q161" s="430"/>
      <c r="R161" s="301">
        <f t="shared" si="19"/>
        <v>0</v>
      </c>
    </row>
    <row r="162" spans="1:18" ht="16.350000000000001" customHeight="1">
      <c r="A162" s="175">
        <f t="shared" si="14"/>
        <v>2023</v>
      </c>
      <c r="B162" s="454" t="str">
        <f t="shared" si="15"/>
        <v>50</v>
      </c>
      <c r="C162" s="454" t="str">
        <f t="array" ref="C162">_xlfn.IFS(_xlfn.NUMBERVALUE(B162)&lt;=13,"Q1",AND(_xlfn.NUMBERVALUE(B162)&gt;13,_xlfn.NUMBERVALUE(B162)&lt;=26),"Q2", AND(_xlfn.NUMBERVALUE(B162)&gt;26,_xlfn.NUMBERVALUE(B162)&lt;=39),"Q3",_xlfn.NUMBERVALUE(B162)&gt;39,"Q4")</f>
        <v>Q4</v>
      </c>
      <c r="D162" s="448">
        <f t="shared" si="20"/>
        <v>44933</v>
      </c>
      <c r="E162" s="448">
        <f t="shared" si="16"/>
        <v>44939</v>
      </c>
      <c r="F162" s="97">
        <v>202250</v>
      </c>
      <c r="G162" s="103"/>
      <c r="H162" s="429"/>
      <c r="I162" s="429"/>
      <c r="J162" s="214">
        <f t="shared" si="17"/>
        <v>0</v>
      </c>
      <c r="K162" s="103"/>
      <c r="L162" s="429"/>
      <c r="M162" s="429"/>
      <c r="N162" s="214">
        <f t="shared" si="18"/>
        <v>0</v>
      </c>
      <c r="O162" s="110"/>
      <c r="P162" s="430"/>
      <c r="Q162" s="430"/>
      <c r="R162" s="301">
        <f t="shared" si="19"/>
        <v>0</v>
      </c>
    </row>
    <row r="163" spans="1:18" ht="16.350000000000001" customHeight="1">
      <c r="A163" s="175">
        <f t="shared" si="14"/>
        <v>2023</v>
      </c>
      <c r="B163" s="454" t="str">
        <f t="shared" si="15"/>
        <v>51</v>
      </c>
      <c r="C163" s="454" t="str">
        <f t="array" ref="C163">_xlfn.IFS(_xlfn.NUMBERVALUE(B163)&lt;=13,"Q1",AND(_xlfn.NUMBERVALUE(B163)&gt;13,_xlfn.NUMBERVALUE(B163)&lt;=26),"Q2", AND(_xlfn.NUMBERVALUE(B163)&gt;26,_xlfn.NUMBERVALUE(B163)&lt;=39),"Q3",_xlfn.NUMBERVALUE(B163)&gt;39,"Q4")</f>
        <v>Q4</v>
      </c>
      <c r="D163" s="448">
        <f t="shared" si="20"/>
        <v>44940</v>
      </c>
      <c r="E163" s="448">
        <f t="shared" si="16"/>
        <v>44946</v>
      </c>
      <c r="F163" s="97">
        <v>202251</v>
      </c>
      <c r="G163" s="199"/>
      <c r="H163" s="464"/>
      <c r="I163" s="464"/>
      <c r="J163" s="214">
        <f t="shared" si="17"/>
        <v>0</v>
      </c>
      <c r="K163" s="289"/>
      <c r="L163" s="463"/>
      <c r="M163" s="463"/>
      <c r="N163" s="299">
        <f t="shared" si="18"/>
        <v>0</v>
      </c>
      <c r="O163" s="110"/>
      <c r="P163" s="430"/>
      <c r="Q163" s="430"/>
      <c r="R163" s="301">
        <f t="shared" si="19"/>
        <v>0</v>
      </c>
    </row>
    <row r="164" spans="1:18" ht="16.350000000000001" customHeight="1">
      <c r="A164" s="175">
        <f t="shared" si="14"/>
        <v>2023</v>
      </c>
      <c r="B164" s="454" t="str">
        <f t="shared" si="15"/>
        <v>52</v>
      </c>
      <c r="C164" s="454" t="str">
        <f t="array" ref="C164">_xlfn.IFS(_xlfn.NUMBERVALUE(B164)&lt;=13,"Q1",AND(_xlfn.NUMBERVALUE(B164)&gt;13,_xlfn.NUMBERVALUE(B164)&lt;=26),"Q2", AND(_xlfn.NUMBERVALUE(B164)&gt;26,_xlfn.NUMBERVALUE(B164)&lt;=39),"Q3",_xlfn.NUMBERVALUE(B164)&gt;39,"Q4")</f>
        <v>Q4</v>
      </c>
      <c r="D164" s="448">
        <f t="shared" si="20"/>
        <v>44947</v>
      </c>
      <c r="E164" s="448">
        <f t="shared" si="16"/>
        <v>44953</v>
      </c>
      <c r="F164" s="97">
        <v>202252</v>
      </c>
      <c r="G164" s="199"/>
      <c r="H164" s="464"/>
      <c r="I164" s="464"/>
      <c r="J164" s="214">
        <f t="shared" si="17"/>
        <v>0</v>
      </c>
      <c r="K164" s="199"/>
      <c r="L164" s="464"/>
      <c r="M164" s="464"/>
      <c r="N164" s="214">
        <f t="shared" si="18"/>
        <v>0</v>
      </c>
      <c r="O164" s="110"/>
      <c r="P164" s="430"/>
      <c r="Q164" s="430"/>
      <c r="R164" s="301">
        <f t="shared" si="19"/>
        <v>0</v>
      </c>
    </row>
    <row r="165" spans="1:18" ht="16.350000000000001" customHeight="1">
      <c r="A165" s="175">
        <f t="shared" si="14"/>
        <v>2024</v>
      </c>
      <c r="B165" s="454" t="str">
        <f t="shared" si="15"/>
        <v>01</v>
      </c>
      <c r="C165" s="454" t="str">
        <f t="array" ref="C165">_xlfn.IFS(_xlfn.NUMBERVALUE(B165)&lt;=13,"Q1",AND(_xlfn.NUMBERVALUE(B165)&gt;13,_xlfn.NUMBERVALUE(B165)&lt;=26),"Q2", AND(_xlfn.NUMBERVALUE(B165)&gt;26,_xlfn.NUMBERVALUE(B165)&lt;=39),"Q3",_xlfn.NUMBERVALUE(B165)&gt;39,"Q4")</f>
        <v>Q1</v>
      </c>
      <c r="D165" s="448">
        <f t="shared" si="20"/>
        <v>44954</v>
      </c>
      <c r="E165" s="448">
        <f t="shared" si="16"/>
        <v>44960</v>
      </c>
      <c r="F165" s="97">
        <v>202301</v>
      </c>
      <c r="G165" s="103"/>
      <c r="H165" s="429"/>
      <c r="I165" s="429"/>
      <c r="J165" s="214">
        <f t="shared" si="17"/>
        <v>0</v>
      </c>
      <c r="K165" s="103"/>
      <c r="L165" s="429"/>
      <c r="M165" s="429"/>
      <c r="N165" s="214">
        <f t="shared" si="18"/>
        <v>0</v>
      </c>
      <c r="O165" s="110"/>
      <c r="P165" s="430"/>
      <c r="Q165" s="430"/>
      <c r="R165" s="301">
        <f t="shared" si="19"/>
        <v>0</v>
      </c>
    </row>
    <row r="166" spans="1:18" ht="16.350000000000001" customHeight="1">
      <c r="A166" s="175">
        <f t="shared" si="14"/>
        <v>2024</v>
      </c>
      <c r="B166" s="454" t="str">
        <f t="shared" si="15"/>
        <v>02</v>
      </c>
      <c r="C166" s="454" t="str">
        <f t="array" ref="C166">_xlfn.IFS(_xlfn.NUMBERVALUE(B166)&lt;=13,"Q1",AND(_xlfn.NUMBERVALUE(B166)&gt;13,_xlfn.NUMBERVALUE(B166)&lt;=26),"Q2", AND(_xlfn.NUMBERVALUE(B166)&gt;26,_xlfn.NUMBERVALUE(B166)&lt;=39),"Q3",_xlfn.NUMBERVALUE(B166)&gt;39,"Q4")</f>
        <v>Q1</v>
      </c>
      <c r="D166" s="448">
        <f t="shared" si="20"/>
        <v>44961</v>
      </c>
      <c r="E166" s="448">
        <f t="shared" si="16"/>
        <v>44967</v>
      </c>
      <c r="F166" s="97">
        <v>202302</v>
      </c>
      <c r="G166" s="103"/>
      <c r="H166" s="429"/>
      <c r="I166" s="429"/>
      <c r="J166" s="214">
        <f t="shared" si="17"/>
        <v>0</v>
      </c>
      <c r="K166" s="103"/>
      <c r="L166" s="429"/>
      <c r="M166" s="429"/>
      <c r="N166" s="214">
        <f t="shared" si="18"/>
        <v>0</v>
      </c>
      <c r="O166" s="110"/>
      <c r="P166" s="430"/>
      <c r="Q166" s="430"/>
      <c r="R166" s="301">
        <f t="shared" si="19"/>
        <v>0</v>
      </c>
    </row>
    <row r="167" spans="1:18" ht="16.350000000000001" customHeight="1">
      <c r="A167" s="175">
        <f t="shared" si="14"/>
        <v>2024</v>
      </c>
      <c r="B167" s="454" t="str">
        <f t="shared" si="15"/>
        <v>03</v>
      </c>
      <c r="C167" s="454" t="str">
        <f t="array" ref="C167">_xlfn.IFS(_xlfn.NUMBERVALUE(B167)&lt;=13,"Q1",AND(_xlfn.NUMBERVALUE(B167)&gt;13,_xlfn.NUMBERVALUE(B167)&lt;=26),"Q2", AND(_xlfn.NUMBERVALUE(B167)&gt;26,_xlfn.NUMBERVALUE(B167)&lt;=39),"Q3",_xlfn.NUMBERVALUE(B167)&gt;39,"Q4")</f>
        <v>Q1</v>
      </c>
      <c r="D167" s="448">
        <f t="shared" si="20"/>
        <v>44968</v>
      </c>
      <c r="E167" s="448">
        <f t="shared" si="16"/>
        <v>44974</v>
      </c>
      <c r="F167" s="97">
        <v>202303</v>
      </c>
      <c r="G167" s="103"/>
      <c r="H167" s="429"/>
      <c r="I167" s="429"/>
      <c r="J167" s="214">
        <f t="shared" si="17"/>
        <v>0</v>
      </c>
      <c r="K167" s="103"/>
      <c r="L167" s="429"/>
      <c r="M167" s="429"/>
      <c r="N167" s="214">
        <f t="shared" si="18"/>
        <v>0</v>
      </c>
      <c r="O167" s="290"/>
      <c r="P167" s="465"/>
      <c r="Q167" s="465"/>
      <c r="R167" s="301">
        <f t="shared" si="19"/>
        <v>0</v>
      </c>
    </row>
    <row r="168" spans="1:18" ht="16.350000000000001" customHeight="1">
      <c r="A168" s="175">
        <f t="shared" si="14"/>
        <v>2024</v>
      </c>
      <c r="B168" s="454" t="str">
        <f t="shared" si="15"/>
        <v>04</v>
      </c>
      <c r="C168" s="454" t="str">
        <f t="array" ref="C168">_xlfn.IFS(_xlfn.NUMBERVALUE(B168)&lt;=13,"Q1",AND(_xlfn.NUMBERVALUE(B168)&gt;13,_xlfn.NUMBERVALUE(B168)&lt;=26),"Q2", AND(_xlfn.NUMBERVALUE(B168)&gt;26,_xlfn.NUMBERVALUE(B168)&lt;=39),"Q3",_xlfn.NUMBERVALUE(B168)&gt;39,"Q4")</f>
        <v>Q1</v>
      </c>
      <c r="D168" s="448">
        <f t="shared" si="20"/>
        <v>44975</v>
      </c>
      <c r="E168" s="448">
        <f t="shared" si="16"/>
        <v>44981</v>
      </c>
      <c r="F168" s="97">
        <v>202304</v>
      </c>
      <c r="G168" s="103"/>
      <c r="H168" s="429"/>
      <c r="I168" s="429"/>
      <c r="J168" s="214">
        <f t="shared" si="17"/>
        <v>0</v>
      </c>
      <c r="K168" s="103"/>
      <c r="L168" s="429"/>
      <c r="M168" s="429"/>
      <c r="N168" s="214">
        <f t="shared" si="18"/>
        <v>0</v>
      </c>
      <c r="O168" s="290"/>
      <c r="P168" s="465"/>
      <c r="Q168" s="465"/>
      <c r="R168" s="301">
        <f t="shared" si="19"/>
        <v>0</v>
      </c>
    </row>
    <row r="169" spans="1:18" ht="16.350000000000001" customHeight="1">
      <c r="A169" s="175">
        <f t="shared" si="14"/>
        <v>2024</v>
      </c>
      <c r="B169" s="454" t="str">
        <f t="shared" si="15"/>
        <v>05</v>
      </c>
      <c r="C169" s="454" t="str">
        <f t="array" ref="C169">_xlfn.IFS(_xlfn.NUMBERVALUE(B169)&lt;=13,"Q1",AND(_xlfn.NUMBERVALUE(B169)&gt;13,_xlfn.NUMBERVALUE(B169)&lt;=26),"Q2", AND(_xlfn.NUMBERVALUE(B169)&gt;26,_xlfn.NUMBERVALUE(B169)&lt;=39),"Q3",_xlfn.NUMBERVALUE(B169)&gt;39,"Q4")</f>
        <v>Q1</v>
      </c>
      <c r="D169" s="448">
        <f t="shared" si="20"/>
        <v>44982</v>
      </c>
      <c r="E169" s="448">
        <f t="shared" si="16"/>
        <v>44988</v>
      </c>
      <c r="F169" s="97">
        <v>202305</v>
      </c>
      <c r="G169" s="103"/>
      <c r="H169" s="429"/>
      <c r="I169" s="429"/>
      <c r="J169" s="214">
        <f t="shared" si="17"/>
        <v>0</v>
      </c>
      <c r="K169" s="103"/>
      <c r="L169" s="429"/>
      <c r="M169" s="429"/>
      <c r="N169" s="214">
        <f t="shared" si="18"/>
        <v>0</v>
      </c>
      <c r="O169" s="290"/>
      <c r="P169" s="465"/>
      <c r="Q169" s="465"/>
      <c r="R169" s="301">
        <f t="shared" si="19"/>
        <v>0</v>
      </c>
    </row>
    <row r="170" spans="1:18" ht="16.350000000000001" customHeight="1">
      <c r="A170" s="175">
        <f t="shared" si="14"/>
        <v>2024</v>
      </c>
      <c r="B170" s="454" t="str">
        <f t="shared" si="15"/>
        <v>06</v>
      </c>
      <c r="C170" s="454" t="str">
        <f t="array" ref="C170">_xlfn.IFS(_xlfn.NUMBERVALUE(B170)&lt;=13,"Q1",AND(_xlfn.NUMBERVALUE(B170)&gt;13,_xlfn.NUMBERVALUE(B170)&lt;=26),"Q2", AND(_xlfn.NUMBERVALUE(B170)&gt;26,_xlfn.NUMBERVALUE(B170)&lt;=39),"Q3",_xlfn.NUMBERVALUE(B170)&gt;39,"Q4")</f>
        <v>Q1</v>
      </c>
      <c r="D170" s="448">
        <f t="shared" si="20"/>
        <v>44989</v>
      </c>
      <c r="E170" s="448">
        <f t="shared" si="16"/>
        <v>44995</v>
      </c>
      <c r="F170" s="97">
        <v>202306</v>
      </c>
      <c r="G170" s="103"/>
      <c r="H170" s="429"/>
      <c r="I170" s="429"/>
      <c r="J170" s="214">
        <f t="shared" si="17"/>
        <v>0</v>
      </c>
      <c r="K170" s="103"/>
      <c r="L170" s="429"/>
      <c r="M170" s="429"/>
      <c r="N170" s="214">
        <f t="shared" si="18"/>
        <v>0</v>
      </c>
      <c r="O170" s="290"/>
      <c r="P170" s="465"/>
      <c r="Q170" s="465"/>
      <c r="R170" s="301">
        <f t="shared" si="19"/>
        <v>0</v>
      </c>
    </row>
    <row r="171" spans="1:18" ht="16.350000000000001" customHeight="1">
      <c r="A171" s="175">
        <f t="shared" si="14"/>
        <v>2024</v>
      </c>
      <c r="B171" s="454" t="str">
        <f t="shared" si="15"/>
        <v>07</v>
      </c>
      <c r="C171" s="454" t="str">
        <f t="array" ref="C171">_xlfn.IFS(_xlfn.NUMBERVALUE(B171)&lt;=13,"Q1",AND(_xlfn.NUMBERVALUE(B171)&gt;13,_xlfn.NUMBERVALUE(B171)&lt;=26),"Q2", AND(_xlfn.NUMBERVALUE(B171)&gt;26,_xlfn.NUMBERVALUE(B171)&lt;=39),"Q3",_xlfn.NUMBERVALUE(B171)&gt;39,"Q4")</f>
        <v>Q1</v>
      </c>
      <c r="D171" s="448">
        <f t="shared" si="20"/>
        <v>44996</v>
      </c>
      <c r="E171" s="448">
        <f t="shared" si="16"/>
        <v>45002</v>
      </c>
      <c r="F171" s="97">
        <v>202307</v>
      </c>
      <c r="G171" s="103"/>
      <c r="H171" s="429"/>
      <c r="I171" s="429"/>
      <c r="J171" s="214">
        <f t="shared" si="17"/>
        <v>0</v>
      </c>
      <c r="K171" s="103"/>
      <c r="L171" s="429"/>
      <c r="M171" s="429"/>
      <c r="N171" s="214">
        <f t="shared" si="18"/>
        <v>0</v>
      </c>
      <c r="O171" s="290"/>
      <c r="P171" s="465"/>
      <c r="Q171" s="465"/>
      <c r="R171" s="301">
        <f t="shared" si="19"/>
        <v>0</v>
      </c>
    </row>
    <row r="172" spans="1:18" ht="16.350000000000001" customHeight="1">
      <c r="A172" s="175">
        <f t="shared" si="14"/>
        <v>2024</v>
      </c>
      <c r="B172" s="454" t="str">
        <f t="shared" si="15"/>
        <v>08</v>
      </c>
      <c r="C172" s="454" t="str">
        <f t="array" ref="C172">_xlfn.IFS(_xlfn.NUMBERVALUE(B172)&lt;=13,"Q1",AND(_xlfn.NUMBERVALUE(B172)&gt;13,_xlfn.NUMBERVALUE(B172)&lt;=26),"Q2", AND(_xlfn.NUMBERVALUE(B172)&gt;26,_xlfn.NUMBERVALUE(B172)&lt;=39),"Q3",_xlfn.NUMBERVALUE(B172)&gt;39,"Q4")</f>
        <v>Q1</v>
      </c>
      <c r="D172" s="448">
        <f t="shared" si="20"/>
        <v>45003</v>
      </c>
      <c r="E172" s="448">
        <f t="shared" si="16"/>
        <v>45009</v>
      </c>
      <c r="F172" s="97">
        <v>202308</v>
      </c>
      <c r="G172" s="103"/>
      <c r="H172" s="429"/>
      <c r="I172" s="429"/>
      <c r="J172" s="214">
        <f t="shared" si="17"/>
        <v>0</v>
      </c>
      <c r="K172" s="103"/>
      <c r="L172" s="429"/>
      <c r="M172" s="429"/>
      <c r="N172" s="214">
        <f t="shared" si="18"/>
        <v>0</v>
      </c>
      <c r="O172" s="290"/>
      <c r="P172" s="465"/>
      <c r="Q172" s="465"/>
      <c r="R172" s="301">
        <f t="shared" si="19"/>
        <v>0</v>
      </c>
    </row>
    <row r="173" spans="1:18" ht="16.350000000000001" customHeight="1">
      <c r="A173" s="175">
        <f t="shared" si="14"/>
        <v>2024</v>
      </c>
      <c r="B173" s="454" t="str">
        <f t="shared" si="15"/>
        <v>09</v>
      </c>
      <c r="C173" s="454" t="str">
        <f t="array" ref="C173">_xlfn.IFS(_xlfn.NUMBERVALUE(B173)&lt;=13,"Q1",AND(_xlfn.NUMBERVALUE(B173)&gt;13,_xlfn.NUMBERVALUE(B173)&lt;=26),"Q2", AND(_xlfn.NUMBERVALUE(B173)&gt;26,_xlfn.NUMBERVALUE(B173)&lt;=39),"Q3",_xlfn.NUMBERVALUE(B173)&gt;39,"Q4")</f>
        <v>Q1</v>
      </c>
      <c r="D173" s="448">
        <f t="shared" si="20"/>
        <v>45010</v>
      </c>
      <c r="E173" s="448">
        <f t="shared" si="16"/>
        <v>45016</v>
      </c>
      <c r="F173" s="97">
        <v>202309</v>
      </c>
      <c r="G173" s="103"/>
      <c r="H173" s="429"/>
      <c r="I173" s="429"/>
      <c r="J173" s="214">
        <f t="shared" si="17"/>
        <v>0</v>
      </c>
      <c r="K173" s="103"/>
      <c r="L173" s="429"/>
      <c r="M173" s="429"/>
      <c r="N173" s="214">
        <f t="shared" si="18"/>
        <v>0</v>
      </c>
      <c r="O173" s="290"/>
      <c r="P173" s="465"/>
      <c r="Q173" s="465"/>
      <c r="R173" s="301">
        <f t="shared" si="19"/>
        <v>0</v>
      </c>
    </row>
    <row r="174" spans="1:18" ht="16.350000000000001" customHeight="1">
      <c r="A174" s="175">
        <f t="shared" si="14"/>
        <v>2024</v>
      </c>
      <c r="B174" s="454" t="str">
        <f t="shared" si="15"/>
        <v>10</v>
      </c>
      <c r="C174" s="454" t="str">
        <f t="array" ref="C174">_xlfn.IFS(_xlfn.NUMBERVALUE(B174)&lt;=13,"Q1",AND(_xlfn.NUMBERVALUE(B174)&gt;13,_xlfn.NUMBERVALUE(B174)&lt;=26),"Q2", AND(_xlfn.NUMBERVALUE(B174)&gt;26,_xlfn.NUMBERVALUE(B174)&lt;=39),"Q3",_xlfn.NUMBERVALUE(B174)&gt;39,"Q4")</f>
        <v>Q1</v>
      </c>
      <c r="D174" s="448">
        <f t="shared" si="20"/>
        <v>45017</v>
      </c>
      <c r="E174" s="448">
        <f t="shared" si="16"/>
        <v>45023</v>
      </c>
      <c r="F174" s="97">
        <v>202310</v>
      </c>
      <c r="G174" s="103"/>
      <c r="H174" s="429"/>
      <c r="I174" s="429"/>
      <c r="J174" s="214">
        <f t="shared" si="17"/>
        <v>0</v>
      </c>
      <c r="K174" s="103"/>
      <c r="L174" s="429"/>
      <c r="M174" s="429"/>
      <c r="N174" s="214">
        <f t="shared" si="18"/>
        <v>0</v>
      </c>
      <c r="O174" s="290"/>
      <c r="P174" s="465"/>
      <c r="Q174" s="465"/>
      <c r="R174" s="301">
        <f t="shared" si="19"/>
        <v>0</v>
      </c>
    </row>
    <row r="175" spans="1:18" ht="16.350000000000001" customHeight="1">
      <c r="A175" s="175">
        <f t="shared" si="14"/>
        <v>2024</v>
      </c>
      <c r="B175" s="454" t="str">
        <f t="shared" si="15"/>
        <v>11</v>
      </c>
      <c r="C175" s="454" t="str">
        <f t="array" ref="C175">_xlfn.IFS(_xlfn.NUMBERVALUE(B175)&lt;=13,"Q1",AND(_xlfn.NUMBERVALUE(B175)&gt;13,_xlfn.NUMBERVALUE(B175)&lt;=26),"Q2", AND(_xlfn.NUMBERVALUE(B175)&gt;26,_xlfn.NUMBERVALUE(B175)&lt;=39),"Q3",_xlfn.NUMBERVALUE(B175)&gt;39,"Q4")</f>
        <v>Q1</v>
      </c>
      <c r="D175" s="448">
        <f t="shared" si="20"/>
        <v>45024</v>
      </c>
      <c r="E175" s="448">
        <f t="shared" si="16"/>
        <v>45030</v>
      </c>
      <c r="F175" s="97">
        <v>202311</v>
      </c>
      <c r="G175" s="103"/>
      <c r="H175" s="429"/>
      <c r="I175" s="429"/>
      <c r="J175" s="214">
        <f t="shared" si="17"/>
        <v>0</v>
      </c>
      <c r="K175" s="103"/>
      <c r="L175" s="429"/>
      <c r="M175" s="429"/>
      <c r="N175" s="214">
        <f t="shared" si="18"/>
        <v>0</v>
      </c>
      <c r="O175" s="290"/>
      <c r="P175" s="465"/>
      <c r="Q175" s="465"/>
      <c r="R175" s="301">
        <f t="shared" si="19"/>
        <v>0</v>
      </c>
    </row>
    <row r="176" spans="1:18" ht="16.350000000000001" customHeight="1">
      <c r="A176" s="175">
        <f t="shared" si="14"/>
        <v>2024</v>
      </c>
      <c r="B176" s="454" t="str">
        <f t="shared" si="15"/>
        <v>12</v>
      </c>
      <c r="C176" s="454" t="str">
        <f t="array" ref="C176">_xlfn.IFS(_xlfn.NUMBERVALUE(B176)&lt;=13,"Q1",AND(_xlfn.NUMBERVALUE(B176)&gt;13,_xlfn.NUMBERVALUE(B176)&lt;=26),"Q2", AND(_xlfn.NUMBERVALUE(B176)&gt;26,_xlfn.NUMBERVALUE(B176)&lt;=39),"Q3",_xlfn.NUMBERVALUE(B176)&gt;39,"Q4")</f>
        <v>Q1</v>
      </c>
      <c r="D176" s="448">
        <f t="shared" si="20"/>
        <v>45031</v>
      </c>
      <c r="E176" s="448">
        <f t="shared" si="16"/>
        <v>45037</v>
      </c>
      <c r="F176" s="97">
        <v>202312</v>
      </c>
      <c r="G176" s="103"/>
      <c r="H176" s="429"/>
      <c r="I176" s="429"/>
      <c r="J176" s="214">
        <f t="shared" si="17"/>
        <v>0</v>
      </c>
      <c r="K176" s="103"/>
      <c r="L176" s="429"/>
      <c r="M176" s="429"/>
      <c r="N176" s="214">
        <f t="shared" si="18"/>
        <v>0</v>
      </c>
      <c r="O176" s="290"/>
      <c r="P176" s="465"/>
      <c r="Q176" s="465"/>
      <c r="R176" s="301">
        <f t="shared" si="19"/>
        <v>0</v>
      </c>
    </row>
    <row r="177" spans="1:18" ht="16.350000000000001" customHeight="1">
      <c r="A177" s="175">
        <f t="shared" si="14"/>
        <v>2024</v>
      </c>
      <c r="B177" s="454" t="str">
        <f t="shared" si="15"/>
        <v>13</v>
      </c>
      <c r="C177" s="454" t="str">
        <f t="array" ref="C177">_xlfn.IFS(_xlfn.NUMBERVALUE(B177)&lt;=13,"Q1",AND(_xlfn.NUMBERVALUE(B177)&gt;13,_xlfn.NUMBERVALUE(B177)&lt;=26),"Q2", AND(_xlfn.NUMBERVALUE(B177)&gt;26,_xlfn.NUMBERVALUE(B177)&lt;=39),"Q3",_xlfn.NUMBERVALUE(B177)&gt;39,"Q4")</f>
        <v>Q1</v>
      </c>
      <c r="D177" s="448">
        <f t="shared" si="20"/>
        <v>45038</v>
      </c>
      <c r="E177" s="448">
        <f t="shared" si="16"/>
        <v>45044</v>
      </c>
      <c r="F177" s="97">
        <v>202313</v>
      </c>
      <c r="G177" s="103"/>
      <c r="H177" s="429"/>
      <c r="I177" s="429"/>
      <c r="J177" s="214">
        <f t="shared" si="17"/>
        <v>0</v>
      </c>
      <c r="K177" s="103"/>
      <c r="L177" s="429"/>
      <c r="M177" s="429"/>
      <c r="N177" s="214">
        <f t="shared" si="18"/>
        <v>0</v>
      </c>
      <c r="O177" s="290"/>
      <c r="P177" s="465"/>
      <c r="Q177" s="465"/>
      <c r="R177" s="301">
        <f t="shared" si="19"/>
        <v>0</v>
      </c>
    </row>
    <row r="178" spans="1:18" ht="16.350000000000001" customHeight="1">
      <c r="A178" s="175">
        <f t="shared" si="14"/>
        <v>2024</v>
      </c>
      <c r="B178" s="454" t="str">
        <f t="shared" si="15"/>
        <v>14</v>
      </c>
      <c r="C178" s="454" t="str">
        <f t="array" ref="C178">_xlfn.IFS(_xlfn.NUMBERVALUE(B178)&lt;=13,"Q1",AND(_xlfn.NUMBERVALUE(B178)&gt;13,_xlfn.NUMBERVALUE(B178)&lt;=26),"Q2", AND(_xlfn.NUMBERVALUE(B178)&gt;26,_xlfn.NUMBERVALUE(B178)&lt;=39),"Q3",_xlfn.NUMBERVALUE(B178)&gt;39,"Q4")</f>
        <v>Q2</v>
      </c>
      <c r="D178" s="448">
        <f t="shared" si="20"/>
        <v>45045</v>
      </c>
      <c r="E178" s="448">
        <f t="shared" si="16"/>
        <v>45051</v>
      </c>
      <c r="F178" s="97">
        <v>202314</v>
      </c>
      <c r="G178" s="103"/>
      <c r="H178" s="429"/>
      <c r="I178" s="429"/>
      <c r="J178" s="214">
        <f t="shared" si="17"/>
        <v>0</v>
      </c>
      <c r="K178" s="199"/>
      <c r="L178" s="464"/>
      <c r="M178" s="429"/>
      <c r="N178" s="214">
        <f t="shared" si="18"/>
        <v>0</v>
      </c>
      <c r="O178" s="291"/>
      <c r="P178" s="466"/>
      <c r="Q178" s="466"/>
      <c r="R178" s="301">
        <f t="shared" si="19"/>
        <v>0</v>
      </c>
    </row>
    <row r="179" spans="1:18" ht="16.350000000000001" customHeight="1">
      <c r="A179" s="175">
        <f t="shared" si="14"/>
        <v>2024</v>
      </c>
      <c r="B179" s="454" t="str">
        <f t="shared" si="15"/>
        <v>15</v>
      </c>
      <c r="C179" s="454" t="str">
        <f t="array" ref="C179">_xlfn.IFS(_xlfn.NUMBERVALUE(B179)&lt;=13,"Q1",AND(_xlfn.NUMBERVALUE(B179)&gt;13,_xlfn.NUMBERVALUE(B179)&lt;=26),"Q2", AND(_xlfn.NUMBERVALUE(B179)&gt;26,_xlfn.NUMBERVALUE(B179)&lt;=39),"Q3",_xlfn.NUMBERVALUE(B179)&gt;39,"Q4")</f>
        <v>Q2</v>
      </c>
      <c r="D179" s="448">
        <f t="shared" si="20"/>
        <v>45052</v>
      </c>
      <c r="E179" s="448">
        <f t="shared" si="16"/>
        <v>45058</v>
      </c>
      <c r="F179" s="97">
        <v>202315</v>
      </c>
      <c r="G179" s="103"/>
      <c r="H179" s="429"/>
      <c r="I179" s="429"/>
      <c r="J179" s="214">
        <f t="shared" si="17"/>
        <v>0</v>
      </c>
      <c r="K179" s="103"/>
      <c r="L179" s="429"/>
      <c r="M179" s="429"/>
      <c r="N179" s="214">
        <f t="shared" si="18"/>
        <v>0</v>
      </c>
      <c r="O179" s="290"/>
      <c r="P179" s="465"/>
      <c r="Q179" s="465"/>
      <c r="R179" s="301">
        <f t="shared" si="19"/>
        <v>0</v>
      </c>
    </row>
    <row r="180" spans="1:18" ht="16.350000000000001" customHeight="1">
      <c r="A180" s="175">
        <f t="shared" si="14"/>
        <v>2024</v>
      </c>
      <c r="B180" s="454" t="str">
        <f t="shared" si="15"/>
        <v>16</v>
      </c>
      <c r="C180" s="454" t="str">
        <f t="array" ref="C180">_xlfn.IFS(_xlfn.NUMBERVALUE(B180)&lt;=13,"Q1",AND(_xlfn.NUMBERVALUE(B180)&gt;13,_xlfn.NUMBERVALUE(B180)&lt;=26),"Q2", AND(_xlfn.NUMBERVALUE(B180)&gt;26,_xlfn.NUMBERVALUE(B180)&lt;=39),"Q3",_xlfn.NUMBERVALUE(B180)&gt;39,"Q4")</f>
        <v>Q2</v>
      </c>
      <c r="D180" s="448">
        <f t="shared" si="20"/>
        <v>45059</v>
      </c>
      <c r="E180" s="448">
        <f t="shared" si="16"/>
        <v>45065</v>
      </c>
      <c r="F180" s="97">
        <v>202316</v>
      </c>
      <c r="G180" s="103"/>
      <c r="H180" s="429"/>
      <c r="I180" s="429"/>
      <c r="J180" s="214">
        <f t="shared" si="17"/>
        <v>0</v>
      </c>
      <c r="K180" s="103"/>
      <c r="L180" s="429"/>
      <c r="M180" s="429"/>
      <c r="N180" s="214">
        <f t="shared" si="18"/>
        <v>0</v>
      </c>
      <c r="O180" s="290"/>
      <c r="P180" s="465"/>
      <c r="Q180" s="465"/>
      <c r="R180" s="301">
        <f t="shared" si="19"/>
        <v>0</v>
      </c>
    </row>
    <row r="181" spans="1:18" ht="16.350000000000001" customHeight="1">
      <c r="A181" s="175">
        <f t="shared" si="14"/>
        <v>2024</v>
      </c>
      <c r="B181" s="454" t="str">
        <f t="shared" si="15"/>
        <v>17</v>
      </c>
      <c r="C181" s="454" t="str">
        <f t="array" ref="C181">_xlfn.IFS(_xlfn.NUMBERVALUE(B181)&lt;=13,"Q1",AND(_xlfn.NUMBERVALUE(B181)&gt;13,_xlfn.NUMBERVALUE(B181)&lt;=26),"Q2", AND(_xlfn.NUMBERVALUE(B181)&gt;26,_xlfn.NUMBERVALUE(B181)&lt;=39),"Q3",_xlfn.NUMBERVALUE(B181)&gt;39,"Q4")</f>
        <v>Q2</v>
      </c>
      <c r="D181" s="448">
        <f t="shared" si="20"/>
        <v>45066</v>
      </c>
      <c r="E181" s="448">
        <f t="shared" si="16"/>
        <v>45072</v>
      </c>
      <c r="F181" s="97">
        <v>202317</v>
      </c>
      <c r="G181" s="103"/>
      <c r="H181" s="429"/>
      <c r="I181" s="429"/>
      <c r="J181" s="214">
        <f t="shared" si="17"/>
        <v>0</v>
      </c>
      <c r="K181" s="103"/>
      <c r="L181" s="429"/>
      <c r="M181" s="429"/>
      <c r="N181" s="214">
        <f t="shared" si="18"/>
        <v>0</v>
      </c>
      <c r="O181" s="290"/>
      <c r="P181" s="465"/>
      <c r="Q181" s="465"/>
      <c r="R181" s="301">
        <f t="shared" si="19"/>
        <v>0</v>
      </c>
    </row>
    <row r="182" spans="1:18" ht="16.350000000000001" customHeight="1">
      <c r="A182" s="175">
        <f t="shared" si="14"/>
        <v>2024</v>
      </c>
      <c r="B182" s="454" t="str">
        <f t="shared" si="15"/>
        <v>18</v>
      </c>
      <c r="C182" s="454" t="str">
        <f t="array" ref="C182">_xlfn.IFS(_xlfn.NUMBERVALUE(B182)&lt;=13,"Q1",AND(_xlfn.NUMBERVALUE(B182)&gt;13,_xlfn.NUMBERVALUE(B182)&lt;=26),"Q2", AND(_xlfn.NUMBERVALUE(B182)&gt;26,_xlfn.NUMBERVALUE(B182)&lt;=39),"Q3",_xlfn.NUMBERVALUE(B182)&gt;39,"Q4")</f>
        <v>Q2</v>
      </c>
      <c r="D182" s="448">
        <f t="shared" si="20"/>
        <v>45073</v>
      </c>
      <c r="E182" s="448">
        <f t="shared" si="16"/>
        <v>45079</v>
      </c>
      <c r="F182" s="97">
        <v>202318</v>
      </c>
      <c r="G182" s="103"/>
      <c r="H182" s="429"/>
      <c r="I182" s="429"/>
      <c r="J182" s="214">
        <f t="shared" si="17"/>
        <v>0</v>
      </c>
      <c r="K182" s="103"/>
      <c r="L182" s="429"/>
      <c r="M182" s="429"/>
      <c r="N182" s="214">
        <f t="shared" si="18"/>
        <v>0</v>
      </c>
      <c r="O182" s="290"/>
      <c r="P182" s="465"/>
      <c r="Q182" s="465"/>
      <c r="R182" s="301">
        <f t="shared" si="19"/>
        <v>0</v>
      </c>
    </row>
    <row r="183" spans="1:18" ht="16.350000000000001" customHeight="1">
      <c r="A183" s="175">
        <f t="shared" si="14"/>
        <v>2024</v>
      </c>
      <c r="B183" s="454" t="str">
        <f t="shared" si="15"/>
        <v>19</v>
      </c>
      <c r="C183" s="454" t="str">
        <f t="array" ref="C183">_xlfn.IFS(_xlfn.NUMBERVALUE(B183)&lt;=13,"Q1",AND(_xlfn.NUMBERVALUE(B183)&gt;13,_xlfn.NUMBERVALUE(B183)&lt;=26),"Q2", AND(_xlfn.NUMBERVALUE(B183)&gt;26,_xlfn.NUMBERVALUE(B183)&lt;=39),"Q3",_xlfn.NUMBERVALUE(B183)&gt;39,"Q4")</f>
        <v>Q2</v>
      </c>
      <c r="D183" s="448">
        <f t="shared" si="20"/>
        <v>45080</v>
      </c>
      <c r="E183" s="448">
        <f t="shared" si="16"/>
        <v>45086</v>
      </c>
      <c r="F183" s="97">
        <v>202319</v>
      </c>
      <c r="G183" s="103"/>
      <c r="H183" s="429"/>
      <c r="I183" s="429"/>
      <c r="J183" s="214">
        <f t="shared" si="17"/>
        <v>0</v>
      </c>
      <c r="K183" s="103"/>
      <c r="L183" s="429"/>
      <c r="M183" s="429"/>
      <c r="N183" s="214">
        <f t="shared" si="18"/>
        <v>0</v>
      </c>
      <c r="O183" s="110"/>
      <c r="P183" s="430"/>
      <c r="Q183" s="430"/>
      <c r="R183" s="301">
        <f t="shared" si="19"/>
        <v>0</v>
      </c>
    </row>
    <row r="184" spans="1:18" ht="16.350000000000001" customHeight="1">
      <c r="A184" s="175">
        <f t="shared" si="14"/>
        <v>2024</v>
      </c>
      <c r="B184" s="454" t="str">
        <f t="shared" si="15"/>
        <v>20</v>
      </c>
      <c r="C184" s="454" t="str">
        <f t="array" ref="C184">_xlfn.IFS(_xlfn.NUMBERVALUE(B184)&lt;=13,"Q1",AND(_xlfn.NUMBERVALUE(B184)&gt;13,_xlfn.NUMBERVALUE(B184)&lt;=26),"Q2", AND(_xlfn.NUMBERVALUE(B184)&gt;26,_xlfn.NUMBERVALUE(B184)&lt;=39),"Q3",_xlfn.NUMBERVALUE(B184)&gt;39,"Q4")</f>
        <v>Q2</v>
      </c>
      <c r="D184" s="448">
        <f t="shared" si="20"/>
        <v>45087</v>
      </c>
      <c r="E184" s="448">
        <f t="shared" si="16"/>
        <v>45093</v>
      </c>
      <c r="F184" s="97">
        <v>202320</v>
      </c>
      <c r="G184" s="103"/>
      <c r="H184" s="429"/>
      <c r="I184" s="429"/>
      <c r="J184" s="214">
        <f t="shared" si="17"/>
        <v>0</v>
      </c>
      <c r="K184" s="103"/>
      <c r="L184" s="429"/>
      <c r="M184" s="429"/>
      <c r="N184" s="214">
        <f t="shared" si="18"/>
        <v>0</v>
      </c>
      <c r="O184" s="110"/>
      <c r="P184" s="430"/>
      <c r="Q184" s="430"/>
      <c r="R184" s="301">
        <f t="shared" si="19"/>
        <v>0</v>
      </c>
    </row>
    <row r="185" spans="1:18" ht="16.350000000000001" customHeight="1">
      <c r="A185" s="175">
        <f t="shared" si="14"/>
        <v>2024</v>
      </c>
      <c r="B185" s="454" t="str">
        <f t="shared" si="15"/>
        <v>21</v>
      </c>
      <c r="C185" s="454" t="str">
        <f t="array" ref="C185">_xlfn.IFS(_xlfn.NUMBERVALUE(B185)&lt;=13,"Q1",AND(_xlfn.NUMBERVALUE(B185)&gt;13,_xlfn.NUMBERVALUE(B185)&lt;=26),"Q2", AND(_xlfn.NUMBERVALUE(B185)&gt;26,_xlfn.NUMBERVALUE(B185)&lt;=39),"Q3",_xlfn.NUMBERVALUE(B185)&gt;39,"Q4")</f>
        <v>Q2</v>
      </c>
      <c r="D185" s="448">
        <f t="shared" si="20"/>
        <v>45094</v>
      </c>
      <c r="E185" s="448">
        <f t="shared" si="16"/>
        <v>45100</v>
      </c>
      <c r="F185" s="97">
        <v>202321</v>
      </c>
      <c r="G185" s="103"/>
      <c r="H185" s="429"/>
      <c r="I185" s="429"/>
      <c r="J185" s="214">
        <f t="shared" si="17"/>
        <v>0</v>
      </c>
      <c r="K185" s="103"/>
      <c r="L185" s="429"/>
      <c r="M185" s="429"/>
      <c r="N185" s="214">
        <f t="shared" si="18"/>
        <v>0</v>
      </c>
      <c r="O185" s="110"/>
      <c r="P185" s="430"/>
      <c r="Q185" s="430"/>
      <c r="R185" s="301">
        <f t="shared" si="19"/>
        <v>0</v>
      </c>
    </row>
    <row r="186" spans="1:18" ht="16.350000000000001" customHeight="1">
      <c r="A186" s="175">
        <f t="shared" si="14"/>
        <v>2024</v>
      </c>
      <c r="B186" s="454" t="str">
        <f t="shared" si="15"/>
        <v>22</v>
      </c>
      <c r="C186" s="454" t="str">
        <f t="array" ref="C186">_xlfn.IFS(_xlfn.NUMBERVALUE(B186)&lt;=13,"Q1",AND(_xlfn.NUMBERVALUE(B186)&gt;13,_xlfn.NUMBERVALUE(B186)&lt;=26),"Q2", AND(_xlfn.NUMBERVALUE(B186)&gt;26,_xlfn.NUMBERVALUE(B186)&lt;=39),"Q3",_xlfn.NUMBERVALUE(B186)&gt;39,"Q4")</f>
        <v>Q2</v>
      </c>
      <c r="D186" s="448">
        <f t="shared" si="20"/>
        <v>45101</v>
      </c>
      <c r="E186" s="448">
        <f t="shared" si="16"/>
        <v>45107</v>
      </c>
      <c r="F186" s="97">
        <v>202322</v>
      </c>
      <c r="G186" s="103"/>
      <c r="H186" s="429"/>
      <c r="I186" s="429"/>
      <c r="J186" s="214">
        <f t="shared" si="17"/>
        <v>0</v>
      </c>
      <c r="K186" s="103"/>
      <c r="L186" s="429"/>
      <c r="M186" s="429"/>
      <c r="N186" s="214">
        <f t="shared" si="18"/>
        <v>0</v>
      </c>
      <c r="O186" s="110"/>
      <c r="P186" s="430"/>
      <c r="Q186" s="430"/>
      <c r="R186" s="301">
        <f t="shared" si="19"/>
        <v>0</v>
      </c>
    </row>
    <row r="187" spans="1:18" ht="16.350000000000001" customHeight="1">
      <c r="A187" s="175">
        <f t="shared" si="14"/>
        <v>2024</v>
      </c>
      <c r="B187" s="454" t="str">
        <f t="shared" si="15"/>
        <v>23</v>
      </c>
      <c r="C187" s="454" t="str">
        <f t="array" ref="C187">_xlfn.IFS(_xlfn.NUMBERVALUE(B187)&lt;=13,"Q1",AND(_xlfn.NUMBERVALUE(B187)&gt;13,_xlfn.NUMBERVALUE(B187)&lt;=26),"Q2", AND(_xlfn.NUMBERVALUE(B187)&gt;26,_xlfn.NUMBERVALUE(B187)&lt;=39),"Q3",_xlfn.NUMBERVALUE(B187)&gt;39,"Q4")</f>
        <v>Q2</v>
      </c>
      <c r="D187" s="448">
        <f t="shared" si="20"/>
        <v>45108</v>
      </c>
      <c r="E187" s="448">
        <f t="shared" si="16"/>
        <v>45114</v>
      </c>
      <c r="F187" s="97">
        <v>202323</v>
      </c>
      <c r="G187" s="103"/>
      <c r="H187" s="429"/>
      <c r="I187" s="429"/>
      <c r="J187" s="214">
        <f t="shared" si="17"/>
        <v>0</v>
      </c>
      <c r="K187" s="103"/>
      <c r="L187" s="429"/>
      <c r="M187" s="429"/>
      <c r="N187" s="214">
        <f t="shared" si="18"/>
        <v>0</v>
      </c>
      <c r="O187" s="110"/>
      <c r="P187" s="430"/>
      <c r="Q187" s="430"/>
      <c r="R187" s="301">
        <f t="shared" si="19"/>
        <v>0</v>
      </c>
    </row>
    <row r="188" spans="1:18" ht="16.350000000000001" customHeight="1">
      <c r="A188" s="175">
        <f t="shared" si="14"/>
        <v>2024</v>
      </c>
      <c r="B188" s="454" t="str">
        <f t="shared" si="15"/>
        <v>24</v>
      </c>
      <c r="C188" s="454" t="str">
        <f t="array" ref="C188">_xlfn.IFS(_xlfn.NUMBERVALUE(B188)&lt;=13,"Q1",AND(_xlfn.NUMBERVALUE(B188)&gt;13,_xlfn.NUMBERVALUE(B188)&lt;=26),"Q2", AND(_xlfn.NUMBERVALUE(B188)&gt;26,_xlfn.NUMBERVALUE(B188)&lt;=39),"Q3",_xlfn.NUMBERVALUE(B188)&gt;39,"Q4")</f>
        <v>Q2</v>
      </c>
      <c r="D188" s="448">
        <f t="shared" si="20"/>
        <v>45115</v>
      </c>
      <c r="E188" s="448">
        <f t="shared" si="16"/>
        <v>45121</v>
      </c>
      <c r="F188" s="97">
        <v>202324</v>
      </c>
      <c r="G188" s="103"/>
      <c r="H188" s="429"/>
      <c r="I188" s="429"/>
      <c r="J188" s="214">
        <f t="shared" si="17"/>
        <v>0</v>
      </c>
      <c r="K188" s="103"/>
      <c r="L188" s="429"/>
      <c r="M188" s="429"/>
      <c r="N188" s="214">
        <f t="shared" si="18"/>
        <v>0</v>
      </c>
      <c r="O188" s="110"/>
      <c r="P188" s="430"/>
      <c r="Q188" s="430"/>
      <c r="R188" s="301">
        <f t="shared" si="19"/>
        <v>0</v>
      </c>
    </row>
    <row r="189" spans="1:18" ht="16.350000000000001" customHeight="1">
      <c r="A189" s="175">
        <f t="shared" si="14"/>
        <v>2024</v>
      </c>
      <c r="B189" s="454" t="str">
        <f t="shared" si="15"/>
        <v>25</v>
      </c>
      <c r="C189" s="454" t="str">
        <f t="array" ref="C189">_xlfn.IFS(_xlfn.NUMBERVALUE(B189)&lt;=13,"Q1",AND(_xlfn.NUMBERVALUE(B189)&gt;13,_xlfn.NUMBERVALUE(B189)&lt;=26),"Q2", AND(_xlfn.NUMBERVALUE(B189)&gt;26,_xlfn.NUMBERVALUE(B189)&lt;=39),"Q3",_xlfn.NUMBERVALUE(B189)&gt;39,"Q4")</f>
        <v>Q2</v>
      </c>
      <c r="D189" s="448">
        <f t="shared" si="20"/>
        <v>45122</v>
      </c>
      <c r="E189" s="448">
        <f t="shared" si="16"/>
        <v>45128</v>
      </c>
      <c r="F189" s="97">
        <v>202325</v>
      </c>
      <c r="G189" s="103"/>
      <c r="H189" s="429"/>
      <c r="I189" s="429"/>
      <c r="J189" s="214">
        <f t="shared" si="17"/>
        <v>0</v>
      </c>
      <c r="K189" s="103"/>
      <c r="L189" s="429"/>
      <c r="M189" s="429"/>
      <c r="N189" s="214">
        <f t="shared" si="18"/>
        <v>0</v>
      </c>
      <c r="O189" s="110"/>
      <c r="P189" s="430"/>
      <c r="Q189" s="430"/>
      <c r="R189" s="301">
        <f t="shared" si="19"/>
        <v>0</v>
      </c>
    </row>
    <row r="190" spans="1:18" ht="16.350000000000001" customHeight="1">
      <c r="A190" s="175">
        <f t="shared" si="14"/>
        <v>2024</v>
      </c>
      <c r="B190" s="454" t="str">
        <f t="shared" si="15"/>
        <v>26</v>
      </c>
      <c r="C190" s="454" t="str">
        <f t="array" ref="C190">_xlfn.IFS(_xlfn.NUMBERVALUE(B190)&lt;=13,"Q1",AND(_xlfn.NUMBERVALUE(B190)&gt;13,_xlfn.NUMBERVALUE(B190)&lt;=26),"Q2", AND(_xlfn.NUMBERVALUE(B190)&gt;26,_xlfn.NUMBERVALUE(B190)&lt;=39),"Q3",_xlfn.NUMBERVALUE(B190)&gt;39,"Q4")</f>
        <v>Q2</v>
      </c>
      <c r="D190" s="448">
        <f t="shared" si="20"/>
        <v>45129</v>
      </c>
      <c r="E190" s="448">
        <f t="shared" si="16"/>
        <v>45135</v>
      </c>
      <c r="F190" s="97">
        <v>202326</v>
      </c>
      <c r="G190" s="103"/>
      <c r="H190" s="429"/>
      <c r="I190" s="429"/>
      <c r="J190" s="214">
        <f t="shared" si="17"/>
        <v>0</v>
      </c>
      <c r="K190" s="103"/>
      <c r="L190" s="429"/>
      <c r="M190" s="429"/>
      <c r="N190" s="214">
        <f t="shared" si="18"/>
        <v>0</v>
      </c>
      <c r="O190" s="110"/>
      <c r="P190" s="430"/>
      <c r="Q190" s="430"/>
      <c r="R190" s="301">
        <f t="shared" si="19"/>
        <v>0</v>
      </c>
    </row>
    <row r="191" spans="1:18" ht="16.350000000000001" customHeight="1">
      <c r="A191" s="175">
        <f t="shared" si="14"/>
        <v>2024</v>
      </c>
      <c r="B191" s="454" t="str">
        <f t="shared" si="15"/>
        <v>27</v>
      </c>
      <c r="C191" s="454" t="str">
        <f t="array" ref="C191">_xlfn.IFS(_xlfn.NUMBERVALUE(B191)&lt;=13,"Q1",AND(_xlfn.NUMBERVALUE(B191)&gt;13,_xlfn.NUMBERVALUE(B191)&lt;=26),"Q2", AND(_xlfn.NUMBERVALUE(B191)&gt;26,_xlfn.NUMBERVALUE(B191)&lt;=39),"Q3",_xlfn.NUMBERVALUE(B191)&gt;39,"Q4")</f>
        <v>Q3</v>
      </c>
      <c r="D191" s="448">
        <f t="shared" si="20"/>
        <v>45136</v>
      </c>
      <c r="E191" s="448">
        <f t="shared" si="16"/>
        <v>45142</v>
      </c>
      <c r="F191" s="97">
        <v>202327</v>
      </c>
      <c r="G191" s="103"/>
      <c r="H191" s="429"/>
      <c r="I191" s="429"/>
      <c r="J191" s="214">
        <f t="shared" si="17"/>
        <v>0</v>
      </c>
      <c r="K191" s="103"/>
      <c r="L191" s="429"/>
      <c r="M191" s="429"/>
      <c r="N191" s="214">
        <f t="shared" si="18"/>
        <v>0</v>
      </c>
      <c r="O191" s="110"/>
      <c r="P191" s="430"/>
      <c r="Q191" s="430"/>
      <c r="R191" s="301">
        <f t="shared" si="19"/>
        <v>0</v>
      </c>
    </row>
    <row r="192" spans="1:18" ht="16.350000000000001" customHeight="1">
      <c r="A192" s="175">
        <f t="shared" si="14"/>
        <v>2024</v>
      </c>
      <c r="B192" s="454" t="str">
        <f t="shared" si="15"/>
        <v>28</v>
      </c>
      <c r="C192" s="454" t="str">
        <f t="array" ref="C192">_xlfn.IFS(_xlfn.NUMBERVALUE(B192)&lt;=13,"Q1",AND(_xlfn.NUMBERVALUE(B192)&gt;13,_xlfn.NUMBERVALUE(B192)&lt;=26),"Q2", AND(_xlfn.NUMBERVALUE(B192)&gt;26,_xlfn.NUMBERVALUE(B192)&lt;=39),"Q3",_xlfn.NUMBERVALUE(B192)&gt;39,"Q4")</f>
        <v>Q3</v>
      </c>
      <c r="D192" s="448">
        <f t="shared" si="20"/>
        <v>45143</v>
      </c>
      <c r="E192" s="448">
        <f t="shared" si="16"/>
        <v>45149</v>
      </c>
      <c r="F192" s="97">
        <v>202328</v>
      </c>
      <c r="G192" s="103"/>
      <c r="H192" s="429"/>
      <c r="I192" s="429"/>
      <c r="J192" s="214">
        <f t="shared" si="17"/>
        <v>0</v>
      </c>
      <c r="K192" s="103"/>
      <c r="L192" s="429"/>
      <c r="M192" s="429"/>
      <c r="N192" s="214">
        <f t="shared" si="18"/>
        <v>0</v>
      </c>
      <c r="O192" s="110"/>
      <c r="P192" s="430"/>
      <c r="Q192" s="430"/>
      <c r="R192" s="301">
        <f t="shared" si="19"/>
        <v>0</v>
      </c>
    </row>
    <row r="193" spans="1:24" ht="16.350000000000001" customHeight="1">
      <c r="A193" s="175">
        <f t="shared" si="14"/>
        <v>2024</v>
      </c>
      <c r="B193" s="454" t="str">
        <f t="shared" si="15"/>
        <v>29</v>
      </c>
      <c r="C193" s="454" t="str">
        <f t="array" ref="C193">_xlfn.IFS(_xlfn.NUMBERVALUE(B193)&lt;=13,"Q1",AND(_xlfn.NUMBERVALUE(B193)&gt;13,_xlfn.NUMBERVALUE(B193)&lt;=26),"Q2", AND(_xlfn.NUMBERVALUE(B193)&gt;26,_xlfn.NUMBERVALUE(B193)&lt;=39),"Q3",_xlfn.NUMBERVALUE(B193)&gt;39,"Q4")</f>
        <v>Q3</v>
      </c>
      <c r="D193" s="448">
        <f t="shared" si="20"/>
        <v>45150</v>
      </c>
      <c r="E193" s="448">
        <f t="shared" si="16"/>
        <v>45156</v>
      </c>
      <c r="F193" s="97">
        <v>202329</v>
      </c>
      <c r="G193" s="103"/>
      <c r="H193" s="429"/>
      <c r="I193" s="429"/>
      <c r="J193" s="214">
        <f t="shared" si="17"/>
        <v>0</v>
      </c>
      <c r="K193" s="103"/>
      <c r="L193" s="429"/>
      <c r="M193" s="429"/>
      <c r="N193" s="214">
        <f t="shared" si="18"/>
        <v>0</v>
      </c>
      <c r="O193" s="110"/>
      <c r="P193" s="430"/>
      <c r="Q193" s="430"/>
      <c r="R193" s="301">
        <f t="shared" si="19"/>
        <v>0</v>
      </c>
    </row>
    <row r="194" spans="1:24" ht="16.350000000000001" customHeight="1">
      <c r="A194" s="175">
        <f t="shared" si="14"/>
        <v>2024</v>
      </c>
      <c r="B194" s="454" t="str">
        <f t="shared" si="15"/>
        <v>30</v>
      </c>
      <c r="C194" s="454" t="str">
        <f t="array" ref="C194">_xlfn.IFS(_xlfn.NUMBERVALUE(B194)&lt;=13,"Q1",AND(_xlfn.NUMBERVALUE(B194)&gt;13,_xlfn.NUMBERVALUE(B194)&lt;=26),"Q2", AND(_xlfn.NUMBERVALUE(B194)&gt;26,_xlfn.NUMBERVALUE(B194)&lt;=39),"Q3",_xlfn.NUMBERVALUE(B194)&gt;39,"Q4")</f>
        <v>Q3</v>
      </c>
      <c r="D194" s="448">
        <f t="shared" si="20"/>
        <v>45157</v>
      </c>
      <c r="E194" s="448">
        <f t="shared" si="16"/>
        <v>45163</v>
      </c>
      <c r="F194" s="97">
        <v>202330</v>
      </c>
      <c r="G194" s="103"/>
      <c r="H194" s="429"/>
      <c r="I194" s="429"/>
      <c r="J194" s="214">
        <f t="shared" si="17"/>
        <v>0</v>
      </c>
      <c r="K194" s="103"/>
      <c r="L194" s="429"/>
      <c r="M194" s="429"/>
      <c r="N194" s="214">
        <f t="shared" si="18"/>
        <v>0</v>
      </c>
      <c r="O194" s="110"/>
      <c r="P194" s="430"/>
      <c r="Q194" s="430"/>
      <c r="R194" s="301">
        <f t="shared" si="19"/>
        <v>0</v>
      </c>
    </row>
    <row r="195" spans="1:24" ht="16.350000000000001" customHeight="1">
      <c r="A195" s="175">
        <f t="shared" si="14"/>
        <v>2024</v>
      </c>
      <c r="B195" s="454" t="str">
        <f t="shared" si="15"/>
        <v>31</v>
      </c>
      <c r="C195" s="454" t="str">
        <f t="array" ref="C195">_xlfn.IFS(_xlfn.NUMBERVALUE(B195)&lt;=13,"Q1",AND(_xlfn.NUMBERVALUE(B195)&gt;13,_xlfn.NUMBERVALUE(B195)&lt;=26),"Q2", AND(_xlfn.NUMBERVALUE(B195)&gt;26,_xlfn.NUMBERVALUE(B195)&lt;=39),"Q3",_xlfn.NUMBERVALUE(B195)&gt;39,"Q4")</f>
        <v>Q3</v>
      </c>
      <c r="D195" s="448">
        <f t="shared" si="20"/>
        <v>45164</v>
      </c>
      <c r="E195" s="448">
        <f t="shared" si="16"/>
        <v>45170</v>
      </c>
      <c r="F195" s="97">
        <v>202331</v>
      </c>
      <c r="G195" s="103"/>
      <c r="H195" s="429"/>
      <c r="I195" s="429"/>
      <c r="J195" s="214">
        <f t="shared" si="17"/>
        <v>0</v>
      </c>
      <c r="K195" s="103"/>
      <c r="L195" s="429"/>
      <c r="M195" s="429"/>
      <c r="N195" s="214">
        <f t="shared" si="18"/>
        <v>0</v>
      </c>
      <c r="O195" s="110"/>
      <c r="P195" s="430"/>
      <c r="Q195" s="430"/>
      <c r="R195" s="301">
        <f t="shared" si="19"/>
        <v>0</v>
      </c>
    </row>
    <row r="196" spans="1:24" ht="16.350000000000001" customHeight="1">
      <c r="A196" s="175">
        <f t="shared" si="14"/>
        <v>2024</v>
      </c>
      <c r="B196" s="454" t="str">
        <f t="shared" si="15"/>
        <v>32</v>
      </c>
      <c r="C196" s="454" t="str">
        <f t="array" ref="C196">_xlfn.IFS(_xlfn.NUMBERVALUE(B196)&lt;=13,"Q1",AND(_xlfn.NUMBERVALUE(B196)&gt;13,_xlfn.NUMBERVALUE(B196)&lt;=26),"Q2", AND(_xlfn.NUMBERVALUE(B196)&gt;26,_xlfn.NUMBERVALUE(B196)&lt;=39),"Q3",_xlfn.NUMBERVALUE(B196)&gt;39,"Q4")</f>
        <v>Q3</v>
      </c>
      <c r="D196" s="448">
        <f t="shared" si="20"/>
        <v>45171</v>
      </c>
      <c r="E196" s="448">
        <f t="shared" si="16"/>
        <v>45177</v>
      </c>
      <c r="F196" s="97">
        <v>202332</v>
      </c>
      <c r="G196" s="103"/>
      <c r="H196" s="429"/>
      <c r="I196" s="429"/>
      <c r="J196" s="214">
        <f t="shared" si="17"/>
        <v>0</v>
      </c>
      <c r="K196" s="103"/>
      <c r="L196" s="429"/>
      <c r="M196" s="429"/>
      <c r="N196" s="214">
        <f t="shared" si="18"/>
        <v>0</v>
      </c>
      <c r="O196" s="110"/>
      <c r="P196" s="430"/>
      <c r="Q196" s="430"/>
      <c r="R196" s="301">
        <f t="shared" si="19"/>
        <v>0</v>
      </c>
    </row>
    <row r="197" spans="1:24" ht="16.350000000000001" customHeight="1">
      <c r="A197" s="175">
        <f t="shared" si="14"/>
        <v>2024</v>
      </c>
      <c r="B197" s="454" t="str">
        <f t="shared" si="15"/>
        <v>33</v>
      </c>
      <c r="C197" s="454" t="str">
        <f t="array" ref="C197">_xlfn.IFS(_xlfn.NUMBERVALUE(B197)&lt;=13,"Q1",AND(_xlfn.NUMBERVALUE(B197)&gt;13,_xlfn.NUMBERVALUE(B197)&lt;=26),"Q2", AND(_xlfn.NUMBERVALUE(B197)&gt;26,_xlfn.NUMBERVALUE(B197)&lt;=39),"Q3",_xlfn.NUMBERVALUE(B197)&gt;39,"Q4")</f>
        <v>Q3</v>
      </c>
      <c r="D197" s="448">
        <f t="shared" si="20"/>
        <v>45178</v>
      </c>
      <c r="E197" s="448">
        <f t="shared" si="16"/>
        <v>45184</v>
      </c>
      <c r="F197" s="97">
        <v>202333</v>
      </c>
      <c r="G197" s="103"/>
      <c r="H197" s="429"/>
      <c r="I197" s="429"/>
      <c r="J197" s="214">
        <f t="shared" si="17"/>
        <v>0</v>
      </c>
      <c r="K197" s="103"/>
      <c r="L197" s="429"/>
      <c r="M197" s="429"/>
      <c r="N197" s="214">
        <f t="shared" si="18"/>
        <v>0</v>
      </c>
      <c r="O197" s="110"/>
      <c r="P197" s="430"/>
      <c r="Q197" s="430"/>
      <c r="R197" s="301">
        <f t="shared" si="19"/>
        <v>0</v>
      </c>
    </row>
    <row r="198" spans="1:24" ht="16.350000000000001" customHeight="1">
      <c r="A198" s="175">
        <f t="shared" si="14"/>
        <v>2024</v>
      </c>
      <c r="B198" s="454" t="str">
        <f t="shared" si="15"/>
        <v>34</v>
      </c>
      <c r="C198" s="454" t="str">
        <f t="array" ref="C198">_xlfn.IFS(_xlfn.NUMBERVALUE(B198)&lt;=13,"Q1",AND(_xlfn.NUMBERVALUE(B198)&gt;13,_xlfn.NUMBERVALUE(B198)&lt;=26),"Q2", AND(_xlfn.NUMBERVALUE(B198)&gt;26,_xlfn.NUMBERVALUE(B198)&lt;=39),"Q3",_xlfn.NUMBERVALUE(B198)&gt;39,"Q4")</f>
        <v>Q3</v>
      </c>
      <c r="D198" s="448">
        <f t="shared" si="20"/>
        <v>45185</v>
      </c>
      <c r="E198" s="448">
        <f t="shared" si="16"/>
        <v>45191</v>
      </c>
      <c r="F198" s="97">
        <v>202334</v>
      </c>
      <c r="G198" s="241"/>
      <c r="H198" s="467"/>
      <c r="I198" s="467"/>
      <c r="J198" s="214">
        <f t="shared" si="17"/>
        <v>0</v>
      </c>
      <c r="K198" s="241"/>
      <c r="L198" s="467"/>
      <c r="M198" s="467"/>
      <c r="N198" s="214">
        <f t="shared" si="18"/>
        <v>0</v>
      </c>
      <c r="O198" s="110"/>
      <c r="P198" s="430"/>
      <c r="Q198" s="430"/>
      <c r="R198" s="301">
        <f t="shared" si="19"/>
        <v>0</v>
      </c>
    </row>
    <row r="199" spans="1:24" ht="16.350000000000001" customHeight="1">
      <c r="A199" s="175">
        <f t="shared" si="14"/>
        <v>2024</v>
      </c>
      <c r="B199" s="454" t="str">
        <f t="shared" si="15"/>
        <v>35</v>
      </c>
      <c r="C199" s="454" t="str">
        <f t="array" ref="C199">_xlfn.IFS(_xlfn.NUMBERVALUE(B199)&lt;=13,"Q1",AND(_xlfn.NUMBERVALUE(B199)&gt;13,_xlfn.NUMBERVALUE(B199)&lt;=26),"Q2", AND(_xlfn.NUMBERVALUE(B199)&gt;26,_xlfn.NUMBERVALUE(B199)&lt;=39),"Q3",_xlfn.NUMBERVALUE(B199)&gt;39,"Q4")</f>
        <v>Q3</v>
      </c>
      <c r="D199" s="448">
        <f t="shared" si="20"/>
        <v>45192</v>
      </c>
      <c r="E199" s="448">
        <f t="shared" si="16"/>
        <v>45198</v>
      </c>
      <c r="F199" s="97">
        <v>202335</v>
      </c>
      <c r="G199" s="103"/>
      <c r="H199" s="429"/>
      <c r="I199" s="429"/>
      <c r="J199" s="214">
        <f t="shared" si="17"/>
        <v>0</v>
      </c>
      <c r="K199" s="103"/>
      <c r="L199" s="429"/>
      <c r="M199" s="429"/>
      <c r="N199" s="214">
        <f t="shared" si="18"/>
        <v>0</v>
      </c>
      <c r="O199" s="110"/>
      <c r="P199" s="430"/>
      <c r="Q199" s="430"/>
      <c r="R199" s="301">
        <f t="shared" si="19"/>
        <v>0</v>
      </c>
    </row>
    <row r="200" spans="1:24" ht="16.350000000000001" customHeight="1">
      <c r="A200" s="175">
        <f t="shared" si="14"/>
        <v>2024</v>
      </c>
      <c r="B200" s="454" t="str">
        <f t="shared" si="15"/>
        <v>36</v>
      </c>
      <c r="C200" s="454" t="str">
        <f t="array" ref="C200">_xlfn.IFS(_xlfn.NUMBERVALUE(B200)&lt;=13,"Q1",AND(_xlfn.NUMBERVALUE(B200)&gt;13,_xlfn.NUMBERVALUE(B200)&lt;=26),"Q2", AND(_xlfn.NUMBERVALUE(B200)&gt;26,_xlfn.NUMBERVALUE(B200)&lt;=39),"Q3",_xlfn.NUMBERVALUE(B200)&gt;39,"Q4")</f>
        <v>Q3</v>
      </c>
      <c r="D200" s="448">
        <f t="shared" si="20"/>
        <v>45199</v>
      </c>
      <c r="E200" s="448">
        <f t="shared" si="16"/>
        <v>45205</v>
      </c>
      <c r="F200" s="97">
        <v>202336</v>
      </c>
      <c r="G200" s="103"/>
      <c r="H200" s="429"/>
      <c r="I200" s="429"/>
      <c r="J200" s="214">
        <f t="shared" si="17"/>
        <v>0</v>
      </c>
      <c r="K200" s="103"/>
      <c r="L200" s="429"/>
      <c r="M200" s="429"/>
      <c r="N200" s="214">
        <f t="shared" si="18"/>
        <v>0</v>
      </c>
      <c r="O200" s="110"/>
      <c r="P200" s="430"/>
      <c r="Q200" s="430"/>
      <c r="R200" s="301">
        <f t="shared" si="19"/>
        <v>0</v>
      </c>
    </row>
    <row r="201" spans="1:24" ht="16.350000000000001" customHeight="1">
      <c r="A201" s="175">
        <f t="shared" ref="A201:A264" si="21">LEFT(F201,4)+1</f>
        <v>2024</v>
      </c>
      <c r="B201" s="454" t="str">
        <f t="shared" ref="B201:B264" si="22">RIGHT(F201,2)</f>
        <v>37</v>
      </c>
      <c r="C201" s="454" t="str">
        <f t="array" ref="C201">_xlfn.IFS(_xlfn.NUMBERVALUE(B201)&lt;=13,"Q1",AND(_xlfn.NUMBERVALUE(B201)&gt;13,_xlfn.NUMBERVALUE(B201)&lt;=26),"Q2", AND(_xlfn.NUMBERVALUE(B201)&gt;26,_xlfn.NUMBERVALUE(B201)&lt;=39),"Q3",_xlfn.NUMBERVALUE(B201)&gt;39,"Q4")</f>
        <v>Q3</v>
      </c>
      <c r="D201" s="448">
        <f t="shared" si="20"/>
        <v>45206</v>
      </c>
      <c r="E201" s="448">
        <f t="shared" ref="E201:E264" si="23">D201+6</f>
        <v>45212</v>
      </c>
      <c r="F201" s="97">
        <v>202337</v>
      </c>
      <c r="G201" s="103"/>
      <c r="H201" s="429"/>
      <c r="I201" s="429"/>
      <c r="J201" s="214">
        <f t="shared" ref="J201:J264" si="24">SUM(G201:I201)</f>
        <v>0</v>
      </c>
      <c r="K201" s="103"/>
      <c r="L201" s="429"/>
      <c r="M201" s="429"/>
      <c r="N201" s="214">
        <f t="shared" ref="N201:N264" si="25">SUM(K201:M201)</f>
        <v>0</v>
      </c>
      <c r="O201" s="110"/>
      <c r="P201" s="430"/>
      <c r="Q201" s="430"/>
      <c r="R201" s="301">
        <f t="shared" ref="R201:R264" si="26">SUM(O201:Q201)</f>
        <v>0</v>
      </c>
      <c r="X201" s="405"/>
    </row>
    <row r="202" spans="1:24" ht="16.350000000000001" customHeight="1">
      <c r="A202" s="175">
        <f t="shared" si="21"/>
        <v>2024</v>
      </c>
      <c r="B202" s="454" t="str">
        <f t="shared" si="22"/>
        <v>38</v>
      </c>
      <c r="C202" s="454" t="str">
        <f t="array" ref="C202">_xlfn.IFS(_xlfn.NUMBERVALUE(B202)&lt;=13,"Q1",AND(_xlfn.NUMBERVALUE(B202)&gt;13,_xlfn.NUMBERVALUE(B202)&lt;=26),"Q2", AND(_xlfn.NUMBERVALUE(B202)&gt;26,_xlfn.NUMBERVALUE(B202)&lt;=39),"Q3",_xlfn.NUMBERVALUE(B202)&gt;39,"Q4")</f>
        <v>Q3</v>
      </c>
      <c r="D202" s="448">
        <f t="shared" ref="D202:D265" si="27">E201+1</f>
        <v>45213</v>
      </c>
      <c r="E202" s="448">
        <f t="shared" si="23"/>
        <v>45219</v>
      </c>
      <c r="F202" s="97">
        <v>202338</v>
      </c>
      <c r="G202" s="103"/>
      <c r="H202" s="429"/>
      <c r="I202" s="429"/>
      <c r="J202" s="214">
        <f t="shared" si="24"/>
        <v>0</v>
      </c>
      <c r="K202" s="103"/>
      <c r="L202" s="429"/>
      <c r="M202" s="429"/>
      <c r="N202" s="214">
        <f t="shared" si="25"/>
        <v>0</v>
      </c>
      <c r="O202" s="110"/>
      <c r="P202" s="430"/>
      <c r="Q202" s="430"/>
      <c r="R202" s="301">
        <f t="shared" si="26"/>
        <v>0</v>
      </c>
      <c r="X202" s="405"/>
    </row>
    <row r="203" spans="1:24" ht="16.350000000000001" customHeight="1">
      <c r="A203" s="175">
        <f t="shared" si="21"/>
        <v>2024</v>
      </c>
      <c r="B203" s="454" t="str">
        <f t="shared" si="22"/>
        <v>39</v>
      </c>
      <c r="C203" s="454" t="str">
        <f t="array" ref="C203">_xlfn.IFS(_xlfn.NUMBERVALUE(B203)&lt;=13,"Q1",AND(_xlfn.NUMBERVALUE(B203)&gt;13,_xlfn.NUMBERVALUE(B203)&lt;=26),"Q2", AND(_xlfn.NUMBERVALUE(B203)&gt;26,_xlfn.NUMBERVALUE(B203)&lt;=39),"Q3",_xlfn.NUMBERVALUE(B203)&gt;39,"Q4")</f>
        <v>Q3</v>
      </c>
      <c r="D203" s="448">
        <f t="shared" si="27"/>
        <v>45220</v>
      </c>
      <c r="E203" s="448">
        <f t="shared" si="23"/>
        <v>45226</v>
      </c>
      <c r="F203" s="97">
        <v>202339</v>
      </c>
      <c r="G203" s="103"/>
      <c r="H203" s="429"/>
      <c r="I203" s="429"/>
      <c r="J203" s="214">
        <f t="shared" si="24"/>
        <v>0</v>
      </c>
      <c r="K203" s="103"/>
      <c r="L203" s="429"/>
      <c r="M203" s="429"/>
      <c r="N203" s="214">
        <f t="shared" si="25"/>
        <v>0</v>
      </c>
      <c r="O203" s="110"/>
      <c r="P203" s="430"/>
      <c r="Q203" s="430"/>
      <c r="R203" s="301">
        <f t="shared" si="26"/>
        <v>0</v>
      </c>
    </row>
    <row r="204" spans="1:24" ht="16.350000000000001" customHeight="1">
      <c r="A204" s="175">
        <f t="shared" si="21"/>
        <v>2024</v>
      </c>
      <c r="B204" s="454" t="str">
        <f t="shared" si="22"/>
        <v>40</v>
      </c>
      <c r="C204" s="454" t="str">
        <f t="array" ref="C204">_xlfn.IFS(_xlfn.NUMBERVALUE(B204)&lt;=13,"Q1",AND(_xlfn.NUMBERVALUE(B204)&gt;13,_xlfn.NUMBERVALUE(B204)&lt;=26),"Q2", AND(_xlfn.NUMBERVALUE(B204)&gt;26,_xlfn.NUMBERVALUE(B204)&lt;=39),"Q3",_xlfn.NUMBERVALUE(B204)&gt;39,"Q4")</f>
        <v>Q4</v>
      </c>
      <c r="D204" s="448">
        <f t="shared" si="27"/>
        <v>45227</v>
      </c>
      <c r="E204" s="448">
        <f t="shared" si="23"/>
        <v>45233</v>
      </c>
      <c r="F204" s="97">
        <v>202340</v>
      </c>
      <c r="G204" s="103"/>
      <c r="H204" s="429"/>
      <c r="I204" s="429"/>
      <c r="J204" s="214">
        <f t="shared" si="24"/>
        <v>0</v>
      </c>
      <c r="K204" s="103"/>
      <c r="L204" s="429"/>
      <c r="M204" s="429"/>
      <c r="N204" s="214">
        <f t="shared" si="25"/>
        <v>0</v>
      </c>
      <c r="O204" s="110"/>
      <c r="P204" s="430"/>
      <c r="Q204" s="430"/>
      <c r="R204" s="301">
        <f t="shared" si="26"/>
        <v>0</v>
      </c>
    </row>
    <row r="205" spans="1:24" ht="16.350000000000001" customHeight="1">
      <c r="A205" s="175">
        <f t="shared" si="21"/>
        <v>2024</v>
      </c>
      <c r="B205" s="454" t="str">
        <f t="shared" si="22"/>
        <v>41</v>
      </c>
      <c r="C205" s="454" t="str">
        <f t="array" ref="C205">_xlfn.IFS(_xlfn.NUMBERVALUE(B205)&lt;=13,"Q1",AND(_xlfn.NUMBERVALUE(B205)&gt;13,_xlfn.NUMBERVALUE(B205)&lt;=26),"Q2", AND(_xlfn.NUMBERVALUE(B205)&gt;26,_xlfn.NUMBERVALUE(B205)&lt;=39),"Q3",_xlfn.NUMBERVALUE(B205)&gt;39,"Q4")</f>
        <v>Q4</v>
      </c>
      <c r="D205" s="448">
        <f t="shared" si="27"/>
        <v>45234</v>
      </c>
      <c r="E205" s="448">
        <f t="shared" si="23"/>
        <v>45240</v>
      </c>
      <c r="F205" s="97">
        <v>202341</v>
      </c>
      <c r="G205" s="103"/>
      <c r="H205" s="429"/>
      <c r="I205" s="429"/>
      <c r="J205" s="214">
        <f t="shared" si="24"/>
        <v>0</v>
      </c>
      <c r="K205" s="103"/>
      <c r="L205" s="429"/>
      <c r="M205" s="429"/>
      <c r="N205" s="214">
        <f t="shared" si="25"/>
        <v>0</v>
      </c>
      <c r="O205" s="110"/>
      <c r="P205" s="430"/>
      <c r="Q205" s="430"/>
      <c r="R205" s="301">
        <f t="shared" si="26"/>
        <v>0</v>
      </c>
    </row>
    <row r="206" spans="1:24" ht="16.350000000000001" customHeight="1">
      <c r="A206" s="175">
        <f t="shared" si="21"/>
        <v>2024</v>
      </c>
      <c r="B206" s="454" t="str">
        <f t="shared" si="22"/>
        <v>42</v>
      </c>
      <c r="C206" s="454" t="str">
        <f t="array" ref="C206">_xlfn.IFS(_xlfn.NUMBERVALUE(B206)&lt;=13,"Q1",AND(_xlfn.NUMBERVALUE(B206)&gt;13,_xlfn.NUMBERVALUE(B206)&lt;=26),"Q2", AND(_xlfn.NUMBERVALUE(B206)&gt;26,_xlfn.NUMBERVALUE(B206)&lt;=39),"Q3",_xlfn.NUMBERVALUE(B206)&gt;39,"Q4")</f>
        <v>Q4</v>
      </c>
      <c r="D206" s="448">
        <f t="shared" si="27"/>
        <v>45241</v>
      </c>
      <c r="E206" s="448">
        <f t="shared" si="23"/>
        <v>45247</v>
      </c>
      <c r="F206" s="97">
        <v>202342</v>
      </c>
      <c r="G206" s="103"/>
      <c r="H206" s="429"/>
      <c r="I206" s="429"/>
      <c r="J206" s="214">
        <f t="shared" si="24"/>
        <v>0</v>
      </c>
      <c r="K206" s="103"/>
      <c r="L206" s="429"/>
      <c r="M206" s="429"/>
      <c r="N206" s="214">
        <f t="shared" si="25"/>
        <v>0</v>
      </c>
      <c r="O206" s="110"/>
      <c r="P206" s="430"/>
      <c r="Q206" s="430"/>
      <c r="R206" s="301">
        <f t="shared" si="26"/>
        <v>0</v>
      </c>
    </row>
    <row r="207" spans="1:24" ht="16.350000000000001" customHeight="1">
      <c r="A207" s="175">
        <f t="shared" si="21"/>
        <v>2024</v>
      </c>
      <c r="B207" s="454" t="str">
        <f t="shared" si="22"/>
        <v>43</v>
      </c>
      <c r="C207" s="454" t="str">
        <f t="array" ref="C207">_xlfn.IFS(_xlfn.NUMBERVALUE(B207)&lt;=13,"Q1",AND(_xlfn.NUMBERVALUE(B207)&gt;13,_xlfn.NUMBERVALUE(B207)&lt;=26),"Q2", AND(_xlfn.NUMBERVALUE(B207)&gt;26,_xlfn.NUMBERVALUE(B207)&lt;=39),"Q3",_xlfn.NUMBERVALUE(B207)&gt;39,"Q4")</f>
        <v>Q4</v>
      </c>
      <c r="D207" s="448">
        <f t="shared" si="27"/>
        <v>45248</v>
      </c>
      <c r="E207" s="448">
        <f t="shared" si="23"/>
        <v>45254</v>
      </c>
      <c r="F207" s="97">
        <v>202343</v>
      </c>
      <c r="G207" s="103"/>
      <c r="H207" s="429"/>
      <c r="I207" s="429"/>
      <c r="J207" s="214">
        <f t="shared" si="24"/>
        <v>0</v>
      </c>
      <c r="K207" s="103"/>
      <c r="L207" s="429"/>
      <c r="M207" s="429"/>
      <c r="N207" s="214">
        <f t="shared" si="25"/>
        <v>0</v>
      </c>
      <c r="O207" s="110"/>
      <c r="P207" s="430"/>
      <c r="Q207" s="430"/>
      <c r="R207" s="301">
        <f t="shared" si="26"/>
        <v>0</v>
      </c>
    </row>
    <row r="208" spans="1:24" ht="16.350000000000001" customHeight="1">
      <c r="A208" s="175">
        <f t="shared" si="21"/>
        <v>2024</v>
      </c>
      <c r="B208" s="454" t="str">
        <f t="shared" si="22"/>
        <v>44</v>
      </c>
      <c r="C208" s="454" t="str">
        <f t="array" ref="C208">_xlfn.IFS(_xlfn.NUMBERVALUE(B208)&lt;=13,"Q1",AND(_xlfn.NUMBERVALUE(B208)&gt;13,_xlfn.NUMBERVALUE(B208)&lt;=26),"Q2", AND(_xlfn.NUMBERVALUE(B208)&gt;26,_xlfn.NUMBERVALUE(B208)&lt;=39),"Q3",_xlfn.NUMBERVALUE(B208)&gt;39,"Q4")</f>
        <v>Q4</v>
      </c>
      <c r="D208" s="448">
        <f t="shared" si="27"/>
        <v>45255</v>
      </c>
      <c r="E208" s="448">
        <f t="shared" si="23"/>
        <v>45261</v>
      </c>
      <c r="F208" s="97">
        <v>202344</v>
      </c>
      <c r="G208" s="103"/>
      <c r="H208" s="429"/>
      <c r="I208" s="429"/>
      <c r="J208" s="214">
        <f t="shared" si="24"/>
        <v>0</v>
      </c>
      <c r="K208" s="103"/>
      <c r="L208" s="429"/>
      <c r="M208" s="429"/>
      <c r="N208" s="214">
        <f t="shared" si="25"/>
        <v>0</v>
      </c>
      <c r="O208" s="110"/>
      <c r="P208" s="430"/>
      <c r="Q208" s="430"/>
      <c r="R208" s="301">
        <f t="shared" si="26"/>
        <v>0</v>
      </c>
    </row>
    <row r="209" spans="1:18" ht="16.350000000000001" customHeight="1">
      <c r="A209" s="175">
        <f t="shared" si="21"/>
        <v>2024</v>
      </c>
      <c r="B209" s="454" t="str">
        <f t="shared" si="22"/>
        <v>45</v>
      </c>
      <c r="C209" s="454" t="str">
        <f t="array" ref="C209">_xlfn.IFS(_xlfn.NUMBERVALUE(B209)&lt;=13,"Q1",AND(_xlfn.NUMBERVALUE(B209)&gt;13,_xlfn.NUMBERVALUE(B209)&lt;=26),"Q2", AND(_xlfn.NUMBERVALUE(B209)&gt;26,_xlfn.NUMBERVALUE(B209)&lt;=39),"Q3",_xlfn.NUMBERVALUE(B209)&gt;39,"Q4")</f>
        <v>Q4</v>
      </c>
      <c r="D209" s="448">
        <f t="shared" si="27"/>
        <v>45262</v>
      </c>
      <c r="E209" s="448">
        <f t="shared" si="23"/>
        <v>45268</v>
      </c>
      <c r="F209" s="97">
        <v>202345</v>
      </c>
      <c r="G209" s="103"/>
      <c r="H209" s="429"/>
      <c r="I209" s="429"/>
      <c r="J209" s="214">
        <f t="shared" si="24"/>
        <v>0</v>
      </c>
      <c r="K209" s="103"/>
      <c r="L209" s="429"/>
      <c r="M209" s="429"/>
      <c r="N209" s="214">
        <f t="shared" si="25"/>
        <v>0</v>
      </c>
      <c r="O209" s="110"/>
      <c r="P209" s="430"/>
      <c r="Q209" s="430"/>
      <c r="R209" s="301">
        <f t="shared" si="26"/>
        <v>0</v>
      </c>
    </row>
    <row r="210" spans="1:18" ht="16.350000000000001" customHeight="1">
      <c r="A210" s="175">
        <f t="shared" si="21"/>
        <v>2024</v>
      </c>
      <c r="B210" s="454" t="str">
        <f t="shared" si="22"/>
        <v>46</v>
      </c>
      <c r="C210" s="454" t="str">
        <f t="array" ref="C210">_xlfn.IFS(_xlfn.NUMBERVALUE(B210)&lt;=13,"Q1",AND(_xlfn.NUMBERVALUE(B210)&gt;13,_xlfn.NUMBERVALUE(B210)&lt;=26),"Q2", AND(_xlfn.NUMBERVALUE(B210)&gt;26,_xlfn.NUMBERVALUE(B210)&lt;=39),"Q3",_xlfn.NUMBERVALUE(B210)&gt;39,"Q4")</f>
        <v>Q4</v>
      </c>
      <c r="D210" s="448">
        <f t="shared" si="27"/>
        <v>45269</v>
      </c>
      <c r="E210" s="448">
        <f t="shared" si="23"/>
        <v>45275</v>
      </c>
      <c r="F210" s="97">
        <v>202346</v>
      </c>
      <c r="G210" s="103"/>
      <c r="H210" s="429"/>
      <c r="I210" s="429"/>
      <c r="J210" s="214">
        <f t="shared" si="24"/>
        <v>0</v>
      </c>
      <c r="K210" s="103"/>
      <c r="L210" s="429"/>
      <c r="M210" s="429"/>
      <c r="N210" s="214">
        <f t="shared" si="25"/>
        <v>0</v>
      </c>
      <c r="O210" s="110"/>
      <c r="P210" s="430"/>
      <c r="Q210" s="430"/>
      <c r="R210" s="301">
        <f t="shared" si="26"/>
        <v>0</v>
      </c>
    </row>
    <row r="211" spans="1:18" ht="16.350000000000001" customHeight="1">
      <c r="A211" s="175">
        <f t="shared" si="21"/>
        <v>2024</v>
      </c>
      <c r="B211" s="454" t="str">
        <f t="shared" si="22"/>
        <v>47</v>
      </c>
      <c r="C211" s="454" t="str">
        <f t="array" ref="C211">_xlfn.IFS(_xlfn.NUMBERVALUE(B211)&lt;=13,"Q1",AND(_xlfn.NUMBERVALUE(B211)&gt;13,_xlfn.NUMBERVALUE(B211)&lt;=26),"Q2", AND(_xlfn.NUMBERVALUE(B211)&gt;26,_xlfn.NUMBERVALUE(B211)&lt;=39),"Q3",_xlfn.NUMBERVALUE(B211)&gt;39,"Q4")</f>
        <v>Q4</v>
      </c>
      <c r="D211" s="448">
        <f t="shared" si="27"/>
        <v>45276</v>
      </c>
      <c r="E211" s="448">
        <f t="shared" si="23"/>
        <v>45282</v>
      </c>
      <c r="F211" s="97">
        <v>202347</v>
      </c>
      <c r="G211" s="103"/>
      <c r="H211" s="429"/>
      <c r="I211" s="429"/>
      <c r="J211" s="214">
        <f t="shared" si="24"/>
        <v>0</v>
      </c>
      <c r="K211" s="103"/>
      <c r="L211" s="429"/>
      <c r="M211" s="429"/>
      <c r="N211" s="214">
        <f t="shared" si="25"/>
        <v>0</v>
      </c>
      <c r="O211" s="110"/>
      <c r="P211" s="430"/>
      <c r="Q211" s="430"/>
      <c r="R211" s="301">
        <f t="shared" si="26"/>
        <v>0</v>
      </c>
    </row>
    <row r="212" spans="1:18" ht="16.350000000000001" customHeight="1">
      <c r="A212" s="175">
        <f t="shared" si="21"/>
        <v>2024</v>
      </c>
      <c r="B212" s="454" t="str">
        <f t="shared" si="22"/>
        <v>48</v>
      </c>
      <c r="C212" s="454" t="str">
        <f t="array" ref="C212">_xlfn.IFS(_xlfn.NUMBERVALUE(B212)&lt;=13,"Q1",AND(_xlfn.NUMBERVALUE(B212)&gt;13,_xlfn.NUMBERVALUE(B212)&lt;=26),"Q2", AND(_xlfn.NUMBERVALUE(B212)&gt;26,_xlfn.NUMBERVALUE(B212)&lt;=39),"Q3",_xlfn.NUMBERVALUE(B212)&gt;39,"Q4")</f>
        <v>Q4</v>
      </c>
      <c r="D212" s="448">
        <f t="shared" si="27"/>
        <v>45283</v>
      </c>
      <c r="E212" s="448">
        <f t="shared" si="23"/>
        <v>45289</v>
      </c>
      <c r="F212" s="97">
        <v>202348</v>
      </c>
      <c r="G212" s="103"/>
      <c r="H212" s="429"/>
      <c r="I212" s="429"/>
      <c r="J212" s="214">
        <f t="shared" si="24"/>
        <v>0</v>
      </c>
      <c r="K212" s="103"/>
      <c r="L212" s="429"/>
      <c r="M212" s="429"/>
      <c r="N212" s="214">
        <f t="shared" si="25"/>
        <v>0</v>
      </c>
      <c r="O212" s="110"/>
      <c r="P212" s="430"/>
      <c r="Q212" s="430"/>
      <c r="R212" s="301">
        <f t="shared" si="26"/>
        <v>0</v>
      </c>
    </row>
    <row r="213" spans="1:18" ht="16.350000000000001" customHeight="1">
      <c r="A213" s="175">
        <f t="shared" si="21"/>
        <v>2024</v>
      </c>
      <c r="B213" s="454" t="str">
        <f t="shared" si="22"/>
        <v>49</v>
      </c>
      <c r="C213" s="454" t="str">
        <f t="array" ref="C213">_xlfn.IFS(_xlfn.NUMBERVALUE(B213)&lt;=13,"Q1",AND(_xlfn.NUMBERVALUE(B213)&gt;13,_xlfn.NUMBERVALUE(B213)&lt;=26),"Q2", AND(_xlfn.NUMBERVALUE(B213)&gt;26,_xlfn.NUMBERVALUE(B213)&lt;=39),"Q3",_xlfn.NUMBERVALUE(B213)&gt;39,"Q4")</f>
        <v>Q4</v>
      </c>
      <c r="D213" s="448">
        <f t="shared" si="27"/>
        <v>45290</v>
      </c>
      <c r="E213" s="448">
        <f t="shared" si="23"/>
        <v>45296</v>
      </c>
      <c r="F213" s="97">
        <v>202349</v>
      </c>
      <c r="G213" s="429">
        <v>53147</v>
      </c>
      <c r="H213" s="429">
        <v>59552</v>
      </c>
      <c r="I213" s="429">
        <v>96389</v>
      </c>
      <c r="J213" s="214">
        <f t="shared" si="24"/>
        <v>209088</v>
      </c>
      <c r="K213" s="429">
        <v>75966</v>
      </c>
      <c r="L213" s="429">
        <v>51326</v>
      </c>
      <c r="M213" s="429">
        <v>74422</v>
      </c>
      <c r="N213" s="214">
        <f t="shared" si="25"/>
        <v>201714</v>
      </c>
      <c r="O213" s="430">
        <v>73603</v>
      </c>
      <c r="P213" s="430">
        <v>61438</v>
      </c>
      <c r="Q213" s="430">
        <v>85671</v>
      </c>
      <c r="R213" s="301">
        <f t="shared" si="26"/>
        <v>220712</v>
      </c>
    </row>
    <row r="214" spans="1:18" ht="16.350000000000001" customHeight="1">
      <c r="A214" s="175">
        <f t="shared" si="21"/>
        <v>2024</v>
      </c>
      <c r="B214" s="454" t="str">
        <f t="shared" si="22"/>
        <v>50</v>
      </c>
      <c r="C214" s="454" t="str">
        <f t="array" ref="C214">_xlfn.IFS(_xlfn.NUMBERVALUE(B214)&lt;=13,"Q1",AND(_xlfn.NUMBERVALUE(B214)&gt;13,_xlfn.NUMBERVALUE(B214)&lt;=26),"Q2", AND(_xlfn.NUMBERVALUE(B214)&gt;26,_xlfn.NUMBERVALUE(B214)&lt;=39),"Q3",_xlfn.NUMBERVALUE(B214)&gt;39,"Q4")</f>
        <v>Q4</v>
      </c>
      <c r="D214" s="448">
        <f t="shared" si="27"/>
        <v>45297</v>
      </c>
      <c r="E214" s="448">
        <f t="shared" si="23"/>
        <v>45303</v>
      </c>
      <c r="F214" s="97">
        <v>202350</v>
      </c>
      <c r="G214" s="103">
        <v>96389</v>
      </c>
      <c r="H214" s="429">
        <v>53147</v>
      </c>
      <c r="I214" s="429">
        <v>72535</v>
      </c>
      <c r="J214" s="214">
        <f t="shared" si="24"/>
        <v>222071</v>
      </c>
      <c r="K214" s="103">
        <v>81040</v>
      </c>
      <c r="L214" s="429">
        <v>91055</v>
      </c>
      <c r="M214" s="429">
        <v>52394</v>
      </c>
      <c r="N214" s="214">
        <f t="shared" si="25"/>
        <v>224489</v>
      </c>
      <c r="O214" s="110">
        <v>77211</v>
      </c>
      <c r="P214" s="430">
        <v>90874</v>
      </c>
      <c r="Q214" s="430">
        <v>91752</v>
      </c>
      <c r="R214" s="301">
        <f t="shared" si="26"/>
        <v>259837</v>
      </c>
    </row>
    <row r="215" spans="1:18" ht="16.350000000000001" customHeight="1">
      <c r="A215" s="175">
        <f t="shared" si="21"/>
        <v>2024</v>
      </c>
      <c r="B215" s="454" t="str">
        <f t="shared" si="22"/>
        <v>51</v>
      </c>
      <c r="C215" s="454" t="str">
        <f t="array" ref="C215">_xlfn.IFS(_xlfn.NUMBERVALUE(B215)&lt;=13,"Q1",AND(_xlfn.NUMBERVALUE(B215)&gt;13,_xlfn.NUMBERVALUE(B215)&lt;=26),"Q2", AND(_xlfn.NUMBERVALUE(B215)&gt;26,_xlfn.NUMBERVALUE(B215)&lt;=39),"Q3",_xlfn.NUMBERVALUE(B215)&gt;39,"Q4")</f>
        <v>Q4</v>
      </c>
      <c r="D215" s="448">
        <f t="shared" si="27"/>
        <v>45304</v>
      </c>
      <c r="E215" s="448">
        <f t="shared" si="23"/>
        <v>45310</v>
      </c>
      <c r="F215" s="97">
        <v>202351</v>
      </c>
      <c r="G215" s="103">
        <v>83044</v>
      </c>
      <c r="H215" s="429">
        <v>82614</v>
      </c>
      <c r="I215" s="429">
        <v>90045</v>
      </c>
      <c r="J215" s="214">
        <f t="shared" si="24"/>
        <v>255703</v>
      </c>
      <c r="K215" s="103">
        <v>68135</v>
      </c>
      <c r="L215" s="429">
        <v>83262</v>
      </c>
      <c r="M215" s="429">
        <v>94523</v>
      </c>
      <c r="N215" s="214">
        <f t="shared" si="25"/>
        <v>245920</v>
      </c>
      <c r="O215" s="110">
        <v>89914</v>
      </c>
      <c r="P215" s="430">
        <v>73603</v>
      </c>
      <c r="Q215" s="430">
        <v>86475</v>
      </c>
      <c r="R215" s="301">
        <f t="shared" si="26"/>
        <v>249992</v>
      </c>
    </row>
    <row r="216" spans="1:18" ht="15.75" customHeight="1">
      <c r="A216" s="175">
        <f t="shared" si="21"/>
        <v>2024</v>
      </c>
      <c r="B216" s="454" t="str">
        <f t="shared" si="22"/>
        <v>52</v>
      </c>
      <c r="C216" s="454" t="str">
        <f t="array" ref="C216">_xlfn.IFS(_xlfn.NUMBERVALUE(B216)&lt;=13,"Q1",AND(_xlfn.NUMBERVALUE(B216)&gt;13,_xlfn.NUMBERVALUE(B216)&lt;=26),"Q2", AND(_xlfn.NUMBERVALUE(B216)&gt;26,_xlfn.NUMBERVALUE(B216)&lt;=39),"Q3",_xlfn.NUMBERVALUE(B216)&gt;39,"Q4")</f>
        <v>Q4</v>
      </c>
      <c r="D216" s="448">
        <f t="shared" si="27"/>
        <v>45311</v>
      </c>
      <c r="E216" s="448">
        <f t="shared" si="23"/>
        <v>45317</v>
      </c>
      <c r="F216" s="97">
        <v>202352</v>
      </c>
      <c r="G216" s="103">
        <v>63238</v>
      </c>
      <c r="H216" s="429">
        <v>74241</v>
      </c>
      <c r="I216" s="429">
        <v>59552</v>
      </c>
      <c r="J216" s="214">
        <f t="shared" si="24"/>
        <v>197031</v>
      </c>
      <c r="K216" s="103">
        <v>57891</v>
      </c>
      <c r="L216" s="429">
        <v>75966</v>
      </c>
      <c r="M216" s="429">
        <v>51326</v>
      </c>
      <c r="N216" s="214">
        <f t="shared" si="25"/>
        <v>185183</v>
      </c>
      <c r="O216" s="110">
        <v>89589</v>
      </c>
      <c r="P216" s="430">
        <v>87778</v>
      </c>
      <c r="Q216" s="430">
        <v>70201</v>
      </c>
      <c r="R216" s="301">
        <f t="shared" si="26"/>
        <v>247568</v>
      </c>
    </row>
    <row r="217" spans="1:18" ht="16.350000000000001" customHeight="1">
      <c r="A217" s="175">
        <f t="shared" si="21"/>
        <v>2025</v>
      </c>
      <c r="B217" s="454" t="str">
        <f t="shared" si="22"/>
        <v>01</v>
      </c>
      <c r="C217" s="454" t="str">
        <f t="array" ref="C217">_xlfn.IFS(_xlfn.NUMBERVALUE(B217)&lt;=13,"Q1",AND(_xlfn.NUMBERVALUE(B217)&gt;13,_xlfn.NUMBERVALUE(B217)&lt;=26),"Q2", AND(_xlfn.NUMBERVALUE(B217)&gt;26,_xlfn.NUMBERVALUE(B217)&lt;=39),"Q3",_xlfn.NUMBERVALUE(B217)&gt;39,"Q4")</f>
        <v>Q1</v>
      </c>
      <c r="D217" s="448">
        <f t="shared" si="27"/>
        <v>45318</v>
      </c>
      <c r="E217" s="448">
        <f t="shared" si="23"/>
        <v>45324</v>
      </c>
      <c r="F217" s="97">
        <v>202401</v>
      </c>
      <c r="G217" s="103">
        <v>77376</v>
      </c>
      <c r="H217" s="429">
        <v>68038</v>
      </c>
      <c r="I217" s="429">
        <v>69438</v>
      </c>
      <c r="J217" s="214">
        <f t="shared" si="24"/>
        <v>214852</v>
      </c>
      <c r="K217" s="103">
        <v>74422</v>
      </c>
      <c r="L217" s="429">
        <v>70077</v>
      </c>
      <c r="M217" s="429">
        <v>90977</v>
      </c>
      <c r="N217" s="214">
        <f t="shared" si="25"/>
        <v>235476</v>
      </c>
      <c r="O217" s="110">
        <v>61438</v>
      </c>
      <c r="P217" s="430">
        <v>79685</v>
      </c>
      <c r="Q217" s="430">
        <v>67750</v>
      </c>
      <c r="R217" s="301">
        <f t="shared" si="26"/>
        <v>208873</v>
      </c>
    </row>
    <row r="218" spans="1:18" ht="16.350000000000001" customHeight="1">
      <c r="A218" s="175">
        <f t="shared" si="21"/>
        <v>2025</v>
      </c>
      <c r="B218" s="454" t="str">
        <f t="shared" si="22"/>
        <v>02</v>
      </c>
      <c r="C218" s="454" t="str">
        <f t="array" ref="C218">_xlfn.IFS(_xlfn.NUMBERVALUE(B218)&lt;=13,"Q1",AND(_xlfn.NUMBERVALUE(B218)&gt;13,_xlfn.NUMBERVALUE(B218)&lt;=26),"Q2", AND(_xlfn.NUMBERVALUE(B218)&gt;26,_xlfn.NUMBERVALUE(B218)&lt;=39),"Q3",_xlfn.NUMBERVALUE(B218)&gt;39,"Q4")</f>
        <v>Q1</v>
      </c>
      <c r="D218" s="448">
        <f t="shared" si="27"/>
        <v>45325</v>
      </c>
      <c r="E218" s="448">
        <f t="shared" si="23"/>
        <v>45331</v>
      </c>
      <c r="F218" s="97">
        <v>202402</v>
      </c>
      <c r="G218" s="103">
        <v>89247</v>
      </c>
      <c r="H218" s="429">
        <v>96992</v>
      </c>
      <c r="I218" s="429">
        <v>96621</v>
      </c>
      <c r="J218" s="214">
        <f t="shared" si="24"/>
        <v>282860</v>
      </c>
      <c r="K218" s="103">
        <v>87135</v>
      </c>
      <c r="L218" s="429">
        <v>97101</v>
      </c>
      <c r="M218" s="429">
        <v>74390</v>
      </c>
      <c r="N218" s="214">
        <f t="shared" si="25"/>
        <v>258626</v>
      </c>
      <c r="O218" s="110">
        <v>84909</v>
      </c>
      <c r="P218" s="430">
        <v>73284</v>
      </c>
      <c r="Q218" s="430">
        <v>63489</v>
      </c>
      <c r="R218" s="301">
        <f t="shared" si="26"/>
        <v>221682</v>
      </c>
    </row>
    <row r="219" spans="1:18" ht="16.350000000000001" customHeight="1">
      <c r="A219" s="175">
        <f t="shared" si="21"/>
        <v>2025</v>
      </c>
      <c r="B219" s="454" t="str">
        <f t="shared" si="22"/>
        <v>03</v>
      </c>
      <c r="C219" s="454" t="str">
        <f t="array" ref="C219">_xlfn.IFS(_xlfn.NUMBERVALUE(B219)&lt;=13,"Q1",AND(_xlfn.NUMBERVALUE(B219)&gt;13,_xlfn.NUMBERVALUE(B219)&lt;=26),"Q2", AND(_xlfn.NUMBERVALUE(B219)&gt;26,_xlfn.NUMBERVALUE(B219)&lt;=39),"Q3",_xlfn.NUMBERVALUE(B219)&gt;39,"Q4")</f>
        <v>Q1</v>
      </c>
      <c r="D219" s="448">
        <f t="shared" si="27"/>
        <v>45332</v>
      </c>
      <c r="E219" s="448">
        <f t="shared" si="23"/>
        <v>45338</v>
      </c>
      <c r="F219" s="97">
        <v>202403</v>
      </c>
      <c r="G219" s="103">
        <v>60459</v>
      </c>
      <c r="H219" s="429">
        <v>50417</v>
      </c>
      <c r="I219" s="429">
        <v>68035</v>
      </c>
      <c r="J219" s="214">
        <f t="shared" si="24"/>
        <v>178911</v>
      </c>
      <c r="K219" s="103">
        <v>53349</v>
      </c>
      <c r="L219" s="429">
        <v>91081</v>
      </c>
      <c r="M219" s="429">
        <v>78477</v>
      </c>
      <c r="N219" s="214">
        <f t="shared" si="25"/>
        <v>222907</v>
      </c>
      <c r="O219" s="110">
        <v>81825</v>
      </c>
      <c r="P219" s="430">
        <v>85671</v>
      </c>
      <c r="Q219" s="430">
        <v>78738</v>
      </c>
      <c r="R219" s="301">
        <f t="shared" si="26"/>
        <v>246234</v>
      </c>
    </row>
    <row r="220" spans="1:18" ht="16.350000000000001" customHeight="1">
      <c r="A220" s="175">
        <f t="shared" si="21"/>
        <v>2025</v>
      </c>
      <c r="B220" s="454" t="str">
        <f t="shared" si="22"/>
        <v>04</v>
      </c>
      <c r="C220" s="454" t="str">
        <f t="array" ref="C220">_xlfn.IFS(_xlfn.NUMBERVALUE(B220)&lt;=13,"Q1",AND(_xlfn.NUMBERVALUE(B220)&gt;13,_xlfn.NUMBERVALUE(B220)&lt;=26),"Q2", AND(_xlfn.NUMBERVALUE(B220)&gt;26,_xlfn.NUMBERVALUE(B220)&lt;=39),"Q3",_xlfn.NUMBERVALUE(B220)&gt;39,"Q4")</f>
        <v>Q1</v>
      </c>
      <c r="D220" s="448">
        <f t="shared" si="27"/>
        <v>45339</v>
      </c>
      <c r="E220" s="448">
        <f t="shared" si="23"/>
        <v>45345</v>
      </c>
      <c r="F220" s="97">
        <v>202404</v>
      </c>
      <c r="G220" s="103">
        <v>73499</v>
      </c>
      <c r="H220" s="429">
        <v>74517</v>
      </c>
      <c r="I220" s="429">
        <v>56030</v>
      </c>
      <c r="J220" s="214">
        <f t="shared" si="24"/>
        <v>204046</v>
      </c>
      <c r="K220" s="103">
        <v>68896</v>
      </c>
      <c r="L220" s="429">
        <v>52303</v>
      </c>
      <c r="M220" s="429">
        <v>97548</v>
      </c>
      <c r="N220" s="214">
        <f t="shared" si="25"/>
        <v>218747</v>
      </c>
      <c r="O220" s="110">
        <v>50129</v>
      </c>
      <c r="P220" s="430">
        <v>73318</v>
      </c>
      <c r="Q220" s="430">
        <v>82029</v>
      </c>
      <c r="R220" s="301">
        <f t="shared" si="26"/>
        <v>205476</v>
      </c>
    </row>
    <row r="221" spans="1:18" ht="16.350000000000001" customHeight="1">
      <c r="A221" s="175">
        <f t="shared" si="21"/>
        <v>2025</v>
      </c>
      <c r="B221" s="454" t="str">
        <f t="shared" si="22"/>
        <v>05</v>
      </c>
      <c r="C221" s="454" t="str">
        <f t="array" ref="C221">_xlfn.IFS(_xlfn.NUMBERVALUE(B221)&lt;=13,"Q1",AND(_xlfn.NUMBERVALUE(B221)&gt;13,_xlfn.NUMBERVALUE(B221)&lt;=26),"Q2", AND(_xlfn.NUMBERVALUE(B221)&gt;26,_xlfn.NUMBERVALUE(B221)&lt;=39),"Q3",_xlfn.NUMBERVALUE(B221)&gt;39,"Q4")</f>
        <v>Q1</v>
      </c>
      <c r="D221" s="448">
        <f t="shared" si="27"/>
        <v>45346</v>
      </c>
      <c r="E221" s="448">
        <f t="shared" si="23"/>
        <v>45352</v>
      </c>
      <c r="F221" s="97">
        <v>202405</v>
      </c>
      <c r="G221" s="103">
        <v>65344</v>
      </c>
      <c r="H221" s="429">
        <v>96765</v>
      </c>
      <c r="I221" s="429">
        <v>60593</v>
      </c>
      <c r="J221" s="214">
        <f t="shared" si="24"/>
        <v>222702</v>
      </c>
      <c r="K221" s="103">
        <v>59142</v>
      </c>
      <c r="L221" s="429">
        <v>69275</v>
      </c>
      <c r="M221" s="429">
        <v>84735</v>
      </c>
      <c r="N221" s="214">
        <f t="shared" si="25"/>
        <v>213152</v>
      </c>
      <c r="O221" s="110">
        <v>99989</v>
      </c>
      <c r="P221" s="430">
        <v>58355</v>
      </c>
      <c r="Q221" s="430">
        <v>63491</v>
      </c>
      <c r="R221" s="301">
        <f t="shared" si="26"/>
        <v>221835</v>
      </c>
    </row>
    <row r="222" spans="1:18" ht="16.350000000000001" customHeight="1">
      <c r="A222" s="175">
        <f t="shared" si="21"/>
        <v>2025</v>
      </c>
      <c r="B222" s="454" t="str">
        <f t="shared" si="22"/>
        <v>06</v>
      </c>
      <c r="C222" s="454" t="str">
        <f t="array" ref="C222">_xlfn.IFS(_xlfn.NUMBERVALUE(B222)&lt;=13,"Q1",AND(_xlfn.NUMBERVALUE(B222)&gt;13,_xlfn.NUMBERVALUE(B222)&lt;=26),"Q2", AND(_xlfn.NUMBERVALUE(B222)&gt;26,_xlfn.NUMBERVALUE(B222)&lt;=39),"Q3",_xlfn.NUMBERVALUE(B222)&gt;39,"Q4")</f>
        <v>Q1</v>
      </c>
      <c r="D222" s="448">
        <f t="shared" si="27"/>
        <v>45353</v>
      </c>
      <c r="E222" s="448">
        <f t="shared" si="23"/>
        <v>45359</v>
      </c>
      <c r="F222" s="97">
        <v>202406</v>
      </c>
      <c r="G222" s="103">
        <v>90346</v>
      </c>
      <c r="H222" s="429">
        <v>94145</v>
      </c>
      <c r="I222" s="429">
        <v>93834</v>
      </c>
      <c r="J222" s="214">
        <f t="shared" si="24"/>
        <v>278325</v>
      </c>
      <c r="K222" s="103">
        <v>88068</v>
      </c>
      <c r="L222" s="429">
        <v>98722</v>
      </c>
      <c r="M222" s="429">
        <v>53990</v>
      </c>
      <c r="N222" s="214">
        <f t="shared" si="25"/>
        <v>240780</v>
      </c>
      <c r="O222" s="110">
        <v>89421</v>
      </c>
      <c r="P222" s="430">
        <v>53199</v>
      </c>
      <c r="Q222" s="430">
        <v>81920</v>
      </c>
      <c r="R222" s="301">
        <f t="shared" si="26"/>
        <v>224540</v>
      </c>
    </row>
    <row r="223" spans="1:18" ht="16.350000000000001" customHeight="1">
      <c r="A223" s="175">
        <f t="shared" si="21"/>
        <v>2025</v>
      </c>
      <c r="B223" s="454" t="str">
        <f t="shared" si="22"/>
        <v>07</v>
      </c>
      <c r="C223" s="454" t="str">
        <f t="array" ref="C223">_xlfn.IFS(_xlfn.NUMBERVALUE(B223)&lt;=13,"Q1",AND(_xlfn.NUMBERVALUE(B223)&gt;13,_xlfn.NUMBERVALUE(B223)&lt;=26),"Q2", AND(_xlfn.NUMBERVALUE(B223)&gt;26,_xlfn.NUMBERVALUE(B223)&lt;=39),"Q3",_xlfn.NUMBERVALUE(B223)&gt;39,"Q4")</f>
        <v>Q1</v>
      </c>
      <c r="D223" s="448">
        <f t="shared" si="27"/>
        <v>45360</v>
      </c>
      <c r="E223" s="448">
        <f t="shared" si="23"/>
        <v>45366</v>
      </c>
      <c r="F223" s="97">
        <v>202407</v>
      </c>
      <c r="G223" s="103">
        <v>99318</v>
      </c>
      <c r="H223" s="429">
        <v>84876</v>
      </c>
      <c r="I223" s="429">
        <v>86797</v>
      </c>
      <c r="J223" s="214">
        <f t="shared" si="24"/>
        <v>270991</v>
      </c>
      <c r="K223" s="103">
        <v>89547</v>
      </c>
      <c r="L223" s="429">
        <v>97667</v>
      </c>
      <c r="M223" s="429">
        <v>70304</v>
      </c>
      <c r="N223" s="214">
        <f t="shared" si="25"/>
        <v>257518</v>
      </c>
      <c r="O223" s="110">
        <v>70967</v>
      </c>
      <c r="P223" s="430">
        <v>67474</v>
      </c>
      <c r="Q223" s="430">
        <v>72435</v>
      </c>
      <c r="R223" s="301">
        <f t="shared" si="26"/>
        <v>210876</v>
      </c>
    </row>
    <row r="224" spans="1:18" ht="16.350000000000001" customHeight="1">
      <c r="A224" s="175">
        <f t="shared" si="21"/>
        <v>2025</v>
      </c>
      <c r="B224" s="454" t="str">
        <f t="shared" si="22"/>
        <v>08</v>
      </c>
      <c r="C224" s="454" t="str">
        <f t="array" ref="C224">_xlfn.IFS(_xlfn.NUMBERVALUE(B224)&lt;=13,"Q1",AND(_xlfn.NUMBERVALUE(B224)&gt;13,_xlfn.NUMBERVALUE(B224)&lt;=26),"Q2", AND(_xlfn.NUMBERVALUE(B224)&gt;26,_xlfn.NUMBERVALUE(B224)&lt;=39),"Q3",_xlfn.NUMBERVALUE(B224)&gt;39,"Q4")</f>
        <v>Q1</v>
      </c>
      <c r="D224" s="448">
        <f t="shared" si="27"/>
        <v>45367</v>
      </c>
      <c r="E224" s="448">
        <f t="shared" si="23"/>
        <v>45373</v>
      </c>
      <c r="F224" s="97">
        <v>202408</v>
      </c>
      <c r="G224" s="103">
        <v>82375</v>
      </c>
      <c r="H224" s="429">
        <v>68367</v>
      </c>
      <c r="I224" s="429">
        <v>99562</v>
      </c>
      <c r="J224" s="214">
        <f t="shared" si="24"/>
        <v>250304</v>
      </c>
      <c r="K224" s="103">
        <v>52384</v>
      </c>
      <c r="L224" s="429">
        <v>79628</v>
      </c>
      <c r="M224" s="429">
        <v>52632</v>
      </c>
      <c r="N224" s="214">
        <f t="shared" si="25"/>
        <v>184644</v>
      </c>
      <c r="O224" s="110">
        <v>85322</v>
      </c>
      <c r="P224" s="430">
        <v>99131</v>
      </c>
      <c r="Q224" s="430">
        <v>75365</v>
      </c>
      <c r="R224" s="301">
        <f t="shared" si="26"/>
        <v>259818</v>
      </c>
    </row>
    <row r="225" spans="1:18" ht="16.350000000000001" customHeight="1">
      <c r="A225" s="175">
        <f t="shared" si="21"/>
        <v>2025</v>
      </c>
      <c r="B225" s="454" t="str">
        <f t="shared" si="22"/>
        <v>09</v>
      </c>
      <c r="C225" s="454" t="str">
        <f t="array" ref="C225">_xlfn.IFS(_xlfn.NUMBERVALUE(B225)&lt;=13,"Q1",AND(_xlfn.NUMBERVALUE(B225)&gt;13,_xlfn.NUMBERVALUE(B225)&lt;=26),"Q2", AND(_xlfn.NUMBERVALUE(B225)&gt;26,_xlfn.NUMBERVALUE(B225)&lt;=39),"Q3",_xlfn.NUMBERVALUE(B225)&gt;39,"Q4")</f>
        <v>Q1</v>
      </c>
      <c r="D225" s="448">
        <f t="shared" si="27"/>
        <v>45374</v>
      </c>
      <c r="E225" s="448">
        <f t="shared" si="23"/>
        <v>45380</v>
      </c>
      <c r="F225" s="97">
        <v>202409</v>
      </c>
      <c r="G225" s="103">
        <v>64166</v>
      </c>
      <c r="H225" s="429">
        <v>90540</v>
      </c>
      <c r="I225" s="429">
        <v>95825</v>
      </c>
      <c r="J225" s="214">
        <f t="shared" si="24"/>
        <v>250531</v>
      </c>
      <c r="K225" s="103">
        <v>52232</v>
      </c>
      <c r="L225" s="429">
        <v>96805</v>
      </c>
      <c r="M225" s="429">
        <v>88777</v>
      </c>
      <c r="N225" s="214">
        <f t="shared" si="25"/>
        <v>237814</v>
      </c>
      <c r="O225" s="110">
        <v>83774</v>
      </c>
      <c r="P225" s="430">
        <v>93949</v>
      </c>
      <c r="Q225" s="430">
        <v>52348</v>
      </c>
      <c r="R225" s="301">
        <f t="shared" si="26"/>
        <v>230071</v>
      </c>
    </row>
    <row r="226" spans="1:18" ht="16.350000000000001" customHeight="1">
      <c r="A226" s="175">
        <f t="shared" si="21"/>
        <v>2025</v>
      </c>
      <c r="B226" s="454" t="str">
        <f t="shared" si="22"/>
        <v>10</v>
      </c>
      <c r="C226" s="454" t="str">
        <f t="array" ref="C226">_xlfn.IFS(_xlfn.NUMBERVALUE(B226)&lt;=13,"Q1",AND(_xlfn.NUMBERVALUE(B226)&gt;13,_xlfn.NUMBERVALUE(B226)&lt;=26),"Q2", AND(_xlfn.NUMBERVALUE(B226)&gt;26,_xlfn.NUMBERVALUE(B226)&lt;=39),"Q3",_xlfn.NUMBERVALUE(B226)&gt;39,"Q4")</f>
        <v>Q1</v>
      </c>
      <c r="D226" s="448">
        <f t="shared" si="27"/>
        <v>45381</v>
      </c>
      <c r="E226" s="448">
        <f t="shared" si="23"/>
        <v>45387</v>
      </c>
      <c r="F226" s="97">
        <v>202410</v>
      </c>
      <c r="G226" s="103">
        <v>76426</v>
      </c>
      <c r="H226" s="429">
        <v>98937</v>
      </c>
      <c r="I226" s="429">
        <v>71916</v>
      </c>
      <c r="J226" s="214">
        <f t="shared" si="24"/>
        <v>247279</v>
      </c>
      <c r="K226" s="103">
        <v>50664</v>
      </c>
      <c r="L226" s="429">
        <v>75069</v>
      </c>
      <c r="M226" s="429">
        <v>56910</v>
      </c>
      <c r="N226" s="214">
        <f t="shared" si="25"/>
        <v>182643</v>
      </c>
      <c r="O226" s="110">
        <v>76773</v>
      </c>
      <c r="P226" s="430">
        <v>60948</v>
      </c>
      <c r="Q226" s="430">
        <v>83359</v>
      </c>
      <c r="R226" s="301">
        <f t="shared" si="26"/>
        <v>221080</v>
      </c>
    </row>
    <row r="227" spans="1:18" ht="16.350000000000001" customHeight="1">
      <c r="A227" s="175">
        <f t="shared" si="21"/>
        <v>2025</v>
      </c>
      <c r="B227" s="454" t="str">
        <f t="shared" si="22"/>
        <v>11</v>
      </c>
      <c r="C227" s="454" t="str">
        <f t="array" ref="C227">_xlfn.IFS(_xlfn.NUMBERVALUE(B227)&lt;=13,"Q1",AND(_xlfn.NUMBERVALUE(B227)&gt;13,_xlfn.NUMBERVALUE(B227)&lt;=26),"Q2", AND(_xlfn.NUMBERVALUE(B227)&gt;26,_xlfn.NUMBERVALUE(B227)&lt;=39),"Q3",_xlfn.NUMBERVALUE(B227)&gt;39,"Q4")</f>
        <v>Q1</v>
      </c>
      <c r="D227" s="448">
        <f t="shared" si="27"/>
        <v>45388</v>
      </c>
      <c r="E227" s="448">
        <f t="shared" si="23"/>
        <v>45394</v>
      </c>
      <c r="F227" s="97">
        <v>202411</v>
      </c>
      <c r="G227" s="103">
        <v>50830</v>
      </c>
      <c r="H227" s="429">
        <v>91499</v>
      </c>
      <c r="I227" s="429">
        <v>89222</v>
      </c>
      <c r="J227" s="214">
        <f t="shared" si="24"/>
        <v>231551</v>
      </c>
      <c r="K227" s="103">
        <v>92620</v>
      </c>
      <c r="L227" s="429">
        <v>79484</v>
      </c>
      <c r="M227" s="429">
        <v>83261</v>
      </c>
      <c r="N227" s="214">
        <f t="shared" si="25"/>
        <v>255365</v>
      </c>
      <c r="O227" s="110">
        <v>82758</v>
      </c>
      <c r="P227" s="430">
        <v>51277</v>
      </c>
      <c r="Q227" s="430">
        <v>50380</v>
      </c>
      <c r="R227" s="301">
        <f t="shared" si="26"/>
        <v>184415</v>
      </c>
    </row>
    <row r="228" spans="1:18" ht="16.350000000000001" customHeight="1">
      <c r="A228" s="175">
        <f t="shared" si="21"/>
        <v>2025</v>
      </c>
      <c r="B228" s="454" t="str">
        <f t="shared" si="22"/>
        <v>12</v>
      </c>
      <c r="C228" s="454" t="str">
        <f t="array" ref="C228">_xlfn.IFS(_xlfn.NUMBERVALUE(B228)&lt;=13,"Q1",AND(_xlfn.NUMBERVALUE(B228)&gt;13,_xlfn.NUMBERVALUE(B228)&lt;=26),"Q2", AND(_xlfn.NUMBERVALUE(B228)&gt;26,_xlfn.NUMBERVALUE(B228)&lt;=39),"Q3",_xlfn.NUMBERVALUE(B228)&gt;39,"Q4")</f>
        <v>Q1</v>
      </c>
      <c r="D228" s="448">
        <f t="shared" si="27"/>
        <v>45395</v>
      </c>
      <c r="E228" s="448">
        <f t="shared" si="23"/>
        <v>45401</v>
      </c>
      <c r="F228" s="97">
        <v>202412</v>
      </c>
      <c r="G228" s="103">
        <v>98637</v>
      </c>
      <c r="H228" s="429">
        <v>85889</v>
      </c>
      <c r="I228" s="429">
        <v>74253</v>
      </c>
      <c r="J228" s="214">
        <f t="shared" si="24"/>
        <v>258779</v>
      </c>
      <c r="K228" s="103">
        <v>71158</v>
      </c>
      <c r="L228" s="429">
        <v>61478</v>
      </c>
      <c r="M228" s="429">
        <v>64218</v>
      </c>
      <c r="N228" s="214">
        <f t="shared" si="25"/>
        <v>196854</v>
      </c>
      <c r="O228" s="110">
        <v>69878</v>
      </c>
      <c r="P228" s="430">
        <v>89980</v>
      </c>
      <c r="Q228" s="430">
        <v>52332</v>
      </c>
      <c r="R228" s="301">
        <f t="shared" si="26"/>
        <v>212190</v>
      </c>
    </row>
    <row r="229" spans="1:18" ht="16.350000000000001" customHeight="1">
      <c r="A229" s="175">
        <f t="shared" si="21"/>
        <v>2025</v>
      </c>
      <c r="B229" s="454" t="str">
        <f t="shared" si="22"/>
        <v>13</v>
      </c>
      <c r="C229" s="454" t="str">
        <f t="array" ref="C229">_xlfn.IFS(_xlfn.NUMBERVALUE(B229)&lt;=13,"Q1",AND(_xlfn.NUMBERVALUE(B229)&gt;13,_xlfn.NUMBERVALUE(B229)&lt;=26),"Q2", AND(_xlfn.NUMBERVALUE(B229)&gt;26,_xlfn.NUMBERVALUE(B229)&lt;=39),"Q3",_xlfn.NUMBERVALUE(B229)&gt;39,"Q4")</f>
        <v>Q1</v>
      </c>
      <c r="D229" s="448">
        <f t="shared" si="27"/>
        <v>45402</v>
      </c>
      <c r="E229" s="448">
        <f t="shared" si="23"/>
        <v>45408</v>
      </c>
      <c r="F229" s="97">
        <v>202413</v>
      </c>
      <c r="G229" s="103">
        <v>90391</v>
      </c>
      <c r="H229" s="429">
        <v>81527</v>
      </c>
      <c r="I229" s="429">
        <v>65742</v>
      </c>
      <c r="J229" s="214">
        <f t="shared" si="24"/>
        <v>237660</v>
      </c>
      <c r="K229" s="103">
        <v>59593</v>
      </c>
      <c r="L229" s="429">
        <v>98674</v>
      </c>
      <c r="M229" s="429">
        <v>64280</v>
      </c>
      <c r="N229" s="214">
        <f t="shared" si="25"/>
        <v>222547</v>
      </c>
      <c r="O229" s="110">
        <v>83310</v>
      </c>
      <c r="P229" s="430">
        <v>93377</v>
      </c>
      <c r="Q229" s="430">
        <v>62708</v>
      </c>
      <c r="R229" s="301">
        <f t="shared" si="26"/>
        <v>239395</v>
      </c>
    </row>
    <row r="230" spans="1:18" ht="16.350000000000001" customHeight="1">
      <c r="A230" s="175">
        <f t="shared" si="21"/>
        <v>2025</v>
      </c>
      <c r="B230" s="454" t="str">
        <f t="shared" si="22"/>
        <v>14</v>
      </c>
      <c r="C230" s="454" t="str">
        <f t="array" ref="C230">_xlfn.IFS(_xlfn.NUMBERVALUE(B230)&lt;=13,"Q1",AND(_xlfn.NUMBERVALUE(B230)&gt;13,_xlfn.NUMBERVALUE(B230)&lt;=26),"Q2", AND(_xlfn.NUMBERVALUE(B230)&gt;26,_xlfn.NUMBERVALUE(B230)&lt;=39),"Q3",_xlfn.NUMBERVALUE(B230)&gt;39,"Q4")</f>
        <v>Q2</v>
      </c>
      <c r="D230" s="448">
        <f t="shared" si="27"/>
        <v>45409</v>
      </c>
      <c r="E230" s="448">
        <f t="shared" si="23"/>
        <v>45415</v>
      </c>
      <c r="F230" s="97">
        <v>202414</v>
      </c>
      <c r="G230" s="103">
        <v>73184</v>
      </c>
      <c r="H230" s="429">
        <v>97960</v>
      </c>
      <c r="I230" s="429">
        <v>62758</v>
      </c>
      <c r="J230" s="214">
        <f t="shared" si="24"/>
        <v>233902</v>
      </c>
      <c r="K230" s="103">
        <v>83573</v>
      </c>
      <c r="L230" s="429">
        <v>99129</v>
      </c>
      <c r="M230" s="429">
        <v>75877</v>
      </c>
      <c r="N230" s="214">
        <f t="shared" si="25"/>
        <v>258579</v>
      </c>
      <c r="O230" s="110">
        <v>64708</v>
      </c>
      <c r="P230" s="430">
        <v>69951</v>
      </c>
      <c r="Q230" s="430">
        <v>60875</v>
      </c>
      <c r="R230" s="301">
        <f t="shared" si="26"/>
        <v>195534</v>
      </c>
    </row>
    <row r="231" spans="1:18" ht="16.350000000000001" customHeight="1">
      <c r="A231" s="175">
        <f t="shared" si="21"/>
        <v>2025</v>
      </c>
      <c r="B231" s="454" t="str">
        <f t="shared" si="22"/>
        <v>15</v>
      </c>
      <c r="C231" s="454" t="str">
        <f t="array" ref="C231">_xlfn.IFS(_xlfn.NUMBERVALUE(B231)&lt;=13,"Q1",AND(_xlfn.NUMBERVALUE(B231)&gt;13,_xlfn.NUMBERVALUE(B231)&lt;=26),"Q2", AND(_xlfn.NUMBERVALUE(B231)&gt;26,_xlfn.NUMBERVALUE(B231)&lt;=39),"Q3",_xlfn.NUMBERVALUE(B231)&gt;39,"Q4")</f>
        <v>Q2</v>
      </c>
      <c r="D231" s="448">
        <f t="shared" si="27"/>
        <v>45416</v>
      </c>
      <c r="E231" s="448">
        <f t="shared" si="23"/>
        <v>45422</v>
      </c>
      <c r="F231" s="97">
        <v>202415</v>
      </c>
      <c r="G231" s="103">
        <v>57043</v>
      </c>
      <c r="H231" s="429">
        <v>78535</v>
      </c>
      <c r="I231" s="429">
        <v>62953</v>
      </c>
      <c r="J231" s="214">
        <f t="shared" si="24"/>
        <v>198531</v>
      </c>
      <c r="K231" s="103">
        <v>92114</v>
      </c>
      <c r="L231" s="429">
        <v>77639</v>
      </c>
      <c r="M231" s="429">
        <v>64697</v>
      </c>
      <c r="N231" s="214">
        <f t="shared" si="25"/>
        <v>234450</v>
      </c>
      <c r="O231" s="110">
        <v>84155</v>
      </c>
      <c r="P231" s="430">
        <v>64518</v>
      </c>
      <c r="Q231" s="430">
        <v>72192</v>
      </c>
      <c r="R231" s="301">
        <f t="shared" si="26"/>
        <v>220865</v>
      </c>
    </row>
    <row r="232" spans="1:18" ht="16.350000000000001" customHeight="1">
      <c r="A232" s="175">
        <f t="shared" si="21"/>
        <v>2025</v>
      </c>
      <c r="B232" s="454" t="str">
        <f t="shared" si="22"/>
        <v>16</v>
      </c>
      <c r="C232" s="454" t="str">
        <f t="array" ref="C232">_xlfn.IFS(_xlfn.NUMBERVALUE(B232)&lt;=13,"Q1",AND(_xlfn.NUMBERVALUE(B232)&gt;13,_xlfn.NUMBERVALUE(B232)&lt;=26),"Q2", AND(_xlfn.NUMBERVALUE(B232)&gt;26,_xlfn.NUMBERVALUE(B232)&lt;=39),"Q3",_xlfn.NUMBERVALUE(B232)&gt;39,"Q4")</f>
        <v>Q2</v>
      </c>
      <c r="D232" s="448">
        <f t="shared" si="27"/>
        <v>45423</v>
      </c>
      <c r="E232" s="448">
        <f t="shared" si="23"/>
        <v>45429</v>
      </c>
      <c r="F232" s="97">
        <v>202416</v>
      </c>
      <c r="G232" s="103">
        <v>50675</v>
      </c>
      <c r="H232" s="429">
        <v>87882</v>
      </c>
      <c r="I232" s="429">
        <v>64521</v>
      </c>
      <c r="J232" s="214">
        <f t="shared" si="24"/>
        <v>203078</v>
      </c>
      <c r="K232" s="103">
        <v>61157</v>
      </c>
      <c r="L232" s="429">
        <v>74430</v>
      </c>
      <c r="M232" s="429">
        <v>63791</v>
      </c>
      <c r="N232" s="214">
        <f t="shared" si="25"/>
        <v>199378</v>
      </c>
      <c r="O232" s="110">
        <v>88835</v>
      </c>
      <c r="P232" s="430">
        <v>99387</v>
      </c>
      <c r="Q232" s="430">
        <v>86773</v>
      </c>
      <c r="R232" s="301">
        <f t="shared" si="26"/>
        <v>274995</v>
      </c>
    </row>
    <row r="233" spans="1:18" ht="16.350000000000001" customHeight="1">
      <c r="A233" s="175">
        <f t="shared" si="21"/>
        <v>2025</v>
      </c>
      <c r="B233" s="454" t="str">
        <f t="shared" si="22"/>
        <v>17</v>
      </c>
      <c r="C233" s="454" t="str">
        <f t="array" ref="C233">_xlfn.IFS(_xlfn.NUMBERVALUE(B233)&lt;=13,"Q1",AND(_xlfn.NUMBERVALUE(B233)&gt;13,_xlfn.NUMBERVALUE(B233)&lt;=26),"Q2", AND(_xlfn.NUMBERVALUE(B233)&gt;26,_xlfn.NUMBERVALUE(B233)&lt;=39),"Q3",_xlfn.NUMBERVALUE(B233)&gt;39,"Q4")</f>
        <v>Q2</v>
      </c>
      <c r="D233" s="448">
        <f t="shared" si="27"/>
        <v>45430</v>
      </c>
      <c r="E233" s="448">
        <f t="shared" si="23"/>
        <v>45436</v>
      </c>
      <c r="F233" s="97">
        <v>202417</v>
      </c>
      <c r="G233" s="103">
        <v>96787</v>
      </c>
      <c r="H233" s="429">
        <v>64069</v>
      </c>
      <c r="I233" s="429">
        <v>50086</v>
      </c>
      <c r="J233" s="214">
        <f t="shared" si="24"/>
        <v>210942</v>
      </c>
      <c r="K233" s="103">
        <v>90809</v>
      </c>
      <c r="L233" s="429">
        <v>84855</v>
      </c>
      <c r="M233" s="429">
        <v>97819</v>
      </c>
      <c r="N233" s="214">
        <f t="shared" si="25"/>
        <v>273483</v>
      </c>
      <c r="O233" s="110">
        <v>79541</v>
      </c>
      <c r="P233" s="430">
        <v>68967</v>
      </c>
      <c r="Q233" s="430">
        <v>96511</v>
      </c>
      <c r="R233" s="301">
        <f t="shared" si="26"/>
        <v>245019</v>
      </c>
    </row>
    <row r="234" spans="1:18" ht="16.350000000000001" customHeight="1">
      <c r="A234" s="175">
        <f t="shared" si="21"/>
        <v>2025</v>
      </c>
      <c r="B234" s="454" t="str">
        <f t="shared" si="22"/>
        <v>18</v>
      </c>
      <c r="C234" s="454" t="str">
        <f t="array" ref="C234">_xlfn.IFS(_xlfn.NUMBERVALUE(B234)&lt;=13,"Q1",AND(_xlfn.NUMBERVALUE(B234)&gt;13,_xlfn.NUMBERVALUE(B234)&lt;=26),"Q2", AND(_xlfn.NUMBERVALUE(B234)&gt;26,_xlfn.NUMBERVALUE(B234)&lt;=39),"Q3",_xlfn.NUMBERVALUE(B234)&gt;39,"Q4")</f>
        <v>Q2</v>
      </c>
      <c r="D234" s="448">
        <f t="shared" si="27"/>
        <v>45437</v>
      </c>
      <c r="E234" s="448">
        <f t="shared" si="23"/>
        <v>45443</v>
      </c>
      <c r="F234" s="97">
        <v>202418</v>
      </c>
      <c r="G234" s="103">
        <v>59341</v>
      </c>
      <c r="H234" s="429">
        <v>78785</v>
      </c>
      <c r="I234" s="429">
        <v>80565</v>
      </c>
      <c r="J234" s="214">
        <f t="shared" si="24"/>
        <v>218691</v>
      </c>
      <c r="K234" s="103">
        <v>85169</v>
      </c>
      <c r="L234" s="429">
        <v>73916</v>
      </c>
      <c r="M234" s="429">
        <v>93427</v>
      </c>
      <c r="N234" s="214">
        <f t="shared" si="25"/>
        <v>252512</v>
      </c>
      <c r="O234" s="110">
        <v>81460</v>
      </c>
      <c r="P234" s="430">
        <v>85096</v>
      </c>
      <c r="Q234" s="430">
        <v>53430</v>
      </c>
      <c r="R234" s="301">
        <f t="shared" si="26"/>
        <v>219986</v>
      </c>
    </row>
    <row r="235" spans="1:18" ht="16.350000000000001" customHeight="1">
      <c r="A235" s="175">
        <f t="shared" si="21"/>
        <v>2025</v>
      </c>
      <c r="B235" s="454" t="str">
        <f t="shared" si="22"/>
        <v>19</v>
      </c>
      <c r="C235" s="454" t="str">
        <f t="array" ref="C235">_xlfn.IFS(_xlfn.NUMBERVALUE(B235)&lt;=13,"Q1",AND(_xlfn.NUMBERVALUE(B235)&gt;13,_xlfn.NUMBERVALUE(B235)&lt;=26),"Q2", AND(_xlfn.NUMBERVALUE(B235)&gt;26,_xlfn.NUMBERVALUE(B235)&lt;=39),"Q3",_xlfn.NUMBERVALUE(B235)&gt;39,"Q4")</f>
        <v>Q2</v>
      </c>
      <c r="D235" s="448">
        <f t="shared" si="27"/>
        <v>45444</v>
      </c>
      <c r="E235" s="448">
        <f t="shared" si="23"/>
        <v>45450</v>
      </c>
      <c r="F235" s="97">
        <v>202419</v>
      </c>
      <c r="G235" s="103">
        <v>79805</v>
      </c>
      <c r="H235" s="429">
        <v>63501</v>
      </c>
      <c r="I235" s="429">
        <v>87711</v>
      </c>
      <c r="J235" s="214">
        <f t="shared" si="24"/>
        <v>231017</v>
      </c>
      <c r="K235" s="103">
        <v>78012</v>
      </c>
      <c r="L235" s="429">
        <v>52974</v>
      </c>
      <c r="M235" s="429">
        <v>84642</v>
      </c>
      <c r="N235" s="214">
        <f t="shared" si="25"/>
        <v>215628</v>
      </c>
      <c r="O235" s="110">
        <v>97406</v>
      </c>
      <c r="P235" s="430">
        <v>97229</v>
      </c>
      <c r="Q235" s="430">
        <v>75765</v>
      </c>
      <c r="R235" s="301">
        <f t="shared" si="26"/>
        <v>270400</v>
      </c>
    </row>
    <row r="236" spans="1:18" ht="16.350000000000001" customHeight="1">
      <c r="A236" s="175">
        <f t="shared" si="21"/>
        <v>2025</v>
      </c>
      <c r="B236" s="454" t="str">
        <f t="shared" si="22"/>
        <v>20</v>
      </c>
      <c r="C236" s="454" t="str">
        <f t="array" ref="C236">_xlfn.IFS(_xlfn.NUMBERVALUE(B236)&lt;=13,"Q1",AND(_xlfn.NUMBERVALUE(B236)&gt;13,_xlfn.NUMBERVALUE(B236)&lt;=26),"Q2", AND(_xlfn.NUMBERVALUE(B236)&gt;26,_xlfn.NUMBERVALUE(B236)&lt;=39),"Q3",_xlfn.NUMBERVALUE(B236)&gt;39,"Q4")</f>
        <v>Q2</v>
      </c>
      <c r="D236" s="448">
        <f t="shared" si="27"/>
        <v>45451</v>
      </c>
      <c r="E236" s="448">
        <f t="shared" si="23"/>
        <v>45457</v>
      </c>
      <c r="F236" s="97">
        <v>202420</v>
      </c>
      <c r="G236" s="103">
        <v>53861</v>
      </c>
      <c r="H236" s="429">
        <v>54315</v>
      </c>
      <c r="I236" s="429">
        <v>63505</v>
      </c>
      <c r="J236" s="214">
        <f t="shared" si="24"/>
        <v>171681</v>
      </c>
      <c r="K236" s="103">
        <v>86592</v>
      </c>
      <c r="L236" s="429">
        <v>66199</v>
      </c>
      <c r="M236" s="429">
        <v>95649</v>
      </c>
      <c r="N236" s="214">
        <f t="shared" si="25"/>
        <v>248440</v>
      </c>
      <c r="O236" s="110">
        <v>58611</v>
      </c>
      <c r="P236" s="430">
        <v>89506</v>
      </c>
      <c r="Q236" s="430">
        <v>84887</v>
      </c>
      <c r="R236" s="301">
        <f t="shared" si="26"/>
        <v>233004</v>
      </c>
    </row>
    <row r="237" spans="1:18" ht="16.350000000000001" customHeight="1">
      <c r="A237" s="175">
        <f t="shared" si="21"/>
        <v>2025</v>
      </c>
      <c r="B237" s="454" t="str">
        <f t="shared" si="22"/>
        <v>21</v>
      </c>
      <c r="C237" s="454" t="str">
        <f t="array" ref="C237">_xlfn.IFS(_xlfn.NUMBERVALUE(B237)&lt;=13,"Q1",AND(_xlfn.NUMBERVALUE(B237)&gt;13,_xlfn.NUMBERVALUE(B237)&lt;=26),"Q2", AND(_xlfn.NUMBERVALUE(B237)&gt;26,_xlfn.NUMBERVALUE(B237)&lt;=39),"Q3",_xlfn.NUMBERVALUE(B237)&gt;39,"Q4")</f>
        <v>Q2</v>
      </c>
      <c r="D237" s="448">
        <f t="shared" si="27"/>
        <v>45458</v>
      </c>
      <c r="E237" s="448">
        <f t="shared" si="23"/>
        <v>45464</v>
      </c>
      <c r="F237" s="97">
        <v>202421</v>
      </c>
      <c r="G237" s="103">
        <v>58531</v>
      </c>
      <c r="H237" s="429">
        <v>83541</v>
      </c>
      <c r="I237" s="429">
        <v>86601</v>
      </c>
      <c r="J237" s="214">
        <f t="shared" si="24"/>
        <v>228673</v>
      </c>
      <c r="K237" s="103">
        <v>69063</v>
      </c>
      <c r="L237" s="429">
        <v>73771</v>
      </c>
      <c r="M237" s="429">
        <v>89467</v>
      </c>
      <c r="N237" s="214">
        <f t="shared" si="25"/>
        <v>232301</v>
      </c>
      <c r="O237" s="110">
        <v>94460</v>
      </c>
      <c r="P237" s="430">
        <v>52592</v>
      </c>
      <c r="Q237" s="430">
        <v>61645</v>
      </c>
      <c r="R237" s="301">
        <f t="shared" si="26"/>
        <v>208697</v>
      </c>
    </row>
    <row r="238" spans="1:18" ht="16.350000000000001" customHeight="1">
      <c r="A238" s="175">
        <f t="shared" si="21"/>
        <v>2025</v>
      </c>
      <c r="B238" s="454" t="str">
        <f t="shared" si="22"/>
        <v>22</v>
      </c>
      <c r="C238" s="454" t="str">
        <f t="array" ref="C238">_xlfn.IFS(_xlfn.NUMBERVALUE(B238)&lt;=13,"Q1",AND(_xlfn.NUMBERVALUE(B238)&gt;13,_xlfn.NUMBERVALUE(B238)&lt;=26),"Q2", AND(_xlfn.NUMBERVALUE(B238)&gt;26,_xlfn.NUMBERVALUE(B238)&lt;=39),"Q3",_xlfn.NUMBERVALUE(B238)&gt;39,"Q4")</f>
        <v>Q2</v>
      </c>
      <c r="D238" s="448">
        <f t="shared" si="27"/>
        <v>45465</v>
      </c>
      <c r="E238" s="448">
        <f t="shared" si="23"/>
        <v>45471</v>
      </c>
      <c r="F238" s="97">
        <v>202422</v>
      </c>
      <c r="G238" s="103">
        <v>91825</v>
      </c>
      <c r="H238" s="429">
        <v>65944</v>
      </c>
      <c r="I238" s="429">
        <v>93127</v>
      </c>
      <c r="J238" s="214">
        <f t="shared" si="24"/>
        <v>250896</v>
      </c>
      <c r="K238" s="103">
        <v>57824</v>
      </c>
      <c r="L238" s="429">
        <v>66653</v>
      </c>
      <c r="M238" s="429">
        <v>56972</v>
      </c>
      <c r="N238" s="214">
        <f t="shared" si="25"/>
        <v>181449</v>
      </c>
      <c r="O238" s="110">
        <v>71465</v>
      </c>
      <c r="P238" s="430">
        <v>57751</v>
      </c>
      <c r="Q238" s="430">
        <v>86393</v>
      </c>
      <c r="R238" s="301">
        <f t="shared" si="26"/>
        <v>215609</v>
      </c>
    </row>
    <row r="239" spans="1:18" ht="16.350000000000001" customHeight="1">
      <c r="A239" s="175">
        <f t="shared" si="21"/>
        <v>2025</v>
      </c>
      <c r="B239" s="454" t="str">
        <f t="shared" si="22"/>
        <v>23</v>
      </c>
      <c r="C239" s="454" t="str">
        <f t="array" ref="C239">_xlfn.IFS(_xlfn.NUMBERVALUE(B239)&lt;=13,"Q1",AND(_xlfn.NUMBERVALUE(B239)&gt;13,_xlfn.NUMBERVALUE(B239)&lt;=26),"Q2", AND(_xlfn.NUMBERVALUE(B239)&gt;26,_xlfn.NUMBERVALUE(B239)&lt;=39),"Q3",_xlfn.NUMBERVALUE(B239)&gt;39,"Q4")</f>
        <v>Q2</v>
      </c>
      <c r="D239" s="448">
        <f t="shared" si="27"/>
        <v>45472</v>
      </c>
      <c r="E239" s="448">
        <f t="shared" si="23"/>
        <v>45478</v>
      </c>
      <c r="F239" s="97">
        <v>202423</v>
      </c>
      <c r="G239" s="103">
        <v>90442</v>
      </c>
      <c r="H239" s="429">
        <v>87962</v>
      </c>
      <c r="I239" s="429">
        <v>83358</v>
      </c>
      <c r="J239" s="214">
        <f t="shared" si="24"/>
        <v>261762</v>
      </c>
      <c r="K239" s="103">
        <v>96292</v>
      </c>
      <c r="L239" s="429">
        <v>75156</v>
      </c>
      <c r="M239" s="429">
        <v>50577</v>
      </c>
      <c r="N239" s="214">
        <f t="shared" si="25"/>
        <v>222025</v>
      </c>
      <c r="O239" s="110">
        <v>84559</v>
      </c>
      <c r="P239" s="430">
        <v>80536</v>
      </c>
      <c r="Q239" s="430">
        <v>91604</v>
      </c>
      <c r="R239" s="301">
        <f t="shared" si="26"/>
        <v>256699</v>
      </c>
    </row>
    <row r="240" spans="1:18" ht="16.350000000000001" customHeight="1">
      <c r="A240" s="175">
        <f t="shared" si="21"/>
        <v>2025</v>
      </c>
      <c r="B240" s="454" t="str">
        <f t="shared" si="22"/>
        <v>24</v>
      </c>
      <c r="C240" s="454" t="str">
        <f t="array" ref="C240">_xlfn.IFS(_xlfn.NUMBERVALUE(B240)&lt;=13,"Q1",AND(_xlfn.NUMBERVALUE(B240)&gt;13,_xlfn.NUMBERVALUE(B240)&lt;=26),"Q2", AND(_xlfn.NUMBERVALUE(B240)&gt;26,_xlfn.NUMBERVALUE(B240)&lt;=39),"Q3",_xlfn.NUMBERVALUE(B240)&gt;39,"Q4")</f>
        <v>Q2</v>
      </c>
      <c r="D240" s="448">
        <f t="shared" si="27"/>
        <v>45479</v>
      </c>
      <c r="E240" s="448">
        <f t="shared" si="23"/>
        <v>45485</v>
      </c>
      <c r="F240" s="97">
        <v>202424</v>
      </c>
      <c r="G240" s="103">
        <v>91641</v>
      </c>
      <c r="H240" s="429">
        <v>75545</v>
      </c>
      <c r="I240" s="429">
        <v>59895</v>
      </c>
      <c r="J240" s="214">
        <f t="shared" si="24"/>
        <v>227081</v>
      </c>
      <c r="K240" s="103">
        <v>68169</v>
      </c>
      <c r="L240" s="429">
        <v>51357</v>
      </c>
      <c r="M240" s="429">
        <v>71545</v>
      </c>
      <c r="N240" s="214">
        <f t="shared" si="25"/>
        <v>191071</v>
      </c>
      <c r="O240" s="110">
        <v>50438</v>
      </c>
      <c r="P240" s="430">
        <v>77936</v>
      </c>
      <c r="Q240" s="430">
        <v>99279</v>
      </c>
      <c r="R240" s="301">
        <f t="shared" si="26"/>
        <v>227653</v>
      </c>
    </row>
    <row r="241" spans="1:18" ht="16.350000000000001" customHeight="1">
      <c r="A241" s="175">
        <f t="shared" si="21"/>
        <v>2025</v>
      </c>
      <c r="B241" s="454" t="str">
        <f t="shared" si="22"/>
        <v>25</v>
      </c>
      <c r="C241" s="454" t="str">
        <f t="array" ref="C241">_xlfn.IFS(_xlfn.NUMBERVALUE(B241)&lt;=13,"Q1",AND(_xlfn.NUMBERVALUE(B241)&gt;13,_xlfn.NUMBERVALUE(B241)&lt;=26),"Q2", AND(_xlfn.NUMBERVALUE(B241)&gt;26,_xlfn.NUMBERVALUE(B241)&lt;=39),"Q3",_xlfn.NUMBERVALUE(B241)&gt;39,"Q4")</f>
        <v>Q2</v>
      </c>
      <c r="D241" s="448">
        <f t="shared" si="27"/>
        <v>45486</v>
      </c>
      <c r="E241" s="448">
        <f t="shared" si="23"/>
        <v>45492</v>
      </c>
      <c r="F241" s="97">
        <v>202425</v>
      </c>
      <c r="G241" s="103">
        <v>61495</v>
      </c>
      <c r="H241" s="429">
        <v>60242</v>
      </c>
      <c r="I241" s="429">
        <v>78400</v>
      </c>
      <c r="J241" s="214">
        <f t="shared" si="24"/>
        <v>200137</v>
      </c>
      <c r="K241" s="103">
        <v>78560</v>
      </c>
      <c r="L241" s="429">
        <v>79997</v>
      </c>
      <c r="M241" s="429">
        <v>50249</v>
      </c>
      <c r="N241" s="214">
        <f t="shared" si="25"/>
        <v>208806</v>
      </c>
      <c r="O241" s="110">
        <v>95862</v>
      </c>
      <c r="P241" s="430">
        <v>77184</v>
      </c>
      <c r="Q241" s="430">
        <v>64463</v>
      </c>
      <c r="R241" s="301">
        <f t="shared" si="26"/>
        <v>237509</v>
      </c>
    </row>
    <row r="242" spans="1:18" ht="16.350000000000001" customHeight="1">
      <c r="A242" s="175">
        <f t="shared" si="21"/>
        <v>2025</v>
      </c>
      <c r="B242" s="454" t="str">
        <f t="shared" si="22"/>
        <v>26</v>
      </c>
      <c r="C242" s="454" t="str">
        <f t="array" ref="C242">_xlfn.IFS(_xlfn.NUMBERVALUE(B242)&lt;=13,"Q1",AND(_xlfn.NUMBERVALUE(B242)&gt;13,_xlfn.NUMBERVALUE(B242)&lt;=26),"Q2", AND(_xlfn.NUMBERVALUE(B242)&gt;26,_xlfn.NUMBERVALUE(B242)&lt;=39),"Q3",_xlfn.NUMBERVALUE(B242)&gt;39,"Q4")</f>
        <v>Q2</v>
      </c>
      <c r="D242" s="448">
        <f t="shared" si="27"/>
        <v>45493</v>
      </c>
      <c r="E242" s="448">
        <f t="shared" si="23"/>
        <v>45499</v>
      </c>
      <c r="F242" s="97">
        <v>202426</v>
      </c>
      <c r="G242" s="103">
        <v>81572</v>
      </c>
      <c r="H242" s="429">
        <v>55212</v>
      </c>
      <c r="I242" s="429">
        <v>57176</v>
      </c>
      <c r="J242" s="214">
        <f t="shared" si="24"/>
        <v>193960</v>
      </c>
      <c r="K242" s="103">
        <v>71214</v>
      </c>
      <c r="L242" s="429">
        <v>62885</v>
      </c>
      <c r="M242" s="429">
        <v>73144</v>
      </c>
      <c r="N242" s="214">
        <f t="shared" si="25"/>
        <v>207243</v>
      </c>
      <c r="O242" s="110">
        <v>81710</v>
      </c>
      <c r="P242" s="430">
        <v>85917</v>
      </c>
      <c r="Q242" s="430">
        <v>58880</v>
      </c>
      <c r="R242" s="301">
        <f t="shared" si="26"/>
        <v>226507</v>
      </c>
    </row>
    <row r="243" spans="1:18" ht="16.350000000000001" customHeight="1">
      <c r="A243" s="175">
        <f t="shared" si="21"/>
        <v>2025</v>
      </c>
      <c r="B243" s="454" t="str">
        <f t="shared" si="22"/>
        <v>27</v>
      </c>
      <c r="C243" s="454" t="str">
        <f t="array" ref="C243">_xlfn.IFS(_xlfn.NUMBERVALUE(B243)&lt;=13,"Q1",AND(_xlfn.NUMBERVALUE(B243)&gt;13,_xlfn.NUMBERVALUE(B243)&lt;=26),"Q2", AND(_xlfn.NUMBERVALUE(B243)&gt;26,_xlfn.NUMBERVALUE(B243)&lt;=39),"Q3",_xlfn.NUMBERVALUE(B243)&gt;39,"Q4")</f>
        <v>Q3</v>
      </c>
      <c r="D243" s="448">
        <f t="shared" si="27"/>
        <v>45500</v>
      </c>
      <c r="E243" s="448">
        <f t="shared" si="23"/>
        <v>45506</v>
      </c>
      <c r="F243" s="97">
        <v>202427</v>
      </c>
      <c r="G243" s="103">
        <v>70229</v>
      </c>
      <c r="H243" s="429">
        <v>56168</v>
      </c>
      <c r="I243" s="429">
        <v>79896</v>
      </c>
      <c r="J243" s="214">
        <f t="shared" si="24"/>
        <v>206293</v>
      </c>
      <c r="K243" s="103">
        <v>63082</v>
      </c>
      <c r="L243" s="429">
        <v>67843</v>
      </c>
      <c r="M243" s="429">
        <v>52217</v>
      </c>
      <c r="N243" s="214">
        <f t="shared" si="25"/>
        <v>183142</v>
      </c>
      <c r="O243" s="110">
        <v>79738</v>
      </c>
      <c r="P243" s="430">
        <v>62246</v>
      </c>
      <c r="Q243" s="430">
        <v>89266</v>
      </c>
      <c r="R243" s="301">
        <f t="shared" si="26"/>
        <v>231250</v>
      </c>
    </row>
    <row r="244" spans="1:18" ht="16.350000000000001" customHeight="1">
      <c r="A244" s="175">
        <f t="shared" si="21"/>
        <v>2025</v>
      </c>
      <c r="B244" s="454" t="str">
        <f t="shared" si="22"/>
        <v>28</v>
      </c>
      <c r="C244" s="454" t="str">
        <f t="array" ref="C244">_xlfn.IFS(_xlfn.NUMBERVALUE(B244)&lt;=13,"Q1",AND(_xlfn.NUMBERVALUE(B244)&gt;13,_xlfn.NUMBERVALUE(B244)&lt;=26),"Q2", AND(_xlfn.NUMBERVALUE(B244)&gt;26,_xlfn.NUMBERVALUE(B244)&lt;=39),"Q3",_xlfn.NUMBERVALUE(B244)&gt;39,"Q4")</f>
        <v>Q3</v>
      </c>
      <c r="D244" s="448">
        <f t="shared" si="27"/>
        <v>45507</v>
      </c>
      <c r="E244" s="448">
        <f t="shared" si="23"/>
        <v>45513</v>
      </c>
      <c r="F244" s="97">
        <v>202428</v>
      </c>
      <c r="G244" s="103">
        <v>79066</v>
      </c>
      <c r="H244" s="429">
        <v>50967</v>
      </c>
      <c r="I244" s="429">
        <v>51014</v>
      </c>
      <c r="J244" s="214">
        <f t="shared" si="24"/>
        <v>181047</v>
      </c>
      <c r="K244" s="103">
        <v>73219</v>
      </c>
      <c r="L244" s="429">
        <v>71469</v>
      </c>
      <c r="M244" s="429">
        <v>90440</v>
      </c>
      <c r="N244" s="214">
        <f t="shared" si="25"/>
        <v>235128</v>
      </c>
      <c r="O244" s="110">
        <v>66121</v>
      </c>
      <c r="P244" s="430">
        <v>86215</v>
      </c>
      <c r="Q244" s="430">
        <v>59569</v>
      </c>
      <c r="R244" s="301">
        <f t="shared" si="26"/>
        <v>211905</v>
      </c>
    </row>
    <row r="245" spans="1:18" ht="16.350000000000001" customHeight="1">
      <c r="A245" s="175">
        <f t="shared" si="21"/>
        <v>2025</v>
      </c>
      <c r="B245" s="454" t="str">
        <f t="shared" si="22"/>
        <v>29</v>
      </c>
      <c r="C245" s="454" t="str">
        <f t="array" ref="C245">_xlfn.IFS(_xlfn.NUMBERVALUE(B245)&lt;=13,"Q1",AND(_xlfn.NUMBERVALUE(B245)&gt;13,_xlfn.NUMBERVALUE(B245)&lt;=26),"Q2", AND(_xlfn.NUMBERVALUE(B245)&gt;26,_xlfn.NUMBERVALUE(B245)&lt;=39),"Q3",_xlfn.NUMBERVALUE(B245)&gt;39,"Q4")</f>
        <v>Q3</v>
      </c>
      <c r="D245" s="448">
        <f t="shared" si="27"/>
        <v>45514</v>
      </c>
      <c r="E245" s="448">
        <f t="shared" si="23"/>
        <v>45520</v>
      </c>
      <c r="F245" s="97">
        <v>202429</v>
      </c>
      <c r="G245" s="103">
        <v>68801</v>
      </c>
      <c r="H245" s="429">
        <v>66888</v>
      </c>
      <c r="I245" s="429">
        <v>88007</v>
      </c>
      <c r="J245" s="214">
        <f t="shared" si="24"/>
        <v>223696</v>
      </c>
      <c r="K245" s="103">
        <v>77012</v>
      </c>
      <c r="L245" s="429">
        <v>98118</v>
      </c>
      <c r="M245" s="429">
        <v>82652</v>
      </c>
      <c r="N245" s="214">
        <f t="shared" si="25"/>
        <v>257782</v>
      </c>
      <c r="O245" s="110">
        <v>92691</v>
      </c>
      <c r="P245" s="430">
        <v>71914</v>
      </c>
      <c r="Q245" s="430">
        <v>69672</v>
      </c>
      <c r="R245" s="301">
        <f t="shared" si="26"/>
        <v>234277</v>
      </c>
    </row>
    <row r="246" spans="1:18" ht="16.350000000000001" customHeight="1">
      <c r="A246" s="175">
        <f t="shared" si="21"/>
        <v>2025</v>
      </c>
      <c r="B246" s="454" t="str">
        <f t="shared" si="22"/>
        <v>30</v>
      </c>
      <c r="C246" s="454" t="str">
        <f t="array" ref="C246">_xlfn.IFS(_xlfn.NUMBERVALUE(B246)&lt;=13,"Q1",AND(_xlfn.NUMBERVALUE(B246)&gt;13,_xlfn.NUMBERVALUE(B246)&lt;=26),"Q2", AND(_xlfn.NUMBERVALUE(B246)&gt;26,_xlfn.NUMBERVALUE(B246)&lt;=39),"Q3",_xlfn.NUMBERVALUE(B246)&gt;39,"Q4")</f>
        <v>Q3</v>
      </c>
      <c r="D246" s="448">
        <f t="shared" si="27"/>
        <v>45521</v>
      </c>
      <c r="E246" s="448">
        <f t="shared" si="23"/>
        <v>45527</v>
      </c>
      <c r="F246" s="97">
        <v>202430</v>
      </c>
      <c r="G246" s="103">
        <v>61419</v>
      </c>
      <c r="H246" s="429">
        <v>80595</v>
      </c>
      <c r="I246" s="429">
        <v>82946</v>
      </c>
      <c r="J246" s="214">
        <f t="shared" si="24"/>
        <v>224960</v>
      </c>
      <c r="K246" s="103">
        <v>55394</v>
      </c>
      <c r="L246" s="429">
        <v>61370</v>
      </c>
      <c r="M246" s="429">
        <v>52375</v>
      </c>
      <c r="N246" s="214">
        <f t="shared" si="25"/>
        <v>169139</v>
      </c>
      <c r="O246" s="110">
        <v>63068</v>
      </c>
      <c r="P246" s="430">
        <v>80452</v>
      </c>
      <c r="Q246" s="430">
        <v>94972</v>
      </c>
      <c r="R246" s="301">
        <f t="shared" si="26"/>
        <v>238492</v>
      </c>
    </row>
    <row r="247" spans="1:18" ht="16.350000000000001" customHeight="1">
      <c r="A247" s="175">
        <f t="shared" si="21"/>
        <v>2025</v>
      </c>
      <c r="B247" s="454" t="str">
        <f t="shared" si="22"/>
        <v>31</v>
      </c>
      <c r="C247" s="454" t="str">
        <f t="array" ref="C247">_xlfn.IFS(_xlfn.NUMBERVALUE(B247)&lt;=13,"Q1",AND(_xlfn.NUMBERVALUE(B247)&gt;13,_xlfn.NUMBERVALUE(B247)&lt;=26),"Q2", AND(_xlfn.NUMBERVALUE(B247)&gt;26,_xlfn.NUMBERVALUE(B247)&lt;=39),"Q3",_xlfn.NUMBERVALUE(B247)&gt;39,"Q4")</f>
        <v>Q3</v>
      </c>
      <c r="D247" s="448">
        <f t="shared" si="27"/>
        <v>45528</v>
      </c>
      <c r="E247" s="448">
        <f t="shared" si="23"/>
        <v>45534</v>
      </c>
      <c r="F247" s="97">
        <v>202431</v>
      </c>
      <c r="G247" s="103">
        <v>78284</v>
      </c>
      <c r="H247" s="429">
        <v>62178</v>
      </c>
      <c r="I247" s="429">
        <v>63328</v>
      </c>
      <c r="J247" s="214">
        <f t="shared" si="24"/>
        <v>203790</v>
      </c>
      <c r="K247" s="103">
        <v>64746</v>
      </c>
      <c r="L247" s="429">
        <v>67908</v>
      </c>
      <c r="M247" s="429">
        <v>90690</v>
      </c>
      <c r="N247" s="214">
        <f t="shared" si="25"/>
        <v>223344</v>
      </c>
      <c r="O247" s="110">
        <v>77472</v>
      </c>
      <c r="P247" s="430">
        <v>68888</v>
      </c>
      <c r="Q247" s="430">
        <v>78714</v>
      </c>
      <c r="R247" s="301">
        <f t="shared" si="26"/>
        <v>225074</v>
      </c>
    </row>
    <row r="248" spans="1:18" ht="16.350000000000001" customHeight="1">
      <c r="A248" s="175">
        <f t="shared" si="21"/>
        <v>2025</v>
      </c>
      <c r="B248" s="454" t="str">
        <f t="shared" si="22"/>
        <v>32</v>
      </c>
      <c r="C248" s="454" t="str">
        <f t="array" ref="C248">_xlfn.IFS(_xlfn.NUMBERVALUE(B248)&lt;=13,"Q1",AND(_xlfn.NUMBERVALUE(B248)&gt;13,_xlfn.NUMBERVALUE(B248)&lt;=26),"Q2", AND(_xlfn.NUMBERVALUE(B248)&gt;26,_xlfn.NUMBERVALUE(B248)&lt;=39),"Q3",_xlfn.NUMBERVALUE(B248)&gt;39,"Q4")</f>
        <v>Q3</v>
      </c>
      <c r="D248" s="448">
        <f t="shared" si="27"/>
        <v>45535</v>
      </c>
      <c r="E248" s="448">
        <f t="shared" si="23"/>
        <v>45541</v>
      </c>
      <c r="F248" s="97">
        <v>202432</v>
      </c>
      <c r="G248" s="103">
        <v>69980</v>
      </c>
      <c r="H248" s="429">
        <v>57713</v>
      </c>
      <c r="I248" s="429">
        <v>86894</v>
      </c>
      <c r="J248" s="214">
        <f t="shared" si="24"/>
        <v>214587</v>
      </c>
      <c r="K248" s="103">
        <v>68006</v>
      </c>
      <c r="L248" s="429">
        <v>63150</v>
      </c>
      <c r="M248" s="429">
        <v>52020</v>
      </c>
      <c r="N248" s="214">
        <f t="shared" si="25"/>
        <v>183176</v>
      </c>
      <c r="O248" s="110">
        <v>81311</v>
      </c>
      <c r="P248" s="430">
        <v>65968</v>
      </c>
      <c r="Q248" s="430">
        <v>64558</v>
      </c>
      <c r="R248" s="301">
        <f t="shared" si="26"/>
        <v>211837</v>
      </c>
    </row>
    <row r="249" spans="1:18" ht="16.350000000000001" customHeight="1">
      <c r="A249" s="175">
        <f t="shared" si="21"/>
        <v>2025</v>
      </c>
      <c r="B249" s="454" t="str">
        <f t="shared" si="22"/>
        <v>33</v>
      </c>
      <c r="C249" s="454" t="str">
        <f t="array" ref="C249">_xlfn.IFS(_xlfn.NUMBERVALUE(B249)&lt;=13,"Q1",AND(_xlfn.NUMBERVALUE(B249)&gt;13,_xlfn.NUMBERVALUE(B249)&lt;=26),"Q2", AND(_xlfn.NUMBERVALUE(B249)&gt;26,_xlfn.NUMBERVALUE(B249)&lt;=39),"Q3",_xlfn.NUMBERVALUE(B249)&gt;39,"Q4")</f>
        <v>Q3</v>
      </c>
      <c r="D249" s="448">
        <f t="shared" si="27"/>
        <v>45542</v>
      </c>
      <c r="E249" s="448">
        <f t="shared" si="23"/>
        <v>45548</v>
      </c>
      <c r="F249" s="97">
        <v>202433</v>
      </c>
      <c r="G249" s="103">
        <v>59321</v>
      </c>
      <c r="H249" s="429">
        <v>55089</v>
      </c>
      <c r="I249" s="429">
        <v>93556</v>
      </c>
      <c r="J249" s="214">
        <f t="shared" si="24"/>
        <v>207966</v>
      </c>
      <c r="K249" s="103">
        <v>63863</v>
      </c>
      <c r="L249" s="429">
        <v>95309</v>
      </c>
      <c r="M249" s="429">
        <v>78276</v>
      </c>
      <c r="N249" s="214">
        <f t="shared" si="25"/>
        <v>237448</v>
      </c>
      <c r="O249" s="110">
        <v>63213</v>
      </c>
      <c r="P249" s="430">
        <v>58733</v>
      </c>
      <c r="Q249" s="430">
        <v>66260</v>
      </c>
      <c r="R249" s="301">
        <f t="shared" si="26"/>
        <v>188206</v>
      </c>
    </row>
    <row r="250" spans="1:18" ht="16.350000000000001" customHeight="1">
      <c r="A250" s="175">
        <f t="shared" si="21"/>
        <v>2025</v>
      </c>
      <c r="B250" s="454" t="str">
        <f t="shared" si="22"/>
        <v>34</v>
      </c>
      <c r="C250" s="454" t="str">
        <f t="array" ref="C250">_xlfn.IFS(_xlfn.NUMBERVALUE(B250)&lt;=13,"Q1",AND(_xlfn.NUMBERVALUE(B250)&gt;13,_xlfn.NUMBERVALUE(B250)&lt;=26),"Q2", AND(_xlfn.NUMBERVALUE(B250)&gt;26,_xlfn.NUMBERVALUE(B250)&lt;=39),"Q3",_xlfn.NUMBERVALUE(B250)&gt;39,"Q4")</f>
        <v>Q3</v>
      </c>
      <c r="D250" s="448">
        <f t="shared" si="27"/>
        <v>45549</v>
      </c>
      <c r="E250" s="448">
        <f t="shared" si="23"/>
        <v>45555</v>
      </c>
      <c r="F250" s="97">
        <v>202434</v>
      </c>
      <c r="G250" s="103">
        <v>55805</v>
      </c>
      <c r="H250" s="429">
        <v>86254</v>
      </c>
      <c r="I250" s="429">
        <v>98977</v>
      </c>
      <c r="J250" s="214">
        <f t="shared" si="24"/>
        <v>241036</v>
      </c>
      <c r="K250" s="103">
        <v>87761</v>
      </c>
      <c r="L250" s="429">
        <v>81436</v>
      </c>
      <c r="M250" s="429">
        <v>71443</v>
      </c>
      <c r="N250" s="214">
        <f t="shared" si="25"/>
        <v>240640</v>
      </c>
      <c r="O250" s="110">
        <v>53805</v>
      </c>
      <c r="P250" s="430">
        <v>69867</v>
      </c>
      <c r="Q250" s="430">
        <v>76342</v>
      </c>
      <c r="R250" s="301">
        <f t="shared" si="26"/>
        <v>200014</v>
      </c>
    </row>
    <row r="251" spans="1:18" ht="16.350000000000001" customHeight="1">
      <c r="A251" s="175">
        <f t="shared" si="21"/>
        <v>2025</v>
      </c>
      <c r="B251" s="454" t="str">
        <f t="shared" si="22"/>
        <v>35</v>
      </c>
      <c r="C251" s="454" t="str">
        <f t="array" ref="C251">_xlfn.IFS(_xlfn.NUMBERVALUE(B251)&lt;=13,"Q1",AND(_xlfn.NUMBERVALUE(B251)&gt;13,_xlfn.NUMBERVALUE(B251)&lt;=26),"Q2", AND(_xlfn.NUMBERVALUE(B251)&gt;26,_xlfn.NUMBERVALUE(B251)&lt;=39),"Q3",_xlfn.NUMBERVALUE(B251)&gt;39,"Q4")</f>
        <v>Q3</v>
      </c>
      <c r="D251" s="448">
        <f t="shared" si="27"/>
        <v>45556</v>
      </c>
      <c r="E251" s="448">
        <f t="shared" si="23"/>
        <v>45562</v>
      </c>
      <c r="F251" s="97">
        <v>202435</v>
      </c>
      <c r="G251" s="103">
        <v>75573</v>
      </c>
      <c r="H251" s="429">
        <v>61828</v>
      </c>
      <c r="I251" s="429">
        <v>95464</v>
      </c>
      <c r="J251" s="214">
        <f t="shared" si="24"/>
        <v>232865</v>
      </c>
      <c r="K251" s="103">
        <v>57889</v>
      </c>
      <c r="L251" s="429">
        <v>87674</v>
      </c>
      <c r="M251" s="429">
        <v>71042</v>
      </c>
      <c r="N251" s="214">
        <f t="shared" si="25"/>
        <v>216605</v>
      </c>
      <c r="O251" s="110">
        <v>66588</v>
      </c>
      <c r="P251" s="430">
        <v>68954</v>
      </c>
      <c r="Q251" s="430">
        <v>61961</v>
      </c>
      <c r="R251" s="301">
        <f t="shared" si="26"/>
        <v>197503</v>
      </c>
    </row>
    <row r="252" spans="1:18" ht="16.350000000000001" customHeight="1">
      <c r="A252" s="175">
        <f t="shared" si="21"/>
        <v>2025</v>
      </c>
      <c r="B252" s="454" t="str">
        <f t="shared" si="22"/>
        <v>36</v>
      </c>
      <c r="C252" s="454" t="str">
        <f t="array" ref="C252">_xlfn.IFS(_xlfn.NUMBERVALUE(B252)&lt;=13,"Q1",AND(_xlfn.NUMBERVALUE(B252)&gt;13,_xlfn.NUMBERVALUE(B252)&lt;=26),"Q2", AND(_xlfn.NUMBERVALUE(B252)&gt;26,_xlfn.NUMBERVALUE(B252)&lt;=39),"Q3",_xlfn.NUMBERVALUE(B252)&gt;39,"Q4")</f>
        <v>Q3</v>
      </c>
      <c r="D252" s="448">
        <f t="shared" si="27"/>
        <v>45563</v>
      </c>
      <c r="E252" s="448">
        <f t="shared" si="23"/>
        <v>45569</v>
      </c>
      <c r="F252" s="97">
        <v>202436</v>
      </c>
      <c r="G252" s="103">
        <v>91414</v>
      </c>
      <c r="H252" s="429">
        <v>57551</v>
      </c>
      <c r="I252" s="429">
        <v>98507</v>
      </c>
      <c r="J252" s="214">
        <f t="shared" si="24"/>
        <v>247472</v>
      </c>
      <c r="K252" s="103">
        <v>98080</v>
      </c>
      <c r="L252" s="429">
        <v>66422</v>
      </c>
      <c r="M252" s="429">
        <v>66614</v>
      </c>
      <c r="N252" s="214">
        <f t="shared" si="25"/>
        <v>231116</v>
      </c>
      <c r="O252" s="110">
        <v>91428</v>
      </c>
      <c r="P252" s="430">
        <v>78681</v>
      </c>
      <c r="Q252" s="430">
        <v>87886</v>
      </c>
      <c r="R252" s="301">
        <f t="shared" si="26"/>
        <v>257995</v>
      </c>
    </row>
    <row r="253" spans="1:18" ht="16.350000000000001" customHeight="1">
      <c r="A253" s="175">
        <f t="shared" si="21"/>
        <v>2025</v>
      </c>
      <c r="B253" s="454" t="str">
        <f t="shared" si="22"/>
        <v>37</v>
      </c>
      <c r="C253" s="454" t="str">
        <f t="array" ref="C253">_xlfn.IFS(_xlfn.NUMBERVALUE(B253)&lt;=13,"Q1",AND(_xlfn.NUMBERVALUE(B253)&gt;13,_xlfn.NUMBERVALUE(B253)&lt;=26),"Q2", AND(_xlfn.NUMBERVALUE(B253)&gt;26,_xlfn.NUMBERVALUE(B253)&lt;=39),"Q3",_xlfn.NUMBERVALUE(B253)&gt;39,"Q4")</f>
        <v>Q3</v>
      </c>
      <c r="D253" s="448">
        <f t="shared" si="27"/>
        <v>45570</v>
      </c>
      <c r="E253" s="448">
        <f t="shared" si="23"/>
        <v>45576</v>
      </c>
      <c r="F253" s="97">
        <v>202437</v>
      </c>
      <c r="G253" s="103">
        <v>93436</v>
      </c>
      <c r="H253" s="429">
        <v>59724</v>
      </c>
      <c r="I253" s="429">
        <v>60961</v>
      </c>
      <c r="J253" s="214">
        <f t="shared" si="24"/>
        <v>214121</v>
      </c>
      <c r="K253" s="103">
        <v>69142</v>
      </c>
      <c r="L253" s="429">
        <v>69465</v>
      </c>
      <c r="M253" s="429">
        <v>91925</v>
      </c>
      <c r="N253" s="214">
        <f t="shared" si="25"/>
        <v>230532</v>
      </c>
      <c r="O253" s="110">
        <v>93811</v>
      </c>
      <c r="P253" s="430">
        <v>87798</v>
      </c>
      <c r="Q253" s="430">
        <v>96449</v>
      </c>
      <c r="R253" s="301">
        <f t="shared" si="26"/>
        <v>278058</v>
      </c>
    </row>
    <row r="254" spans="1:18" ht="16.350000000000001" customHeight="1">
      <c r="A254" s="175">
        <f t="shared" si="21"/>
        <v>2025</v>
      </c>
      <c r="B254" s="454" t="str">
        <f t="shared" si="22"/>
        <v>38</v>
      </c>
      <c r="C254" s="454" t="str">
        <f t="array" ref="C254">_xlfn.IFS(_xlfn.NUMBERVALUE(B254)&lt;=13,"Q1",AND(_xlfn.NUMBERVALUE(B254)&gt;13,_xlfn.NUMBERVALUE(B254)&lt;=26),"Q2", AND(_xlfn.NUMBERVALUE(B254)&gt;26,_xlfn.NUMBERVALUE(B254)&lt;=39),"Q3",_xlfn.NUMBERVALUE(B254)&gt;39,"Q4")</f>
        <v>Q3</v>
      </c>
      <c r="D254" s="448">
        <f t="shared" si="27"/>
        <v>45577</v>
      </c>
      <c r="E254" s="448">
        <f t="shared" si="23"/>
        <v>45583</v>
      </c>
      <c r="F254" s="97">
        <v>202438</v>
      </c>
      <c r="G254" s="103">
        <v>85342</v>
      </c>
      <c r="H254" s="429">
        <v>85687</v>
      </c>
      <c r="I254" s="429">
        <v>51495</v>
      </c>
      <c r="J254" s="214">
        <f t="shared" si="24"/>
        <v>222524</v>
      </c>
      <c r="K254" s="103">
        <v>72417</v>
      </c>
      <c r="L254" s="429">
        <v>85996</v>
      </c>
      <c r="M254" s="429">
        <v>66710</v>
      </c>
      <c r="N254" s="214">
        <f t="shared" si="25"/>
        <v>225123</v>
      </c>
      <c r="O254" s="110">
        <v>86331</v>
      </c>
      <c r="P254" s="430">
        <v>80795</v>
      </c>
      <c r="Q254" s="430">
        <v>97574</v>
      </c>
      <c r="R254" s="301">
        <f t="shared" si="26"/>
        <v>264700</v>
      </c>
    </row>
    <row r="255" spans="1:18" ht="16.350000000000001" customHeight="1">
      <c r="A255" s="175">
        <f t="shared" si="21"/>
        <v>2025</v>
      </c>
      <c r="B255" s="454" t="str">
        <f t="shared" si="22"/>
        <v>39</v>
      </c>
      <c r="C255" s="454" t="str">
        <f t="array" ref="C255">_xlfn.IFS(_xlfn.NUMBERVALUE(B255)&lt;=13,"Q1",AND(_xlfn.NUMBERVALUE(B255)&gt;13,_xlfn.NUMBERVALUE(B255)&lt;=26),"Q2", AND(_xlfn.NUMBERVALUE(B255)&gt;26,_xlfn.NUMBERVALUE(B255)&lt;=39),"Q3",_xlfn.NUMBERVALUE(B255)&gt;39,"Q4")</f>
        <v>Q3</v>
      </c>
      <c r="D255" s="448">
        <f t="shared" si="27"/>
        <v>45584</v>
      </c>
      <c r="E255" s="448">
        <f t="shared" si="23"/>
        <v>45590</v>
      </c>
      <c r="F255" s="97">
        <v>202439</v>
      </c>
      <c r="G255" s="103">
        <v>75395</v>
      </c>
      <c r="H255" s="429">
        <v>60585</v>
      </c>
      <c r="I255" s="429">
        <v>89472</v>
      </c>
      <c r="J255" s="214">
        <f t="shared" si="24"/>
        <v>225452</v>
      </c>
      <c r="K255" s="103">
        <v>75063</v>
      </c>
      <c r="L255" s="429">
        <v>84153</v>
      </c>
      <c r="M255" s="429">
        <v>83255</v>
      </c>
      <c r="N255" s="214">
        <f t="shared" si="25"/>
        <v>242471</v>
      </c>
      <c r="O255" s="110">
        <v>75881</v>
      </c>
      <c r="P255" s="430">
        <v>87627</v>
      </c>
      <c r="Q255" s="430">
        <v>94074</v>
      </c>
      <c r="R255" s="301">
        <f t="shared" si="26"/>
        <v>257582</v>
      </c>
    </row>
    <row r="256" spans="1:18" ht="16.350000000000001" customHeight="1">
      <c r="A256" s="175">
        <f t="shared" si="21"/>
        <v>2025</v>
      </c>
      <c r="B256" s="454" t="str">
        <f t="shared" si="22"/>
        <v>40</v>
      </c>
      <c r="C256" s="454" t="str">
        <f t="array" ref="C256">_xlfn.IFS(_xlfn.NUMBERVALUE(B256)&lt;=13,"Q1",AND(_xlfn.NUMBERVALUE(B256)&gt;13,_xlfn.NUMBERVALUE(B256)&lt;=26),"Q2", AND(_xlfn.NUMBERVALUE(B256)&gt;26,_xlfn.NUMBERVALUE(B256)&lt;=39),"Q3",_xlfn.NUMBERVALUE(B256)&gt;39,"Q4")</f>
        <v>Q4</v>
      </c>
      <c r="D256" s="448">
        <f t="shared" si="27"/>
        <v>45591</v>
      </c>
      <c r="E256" s="448">
        <f t="shared" si="23"/>
        <v>45597</v>
      </c>
      <c r="F256" s="97">
        <v>202440</v>
      </c>
      <c r="G256" s="103">
        <v>85835</v>
      </c>
      <c r="H256" s="429">
        <v>58769</v>
      </c>
      <c r="I256" s="429">
        <v>85545</v>
      </c>
      <c r="J256" s="214">
        <f t="shared" si="24"/>
        <v>230149</v>
      </c>
      <c r="K256" s="103">
        <v>56398</v>
      </c>
      <c r="L256" s="429">
        <v>92278</v>
      </c>
      <c r="M256" s="429">
        <v>99375</v>
      </c>
      <c r="N256" s="214">
        <f t="shared" si="25"/>
        <v>248051</v>
      </c>
      <c r="O256" s="110">
        <v>80214</v>
      </c>
      <c r="P256" s="430">
        <v>54436</v>
      </c>
      <c r="Q256" s="430">
        <v>91071</v>
      </c>
      <c r="R256" s="301">
        <f t="shared" si="26"/>
        <v>225721</v>
      </c>
    </row>
    <row r="257" spans="1:28" ht="16.350000000000001" customHeight="1">
      <c r="A257" s="175">
        <f t="shared" si="21"/>
        <v>2025</v>
      </c>
      <c r="B257" s="454" t="str">
        <f t="shared" si="22"/>
        <v>41</v>
      </c>
      <c r="C257" s="454" t="str">
        <f t="array" ref="C257">_xlfn.IFS(_xlfn.NUMBERVALUE(B257)&lt;=13,"Q1",AND(_xlfn.NUMBERVALUE(B257)&gt;13,_xlfn.NUMBERVALUE(B257)&lt;=26),"Q2", AND(_xlfn.NUMBERVALUE(B257)&gt;26,_xlfn.NUMBERVALUE(B257)&lt;=39),"Q3",_xlfn.NUMBERVALUE(B257)&gt;39,"Q4")</f>
        <v>Q4</v>
      </c>
      <c r="D257" s="448">
        <f t="shared" si="27"/>
        <v>45598</v>
      </c>
      <c r="E257" s="448">
        <f t="shared" si="23"/>
        <v>45604</v>
      </c>
      <c r="F257" s="97">
        <v>202441</v>
      </c>
      <c r="G257" s="103">
        <v>77294</v>
      </c>
      <c r="H257" s="429">
        <v>76002</v>
      </c>
      <c r="I257" s="429">
        <v>75414</v>
      </c>
      <c r="J257" s="214">
        <f t="shared" si="24"/>
        <v>228710</v>
      </c>
      <c r="K257" s="103">
        <v>84361</v>
      </c>
      <c r="L257" s="429">
        <v>60618</v>
      </c>
      <c r="M257" s="429">
        <v>78538</v>
      </c>
      <c r="N257" s="214">
        <f t="shared" si="25"/>
        <v>223517</v>
      </c>
      <c r="O257" s="110">
        <v>92865</v>
      </c>
      <c r="P257" s="430">
        <v>61305</v>
      </c>
      <c r="Q257" s="430">
        <v>56887</v>
      </c>
      <c r="R257" s="301">
        <f t="shared" si="26"/>
        <v>211057</v>
      </c>
    </row>
    <row r="258" spans="1:28" ht="16.350000000000001" customHeight="1">
      <c r="A258" s="175">
        <f t="shared" si="21"/>
        <v>2025</v>
      </c>
      <c r="B258" s="454" t="str">
        <f t="shared" si="22"/>
        <v>42</v>
      </c>
      <c r="C258" s="454" t="str">
        <f t="array" ref="C258">_xlfn.IFS(_xlfn.NUMBERVALUE(B258)&lt;=13,"Q1",AND(_xlfn.NUMBERVALUE(B258)&gt;13,_xlfn.NUMBERVALUE(B258)&lt;=26),"Q2", AND(_xlfn.NUMBERVALUE(B258)&gt;26,_xlfn.NUMBERVALUE(B258)&lt;=39),"Q3",_xlfn.NUMBERVALUE(B258)&gt;39,"Q4")</f>
        <v>Q4</v>
      </c>
      <c r="D258" s="448">
        <f t="shared" si="27"/>
        <v>45605</v>
      </c>
      <c r="E258" s="448">
        <f t="shared" si="23"/>
        <v>45611</v>
      </c>
      <c r="F258" s="97">
        <v>202442</v>
      </c>
      <c r="G258" s="103">
        <v>96527</v>
      </c>
      <c r="H258" s="429">
        <v>93189</v>
      </c>
      <c r="I258" s="429">
        <v>95823</v>
      </c>
      <c r="J258" s="214">
        <f t="shared" si="24"/>
        <v>285539</v>
      </c>
      <c r="K258" s="103">
        <v>66464</v>
      </c>
      <c r="L258" s="429">
        <v>63679</v>
      </c>
      <c r="M258" s="429">
        <v>79073</v>
      </c>
      <c r="N258" s="214">
        <f t="shared" si="25"/>
        <v>209216</v>
      </c>
      <c r="O258" s="110">
        <v>52283</v>
      </c>
      <c r="P258" s="430">
        <v>95111</v>
      </c>
      <c r="Q258" s="430">
        <v>84062</v>
      </c>
      <c r="R258" s="301">
        <f t="shared" si="26"/>
        <v>231456</v>
      </c>
    </row>
    <row r="259" spans="1:28" ht="16.350000000000001" customHeight="1">
      <c r="A259" s="175">
        <f t="shared" si="21"/>
        <v>2025</v>
      </c>
      <c r="B259" s="454" t="str">
        <f t="shared" si="22"/>
        <v>43</v>
      </c>
      <c r="C259" s="454" t="str">
        <f t="array" ref="C259">_xlfn.IFS(_xlfn.NUMBERVALUE(B259)&lt;=13,"Q1",AND(_xlfn.NUMBERVALUE(B259)&gt;13,_xlfn.NUMBERVALUE(B259)&lt;=26),"Q2", AND(_xlfn.NUMBERVALUE(B259)&gt;26,_xlfn.NUMBERVALUE(B259)&lt;=39),"Q3",_xlfn.NUMBERVALUE(B259)&gt;39,"Q4")</f>
        <v>Q4</v>
      </c>
      <c r="D259" s="448">
        <f t="shared" si="27"/>
        <v>45612</v>
      </c>
      <c r="E259" s="448">
        <f t="shared" si="23"/>
        <v>45618</v>
      </c>
      <c r="F259" s="97">
        <v>202443</v>
      </c>
      <c r="G259" s="103">
        <v>60926</v>
      </c>
      <c r="H259" s="429">
        <v>72649</v>
      </c>
      <c r="I259" s="429">
        <v>93641</v>
      </c>
      <c r="J259" s="214">
        <f t="shared" si="24"/>
        <v>227216</v>
      </c>
      <c r="K259" s="103">
        <v>59007</v>
      </c>
      <c r="L259" s="429">
        <v>92999</v>
      </c>
      <c r="M259" s="429">
        <v>51621</v>
      </c>
      <c r="N259" s="214">
        <f t="shared" si="25"/>
        <v>203627</v>
      </c>
      <c r="O259" s="110">
        <v>95864</v>
      </c>
      <c r="P259" s="430">
        <v>96413</v>
      </c>
      <c r="Q259" s="430">
        <v>59140</v>
      </c>
      <c r="R259" s="301">
        <f t="shared" si="26"/>
        <v>251417</v>
      </c>
    </row>
    <row r="260" spans="1:28" ht="16.350000000000001" customHeight="1">
      <c r="A260" s="175">
        <f t="shared" si="21"/>
        <v>2025</v>
      </c>
      <c r="B260" s="454" t="str">
        <f t="shared" si="22"/>
        <v>44</v>
      </c>
      <c r="C260" s="454" t="str">
        <f t="array" ref="C260">_xlfn.IFS(_xlfn.NUMBERVALUE(B260)&lt;=13,"Q1",AND(_xlfn.NUMBERVALUE(B260)&gt;13,_xlfn.NUMBERVALUE(B260)&lt;=26),"Q2", AND(_xlfn.NUMBERVALUE(B260)&gt;26,_xlfn.NUMBERVALUE(B260)&lt;=39),"Q3",_xlfn.NUMBERVALUE(B260)&gt;39,"Q4")</f>
        <v>Q4</v>
      </c>
      <c r="D260" s="448">
        <f t="shared" si="27"/>
        <v>45619</v>
      </c>
      <c r="E260" s="448">
        <f t="shared" si="23"/>
        <v>45625</v>
      </c>
      <c r="F260" s="97">
        <v>202444</v>
      </c>
      <c r="G260" s="103">
        <v>57698</v>
      </c>
      <c r="H260" s="429">
        <v>60519</v>
      </c>
      <c r="I260" s="429">
        <v>52676</v>
      </c>
      <c r="J260" s="214">
        <f t="shared" si="24"/>
        <v>170893</v>
      </c>
      <c r="K260" s="103">
        <v>84450</v>
      </c>
      <c r="L260" s="429">
        <v>61735</v>
      </c>
      <c r="M260" s="429">
        <v>81824</v>
      </c>
      <c r="N260" s="214">
        <f t="shared" si="25"/>
        <v>228009</v>
      </c>
      <c r="O260" s="110">
        <v>56872</v>
      </c>
      <c r="P260" s="430">
        <v>79560</v>
      </c>
      <c r="Q260" s="430">
        <v>57984</v>
      </c>
      <c r="R260" s="301">
        <f t="shared" si="26"/>
        <v>194416</v>
      </c>
      <c r="U260" s="762"/>
    </row>
    <row r="261" spans="1:28" ht="16.350000000000001" customHeight="1">
      <c r="A261" s="175">
        <f t="shared" si="21"/>
        <v>2025</v>
      </c>
      <c r="B261" s="454" t="str">
        <f t="shared" si="22"/>
        <v>45</v>
      </c>
      <c r="C261" s="454" t="str">
        <f t="array" ref="C261">_xlfn.IFS(_xlfn.NUMBERVALUE(B261)&lt;=13,"Q1",AND(_xlfn.NUMBERVALUE(B261)&gt;13,_xlfn.NUMBERVALUE(B261)&lt;=26),"Q2", AND(_xlfn.NUMBERVALUE(B261)&gt;26,_xlfn.NUMBERVALUE(B261)&lt;=39),"Q3",_xlfn.NUMBERVALUE(B261)&gt;39,"Q4")</f>
        <v>Q4</v>
      </c>
      <c r="D261" s="448">
        <f t="shared" si="27"/>
        <v>45626</v>
      </c>
      <c r="E261" s="448">
        <f t="shared" si="23"/>
        <v>45632</v>
      </c>
      <c r="F261" s="97">
        <v>202445</v>
      </c>
      <c r="G261" s="103">
        <v>79966</v>
      </c>
      <c r="H261" s="429">
        <v>53864</v>
      </c>
      <c r="I261" s="429">
        <v>83309</v>
      </c>
      <c r="J261" s="214">
        <f t="shared" si="24"/>
        <v>217139</v>
      </c>
      <c r="K261" s="103">
        <v>74173</v>
      </c>
      <c r="L261" s="429">
        <v>59812</v>
      </c>
      <c r="M261" s="429">
        <v>70035</v>
      </c>
      <c r="N261" s="214">
        <f t="shared" si="25"/>
        <v>204020</v>
      </c>
      <c r="O261" s="110">
        <v>84112</v>
      </c>
      <c r="P261" s="430">
        <v>55817</v>
      </c>
      <c r="Q261" s="430">
        <v>88414</v>
      </c>
      <c r="R261" s="301">
        <f t="shared" si="26"/>
        <v>228343</v>
      </c>
    </row>
    <row r="262" spans="1:28" ht="16.350000000000001" customHeight="1">
      <c r="A262" s="175">
        <f t="shared" si="21"/>
        <v>2025</v>
      </c>
      <c r="B262" s="454" t="str">
        <f t="shared" si="22"/>
        <v>46</v>
      </c>
      <c r="C262" s="454" t="str">
        <f t="array" ref="C262">_xlfn.IFS(_xlfn.NUMBERVALUE(B262)&lt;=13,"Q1",AND(_xlfn.NUMBERVALUE(B262)&gt;13,_xlfn.NUMBERVALUE(B262)&lt;=26),"Q2", AND(_xlfn.NUMBERVALUE(B262)&gt;26,_xlfn.NUMBERVALUE(B262)&lt;=39),"Q3",_xlfn.NUMBERVALUE(B262)&gt;39,"Q4")</f>
        <v>Q4</v>
      </c>
      <c r="D262" s="448">
        <f t="shared" si="27"/>
        <v>45633</v>
      </c>
      <c r="E262" s="448">
        <f t="shared" si="23"/>
        <v>45639</v>
      </c>
      <c r="F262" s="97">
        <v>202446</v>
      </c>
      <c r="G262" s="103">
        <v>92984</v>
      </c>
      <c r="H262" s="429">
        <v>86395</v>
      </c>
      <c r="I262" s="429">
        <v>73025</v>
      </c>
      <c r="J262" s="214">
        <f t="shared" si="24"/>
        <v>252404</v>
      </c>
      <c r="K262" s="103">
        <v>72906</v>
      </c>
      <c r="L262" s="429">
        <v>94721</v>
      </c>
      <c r="M262" s="429">
        <v>84053</v>
      </c>
      <c r="N262" s="214">
        <f t="shared" si="25"/>
        <v>251680</v>
      </c>
      <c r="O262" s="110">
        <v>50741</v>
      </c>
      <c r="P262" s="430">
        <v>85692</v>
      </c>
      <c r="Q262" s="430">
        <v>67381</v>
      </c>
      <c r="R262" s="301">
        <f t="shared" si="26"/>
        <v>203814</v>
      </c>
    </row>
    <row r="263" spans="1:28" ht="16.350000000000001" customHeight="1">
      <c r="A263" s="175">
        <f t="shared" si="21"/>
        <v>2025</v>
      </c>
      <c r="B263" s="454" t="str">
        <f t="shared" si="22"/>
        <v>47</v>
      </c>
      <c r="C263" s="454" t="str">
        <f t="array" ref="C263">_xlfn.IFS(_xlfn.NUMBERVALUE(B263)&lt;=13,"Q1",AND(_xlfn.NUMBERVALUE(B263)&gt;13,_xlfn.NUMBERVALUE(B263)&lt;=26),"Q2", AND(_xlfn.NUMBERVALUE(B263)&gt;26,_xlfn.NUMBERVALUE(B263)&lt;=39),"Q3",_xlfn.NUMBERVALUE(B263)&gt;39,"Q4")</f>
        <v>Q4</v>
      </c>
      <c r="D263" s="448">
        <f t="shared" si="27"/>
        <v>45640</v>
      </c>
      <c r="E263" s="448">
        <f t="shared" si="23"/>
        <v>45646</v>
      </c>
      <c r="F263" s="97">
        <v>202447</v>
      </c>
      <c r="G263" s="103">
        <v>58565</v>
      </c>
      <c r="H263" s="429">
        <v>71843</v>
      </c>
      <c r="I263" s="429">
        <v>57499</v>
      </c>
      <c r="J263" s="214">
        <f t="shared" si="24"/>
        <v>187907</v>
      </c>
      <c r="K263" s="103">
        <v>52764</v>
      </c>
      <c r="L263" s="429">
        <v>79203</v>
      </c>
      <c r="M263" s="429">
        <v>80189</v>
      </c>
      <c r="N263" s="214">
        <f t="shared" si="25"/>
        <v>212156</v>
      </c>
      <c r="O263" s="110">
        <v>64033</v>
      </c>
      <c r="P263" s="430">
        <v>89076</v>
      </c>
      <c r="Q263" s="430">
        <v>81037</v>
      </c>
      <c r="R263" s="301">
        <f t="shared" si="26"/>
        <v>234146</v>
      </c>
    </row>
    <row r="264" spans="1:28" ht="16.350000000000001" customHeight="1">
      <c r="A264" s="175">
        <f t="shared" si="21"/>
        <v>2025</v>
      </c>
      <c r="B264" s="454" t="str">
        <f t="shared" si="22"/>
        <v>48</v>
      </c>
      <c r="C264" s="454" t="str">
        <f t="array" ref="C264">_xlfn.IFS(_xlfn.NUMBERVALUE(B264)&lt;=13,"Q1",AND(_xlfn.NUMBERVALUE(B264)&gt;13,_xlfn.NUMBERVALUE(B264)&lt;=26),"Q2", AND(_xlfn.NUMBERVALUE(B264)&gt;26,_xlfn.NUMBERVALUE(B264)&lt;=39),"Q3",_xlfn.NUMBERVALUE(B264)&gt;39,"Q4")</f>
        <v>Q4</v>
      </c>
      <c r="D264" s="448">
        <f t="shared" si="27"/>
        <v>45647</v>
      </c>
      <c r="E264" s="448">
        <f t="shared" si="23"/>
        <v>45653</v>
      </c>
      <c r="F264" s="97">
        <v>202448</v>
      </c>
      <c r="G264" s="103">
        <v>81582</v>
      </c>
      <c r="H264" s="429">
        <v>71772</v>
      </c>
      <c r="I264" s="429">
        <v>65307</v>
      </c>
      <c r="J264" s="214">
        <f t="shared" si="24"/>
        <v>218661</v>
      </c>
      <c r="K264" s="103">
        <v>55253</v>
      </c>
      <c r="L264" s="429">
        <v>96747</v>
      </c>
      <c r="M264" s="429">
        <v>83840</v>
      </c>
      <c r="N264" s="214">
        <f t="shared" si="25"/>
        <v>235840</v>
      </c>
      <c r="O264" s="110">
        <v>59824</v>
      </c>
      <c r="P264" s="430">
        <v>72262</v>
      </c>
      <c r="Q264" s="430">
        <v>99795</v>
      </c>
      <c r="R264" s="301">
        <f t="shared" si="26"/>
        <v>231881</v>
      </c>
    </row>
    <row r="265" spans="1:28" ht="16.350000000000001" customHeight="1">
      <c r="A265" s="175">
        <f t="shared" ref="A265:A321" si="28">LEFT(F265,4)+1</f>
        <v>2025</v>
      </c>
      <c r="B265" s="454" t="str">
        <f t="shared" ref="B265:B321" si="29">RIGHT(F265,2)</f>
        <v>49</v>
      </c>
      <c r="C265" s="454" t="str">
        <f t="array" ref="C265">_xlfn.IFS(_xlfn.NUMBERVALUE(B265)&lt;=13,"Q1",AND(_xlfn.NUMBERVALUE(B265)&gt;13,_xlfn.NUMBERVALUE(B265)&lt;=26),"Q2", AND(_xlfn.NUMBERVALUE(B265)&gt;26,_xlfn.NUMBERVALUE(B265)&lt;=39),"Q3",_xlfn.NUMBERVALUE(B265)&gt;39,"Q4")</f>
        <v>Q4</v>
      </c>
      <c r="D265" s="448">
        <f t="shared" si="27"/>
        <v>45654</v>
      </c>
      <c r="E265" s="448">
        <f t="shared" ref="E265:E321" si="30">D265+6</f>
        <v>45660</v>
      </c>
      <c r="F265" s="97">
        <v>202449</v>
      </c>
      <c r="G265" s="103">
        <v>98183</v>
      </c>
      <c r="H265" s="429">
        <v>71299</v>
      </c>
      <c r="I265" s="429">
        <v>95588</v>
      </c>
      <c r="J265" s="214">
        <f t="shared" ref="J265:J321" si="31">SUM(G265:I265)</f>
        <v>265070</v>
      </c>
      <c r="K265" s="103">
        <v>86707</v>
      </c>
      <c r="L265" s="429">
        <v>99934</v>
      </c>
      <c r="M265" s="429">
        <v>78820</v>
      </c>
      <c r="N265" s="214">
        <f t="shared" ref="N265:N321" si="32">SUM(K265:M265)</f>
        <v>265461</v>
      </c>
      <c r="O265" s="110">
        <v>85067</v>
      </c>
      <c r="P265" s="430">
        <v>57125</v>
      </c>
      <c r="Q265" s="430">
        <v>76866</v>
      </c>
      <c r="R265" s="301">
        <f t="shared" ref="R265:R321" si="33">SUM(O265:Q265)</f>
        <v>219058</v>
      </c>
    </row>
    <row r="266" spans="1:28" ht="16.350000000000001" customHeight="1">
      <c r="A266" s="175">
        <f t="shared" si="28"/>
        <v>2025</v>
      </c>
      <c r="B266" s="454" t="str">
        <f t="shared" si="29"/>
        <v>50</v>
      </c>
      <c r="C266" s="454" t="str">
        <f t="array" ref="C266">_xlfn.IFS(_xlfn.NUMBERVALUE(B266)&lt;=13,"Q1",AND(_xlfn.NUMBERVALUE(B266)&gt;13,_xlfn.NUMBERVALUE(B266)&lt;=26),"Q2", AND(_xlfn.NUMBERVALUE(B266)&gt;26,_xlfn.NUMBERVALUE(B266)&lt;=39),"Q3",_xlfn.NUMBERVALUE(B266)&gt;39,"Q4")</f>
        <v>Q4</v>
      </c>
      <c r="D266" s="448">
        <f t="shared" ref="D266:D321" si="34">E265+1</f>
        <v>45661</v>
      </c>
      <c r="E266" s="448">
        <f t="shared" si="30"/>
        <v>45667</v>
      </c>
      <c r="F266" s="97">
        <v>202450</v>
      </c>
      <c r="G266" s="241">
        <v>65118</v>
      </c>
      <c r="H266" s="467">
        <v>86375</v>
      </c>
      <c r="I266" s="467">
        <v>86530</v>
      </c>
      <c r="J266" s="214">
        <f t="shared" si="31"/>
        <v>238023</v>
      </c>
      <c r="K266" s="241">
        <v>59263</v>
      </c>
      <c r="L266" s="467">
        <v>97455</v>
      </c>
      <c r="M266" s="467">
        <v>80493</v>
      </c>
      <c r="N266" s="214">
        <f t="shared" si="32"/>
        <v>237211</v>
      </c>
      <c r="O266" s="110">
        <v>60302</v>
      </c>
      <c r="P266" s="430">
        <v>88900</v>
      </c>
      <c r="Q266" s="430">
        <v>50122</v>
      </c>
      <c r="R266" s="301">
        <f t="shared" si="33"/>
        <v>199324</v>
      </c>
    </row>
    <row r="267" spans="1:28" ht="16.350000000000001" customHeight="1">
      <c r="A267" s="175">
        <f t="shared" si="28"/>
        <v>2025</v>
      </c>
      <c r="B267" s="454" t="str">
        <f t="shared" si="29"/>
        <v>51</v>
      </c>
      <c r="C267" s="454" t="str">
        <f t="array" ref="C267">_xlfn.IFS(_xlfn.NUMBERVALUE(B267)&lt;=13,"Q1",AND(_xlfn.NUMBERVALUE(B267)&gt;13,_xlfn.NUMBERVALUE(B267)&lt;=26),"Q2", AND(_xlfn.NUMBERVALUE(B267)&gt;26,_xlfn.NUMBERVALUE(B267)&lt;=39),"Q3",_xlfn.NUMBERVALUE(B267)&gt;39,"Q4")</f>
        <v>Q4</v>
      </c>
      <c r="D267" s="448">
        <f t="shared" si="34"/>
        <v>45668</v>
      </c>
      <c r="E267" s="448">
        <f t="shared" si="30"/>
        <v>45674</v>
      </c>
      <c r="F267" s="97">
        <v>202451</v>
      </c>
      <c r="G267" s="103">
        <v>69501</v>
      </c>
      <c r="H267" s="429">
        <v>74953</v>
      </c>
      <c r="I267" s="429">
        <v>58317</v>
      </c>
      <c r="J267" s="214">
        <f t="shared" si="31"/>
        <v>202771</v>
      </c>
      <c r="K267" s="103">
        <v>65001</v>
      </c>
      <c r="L267" s="429">
        <v>55112</v>
      </c>
      <c r="M267" s="429">
        <v>67287</v>
      </c>
      <c r="N267" s="214">
        <f t="shared" si="32"/>
        <v>187400</v>
      </c>
      <c r="O267" s="110">
        <v>93819</v>
      </c>
      <c r="P267" s="430">
        <v>85292</v>
      </c>
      <c r="Q267" s="430">
        <v>99236</v>
      </c>
      <c r="R267" s="301">
        <f t="shared" si="33"/>
        <v>278347</v>
      </c>
    </row>
    <row r="268" spans="1:28" ht="16.350000000000001" customHeight="1">
      <c r="A268" s="175">
        <f t="shared" si="28"/>
        <v>2025</v>
      </c>
      <c r="B268" s="454" t="str">
        <f t="shared" si="29"/>
        <v>52</v>
      </c>
      <c r="C268" s="454" t="str">
        <f t="array" ref="C268">_xlfn.IFS(_xlfn.NUMBERVALUE(B268)&lt;=13,"Q1",AND(_xlfn.NUMBERVALUE(B268)&gt;13,_xlfn.NUMBERVALUE(B268)&lt;=26),"Q2", AND(_xlfn.NUMBERVALUE(B268)&gt;26,_xlfn.NUMBERVALUE(B268)&lt;=39),"Q3",_xlfn.NUMBERVALUE(B268)&gt;39,"Q4")</f>
        <v>Q4</v>
      </c>
      <c r="D268" s="448">
        <f t="shared" si="34"/>
        <v>45675</v>
      </c>
      <c r="E268" s="448">
        <f t="shared" si="30"/>
        <v>45681</v>
      </c>
      <c r="F268" s="97">
        <v>202452</v>
      </c>
      <c r="G268" s="103">
        <v>92364</v>
      </c>
      <c r="H268" s="429">
        <v>53497</v>
      </c>
      <c r="I268" s="429">
        <v>52050</v>
      </c>
      <c r="J268" s="214">
        <f t="shared" si="31"/>
        <v>197911</v>
      </c>
      <c r="K268" s="103">
        <v>89186</v>
      </c>
      <c r="L268" s="429">
        <v>77512</v>
      </c>
      <c r="M268" s="429">
        <v>60283</v>
      </c>
      <c r="N268" s="214">
        <f t="shared" si="32"/>
        <v>226981</v>
      </c>
      <c r="O268" s="110">
        <v>56230</v>
      </c>
      <c r="P268" s="430">
        <v>67730</v>
      </c>
      <c r="Q268" s="430">
        <v>89302</v>
      </c>
      <c r="R268" s="301">
        <f t="shared" si="33"/>
        <v>213262</v>
      </c>
      <c r="U268" s="762"/>
      <c r="V268" s="762"/>
      <c r="W268" s="762"/>
      <c r="X268" s="762"/>
      <c r="Y268" s="762"/>
      <c r="Z268" s="762"/>
      <c r="AA268" s="762"/>
      <c r="AB268" s="762"/>
    </row>
    <row r="269" spans="1:28" ht="17.100000000000001" customHeight="1">
      <c r="A269" s="175">
        <f t="shared" si="28"/>
        <v>2025</v>
      </c>
      <c r="B269" s="454" t="str">
        <f t="shared" si="29"/>
        <v>53</v>
      </c>
      <c r="C269" s="454" t="str">
        <f t="array" ref="C269">_xlfn.IFS(_xlfn.NUMBERVALUE(B269)&lt;=13,"Q1",AND(_xlfn.NUMBERVALUE(B269)&gt;13,_xlfn.NUMBERVALUE(B269)&lt;=26),"Q2", AND(_xlfn.NUMBERVALUE(B269)&gt;26,_xlfn.NUMBERVALUE(B269)&lt;=39),"Q3",_xlfn.NUMBERVALUE(B269)&gt;39,"Q4")</f>
        <v>Q4</v>
      </c>
      <c r="D269" s="448">
        <f t="shared" si="34"/>
        <v>45682</v>
      </c>
      <c r="E269" s="448">
        <f t="shared" si="30"/>
        <v>45688</v>
      </c>
      <c r="F269" s="97">
        <v>202453</v>
      </c>
      <c r="G269" s="103">
        <v>82378</v>
      </c>
      <c r="H269" s="429">
        <v>93397</v>
      </c>
      <c r="I269" s="429">
        <v>90535</v>
      </c>
      <c r="J269" s="214">
        <f t="shared" si="31"/>
        <v>266310</v>
      </c>
      <c r="K269" s="103">
        <v>79524</v>
      </c>
      <c r="L269" s="429">
        <v>96032</v>
      </c>
      <c r="M269" s="429">
        <v>73723</v>
      </c>
      <c r="N269" s="214">
        <f t="shared" si="32"/>
        <v>249279</v>
      </c>
      <c r="O269" s="110">
        <v>73440</v>
      </c>
      <c r="P269" s="430">
        <v>54567</v>
      </c>
      <c r="Q269" s="430">
        <v>95351</v>
      </c>
      <c r="R269" s="301">
        <f t="shared" si="33"/>
        <v>223358</v>
      </c>
    </row>
    <row r="270" spans="1:28" ht="16.350000000000001" customHeight="1">
      <c r="A270" s="175">
        <f t="shared" si="28"/>
        <v>2026</v>
      </c>
      <c r="B270" s="454" t="str">
        <f t="shared" si="29"/>
        <v>01</v>
      </c>
      <c r="C270" s="454" t="str">
        <f t="array" ref="C270">_xlfn.IFS(_xlfn.NUMBERVALUE(B270)&lt;=13,"Q1",AND(_xlfn.NUMBERVALUE(B270)&gt;13,_xlfn.NUMBERVALUE(B270)&lt;=26),"Q2", AND(_xlfn.NUMBERVALUE(B270)&gt;26,_xlfn.NUMBERVALUE(B270)&lt;=39),"Q3",_xlfn.NUMBERVALUE(B270)&gt;39,"Q4")</f>
        <v>Q1</v>
      </c>
      <c r="D270" s="448">
        <f t="shared" si="34"/>
        <v>45689</v>
      </c>
      <c r="E270" s="448">
        <f t="shared" si="30"/>
        <v>45695</v>
      </c>
      <c r="F270" s="97">
        <v>202501</v>
      </c>
      <c r="G270" s="429">
        <v>65620</v>
      </c>
      <c r="H270" s="429">
        <v>55538</v>
      </c>
      <c r="I270" s="429">
        <v>84436</v>
      </c>
      <c r="J270" s="214">
        <f t="shared" si="31"/>
        <v>205594</v>
      </c>
      <c r="K270" s="429">
        <v>63674</v>
      </c>
      <c r="L270" s="429">
        <v>70536</v>
      </c>
      <c r="M270" s="429">
        <v>63253</v>
      </c>
      <c r="N270" s="214">
        <f t="shared" si="32"/>
        <v>197463</v>
      </c>
      <c r="O270" s="430">
        <v>88460</v>
      </c>
      <c r="P270" s="430">
        <v>70046</v>
      </c>
      <c r="Q270" s="430">
        <v>67789</v>
      </c>
      <c r="R270" s="301">
        <f t="shared" si="33"/>
        <v>226295</v>
      </c>
    </row>
    <row r="271" spans="1:28" ht="16.350000000000001" customHeight="1">
      <c r="A271" s="175">
        <f t="shared" si="28"/>
        <v>2026</v>
      </c>
      <c r="B271" s="454" t="str">
        <f t="shared" si="29"/>
        <v>02</v>
      </c>
      <c r="C271" s="454" t="str">
        <f t="array" ref="C271">_xlfn.IFS(_xlfn.NUMBERVALUE(B271)&lt;=13,"Q1",AND(_xlfn.NUMBERVALUE(B271)&gt;13,_xlfn.NUMBERVALUE(B271)&lt;=26),"Q2", AND(_xlfn.NUMBERVALUE(B271)&gt;26,_xlfn.NUMBERVALUE(B271)&lt;=39),"Q3",_xlfn.NUMBERVALUE(B271)&gt;39,"Q4")</f>
        <v>Q1</v>
      </c>
      <c r="D271" s="448">
        <f t="shared" si="34"/>
        <v>45696</v>
      </c>
      <c r="E271" s="448">
        <f t="shared" si="30"/>
        <v>45702</v>
      </c>
      <c r="F271" s="97">
        <v>202502</v>
      </c>
      <c r="G271" s="429">
        <v>58446</v>
      </c>
      <c r="H271" s="429">
        <v>71599</v>
      </c>
      <c r="I271" s="429">
        <v>70466</v>
      </c>
      <c r="J271" s="214">
        <f t="shared" si="31"/>
        <v>200511</v>
      </c>
      <c r="K271" s="429">
        <v>82237</v>
      </c>
      <c r="L271" s="429">
        <v>96797</v>
      </c>
      <c r="M271" s="429">
        <v>70012</v>
      </c>
      <c r="N271" s="214">
        <f t="shared" si="32"/>
        <v>249046</v>
      </c>
      <c r="O271" s="430">
        <v>52699</v>
      </c>
      <c r="P271" s="430">
        <v>96570</v>
      </c>
      <c r="Q271" s="430">
        <v>61130</v>
      </c>
      <c r="R271" s="301">
        <f t="shared" si="33"/>
        <v>210399</v>
      </c>
    </row>
    <row r="272" spans="1:28" ht="16.350000000000001" customHeight="1">
      <c r="A272" s="175">
        <f t="shared" si="28"/>
        <v>2026</v>
      </c>
      <c r="B272" s="454" t="str">
        <f t="shared" si="29"/>
        <v>03</v>
      </c>
      <c r="C272" s="454" t="str">
        <f t="array" ref="C272">_xlfn.IFS(_xlfn.NUMBERVALUE(B272)&lt;=13,"Q1",AND(_xlfn.NUMBERVALUE(B272)&gt;13,_xlfn.NUMBERVALUE(B272)&lt;=26),"Q2", AND(_xlfn.NUMBERVALUE(B272)&gt;26,_xlfn.NUMBERVALUE(B272)&lt;=39),"Q3",_xlfn.NUMBERVALUE(B272)&gt;39,"Q4")</f>
        <v>Q1</v>
      </c>
      <c r="D272" s="448">
        <f t="shared" si="34"/>
        <v>45703</v>
      </c>
      <c r="E272" s="448">
        <f t="shared" si="30"/>
        <v>45709</v>
      </c>
      <c r="F272" s="97">
        <v>202503</v>
      </c>
      <c r="G272" s="429">
        <v>91188</v>
      </c>
      <c r="H272" s="429">
        <v>77375</v>
      </c>
      <c r="I272" s="429">
        <v>70252</v>
      </c>
      <c r="J272" s="214">
        <f t="shared" si="31"/>
        <v>238815</v>
      </c>
      <c r="K272" s="429">
        <v>70683</v>
      </c>
      <c r="L272" s="429">
        <v>51786</v>
      </c>
      <c r="M272" s="429">
        <v>82971</v>
      </c>
      <c r="N272" s="214">
        <f t="shared" si="32"/>
        <v>205440</v>
      </c>
      <c r="O272" s="430">
        <v>51759</v>
      </c>
      <c r="P272" s="430">
        <v>96615</v>
      </c>
      <c r="Q272" s="430">
        <v>89826</v>
      </c>
      <c r="R272" s="301">
        <f t="shared" si="33"/>
        <v>238200</v>
      </c>
    </row>
    <row r="273" spans="1:18" ht="16.350000000000001" customHeight="1">
      <c r="A273" s="175">
        <f t="shared" si="28"/>
        <v>2026</v>
      </c>
      <c r="B273" s="454" t="str">
        <f t="shared" si="29"/>
        <v>04</v>
      </c>
      <c r="C273" s="454" t="str">
        <f t="array" ref="C273">_xlfn.IFS(_xlfn.NUMBERVALUE(B273)&lt;=13,"Q1",AND(_xlfn.NUMBERVALUE(B273)&gt;13,_xlfn.NUMBERVALUE(B273)&lt;=26),"Q2", AND(_xlfn.NUMBERVALUE(B273)&gt;26,_xlfn.NUMBERVALUE(B273)&lt;=39),"Q3",_xlfn.NUMBERVALUE(B273)&gt;39,"Q4")</f>
        <v>Q1</v>
      </c>
      <c r="D273" s="448">
        <f t="shared" si="34"/>
        <v>45710</v>
      </c>
      <c r="E273" s="448">
        <f t="shared" si="30"/>
        <v>45716</v>
      </c>
      <c r="F273" s="97">
        <v>202504</v>
      </c>
      <c r="G273" s="429">
        <v>56512</v>
      </c>
      <c r="H273" s="429">
        <v>68952</v>
      </c>
      <c r="I273" s="429">
        <v>81437</v>
      </c>
      <c r="J273" s="214">
        <f t="shared" si="31"/>
        <v>206901</v>
      </c>
      <c r="K273" s="429">
        <v>57008</v>
      </c>
      <c r="L273" s="429">
        <v>60022</v>
      </c>
      <c r="M273" s="429">
        <v>98558</v>
      </c>
      <c r="N273" s="214">
        <f t="shared" si="32"/>
        <v>215588</v>
      </c>
      <c r="O273" s="430">
        <v>86152</v>
      </c>
      <c r="P273" s="430">
        <v>72900</v>
      </c>
      <c r="Q273" s="430">
        <v>84587</v>
      </c>
      <c r="R273" s="301">
        <f t="shared" si="33"/>
        <v>243639</v>
      </c>
    </row>
    <row r="274" spans="1:18" ht="16.350000000000001" customHeight="1">
      <c r="A274" s="175">
        <f t="shared" si="28"/>
        <v>2026</v>
      </c>
      <c r="B274" s="454" t="str">
        <f t="shared" si="29"/>
        <v>05</v>
      </c>
      <c r="C274" s="454" t="str">
        <f t="array" ref="C274">_xlfn.IFS(_xlfn.NUMBERVALUE(B274)&lt;=13,"Q1",AND(_xlfn.NUMBERVALUE(B274)&gt;13,_xlfn.NUMBERVALUE(B274)&lt;=26),"Q2", AND(_xlfn.NUMBERVALUE(B274)&gt;26,_xlfn.NUMBERVALUE(B274)&lt;=39),"Q3",_xlfn.NUMBERVALUE(B274)&gt;39,"Q4")</f>
        <v>Q1</v>
      </c>
      <c r="D274" s="448">
        <f t="shared" si="34"/>
        <v>45717</v>
      </c>
      <c r="E274" s="448">
        <f t="shared" si="30"/>
        <v>45723</v>
      </c>
      <c r="F274" s="97">
        <v>202505</v>
      </c>
      <c r="G274" s="429">
        <v>98164</v>
      </c>
      <c r="H274" s="429">
        <v>74957</v>
      </c>
      <c r="I274" s="429">
        <v>72889</v>
      </c>
      <c r="J274" s="214">
        <f t="shared" si="31"/>
        <v>246010</v>
      </c>
      <c r="K274" s="429">
        <v>80813</v>
      </c>
      <c r="L274" s="429">
        <v>67359</v>
      </c>
      <c r="M274" s="429">
        <v>54230</v>
      </c>
      <c r="N274" s="214">
        <f t="shared" si="32"/>
        <v>202402</v>
      </c>
      <c r="O274" s="430">
        <v>88151</v>
      </c>
      <c r="P274" s="430">
        <v>77756</v>
      </c>
      <c r="Q274" s="430">
        <v>73619</v>
      </c>
      <c r="R274" s="301">
        <f t="shared" si="33"/>
        <v>239526</v>
      </c>
    </row>
    <row r="275" spans="1:18" ht="16.350000000000001" customHeight="1">
      <c r="A275" s="175">
        <f t="shared" si="28"/>
        <v>2026</v>
      </c>
      <c r="B275" s="454" t="str">
        <f t="shared" si="29"/>
        <v>06</v>
      </c>
      <c r="C275" s="454" t="str">
        <f t="array" ref="C275">_xlfn.IFS(_xlfn.NUMBERVALUE(B275)&lt;=13,"Q1",AND(_xlfn.NUMBERVALUE(B275)&gt;13,_xlfn.NUMBERVALUE(B275)&lt;=26),"Q2", AND(_xlfn.NUMBERVALUE(B275)&gt;26,_xlfn.NUMBERVALUE(B275)&lt;=39),"Q3",_xlfn.NUMBERVALUE(B275)&gt;39,"Q4")</f>
        <v>Q1</v>
      </c>
      <c r="D275" s="448">
        <f t="shared" si="34"/>
        <v>45724</v>
      </c>
      <c r="E275" s="448">
        <f t="shared" si="30"/>
        <v>45730</v>
      </c>
      <c r="F275" s="97">
        <v>202506</v>
      </c>
      <c r="G275" s="429">
        <v>79966</v>
      </c>
      <c r="H275" s="429">
        <v>53864</v>
      </c>
      <c r="I275" s="429">
        <v>83309</v>
      </c>
      <c r="J275" s="214">
        <f t="shared" si="31"/>
        <v>217139</v>
      </c>
      <c r="K275" s="429">
        <v>74173</v>
      </c>
      <c r="L275" s="429">
        <v>59812</v>
      </c>
      <c r="M275" s="429">
        <v>70035</v>
      </c>
      <c r="N275" s="214">
        <f t="shared" si="32"/>
        <v>204020</v>
      </c>
      <c r="O275" s="430">
        <v>84112</v>
      </c>
      <c r="P275" s="430">
        <v>55817</v>
      </c>
      <c r="Q275" s="430">
        <v>88414</v>
      </c>
      <c r="R275" s="301">
        <f t="shared" si="33"/>
        <v>228343</v>
      </c>
    </row>
    <row r="276" spans="1:18" ht="16.350000000000001" customHeight="1">
      <c r="A276" s="175">
        <f t="shared" si="28"/>
        <v>2026</v>
      </c>
      <c r="B276" s="454" t="str">
        <f t="shared" si="29"/>
        <v>07</v>
      </c>
      <c r="C276" s="454" t="str">
        <f t="array" ref="C276">_xlfn.IFS(_xlfn.NUMBERVALUE(B276)&lt;=13,"Q1",AND(_xlfn.NUMBERVALUE(B276)&gt;13,_xlfn.NUMBERVALUE(B276)&lt;=26),"Q2", AND(_xlfn.NUMBERVALUE(B276)&gt;26,_xlfn.NUMBERVALUE(B276)&lt;=39),"Q3",_xlfn.NUMBERVALUE(B276)&gt;39,"Q4")</f>
        <v>Q1</v>
      </c>
      <c r="D276" s="448">
        <f t="shared" si="34"/>
        <v>45731</v>
      </c>
      <c r="E276" s="448">
        <f t="shared" si="30"/>
        <v>45737</v>
      </c>
      <c r="F276" s="97">
        <v>202507</v>
      </c>
      <c r="G276" s="429"/>
      <c r="H276" s="429"/>
      <c r="I276" s="429"/>
      <c r="J276" s="214">
        <f t="shared" si="31"/>
        <v>0</v>
      </c>
      <c r="K276" s="429"/>
      <c r="L276" s="429"/>
      <c r="M276" s="429"/>
      <c r="N276" s="214">
        <f t="shared" si="32"/>
        <v>0</v>
      </c>
      <c r="O276" s="430"/>
      <c r="P276" s="430"/>
      <c r="Q276" s="430"/>
      <c r="R276" s="301">
        <f t="shared" si="33"/>
        <v>0</v>
      </c>
    </row>
    <row r="277" spans="1:18" ht="16.350000000000001" customHeight="1">
      <c r="A277" s="175">
        <f t="shared" si="28"/>
        <v>2026</v>
      </c>
      <c r="B277" s="454" t="str">
        <f t="shared" si="29"/>
        <v>08</v>
      </c>
      <c r="C277" s="454" t="str">
        <f t="array" ref="C277">_xlfn.IFS(_xlfn.NUMBERVALUE(B277)&lt;=13,"Q1",AND(_xlfn.NUMBERVALUE(B277)&gt;13,_xlfn.NUMBERVALUE(B277)&lt;=26),"Q2", AND(_xlfn.NUMBERVALUE(B277)&gt;26,_xlfn.NUMBERVALUE(B277)&lt;=39),"Q3",_xlfn.NUMBERVALUE(B277)&gt;39,"Q4")</f>
        <v>Q1</v>
      </c>
      <c r="D277" s="448">
        <f t="shared" si="34"/>
        <v>45738</v>
      </c>
      <c r="E277" s="448">
        <f t="shared" si="30"/>
        <v>45744</v>
      </c>
      <c r="F277" s="97">
        <v>202508</v>
      </c>
      <c r="G277" s="429"/>
      <c r="H277" s="429"/>
      <c r="I277" s="429"/>
      <c r="J277" s="214">
        <f t="shared" si="31"/>
        <v>0</v>
      </c>
      <c r="K277" s="429"/>
      <c r="L277" s="429"/>
      <c r="M277" s="429"/>
      <c r="N277" s="214">
        <f t="shared" si="32"/>
        <v>0</v>
      </c>
      <c r="O277" s="430"/>
      <c r="P277" s="430"/>
      <c r="Q277" s="430"/>
      <c r="R277" s="301">
        <f t="shared" si="33"/>
        <v>0</v>
      </c>
    </row>
    <row r="278" spans="1:18" ht="16.350000000000001" customHeight="1">
      <c r="A278" s="175">
        <f t="shared" si="28"/>
        <v>2026</v>
      </c>
      <c r="B278" s="454" t="str">
        <f t="shared" si="29"/>
        <v>09</v>
      </c>
      <c r="C278" s="454" t="str">
        <f t="array" ref="C278">_xlfn.IFS(_xlfn.NUMBERVALUE(B278)&lt;=13,"Q1",AND(_xlfn.NUMBERVALUE(B278)&gt;13,_xlfn.NUMBERVALUE(B278)&lt;=26),"Q2", AND(_xlfn.NUMBERVALUE(B278)&gt;26,_xlfn.NUMBERVALUE(B278)&lt;=39),"Q3",_xlfn.NUMBERVALUE(B278)&gt;39,"Q4")</f>
        <v>Q1</v>
      </c>
      <c r="D278" s="448">
        <f t="shared" si="34"/>
        <v>45745</v>
      </c>
      <c r="E278" s="448">
        <f t="shared" si="30"/>
        <v>45751</v>
      </c>
      <c r="F278" s="97">
        <v>202509</v>
      </c>
      <c r="G278" s="429"/>
      <c r="H278" s="429"/>
      <c r="I278" s="429"/>
      <c r="J278" s="214">
        <f t="shared" si="31"/>
        <v>0</v>
      </c>
      <c r="K278" s="429"/>
      <c r="L278" s="429"/>
      <c r="M278" s="429"/>
      <c r="N278" s="214">
        <f t="shared" si="32"/>
        <v>0</v>
      </c>
      <c r="O278" s="430"/>
      <c r="P278" s="430"/>
      <c r="Q278" s="430"/>
      <c r="R278" s="301">
        <f t="shared" si="33"/>
        <v>0</v>
      </c>
    </row>
    <row r="279" spans="1:18" ht="16.350000000000001" customHeight="1">
      <c r="A279" s="175">
        <f t="shared" si="28"/>
        <v>2026</v>
      </c>
      <c r="B279" s="454" t="str">
        <f t="shared" si="29"/>
        <v>10</v>
      </c>
      <c r="C279" s="454" t="str">
        <f t="array" ref="C279">_xlfn.IFS(_xlfn.NUMBERVALUE(B279)&lt;=13,"Q1",AND(_xlfn.NUMBERVALUE(B279)&gt;13,_xlfn.NUMBERVALUE(B279)&lt;=26),"Q2", AND(_xlfn.NUMBERVALUE(B279)&gt;26,_xlfn.NUMBERVALUE(B279)&lt;=39),"Q3",_xlfn.NUMBERVALUE(B279)&gt;39,"Q4")</f>
        <v>Q1</v>
      </c>
      <c r="D279" s="448">
        <f t="shared" si="34"/>
        <v>45752</v>
      </c>
      <c r="E279" s="448">
        <f t="shared" si="30"/>
        <v>45758</v>
      </c>
      <c r="F279" s="97">
        <v>202510</v>
      </c>
      <c r="G279" s="429"/>
      <c r="H279" s="429"/>
      <c r="I279" s="429"/>
      <c r="J279" s="214">
        <f t="shared" si="31"/>
        <v>0</v>
      </c>
      <c r="K279" s="429"/>
      <c r="L279" s="429"/>
      <c r="M279" s="429"/>
      <c r="N279" s="214">
        <f t="shared" si="32"/>
        <v>0</v>
      </c>
      <c r="O279" s="430"/>
      <c r="P279" s="430"/>
      <c r="Q279" s="430"/>
      <c r="R279" s="301">
        <f t="shared" si="33"/>
        <v>0</v>
      </c>
    </row>
    <row r="280" spans="1:18" ht="16.350000000000001" customHeight="1">
      <c r="A280" s="175">
        <f t="shared" si="28"/>
        <v>2026</v>
      </c>
      <c r="B280" s="454" t="str">
        <f t="shared" si="29"/>
        <v>11</v>
      </c>
      <c r="C280" s="454" t="str">
        <f t="array" ref="C280">_xlfn.IFS(_xlfn.NUMBERVALUE(B280)&lt;=13,"Q1",AND(_xlfn.NUMBERVALUE(B280)&gt;13,_xlfn.NUMBERVALUE(B280)&lt;=26),"Q2", AND(_xlfn.NUMBERVALUE(B280)&gt;26,_xlfn.NUMBERVALUE(B280)&lt;=39),"Q3",_xlfn.NUMBERVALUE(B280)&gt;39,"Q4")</f>
        <v>Q1</v>
      </c>
      <c r="D280" s="448">
        <f t="shared" si="34"/>
        <v>45759</v>
      </c>
      <c r="E280" s="448">
        <f t="shared" si="30"/>
        <v>45765</v>
      </c>
      <c r="F280" s="97">
        <v>202511</v>
      </c>
      <c r="G280" s="429"/>
      <c r="H280" s="429"/>
      <c r="I280" s="429"/>
      <c r="J280" s="214">
        <f t="shared" si="31"/>
        <v>0</v>
      </c>
      <c r="K280" s="429"/>
      <c r="L280" s="429"/>
      <c r="M280" s="429"/>
      <c r="N280" s="214">
        <f t="shared" si="32"/>
        <v>0</v>
      </c>
      <c r="O280" s="430"/>
      <c r="P280" s="430"/>
      <c r="Q280" s="430"/>
      <c r="R280" s="301">
        <f t="shared" si="33"/>
        <v>0</v>
      </c>
    </row>
    <row r="281" spans="1:18" ht="16.350000000000001" customHeight="1">
      <c r="A281" s="175">
        <f t="shared" si="28"/>
        <v>2026</v>
      </c>
      <c r="B281" s="454" t="str">
        <f t="shared" si="29"/>
        <v>12</v>
      </c>
      <c r="C281" s="454" t="str">
        <f t="array" ref="C281">_xlfn.IFS(_xlfn.NUMBERVALUE(B281)&lt;=13,"Q1",AND(_xlfn.NUMBERVALUE(B281)&gt;13,_xlfn.NUMBERVALUE(B281)&lt;=26),"Q2", AND(_xlfn.NUMBERVALUE(B281)&gt;26,_xlfn.NUMBERVALUE(B281)&lt;=39),"Q3",_xlfn.NUMBERVALUE(B281)&gt;39,"Q4")</f>
        <v>Q1</v>
      </c>
      <c r="D281" s="448">
        <f t="shared" si="34"/>
        <v>45766</v>
      </c>
      <c r="E281" s="448">
        <f t="shared" si="30"/>
        <v>45772</v>
      </c>
      <c r="F281" s="97">
        <v>202512</v>
      </c>
      <c r="G281" s="429"/>
      <c r="H281" s="429"/>
      <c r="I281" s="429"/>
      <c r="J281" s="214">
        <f t="shared" si="31"/>
        <v>0</v>
      </c>
      <c r="K281" s="429"/>
      <c r="L281" s="429"/>
      <c r="M281" s="429"/>
      <c r="N281" s="214">
        <f t="shared" si="32"/>
        <v>0</v>
      </c>
      <c r="O281" s="430"/>
      <c r="P281" s="430"/>
      <c r="Q281" s="430"/>
      <c r="R281" s="301">
        <f t="shared" si="33"/>
        <v>0</v>
      </c>
    </row>
    <row r="282" spans="1:18" ht="16.350000000000001" customHeight="1">
      <c r="A282" s="175">
        <f t="shared" si="28"/>
        <v>2026</v>
      </c>
      <c r="B282" s="454" t="str">
        <f t="shared" si="29"/>
        <v>13</v>
      </c>
      <c r="C282" s="454" t="str">
        <f t="array" ref="C282">_xlfn.IFS(_xlfn.NUMBERVALUE(B282)&lt;=13,"Q1",AND(_xlfn.NUMBERVALUE(B282)&gt;13,_xlfn.NUMBERVALUE(B282)&lt;=26),"Q2", AND(_xlfn.NUMBERVALUE(B282)&gt;26,_xlfn.NUMBERVALUE(B282)&lt;=39),"Q3",_xlfn.NUMBERVALUE(B282)&gt;39,"Q4")</f>
        <v>Q1</v>
      </c>
      <c r="D282" s="448">
        <f t="shared" si="34"/>
        <v>45773</v>
      </c>
      <c r="E282" s="448">
        <f t="shared" si="30"/>
        <v>45779</v>
      </c>
      <c r="F282" s="97">
        <v>202513</v>
      </c>
      <c r="G282" s="429"/>
      <c r="H282" s="429"/>
      <c r="I282" s="429"/>
      <c r="J282" s="214">
        <f t="shared" si="31"/>
        <v>0</v>
      </c>
      <c r="K282" s="429"/>
      <c r="L282" s="429"/>
      <c r="M282" s="429"/>
      <c r="N282" s="214">
        <f t="shared" si="32"/>
        <v>0</v>
      </c>
      <c r="O282" s="430"/>
      <c r="P282" s="430"/>
      <c r="Q282" s="430"/>
      <c r="R282" s="301">
        <f t="shared" si="33"/>
        <v>0</v>
      </c>
    </row>
    <row r="283" spans="1:18" ht="16.350000000000001" customHeight="1">
      <c r="A283" s="175">
        <f t="shared" si="28"/>
        <v>2026</v>
      </c>
      <c r="B283" s="454" t="str">
        <f t="shared" si="29"/>
        <v>14</v>
      </c>
      <c r="C283" s="454" t="str">
        <f t="array" ref="C283">_xlfn.IFS(_xlfn.NUMBERVALUE(B283)&lt;=13,"Q1",AND(_xlfn.NUMBERVALUE(B283)&gt;13,_xlfn.NUMBERVALUE(B283)&lt;=26),"Q2", AND(_xlfn.NUMBERVALUE(B283)&gt;26,_xlfn.NUMBERVALUE(B283)&lt;=39),"Q3",_xlfn.NUMBERVALUE(B283)&gt;39,"Q4")</f>
        <v>Q2</v>
      </c>
      <c r="D283" s="448">
        <f t="shared" si="34"/>
        <v>45780</v>
      </c>
      <c r="E283" s="448">
        <f t="shared" si="30"/>
        <v>45786</v>
      </c>
      <c r="F283" s="97">
        <v>202514</v>
      </c>
      <c r="G283" s="429"/>
      <c r="H283" s="429"/>
      <c r="I283" s="429"/>
      <c r="J283" s="214">
        <f t="shared" si="31"/>
        <v>0</v>
      </c>
      <c r="K283" s="429"/>
      <c r="L283" s="429"/>
      <c r="M283" s="429"/>
      <c r="N283" s="214">
        <f t="shared" si="32"/>
        <v>0</v>
      </c>
      <c r="O283" s="430"/>
      <c r="P283" s="430"/>
      <c r="Q283" s="430"/>
      <c r="R283" s="301">
        <f t="shared" si="33"/>
        <v>0</v>
      </c>
    </row>
    <row r="284" spans="1:18" ht="16.350000000000001" customHeight="1">
      <c r="A284" s="175">
        <f t="shared" si="28"/>
        <v>2026</v>
      </c>
      <c r="B284" s="454" t="str">
        <f t="shared" si="29"/>
        <v>15</v>
      </c>
      <c r="C284" s="454" t="str">
        <f t="array" ref="C284">_xlfn.IFS(_xlfn.NUMBERVALUE(B284)&lt;=13,"Q1",AND(_xlfn.NUMBERVALUE(B284)&gt;13,_xlfn.NUMBERVALUE(B284)&lt;=26),"Q2", AND(_xlfn.NUMBERVALUE(B284)&gt;26,_xlfn.NUMBERVALUE(B284)&lt;=39),"Q3",_xlfn.NUMBERVALUE(B284)&gt;39,"Q4")</f>
        <v>Q2</v>
      </c>
      <c r="D284" s="448">
        <f t="shared" si="34"/>
        <v>45787</v>
      </c>
      <c r="E284" s="448">
        <f t="shared" si="30"/>
        <v>45793</v>
      </c>
      <c r="F284" s="97">
        <v>202515</v>
      </c>
      <c r="G284" s="429"/>
      <c r="H284" s="429"/>
      <c r="I284" s="429"/>
      <c r="J284" s="214">
        <f t="shared" si="31"/>
        <v>0</v>
      </c>
      <c r="K284" s="429"/>
      <c r="L284" s="429"/>
      <c r="M284" s="429"/>
      <c r="N284" s="214">
        <f t="shared" si="32"/>
        <v>0</v>
      </c>
      <c r="O284" s="430"/>
      <c r="P284" s="430"/>
      <c r="Q284" s="430"/>
      <c r="R284" s="301">
        <f t="shared" si="33"/>
        <v>0</v>
      </c>
    </row>
    <row r="285" spans="1:18" ht="16.350000000000001" customHeight="1">
      <c r="A285" s="175">
        <f t="shared" si="28"/>
        <v>2026</v>
      </c>
      <c r="B285" s="454" t="str">
        <f t="shared" si="29"/>
        <v>16</v>
      </c>
      <c r="C285" s="454" t="str">
        <f t="array" ref="C285">_xlfn.IFS(_xlfn.NUMBERVALUE(B285)&lt;=13,"Q1",AND(_xlfn.NUMBERVALUE(B285)&gt;13,_xlfn.NUMBERVALUE(B285)&lt;=26),"Q2", AND(_xlfn.NUMBERVALUE(B285)&gt;26,_xlfn.NUMBERVALUE(B285)&lt;=39),"Q3",_xlfn.NUMBERVALUE(B285)&gt;39,"Q4")</f>
        <v>Q2</v>
      </c>
      <c r="D285" s="448">
        <f t="shared" si="34"/>
        <v>45794</v>
      </c>
      <c r="E285" s="448">
        <f t="shared" si="30"/>
        <v>45800</v>
      </c>
      <c r="F285" s="97">
        <v>202516</v>
      </c>
      <c r="J285" s="214">
        <f t="shared" si="31"/>
        <v>0</v>
      </c>
      <c r="N285" s="214">
        <f t="shared" si="32"/>
        <v>0</v>
      </c>
      <c r="R285" s="301">
        <f t="shared" si="33"/>
        <v>0</v>
      </c>
    </row>
    <row r="286" spans="1:18" ht="16.350000000000001" customHeight="1">
      <c r="A286" s="175">
        <f t="shared" si="28"/>
        <v>2026</v>
      </c>
      <c r="B286" s="454" t="str">
        <f t="shared" si="29"/>
        <v>17</v>
      </c>
      <c r="C286" s="454" t="str">
        <f t="array" ref="C286">_xlfn.IFS(_xlfn.NUMBERVALUE(B286)&lt;=13,"Q1",AND(_xlfn.NUMBERVALUE(B286)&gt;13,_xlfn.NUMBERVALUE(B286)&lt;=26),"Q2", AND(_xlfn.NUMBERVALUE(B286)&gt;26,_xlfn.NUMBERVALUE(B286)&lt;=39),"Q3",_xlfn.NUMBERVALUE(B286)&gt;39,"Q4")</f>
        <v>Q2</v>
      </c>
      <c r="D286" s="448">
        <f t="shared" si="34"/>
        <v>45801</v>
      </c>
      <c r="E286" s="448">
        <f t="shared" si="30"/>
        <v>45807</v>
      </c>
      <c r="F286" s="97">
        <v>202517</v>
      </c>
      <c r="J286" s="214">
        <f t="shared" si="31"/>
        <v>0</v>
      </c>
      <c r="N286" s="214">
        <f t="shared" si="32"/>
        <v>0</v>
      </c>
      <c r="R286" s="301">
        <f t="shared" si="33"/>
        <v>0</v>
      </c>
    </row>
    <row r="287" spans="1:18" ht="16.350000000000001" customHeight="1">
      <c r="A287" s="175">
        <f t="shared" si="28"/>
        <v>2026</v>
      </c>
      <c r="B287" s="454" t="str">
        <f t="shared" si="29"/>
        <v>18</v>
      </c>
      <c r="C287" s="454" t="str">
        <f t="array" ref="C287">_xlfn.IFS(_xlfn.NUMBERVALUE(B287)&lt;=13,"Q1",AND(_xlfn.NUMBERVALUE(B287)&gt;13,_xlfn.NUMBERVALUE(B287)&lt;=26),"Q2", AND(_xlfn.NUMBERVALUE(B287)&gt;26,_xlfn.NUMBERVALUE(B287)&lt;=39),"Q3",_xlfn.NUMBERVALUE(B287)&gt;39,"Q4")</f>
        <v>Q2</v>
      </c>
      <c r="D287" s="448">
        <f t="shared" si="34"/>
        <v>45808</v>
      </c>
      <c r="E287" s="448">
        <f t="shared" si="30"/>
        <v>45814</v>
      </c>
      <c r="F287" s="97">
        <v>202518</v>
      </c>
      <c r="J287" s="214">
        <f t="shared" si="31"/>
        <v>0</v>
      </c>
      <c r="N287" s="214">
        <f t="shared" si="32"/>
        <v>0</v>
      </c>
      <c r="R287" s="301">
        <f t="shared" si="33"/>
        <v>0</v>
      </c>
    </row>
    <row r="288" spans="1:18" ht="16.350000000000001" customHeight="1">
      <c r="A288" s="175">
        <f t="shared" si="28"/>
        <v>2026</v>
      </c>
      <c r="B288" s="454" t="str">
        <f t="shared" si="29"/>
        <v>19</v>
      </c>
      <c r="C288" s="454" t="str">
        <f t="array" ref="C288">_xlfn.IFS(_xlfn.NUMBERVALUE(B288)&lt;=13,"Q1",AND(_xlfn.NUMBERVALUE(B288)&gt;13,_xlfn.NUMBERVALUE(B288)&lt;=26),"Q2", AND(_xlfn.NUMBERVALUE(B288)&gt;26,_xlfn.NUMBERVALUE(B288)&lt;=39),"Q3",_xlfn.NUMBERVALUE(B288)&gt;39,"Q4")</f>
        <v>Q2</v>
      </c>
      <c r="D288" s="448">
        <f t="shared" si="34"/>
        <v>45815</v>
      </c>
      <c r="E288" s="448">
        <f t="shared" si="30"/>
        <v>45821</v>
      </c>
      <c r="F288" s="97">
        <v>202519</v>
      </c>
      <c r="J288" s="214">
        <f t="shared" si="31"/>
        <v>0</v>
      </c>
      <c r="N288" s="214">
        <f t="shared" si="32"/>
        <v>0</v>
      </c>
      <c r="R288" s="301">
        <f t="shared" si="33"/>
        <v>0</v>
      </c>
    </row>
    <row r="289" spans="1:18" ht="16.350000000000001" customHeight="1">
      <c r="A289" s="175">
        <f t="shared" si="28"/>
        <v>2026</v>
      </c>
      <c r="B289" s="454" t="str">
        <f t="shared" si="29"/>
        <v>20</v>
      </c>
      <c r="C289" s="454" t="str">
        <f t="array" ref="C289">_xlfn.IFS(_xlfn.NUMBERVALUE(B289)&lt;=13,"Q1",AND(_xlfn.NUMBERVALUE(B289)&gt;13,_xlfn.NUMBERVALUE(B289)&lt;=26),"Q2", AND(_xlfn.NUMBERVALUE(B289)&gt;26,_xlfn.NUMBERVALUE(B289)&lt;=39),"Q3",_xlfn.NUMBERVALUE(B289)&gt;39,"Q4")</f>
        <v>Q2</v>
      </c>
      <c r="D289" s="448">
        <f t="shared" si="34"/>
        <v>45822</v>
      </c>
      <c r="E289" s="448">
        <f t="shared" si="30"/>
        <v>45828</v>
      </c>
      <c r="F289" s="97">
        <v>202520</v>
      </c>
      <c r="J289" s="214">
        <f t="shared" si="31"/>
        <v>0</v>
      </c>
      <c r="N289" s="214">
        <f t="shared" si="32"/>
        <v>0</v>
      </c>
      <c r="R289" s="301">
        <f t="shared" si="33"/>
        <v>0</v>
      </c>
    </row>
    <row r="290" spans="1:18" ht="16.350000000000001" customHeight="1">
      <c r="A290" s="175">
        <f t="shared" si="28"/>
        <v>2026</v>
      </c>
      <c r="B290" s="454" t="str">
        <f t="shared" si="29"/>
        <v>21</v>
      </c>
      <c r="C290" s="454" t="str">
        <f t="array" ref="C290">_xlfn.IFS(_xlfn.NUMBERVALUE(B290)&lt;=13,"Q1",AND(_xlfn.NUMBERVALUE(B290)&gt;13,_xlfn.NUMBERVALUE(B290)&lt;=26),"Q2", AND(_xlfn.NUMBERVALUE(B290)&gt;26,_xlfn.NUMBERVALUE(B290)&lt;=39),"Q3",_xlfn.NUMBERVALUE(B290)&gt;39,"Q4")</f>
        <v>Q2</v>
      </c>
      <c r="D290" s="448">
        <f t="shared" si="34"/>
        <v>45829</v>
      </c>
      <c r="E290" s="448">
        <f t="shared" si="30"/>
        <v>45835</v>
      </c>
      <c r="F290" s="97">
        <v>202521</v>
      </c>
      <c r="J290" s="214">
        <f t="shared" si="31"/>
        <v>0</v>
      </c>
      <c r="N290" s="214">
        <f t="shared" si="32"/>
        <v>0</v>
      </c>
      <c r="R290" s="301">
        <f t="shared" si="33"/>
        <v>0</v>
      </c>
    </row>
    <row r="291" spans="1:18" ht="16.350000000000001" customHeight="1">
      <c r="A291" s="175">
        <f t="shared" si="28"/>
        <v>2026</v>
      </c>
      <c r="B291" s="454" t="str">
        <f t="shared" si="29"/>
        <v>22</v>
      </c>
      <c r="C291" s="454" t="str">
        <f t="array" ref="C291">_xlfn.IFS(_xlfn.NUMBERVALUE(B291)&lt;=13,"Q1",AND(_xlfn.NUMBERVALUE(B291)&gt;13,_xlfn.NUMBERVALUE(B291)&lt;=26),"Q2", AND(_xlfn.NUMBERVALUE(B291)&gt;26,_xlfn.NUMBERVALUE(B291)&lt;=39),"Q3",_xlfn.NUMBERVALUE(B291)&gt;39,"Q4")</f>
        <v>Q2</v>
      </c>
      <c r="D291" s="448">
        <f t="shared" si="34"/>
        <v>45836</v>
      </c>
      <c r="E291" s="448">
        <f t="shared" si="30"/>
        <v>45842</v>
      </c>
      <c r="F291" s="97">
        <v>202522</v>
      </c>
      <c r="J291" s="214">
        <f t="shared" si="31"/>
        <v>0</v>
      </c>
      <c r="N291" s="214">
        <f t="shared" si="32"/>
        <v>0</v>
      </c>
      <c r="R291" s="301">
        <f t="shared" si="33"/>
        <v>0</v>
      </c>
    </row>
    <row r="292" spans="1:18" ht="16.350000000000001" customHeight="1">
      <c r="A292" s="175">
        <f t="shared" si="28"/>
        <v>2026</v>
      </c>
      <c r="B292" s="454" t="str">
        <f t="shared" si="29"/>
        <v>23</v>
      </c>
      <c r="C292" s="454" t="str">
        <f t="array" ref="C292">_xlfn.IFS(_xlfn.NUMBERVALUE(B292)&lt;=13,"Q1",AND(_xlfn.NUMBERVALUE(B292)&gt;13,_xlfn.NUMBERVALUE(B292)&lt;=26),"Q2", AND(_xlfn.NUMBERVALUE(B292)&gt;26,_xlfn.NUMBERVALUE(B292)&lt;=39),"Q3",_xlfn.NUMBERVALUE(B292)&gt;39,"Q4")</f>
        <v>Q2</v>
      </c>
      <c r="D292" s="448">
        <f t="shared" si="34"/>
        <v>45843</v>
      </c>
      <c r="E292" s="448">
        <f t="shared" si="30"/>
        <v>45849</v>
      </c>
      <c r="F292" s="97">
        <v>202523</v>
      </c>
      <c r="J292" s="214">
        <f t="shared" si="31"/>
        <v>0</v>
      </c>
      <c r="N292" s="214">
        <f t="shared" si="32"/>
        <v>0</v>
      </c>
      <c r="R292" s="301">
        <f t="shared" si="33"/>
        <v>0</v>
      </c>
    </row>
    <row r="293" spans="1:18" ht="16.350000000000001" customHeight="1">
      <c r="A293" s="175">
        <f t="shared" si="28"/>
        <v>2026</v>
      </c>
      <c r="B293" s="454" t="str">
        <f t="shared" si="29"/>
        <v>24</v>
      </c>
      <c r="C293" s="454" t="str">
        <f t="array" ref="C293">_xlfn.IFS(_xlfn.NUMBERVALUE(B293)&lt;=13,"Q1",AND(_xlfn.NUMBERVALUE(B293)&gt;13,_xlfn.NUMBERVALUE(B293)&lt;=26),"Q2", AND(_xlfn.NUMBERVALUE(B293)&gt;26,_xlfn.NUMBERVALUE(B293)&lt;=39),"Q3",_xlfn.NUMBERVALUE(B293)&gt;39,"Q4")</f>
        <v>Q2</v>
      </c>
      <c r="D293" s="448">
        <f t="shared" si="34"/>
        <v>45850</v>
      </c>
      <c r="E293" s="448">
        <f t="shared" si="30"/>
        <v>45856</v>
      </c>
      <c r="F293" s="97">
        <v>202524</v>
      </c>
      <c r="J293" s="214">
        <f t="shared" si="31"/>
        <v>0</v>
      </c>
      <c r="N293" s="214">
        <f t="shared" si="32"/>
        <v>0</v>
      </c>
      <c r="R293" s="301">
        <f t="shared" si="33"/>
        <v>0</v>
      </c>
    </row>
    <row r="294" spans="1:18" ht="16.350000000000001" customHeight="1">
      <c r="A294" s="175">
        <f t="shared" si="28"/>
        <v>2026</v>
      </c>
      <c r="B294" s="454" t="str">
        <f t="shared" si="29"/>
        <v>25</v>
      </c>
      <c r="C294" s="454" t="str">
        <f t="array" ref="C294">_xlfn.IFS(_xlfn.NUMBERVALUE(B294)&lt;=13,"Q1",AND(_xlfn.NUMBERVALUE(B294)&gt;13,_xlfn.NUMBERVALUE(B294)&lt;=26),"Q2", AND(_xlfn.NUMBERVALUE(B294)&gt;26,_xlfn.NUMBERVALUE(B294)&lt;=39),"Q3",_xlfn.NUMBERVALUE(B294)&gt;39,"Q4")</f>
        <v>Q2</v>
      </c>
      <c r="D294" s="448">
        <f t="shared" si="34"/>
        <v>45857</v>
      </c>
      <c r="E294" s="448">
        <f t="shared" si="30"/>
        <v>45863</v>
      </c>
      <c r="F294" s="97">
        <v>202525</v>
      </c>
      <c r="J294" s="214">
        <f t="shared" si="31"/>
        <v>0</v>
      </c>
      <c r="N294" s="214">
        <f t="shared" si="32"/>
        <v>0</v>
      </c>
      <c r="R294" s="301">
        <f t="shared" si="33"/>
        <v>0</v>
      </c>
    </row>
    <row r="295" spans="1:18" ht="16.350000000000001" customHeight="1">
      <c r="A295" s="175">
        <f t="shared" si="28"/>
        <v>2026</v>
      </c>
      <c r="B295" s="454" t="str">
        <f t="shared" si="29"/>
        <v>26</v>
      </c>
      <c r="C295" s="454" t="str">
        <f t="array" ref="C295">_xlfn.IFS(_xlfn.NUMBERVALUE(B295)&lt;=13,"Q1",AND(_xlfn.NUMBERVALUE(B295)&gt;13,_xlfn.NUMBERVALUE(B295)&lt;=26),"Q2", AND(_xlfn.NUMBERVALUE(B295)&gt;26,_xlfn.NUMBERVALUE(B295)&lt;=39),"Q3",_xlfn.NUMBERVALUE(B295)&gt;39,"Q4")</f>
        <v>Q2</v>
      </c>
      <c r="D295" s="448">
        <f t="shared" si="34"/>
        <v>45864</v>
      </c>
      <c r="E295" s="448">
        <f t="shared" si="30"/>
        <v>45870</v>
      </c>
      <c r="F295" s="97">
        <v>202526</v>
      </c>
      <c r="J295" s="214">
        <f t="shared" si="31"/>
        <v>0</v>
      </c>
      <c r="N295" s="214">
        <f t="shared" si="32"/>
        <v>0</v>
      </c>
      <c r="R295" s="301">
        <f t="shared" si="33"/>
        <v>0</v>
      </c>
    </row>
    <row r="296" spans="1:18" ht="16.350000000000001" customHeight="1">
      <c r="A296" s="175">
        <f t="shared" si="28"/>
        <v>2026</v>
      </c>
      <c r="B296" s="454" t="str">
        <f t="shared" si="29"/>
        <v>27</v>
      </c>
      <c r="C296" s="454" t="str">
        <f t="array" ref="C296">_xlfn.IFS(_xlfn.NUMBERVALUE(B296)&lt;=13,"Q1",AND(_xlfn.NUMBERVALUE(B296)&gt;13,_xlfn.NUMBERVALUE(B296)&lt;=26),"Q2", AND(_xlfn.NUMBERVALUE(B296)&gt;26,_xlfn.NUMBERVALUE(B296)&lt;=39),"Q3",_xlfn.NUMBERVALUE(B296)&gt;39,"Q4")</f>
        <v>Q3</v>
      </c>
      <c r="D296" s="448">
        <f t="shared" si="34"/>
        <v>45871</v>
      </c>
      <c r="E296" s="448">
        <f t="shared" si="30"/>
        <v>45877</v>
      </c>
      <c r="F296" s="97">
        <v>202527</v>
      </c>
      <c r="J296" s="214">
        <f t="shared" si="31"/>
        <v>0</v>
      </c>
      <c r="N296" s="214">
        <f t="shared" si="32"/>
        <v>0</v>
      </c>
      <c r="R296" s="301">
        <f t="shared" si="33"/>
        <v>0</v>
      </c>
    </row>
    <row r="297" spans="1:18" ht="16.350000000000001" customHeight="1">
      <c r="A297" s="175">
        <f t="shared" si="28"/>
        <v>2026</v>
      </c>
      <c r="B297" s="454" t="str">
        <f t="shared" si="29"/>
        <v>28</v>
      </c>
      <c r="C297" s="454" t="str">
        <f t="array" ref="C297">_xlfn.IFS(_xlfn.NUMBERVALUE(B297)&lt;=13,"Q1",AND(_xlfn.NUMBERVALUE(B297)&gt;13,_xlfn.NUMBERVALUE(B297)&lt;=26),"Q2", AND(_xlfn.NUMBERVALUE(B297)&gt;26,_xlfn.NUMBERVALUE(B297)&lt;=39),"Q3",_xlfn.NUMBERVALUE(B297)&gt;39,"Q4")</f>
        <v>Q3</v>
      </c>
      <c r="D297" s="448">
        <f t="shared" si="34"/>
        <v>45878</v>
      </c>
      <c r="E297" s="448">
        <f t="shared" si="30"/>
        <v>45884</v>
      </c>
      <c r="F297" s="97">
        <v>202528</v>
      </c>
      <c r="J297" s="214">
        <f t="shared" si="31"/>
        <v>0</v>
      </c>
      <c r="N297" s="214">
        <f t="shared" si="32"/>
        <v>0</v>
      </c>
      <c r="R297" s="301">
        <f t="shared" si="33"/>
        <v>0</v>
      </c>
    </row>
    <row r="298" spans="1:18" ht="16.350000000000001" customHeight="1">
      <c r="A298" s="175">
        <f t="shared" si="28"/>
        <v>2026</v>
      </c>
      <c r="B298" s="454" t="str">
        <f t="shared" si="29"/>
        <v>29</v>
      </c>
      <c r="C298" s="454" t="str">
        <f t="array" ref="C298">_xlfn.IFS(_xlfn.NUMBERVALUE(B298)&lt;=13,"Q1",AND(_xlfn.NUMBERVALUE(B298)&gt;13,_xlfn.NUMBERVALUE(B298)&lt;=26),"Q2", AND(_xlfn.NUMBERVALUE(B298)&gt;26,_xlfn.NUMBERVALUE(B298)&lt;=39),"Q3",_xlfn.NUMBERVALUE(B298)&gt;39,"Q4")</f>
        <v>Q3</v>
      </c>
      <c r="D298" s="448">
        <f t="shared" si="34"/>
        <v>45885</v>
      </c>
      <c r="E298" s="448">
        <f t="shared" si="30"/>
        <v>45891</v>
      </c>
      <c r="F298" s="97">
        <v>202529</v>
      </c>
      <c r="J298" s="214">
        <f t="shared" si="31"/>
        <v>0</v>
      </c>
      <c r="N298" s="214">
        <f t="shared" si="32"/>
        <v>0</v>
      </c>
      <c r="R298" s="301">
        <f t="shared" si="33"/>
        <v>0</v>
      </c>
    </row>
    <row r="299" spans="1:18" ht="16.350000000000001" customHeight="1">
      <c r="A299" s="175">
        <f t="shared" si="28"/>
        <v>2026</v>
      </c>
      <c r="B299" s="454" t="str">
        <f t="shared" si="29"/>
        <v>30</v>
      </c>
      <c r="C299" s="454" t="str">
        <f t="array" ref="C299">_xlfn.IFS(_xlfn.NUMBERVALUE(B299)&lt;=13,"Q1",AND(_xlfn.NUMBERVALUE(B299)&gt;13,_xlfn.NUMBERVALUE(B299)&lt;=26),"Q2", AND(_xlfn.NUMBERVALUE(B299)&gt;26,_xlfn.NUMBERVALUE(B299)&lt;=39),"Q3",_xlfn.NUMBERVALUE(B299)&gt;39,"Q4")</f>
        <v>Q3</v>
      </c>
      <c r="D299" s="448">
        <f t="shared" si="34"/>
        <v>45892</v>
      </c>
      <c r="E299" s="448">
        <f t="shared" si="30"/>
        <v>45898</v>
      </c>
      <c r="F299" s="97">
        <v>202530</v>
      </c>
      <c r="J299" s="214">
        <f t="shared" si="31"/>
        <v>0</v>
      </c>
      <c r="N299" s="214">
        <f t="shared" si="32"/>
        <v>0</v>
      </c>
      <c r="R299" s="301">
        <f t="shared" si="33"/>
        <v>0</v>
      </c>
    </row>
    <row r="300" spans="1:18" ht="16.350000000000001" customHeight="1">
      <c r="A300" s="175">
        <f t="shared" si="28"/>
        <v>2026</v>
      </c>
      <c r="B300" s="454" t="str">
        <f t="shared" si="29"/>
        <v>31</v>
      </c>
      <c r="C300" s="454" t="str">
        <f t="array" ref="C300">_xlfn.IFS(_xlfn.NUMBERVALUE(B300)&lt;=13,"Q1",AND(_xlfn.NUMBERVALUE(B300)&gt;13,_xlfn.NUMBERVALUE(B300)&lt;=26),"Q2", AND(_xlfn.NUMBERVALUE(B300)&gt;26,_xlfn.NUMBERVALUE(B300)&lt;=39),"Q3",_xlfn.NUMBERVALUE(B300)&gt;39,"Q4")</f>
        <v>Q3</v>
      </c>
      <c r="D300" s="448">
        <f t="shared" si="34"/>
        <v>45899</v>
      </c>
      <c r="E300" s="448">
        <f t="shared" si="30"/>
        <v>45905</v>
      </c>
      <c r="F300" s="97">
        <v>202531</v>
      </c>
      <c r="J300" s="214">
        <f t="shared" si="31"/>
        <v>0</v>
      </c>
      <c r="N300" s="214">
        <f t="shared" si="32"/>
        <v>0</v>
      </c>
      <c r="R300" s="301">
        <f t="shared" si="33"/>
        <v>0</v>
      </c>
    </row>
    <row r="301" spans="1:18" ht="16.350000000000001" customHeight="1">
      <c r="A301" s="175">
        <f t="shared" si="28"/>
        <v>2026</v>
      </c>
      <c r="B301" s="454" t="str">
        <f t="shared" si="29"/>
        <v>32</v>
      </c>
      <c r="C301" s="454" t="str">
        <f t="array" ref="C301">_xlfn.IFS(_xlfn.NUMBERVALUE(B301)&lt;=13,"Q1",AND(_xlfn.NUMBERVALUE(B301)&gt;13,_xlfn.NUMBERVALUE(B301)&lt;=26),"Q2", AND(_xlfn.NUMBERVALUE(B301)&gt;26,_xlfn.NUMBERVALUE(B301)&lt;=39),"Q3",_xlfn.NUMBERVALUE(B301)&gt;39,"Q4")</f>
        <v>Q3</v>
      </c>
      <c r="D301" s="448">
        <f t="shared" si="34"/>
        <v>45906</v>
      </c>
      <c r="E301" s="448">
        <f t="shared" si="30"/>
        <v>45912</v>
      </c>
      <c r="F301" s="97">
        <v>202532</v>
      </c>
      <c r="J301" s="214">
        <f t="shared" si="31"/>
        <v>0</v>
      </c>
      <c r="N301" s="214">
        <f t="shared" si="32"/>
        <v>0</v>
      </c>
      <c r="R301" s="301">
        <f t="shared" si="33"/>
        <v>0</v>
      </c>
    </row>
    <row r="302" spans="1:18" ht="16.350000000000001" customHeight="1">
      <c r="A302" s="175">
        <f t="shared" si="28"/>
        <v>2026</v>
      </c>
      <c r="B302" s="454" t="str">
        <f t="shared" si="29"/>
        <v>33</v>
      </c>
      <c r="C302" s="454" t="str">
        <f t="array" ref="C302">_xlfn.IFS(_xlfn.NUMBERVALUE(B302)&lt;=13,"Q1",AND(_xlfn.NUMBERVALUE(B302)&gt;13,_xlfn.NUMBERVALUE(B302)&lt;=26),"Q2", AND(_xlfn.NUMBERVALUE(B302)&gt;26,_xlfn.NUMBERVALUE(B302)&lt;=39),"Q3",_xlfn.NUMBERVALUE(B302)&gt;39,"Q4")</f>
        <v>Q3</v>
      </c>
      <c r="D302" s="448">
        <f t="shared" si="34"/>
        <v>45913</v>
      </c>
      <c r="E302" s="448">
        <f t="shared" si="30"/>
        <v>45919</v>
      </c>
      <c r="F302" s="97">
        <v>202533</v>
      </c>
      <c r="J302" s="214">
        <f t="shared" si="31"/>
        <v>0</v>
      </c>
      <c r="N302" s="214">
        <f t="shared" si="32"/>
        <v>0</v>
      </c>
      <c r="R302" s="301">
        <f t="shared" si="33"/>
        <v>0</v>
      </c>
    </row>
    <row r="303" spans="1:18" ht="16.350000000000001" customHeight="1">
      <c r="A303" s="175">
        <f t="shared" si="28"/>
        <v>2026</v>
      </c>
      <c r="B303" s="454" t="str">
        <f t="shared" si="29"/>
        <v>34</v>
      </c>
      <c r="C303" s="454" t="str">
        <f t="array" ref="C303">_xlfn.IFS(_xlfn.NUMBERVALUE(B303)&lt;=13,"Q1",AND(_xlfn.NUMBERVALUE(B303)&gt;13,_xlfn.NUMBERVALUE(B303)&lt;=26),"Q2", AND(_xlfn.NUMBERVALUE(B303)&gt;26,_xlfn.NUMBERVALUE(B303)&lt;=39),"Q3",_xlfn.NUMBERVALUE(B303)&gt;39,"Q4")</f>
        <v>Q3</v>
      </c>
      <c r="D303" s="448">
        <f t="shared" si="34"/>
        <v>45920</v>
      </c>
      <c r="E303" s="448">
        <f t="shared" si="30"/>
        <v>45926</v>
      </c>
      <c r="F303" s="97">
        <v>202534</v>
      </c>
      <c r="J303" s="214">
        <f t="shared" si="31"/>
        <v>0</v>
      </c>
      <c r="N303" s="214">
        <f t="shared" si="32"/>
        <v>0</v>
      </c>
      <c r="R303" s="301">
        <f t="shared" si="33"/>
        <v>0</v>
      </c>
    </row>
    <row r="304" spans="1:18" ht="16.350000000000001" customHeight="1">
      <c r="A304" s="175">
        <f t="shared" si="28"/>
        <v>2026</v>
      </c>
      <c r="B304" s="454" t="str">
        <f t="shared" si="29"/>
        <v>35</v>
      </c>
      <c r="C304" s="454" t="str">
        <f t="array" ref="C304">_xlfn.IFS(_xlfn.NUMBERVALUE(B304)&lt;=13,"Q1",AND(_xlfn.NUMBERVALUE(B304)&gt;13,_xlfn.NUMBERVALUE(B304)&lt;=26),"Q2", AND(_xlfn.NUMBERVALUE(B304)&gt;26,_xlfn.NUMBERVALUE(B304)&lt;=39),"Q3",_xlfn.NUMBERVALUE(B304)&gt;39,"Q4")</f>
        <v>Q3</v>
      </c>
      <c r="D304" s="448">
        <f t="shared" si="34"/>
        <v>45927</v>
      </c>
      <c r="E304" s="448">
        <f t="shared" si="30"/>
        <v>45933</v>
      </c>
      <c r="F304" s="97">
        <v>202535</v>
      </c>
      <c r="J304" s="214">
        <f t="shared" si="31"/>
        <v>0</v>
      </c>
      <c r="N304" s="214">
        <f t="shared" si="32"/>
        <v>0</v>
      </c>
      <c r="R304" s="301">
        <f t="shared" si="33"/>
        <v>0</v>
      </c>
    </row>
    <row r="305" spans="1:18" ht="16.350000000000001" customHeight="1">
      <c r="A305" s="175">
        <f t="shared" si="28"/>
        <v>2026</v>
      </c>
      <c r="B305" s="454" t="str">
        <f t="shared" si="29"/>
        <v>36</v>
      </c>
      <c r="C305" s="454" t="str">
        <f t="array" ref="C305">_xlfn.IFS(_xlfn.NUMBERVALUE(B305)&lt;=13,"Q1",AND(_xlfn.NUMBERVALUE(B305)&gt;13,_xlfn.NUMBERVALUE(B305)&lt;=26),"Q2", AND(_xlfn.NUMBERVALUE(B305)&gt;26,_xlfn.NUMBERVALUE(B305)&lt;=39),"Q3",_xlfn.NUMBERVALUE(B305)&gt;39,"Q4")</f>
        <v>Q3</v>
      </c>
      <c r="D305" s="448">
        <f t="shared" si="34"/>
        <v>45934</v>
      </c>
      <c r="E305" s="448">
        <f t="shared" si="30"/>
        <v>45940</v>
      </c>
      <c r="F305" s="97">
        <v>202536</v>
      </c>
      <c r="J305" s="214">
        <f t="shared" si="31"/>
        <v>0</v>
      </c>
      <c r="N305" s="214">
        <f t="shared" si="32"/>
        <v>0</v>
      </c>
      <c r="R305" s="301">
        <f t="shared" si="33"/>
        <v>0</v>
      </c>
    </row>
    <row r="306" spans="1:18" ht="16.350000000000001" customHeight="1">
      <c r="A306" s="175">
        <f t="shared" si="28"/>
        <v>2026</v>
      </c>
      <c r="B306" s="454" t="str">
        <f t="shared" si="29"/>
        <v>37</v>
      </c>
      <c r="C306" s="454" t="str">
        <f t="array" ref="C306">_xlfn.IFS(_xlfn.NUMBERVALUE(B306)&lt;=13,"Q1",AND(_xlfn.NUMBERVALUE(B306)&gt;13,_xlfn.NUMBERVALUE(B306)&lt;=26),"Q2", AND(_xlfn.NUMBERVALUE(B306)&gt;26,_xlfn.NUMBERVALUE(B306)&lt;=39),"Q3",_xlfn.NUMBERVALUE(B306)&gt;39,"Q4")</f>
        <v>Q3</v>
      </c>
      <c r="D306" s="448">
        <f t="shared" si="34"/>
        <v>45941</v>
      </c>
      <c r="E306" s="448">
        <f t="shared" si="30"/>
        <v>45947</v>
      </c>
      <c r="F306" s="97">
        <v>202537</v>
      </c>
      <c r="J306" s="214">
        <f t="shared" si="31"/>
        <v>0</v>
      </c>
      <c r="N306" s="214">
        <f t="shared" si="32"/>
        <v>0</v>
      </c>
      <c r="R306" s="301">
        <f t="shared" si="33"/>
        <v>0</v>
      </c>
    </row>
    <row r="307" spans="1:18" ht="16.350000000000001" customHeight="1">
      <c r="A307" s="175">
        <f t="shared" si="28"/>
        <v>2026</v>
      </c>
      <c r="B307" s="454" t="str">
        <f t="shared" si="29"/>
        <v>38</v>
      </c>
      <c r="C307" s="454" t="str">
        <f t="array" ref="C307">_xlfn.IFS(_xlfn.NUMBERVALUE(B307)&lt;=13,"Q1",AND(_xlfn.NUMBERVALUE(B307)&gt;13,_xlfn.NUMBERVALUE(B307)&lt;=26),"Q2", AND(_xlfn.NUMBERVALUE(B307)&gt;26,_xlfn.NUMBERVALUE(B307)&lt;=39),"Q3",_xlfn.NUMBERVALUE(B307)&gt;39,"Q4")</f>
        <v>Q3</v>
      </c>
      <c r="D307" s="448">
        <f t="shared" si="34"/>
        <v>45948</v>
      </c>
      <c r="E307" s="448">
        <f t="shared" si="30"/>
        <v>45954</v>
      </c>
      <c r="F307" s="97">
        <v>202538</v>
      </c>
      <c r="J307" s="214">
        <f t="shared" si="31"/>
        <v>0</v>
      </c>
      <c r="N307" s="214">
        <f t="shared" si="32"/>
        <v>0</v>
      </c>
      <c r="R307" s="301">
        <f t="shared" si="33"/>
        <v>0</v>
      </c>
    </row>
    <row r="308" spans="1:18" ht="16.350000000000001" customHeight="1">
      <c r="A308" s="175">
        <f t="shared" si="28"/>
        <v>2026</v>
      </c>
      <c r="B308" s="454" t="str">
        <f t="shared" si="29"/>
        <v>39</v>
      </c>
      <c r="C308" s="454" t="str">
        <f t="array" ref="C308">_xlfn.IFS(_xlfn.NUMBERVALUE(B308)&lt;=13,"Q1",AND(_xlfn.NUMBERVALUE(B308)&gt;13,_xlfn.NUMBERVALUE(B308)&lt;=26),"Q2", AND(_xlfn.NUMBERVALUE(B308)&gt;26,_xlfn.NUMBERVALUE(B308)&lt;=39),"Q3",_xlfn.NUMBERVALUE(B308)&gt;39,"Q4")</f>
        <v>Q3</v>
      </c>
      <c r="D308" s="448">
        <f t="shared" si="34"/>
        <v>45955</v>
      </c>
      <c r="E308" s="448">
        <f t="shared" si="30"/>
        <v>45961</v>
      </c>
      <c r="F308" s="97">
        <v>202539</v>
      </c>
      <c r="J308" s="214">
        <f t="shared" si="31"/>
        <v>0</v>
      </c>
      <c r="N308" s="214">
        <f t="shared" si="32"/>
        <v>0</v>
      </c>
      <c r="R308" s="301">
        <f t="shared" si="33"/>
        <v>0</v>
      </c>
    </row>
    <row r="309" spans="1:18" ht="16.350000000000001" customHeight="1">
      <c r="A309" s="175">
        <f t="shared" si="28"/>
        <v>2026</v>
      </c>
      <c r="B309" s="454" t="str">
        <f t="shared" si="29"/>
        <v>40</v>
      </c>
      <c r="C309" s="454" t="str">
        <f t="array" ref="C309">_xlfn.IFS(_xlfn.NUMBERVALUE(B309)&lt;=13,"Q1",AND(_xlfn.NUMBERVALUE(B309)&gt;13,_xlfn.NUMBERVALUE(B309)&lt;=26),"Q2", AND(_xlfn.NUMBERVALUE(B309)&gt;26,_xlfn.NUMBERVALUE(B309)&lt;=39),"Q3",_xlfn.NUMBERVALUE(B309)&gt;39,"Q4")</f>
        <v>Q4</v>
      </c>
      <c r="D309" s="448">
        <f t="shared" si="34"/>
        <v>45962</v>
      </c>
      <c r="E309" s="448">
        <f t="shared" si="30"/>
        <v>45968</v>
      </c>
      <c r="F309" s="97">
        <v>202540</v>
      </c>
      <c r="J309" s="214">
        <f t="shared" si="31"/>
        <v>0</v>
      </c>
      <c r="N309" s="214">
        <f t="shared" si="32"/>
        <v>0</v>
      </c>
      <c r="R309" s="301">
        <f t="shared" si="33"/>
        <v>0</v>
      </c>
    </row>
    <row r="310" spans="1:18" ht="16.350000000000001" customHeight="1">
      <c r="A310" s="175">
        <f t="shared" si="28"/>
        <v>2026</v>
      </c>
      <c r="B310" s="454" t="str">
        <f t="shared" si="29"/>
        <v>41</v>
      </c>
      <c r="C310" s="454" t="str">
        <f t="array" ref="C310">_xlfn.IFS(_xlfn.NUMBERVALUE(B310)&lt;=13,"Q1",AND(_xlfn.NUMBERVALUE(B310)&gt;13,_xlfn.NUMBERVALUE(B310)&lt;=26),"Q2", AND(_xlfn.NUMBERVALUE(B310)&gt;26,_xlfn.NUMBERVALUE(B310)&lt;=39),"Q3",_xlfn.NUMBERVALUE(B310)&gt;39,"Q4")</f>
        <v>Q4</v>
      </c>
      <c r="D310" s="448">
        <f t="shared" si="34"/>
        <v>45969</v>
      </c>
      <c r="E310" s="448">
        <f t="shared" si="30"/>
        <v>45975</v>
      </c>
      <c r="F310" s="97">
        <v>202541</v>
      </c>
      <c r="J310" s="214">
        <f t="shared" si="31"/>
        <v>0</v>
      </c>
      <c r="N310" s="214">
        <f t="shared" si="32"/>
        <v>0</v>
      </c>
      <c r="R310" s="301">
        <f t="shared" si="33"/>
        <v>0</v>
      </c>
    </row>
    <row r="311" spans="1:18" ht="16.350000000000001" customHeight="1">
      <c r="A311" s="175">
        <f t="shared" si="28"/>
        <v>2026</v>
      </c>
      <c r="B311" s="454" t="str">
        <f t="shared" si="29"/>
        <v>42</v>
      </c>
      <c r="C311" s="454" t="str">
        <f t="array" ref="C311">_xlfn.IFS(_xlfn.NUMBERVALUE(B311)&lt;=13,"Q1",AND(_xlfn.NUMBERVALUE(B311)&gt;13,_xlfn.NUMBERVALUE(B311)&lt;=26),"Q2", AND(_xlfn.NUMBERVALUE(B311)&gt;26,_xlfn.NUMBERVALUE(B311)&lt;=39),"Q3",_xlfn.NUMBERVALUE(B311)&gt;39,"Q4")</f>
        <v>Q4</v>
      </c>
      <c r="D311" s="448">
        <f t="shared" si="34"/>
        <v>45976</v>
      </c>
      <c r="E311" s="448">
        <f t="shared" si="30"/>
        <v>45982</v>
      </c>
      <c r="F311" s="97">
        <v>202542</v>
      </c>
      <c r="J311" s="214">
        <f t="shared" si="31"/>
        <v>0</v>
      </c>
      <c r="N311" s="214">
        <f t="shared" si="32"/>
        <v>0</v>
      </c>
      <c r="R311" s="301">
        <f t="shared" si="33"/>
        <v>0</v>
      </c>
    </row>
    <row r="312" spans="1:18" ht="16.350000000000001" customHeight="1">
      <c r="A312" s="175">
        <f t="shared" si="28"/>
        <v>2026</v>
      </c>
      <c r="B312" s="454" t="str">
        <f t="shared" si="29"/>
        <v>43</v>
      </c>
      <c r="C312" s="454" t="str">
        <f t="array" ref="C312">_xlfn.IFS(_xlfn.NUMBERVALUE(B312)&lt;=13,"Q1",AND(_xlfn.NUMBERVALUE(B312)&gt;13,_xlfn.NUMBERVALUE(B312)&lt;=26),"Q2", AND(_xlfn.NUMBERVALUE(B312)&gt;26,_xlfn.NUMBERVALUE(B312)&lt;=39),"Q3",_xlfn.NUMBERVALUE(B312)&gt;39,"Q4")</f>
        <v>Q4</v>
      </c>
      <c r="D312" s="448">
        <f t="shared" si="34"/>
        <v>45983</v>
      </c>
      <c r="E312" s="448">
        <f t="shared" si="30"/>
        <v>45989</v>
      </c>
      <c r="F312" s="97">
        <v>202543</v>
      </c>
      <c r="J312" s="214">
        <f t="shared" si="31"/>
        <v>0</v>
      </c>
      <c r="N312" s="214">
        <f t="shared" si="32"/>
        <v>0</v>
      </c>
      <c r="R312" s="301">
        <f t="shared" si="33"/>
        <v>0</v>
      </c>
    </row>
    <row r="313" spans="1:18" ht="16.350000000000001" customHeight="1">
      <c r="A313" s="175">
        <f t="shared" si="28"/>
        <v>2026</v>
      </c>
      <c r="B313" s="454" t="str">
        <f t="shared" si="29"/>
        <v>44</v>
      </c>
      <c r="C313" s="454" t="str">
        <f t="array" ref="C313">_xlfn.IFS(_xlfn.NUMBERVALUE(B313)&lt;=13,"Q1",AND(_xlfn.NUMBERVALUE(B313)&gt;13,_xlfn.NUMBERVALUE(B313)&lt;=26),"Q2", AND(_xlfn.NUMBERVALUE(B313)&gt;26,_xlfn.NUMBERVALUE(B313)&lt;=39),"Q3",_xlfn.NUMBERVALUE(B313)&gt;39,"Q4")</f>
        <v>Q4</v>
      </c>
      <c r="D313" s="448">
        <f t="shared" si="34"/>
        <v>45990</v>
      </c>
      <c r="E313" s="448">
        <f t="shared" si="30"/>
        <v>45996</v>
      </c>
      <c r="F313" s="97">
        <v>202544</v>
      </c>
      <c r="J313" s="214">
        <f t="shared" si="31"/>
        <v>0</v>
      </c>
      <c r="N313" s="214">
        <f t="shared" si="32"/>
        <v>0</v>
      </c>
      <c r="R313" s="301">
        <f t="shared" si="33"/>
        <v>0</v>
      </c>
    </row>
    <row r="314" spans="1:18" ht="16.350000000000001" customHeight="1">
      <c r="A314" s="175">
        <f t="shared" si="28"/>
        <v>2026</v>
      </c>
      <c r="B314" s="454" t="str">
        <f t="shared" si="29"/>
        <v>45</v>
      </c>
      <c r="C314" s="454" t="str">
        <f t="array" ref="C314">_xlfn.IFS(_xlfn.NUMBERVALUE(B314)&lt;=13,"Q1",AND(_xlfn.NUMBERVALUE(B314)&gt;13,_xlfn.NUMBERVALUE(B314)&lt;=26),"Q2", AND(_xlfn.NUMBERVALUE(B314)&gt;26,_xlfn.NUMBERVALUE(B314)&lt;=39),"Q3",_xlfn.NUMBERVALUE(B314)&gt;39,"Q4")</f>
        <v>Q4</v>
      </c>
      <c r="D314" s="448">
        <f t="shared" si="34"/>
        <v>45997</v>
      </c>
      <c r="E314" s="448">
        <f t="shared" si="30"/>
        <v>46003</v>
      </c>
      <c r="F314" s="97">
        <v>202545</v>
      </c>
      <c r="J314" s="214">
        <f t="shared" si="31"/>
        <v>0</v>
      </c>
      <c r="N314" s="214">
        <f t="shared" si="32"/>
        <v>0</v>
      </c>
      <c r="R314" s="301">
        <f t="shared" si="33"/>
        <v>0</v>
      </c>
    </row>
    <row r="315" spans="1:18" ht="16.350000000000001" customHeight="1">
      <c r="A315" s="175">
        <f t="shared" si="28"/>
        <v>2026</v>
      </c>
      <c r="B315" s="454" t="str">
        <f t="shared" si="29"/>
        <v>46</v>
      </c>
      <c r="C315" s="454" t="str">
        <f t="array" ref="C315">_xlfn.IFS(_xlfn.NUMBERVALUE(B315)&lt;=13,"Q1",AND(_xlfn.NUMBERVALUE(B315)&gt;13,_xlfn.NUMBERVALUE(B315)&lt;=26),"Q2", AND(_xlfn.NUMBERVALUE(B315)&gt;26,_xlfn.NUMBERVALUE(B315)&lt;=39),"Q3",_xlfn.NUMBERVALUE(B315)&gt;39,"Q4")</f>
        <v>Q4</v>
      </c>
      <c r="D315" s="448">
        <f t="shared" si="34"/>
        <v>46004</v>
      </c>
      <c r="E315" s="448">
        <f t="shared" si="30"/>
        <v>46010</v>
      </c>
      <c r="F315" s="97">
        <v>202546</v>
      </c>
      <c r="J315" s="214">
        <f t="shared" si="31"/>
        <v>0</v>
      </c>
      <c r="N315" s="214">
        <f t="shared" si="32"/>
        <v>0</v>
      </c>
      <c r="R315" s="301">
        <f t="shared" si="33"/>
        <v>0</v>
      </c>
    </row>
    <row r="316" spans="1:18" ht="16.350000000000001" customHeight="1">
      <c r="A316" s="175">
        <f t="shared" si="28"/>
        <v>2026</v>
      </c>
      <c r="B316" s="454" t="str">
        <f t="shared" si="29"/>
        <v>47</v>
      </c>
      <c r="C316" s="454" t="str">
        <f t="array" ref="C316">_xlfn.IFS(_xlfn.NUMBERVALUE(B316)&lt;=13,"Q1",AND(_xlfn.NUMBERVALUE(B316)&gt;13,_xlfn.NUMBERVALUE(B316)&lt;=26),"Q2", AND(_xlfn.NUMBERVALUE(B316)&gt;26,_xlfn.NUMBERVALUE(B316)&lt;=39),"Q3",_xlfn.NUMBERVALUE(B316)&gt;39,"Q4")</f>
        <v>Q4</v>
      </c>
      <c r="D316" s="448">
        <f t="shared" si="34"/>
        <v>46011</v>
      </c>
      <c r="E316" s="448">
        <f t="shared" si="30"/>
        <v>46017</v>
      </c>
      <c r="F316" s="97">
        <v>202547</v>
      </c>
      <c r="J316" s="214">
        <f t="shared" si="31"/>
        <v>0</v>
      </c>
      <c r="N316" s="214">
        <f t="shared" si="32"/>
        <v>0</v>
      </c>
      <c r="R316" s="301">
        <f t="shared" si="33"/>
        <v>0</v>
      </c>
    </row>
    <row r="317" spans="1:18" ht="16.350000000000001" customHeight="1">
      <c r="A317" s="175">
        <f t="shared" si="28"/>
        <v>2026</v>
      </c>
      <c r="B317" s="454" t="str">
        <f t="shared" si="29"/>
        <v>48</v>
      </c>
      <c r="C317" s="454" t="str">
        <f t="array" ref="C317">_xlfn.IFS(_xlfn.NUMBERVALUE(B317)&lt;=13,"Q1",AND(_xlfn.NUMBERVALUE(B317)&gt;13,_xlfn.NUMBERVALUE(B317)&lt;=26),"Q2", AND(_xlfn.NUMBERVALUE(B317)&gt;26,_xlfn.NUMBERVALUE(B317)&lt;=39),"Q3",_xlfn.NUMBERVALUE(B317)&gt;39,"Q4")</f>
        <v>Q4</v>
      </c>
      <c r="D317" s="448">
        <f t="shared" si="34"/>
        <v>46018</v>
      </c>
      <c r="E317" s="448">
        <f t="shared" si="30"/>
        <v>46024</v>
      </c>
      <c r="F317" s="97">
        <v>202548</v>
      </c>
      <c r="J317" s="214">
        <f t="shared" si="31"/>
        <v>0</v>
      </c>
      <c r="N317" s="214">
        <f t="shared" si="32"/>
        <v>0</v>
      </c>
      <c r="R317" s="301">
        <f t="shared" si="33"/>
        <v>0</v>
      </c>
    </row>
    <row r="318" spans="1:18" ht="16.350000000000001" customHeight="1">
      <c r="A318" s="175">
        <f t="shared" si="28"/>
        <v>2026</v>
      </c>
      <c r="B318" s="454" t="str">
        <f t="shared" si="29"/>
        <v>49</v>
      </c>
      <c r="C318" s="454" t="str">
        <f t="array" ref="C318">_xlfn.IFS(_xlfn.NUMBERVALUE(B318)&lt;=13,"Q1",AND(_xlfn.NUMBERVALUE(B318)&gt;13,_xlfn.NUMBERVALUE(B318)&lt;=26),"Q2", AND(_xlfn.NUMBERVALUE(B318)&gt;26,_xlfn.NUMBERVALUE(B318)&lt;=39),"Q3",_xlfn.NUMBERVALUE(B318)&gt;39,"Q4")</f>
        <v>Q4</v>
      </c>
      <c r="D318" s="448">
        <f t="shared" si="34"/>
        <v>46025</v>
      </c>
      <c r="E318" s="448">
        <f t="shared" si="30"/>
        <v>46031</v>
      </c>
      <c r="F318" s="97">
        <v>202549</v>
      </c>
      <c r="J318" s="214">
        <f t="shared" si="31"/>
        <v>0</v>
      </c>
      <c r="N318" s="214">
        <f t="shared" si="32"/>
        <v>0</v>
      </c>
      <c r="R318" s="301">
        <f t="shared" si="33"/>
        <v>0</v>
      </c>
    </row>
    <row r="319" spans="1:18" ht="16.350000000000001" customHeight="1">
      <c r="A319" s="175">
        <f t="shared" si="28"/>
        <v>2026</v>
      </c>
      <c r="B319" s="454" t="str">
        <f t="shared" si="29"/>
        <v>50</v>
      </c>
      <c r="C319" s="454" t="str">
        <f t="array" ref="C319">_xlfn.IFS(_xlfn.NUMBERVALUE(B319)&lt;=13,"Q1",AND(_xlfn.NUMBERVALUE(B319)&gt;13,_xlfn.NUMBERVALUE(B319)&lt;=26),"Q2", AND(_xlfn.NUMBERVALUE(B319)&gt;26,_xlfn.NUMBERVALUE(B319)&lt;=39),"Q3",_xlfn.NUMBERVALUE(B319)&gt;39,"Q4")</f>
        <v>Q4</v>
      </c>
      <c r="D319" s="448">
        <f t="shared" si="34"/>
        <v>46032</v>
      </c>
      <c r="E319" s="448">
        <f t="shared" si="30"/>
        <v>46038</v>
      </c>
      <c r="F319" s="97">
        <v>202550</v>
      </c>
      <c r="J319" s="214">
        <f t="shared" si="31"/>
        <v>0</v>
      </c>
      <c r="N319" s="214">
        <f t="shared" si="32"/>
        <v>0</v>
      </c>
      <c r="R319" s="301">
        <f t="shared" si="33"/>
        <v>0</v>
      </c>
    </row>
    <row r="320" spans="1:18" ht="16.350000000000001" customHeight="1">
      <c r="A320" s="175">
        <f t="shared" si="28"/>
        <v>2026</v>
      </c>
      <c r="B320" s="454" t="str">
        <f t="shared" si="29"/>
        <v>51</v>
      </c>
      <c r="C320" s="454" t="str">
        <f t="array" ref="C320">_xlfn.IFS(_xlfn.NUMBERVALUE(B320)&lt;=13,"Q1",AND(_xlfn.NUMBERVALUE(B320)&gt;13,_xlfn.NUMBERVALUE(B320)&lt;=26),"Q2", AND(_xlfn.NUMBERVALUE(B320)&gt;26,_xlfn.NUMBERVALUE(B320)&lt;=39),"Q3",_xlfn.NUMBERVALUE(B320)&gt;39,"Q4")</f>
        <v>Q4</v>
      </c>
      <c r="D320" s="448">
        <f t="shared" si="34"/>
        <v>46039</v>
      </c>
      <c r="E320" s="448">
        <f t="shared" si="30"/>
        <v>46045</v>
      </c>
      <c r="F320" s="97">
        <v>202551</v>
      </c>
      <c r="J320" s="214">
        <f t="shared" si="31"/>
        <v>0</v>
      </c>
      <c r="N320" s="214">
        <f t="shared" si="32"/>
        <v>0</v>
      </c>
      <c r="R320" s="301">
        <f t="shared" si="33"/>
        <v>0</v>
      </c>
    </row>
    <row r="321" spans="1:18" ht="16.350000000000001" customHeight="1" thickBot="1">
      <c r="A321" s="176">
        <f t="shared" si="28"/>
        <v>2026</v>
      </c>
      <c r="B321" s="177" t="str">
        <f t="shared" si="29"/>
        <v>52</v>
      </c>
      <c r="C321" s="177" t="str">
        <f t="array" ref="C321">_xlfn.IFS(_xlfn.NUMBERVALUE(B321)&lt;=13,"Q1",AND(_xlfn.NUMBERVALUE(B321)&gt;13,_xlfn.NUMBERVALUE(B321)&lt;=26),"Q2", AND(_xlfn.NUMBERVALUE(B321)&gt;26,_xlfn.NUMBERVALUE(B321)&lt;=39),"Q3",_xlfn.NUMBERVALUE(B321)&gt;39,"Q4")</f>
        <v>Q4</v>
      </c>
      <c r="D321" s="178">
        <f t="shared" si="34"/>
        <v>46046</v>
      </c>
      <c r="E321" s="178">
        <f t="shared" si="30"/>
        <v>46052</v>
      </c>
      <c r="F321" s="98">
        <v>202552</v>
      </c>
      <c r="G321" s="431"/>
      <c r="H321" s="431"/>
      <c r="I321" s="431"/>
      <c r="J321" s="215">
        <f t="shared" si="31"/>
        <v>0</v>
      </c>
      <c r="K321" s="431"/>
      <c r="L321" s="431"/>
      <c r="M321" s="431"/>
      <c r="N321" s="215">
        <f t="shared" si="32"/>
        <v>0</v>
      </c>
      <c r="O321" s="431"/>
      <c r="P321" s="431"/>
      <c r="Q321" s="431"/>
      <c r="R321" s="302">
        <f t="shared" si="33"/>
        <v>0</v>
      </c>
    </row>
    <row r="322" spans="1:18" ht="16.350000000000001" customHeight="1">
      <c r="F322" s="79"/>
    </row>
    <row r="323" spans="1:18" ht="16.350000000000001" customHeight="1">
      <c r="F323" s="79"/>
    </row>
    <row r="324" spans="1:18" ht="16.350000000000001" customHeight="1">
      <c r="F324" s="79"/>
    </row>
    <row r="325" spans="1:18" ht="16.350000000000001" customHeight="1">
      <c r="F325" s="79"/>
    </row>
    <row r="326" spans="1:18" ht="16.350000000000001" customHeight="1">
      <c r="F326" s="79"/>
    </row>
    <row r="327" spans="1:18" ht="16.350000000000001" customHeight="1">
      <c r="F327" s="79"/>
    </row>
    <row r="328" spans="1:18" ht="16.350000000000001" customHeight="1">
      <c r="F328" s="79"/>
    </row>
    <row r="329" spans="1:18" ht="16.350000000000001" customHeight="1">
      <c r="F329" s="79"/>
    </row>
    <row r="330" spans="1:18" ht="16.350000000000001" customHeight="1">
      <c r="F330" s="79"/>
    </row>
    <row r="331" spans="1:18" ht="16.350000000000001" customHeight="1">
      <c r="F331" s="79"/>
    </row>
    <row r="332" spans="1:18" ht="16.350000000000001" customHeight="1">
      <c r="F332" s="79"/>
    </row>
    <row r="333" spans="1:18" ht="16.350000000000001" customHeight="1">
      <c r="F333" s="79"/>
    </row>
    <row r="334" spans="1:18" ht="16.350000000000001" customHeight="1">
      <c r="F334" s="79"/>
    </row>
    <row r="335" spans="1:18" ht="16.350000000000001" customHeight="1">
      <c r="F335" s="79"/>
    </row>
    <row r="336" spans="1:18" ht="16.350000000000001" customHeight="1">
      <c r="F336" s="79"/>
    </row>
    <row r="337" spans="6:6" ht="16.350000000000001" customHeight="1">
      <c r="F337" s="79"/>
    </row>
    <row r="338" spans="6:6" ht="16.350000000000001" customHeight="1">
      <c r="F338" s="79"/>
    </row>
    <row r="339" spans="6:6" ht="16.350000000000001" customHeight="1">
      <c r="F339" s="79"/>
    </row>
    <row r="340" spans="6:6" ht="16.350000000000001" customHeight="1">
      <c r="F340" s="79"/>
    </row>
    <row r="341" spans="6:6" ht="16.350000000000001" customHeight="1">
      <c r="F341" s="79"/>
    </row>
    <row r="342" spans="6:6" ht="16.350000000000001" customHeight="1">
      <c r="F342" s="79"/>
    </row>
    <row r="343" spans="6:6" ht="16.350000000000001" customHeight="1">
      <c r="F343" s="79"/>
    </row>
    <row r="344" spans="6:6" ht="16.350000000000001" customHeight="1">
      <c r="F344" s="79"/>
    </row>
    <row r="345" spans="6:6" ht="16.350000000000001" customHeight="1">
      <c r="F345" s="79"/>
    </row>
    <row r="346" spans="6:6" ht="16.350000000000001" customHeight="1">
      <c r="F346" s="79"/>
    </row>
    <row r="347" spans="6:6" ht="16.350000000000001" customHeight="1">
      <c r="F347" s="79"/>
    </row>
    <row r="348" spans="6:6" ht="16.350000000000001" customHeight="1">
      <c r="F348" s="79"/>
    </row>
    <row r="349" spans="6:6" ht="16.350000000000001" customHeight="1">
      <c r="F349" s="79"/>
    </row>
    <row r="350" spans="6:6" ht="16.350000000000001" customHeight="1">
      <c r="F350" s="79"/>
    </row>
    <row r="351" spans="6:6" ht="16.350000000000001" customHeight="1">
      <c r="F351" s="79"/>
    </row>
    <row r="352" spans="6:6" ht="16.350000000000001" customHeight="1">
      <c r="F352" s="79"/>
    </row>
    <row r="353" spans="6:6" ht="16.350000000000001" customHeight="1">
      <c r="F353" s="79"/>
    </row>
    <row r="354" spans="6:6" ht="16.350000000000001" customHeight="1">
      <c r="F354" s="79"/>
    </row>
    <row r="355" spans="6:6" ht="16.350000000000001" customHeight="1">
      <c r="F355" s="79"/>
    </row>
    <row r="356" spans="6:6" ht="16.350000000000001" customHeight="1">
      <c r="F356" s="79"/>
    </row>
    <row r="357" spans="6:6" ht="16.350000000000001" customHeight="1">
      <c r="F357" s="79"/>
    </row>
    <row r="358" spans="6:6" ht="16.350000000000001" customHeight="1">
      <c r="F358" s="79"/>
    </row>
    <row r="359" spans="6:6" ht="16.350000000000001" customHeight="1">
      <c r="F359" s="79"/>
    </row>
    <row r="360" spans="6:6" ht="16.350000000000001" customHeight="1">
      <c r="F360" s="79"/>
    </row>
    <row r="361" spans="6:6" ht="16.350000000000001" customHeight="1">
      <c r="F361" s="79"/>
    </row>
    <row r="362" spans="6:6" ht="16.350000000000001" customHeight="1">
      <c r="F362" s="79"/>
    </row>
    <row r="363" spans="6:6" ht="16.350000000000001" customHeight="1">
      <c r="F363" s="79"/>
    </row>
    <row r="364" spans="6:6" ht="16.350000000000001" customHeight="1">
      <c r="F364" s="79"/>
    </row>
    <row r="365" spans="6:6" ht="16.350000000000001" customHeight="1">
      <c r="F365" s="79"/>
    </row>
    <row r="366" spans="6:6" ht="16.350000000000001" customHeight="1">
      <c r="F366" s="79"/>
    </row>
    <row r="367" spans="6:6" ht="16.350000000000001" customHeight="1">
      <c r="F367" s="79"/>
    </row>
    <row r="368" spans="6:6" ht="16.350000000000001" customHeight="1">
      <c r="F368" s="79"/>
    </row>
  </sheetData>
  <mergeCells count="3">
    <mergeCell ref="E1:E6"/>
    <mergeCell ref="A1:C6"/>
    <mergeCell ref="D1:D6"/>
  </mergeCells>
  <conditionalFormatting sqref="G1:R1 G3:R3">
    <cfRule type="cellIs" dxfId="75" priority="5" operator="between">
      <formula>-0.1</formula>
      <formula>0</formula>
    </cfRule>
    <cfRule type="cellIs" dxfId="74" priority="6" operator="between">
      <formula>0</formula>
      <formula>0.1</formula>
    </cfRule>
    <cfRule type="cellIs" dxfId="73" priority="7" operator="lessThanOrEqual">
      <formula>-0.1</formula>
    </cfRule>
    <cfRule type="cellIs" dxfId="72" priority="8" operator="greaterThanOrEqual">
      <formula>0.1</formula>
    </cfRule>
  </conditionalFormatting>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A1:V265"/>
  <sheetViews>
    <sheetView showGridLines="0" zoomScale="80" zoomScaleNormal="80" workbookViewId="0">
      <pane xSplit="6" ySplit="4" topLeftCell="G200" activePane="bottomRight" state="frozen"/>
      <selection pane="topRight" activeCell="W230" sqref="W230:AA230"/>
      <selection pane="bottomLeft" activeCell="W230" sqref="W230:AA230"/>
      <selection pane="bottomRight" activeCell="I224" sqref="I224"/>
    </sheetView>
  </sheetViews>
  <sheetFormatPr defaultColWidth="9.42578125" defaultRowHeight="15"/>
  <cols>
    <col min="1" max="1" width="6.42578125" style="78" bestFit="1" customWidth="1"/>
    <col min="2" max="2" width="7" style="78" bestFit="1" customWidth="1"/>
    <col min="3" max="3" width="8" style="78" bestFit="1" customWidth="1"/>
    <col min="4" max="4" width="11" style="78" customWidth="1"/>
    <col min="5" max="5" width="10.5703125" style="78" bestFit="1" customWidth="1"/>
    <col min="6" max="6" width="10.42578125" style="158" bestFit="1" customWidth="1"/>
    <col min="7" max="7" width="20.5703125" style="78" customWidth="1"/>
    <col min="8" max="8" width="24.42578125" style="78" bestFit="1" customWidth="1"/>
    <col min="9" max="9" width="9.42578125" style="78" bestFit="1" customWidth="1"/>
    <col min="10" max="10" width="14.5703125" style="78" bestFit="1" customWidth="1"/>
    <col min="11" max="11" width="29.42578125" style="78" bestFit="1" customWidth="1"/>
    <col min="12" max="13" width="12.5703125" style="78" bestFit="1" customWidth="1"/>
    <col min="14" max="14" width="8.42578125" style="78" bestFit="1" customWidth="1"/>
    <col min="15" max="15" width="8" style="78" bestFit="1" customWidth="1"/>
    <col min="16" max="16" width="12.5703125" style="78" customWidth="1"/>
    <col min="17" max="17" width="9.42578125" style="78" bestFit="1" customWidth="1"/>
    <col min="18" max="18" width="16" style="78" bestFit="1" customWidth="1"/>
    <col min="19" max="19" width="10" style="78" bestFit="1" customWidth="1"/>
    <col min="20" max="20" width="12.5703125" style="78" bestFit="1" customWidth="1"/>
    <col min="21" max="21" width="10.5703125" style="78" bestFit="1" customWidth="1"/>
    <col min="22" max="95" width="9.42578125" style="78" customWidth="1"/>
    <col min="96" max="16384" width="9.42578125" style="78"/>
  </cols>
  <sheetData>
    <row r="1" spans="1:21" ht="15.75" customHeight="1" thickBot="1">
      <c r="A1" s="1005">
        <f>VLOOKUP(E1,E5:F265,2,FALSE)</f>
        <v>202505</v>
      </c>
      <c r="B1" s="980"/>
      <c r="C1" s="980"/>
      <c r="D1" s="976">
        <f>E1-6</f>
        <v>45717</v>
      </c>
      <c r="E1" s="976">
        <f>'Overall Metrics'!E1</f>
        <v>45723</v>
      </c>
      <c r="F1" s="94" t="s">
        <v>162</v>
      </c>
      <c r="G1" s="292">
        <f>IFERROR(VLOOKUP($A$1,$F$5:G265,COLUMNS($F$5:G265),FALSE)/VLOOKUP(($A$1-IF(RIGHT($A$1,2)="01",48,1)),$F$5:G265,COLUMNS($F$5:G265),FALSE)-1,"NA")</f>
        <v>0.54164588528678315</v>
      </c>
      <c r="H1" s="293">
        <f>IFERROR(VLOOKUP($A$1,$F$5:H265,COLUMNS($F$5:H265),FALSE)/VLOOKUP(($A$1-IF(RIGHT($A$1,2)="01",48,1)),$F$5:H265,COLUMNS($F$5:H265),FALSE)-1,"NA")</f>
        <v>-0.40886524822695036</v>
      </c>
      <c r="I1" s="293">
        <f>IFERROR(VLOOKUP($A$1,$F$5:I265,COLUMNS($F$5:I265),FALSE)/VLOOKUP(($A$1-IF(RIGHT($A$1,2)="01",48,1)),$F$5:I265,COLUMNS($F$5:I265),FALSE)-1,"NA")</f>
        <v>-8.0376028202115202E-2</v>
      </c>
      <c r="J1" s="293">
        <f>IFERROR(VLOOKUP($A$1,$F$5:J265,COLUMNS($F$5:J265),FALSE)/VLOOKUP(($A$1-IF(RIGHT($A$1,2)="01",48,1)),$F$5:J265,COLUMNS($F$5:J265),FALSE)-1,"NA")</f>
        <v>-0.58767190569744598</v>
      </c>
      <c r="K1" s="293">
        <f>IFERROR(VLOOKUP($A$1,$F$5:K265,COLUMNS($F$5:K265),FALSE)/VLOOKUP(($A$1-IF(RIGHT($A$1,2)="01",48,1)),$F$5:K265,COLUMNS($F$5:K265),FALSE)-1,"NA")</f>
        <v>0.2767235926628715</v>
      </c>
      <c r="L1" s="293">
        <f>IFERROR(VLOOKUP($A$1,$F$5:L265,COLUMNS($F$5:L265),FALSE)/VLOOKUP(($A$1-IF(RIGHT($A$1,2)="01",48,1)),$F$5:L265,COLUMNS($F$5:L265),FALSE)-1,"NA")</f>
        <v>5.4209342992755483E-2</v>
      </c>
      <c r="M1" s="293">
        <f>IFERROR(VLOOKUP($A$1,$F$5:M265,COLUMNS($F$5:M265),FALSE)/VLOOKUP(($A$1-IF(RIGHT($A$1,2)="01",48,1)),$F$5:M265,COLUMNS($F$5:M265),FALSE)-1,"NA")</f>
        <v>0.59937050359712241</v>
      </c>
      <c r="N1" s="293">
        <f>IFERROR(VLOOKUP($A$1,$F$5:N265,COLUMNS($F$5:N265),FALSE)/VLOOKUP(($A$1-IF(RIGHT($A$1,2)="01",48,1)),$F$5:N265,COLUMNS($F$5:N265),FALSE)-1,"NA")</f>
        <v>0.93620414673046248</v>
      </c>
      <c r="O1" s="293">
        <f>IFERROR(VLOOKUP($A$1,$F$5:O265,COLUMNS($F$5:O265),FALSE)/VLOOKUP(($A$1-IF(RIGHT($A$1,2)="01",48,1)),$F$5:O265,COLUMNS($F$5:O265),FALSE)-1,"NA")</f>
        <v>0.44353693181818188</v>
      </c>
      <c r="P1" s="293">
        <f>IFERROR(VLOOKUP($A$1,$F$5:P265,COLUMNS($F$5:P265),FALSE)/VLOOKUP(($A$1-IF(RIGHT($A$1,2)="01",48,1)),$F$5:P265,COLUMNS($F$5:P265),FALSE)-1,"NA")</f>
        <v>-0.22404595814526052</v>
      </c>
      <c r="Q1" s="293">
        <f>IFERROR(VLOOKUP($A$1,$F$5:Q265,COLUMNS($F$5:Q265),FALSE)/VLOOKUP(($A$1-IF(RIGHT($A$1,2)="01",48,1)),$F$5:Q265,COLUMNS($F$5:Q265),FALSE)-1,"NA")</f>
        <v>0.14459665144596645</v>
      </c>
      <c r="R1" s="293">
        <f>IFERROR(VLOOKUP($A$1,$F$5:R265,COLUMNS($F$5:R265),FALSE)/VLOOKUP(($A$1-IF(RIGHT($A$1,2)="01",48,1)),$F$5:R265,COLUMNS($F$5:R265),FALSE)-1,"NA")</f>
        <v>-0.4724338861497086</v>
      </c>
      <c r="S1" s="292">
        <f>IFERROR(VLOOKUP($A$1,$F$5:S265,COLUMNS($F$5:S265),FALSE)/VLOOKUP(($A$1-IF(RIGHT($A$1,2)="01",48,1)),$F$5:S265,COLUMNS($F$5:S265),FALSE)-1,"NA")</f>
        <v>-2.5871554708676636E-2</v>
      </c>
      <c r="T1" s="293">
        <f>IFERROR(VLOOKUP($A$1,$F$5:T265,COLUMNS($F$5:T265),FALSE)/VLOOKUP(($A$1-IF(RIGHT($A$1,2)="01",48,1)),$F$5:T265,COLUMNS($F$5:T265),FALSE)-1,"NA")</f>
        <v>-0.18583884966901987</v>
      </c>
      <c r="U1" s="294">
        <f>IFERROR(VLOOKUP($A$1,$F$5:U265,COLUMNS($F$5:U265),FALSE)/VLOOKUP(($A$1-IF(RIGHT($A$1,2)="01",48,1)),$F$5:U265,COLUMNS($F$5:U265),FALSE)-1,"NA")</f>
        <v>-0.14241587562924807</v>
      </c>
    </row>
    <row r="2" spans="1:21" ht="16.5" customHeight="1" thickBot="1">
      <c r="A2" s="982"/>
      <c r="B2" s="978"/>
      <c r="C2" s="978"/>
      <c r="D2" s="978"/>
      <c r="E2" s="978"/>
      <c r="F2" s="96" t="s">
        <v>163</v>
      </c>
      <c r="G2" s="317">
        <f>IFERROR(VLOOKUP(($A$1),$F$5:G265,COLUMNS($F$5:G265),FALSE)/VLOOKUP(($A$1-99),$F$5:G265,COLUMNS($F$5:G265),FALSE)-1,"NA")</f>
        <v>1.9635666347075742</v>
      </c>
      <c r="H2" s="318">
        <f>IFERROR(VLOOKUP(($A$1),$F$5:H265,COLUMNS($F$5:H265),FALSE)/VLOOKUP(($A$1-99),$F$5:H265,COLUMNS($F$5:H265),FALSE)-1,"NA")</f>
        <v>0.22214076246334313</v>
      </c>
      <c r="I2" s="318">
        <f>IFERROR(VLOOKUP(($A$1),$F$5:I265,COLUMNS($F$5:I265),FALSE)/VLOOKUP(($A$1-99),$F$5:I265,COLUMNS($F$5:I265),FALSE)-1,"NA")</f>
        <v>0.34144669180665077</v>
      </c>
      <c r="J2" s="318">
        <f>IFERROR(VLOOKUP(($A$1),$F$5:J265,COLUMNS($F$5:J265),FALSE)/VLOOKUP(($A$1-99),$F$5:J265,COLUMNS($F$5:J265),FALSE)-1,"NA")</f>
        <v>-0.65309917355371905</v>
      </c>
      <c r="K2" s="318">
        <f>IFERROR(VLOOKUP(($A$1),$F$5:K265,COLUMNS($F$5:K265),FALSE)/VLOOKUP(($A$1-99),$F$5:K265,COLUMNS($F$5:K265),FALSE)-1,"NA")</f>
        <v>0.37922787837376148</v>
      </c>
      <c r="L2" s="318">
        <f>IFERROR(VLOOKUP(($A$1),$F$5:L265,COLUMNS($F$5:L265),FALSE)/VLOOKUP(($A$1-99),$F$5:L265,COLUMNS($F$5:L265),FALSE)-1,"NA")</f>
        <v>-2.8321436794842225E-2</v>
      </c>
      <c r="M2" s="318">
        <f>IFERROR(VLOOKUP(($A$1),$F$5:M265,COLUMNS($F$5:M265),FALSE)/VLOOKUP(($A$1-99),$F$5:M265,COLUMNS($F$5:M265),FALSE)-1,"NA")</f>
        <v>-0.14185765983112186</v>
      </c>
      <c r="N2" s="318">
        <f>IFERROR(VLOOKUP(($A$1),$F$5:N265,COLUMNS($F$5:N265),FALSE)/VLOOKUP(($A$1-99),$F$5:N265,COLUMNS($F$5:N265),FALSE)-1,"NA")</f>
        <v>0.39380022962112515</v>
      </c>
      <c r="O2" s="318">
        <f>IFERROR(VLOOKUP(($A$1),$F$5:O265,COLUMNS($F$5:O265),FALSE)/VLOOKUP(($A$1-99),$F$5:O265,COLUMNS($F$5:O265),FALSE)-1,"NA")</f>
        <v>0.83853459972862954</v>
      </c>
      <c r="P2" s="318">
        <f>IFERROR(VLOOKUP(($A$1),$F$5:P265,COLUMNS($F$5:P265),FALSE)/VLOOKUP(($A$1-99),$F$5:P265,COLUMNS($F$5:P265),FALSE)-1,"NA")</f>
        <v>1.9047619047619047</v>
      </c>
      <c r="Q2" s="318">
        <f>IFERROR(VLOOKUP(($A$1),$F$5:Q265,COLUMNS($F$5:Q265),FALSE)/VLOOKUP(($A$1-99),$F$5:Q265,COLUMNS($F$5:Q265),FALSE)-1,"NA")</f>
        <v>0.33807829181494653</v>
      </c>
      <c r="R2" s="319">
        <f>IFERROR(VLOOKUP(($A$1),$F$5:R265,COLUMNS($F$5:R265),FALSE)/VLOOKUP(($A$1-99),$F$5:R265,COLUMNS($F$5:R265),FALSE)-1,"NA")</f>
        <v>-0.3141025641025641</v>
      </c>
      <c r="S2" s="318">
        <f>IFERROR(VLOOKUP(($A$1),$F$5:S265,COLUMNS($F$5:S265),FALSE)/VLOOKUP(($A$1-99),$F$5:S265,COLUMNS($F$5:S265),FALSE)-1,"NA")</f>
        <v>0.15632366995858549</v>
      </c>
      <c r="T2" s="318">
        <f>IFERROR(VLOOKUP(($A$1),$F$5:T265,COLUMNS($F$5:T265),FALSE)/VLOOKUP(($A$1-99),$F$5:T265,COLUMNS($F$5:T265),FALSE)-1,"NA")</f>
        <v>2.4369684464798036E-2</v>
      </c>
      <c r="U2" s="319">
        <f>IFERROR(VLOOKUP(($A$1),$F$5:U265,COLUMNS($F$5:U265),FALSE)/VLOOKUP(($A$1-99),$F$5:U265,COLUMNS($F$5:U265),FALSE)-1,"NA")</f>
        <v>6.1727726969352581E-2</v>
      </c>
    </row>
    <row r="3" spans="1:21" ht="15.75" customHeight="1" thickBot="1">
      <c r="F3" s="78"/>
    </row>
    <row r="4" spans="1:21" s="235" customFormat="1" ht="30.75" customHeight="1" thickBot="1">
      <c r="A4" s="81" t="s">
        <v>41</v>
      </c>
      <c r="B4" s="82" t="s">
        <v>44</v>
      </c>
      <c r="C4" s="82" t="s">
        <v>177</v>
      </c>
      <c r="D4" s="82" t="s">
        <v>323</v>
      </c>
      <c r="E4" s="82" t="s">
        <v>48</v>
      </c>
      <c r="F4" s="83" t="s">
        <v>178</v>
      </c>
      <c r="G4" s="81" t="s">
        <v>401</v>
      </c>
      <c r="H4" s="82" t="s">
        <v>402</v>
      </c>
      <c r="I4" s="82" t="s">
        <v>403</v>
      </c>
      <c r="J4" s="82" t="s">
        <v>404</v>
      </c>
      <c r="K4" s="82" t="s">
        <v>405</v>
      </c>
      <c r="L4" s="82" t="s">
        <v>406</v>
      </c>
      <c r="M4" s="82" t="s">
        <v>407</v>
      </c>
      <c r="N4" s="82" t="s">
        <v>408</v>
      </c>
      <c r="O4" s="82" t="s">
        <v>409</v>
      </c>
      <c r="P4" s="82" t="s">
        <v>410</v>
      </c>
      <c r="Q4" s="82" t="s">
        <v>411</v>
      </c>
      <c r="R4" s="83" t="s">
        <v>412</v>
      </c>
      <c r="S4" s="81" t="s">
        <v>413</v>
      </c>
      <c r="T4" s="82" t="s">
        <v>414</v>
      </c>
      <c r="U4" s="83" t="s">
        <v>184</v>
      </c>
    </row>
    <row r="5" spans="1:21" ht="15.75" customHeight="1">
      <c r="A5" s="188">
        <f t="shared" ref="A5:A68" si="0">LEFT(F5,4)+1</f>
        <v>2022</v>
      </c>
      <c r="B5" s="172" t="str">
        <f t="shared" ref="B5:B68" si="1">RIGHT(F5,2)</f>
        <v>01</v>
      </c>
      <c r="C5" s="172" t="str">
        <f t="array" ref="C5">_xlfn.IFS(_xlfn.NUMBERVALUE(B5)&lt;=13,"Q1",AND(_xlfn.NUMBERVALUE(B5)&gt;13,_xlfn.NUMBERVALUE(B5)&lt;=26),"Q2", AND(_xlfn.NUMBERVALUE(B5)&gt;26,_xlfn.NUMBERVALUE(B5)&lt;=39),"Q3",_xlfn.NUMBERVALUE(B5)&gt;39,"Q4")</f>
        <v>Q1</v>
      </c>
      <c r="D5" s="174">
        <v>44226</v>
      </c>
      <c r="E5" s="174">
        <v>44232</v>
      </c>
      <c r="F5" s="303">
        <v>202101</v>
      </c>
      <c r="G5" s="304"/>
      <c r="H5" s="305"/>
      <c r="I5" s="306"/>
      <c r="J5" s="306"/>
      <c r="K5" s="306"/>
      <c r="L5" s="306"/>
      <c r="M5" s="306"/>
      <c r="N5" s="306"/>
      <c r="O5" s="306"/>
      <c r="P5" s="306"/>
      <c r="Q5" s="306"/>
      <c r="R5" s="307"/>
      <c r="S5" s="320">
        <f t="shared" ref="S5:S68" si="2">SUM(G5:R5)</f>
        <v>0</v>
      </c>
      <c r="T5" s="321">
        <f t="shared" ref="T5:T68" si="3">U5-S5</f>
        <v>0</v>
      </c>
      <c r="U5" s="322">
        <f>'Overall Metrics'!M59</f>
        <v>0</v>
      </c>
    </row>
    <row r="6" spans="1:21" ht="15.75" customHeight="1">
      <c r="A6" s="175">
        <f t="shared" si="0"/>
        <v>2022</v>
      </c>
      <c r="B6" s="454" t="str">
        <f t="shared" si="1"/>
        <v>02</v>
      </c>
      <c r="C6" s="454" t="str">
        <f t="array" ref="C6">_xlfn.IFS(_xlfn.NUMBERVALUE(B6)&lt;=13,"Q1",AND(_xlfn.NUMBERVALUE(B6)&gt;13,_xlfn.NUMBERVALUE(B6)&lt;=26),"Q2", AND(_xlfn.NUMBERVALUE(B6)&gt;26,_xlfn.NUMBERVALUE(B6)&lt;=39),"Q3",_xlfn.NUMBERVALUE(B6)&gt;39,"Q4")</f>
        <v>Q1</v>
      </c>
      <c r="D6" s="448">
        <f t="shared" ref="D6:D69" si="4">E5+1</f>
        <v>44233</v>
      </c>
      <c r="E6" s="448">
        <f t="shared" ref="E6:E69" si="5">D6+6</f>
        <v>44239</v>
      </c>
      <c r="F6" s="308">
        <v>202102</v>
      </c>
      <c r="G6" s="309"/>
      <c r="H6" s="461"/>
      <c r="I6" s="310"/>
      <c r="J6" s="310"/>
      <c r="K6" s="310"/>
      <c r="L6" s="310"/>
      <c r="M6" s="310"/>
      <c r="N6" s="310"/>
      <c r="O6" s="310"/>
      <c r="P6" s="310"/>
      <c r="Q6" s="310"/>
      <c r="R6" s="311"/>
      <c r="S6" s="323">
        <f t="shared" si="2"/>
        <v>0</v>
      </c>
      <c r="T6" s="456">
        <f t="shared" si="3"/>
        <v>0</v>
      </c>
      <c r="U6" s="324">
        <f>'Overall Metrics'!M60</f>
        <v>0</v>
      </c>
    </row>
    <row r="7" spans="1:21" ht="15.75" customHeight="1">
      <c r="A7" s="175">
        <f t="shared" si="0"/>
        <v>2022</v>
      </c>
      <c r="B7" s="454" t="str">
        <f t="shared" si="1"/>
        <v>03</v>
      </c>
      <c r="C7" s="454" t="str">
        <f t="array" ref="C7">_xlfn.IFS(_xlfn.NUMBERVALUE(B7)&lt;=13,"Q1",AND(_xlfn.NUMBERVALUE(B7)&gt;13,_xlfn.NUMBERVALUE(B7)&lt;=26),"Q2", AND(_xlfn.NUMBERVALUE(B7)&gt;26,_xlfn.NUMBERVALUE(B7)&lt;=39),"Q3",_xlfn.NUMBERVALUE(B7)&gt;39,"Q4")</f>
        <v>Q1</v>
      </c>
      <c r="D7" s="448">
        <f t="shared" si="4"/>
        <v>44240</v>
      </c>
      <c r="E7" s="448">
        <f t="shared" si="5"/>
        <v>44246</v>
      </c>
      <c r="F7" s="308">
        <v>202103</v>
      </c>
      <c r="G7" s="309"/>
      <c r="H7" s="461"/>
      <c r="I7" s="310"/>
      <c r="J7" s="310"/>
      <c r="K7" s="310"/>
      <c r="L7" s="310"/>
      <c r="M7" s="310"/>
      <c r="N7" s="310"/>
      <c r="O7" s="310"/>
      <c r="P7" s="310"/>
      <c r="Q7" s="310"/>
      <c r="R7" s="311"/>
      <c r="S7" s="323">
        <f t="shared" si="2"/>
        <v>0</v>
      </c>
      <c r="T7" s="456">
        <f t="shared" si="3"/>
        <v>0</v>
      </c>
      <c r="U7" s="324">
        <f>'Overall Metrics'!M61</f>
        <v>0</v>
      </c>
    </row>
    <row r="8" spans="1:21" ht="15.75" customHeight="1">
      <c r="A8" s="175">
        <f t="shared" si="0"/>
        <v>2022</v>
      </c>
      <c r="B8" s="454" t="str">
        <f t="shared" si="1"/>
        <v>04</v>
      </c>
      <c r="C8" s="454" t="str">
        <f t="array" ref="C8">_xlfn.IFS(_xlfn.NUMBERVALUE(B8)&lt;=13,"Q1",AND(_xlfn.NUMBERVALUE(B8)&gt;13,_xlfn.NUMBERVALUE(B8)&lt;=26),"Q2", AND(_xlfn.NUMBERVALUE(B8)&gt;26,_xlfn.NUMBERVALUE(B8)&lt;=39),"Q3",_xlfn.NUMBERVALUE(B8)&gt;39,"Q4")</f>
        <v>Q1</v>
      </c>
      <c r="D8" s="448">
        <f t="shared" si="4"/>
        <v>44247</v>
      </c>
      <c r="E8" s="448">
        <f t="shared" si="5"/>
        <v>44253</v>
      </c>
      <c r="F8" s="308">
        <v>202104</v>
      </c>
      <c r="G8" s="309"/>
      <c r="H8" s="461"/>
      <c r="I8" s="310"/>
      <c r="J8" s="310"/>
      <c r="K8" s="310"/>
      <c r="L8" s="310"/>
      <c r="M8" s="310"/>
      <c r="N8" s="310"/>
      <c r="O8" s="310"/>
      <c r="P8" s="310"/>
      <c r="Q8" s="310"/>
      <c r="R8" s="311"/>
      <c r="S8" s="323">
        <f t="shared" si="2"/>
        <v>0</v>
      </c>
      <c r="T8" s="456">
        <f t="shared" si="3"/>
        <v>0</v>
      </c>
      <c r="U8" s="324">
        <f>'Overall Metrics'!M62</f>
        <v>0</v>
      </c>
    </row>
    <row r="9" spans="1:21" ht="15.75" customHeight="1">
      <c r="A9" s="175">
        <f t="shared" si="0"/>
        <v>2022</v>
      </c>
      <c r="B9" s="454" t="str">
        <f t="shared" si="1"/>
        <v>05</v>
      </c>
      <c r="C9" s="454" t="str">
        <f t="array" ref="C9">_xlfn.IFS(_xlfn.NUMBERVALUE(B9)&lt;=13,"Q1",AND(_xlfn.NUMBERVALUE(B9)&gt;13,_xlfn.NUMBERVALUE(B9)&lt;=26),"Q2", AND(_xlfn.NUMBERVALUE(B9)&gt;26,_xlfn.NUMBERVALUE(B9)&lt;=39),"Q3",_xlfn.NUMBERVALUE(B9)&gt;39,"Q4")</f>
        <v>Q1</v>
      </c>
      <c r="D9" s="448">
        <f t="shared" si="4"/>
        <v>44254</v>
      </c>
      <c r="E9" s="448">
        <f t="shared" si="5"/>
        <v>44260</v>
      </c>
      <c r="F9" s="308">
        <v>202105</v>
      </c>
      <c r="G9" s="309"/>
      <c r="H9" s="461"/>
      <c r="I9" s="310"/>
      <c r="J9" s="310"/>
      <c r="K9" s="310"/>
      <c r="L9" s="310"/>
      <c r="M9" s="310"/>
      <c r="N9" s="310"/>
      <c r="O9" s="310"/>
      <c r="P9" s="310"/>
      <c r="Q9" s="310"/>
      <c r="R9" s="311"/>
      <c r="S9" s="323">
        <f t="shared" si="2"/>
        <v>0</v>
      </c>
      <c r="T9" s="456">
        <f t="shared" si="3"/>
        <v>0</v>
      </c>
      <c r="U9" s="324">
        <f>'Overall Metrics'!M63</f>
        <v>0</v>
      </c>
    </row>
    <row r="10" spans="1:21" ht="15.75" customHeight="1">
      <c r="A10" s="175">
        <f t="shared" si="0"/>
        <v>2022</v>
      </c>
      <c r="B10" s="454" t="str">
        <f t="shared" si="1"/>
        <v>06</v>
      </c>
      <c r="C10" s="454" t="str">
        <f t="array" ref="C10">_xlfn.IFS(_xlfn.NUMBERVALUE(B10)&lt;=13,"Q1",AND(_xlfn.NUMBERVALUE(B10)&gt;13,_xlfn.NUMBERVALUE(B10)&lt;=26),"Q2", AND(_xlfn.NUMBERVALUE(B10)&gt;26,_xlfn.NUMBERVALUE(B10)&lt;=39),"Q3",_xlfn.NUMBERVALUE(B10)&gt;39,"Q4")</f>
        <v>Q1</v>
      </c>
      <c r="D10" s="448">
        <f t="shared" si="4"/>
        <v>44261</v>
      </c>
      <c r="E10" s="448">
        <f t="shared" si="5"/>
        <v>44267</v>
      </c>
      <c r="F10" s="308">
        <v>202106</v>
      </c>
      <c r="G10" s="309"/>
      <c r="H10" s="461"/>
      <c r="I10" s="310"/>
      <c r="J10" s="310"/>
      <c r="K10" s="310"/>
      <c r="L10" s="310"/>
      <c r="M10" s="310"/>
      <c r="N10" s="310"/>
      <c r="O10" s="310"/>
      <c r="P10" s="310"/>
      <c r="Q10" s="310"/>
      <c r="R10" s="311"/>
      <c r="S10" s="323">
        <f t="shared" si="2"/>
        <v>0</v>
      </c>
      <c r="T10" s="456">
        <f t="shared" si="3"/>
        <v>0</v>
      </c>
      <c r="U10" s="324">
        <f>'Overall Metrics'!M64</f>
        <v>0</v>
      </c>
    </row>
    <row r="11" spans="1:21" ht="15.75" customHeight="1">
      <c r="A11" s="175">
        <f t="shared" si="0"/>
        <v>2022</v>
      </c>
      <c r="B11" s="454" t="str">
        <f t="shared" si="1"/>
        <v>07</v>
      </c>
      <c r="C11" s="454" t="str">
        <f t="array" ref="C11">_xlfn.IFS(_xlfn.NUMBERVALUE(B11)&lt;=13,"Q1",AND(_xlfn.NUMBERVALUE(B11)&gt;13,_xlfn.NUMBERVALUE(B11)&lt;=26),"Q2", AND(_xlfn.NUMBERVALUE(B11)&gt;26,_xlfn.NUMBERVALUE(B11)&lt;=39),"Q3",_xlfn.NUMBERVALUE(B11)&gt;39,"Q4")</f>
        <v>Q1</v>
      </c>
      <c r="D11" s="448">
        <f t="shared" si="4"/>
        <v>44268</v>
      </c>
      <c r="E11" s="448">
        <f t="shared" si="5"/>
        <v>44274</v>
      </c>
      <c r="F11" s="308">
        <v>202107</v>
      </c>
      <c r="G11" s="309"/>
      <c r="H11" s="461"/>
      <c r="I11" s="310"/>
      <c r="J11" s="310"/>
      <c r="K11" s="310"/>
      <c r="L11" s="310"/>
      <c r="M11" s="310"/>
      <c r="N11" s="310"/>
      <c r="O11" s="310"/>
      <c r="P11" s="310"/>
      <c r="Q11" s="310"/>
      <c r="R11" s="311"/>
      <c r="S11" s="323">
        <f t="shared" si="2"/>
        <v>0</v>
      </c>
      <c r="T11" s="456">
        <f t="shared" si="3"/>
        <v>0</v>
      </c>
      <c r="U11" s="324">
        <f>'Overall Metrics'!M65</f>
        <v>0</v>
      </c>
    </row>
    <row r="12" spans="1:21" ht="15.75" customHeight="1">
      <c r="A12" s="175">
        <f t="shared" si="0"/>
        <v>2022</v>
      </c>
      <c r="B12" s="454" t="str">
        <f t="shared" si="1"/>
        <v>08</v>
      </c>
      <c r="C12" s="454" t="str">
        <f t="array" ref="C12">_xlfn.IFS(_xlfn.NUMBERVALUE(B12)&lt;=13,"Q1",AND(_xlfn.NUMBERVALUE(B12)&gt;13,_xlfn.NUMBERVALUE(B12)&lt;=26),"Q2", AND(_xlfn.NUMBERVALUE(B12)&gt;26,_xlfn.NUMBERVALUE(B12)&lt;=39),"Q3",_xlfn.NUMBERVALUE(B12)&gt;39,"Q4")</f>
        <v>Q1</v>
      </c>
      <c r="D12" s="448">
        <f t="shared" si="4"/>
        <v>44275</v>
      </c>
      <c r="E12" s="448">
        <f t="shared" si="5"/>
        <v>44281</v>
      </c>
      <c r="F12" s="308">
        <v>202108</v>
      </c>
      <c r="G12" s="309"/>
      <c r="H12" s="461"/>
      <c r="I12" s="92"/>
      <c r="J12" s="92"/>
      <c r="K12" s="92"/>
      <c r="L12" s="92"/>
      <c r="M12" s="92"/>
      <c r="N12" s="92"/>
      <c r="O12" s="92"/>
      <c r="P12" s="92"/>
      <c r="Q12" s="92"/>
      <c r="R12" s="312"/>
      <c r="S12" s="323">
        <f t="shared" si="2"/>
        <v>0</v>
      </c>
      <c r="T12" s="456">
        <f t="shared" si="3"/>
        <v>0</v>
      </c>
      <c r="U12" s="324">
        <f>'Overall Metrics'!M66</f>
        <v>0</v>
      </c>
    </row>
    <row r="13" spans="1:21" ht="15.75" customHeight="1">
      <c r="A13" s="175">
        <f t="shared" si="0"/>
        <v>2022</v>
      </c>
      <c r="B13" s="454" t="str">
        <f t="shared" si="1"/>
        <v>09</v>
      </c>
      <c r="C13" s="454" t="str">
        <f t="array" ref="C13">_xlfn.IFS(_xlfn.NUMBERVALUE(B13)&lt;=13,"Q1",AND(_xlfn.NUMBERVALUE(B13)&gt;13,_xlfn.NUMBERVALUE(B13)&lt;=26),"Q2", AND(_xlfn.NUMBERVALUE(B13)&gt;26,_xlfn.NUMBERVALUE(B13)&lt;=39),"Q3",_xlfn.NUMBERVALUE(B13)&gt;39,"Q4")</f>
        <v>Q1</v>
      </c>
      <c r="D13" s="448">
        <f t="shared" si="4"/>
        <v>44282</v>
      </c>
      <c r="E13" s="448">
        <f t="shared" si="5"/>
        <v>44288</v>
      </c>
      <c r="F13" s="308">
        <v>202109</v>
      </c>
      <c r="G13" s="309"/>
      <c r="H13" s="461"/>
      <c r="I13" s="92"/>
      <c r="J13" s="92"/>
      <c r="K13" s="92"/>
      <c r="L13" s="92"/>
      <c r="M13" s="92"/>
      <c r="N13" s="92"/>
      <c r="O13" s="92"/>
      <c r="P13" s="92"/>
      <c r="Q13" s="92"/>
      <c r="R13" s="312"/>
      <c r="S13" s="323">
        <f t="shared" si="2"/>
        <v>0</v>
      </c>
      <c r="T13" s="456">
        <f t="shared" si="3"/>
        <v>0</v>
      </c>
      <c r="U13" s="324">
        <f>'Overall Metrics'!M67</f>
        <v>0</v>
      </c>
    </row>
    <row r="14" spans="1:21" ht="15.75" customHeight="1">
      <c r="A14" s="175">
        <f t="shared" si="0"/>
        <v>2022</v>
      </c>
      <c r="B14" s="454" t="str">
        <f t="shared" si="1"/>
        <v>10</v>
      </c>
      <c r="C14" s="454" t="str">
        <f t="array" ref="C14">_xlfn.IFS(_xlfn.NUMBERVALUE(B14)&lt;=13,"Q1",AND(_xlfn.NUMBERVALUE(B14)&gt;13,_xlfn.NUMBERVALUE(B14)&lt;=26),"Q2", AND(_xlfn.NUMBERVALUE(B14)&gt;26,_xlfn.NUMBERVALUE(B14)&lt;=39),"Q3",_xlfn.NUMBERVALUE(B14)&gt;39,"Q4")</f>
        <v>Q1</v>
      </c>
      <c r="D14" s="448">
        <f t="shared" si="4"/>
        <v>44289</v>
      </c>
      <c r="E14" s="448">
        <f t="shared" si="5"/>
        <v>44295</v>
      </c>
      <c r="F14" s="308">
        <v>202110</v>
      </c>
      <c r="G14" s="309"/>
      <c r="H14" s="461"/>
      <c r="I14" s="92"/>
      <c r="J14" s="92"/>
      <c r="K14" s="92"/>
      <c r="L14" s="92"/>
      <c r="M14" s="92"/>
      <c r="N14" s="92"/>
      <c r="O14" s="92"/>
      <c r="P14" s="92"/>
      <c r="Q14" s="92"/>
      <c r="R14" s="312"/>
      <c r="S14" s="323">
        <f t="shared" si="2"/>
        <v>0</v>
      </c>
      <c r="T14" s="456">
        <f t="shared" si="3"/>
        <v>0</v>
      </c>
      <c r="U14" s="324">
        <f>'Overall Metrics'!M68</f>
        <v>0</v>
      </c>
    </row>
    <row r="15" spans="1:21" ht="15.75" customHeight="1">
      <c r="A15" s="175">
        <f t="shared" si="0"/>
        <v>2022</v>
      </c>
      <c r="B15" s="454" t="str">
        <f t="shared" si="1"/>
        <v>11</v>
      </c>
      <c r="C15" s="454" t="str">
        <f t="array" ref="C15">_xlfn.IFS(_xlfn.NUMBERVALUE(B15)&lt;=13,"Q1",AND(_xlfn.NUMBERVALUE(B15)&gt;13,_xlfn.NUMBERVALUE(B15)&lt;=26),"Q2", AND(_xlfn.NUMBERVALUE(B15)&gt;26,_xlfn.NUMBERVALUE(B15)&lt;=39),"Q3",_xlfn.NUMBERVALUE(B15)&gt;39,"Q4")</f>
        <v>Q1</v>
      </c>
      <c r="D15" s="448">
        <f t="shared" si="4"/>
        <v>44296</v>
      </c>
      <c r="E15" s="448">
        <f t="shared" si="5"/>
        <v>44302</v>
      </c>
      <c r="F15" s="308">
        <v>202111</v>
      </c>
      <c r="G15" s="309"/>
      <c r="H15" s="461"/>
      <c r="I15" s="92"/>
      <c r="J15" s="92"/>
      <c r="K15" s="92"/>
      <c r="L15" s="92"/>
      <c r="M15" s="92"/>
      <c r="N15" s="92"/>
      <c r="O15" s="92"/>
      <c r="P15" s="92"/>
      <c r="Q15" s="92"/>
      <c r="R15" s="312"/>
      <c r="S15" s="323">
        <f t="shared" si="2"/>
        <v>0</v>
      </c>
      <c r="T15" s="456">
        <f t="shared" si="3"/>
        <v>0</v>
      </c>
      <c r="U15" s="324">
        <f>'Overall Metrics'!M69</f>
        <v>0</v>
      </c>
    </row>
    <row r="16" spans="1:21" ht="15.75" customHeight="1">
      <c r="A16" s="175">
        <f t="shared" si="0"/>
        <v>2022</v>
      </c>
      <c r="B16" s="454" t="str">
        <f t="shared" si="1"/>
        <v>12</v>
      </c>
      <c r="C16" s="454" t="str">
        <f t="array" ref="C16">_xlfn.IFS(_xlfn.NUMBERVALUE(B16)&lt;=13,"Q1",AND(_xlfn.NUMBERVALUE(B16)&gt;13,_xlfn.NUMBERVALUE(B16)&lt;=26),"Q2", AND(_xlfn.NUMBERVALUE(B16)&gt;26,_xlfn.NUMBERVALUE(B16)&lt;=39),"Q3",_xlfn.NUMBERVALUE(B16)&gt;39,"Q4")</f>
        <v>Q1</v>
      </c>
      <c r="D16" s="448">
        <f t="shared" si="4"/>
        <v>44303</v>
      </c>
      <c r="E16" s="448">
        <f t="shared" si="5"/>
        <v>44309</v>
      </c>
      <c r="F16" s="308">
        <v>202112</v>
      </c>
      <c r="G16" s="309"/>
      <c r="H16" s="461"/>
      <c r="I16" s="92"/>
      <c r="J16" s="92"/>
      <c r="K16" s="92"/>
      <c r="L16" s="92"/>
      <c r="M16" s="92"/>
      <c r="N16" s="92"/>
      <c r="O16" s="92"/>
      <c r="P16" s="92"/>
      <c r="Q16" s="92"/>
      <c r="R16" s="312"/>
      <c r="S16" s="323">
        <f t="shared" si="2"/>
        <v>0</v>
      </c>
      <c r="T16" s="456">
        <f t="shared" si="3"/>
        <v>0</v>
      </c>
      <c r="U16" s="324">
        <f>'Overall Metrics'!M70</f>
        <v>0</v>
      </c>
    </row>
    <row r="17" spans="1:21" ht="15.75" customHeight="1">
      <c r="A17" s="175">
        <f t="shared" si="0"/>
        <v>2022</v>
      </c>
      <c r="B17" s="454" t="str">
        <f t="shared" si="1"/>
        <v>13</v>
      </c>
      <c r="C17" s="454" t="str">
        <f t="array" ref="C17">_xlfn.IFS(_xlfn.NUMBERVALUE(B17)&lt;=13,"Q1",AND(_xlfn.NUMBERVALUE(B17)&gt;13,_xlfn.NUMBERVALUE(B17)&lt;=26),"Q2", AND(_xlfn.NUMBERVALUE(B17)&gt;26,_xlfn.NUMBERVALUE(B17)&lt;=39),"Q3",_xlfn.NUMBERVALUE(B17)&gt;39,"Q4")</f>
        <v>Q1</v>
      </c>
      <c r="D17" s="448">
        <f t="shared" si="4"/>
        <v>44310</v>
      </c>
      <c r="E17" s="448">
        <f t="shared" si="5"/>
        <v>44316</v>
      </c>
      <c r="F17" s="308">
        <v>202113</v>
      </c>
      <c r="G17" s="309"/>
      <c r="H17" s="461"/>
      <c r="I17" s="92"/>
      <c r="J17" s="92"/>
      <c r="K17" s="92"/>
      <c r="L17" s="92"/>
      <c r="M17" s="92"/>
      <c r="N17" s="92"/>
      <c r="O17" s="92"/>
      <c r="P17" s="92"/>
      <c r="Q17" s="92"/>
      <c r="R17" s="312"/>
      <c r="S17" s="323">
        <f t="shared" si="2"/>
        <v>0</v>
      </c>
      <c r="T17" s="456">
        <f t="shared" si="3"/>
        <v>0</v>
      </c>
      <c r="U17" s="324">
        <f>'Overall Metrics'!M71</f>
        <v>0</v>
      </c>
    </row>
    <row r="18" spans="1:21" ht="15.75" customHeight="1">
      <c r="A18" s="175">
        <f t="shared" si="0"/>
        <v>2022</v>
      </c>
      <c r="B18" s="454" t="str">
        <f t="shared" si="1"/>
        <v>14</v>
      </c>
      <c r="C18" s="454" t="str">
        <f t="array" ref="C18">_xlfn.IFS(_xlfn.NUMBERVALUE(B18)&lt;=13,"Q1",AND(_xlfn.NUMBERVALUE(B18)&gt;13,_xlfn.NUMBERVALUE(B18)&lt;=26),"Q2", AND(_xlfn.NUMBERVALUE(B18)&gt;26,_xlfn.NUMBERVALUE(B18)&lt;=39),"Q3",_xlfn.NUMBERVALUE(B18)&gt;39,"Q4")</f>
        <v>Q2</v>
      </c>
      <c r="D18" s="448">
        <f t="shared" si="4"/>
        <v>44317</v>
      </c>
      <c r="E18" s="448">
        <f t="shared" si="5"/>
        <v>44323</v>
      </c>
      <c r="F18" s="308">
        <v>202114</v>
      </c>
      <c r="G18" s="309"/>
      <c r="H18" s="461"/>
      <c r="I18" s="92"/>
      <c r="J18" s="92"/>
      <c r="K18" s="92"/>
      <c r="L18" s="92"/>
      <c r="M18" s="92"/>
      <c r="N18" s="92"/>
      <c r="O18" s="92"/>
      <c r="P18" s="92"/>
      <c r="Q18" s="92"/>
      <c r="R18" s="312"/>
      <c r="S18" s="323">
        <f t="shared" si="2"/>
        <v>0</v>
      </c>
      <c r="T18" s="456">
        <f t="shared" si="3"/>
        <v>0</v>
      </c>
      <c r="U18" s="324">
        <f>'Overall Metrics'!M72</f>
        <v>0</v>
      </c>
    </row>
    <row r="19" spans="1:21" ht="15.75" customHeight="1">
      <c r="A19" s="175">
        <f t="shared" si="0"/>
        <v>2022</v>
      </c>
      <c r="B19" s="454" t="str">
        <f t="shared" si="1"/>
        <v>15</v>
      </c>
      <c r="C19" s="454" t="str">
        <f t="array" ref="C19">_xlfn.IFS(_xlfn.NUMBERVALUE(B19)&lt;=13,"Q1",AND(_xlfn.NUMBERVALUE(B19)&gt;13,_xlfn.NUMBERVALUE(B19)&lt;=26),"Q2", AND(_xlfn.NUMBERVALUE(B19)&gt;26,_xlfn.NUMBERVALUE(B19)&lt;=39),"Q3",_xlfn.NUMBERVALUE(B19)&gt;39,"Q4")</f>
        <v>Q2</v>
      </c>
      <c r="D19" s="448">
        <f t="shared" si="4"/>
        <v>44324</v>
      </c>
      <c r="E19" s="448">
        <f t="shared" si="5"/>
        <v>44330</v>
      </c>
      <c r="F19" s="308">
        <v>202115</v>
      </c>
      <c r="G19" s="309"/>
      <c r="H19" s="461"/>
      <c r="I19" s="92"/>
      <c r="J19" s="92"/>
      <c r="K19" s="92"/>
      <c r="L19" s="92"/>
      <c r="M19" s="92"/>
      <c r="N19" s="92"/>
      <c r="O19" s="92"/>
      <c r="P19" s="92"/>
      <c r="Q19" s="92"/>
      <c r="R19" s="312"/>
      <c r="S19" s="323">
        <f t="shared" si="2"/>
        <v>0</v>
      </c>
      <c r="T19" s="456">
        <f t="shared" si="3"/>
        <v>0</v>
      </c>
      <c r="U19" s="324">
        <f>'Overall Metrics'!M73</f>
        <v>0</v>
      </c>
    </row>
    <row r="20" spans="1:21" ht="15.75" customHeight="1">
      <c r="A20" s="175">
        <f t="shared" si="0"/>
        <v>2022</v>
      </c>
      <c r="B20" s="454" t="str">
        <f t="shared" si="1"/>
        <v>16</v>
      </c>
      <c r="C20" s="454" t="str">
        <f t="array" ref="C20">_xlfn.IFS(_xlfn.NUMBERVALUE(B20)&lt;=13,"Q1",AND(_xlfn.NUMBERVALUE(B20)&gt;13,_xlfn.NUMBERVALUE(B20)&lt;=26),"Q2", AND(_xlfn.NUMBERVALUE(B20)&gt;26,_xlfn.NUMBERVALUE(B20)&lt;=39),"Q3",_xlfn.NUMBERVALUE(B20)&gt;39,"Q4")</f>
        <v>Q2</v>
      </c>
      <c r="D20" s="448">
        <f t="shared" si="4"/>
        <v>44331</v>
      </c>
      <c r="E20" s="448">
        <f t="shared" si="5"/>
        <v>44337</v>
      </c>
      <c r="F20" s="308">
        <v>202116</v>
      </c>
      <c r="G20" s="309"/>
      <c r="H20" s="461"/>
      <c r="I20" s="310"/>
      <c r="J20" s="310"/>
      <c r="K20" s="310"/>
      <c r="L20" s="310"/>
      <c r="M20" s="310"/>
      <c r="N20" s="310"/>
      <c r="O20" s="310"/>
      <c r="P20" s="310"/>
      <c r="Q20" s="310"/>
      <c r="R20" s="311"/>
      <c r="S20" s="323">
        <f t="shared" si="2"/>
        <v>0</v>
      </c>
      <c r="T20" s="456">
        <f t="shared" si="3"/>
        <v>0</v>
      </c>
      <c r="U20" s="324">
        <f>'Overall Metrics'!M74</f>
        <v>0</v>
      </c>
    </row>
    <row r="21" spans="1:21" ht="15.75" customHeight="1">
      <c r="A21" s="175">
        <f t="shared" si="0"/>
        <v>2022</v>
      </c>
      <c r="B21" s="454" t="str">
        <f t="shared" si="1"/>
        <v>17</v>
      </c>
      <c r="C21" s="454" t="str">
        <f t="array" ref="C21">_xlfn.IFS(_xlfn.NUMBERVALUE(B21)&lt;=13,"Q1",AND(_xlfn.NUMBERVALUE(B21)&gt;13,_xlfn.NUMBERVALUE(B21)&lt;=26),"Q2", AND(_xlfn.NUMBERVALUE(B21)&gt;26,_xlfn.NUMBERVALUE(B21)&lt;=39),"Q3",_xlfn.NUMBERVALUE(B21)&gt;39,"Q4")</f>
        <v>Q2</v>
      </c>
      <c r="D21" s="448">
        <f t="shared" si="4"/>
        <v>44338</v>
      </c>
      <c r="E21" s="448">
        <f t="shared" si="5"/>
        <v>44344</v>
      </c>
      <c r="F21" s="308">
        <v>202117</v>
      </c>
      <c r="G21" s="309"/>
      <c r="H21" s="461"/>
      <c r="I21" s="92"/>
      <c r="J21" s="92"/>
      <c r="K21" s="92"/>
      <c r="L21" s="92"/>
      <c r="M21" s="92"/>
      <c r="N21" s="92"/>
      <c r="O21" s="92"/>
      <c r="P21" s="92"/>
      <c r="Q21" s="92"/>
      <c r="R21" s="126"/>
      <c r="S21" s="323">
        <f t="shared" si="2"/>
        <v>0</v>
      </c>
      <c r="T21" s="456">
        <f t="shared" si="3"/>
        <v>0</v>
      </c>
      <c r="U21" s="324">
        <f>'Overall Metrics'!M75</f>
        <v>0</v>
      </c>
    </row>
    <row r="22" spans="1:21" ht="15.75" customHeight="1">
      <c r="A22" s="175">
        <f t="shared" si="0"/>
        <v>2022</v>
      </c>
      <c r="B22" s="454" t="str">
        <f t="shared" si="1"/>
        <v>18</v>
      </c>
      <c r="C22" s="454" t="str">
        <f t="array" ref="C22">_xlfn.IFS(_xlfn.NUMBERVALUE(B22)&lt;=13,"Q1",AND(_xlfn.NUMBERVALUE(B22)&gt;13,_xlfn.NUMBERVALUE(B22)&lt;=26),"Q2", AND(_xlfn.NUMBERVALUE(B22)&gt;26,_xlfn.NUMBERVALUE(B22)&lt;=39),"Q3",_xlfn.NUMBERVALUE(B22)&gt;39,"Q4")</f>
        <v>Q2</v>
      </c>
      <c r="D22" s="448">
        <f t="shared" si="4"/>
        <v>44345</v>
      </c>
      <c r="E22" s="448">
        <f t="shared" si="5"/>
        <v>44351</v>
      </c>
      <c r="F22" s="308">
        <v>202118</v>
      </c>
      <c r="G22" s="309"/>
      <c r="H22" s="461"/>
      <c r="I22" s="92"/>
      <c r="J22" s="92"/>
      <c r="K22" s="92"/>
      <c r="L22" s="92"/>
      <c r="M22" s="92"/>
      <c r="N22" s="92"/>
      <c r="O22" s="92"/>
      <c r="P22" s="92"/>
      <c r="Q22" s="92"/>
      <c r="R22" s="126"/>
      <c r="S22" s="323">
        <f t="shared" si="2"/>
        <v>0</v>
      </c>
      <c r="T22" s="456">
        <f t="shared" si="3"/>
        <v>0</v>
      </c>
      <c r="U22" s="324">
        <f>'Overall Metrics'!M76</f>
        <v>0</v>
      </c>
    </row>
    <row r="23" spans="1:21" ht="15.75" customHeight="1">
      <c r="A23" s="175">
        <f t="shared" si="0"/>
        <v>2022</v>
      </c>
      <c r="B23" s="454" t="str">
        <f t="shared" si="1"/>
        <v>19</v>
      </c>
      <c r="C23" s="454" t="str">
        <f t="array" ref="C23">_xlfn.IFS(_xlfn.NUMBERVALUE(B23)&lt;=13,"Q1",AND(_xlfn.NUMBERVALUE(B23)&gt;13,_xlfn.NUMBERVALUE(B23)&lt;=26),"Q2", AND(_xlfn.NUMBERVALUE(B23)&gt;26,_xlfn.NUMBERVALUE(B23)&lt;=39),"Q3",_xlfn.NUMBERVALUE(B23)&gt;39,"Q4")</f>
        <v>Q2</v>
      </c>
      <c r="D23" s="448">
        <f t="shared" si="4"/>
        <v>44352</v>
      </c>
      <c r="E23" s="448">
        <f t="shared" si="5"/>
        <v>44358</v>
      </c>
      <c r="F23" s="308">
        <v>202119</v>
      </c>
      <c r="G23" s="309"/>
      <c r="H23" s="461"/>
      <c r="I23" s="92"/>
      <c r="J23" s="92"/>
      <c r="K23" s="92"/>
      <c r="L23" s="92"/>
      <c r="M23" s="92"/>
      <c r="N23" s="92"/>
      <c r="O23" s="92"/>
      <c r="P23" s="92"/>
      <c r="Q23" s="92"/>
      <c r="R23" s="126"/>
      <c r="S23" s="323">
        <f t="shared" si="2"/>
        <v>0</v>
      </c>
      <c r="T23" s="456">
        <f t="shared" si="3"/>
        <v>0</v>
      </c>
      <c r="U23" s="324">
        <f>'Overall Metrics'!M77</f>
        <v>0</v>
      </c>
    </row>
    <row r="24" spans="1:21" ht="15.75" customHeight="1">
      <c r="A24" s="175">
        <f t="shared" si="0"/>
        <v>2022</v>
      </c>
      <c r="B24" s="454" t="str">
        <f t="shared" si="1"/>
        <v>20</v>
      </c>
      <c r="C24" s="454" t="str">
        <f t="array" ref="C24">_xlfn.IFS(_xlfn.NUMBERVALUE(B24)&lt;=13,"Q1",AND(_xlfn.NUMBERVALUE(B24)&gt;13,_xlfn.NUMBERVALUE(B24)&lt;=26),"Q2", AND(_xlfn.NUMBERVALUE(B24)&gt;26,_xlfn.NUMBERVALUE(B24)&lt;=39),"Q3",_xlfn.NUMBERVALUE(B24)&gt;39,"Q4")</f>
        <v>Q2</v>
      </c>
      <c r="D24" s="448">
        <f t="shared" si="4"/>
        <v>44359</v>
      </c>
      <c r="E24" s="448">
        <f t="shared" si="5"/>
        <v>44365</v>
      </c>
      <c r="F24" s="308">
        <v>202120</v>
      </c>
      <c r="G24" s="309"/>
      <c r="H24" s="461"/>
      <c r="I24" s="92"/>
      <c r="J24" s="92"/>
      <c r="K24" s="92"/>
      <c r="L24" s="92"/>
      <c r="M24" s="92"/>
      <c r="N24" s="92"/>
      <c r="O24" s="92"/>
      <c r="P24" s="92"/>
      <c r="Q24" s="92"/>
      <c r="R24" s="126"/>
      <c r="S24" s="323">
        <f t="shared" si="2"/>
        <v>0</v>
      </c>
      <c r="T24" s="456">
        <f t="shared" si="3"/>
        <v>0</v>
      </c>
      <c r="U24" s="324">
        <f>'Overall Metrics'!M78</f>
        <v>0</v>
      </c>
    </row>
    <row r="25" spans="1:21" ht="15.75" customHeight="1">
      <c r="A25" s="175">
        <f t="shared" si="0"/>
        <v>2022</v>
      </c>
      <c r="B25" s="454" t="str">
        <f t="shared" si="1"/>
        <v>21</v>
      </c>
      <c r="C25" s="454" t="str">
        <f t="array" ref="C25">_xlfn.IFS(_xlfn.NUMBERVALUE(B25)&lt;=13,"Q1",AND(_xlfn.NUMBERVALUE(B25)&gt;13,_xlfn.NUMBERVALUE(B25)&lt;=26),"Q2", AND(_xlfn.NUMBERVALUE(B25)&gt;26,_xlfn.NUMBERVALUE(B25)&lt;=39),"Q3",_xlfn.NUMBERVALUE(B25)&gt;39,"Q4")</f>
        <v>Q2</v>
      </c>
      <c r="D25" s="448">
        <f t="shared" si="4"/>
        <v>44366</v>
      </c>
      <c r="E25" s="448">
        <f t="shared" si="5"/>
        <v>44372</v>
      </c>
      <c r="F25" s="308">
        <v>202121</v>
      </c>
      <c r="G25" s="309"/>
      <c r="H25" s="461"/>
      <c r="I25" s="92"/>
      <c r="J25" s="92"/>
      <c r="K25" s="92"/>
      <c r="L25" s="92"/>
      <c r="M25" s="92"/>
      <c r="N25" s="92"/>
      <c r="O25" s="92"/>
      <c r="P25" s="92"/>
      <c r="Q25" s="92"/>
      <c r="R25" s="126"/>
      <c r="S25" s="323">
        <f t="shared" si="2"/>
        <v>0</v>
      </c>
      <c r="T25" s="456">
        <f t="shared" si="3"/>
        <v>0</v>
      </c>
      <c r="U25" s="324">
        <f>'Overall Metrics'!M79</f>
        <v>0</v>
      </c>
    </row>
    <row r="26" spans="1:21" ht="15.75" customHeight="1">
      <c r="A26" s="175">
        <f t="shared" si="0"/>
        <v>2022</v>
      </c>
      <c r="B26" s="454" t="str">
        <f t="shared" si="1"/>
        <v>22</v>
      </c>
      <c r="C26" s="454" t="str">
        <f t="array" ref="C26">_xlfn.IFS(_xlfn.NUMBERVALUE(B26)&lt;=13,"Q1",AND(_xlfn.NUMBERVALUE(B26)&gt;13,_xlfn.NUMBERVALUE(B26)&lt;=26),"Q2", AND(_xlfn.NUMBERVALUE(B26)&gt;26,_xlfn.NUMBERVALUE(B26)&lt;=39),"Q3",_xlfn.NUMBERVALUE(B26)&gt;39,"Q4")</f>
        <v>Q2</v>
      </c>
      <c r="D26" s="448">
        <f t="shared" si="4"/>
        <v>44373</v>
      </c>
      <c r="E26" s="448">
        <f t="shared" si="5"/>
        <v>44379</v>
      </c>
      <c r="F26" s="308">
        <v>202122</v>
      </c>
      <c r="G26" s="309"/>
      <c r="H26" s="461"/>
      <c r="I26" s="92"/>
      <c r="J26" s="92"/>
      <c r="K26" s="92"/>
      <c r="L26" s="92"/>
      <c r="M26" s="92"/>
      <c r="N26" s="92"/>
      <c r="O26" s="92"/>
      <c r="P26" s="92"/>
      <c r="Q26" s="92"/>
      <c r="R26" s="126"/>
      <c r="S26" s="323">
        <f t="shared" si="2"/>
        <v>0</v>
      </c>
      <c r="T26" s="456">
        <f t="shared" si="3"/>
        <v>0</v>
      </c>
      <c r="U26" s="324">
        <f>'Overall Metrics'!M80</f>
        <v>0</v>
      </c>
    </row>
    <row r="27" spans="1:21" ht="15.75" customHeight="1">
      <c r="A27" s="175">
        <f t="shared" si="0"/>
        <v>2022</v>
      </c>
      <c r="B27" s="454" t="str">
        <f t="shared" si="1"/>
        <v>23</v>
      </c>
      <c r="C27" s="454" t="str">
        <f t="array" ref="C27">_xlfn.IFS(_xlfn.NUMBERVALUE(B27)&lt;=13,"Q1",AND(_xlfn.NUMBERVALUE(B27)&gt;13,_xlfn.NUMBERVALUE(B27)&lt;=26),"Q2", AND(_xlfn.NUMBERVALUE(B27)&gt;26,_xlfn.NUMBERVALUE(B27)&lt;=39),"Q3",_xlfn.NUMBERVALUE(B27)&gt;39,"Q4")</f>
        <v>Q2</v>
      </c>
      <c r="D27" s="448">
        <f t="shared" si="4"/>
        <v>44380</v>
      </c>
      <c r="E27" s="448">
        <f t="shared" si="5"/>
        <v>44386</v>
      </c>
      <c r="F27" s="308">
        <v>202123</v>
      </c>
      <c r="G27" s="309"/>
      <c r="H27" s="461"/>
      <c r="I27" s="92"/>
      <c r="J27" s="92"/>
      <c r="K27" s="92"/>
      <c r="L27" s="92"/>
      <c r="M27" s="92"/>
      <c r="N27" s="92"/>
      <c r="O27" s="92"/>
      <c r="P27" s="92"/>
      <c r="Q27" s="92"/>
      <c r="R27" s="126"/>
      <c r="S27" s="323">
        <f t="shared" si="2"/>
        <v>0</v>
      </c>
      <c r="T27" s="456">
        <f t="shared" si="3"/>
        <v>0</v>
      </c>
      <c r="U27" s="324">
        <f>'Overall Metrics'!M81</f>
        <v>0</v>
      </c>
    </row>
    <row r="28" spans="1:21" ht="15.75" customHeight="1">
      <c r="A28" s="175">
        <f t="shared" si="0"/>
        <v>2022</v>
      </c>
      <c r="B28" s="454" t="str">
        <f t="shared" si="1"/>
        <v>24</v>
      </c>
      <c r="C28" s="454" t="str">
        <f t="array" ref="C28">_xlfn.IFS(_xlfn.NUMBERVALUE(B28)&lt;=13,"Q1",AND(_xlfn.NUMBERVALUE(B28)&gt;13,_xlfn.NUMBERVALUE(B28)&lt;=26),"Q2", AND(_xlfn.NUMBERVALUE(B28)&gt;26,_xlfn.NUMBERVALUE(B28)&lt;=39),"Q3",_xlfn.NUMBERVALUE(B28)&gt;39,"Q4")</f>
        <v>Q2</v>
      </c>
      <c r="D28" s="448">
        <f t="shared" si="4"/>
        <v>44387</v>
      </c>
      <c r="E28" s="448">
        <f t="shared" si="5"/>
        <v>44393</v>
      </c>
      <c r="F28" s="308">
        <v>202124</v>
      </c>
      <c r="G28" s="309"/>
      <c r="H28" s="461"/>
      <c r="I28" s="92"/>
      <c r="J28" s="92"/>
      <c r="K28" s="92"/>
      <c r="L28" s="92"/>
      <c r="M28" s="92"/>
      <c r="N28" s="92"/>
      <c r="O28" s="92"/>
      <c r="P28" s="92"/>
      <c r="Q28" s="92"/>
      <c r="R28" s="126"/>
      <c r="S28" s="323">
        <f t="shared" si="2"/>
        <v>0</v>
      </c>
      <c r="T28" s="456">
        <f t="shared" si="3"/>
        <v>0</v>
      </c>
      <c r="U28" s="324">
        <f>'Overall Metrics'!M82</f>
        <v>0</v>
      </c>
    </row>
    <row r="29" spans="1:21" ht="15.75" customHeight="1">
      <c r="A29" s="175">
        <f t="shared" si="0"/>
        <v>2022</v>
      </c>
      <c r="B29" s="454" t="str">
        <f t="shared" si="1"/>
        <v>25</v>
      </c>
      <c r="C29" s="454" t="str">
        <f t="array" ref="C29">_xlfn.IFS(_xlfn.NUMBERVALUE(B29)&lt;=13,"Q1",AND(_xlfn.NUMBERVALUE(B29)&gt;13,_xlfn.NUMBERVALUE(B29)&lt;=26),"Q2", AND(_xlfn.NUMBERVALUE(B29)&gt;26,_xlfn.NUMBERVALUE(B29)&lt;=39),"Q3",_xlfn.NUMBERVALUE(B29)&gt;39,"Q4")</f>
        <v>Q2</v>
      </c>
      <c r="D29" s="448">
        <f t="shared" si="4"/>
        <v>44394</v>
      </c>
      <c r="E29" s="448">
        <f t="shared" si="5"/>
        <v>44400</v>
      </c>
      <c r="F29" s="308">
        <v>202125</v>
      </c>
      <c r="G29" s="309"/>
      <c r="H29" s="461"/>
      <c r="I29" s="92"/>
      <c r="J29" s="92"/>
      <c r="K29" s="92"/>
      <c r="L29" s="92"/>
      <c r="M29" s="92"/>
      <c r="N29" s="92"/>
      <c r="O29" s="92"/>
      <c r="P29" s="92"/>
      <c r="Q29" s="92"/>
      <c r="R29" s="126"/>
      <c r="S29" s="323">
        <f t="shared" si="2"/>
        <v>0</v>
      </c>
      <c r="T29" s="456">
        <f t="shared" si="3"/>
        <v>0</v>
      </c>
      <c r="U29" s="324">
        <f>'Overall Metrics'!M83</f>
        <v>0</v>
      </c>
    </row>
    <row r="30" spans="1:21" ht="15.75" customHeight="1">
      <c r="A30" s="175">
        <f t="shared" si="0"/>
        <v>2022</v>
      </c>
      <c r="B30" s="454" t="str">
        <f t="shared" si="1"/>
        <v>26</v>
      </c>
      <c r="C30" s="454" t="str">
        <f t="array" ref="C30">_xlfn.IFS(_xlfn.NUMBERVALUE(B30)&lt;=13,"Q1",AND(_xlfn.NUMBERVALUE(B30)&gt;13,_xlfn.NUMBERVALUE(B30)&lt;=26),"Q2", AND(_xlfn.NUMBERVALUE(B30)&gt;26,_xlfn.NUMBERVALUE(B30)&lt;=39),"Q3",_xlfn.NUMBERVALUE(B30)&gt;39,"Q4")</f>
        <v>Q2</v>
      </c>
      <c r="D30" s="448">
        <f t="shared" si="4"/>
        <v>44401</v>
      </c>
      <c r="E30" s="448">
        <f t="shared" si="5"/>
        <v>44407</v>
      </c>
      <c r="F30" s="308">
        <v>202126</v>
      </c>
      <c r="G30" s="309"/>
      <c r="H30" s="461"/>
      <c r="I30" s="92"/>
      <c r="J30" s="92"/>
      <c r="K30" s="92"/>
      <c r="L30" s="92"/>
      <c r="M30" s="92"/>
      <c r="N30" s="92"/>
      <c r="O30" s="92"/>
      <c r="P30" s="92"/>
      <c r="Q30" s="92"/>
      <c r="R30" s="126"/>
      <c r="S30" s="323">
        <f t="shared" si="2"/>
        <v>0</v>
      </c>
      <c r="T30" s="456">
        <f t="shared" si="3"/>
        <v>0</v>
      </c>
      <c r="U30" s="324">
        <f>'Overall Metrics'!M84</f>
        <v>0</v>
      </c>
    </row>
    <row r="31" spans="1:21" ht="15.75" customHeight="1">
      <c r="A31" s="175">
        <f t="shared" si="0"/>
        <v>2022</v>
      </c>
      <c r="B31" s="454" t="str">
        <f t="shared" si="1"/>
        <v>27</v>
      </c>
      <c r="C31" s="454" t="str">
        <f t="array" ref="C31">_xlfn.IFS(_xlfn.NUMBERVALUE(B31)&lt;=13,"Q1",AND(_xlfn.NUMBERVALUE(B31)&gt;13,_xlfn.NUMBERVALUE(B31)&lt;=26),"Q2", AND(_xlfn.NUMBERVALUE(B31)&gt;26,_xlfn.NUMBERVALUE(B31)&lt;=39),"Q3",_xlfn.NUMBERVALUE(B31)&gt;39,"Q4")</f>
        <v>Q3</v>
      </c>
      <c r="D31" s="448">
        <f t="shared" si="4"/>
        <v>44408</v>
      </c>
      <c r="E31" s="448">
        <f t="shared" si="5"/>
        <v>44414</v>
      </c>
      <c r="F31" s="308">
        <v>202127</v>
      </c>
      <c r="G31" s="309"/>
      <c r="H31" s="461"/>
      <c r="I31" s="92"/>
      <c r="J31" s="92"/>
      <c r="K31" s="92"/>
      <c r="L31" s="92"/>
      <c r="M31" s="92"/>
      <c r="N31" s="92"/>
      <c r="O31" s="92"/>
      <c r="P31" s="92"/>
      <c r="Q31" s="92"/>
      <c r="R31" s="126"/>
      <c r="S31" s="323">
        <f t="shared" si="2"/>
        <v>0</v>
      </c>
      <c r="T31" s="456">
        <f t="shared" si="3"/>
        <v>0</v>
      </c>
      <c r="U31" s="324">
        <f>'Overall Metrics'!M85</f>
        <v>0</v>
      </c>
    </row>
    <row r="32" spans="1:21" ht="15.75" customHeight="1">
      <c r="A32" s="175">
        <f t="shared" si="0"/>
        <v>2022</v>
      </c>
      <c r="B32" s="454" t="str">
        <f t="shared" si="1"/>
        <v>28</v>
      </c>
      <c r="C32" s="454" t="str">
        <f t="array" ref="C32">_xlfn.IFS(_xlfn.NUMBERVALUE(B32)&lt;=13,"Q1",AND(_xlfn.NUMBERVALUE(B32)&gt;13,_xlfn.NUMBERVALUE(B32)&lt;=26),"Q2", AND(_xlfn.NUMBERVALUE(B32)&gt;26,_xlfn.NUMBERVALUE(B32)&lt;=39),"Q3",_xlfn.NUMBERVALUE(B32)&gt;39,"Q4")</f>
        <v>Q3</v>
      </c>
      <c r="D32" s="448">
        <f t="shared" si="4"/>
        <v>44415</v>
      </c>
      <c r="E32" s="448">
        <f t="shared" si="5"/>
        <v>44421</v>
      </c>
      <c r="F32" s="308">
        <v>202128</v>
      </c>
      <c r="G32" s="309"/>
      <c r="H32" s="461"/>
      <c r="I32" s="92"/>
      <c r="J32" s="92"/>
      <c r="K32" s="92"/>
      <c r="L32" s="92"/>
      <c r="M32" s="92"/>
      <c r="N32" s="92"/>
      <c r="O32" s="92"/>
      <c r="P32" s="92"/>
      <c r="Q32" s="92"/>
      <c r="R32" s="126"/>
      <c r="S32" s="323">
        <f t="shared" si="2"/>
        <v>0</v>
      </c>
      <c r="T32" s="456">
        <f t="shared" si="3"/>
        <v>0</v>
      </c>
      <c r="U32" s="324">
        <f>'Overall Metrics'!M86</f>
        <v>0</v>
      </c>
    </row>
    <row r="33" spans="1:21" ht="15.75" customHeight="1">
      <c r="A33" s="175">
        <f t="shared" si="0"/>
        <v>2022</v>
      </c>
      <c r="B33" s="454" t="str">
        <f t="shared" si="1"/>
        <v>29</v>
      </c>
      <c r="C33" s="454" t="str">
        <f t="array" ref="C33">_xlfn.IFS(_xlfn.NUMBERVALUE(B33)&lt;=13,"Q1",AND(_xlfn.NUMBERVALUE(B33)&gt;13,_xlfn.NUMBERVALUE(B33)&lt;=26),"Q2", AND(_xlfn.NUMBERVALUE(B33)&gt;26,_xlfn.NUMBERVALUE(B33)&lt;=39),"Q3",_xlfn.NUMBERVALUE(B33)&gt;39,"Q4")</f>
        <v>Q3</v>
      </c>
      <c r="D33" s="448">
        <f t="shared" si="4"/>
        <v>44422</v>
      </c>
      <c r="E33" s="448">
        <f t="shared" si="5"/>
        <v>44428</v>
      </c>
      <c r="F33" s="308">
        <v>202129</v>
      </c>
      <c r="G33" s="309"/>
      <c r="H33" s="461"/>
      <c r="I33" s="92"/>
      <c r="J33" s="92"/>
      <c r="K33" s="92"/>
      <c r="L33" s="92"/>
      <c r="M33" s="92"/>
      <c r="N33" s="92"/>
      <c r="O33" s="92"/>
      <c r="P33" s="92"/>
      <c r="Q33" s="92"/>
      <c r="R33" s="126"/>
      <c r="S33" s="323">
        <f t="shared" si="2"/>
        <v>0</v>
      </c>
      <c r="T33" s="456">
        <f t="shared" si="3"/>
        <v>0</v>
      </c>
      <c r="U33" s="324">
        <f>'Overall Metrics'!M87</f>
        <v>0</v>
      </c>
    </row>
    <row r="34" spans="1:21" ht="15.75" customHeight="1">
      <c r="A34" s="175">
        <f t="shared" si="0"/>
        <v>2022</v>
      </c>
      <c r="B34" s="454" t="str">
        <f t="shared" si="1"/>
        <v>30</v>
      </c>
      <c r="C34" s="454" t="str">
        <f t="array" ref="C34">_xlfn.IFS(_xlfn.NUMBERVALUE(B34)&lt;=13,"Q1",AND(_xlfn.NUMBERVALUE(B34)&gt;13,_xlfn.NUMBERVALUE(B34)&lt;=26),"Q2", AND(_xlfn.NUMBERVALUE(B34)&gt;26,_xlfn.NUMBERVALUE(B34)&lt;=39),"Q3",_xlfn.NUMBERVALUE(B34)&gt;39,"Q4")</f>
        <v>Q3</v>
      </c>
      <c r="D34" s="448">
        <f t="shared" si="4"/>
        <v>44429</v>
      </c>
      <c r="E34" s="448">
        <f t="shared" si="5"/>
        <v>44435</v>
      </c>
      <c r="F34" s="308">
        <v>202130</v>
      </c>
      <c r="G34" s="309"/>
      <c r="H34" s="461"/>
      <c r="I34" s="92"/>
      <c r="J34" s="92"/>
      <c r="K34" s="92"/>
      <c r="L34" s="92"/>
      <c r="M34" s="92"/>
      <c r="N34" s="92"/>
      <c r="O34" s="92"/>
      <c r="P34" s="92"/>
      <c r="Q34" s="92"/>
      <c r="R34" s="126"/>
      <c r="S34" s="323">
        <f t="shared" si="2"/>
        <v>0</v>
      </c>
      <c r="T34" s="456">
        <f t="shared" si="3"/>
        <v>0</v>
      </c>
      <c r="U34" s="324">
        <f>'Overall Metrics'!M88</f>
        <v>0</v>
      </c>
    </row>
    <row r="35" spans="1:21" ht="15.75" customHeight="1">
      <c r="A35" s="175">
        <f t="shared" si="0"/>
        <v>2022</v>
      </c>
      <c r="B35" s="454" t="str">
        <f t="shared" si="1"/>
        <v>31</v>
      </c>
      <c r="C35" s="454" t="str">
        <f t="array" ref="C35">_xlfn.IFS(_xlfn.NUMBERVALUE(B35)&lt;=13,"Q1",AND(_xlfn.NUMBERVALUE(B35)&gt;13,_xlfn.NUMBERVALUE(B35)&lt;=26),"Q2", AND(_xlfn.NUMBERVALUE(B35)&gt;26,_xlfn.NUMBERVALUE(B35)&lt;=39),"Q3",_xlfn.NUMBERVALUE(B35)&gt;39,"Q4")</f>
        <v>Q3</v>
      </c>
      <c r="D35" s="448">
        <f t="shared" si="4"/>
        <v>44436</v>
      </c>
      <c r="E35" s="448">
        <f t="shared" si="5"/>
        <v>44442</v>
      </c>
      <c r="F35" s="308">
        <v>202131</v>
      </c>
      <c r="G35" s="309"/>
      <c r="H35" s="461"/>
      <c r="I35" s="92"/>
      <c r="J35" s="92"/>
      <c r="K35" s="92"/>
      <c r="L35" s="92"/>
      <c r="M35" s="92"/>
      <c r="N35" s="92"/>
      <c r="O35" s="92"/>
      <c r="P35" s="92"/>
      <c r="Q35" s="92"/>
      <c r="R35" s="126"/>
      <c r="S35" s="323">
        <f t="shared" si="2"/>
        <v>0</v>
      </c>
      <c r="T35" s="456">
        <f t="shared" si="3"/>
        <v>0</v>
      </c>
      <c r="U35" s="324">
        <f>'Overall Metrics'!M89</f>
        <v>0</v>
      </c>
    </row>
    <row r="36" spans="1:21" ht="15.75" customHeight="1">
      <c r="A36" s="175">
        <f t="shared" si="0"/>
        <v>2022</v>
      </c>
      <c r="B36" s="454" t="str">
        <f t="shared" si="1"/>
        <v>32</v>
      </c>
      <c r="C36" s="454" t="str">
        <f t="array" ref="C36">_xlfn.IFS(_xlfn.NUMBERVALUE(B36)&lt;=13,"Q1",AND(_xlfn.NUMBERVALUE(B36)&gt;13,_xlfn.NUMBERVALUE(B36)&lt;=26),"Q2", AND(_xlfn.NUMBERVALUE(B36)&gt;26,_xlfn.NUMBERVALUE(B36)&lt;=39),"Q3",_xlfn.NUMBERVALUE(B36)&gt;39,"Q4")</f>
        <v>Q3</v>
      </c>
      <c r="D36" s="448">
        <f t="shared" si="4"/>
        <v>44443</v>
      </c>
      <c r="E36" s="448">
        <f t="shared" si="5"/>
        <v>44449</v>
      </c>
      <c r="F36" s="308">
        <v>202132</v>
      </c>
      <c r="G36" s="309"/>
      <c r="H36" s="461"/>
      <c r="I36" s="92"/>
      <c r="J36" s="92"/>
      <c r="K36" s="92"/>
      <c r="L36" s="92"/>
      <c r="M36" s="92"/>
      <c r="N36" s="92"/>
      <c r="O36" s="92"/>
      <c r="P36" s="92"/>
      <c r="Q36" s="92"/>
      <c r="R36" s="126"/>
      <c r="S36" s="323">
        <f t="shared" si="2"/>
        <v>0</v>
      </c>
      <c r="T36" s="456">
        <f t="shared" si="3"/>
        <v>0</v>
      </c>
      <c r="U36" s="324">
        <f>'Overall Metrics'!M90</f>
        <v>0</v>
      </c>
    </row>
    <row r="37" spans="1:21" ht="15.75" customHeight="1">
      <c r="A37" s="175">
        <f t="shared" si="0"/>
        <v>2022</v>
      </c>
      <c r="B37" s="454" t="str">
        <f t="shared" si="1"/>
        <v>33</v>
      </c>
      <c r="C37" s="454" t="str">
        <f t="array" ref="C37">_xlfn.IFS(_xlfn.NUMBERVALUE(B37)&lt;=13,"Q1",AND(_xlfn.NUMBERVALUE(B37)&gt;13,_xlfn.NUMBERVALUE(B37)&lt;=26),"Q2", AND(_xlfn.NUMBERVALUE(B37)&gt;26,_xlfn.NUMBERVALUE(B37)&lt;=39),"Q3",_xlfn.NUMBERVALUE(B37)&gt;39,"Q4")</f>
        <v>Q3</v>
      </c>
      <c r="D37" s="448">
        <f t="shared" si="4"/>
        <v>44450</v>
      </c>
      <c r="E37" s="448">
        <f t="shared" si="5"/>
        <v>44456</v>
      </c>
      <c r="F37" s="308">
        <v>202133</v>
      </c>
      <c r="G37" s="309"/>
      <c r="H37" s="461"/>
      <c r="I37" s="92"/>
      <c r="J37" s="92"/>
      <c r="K37" s="92"/>
      <c r="L37" s="92"/>
      <c r="M37" s="92"/>
      <c r="N37" s="92"/>
      <c r="O37" s="92"/>
      <c r="P37" s="92"/>
      <c r="Q37" s="92"/>
      <c r="R37" s="126"/>
      <c r="S37" s="323">
        <f t="shared" si="2"/>
        <v>0</v>
      </c>
      <c r="T37" s="456">
        <f t="shared" si="3"/>
        <v>0</v>
      </c>
      <c r="U37" s="324">
        <f>'Overall Metrics'!M91</f>
        <v>0</v>
      </c>
    </row>
    <row r="38" spans="1:21" ht="15.75" customHeight="1">
      <c r="A38" s="175">
        <f t="shared" si="0"/>
        <v>2022</v>
      </c>
      <c r="B38" s="454" t="str">
        <f t="shared" si="1"/>
        <v>34</v>
      </c>
      <c r="C38" s="454" t="str">
        <f t="array" ref="C38">_xlfn.IFS(_xlfn.NUMBERVALUE(B38)&lt;=13,"Q1",AND(_xlfn.NUMBERVALUE(B38)&gt;13,_xlfn.NUMBERVALUE(B38)&lt;=26),"Q2", AND(_xlfn.NUMBERVALUE(B38)&gt;26,_xlfn.NUMBERVALUE(B38)&lt;=39),"Q3",_xlfn.NUMBERVALUE(B38)&gt;39,"Q4")</f>
        <v>Q3</v>
      </c>
      <c r="D38" s="448">
        <f t="shared" si="4"/>
        <v>44457</v>
      </c>
      <c r="E38" s="448">
        <f t="shared" si="5"/>
        <v>44463</v>
      </c>
      <c r="F38" s="308">
        <v>202134</v>
      </c>
      <c r="G38" s="309"/>
      <c r="H38" s="461"/>
      <c r="I38" s="92"/>
      <c r="J38" s="92"/>
      <c r="K38" s="92"/>
      <c r="L38" s="92"/>
      <c r="M38" s="92"/>
      <c r="N38" s="92"/>
      <c r="O38" s="92"/>
      <c r="P38" s="92"/>
      <c r="Q38" s="92"/>
      <c r="R38" s="126"/>
      <c r="S38" s="323">
        <f t="shared" si="2"/>
        <v>0</v>
      </c>
      <c r="T38" s="456">
        <f t="shared" si="3"/>
        <v>0</v>
      </c>
      <c r="U38" s="324">
        <f>'Overall Metrics'!M92</f>
        <v>0</v>
      </c>
    </row>
    <row r="39" spans="1:21" ht="15.75" customHeight="1">
      <c r="A39" s="175">
        <f t="shared" si="0"/>
        <v>2022</v>
      </c>
      <c r="B39" s="454" t="str">
        <f t="shared" si="1"/>
        <v>35</v>
      </c>
      <c r="C39" s="454" t="str">
        <f t="array" ref="C39">_xlfn.IFS(_xlfn.NUMBERVALUE(B39)&lt;=13,"Q1",AND(_xlfn.NUMBERVALUE(B39)&gt;13,_xlfn.NUMBERVALUE(B39)&lt;=26),"Q2", AND(_xlfn.NUMBERVALUE(B39)&gt;26,_xlfn.NUMBERVALUE(B39)&lt;=39),"Q3",_xlfn.NUMBERVALUE(B39)&gt;39,"Q4")</f>
        <v>Q3</v>
      </c>
      <c r="D39" s="448">
        <f t="shared" si="4"/>
        <v>44464</v>
      </c>
      <c r="E39" s="448">
        <f t="shared" si="5"/>
        <v>44470</v>
      </c>
      <c r="F39" s="308">
        <v>202135</v>
      </c>
      <c r="G39" s="309"/>
      <c r="H39" s="461"/>
      <c r="I39" s="92"/>
      <c r="J39" s="92"/>
      <c r="K39" s="92"/>
      <c r="L39" s="92"/>
      <c r="M39" s="92"/>
      <c r="N39" s="92"/>
      <c r="O39" s="92"/>
      <c r="P39" s="92"/>
      <c r="Q39" s="92"/>
      <c r="R39" s="126"/>
      <c r="S39" s="323">
        <f t="shared" si="2"/>
        <v>0</v>
      </c>
      <c r="T39" s="456">
        <f t="shared" si="3"/>
        <v>0</v>
      </c>
      <c r="U39" s="324">
        <f>'Overall Metrics'!M93</f>
        <v>0</v>
      </c>
    </row>
    <row r="40" spans="1:21" ht="15.75" customHeight="1">
      <c r="A40" s="175">
        <f t="shared" si="0"/>
        <v>2022</v>
      </c>
      <c r="B40" s="454" t="str">
        <f t="shared" si="1"/>
        <v>36</v>
      </c>
      <c r="C40" s="454" t="str">
        <f t="array" ref="C40">_xlfn.IFS(_xlfn.NUMBERVALUE(B40)&lt;=13,"Q1",AND(_xlfn.NUMBERVALUE(B40)&gt;13,_xlfn.NUMBERVALUE(B40)&lt;=26),"Q2", AND(_xlfn.NUMBERVALUE(B40)&gt;26,_xlfn.NUMBERVALUE(B40)&lt;=39),"Q3",_xlfn.NUMBERVALUE(B40)&gt;39,"Q4")</f>
        <v>Q3</v>
      </c>
      <c r="D40" s="448">
        <f t="shared" si="4"/>
        <v>44471</v>
      </c>
      <c r="E40" s="448">
        <f t="shared" si="5"/>
        <v>44477</v>
      </c>
      <c r="F40" s="308">
        <v>202136</v>
      </c>
      <c r="G40" s="309"/>
      <c r="H40" s="461"/>
      <c r="I40" s="92"/>
      <c r="J40" s="92"/>
      <c r="K40" s="92"/>
      <c r="L40" s="92"/>
      <c r="M40" s="92"/>
      <c r="N40" s="92"/>
      <c r="O40" s="92"/>
      <c r="P40" s="92"/>
      <c r="Q40" s="92"/>
      <c r="R40" s="126"/>
      <c r="S40" s="323">
        <f t="shared" si="2"/>
        <v>0</v>
      </c>
      <c r="T40" s="456">
        <f t="shared" si="3"/>
        <v>0</v>
      </c>
      <c r="U40" s="324">
        <f>'Overall Metrics'!M94</f>
        <v>0</v>
      </c>
    </row>
    <row r="41" spans="1:21" ht="15.75" customHeight="1">
      <c r="A41" s="175">
        <f t="shared" si="0"/>
        <v>2022</v>
      </c>
      <c r="B41" s="454" t="str">
        <f t="shared" si="1"/>
        <v>37</v>
      </c>
      <c r="C41" s="454" t="str">
        <f t="array" ref="C41">_xlfn.IFS(_xlfn.NUMBERVALUE(B41)&lt;=13,"Q1",AND(_xlfn.NUMBERVALUE(B41)&gt;13,_xlfn.NUMBERVALUE(B41)&lt;=26),"Q2", AND(_xlfn.NUMBERVALUE(B41)&gt;26,_xlfn.NUMBERVALUE(B41)&lt;=39),"Q3",_xlfn.NUMBERVALUE(B41)&gt;39,"Q4")</f>
        <v>Q3</v>
      </c>
      <c r="D41" s="448">
        <f t="shared" si="4"/>
        <v>44478</v>
      </c>
      <c r="E41" s="448">
        <f t="shared" si="5"/>
        <v>44484</v>
      </c>
      <c r="F41" s="308">
        <v>202137</v>
      </c>
      <c r="G41" s="309"/>
      <c r="H41" s="461"/>
      <c r="I41" s="92"/>
      <c r="J41" s="92"/>
      <c r="K41" s="92"/>
      <c r="L41" s="92"/>
      <c r="M41" s="92"/>
      <c r="N41" s="92"/>
      <c r="O41" s="92"/>
      <c r="P41" s="92"/>
      <c r="Q41" s="92"/>
      <c r="R41" s="126"/>
      <c r="S41" s="323">
        <f t="shared" si="2"/>
        <v>0</v>
      </c>
      <c r="T41" s="456">
        <f t="shared" si="3"/>
        <v>0</v>
      </c>
      <c r="U41" s="324">
        <f>'Overall Metrics'!M95</f>
        <v>0</v>
      </c>
    </row>
    <row r="42" spans="1:21" ht="15.75" customHeight="1">
      <c r="A42" s="175">
        <f t="shared" si="0"/>
        <v>2022</v>
      </c>
      <c r="B42" s="454" t="str">
        <f t="shared" si="1"/>
        <v>38</v>
      </c>
      <c r="C42" s="454" t="str">
        <f t="array" ref="C42">_xlfn.IFS(_xlfn.NUMBERVALUE(B42)&lt;=13,"Q1",AND(_xlfn.NUMBERVALUE(B42)&gt;13,_xlfn.NUMBERVALUE(B42)&lt;=26),"Q2", AND(_xlfn.NUMBERVALUE(B42)&gt;26,_xlfn.NUMBERVALUE(B42)&lt;=39),"Q3",_xlfn.NUMBERVALUE(B42)&gt;39,"Q4")</f>
        <v>Q3</v>
      </c>
      <c r="D42" s="448">
        <f t="shared" si="4"/>
        <v>44485</v>
      </c>
      <c r="E42" s="448">
        <f t="shared" si="5"/>
        <v>44491</v>
      </c>
      <c r="F42" s="308">
        <v>202138</v>
      </c>
      <c r="G42" s="309"/>
      <c r="H42" s="461"/>
      <c r="I42" s="92"/>
      <c r="J42" s="92"/>
      <c r="K42" s="92"/>
      <c r="L42" s="92"/>
      <c r="M42" s="92"/>
      <c r="N42" s="92"/>
      <c r="O42" s="92"/>
      <c r="P42" s="92"/>
      <c r="Q42" s="92"/>
      <c r="R42" s="126"/>
      <c r="S42" s="323">
        <f t="shared" si="2"/>
        <v>0</v>
      </c>
      <c r="T42" s="456">
        <f t="shared" si="3"/>
        <v>0</v>
      </c>
      <c r="U42" s="324">
        <f>'Overall Metrics'!M96</f>
        <v>0</v>
      </c>
    </row>
    <row r="43" spans="1:21" ht="15.75" customHeight="1">
      <c r="A43" s="175">
        <f t="shared" si="0"/>
        <v>2022</v>
      </c>
      <c r="B43" s="454" t="str">
        <f t="shared" si="1"/>
        <v>39</v>
      </c>
      <c r="C43" s="454" t="str">
        <f t="array" ref="C43">_xlfn.IFS(_xlfn.NUMBERVALUE(B43)&lt;=13,"Q1",AND(_xlfn.NUMBERVALUE(B43)&gt;13,_xlfn.NUMBERVALUE(B43)&lt;=26),"Q2", AND(_xlfn.NUMBERVALUE(B43)&gt;26,_xlfn.NUMBERVALUE(B43)&lt;=39),"Q3",_xlfn.NUMBERVALUE(B43)&gt;39,"Q4")</f>
        <v>Q3</v>
      </c>
      <c r="D43" s="448">
        <f t="shared" si="4"/>
        <v>44492</v>
      </c>
      <c r="E43" s="448">
        <f t="shared" si="5"/>
        <v>44498</v>
      </c>
      <c r="F43" s="308">
        <v>202139</v>
      </c>
      <c r="G43" s="309"/>
      <c r="H43" s="461"/>
      <c r="I43" s="92"/>
      <c r="J43" s="92"/>
      <c r="K43" s="92"/>
      <c r="L43" s="92"/>
      <c r="M43" s="92"/>
      <c r="N43" s="92"/>
      <c r="O43" s="92"/>
      <c r="P43" s="92"/>
      <c r="Q43" s="92"/>
      <c r="R43" s="126"/>
      <c r="S43" s="323">
        <f t="shared" si="2"/>
        <v>0</v>
      </c>
      <c r="T43" s="456">
        <f t="shared" si="3"/>
        <v>0</v>
      </c>
      <c r="U43" s="324">
        <f>'Overall Metrics'!M97</f>
        <v>0</v>
      </c>
    </row>
    <row r="44" spans="1:21" ht="15.75" customHeight="1">
      <c r="A44" s="175">
        <f t="shared" si="0"/>
        <v>2022</v>
      </c>
      <c r="B44" s="454" t="str">
        <f t="shared" si="1"/>
        <v>40</v>
      </c>
      <c r="C44" s="454" t="str">
        <f t="array" ref="C44">_xlfn.IFS(_xlfn.NUMBERVALUE(B44)&lt;=13,"Q1",AND(_xlfn.NUMBERVALUE(B44)&gt;13,_xlfn.NUMBERVALUE(B44)&lt;=26),"Q2", AND(_xlfn.NUMBERVALUE(B44)&gt;26,_xlfn.NUMBERVALUE(B44)&lt;=39),"Q3",_xlfn.NUMBERVALUE(B44)&gt;39,"Q4")</f>
        <v>Q4</v>
      </c>
      <c r="D44" s="448">
        <f t="shared" si="4"/>
        <v>44499</v>
      </c>
      <c r="E44" s="448">
        <f t="shared" si="5"/>
        <v>44505</v>
      </c>
      <c r="F44" s="308">
        <v>202140</v>
      </c>
      <c r="G44" s="309"/>
      <c r="H44" s="461"/>
      <c r="I44" s="92"/>
      <c r="J44" s="92"/>
      <c r="K44" s="92"/>
      <c r="L44" s="92"/>
      <c r="M44" s="92"/>
      <c r="N44" s="92"/>
      <c r="O44" s="92"/>
      <c r="P44" s="92"/>
      <c r="Q44" s="92"/>
      <c r="R44" s="126"/>
      <c r="S44" s="323">
        <f t="shared" si="2"/>
        <v>0</v>
      </c>
      <c r="T44" s="456">
        <f t="shared" si="3"/>
        <v>0</v>
      </c>
      <c r="U44" s="324">
        <f>'Overall Metrics'!M98</f>
        <v>0</v>
      </c>
    </row>
    <row r="45" spans="1:21" ht="15.75" customHeight="1">
      <c r="A45" s="175">
        <f t="shared" si="0"/>
        <v>2022</v>
      </c>
      <c r="B45" s="454" t="str">
        <f t="shared" si="1"/>
        <v>41</v>
      </c>
      <c r="C45" s="454" t="str">
        <f t="array" ref="C45">_xlfn.IFS(_xlfn.NUMBERVALUE(B45)&lt;=13,"Q1",AND(_xlfn.NUMBERVALUE(B45)&gt;13,_xlfn.NUMBERVALUE(B45)&lt;=26),"Q2", AND(_xlfn.NUMBERVALUE(B45)&gt;26,_xlfn.NUMBERVALUE(B45)&lt;=39),"Q3",_xlfn.NUMBERVALUE(B45)&gt;39,"Q4")</f>
        <v>Q4</v>
      </c>
      <c r="D45" s="448">
        <f t="shared" si="4"/>
        <v>44506</v>
      </c>
      <c r="E45" s="448">
        <f t="shared" si="5"/>
        <v>44512</v>
      </c>
      <c r="F45" s="308">
        <v>202141</v>
      </c>
      <c r="G45" s="309"/>
      <c r="H45" s="461"/>
      <c r="I45" s="92"/>
      <c r="J45" s="92"/>
      <c r="K45" s="92"/>
      <c r="L45" s="92"/>
      <c r="M45" s="92"/>
      <c r="N45" s="92"/>
      <c r="O45" s="92"/>
      <c r="P45" s="92"/>
      <c r="Q45" s="92"/>
      <c r="R45" s="126"/>
      <c r="S45" s="323">
        <f t="shared" si="2"/>
        <v>0</v>
      </c>
      <c r="T45" s="456">
        <f t="shared" si="3"/>
        <v>0</v>
      </c>
      <c r="U45" s="324">
        <f>'Overall Metrics'!M99</f>
        <v>0</v>
      </c>
    </row>
    <row r="46" spans="1:21" ht="15.75" customHeight="1">
      <c r="A46" s="175">
        <f t="shared" si="0"/>
        <v>2022</v>
      </c>
      <c r="B46" s="454" t="str">
        <f t="shared" si="1"/>
        <v>42</v>
      </c>
      <c r="C46" s="454" t="str">
        <f t="array" ref="C46">_xlfn.IFS(_xlfn.NUMBERVALUE(B46)&lt;=13,"Q1",AND(_xlfn.NUMBERVALUE(B46)&gt;13,_xlfn.NUMBERVALUE(B46)&lt;=26),"Q2", AND(_xlfn.NUMBERVALUE(B46)&gt;26,_xlfn.NUMBERVALUE(B46)&lt;=39),"Q3",_xlfn.NUMBERVALUE(B46)&gt;39,"Q4")</f>
        <v>Q4</v>
      </c>
      <c r="D46" s="448">
        <f t="shared" si="4"/>
        <v>44513</v>
      </c>
      <c r="E46" s="448">
        <f t="shared" si="5"/>
        <v>44519</v>
      </c>
      <c r="F46" s="308">
        <v>202142</v>
      </c>
      <c r="G46" s="309"/>
      <c r="H46" s="461"/>
      <c r="I46" s="92"/>
      <c r="J46" s="92"/>
      <c r="K46" s="92"/>
      <c r="L46" s="92"/>
      <c r="M46" s="92"/>
      <c r="N46" s="92"/>
      <c r="O46" s="92"/>
      <c r="P46" s="92"/>
      <c r="Q46" s="92"/>
      <c r="R46" s="126"/>
      <c r="S46" s="323">
        <f t="shared" si="2"/>
        <v>0</v>
      </c>
      <c r="T46" s="456">
        <f t="shared" si="3"/>
        <v>0</v>
      </c>
      <c r="U46" s="324">
        <f>'Overall Metrics'!M100</f>
        <v>0</v>
      </c>
    </row>
    <row r="47" spans="1:21" ht="15.75" customHeight="1">
      <c r="A47" s="175">
        <f t="shared" si="0"/>
        <v>2022</v>
      </c>
      <c r="B47" s="454" t="str">
        <f t="shared" si="1"/>
        <v>43</v>
      </c>
      <c r="C47" s="454" t="str">
        <f t="array" ref="C47">_xlfn.IFS(_xlfn.NUMBERVALUE(B47)&lt;=13,"Q1",AND(_xlfn.NUMBERVALUE(B47)&gt;13,_xlfn.NUMBERVALUE(B47)&lt;=26),"Q2", AND(_xlfn.NUMBERVALUE(B47)&gt;26,_xlfn.NUMBERVALUE(B47)&lt;=39),"Q3",_xlfn.NUMBERVALUE(B47)&gt;39,"Q4")</f>
        <v>Q4</v>
      </c>
      <c r="D47" s="448">
        <f t="shared" si="4"/>
        <v>44520</v>
      </c>
      <c r="E47" s="448">
        <f t="shared" si="5"/>
        <v>44526</v>
      </c>
      <c r="F47" s="308">
        <v>202143</v>
      </c>
      <c r="G47" s="309"/>
      <c r="H47" s="461"/>
      <c r="I47" s="92"/>
      <c r="J47" s="92"/>
      <c r="K47" s="92"/>
      <c r="L47" s="92"/>
      <c r="M47" s="92"/>
      <c r="N47" s="92"/>
      <c r="O47" s="92"/>
      <c r="P47" s="92"/>
      <c r="Q47" s="92"/>
      <c r="R47" s="126"/>
      <c r="S47" s="323">
        <f t="shared" si="2"/>
        <v>0</v>
      </c>
      <c r="T47" s="456">
        <f t="shared" si="3"/>
        <v>0</v>
      </c>
      <c r="U47" s="324">
        <f>'Overall Metrics'!M101</f>
        <v>0</v>
      </c>
    </row>
    <row r="48" spans="1:21" ht="15.75" customHeight="1">
      <c r="A48" s="175">
        <f t="shared" si="0"/>
        <v>2022</v>
      </c>
      <c r="B48" s="454" t="str">
        <f t="shared" si="1"/>
        <v>44</v>
      </c>
      <c r="C48" s="454" t="str">
        <f t="array" ref="C48">_xlfn.IFS(_xlfn.NUMBERVALUE(B48)&lt;=13,"Q1",AND(_xlfn.NUMBERVALUE(B48)&gt;13,_xlfn.NUMBERVALUE(B48)&lt;=26),"Q2", AND(_xlfn.NUMBERVALUE(B48)&gt;26,_xlfn.NUMBERVALUE(B48)&lt;=39),"Q3",_xlfn.NUMBERVALUE(B48)&gt;39,"Q4")</f>
        <v>Q4</v>
      </c>
      <c r="D48" s="448">
        <f t="shared" si="4"/>
        <v>44527</v>
      </c>
      <c r="E48" s="448">
        <f t="shared" si="5"/>
        <v>44533</v>
      </c>
      <c r="F48" s="308">
        <v>202144</v>
      </c>
      <c r="G48" s="309"/>
      <c r="H48" s="461"/>
      <c r="I48" s="92"/>
      <c r="J48" s="92"/>
      <c r="K48" s="92"/>
      <c r="L48" s="92"/>
      <c r="M48" s="92"/>
      <c r="N48" s="92"/>
      <c r="O48" s="92"/>
      <c r="P48" s="92"/>
      <c r="Q48" s="92"/>
      <c r="R48" s="126"/>
      <c r="S48" s="323">
        <f t="shared" si="2"/>
        <v>0</v>
      </c>
      <c r="T48" s="456">
        <f t="shared" si="3"/>
        <v>0</v>
      </c>
      <c r="U48" s="324">
        <f>'Overall Metrics'!M102</f>
        <v>0</v>
      </c>
    </row>
    <row r="49" spans="1:21" ht="15.75" customHeight="1">
      <c r="A49" s="175">
        <f t="shared" si="0"/>
        <v>2022</v>
      </c>
      <c r="B49" s="454" t="str">
        <f t="shared" si="1"/>
        <v>45</v>
      </c>
      <c r="C49" s="454" t="str">
        <f t="array" ref="C49">_xlfn.IFS(_xlfn.NUMBERVALUE(B49)&lt;=13,"Q1",AND(_xlfn.NUMBERVALUE(B49)&gt;13,_xlfn.NUMBERVALUE(B49)&lt;=26),"Q2", AND(_xlfn.NUMBERVALUE(B49)&gt;26,_xlfn.NUMBERVALUE(B49)&lt;=39),"Q3",_xlfn.NUMBERVALUE(B49)&gt;39,"Q4")</f>
        <v>Q4</v>
      </c>
      <c r="D49" s="448">
        <f t="shared" si="4"/>
        <v>44534</v>
      </c>
      <c r="E49" s="448">
        <f t="shared" si="5"/>
        <v>44540</v>
      </c>
      <c r="F49" s="308">
        <v>202145</v>
      </c>
      <c r="G49" s="309"/>
      <c r="H49" s="461"/>
      <c r="I49" s="92"/>
      <c r="J49" s="92"/>
      <c r="K49" s="92"/>
      <c r="L49" s="92"/>
      <c r="M49" s="92"/>
      <c r="N49" s="92"/>
      <c r="O49" s="92"/>
      <c r="P49" s="92"/>
      <c r="Q49" s="92"/>
      <c r="R49" s="126"/>
      <c r="S49" s="323">
        <f t="shared" si="2"/>
        <v>0</v>
      </c>
      <c r="T49" s="456">
        <f t="shared" si="3"/>
        <v>0</v>
      </c>
      <c r="U49" s="324">
        <f>'Overall Metrics'!M103</f>
        <v>0</v>
      </c>
    </row>
    <row r="50" spans="1:21" ht="15.75" customHeight="1">
      <c r="A50" s="175">
        <f t="shared" si="0"/>
        <v>2022</v>
      </c>
      <c r="B50" s="454" t="str">
        <f t="shared" si="1"/>
        <v>46</v>
      </c>
      <c r="C50" s="454" t="str">
        <f t="array" ref="C50">_xlfn.IFS(_xlfn.NUMBERVALUE(B50)&lt;=13,"Q1",AND(_xlfn.NUMBERVALUE(B50)&gt;13,_xlfn.NUMBERVALUE(B50)&lt;=26),"Q2", AND(_xlfn.NUMBERVALUE(B50)&gt;26,_xlfn.NUMBERVALUE(B50)&lt;=39),"Q3",_xlfn.NUMBERVALUE(B50)&gt;39,"Q4")</f>
        <v>Q4</v>
      </c>
      <c r="D50" s="448">
        <f t="shared" si="4"/>
        <v>44541</v>
      </c>
      <c r="E50" s="448">
        <f t="shared" si="5"/>
        <v>44547</v>
      </c>
      <c r="F50" s="308">
        <v>202146</v>
      </c>
      <c r="G50" s="309"/>
      <c r="H50" s="461"/>
      <c r="I50" s="92"/>
      <c r="J50" s="92"/>
      <c r="K50" s="92"/>
      <c r="L50" s="92"/>
      <c r="M50" s="92"/>
      <c r="N50" s="92"/>
      <c r="O50" s="92"/>
      <c r="P50" s="92"/>
      <c r="Q50" s="92"/>
      <c r="R50" s="126"/>
      <c r="S50" s="323">
        <f t="shared" si="2"/>
        <v>0</v>
      </c>
      <c r="T50" s="456">
        <f t="shared" si="3"/>
        <v>0</v>
      </c>
      <c r="U50" s="324">
        <f>'Overall Metrics'!M104</f>
        <v>0</v>
      </c>
    </row>
    <row r="51" spans="1:21" ht="15.75" customHeight="1">
      <c r="A51" s="175">
        <f t="shared" si="0"/>
        <v>2022</v>
      </c>
      <c r="B51" s="454" t="str">
        <f t="shared" si="1"/>
        <v>47</v>
      </c>
      <c r="C51" s="454" t="str">
        <f t="array" ref="C51">_xlfn.IFS(_xlfn.NUMBERVALUE(B51)&lt;=13,"Q1",AND(_xlfn.NUMBERVALUE(B51)&gt;13,_xlfn.NUMBERVALUE(B51)&lt;=26),"Q2", AND(_xlfn.NUMBERVALUE(B51)&gt;26,_xlfn.NUMBERVALUE(B51)&lt;=39),"Q3",_xlfn.NUMBERVALUE(B51)&gt;39,"Q4")</f>
        <v>Q4</v>
      </c>
      <c r="D51" s="448">
        <f t="shared" si="4"/>
        <v>44548</v>
      </c>
      <c r="E51" s="448">
        <f t="shared" si="5"/>
        <v>44554</v>
      </c>
      <c r="F51" s="308">
        <v>202147</v>
      </c>
      <c r="G51" s="309"/>
      <c r="H51" s="461"/>
      <c r="I51" s="92"/>
      <c r="J51" s="92"/>
      <c r="K51" s="92"/>
      <c r="L51" s="92"/>
      <c r="M51" s="92"/>
      <c r="N51" s="92"/>
      <c r="O51" s="92"/>
      <c r="P51" s="92"/>
      <c r="Q51" s="92"/>
      <c r="R51" s="126"/>
      <c r="S51" s="323">
        <f t="shared" si="2"/>
        <v>0</v>
      </c>
      <c r="T51" s="456">
        <f t="shared" si="3"/>
        <v>0</v>
      </c>
      <c r="U51" s="324">
        <f>'Overall Metrics'!M105</f>
        <v>0</v>
      </c>
    </row>
    <row r="52" spans="1:21" ht="15.75" customHeight="1">
      <c r="A52" s="175">
        <f t="shared" si="0"/>
        <v>2022</v>
      </c>
      <c r="B52" s="454" t="str">
        <f t="shared" si="1"/>
        <v>48</v>
      </c>
      <c r="C52" s="454" t="str">
        <f t="array" ref="C52">_xlfn.IFS(_xlfn.NUMBERVALUE(B52)&lt;=13,"Q1",AND(_xlfn.NUMBERVALUE(B52)&gt;13,_xlfn.NUMBERVALUE(B52)&lt;=26),"Q2", AND(_xlfn.NUMBERVALUE(B52)&gt;26,_xlfn.NUMBERVALUE(B52)&lt;=39),"Q3",_xlfn.NUMBERVALUE(B52)&gt;39,"Q4")</f>
        <v>Q4</v>
      </c>
      <c r="D52" s="448">
        <f t="shared" si="4"/>
        <v>44555</v>
      </c>
      <c r="E52" s="448">
        <f t="shared" si="5"/>
        <v>44561</v>
      </c>
      <c r="F52" s="308">
        <v>202148</v>
      </c>
      <c r="G52" s="309"/>
      <c r="H52" s="461"/>
      <c r="I52" s="92"/>
      <c r="J52" s="92"/>
      <c r="K52" s="92"/>
      <c r="L52" s="92"/>
      <c r="M52" s="92"/>
      <c r="N52" s="92"/>
      <c r="O52" s="92"/>
      <c r="P52" s="92"/>
      <c r="Q52" s="92"/>
      <c r="R52" s="126"/>
      <c r="S52" s="323">
        <f t="shared" si="2"/>
        <v>0</v>
      </c>
      <c r="T52" s="456">
        <f t="shared" si="3"/>
        <v>0</v>
      </c>
      <c r="U52" s="324">
        <f>'Overall Metrics'!M106</f>
        <v>0</v>
      </c>
    </row>
    <row r="53" spans="1:21" ht="15.75" customHeight="1">
      <c r="A53" s="175">
        <f t="shared" si="0"/>
        <v>2022</v>
      </c>
      <c r="B53" s="454" t="str">
        <f t="shared" si="1"/>
        <v>49</v>
      </c>
      <c r="C53" s="454" t="str">
        <f t="array" ref="C53">_xlfn.IFS(_xlfn.NUMBERVALUE(B53)&lt;=13,"Q1",AND(_xlfn.NUMBERVALUE(B53)&gt;13,_xlfn.NUMBERVALUE(B53)&lt;=26),"Q2", AND(_xlfn.NUMBERVALUE(B53)&gt;26,_xlfn.NUMBERVALUE(B53)&lt;=39),"Q3",_xlfn.NUMBERVALUE(B53)&gt;39,"Q4")</f>
        <v>Q4</v>
      </c>
      <c r="D53" s="448">
        <f t="shared" si="4"/>
        <v>44562</v>
      </c>
      <c r="E53" s="448">
        <f t="shared" si="5"/>
        <v>44568</v>
      </c>
      <c r="F53" s="308">
        <v>202149</v>
      </c>
      <c r="G53" s="309"/>
      <c r="H53" s="461"/>
      <c r="I53" s="92"/>
      <c r="J53" s="92"/>
      <c r="K53" s="92"/>
      <c r="L53" s="92"/>
      <c r="M53" s="92"/>
      <c r="N53" s="92"/>
      <c r="O53" s="92"/>
      <c r="P53" s="92"/>
      <c r="Q53" s="92"/>
      <c r="R53" s="126"/>
      <c r="S53" s="323">
        <f t="shared" si="2"/>
        <v>0</v>
      </c>
      <c r="T53" s="456">
        <f t="shared" si="3"/>
        <v>0</v>
      </c>
      <c r="U53" s="324">
        <f>'Overall Metrics'!M107</f>
        <v>0</v>
      </c>
    </row>
    <row r="54" spans="1:21" ht="15.75" customHeight="1">
      <c r="A54" s="175">
        <f t="shared" si="0"/>
        <v>2022</v>
      </c>
      <c r="B54" s="454" t="str">
        <f t="shared" si="1"/>
        <v>50</v>
      </c>
      <c r="C54" s="454" t="str">
        <f t="array" ref="C54">_xlfn.IFS(_xlfn.NUMBERVALUE(B54)&lt;=13,"Q1",AND(_xlfn.NUMBERVALUE(B54)&gt;13,_xlfn.NUMBERVALUE(B54)&lt;=26),"Q2", AND(_xlfn.NUMBERVALUE(B54)&gt;26,_xlfn.NUMBERVALUE(B54)&lt;=39),"Q3",_xlfn.NUMBERVALUE(B54)&gt;39,"Q4")</f>
        <v>Q4</v>
      </c>
      <c r="D54" s="448">
        <f t="shared" si="4"/>
        <v>44569</v>
      </c>
      <c r="E54" s="448">
        <f t="shared" si="5"/>
        <v>44575</v>
      </c>
      <c r="F54" s="308">
        <v>202150</v>
      </c>
      <c r="G54" s="309"/>
      <c r="H54" s="461"/>
      <c r="I54" s="92"/>
      <c r="J54" s="92"/>
      <c r="K54" s="92"/>
      <c r="L54" s="92"/>
      <c r="M54" s="92"/>
      <c r="N54" s="92"/>
      <c r="O54" s="92"/>
      <c r="P54" s="92"/>
      <c r="Q54" s="92"/>
      <c r="R54" s="126"/>
      <c r="S54" s="323">
        <f t="shared" si="2"/>
        <v>0</v>
      </c>
      <c r="T54" s="456">
        <f t="shared" si="3"/>
        <v>0</v>
      </c>
      <c r="U54" s="324">
        <f>'Overall Metrics'!M108</f>
        <v>0</v>
      </c>
    </row>
    <row r="55" spans="1:21" ht="15.75" customHeight="1">
      <c r="A55" s="175">
        <f t="shared" si="0"/>
        <v>2022</v>
      </c>
      <c r="B55" s="454" t="str">
        <f t="shared" si="1"/>
        <v>51</v>
      </c>
      <c r="C55" s="454" t="str">
        <f t="array" ref="C55">_xlfn.IFS(_xlfn.NUMBERVALUE(B55)&lt;=13,"Q1",AND(_xlfn.NUMBERVALUE(B55)&gt;13,_xlfn.NUMBERVALUE(B55)&lt;=26),"Q2", AND(_xlfn.NUMBERVALUE(B55)&gt;26,_xlfn.NUMBERVALUE(B55)&lt;=39),"Q3",_xlfn.NUMBERVALUE(B55)&gt;39,"Q4")</f>
        <v>Q4</v>
      </c>
      <c r="D55" s="448">
        <f t="shared" si="4"/>
        <v>44576</v>
      </c>
      <c r="E55" s="448">
        <f t="shared" si="5"/>
        <v>44582</v>
      </c>
      <c r="F55" s="308">
        <v>202151</v>
      </c>
      <c r="G55" s="309"/>
      <c r="H55" s="461"/>
      <c r="I55" s="92"/>
      <c r="J55" s="92"/>
      <c r="K55" s="92"/>
      <c r="L55" s="92"/>
      <c r="M55" s="92"/>
      <c r="N55" s="92"/>
      <c r="O55" s="92"/>
      <c r="P55" s="92"/>
      <c r="Q55" s="92"/>
      <c r="R55" s="126"/>
      <c r="S55" s="323">
        <f t="shared" si="2"/>
        <v>0</v>
      </c>
      <c r="T55" s="456">
        <f t="shared" si="3"/>
        <v>0</v>
      </c>
      <c r="U55" s="324">
        <f>'Overall Metrics'!M109</f>
        <v>0</v>
      </c>
    </row>
    <row r="56" spans="1:21" ht="15.75" customHeight="1">
      <c r="A56" s="175">
        <f t="shared" si="0"/>
        <v>2022</v>
      </c>
      <c r="B56" s="454" t="str">
        <f t="shared" si="1"/>
        <v>52</v>
      </c>
      <c r="C56" s="454" t="str">
        <f t="array" ref="C56">_xlfn.IFS(_xlfn.NUMBERVALUE(B56)&lt;=13,"Q1",AND(_xlfn.NUMBERVALUE(B56)&gt;13,_xlfn.NUMBERVALUE(B56)&lt;=26),"Q2", AND(_xlfn.NUMBERVALUE(B56)&gt;26,_xlfn.NUMBERVALUE(B56)&lt;=39),"Q3",_xlfn.NUMBERVALUE(B56)&gt;39,"Q4")</f>
        <v>Q4</v>
      </c>
      <c r="D56" s="448">
        <f t="shared" si="4"/>
        <v>44583</v>
      </c>
      <c r="E56" s="448">
        <f t="shared" si="5"/>
        <v>44589</v>
      </c>
      <c r="F56" s="308">
        <v>202152</v>
      </c>
      <c r="G56" s="309"/>
      <c r="H56" s="461"/>
      <c r="I56" s="92"/>
      <c r="J56" s="92"/>
      <c r="K56" s="92"/>
      <c r="L56" s="92"/>
      <c r="M56" s="92"/>
      <c r="N56" s="92"/>
      <c r="O56" s="92"/>
      <c r="P56" s="92"/>
      <c r="Q56" s="92"/>
      <c r="R56" s="126"/>
      <c r="S56" s="323">
        <f t="shared" si="2"/>
        <v>0</v>
      </c>
      <c r="T56" s="456">
        <f t="shared" si="3"/>
        <v>0</v>
      </c>
      <c r="U56" s="324">
        <f>'Overall Metrics'!M110</f>
        <v>0</v>
      </c>
    </row>
    <row r="57" spans="1:21" ht="15.75" customHeight="1">
      <c r="A57" s="175">
        <f t="shared" si="0"/>
        <v>2023</v>
      </c>
      <c r="B57" s="454" t="str">
        <f t="shared" si="1"/>
        <v>01</v>
      </c>
      <c r="C57" s="454" t="str">
        <f t="array" ref="C57">_xlfn.IFS(_xlfn.NUMBERVALUE(B57)&lt;=13,"Q1",AND(_xlfn.NUMBERVALUE(B57)&gt;13,_xlfn.NUMBERVALUE(B57)&lt;=26),"Q2", AND(_xlfn.NUMBERVALUE(B57)&gt;26,_xlfn.NUMBERVALUE(B57)&lt;=39),"Q3",_xlfn.NUMBERVALUE(B57)&gt;39,"Q4")</f>
        <v>Q1</v>
      </c>
      <c r="D57" s="448">
        <f t="shared" si="4"/>
        <v>44590</v>
      </c>
      <c r="E57" s="448">
        <f t="shared" si="5"/>
        <v>44596</v>
      </c>
      <c r="F57" s="308">
        <v>202201</v>
      </c>
      <c r="G57" s="125"/>
      <c r="H57" s="92"/>
      <c r="I57" s="92"/>
      <c r="J57" s="92"/>
      <c r="K57" s="461"/>
      <c r="L57" s="92"/>
      <c r="M57" s="92"/>
      <c r="N57" s="92"/>
      <c r="O57" s="92"/>
      <c r="P57" s="92"/>
      <c r="Q57" s="92"/>
      <c r="R57" s="126"/>
      <c r="S57" s="325">
        <f t="shared" si="2"/>
        <v>0</v>
      </c>
      <c r="T57" s="455">
        <f t="shared" si="3"/>
        <v>0</v>
      </c>
      <c r="U57" s="324">
        <f>'Overall Metrics'!M111</f>
        <v>0</v>
      </c>
    </row>
    <row r="58" spans="1:21" ht="15.75" customHeight="1">
      <c r="A58" s="175">
        <f t="shared" si="0"/>
        <v>2023</v>
      </c>
      <c r="B58" s="454" t="str">
        <f t="shared" si="1"/>
        <v>02</v>
      </c>
      <c r="C58" s="454" t="str">
        <f t="array" ref="C58">_xlfn.IFS(_xlfn.NUMBERVALUE(B58)&lt;=13,"Q1",AND(_xlfn.NUMBERVALUE(B58)&gt;13,_xlfn.NUMBERVALUE(B58)&lt;=26),"Q2", AND(_xlfn.NUMBERVALUE(B58)&gt;26,_xlfn.NUMBERVALUE(B58)&lt;=39),"Q3",_xlfn.NUMBERVALUE(B58)&gt;39,"Q4")</f>
        <v>Q1</v>
      </c>
      <c r="D58" s="448">
        <f t="shared" si="4"/>
        <v>44597</v>
      </c>
      <c r="E58" s="448">
        <f t="shared" si="5"/>
        <v>44603</v>
      </c>
      <c r="F58" s="308">
        <v>202202</v>
      </c>
      <c r="G58" s="125"/>
      <c r="H58" s="92"/>
      <c r="I58" s="92"/>
      <c r="J58" s="92"/>
      <c r="K58" s="461"/>
      <c r="L58" s="92"/>
      <c r="M58" s="92"/>
      <c r="N58" s="92"/>
      <c r="O58" s="92"/>
      <c r="P58" s="92"/>
      <c r="Q58" s="92"/>
      <c r="R58" s="126"/>
      <c r="S58" s="325">
        <f t="shared" si="2"/>
        <v>0</v>
      </c>
      <c r="T58" s="455">
        <f t="shared" si="3"/>
        <v>0</v>
      </c>
      <c r="U58" s="324">
        <f>'Overall Metrics'!M112</f>
        <v>0</v>
      </c>
    </row>
    <row r="59" spans="1:21" ht="15.75" customHeight="1">
      <c r="A59" s="175">
        <f t="shared" si="0"/>
        <v>2023</v>
      </c>
      <c r="B59" s="454" t="str">
        <f t="shared" si="1"/>
        <v>03</v>
      </c>
      <c r="C59" s="454" t="str">
        <f t="array" ref="C59">_xlfn.IFS(_xlfn.NUMBERVALUE(B59)&lt;=13,"Q1",AND(_xlfn.NUMBERVALUE(B59)&gt;13,_xlfn.NUMBERVALUE(B59)&lt;=26),"Q2", AND(_xlfn.NUMBERVALUE(B59)&gt;26,_xlfn.NUMBERVALUE(B59)&lt;=39),"Q3",_xlfn.NUMBERVALUE(B59)&gt;39,"Q4")</f>
        <v>Q1</v>
      </c>
      <c r="D59" s="448">
        <f t="shared" si="4"/>
        <v>44604</v>
      </c>
      <c r="E59" s="448">
        <f t="shared" si="5"/>
        <v>44610</v>
      </c>
      <c r="F59" s="308">
        <v>202203</v>
      </c>
      <c r="G59" s="125"/>
      <c r="H59" s="92"/>
      <c r="I59" s="92"/>
      <c r="J59" s="92"/>
      <c r="K59" s="461"/>
      <c r="L59" s="92"/>
      <c r="M59" s="92"/>
      <c r="N59" s="92"/>
      <c r="O59" s="92"/>
      <c r="P59" s="92"/>
      <c r="Q59" s="92"/>
      <c r="R59" s="126"/>
      <c r="S59" s="325">
        <f t="shared" si="2"/>
        <v>0</v>
      </c>
      <c r="T59" s="455">
        <f t="shared" si="3"/>
        <v>0</v>
      </c>
      <c r="U59" s="324">
        <f>'Overall Metrics'!M113</f>
        <v>0</v>
      </c>
    </row>
    <row r="60" spans="1:21" ht="15.75" customHeight="1">
      <c r="A60" s="175">
        <f t="shared" si="0"/>
        <v>2023</v>
      </c>
      <c r="B60" s="454" t="str">
        <f t="shared" si="1"/>
        <v>04</v>
      </c>
      <c r="C60" s="454" t="str">
        <f t="array" ref="C60">_xlfn.IFS(_xlfn.NUMBERVALUE(B60)&lt;=13,"Q1",AND(_xlfn.NUMBERVALUE(B60)&gt;13,_xlfn.NUMBERVALUE(B60)&lt;=26),"Q2", AND(_xlfn.NUMBERVALUE(B60)&gt;26,_xlfn.NUMBERVALUE(B60)&lt;=39),"Q3",_xlfn.NUMBERVALUE(B60)&gt;39,"Q4")</f>
        <v>Q1</v>
      </c>
      <c r="D60" s="448">
        <f t="shared" si="4"/>
        <v>44611</v>
      </c>
      <c r="E60" s="448">
        <f t="shared" si="5"/>
        <v>44617</v>
      </c>
      <c r="F60" s="308">
        <v>202204</v>
      </c>
      <c r="G60" s="125"/>
      <c r="H60" s="92"/>
      <c r="I60" s="92"/>
      <c r="J60" s="92"/>
      <c r="K60" s="461"/>
      <c r="L60" s="92"/>
      <c r="M60" s="92"/>
      <c r="N60" s="92"/>
      <c r="O60" s="92"/>
      <c r="P60" s="92"/>
      <c r="Q60" s="92"/>
      <c r="R60" s="126"/>
      <c r="S60" s="325">
        <f t="shared" si="2"/>
        <v>0</v>
      </c>
      <c r="T60" s="455">
        <f t="shared" si="3"/>
        <v>0</v>
      </c>
      <c r="U60" s="324">
        <f>'Overall Metrics'!M114</f>
        <v>0</v>
      </c>
    </row>
    <row r="61" spans="1:21" ht="15.75" customHeight="1">
      <c r="A61" s="175">
        <f t="shared" si="0"/>
        <v>2023</v>
      </c>
      <c r="B61" s="454" t="str">
        <f t="shared" si="1"/>
        <v>05</v>
      </c>
      <c r="C61" s="454" t="str">
        <f t="array" ref="C61">_xlfn.IFS(_xlfn.NUMBERVALUE(B61)&lt;=13,"Q1",AND(_xlfn.NUMBERVALUE(B61)&gt;13,_xlfn.NUMBERVALUE(B61)&lt;=26),"Q2", AND(_xlfn.NUMBERVALUE(B61)&gt;26,_xlfn.NUMBERVALUE(B61)&lt;=39),"Q3",_xlfn.NUMBERVALUE(B61)&gt;39,"Q4")</f>
        <v>Q1</v>
      </c>
      <c r="D61" s="448">
        <f t="shared" si="4"/>
        <v>44618</v>
      </c>
      <c r="E61" s="448">
        <f t="shared" si="5"/>
        <v>44624</v>
      </c>
      <c r="F61" s="308">
        <v>202205</v>
      </c>
      <c r="G61" s="125"/>
      <c r="H61" s="92"/>
      <c r="I61" s="92"/>
      <c r="J61" s="92"/>
      <c r="K61" s="461"/>
      <c r="L61" s="92"/>
      <c r="M61" s="92"/>
      <c r="N61" s="92"/>
      <c r="O61" s="92"/>
      <c r="P61" s="92"/>
      <c r="Q61" s="92"/>
      <c r="R61" s="126"/>
      <c r="S61" s="325">
        <f t="shared" si="2"/>
        <v>0</v>
      </c>
      <c r="T61" s="455">
        <f t="shared" si="3"/>
        <v>0</v>
      </c>
      <c r="U61" s="324">
        <f>'Overall Metrics'!M115</f>
        <v>0</v>
      </c>
    </row>
    <row r="62" spans="1:21" ht="15.75" customHeight="1">
      <c r="A62" s="175">
        <f t="shared" si="0"/>
        <v>2023</v>
      </c>
      <c r="B62" s="454" t="str">
        <f t="shared" si="1"/>
        <v>06</v>
      </c>
      <c r="C62" s="454" t="str">
        <f t="array" ref="C62">_xlfn.IFS(_xlfn.NUMBERVALUE(B62)&lt;=13,"Q1",AND(_xlfn.NUMBERVALUE(B62)&gt;13,_xlfn.NUMBERVALUE(B62)&lt;=26),"Q2", AND(_xlfn.NUMBERVALUE(B62)&gt;26,_xlfn.NUMBERVALUE(B62)&lt;=39),"Q3",_xlfn.NUMBERVALUE(B62)&gt;39,"Q4")</f>
        <v>Q1</v>
      </c>
      <c r="D62" s="448">
        <f t="shared" si="4"/>
        <v>44625</v>
      </c>
      <c r="E62" s="448">
        <f t="shared" si="5"/>
        <v>44631</v>
      </c>
      <c r="F62" s="308">
        <v>202206</v>
      </c>
      <c r="G62" s="125"/>
      <c r="H62" s="92"/>
      <c r="I62" s="92"/>
      <c r="J62" s="92"/>
      <c r="K62" s="461"/>
      <c r="L62" s="92"/>
      <c r="M62" s="92"/>
      <c r="N62" s="92"/>
      <c r="O62" s="92"/>
      <c r="P62" s="92"/>
      <c r="Q62" s="92"/>
      <c r="R62" s="126"/>
      <c r="S62" s="325">
        <f t="shared" si="2"/>
        <v>0</v>
      </c>
      <c r="T62" s="455">
        <f t="shared" si="3"/>
        <v>0</v>
      </c>
      <c r="U62" s="324">
        <f>'Overall Metrics'!M116</f>
        <v>0</v>
      </c>
    </row>
    <row r="63" spans="1:21" ht="15.75" customHeight="1">
      <c r="A63" s="175">
        <f t="shared" si="0"/>
        <v>2023</v>
      </c>
      <c r="B63" s="454" t="str">
        <f t="shared" si="1"/>
        <v>07</v>
      </c>
      <c r="C63" s="454" t="str">
        <f t="array" ref="C63">_xlfn.IFS(_xlfn.NUMBERVALUE(B63)&lt;=13,"Q1",AND(_xlfn.NUMBERVALUE(B63)&gt;13,_xlfn.NUMBERVALUE(B63)&lt;=26),"Q2", AND(_xlfn.NUMBERVALUE(B63)&gt;26,_xlfn.NUMBERVALUE(B63)&lt;=39),"Q3",_xlfn.NUMBERVALUE(B63)&gt;39,"Q4")</f>
        <v>Q1</v>
      </c>
      <c r="D63" s="448">
        <f t="shared" si="4"/>
        <v>44632</v>
      </c>
      <c r="E63" s="448">
        <f t="shared" si="5"/>
        <v>44638</v>
      </c>
      <c r="F63" s="308">
        <v>202207</v>
      </c>
      <c r="G63" s="125"/>
      <c r="H63" s="92"/>
      <c r="I63" s="92"/>
      <c r="J63" s="92"/>
      <c r="K63" s="461"/>
      <c r="L63" s="92"/>
      <c r="M63" s="92"/>
      <c r="N63" s="92"/>
      <c r="O63" s="92"/>
      <c r="P63" s="92"/>
      <c r="Q63" s="92"/>
      <c r="R63" s="126"/>
      <c r="S63" s="325">
        <f t="shared" si="2"/>
        <v>0</v>
      </c>
      <c r="T63" s="455">
        <f t="shared" si="3"/>
        <v>0</v>
      </c>
      <c r="U63" s="324">
        <f>'Overall Metrics'!M117</f>
        <v>0</v>
      </c>
    </row>
    <row r="64" spans="1:21" ht="15.75" customHeight="1">
      <c r="A64" s="175">
        <f t="shared" si="0"/>
        <v>2023</v>
      </c>
      <c r="B64" s="454" t="str">
        <f t="shared" si="1"/>
        <v>08</v>
      </c>
      <c r="C64" s="454" t="str">
        <f t="array" ref="C64">_xlfn.IFS(_xlfn.NUMBERVALUE(B64)&lt;=13,"Q1",AND(_xlfn.NUMBERVALUE(B64)&gt;13,_xlfn.NUMBERVALUE(B64)&lt;=26),"Q2", AND(_xlfn.NUMBERVALUE(B64)&gt;26,_xlfn.NUMBERVALUE(B64)&lt;=39),"Q3",_xlfn.NUMBERVALUE(B64)&gt;39,"Q4")</f>
        <v>Q1</v>
      </c>
      <c r="D64" s="448">
        <f t="shared" si="4"/>
        <v>44639</v>
      </c>
      <c r="E64" s="448">
        <f t="shared" si="5"/>
        <v>44645</v>
      </c>
      <c r="F64" s="308">
        <v>202208</v>
      </c>
      <c r="G64" s="125"/>
      <c r="H64" s="92"/>
      <c r="I64" s="92"/>
      <c r="J64" s="92"/>
      <c r="K64" s="461"/>
      <c r="L64" s="92"/>
      <c r="M64" s="92"/>
      <c r="N64" s="92"/>
      <c r="O64" s="92"/>
      <c r="P64" s="92"/>
      <c r="Q64" s="92"/>
      <c r="R64" s="126"/>
      <c r="S64" s="325">
        <f t="shared" si="2"/>
        <v>0</v>
      </c>
      <c r="T64" s="455">
        <f t="shared" si="3"/>
        <v>0</v>
      </c>
      <c r="U64" s="324">
        <f>'Overall Metrics'!M118</f>
        <v>0</v>
      </c>
    </row>
    <row r="65" spans="1:21" ht="15.75" customHeight="1">
      <c r="A65" s="175">
        <f t="shared" si="0"/>
        <v>2023</v>
      </c>
      <c r="B65" s="454" t="str">
        <f t="shared" si="1"/>
        <v>09</v>
      </c>
      <c r="C65" s="454" t="str">
        <f t="array" ref="C65">_xlfn.IFS(_xlfn.NUMBERVALUE(B65)&lt;=13,"Q1",AND(_xlfn.NUMBERVALUE(B65)&gt;13,_xlfn.NUMBERVALUE(B65)&lt;=26),"Q2", AND(_xlfn.NUMBERVALUE(B65)&gt;26,_xlfn.NUMBERVALUE(B65)&lt;=39),"Q3",_xlfn.NUMBERVALUE(B65)&gt;39,"Q4")</f>
        <v>Q1</v>
      </c>
      <c r="D65" s="448">
        <f t="shared" si="4"/>
        <v>44646</v>
      </c>
      <c r="E65" s="448">
        <f t="shared" si="5"/>
        <v>44652</v>
      </c>
      <c r="F65" s="308">
        <v>202209</v>
      </c>
      <c r="G65" s="125"/>
      <c r="H65" s="92"/>
      <c r="I65" s="92"/>
      <c r="J65" s="92"/>
      <c r="K65" s="461"/>
      <c r="L65" s="92"/>
      <c r="M65" s="92"/>
      <c r="N65" s="92"/>
      <c r="O65" s="92"/>
      <c r="P65" s="92"/>
      <c r="Q65" s="92"/>
      <c r="R65" s="126"/>
      <c r="S65" s="325">
        <f t="shared" si="2"/>
        <v>0</v>
      </c>
      <c r="T65" s="455">
        <f t="shared" si="3"/>
        <v>0</v>
      </c>
      <c r="U65" s="324">
        <f>'Overall Metrics'!M119</f>
        <v>0</v>
      </c>
    </row>
    <row r="66" spans="1:21" ht="15.75" customHeight="1">
      <c r="A66" s="175">
        <f t="shared" si="0"/>
        <v>2023</v>
      </c>
      <c r="B66" s="454" t="str">
        <f t="shared" si="1"/>
        <v>10</v>
      </c>
      <c r="C66" s="454" t="str">
        <f t="array" ref="C66">_xlfn.IFS(_xlfn.NUMBERVALUE(B66)&lt;=13,"Q1",AND(_xlfn.NUMBERVALUE(B66)&gt;13,_xlfn.NUMBERVALUE(B66)&lt;=26),"Q2", AND(_xlfn.NUMBERVALUE(B66)&gt;26,_xlfn.NUMBERVALUE(B66)&lt;=39),"Q3",_xlfn.NUMBERVALUE(B66)&gt;39,"Q4")</f>
        <v>Q1</v>
      </c>
      <c r="D66" s="448">
        <f t="shared" si="4"/>
        <v>44653</v>
      </c>
      <c r="E66" s="448">
        <f t="shared" si="5"/>
        <v>44659</v>
      </c>
      <c r="F66" s="308">
        <v>202210</v>
      </c>
      <c r="G66" s="125"/>
      <c r="H66" s="92"/>
      <c r="I66" s="92"/>
      <c r="J66" s="92"/>
      <c r="K66" s="461"/>
      <c r="L66" s="92"/>
      <c r="M66" s="92"/>
      <c r="N66" s="92"/>
      <c r="O66" s="92"/>
      <c r="P66" s="92"/>
      <c r="Q66" s="92"/>
      <c r="R66" s="126"/>
      <c r="S66" s="325">
        <f t="shared" si="2"/>
        <v>0</v>
      </c>
      <c r="T66" s="455">
        <f t="shared" si="3"/>
        <v>0</v>
      </c>
      <c r="U66" s="324">
        <f>'Overall Metrics'!M120</f>
        <v>0</v>
      </c>
    </row>
    <row r="67" spans="1:21" ht="15.75" customHeight="1">
      <c r="A67" s="175">
        <f t="shared" si="0"/>
        <v>2023</v>
      </c>
      <c r="B67" s="454" t="str">
        <f t="shared" si="1"/>
        <v>11</v>
      </c>
      <c r="C67" s="454" t="str">
        <f t="array" ref="C67">_xlfn.IFS(_xlfn.NUMBERVALUE(B67)&lt;=13,"Q1",AND(_xlfn.NUMBERVALUE(B67)&gt;13,_xlfn.NUMBERVALUE(B67)&lt;=26),"Q2", AND(_xlfn.NUMBERVALUE(B67)&gt;26,_xlfn.NUMBERVALUE(B67)&lt;=39),"Q3",_xlfn.NUMBERVALUE(B67)&gt;39,"Q4")</f>
        <v>Q1</v>
      </c>
      <c r="D67" s="448">
        <f t="shared" si="4"/>
        <v>44660</v>
      </c>
      <c r="E67" s="448">
        <f t="shared" si="5"/>
        <v>44666</v>
      </c>
      <c r="F67" s="308">
        <v>202211</v>
      </c>
      <c r="G67" s="125"/>
      <c r="H67" s="92"/>
      <c r="I67" s="92"/>
      <c r="J67" s="92"/>
      <c r="K67" s="461"/>
      <c r="L67" s="92"/>
      <c r="M67" s="92"/>
      <c r="N67" s="92"/>
      <c r="O67" s="92"/>
      <c r="P67" s="92"/>
      <c r="Q67" s="92"/>
      <c r="R67" s="126"/>
      <c r="S67" s="325">
        <f t="shared" si="2"/>
        <v>0</v>
      </c>
      <c r="T67" s="455">
        <f t="shared" si="3"/>
        <v>0</v>
      </c>
      <c r="U67" s="324">
        <f>'Overall Metrics'!M121</f>
        <v>0</v>
      </c>
    </row>
    <row r="68" spans="1:21" ht="15.75" customHeight="1">
      <c r="A68" s="175">
        <f t="shared" si="0"/>
        <v>2023</v>
      </c>
      <c r="B68" s="454" t="str">
        <f t="shared" si="1"/>
        <v>12</v>
      </c>
      <c r="C68" s="454" t="str">
        <f t="array" ref="C68">_xlfn.IFS(_xlfn.NUMBERVALUE(B68)&lt;=13,"Q1",AND(_xlfn.NUMBERVALUE(B68)&gt;13,_xlfn.NUMBERVALUE(B68)&lt;=26),"Q2", AND(_xlfn.NUMBERVALUE(B68)&gt;26,_xlfn.NUMBERVALUE(B68)&lt;=39),"Q3",_xlfn.NUMBERVALUE(B68)&gt;39,"Q4")</f>
        <v>Q1</v>
      </c>
      <c r="D68" s="448">
        <f t="shared" si="4"/>
        <v>44667</v>
      </c>
      <c r="E68" s="448">
        <f t="shared" si="5"/>
        <v>44673</v>
      </c>
      <c r="F68" s="308">
        <v>202212</v>
      </c>
      <c r="G68" s="125"/>
      <c r="H68" s="92"/>
      <c r="I68" s="92"/>
      <c r="J68" s="92"/>
      <c r="K68" s="461"/>
      <c r="L68" s="92"/>
      <c r="M68" s="92"/>
      <c r="N68" s="92"/>
      <c r="O68" s="92"/>
      <c r="P68" s="92"/>
      <c r="Q68" s="92"/>
      <c r="R68" s="126"/>
      <c r="S68" s="325">
        <f t="shared" si="2"/>
        <v>0</v>
      </c>
      <c r="T68" s="455">
        <f t="shared" si="3"/>
        <v>0</v>
      </c>
      <c r="U68" s="324">
        <f>'Overall Metrics'!M122</f>
        <v>0</v>
      </c>
    </row>
    <row r="69" spans="1:21" ht="15.75" customHeight="1">
      <c r="A69" s="175">
        <f t="shared" ref="A69:A132" si="6">LEFT(F69,4)+1</f>
        <v>2023</v>
      </c>
      <c r="B69" s="454" t="str">
        <f t="shared" ref="B69:B132" si="7">RIGHT(F69,2)</f>
        <v>13</v>
      </c>
      <c r="C69" s="454" t="str">
        <f t="array" ref="C69">_xlfn.IFS(_xlfn.NUMBERVALUE(B69)&lt;=13,"Q1",AND(_xlfn.NUMBERVALUE(B69)&gt;13,_xlfn.NUMBERVALUE(B69)&lt;=26),"Q2", AND(_xlfn.NUMBERVALUE(B69)&gt;26,_xlfn.NUMBERVALUE(B69)&lt;=39),"Q3",_xlfn.NUMBERVALUE(B69)&gt;39,"Q4")</f>
        <v>Q1</v>
      </c>
      <c r="D69" s="448">
        <f t="shared" si="4"/>
        <v>44674</v>
      </c>
      <c r="E69" s="448">
        <f t="shared" si="5"/>
        <v>44680</v>
      </c>
      <c r="F69" s="308">
        <v>202213</v>
      </c>
      <c r="G69" s="125"/>
      <c r="H69" s="92"/>
      <c r="I69" s="459"/>
      <c r="J69" s="92"/>
      <c r="K69" s="461"/>
      <c r="L69" s="92"/>
      <c r="M69" s="92"/>
      <c r="N69" s="92"/>
      <c r="O69" s="92"/>
      <c r="P69" s="92"/>
      <c r="Q69" s="459"/>
      <c r="R69" s="313"/>
      <c r="S69" s="325">
        <f t="shared" ref="S69:S132" si="8">SUM(G69:R69)</f>
        <v>0</v>
      </c>
      <c r="T69" s="455">
        <f t="shared" ref="T69:T132" si="9">U69-S69</f>
        <v>0</v>
      </c>
      <c r="U69" s="324">
        <f>'Overall Metrics'!M123</f>
        <v>0</v>
      </c>
    </row>
    <row r="70" spans="1:21" ht="15.75" customHeight="1">
      <c r="A70" s="175">
        <f t="shared" si="6"/>
        <v>2023</v>
      </c>
      <c r="B70" s="454" t="str">
        <f t="shared" si="7"/>
        <v>14</v>
      </c>
      <c r="C70" s="454" t="str">
        <f t="array" ref="C70">_xlfn.IFS(_xlfn.NUMBERVALUE(B70)&lt;=13,"Q1",AND(_xlfn.NUMBERVALUE(B70)&gt;13,_xlfn.NUMBERVALUE(B70)&lt;=26),"Q2", AND(_xlfn.NUMBERVALUE(B70)&gt;26,_xlfn.NUMBERVALUE(B70)&lt;=39),"Q3",_xlfn.NUMBERVALUE(B70)&gt;39,"Q4")</f>
        <v>Q2</v>
      </c>
      <c r="D70" s="448">
        <f t="shared" ref="D70:D133" si="10">E69+1</f>
        <v>44681</v>
      </c>
      <c r="E70" s="448">
        <f t="shared" ref="E70:E133" si="11">D70+6</f>
        <v>44687</v>
      </c>
      <c r="F70" s="308">
        <v>202214</v>
      </c>
      <c r="G70" s="125"/>
      <c r="H70" s="92"/>
      <c r="I70" s="459"/>
      <c r="J70" s="92"/>
      <c r="K70" s="461"/>
      <c r="L70" s="92"/>
      <c r="M70" s="92"/>
      <c r="N70" s="92"/>
      <c r="O70" s="92"/>
      <c r="P70" s="92"/>
      <c r="Q70" s="459"/>
      <c r="R70" s="313"/>
      <c r="S70" s="326">
        <f t="shared" si="8"/>
        <v>0</v>
      </c>
      <c r="T70" s="457">
        <f t="shared" si="9"/>
        <v>0</v>
      </c>
      <c r="U70" s="324">
        <f>'Overall Metrics'!M124</f>
        <v>0</v>
      </c>
    </row>
    <row r="71" spans="1:21" ht="15.75" customHeight="1">
      <c r="A71" s="175">
        <f t="shared" si="6"/>
        <v>2023</v>
      </c>
      <c r="B71" s="454" t="str">
        <f t="shared" si="7"/>
        <v>15</v>
      </c>
      <c r="C71" s="454" t="str">
        <f t="array" ref="C71">_xlfn.IFS(_xlfn.NUMBERVALUE(B71)&lt;=13,"Q1",AND(_xlfn.NUMBERVALUE(B71)&gt;13,_xlfn.NUMBERVALUE(B71)&lt;=26),"Q2", AND(_xlfn.NUMBERVALUE(B71)&gt;26,_xlfn.NUMBERVALUE(B71)&lt;=39),"Q3",_xlfn.NUMBERVALUE(B71)&gt;39,"Q4")</f>
        <v>Q2</v>
      </c>
      <c r="D71" s="448">
        <f t="shared" si="10"/>
        <v>44688</v>
      </c>
      <c r="E71" s="448">
        <f t="shared" si="11"/>
        <v>44694</v>
      </c>
      <c r="F71" s="308">
        <v>202215</v>
      </c>
      <c r="G71" s="125"/>
      <c r="H71" s="92"/>
      <c r="I71" s="459"/>
      <c r="J71" s="92"/>
      <c r="K71" s="461"/>
      <c r="L71" s="92"/>
      <c r="M71" s="92"/>
      <c r="N71" s="92"/>
      <c r="O71" s="92"/>
      <c r="P71" s="92"/>
      <c r="Q71" s="459"/>
      <c r="R71" s="313"/>
      <c r="S71" s="326">
        <f t="shared" si="8"/>
        <v>0</v>
      </c>
      <c r="T71" s="457">
        <f t="shared" si="9"/>
        <v>0</v>
      </c>
      <c r="U71" s="324">
        <f>'Overall Metrics'!M125</f>
        <v>0</v>
      </c>
    </row>
    <row r="72" spans="1:21" ht="15.75" customHeight="1">
      <c r="A72" s="175">
        <f t="shared" si="6"/>
        <v>2023</v>
      </c>
      <c r="B72" s="454" t="str">
        <f t="shared" si="7"/>
        <v>16</v>
      </c>
      <c r="C72" s="454" t="str">
        <f t="array" ref="C72">_xlfn.IFS(_xlfn.NUMBERVALUE(B72)&lt;=13,"Q1",AND(_xlfn.NUMBERVALUE(B72)&gt;13,_xlfn.NUMBERVALUE(B72)&lt;=26),"Q2", AND(_xlfn.NUMBERVALUE(B72)&gt;26,_xlfn.NUMBERVALUE(B72)&lt;=39),"Q3",_xlfn.NUMBERVALUE(B72)&gt;39,"Q4")</f>
        <v>Q2</v>
      </c>
      <c r="D72" s="448">
        <f t="shared" si="10"/>
        <v>44695</v>
      </c>
      <c r="E72" s="448">
        <f t="shared" si="11"/>
        <v>44701</v>
      </c>
      <c r="F72" s="308">
        <v>202216</v>
      </c>
      <c r="G72" s="125"/>
      <c r="H72" s="92"/>
      <c r="I72" s="459"/>
      <c r="J72" s="92"/>
      <c r="K72" s="461"/>
      <c r="L72" s="92"/>
      <c r="M72" s="92"/>
      <c r="N72" s="92"/>
      <c r="O72" s="92"/>
      <c r="P72" s="92"/>
      <c r="Q72" s="459"/>
      <c r="R72" s="313"/>
      <c r="S72" s="326">
        <f t="shared" si="8"/>
        <v>0</v>
      </c>
      <c r="T72" s="457">
        <f t="shared" si="9"/>
        <v>0</v>
      </c>
      <c r="U72" s="324">
        <f>'Overall Metrics'!M126</f>
        <v>0</v>
      </c>
    </row>
    <row r="73" spans="1:21" ht="15.75" customHeight="1">
      <c r="A73" s="175">
        <f t="shared" si="6"/>
        <v>2023</v>
      </c>
      <c r="B73" s="454" t="str">
        <f t="shared" si="7"/>
        <v>17</v>
      </c>
      <c r="C73" s="454" t="str">
        <f t="array" ref="C73">_xlfn.IFS(_xlfn.NUMBERVALUE(B73)&lt;=13,"Q1",AND(_xlfn.NUMBERVALUE(B73)&gt;13,_xlfn.NUMBERVALUE(B73)&lt;=26),"Q2", AND(_xlfn.NUMBERVALUE(B73)&gt;26,_xlfn.NUMBERVALUE(B73)&lt;=39),"Q3",_xlfn.NUMBERVALUE(B73)&gt;39,"Q4")</f>
        <v>Q2</v>
      </c>
      <c r="D73" s="448">
        <f t="shared" si="10"/>
        <v>44702</v>
      </c>
      <c r="E73" s="448">
        <f t="shared" si="11"/>
        <v>44708</v>
      </c>
      <c r="F73" s="308">
        <v>202217</v>
      </c>
      <c r="G73" s="125"/>
      <c r="H73" s="92"/>
      <c r="I73" s="459"/>
      <c r="J73" s="92"/>
      <c r="K73" s="461"/>
      <c r="L73" s="92"/>
      <c r="M73" s="92"/>
      <c r="N73" s="92"/>
      <c r="O73" s="92"/>
      <c r="P73" s="92"/>
      <c r="Q73" s="459"/>
      <c r="R73" s="313"/>
      <c r="S73" s="326">
        <f t="shared" si="8"/>
        <v>0</v>
      </c>
      <c r="T73" s="457">
        <f t="shared" si="9"/>
        <v>0</v>
      </c>
      <c r="U73" s="324">
        <f>'Overall Metrics'!M127</f>
        <v>0</v>
      </c>
    </row>
    <row r="74" spans="1:21" ht="15.75" customHeight="1">
      <c r="A74" s="175">
        <f t="shared" si="6"/>
        <v>2023</v>
      </c>
      <c r="B74" s="454" t="str">
        <f t="shared" si="7"/>
        <v>18</v>
      </c>
      <c r="C74" s="454" t="str">
        <f t="array" ref="C74">_xlfn.IFS(_xlfn.NUMBERVALUE(B74)&lt;=13,"Q1",AND(_xlfn.NUMBERVALUE(B74)&gt;13,_xlfn.NUMBERVALUE(B74)&lt;=26),"Q2", AND(_xlfn.NUMBERVALUE(B74)&gt;26,_xlfn.NUMBERVALUE(B74)&lt;=39),"Q3",_xlfn.NUMBERVALUE(B74)&gt;39,"Q4")</f>
        <v>Q2</v>
      </c>
      <c r="D74" s="448">
        <f t="shared" si="10"/>
        <v>44709</v>
      </c>
      <c r="E74" s="448">
        <f t="shared" si="11"/>
        <v>44715</v>
      </c>
      <c r="F74" s="308">
        <v>202218</v>
      </c>
      <c r="G74" s="125"/>
      <c r="H74" s="92"/>
      <c r="I74" s="459"/>
      <c r="J74" s="92"/>
      <c r="K74" s="461"/>
      <c r="L74" s="92"/>
      <c r="M74" s="92"/>
      <c r="N74" s="92"/>
      <c r="O74" s="92"/>
      <c r="P74" s="92"/>
      <c r="Q74" s="459"/>
      <c r="R74" s="313"/>
      <c r="S74" s="326">
        <f t="shared" si="8"/>
        <v>0</v>
      </c>
      <c r="T74" s="457">
        <f t="shared" si="9"/>
        <v>0</v>
      </c>
      <c r="U74" s="324">
        <f>'Overall Metrics'!M128</f>
        <v>0</v>
      </c>
    </row>
    <row r="75" spans="1:21" ht="15.75" customHeight="1">
      <c r="A75" s="175">
        <f t="shared" si="6"/>
        <v>2023</v>
      </c>
      <c r="B75" s="454" t="str">
        <f t="shared" si="7"/>
        <v>19</v>
      </c>
      <c r="C75" s="454" t="str">
        <f t="array" ref="C75">_xlfn.IFS(_xlfn.NUMBERVALUE(B75)&lt;=13,"Q1",AND(_xlfn.NUMBERVALUE(B75)&gt;13,_xlfn.NUMBERVALUE(B75)&lt;=26),"Q2", AND(_xlfn.NUMBERVALUE(B75)&gt;26,_xlfn.NUMBERVALUE(B75)&lt;=39),"Q3",_xlfn.NUMBERVALUE(B75)&gt;39,"Q4")</f>
        <v>Q2</v>
      </c>
      <c r="D75" s="448">
        <f t="shared" si="10"/>
        <v>44716</v>
      </c>
      <c r="E75" s="448">
        <f t="shared" si="11"/>
        <v>44722</v>
      </c>
      <c r="F75" s="308">
        <v>202219</v>
      </c>
      <c r="G75" s="125"/>
      <c r="H75" s="92"/>
      <c r="I75" s="459"/>
      <c r="J75" s="92"/>
      <c r="K75" s="461"/>
      <c r="L75" s="92"/>
      <c r="M75" s="92"/>
      <c r="N75" s="92"/>
      <c r="O75" s="92"/>
      <c r="P75" s="92"/>
      <c r="Q75" s="459"/>
      <c r="R75" s="313"/>
      <c r="S75" s="326">
        <f t="shared" si="8"/>
        <v>0</v>
      </c>
      <c r="T75" s="457">
        <f t="shared" si="9"/>
        <v>0</v>
      </c>
      <c r="U75" s="324">
        <f>'Overall Metrics'!M129</f>
        <v>0</v>
      </c>
    </row>
    <row r="76" spans="1:21" ht="15.75" customHeight="1">
      <c r="A76" s="175">
        <f t="shared" si="6"/>
        <v>2023</v>
      </c>
      <c r="B76" s="454" t="str">
        <f t="shared" si="7"/>
        <v>20</v>
      </c>
      <c r="C76" s="454" t="str">
        <f t="array" ref="C76">_xlfn.IFS(_xlfn.NUMBERVALUE(B76)&lt;=13,"Q1",AND(_xlfn.NUMBERVALUE(B76)&gt;13,_xlfn.NUMBERVALUE(B76)&lt;=26),"Q2", AND(_xlfn.NUMBERVALUE(B76)&gt;26,_xlfn.NUMBERVALUE(B76)&lt;=39),"Q3",_xlfn.NUMBERVALUE(B76)&gt;39,"Q4")</f>
        <v>Q2</v>
      </c>
      <c r="D76" s="448">
        <f t="shared" si="10"/>
        <v>44723</v>
      </c>
      <c r="E76" s="448">
        <f t="shared" si="11"/>
        <v>44729</v>
      </c>
      <c r="F76" s="308">
        <v>202220</v>
      </c>
      <c r="G76" s="125"/>
      <c r="H76" s="92"/>
      <c r="I76" s="92"/>
      <c r="J76" s="92"/>
      <c r="K76" s="461"/>
      <c r="L76" s="92"/>
      <c r="M76" s="92"/>
      <c r="N76" s="92"/>
      <c r="O76" s="92"/>
      <c r="P76" s="92"/>
      <c r="Q76" s="92"/>
      <c r="R76" s="126"/>
      <c r="S76" s="325">
        <f t="shared" si="8"/>
        <v>0</v>
      </c>
      <c r="T76" s="455">
        <f t="shared" si="9"/>
        <v>0</v>
      </c>
      <c r="U76" s="324">
        <f>'Overall Metrics'!M130</f>
        <v>0</v>
      </c>
    </row>
    <row r="77" spans="1:21" ht="15.75" customHeight="1">
      <c r="A77" s="175">
        <f t="shared" si="6"/>
        <v>2023</v>
      </c>
      <c r="B77" s="454" t="str">
        <f t="shared" si="7"/>
        <v>21</v>
      </c>
      <c r="C77" s="454" t="str">
        <f t="array" ref="C77">_xlfn.IFS(_xlfn.NUMBERVALUE(B77)&lt;=13,"Q1",AND(_xlfn.NUMBERVALUE(B77)&gt;13,_xlfn.NUMBERVALUE(B77)&lt;=26),"Q2", AND(_xlfn.NUMBERVALUE(B77)&gt;26,_xlfn.NUMBERVALUE(B77)&lt;=39),"Q3",_xlfn.NUMBERVALUE(B77)&gt;39,"Q4")</f>
        <v>Q2</v>
      </c>
      <c r="D77" s="448">
        <f t="shared" si="10"/>
        <v>44730</v>
      </c>
      <c r="E77" s="448">
        <f t="shared" si="11"/>
        <v>44736</v>
      </c>
      <c r="F77" s="308">
        <v>202221</v>
      </c>
      <c r="G77" s="125"/>
      <c r="H77" s="92"/>
      <c r="I77" s="92"/>
      <c r="J77" s="92"/>
      <c r="K77" s="461"/>
      <c r="L77" s="92"/>
      <c r="M77" s="92"/>
      <c r="N77" s="92"/>
      <c r="O77" s="92"/>
      <c r="P77" s="92"/>
      <c r="Q77" s="92"/>
      <c r="R77" s="126"/>
      <c r="S77" s="325">
        <f t="shared" si="8"/>
        <v>0</v>
      </c>
      <c r="T77" s="455">
        <f t="shared" si="9"/>
        <v>0</v>
      </c>
      <c r="U77" s="324">
        <f>'Overall Metrics'!M131</f>
        <v>0</v>
      </c>
    </row>
    <row r="78" spans="1:21" ht="15.75" customHeight="1">
      <c r="A78" s="175">
        <f t="shared" si="6"/>
        <v>2023</v>
      </c>
      <c r="B78" s="454" t="str">
        <f t="shared" si="7"/>
        <v>22</v>
      </c>
      <c r="C78" s="454" t="str">
        <f t="array" ref="C78">_xlfn.IFS(_xlfn.NUMBERVALUE(B78)&lt;=13,"Q1",AND(_xlfn.NUMBERVALUE(B78)&gt;13,_xlfn.NUMBERVALUE(B78)&lt;=26),"Q2", AND(_xlfn.NUMBERVALUE(B78)&gt;26,_xlfn.NUMBERVALUE(B78)&lt;=39),"Q3",_xlfn.NUMBERVALUE(B78)&gt;39,"Q4")</f>
        <v>Q2</v>
      </c>
      <c r="D78" s="448">
        <f t="shared" si="10"/>
        <v>44737</v>
      </c>
      <c r="E78" s="448">
        <f t="shared" si="11"/>
        <v>44743</v>
      </c>
      <c r="F78" s="308">
        <v>202222</v>
      </c>
      <c r="G78" s="125"/>
      <c r="H78" s="92"/>
      <c r="I78" s="92"/>
      <c r="J78" s="92"/>
      <c r="K78" s="461"/>
      <c r="L78" s="92"/>
      <c r="M78" s="92"/>
      <c r="N78" s="92"/>
      <c r="O78" s="92"/>
      <c r="P78" s="92"/>
      <c r="Q78" s="92"/>
      <c r="R78" s="126"/>
      <c r="S78" s="325">
        <f t="shared" si="8"/>
        <v>0</v>
      </c>
      <c r="T78" s="455">
        <f t="shared" si="9"/>
        <v>0</v>
      </c>
      <c r="U78" s="324">
        <f>'Overall Metrics'!M132</f>
        <v>0</v>
      </c>
    </row>
    <row r="79" spans="1:21" ht="15.75" customHeight="1">
      <c r="A79" s="175">
        <f t="shared" si="6"/>
        <v>2023</v>
      </c>
      <c r="B79" s="454" t="str">
        <f t="shared" si="7"/>
        <v>23</v>
      </c>
      <c r="C79" s="454" t="str">
        <f t="array" ref="C79">_xlfn.IFS(_xlfn.NUMBERVALUE(B79)&lt;=13,"Q1",AND(_xlfn.NUMBERVALUE(B79)&gt;13,_xlfn.NUMBERVALUE(B79)&lt;=26),"Q2", AND(_xlfn.NUMBERVALUE(B79)&gt;26,_xlfn.NUMBERVALUE(B79)&lt;=39),"Q3",_xlfn.NUMBERVALUE(B79)&gt;39,"Q4")</f>
        <v>Q2</v>
      </c>
      <c r="D79" s="448">
        <f t="shared" si="10"/>
        <v>44744</v>
      </c>
      <c r="E79" s="448">
        <f t="shared" si="11"/>
        <v>44750</v>
      </c>
      <c r="F79" s="308">
        <v>202223</v>
      </c>
      <c r="G79" s="125"/>
      <c r="H79" s="92"/>
      <c r="I79" s="92"/>
      <c r="J79" s="92"/>
      <c r="K79" s="461"/>
      <c r="L79" s="92"/>
      <c r="M79" s="92"/>
      <c r="N79" s="92"/>
      <c r="O79" s="92"/>
      <c r="P79" s="92"/>
      <c r="Q79" s="92"/>
      <c r="R79" s="126"/>
      <c r="S79" s="325">
        <f t="shared" si="8"/>
        <v>0</v>
      </c>
      <c r="T79" s="455">
        <f t="shared" si="9"/>
        <v>0</v>
      </c>
      <c r="U79" s="324">
        <f>'Overall Metrics'!M133</f>
        <v>0</v>
      </c>
    </row>
    <row r="80" spans="1:21" ht="15.75" customHeight="1">
      <c r="A80" s="175">
        <f t="shared" si="6"/>
        <v>2023</v>
      </c>
      <c r="B80" s="454" t="str">
        <f t="shared" si="7"/>
        <v>24</v>
      </c>
      <c r="C80" s="454" t="str">
        <f t="array" ref="C80">_xlfn.IFS(_xlfn.NUMBERVALUE(B80)&lt;=13,"Q1",AND(_xlfn.NUMBERVALUE(B80)&gt;13,_xlfn.NUMBERVALUE(B80)&lt;=26),"Q2", AND(_xlfn.NUMBERVALUE(B80)&gt;26,_xlfn.NUMBERVALUE(B80)&lt;=39),"Q3",_xlfn.NUMBERVALUE(B80)&gt;39,"Q4")</f>
        <v>Q2</v>
      </c>
      <c r="D80" s="448">
        <f t="shared" si="10"/>
        <v>44751</v>
      </c>
      <c r="E80" s="448">
        <f t="shared" si="11"/>
        <v>44757</v>
      </c>
      <c r="F80" s="308">
        <v>202224</v>
      </c>
      <c r="G80" s="125"/>
      <c r="H80" s="92"/>
      <c r="I80" s="92"/>
      <c r="J80" s="92"/>
      <c r="K80" s="461"/>
      <c r="L80" s="92"/>
      <c r="M80" s="92"/>
      <c r="N80" s="92"/>
      <c r="O80" s="92"/>
      <c r="P80" s="92"/>
      <c r="Q80" s="92"/>
      <c r="R80" s="126"/>
      <c r="S80" s="325">
        <f t="shared" si="8"/>
        <v>0</v>
      </c>
      <c r="T80" s="455">
        <f t="shared" si="9"/>
        <v>0</v>
      </c>
      <c r="U80" s="324">
        <f>'Overall Metrics'!M134</f>
        <v>0</v>
      </c>
    </row>
    <row r="81" spans="1:21" ht="15.75" customHeight="1">
      <c r="A81" s="175">
        <f t="shared" si="6"/>
        <v>2023</v>
      </c>
      <c r="B81" s="454" t="str">
        <f t="shared" si="7"/>
        <v>25</v>
      </c>
      <c r="C81" s="454" t="str">
        <f t="array" ref="C81">_xlfn.IFS(_xlfn.NUMBERVALUE(B81)&lt;=13,"Q1",AND(_xlfn.NUMBERVALUE(B81)&gt;13,_xlfn.NUMBERVALUE(B81)&lt;=26),"Q2", AND(_xlfn.NUMBERVALUE(B81)&gt;26,_xlfn.NUMBERVALUE(B81)&lt;=39),"Q3",_xlfn.NUMBERVALUE(B81)&gt;39,"Q4")</f>
        <v>Q2</v>
      </c>
      <c r="D81" s="448">
        <f t="shared" si="10"/>
        <v>44758</v>
      </c>
      <c r="E81" s="448">
        <f t="shared" si="11"/>
        <v>44764</v>
      </c>
      <c r="F81" s="308">
        <v>202225</v>
      </c>
      <c r="G81" s="125"/>
      <c r="H81" s="92"/>
      <c r="I81" s="92"/>
      <c r="J81" s="92"/>
      <c r="K81" s="461"/>
      <c r="L81" s="92"/>
      <c r="M81" s="92"/>
      <c r="N81" s="92"/>
      <c r="O81" s="92"/>
      <c r="P81" s="92"/>
      <c r="Q81" s="92"/>
      <c r="R81" s="126"/>
      <c r="S81" s="325">
        <f t="shared" si="8"/>
        <v>0</v>
      </c>
      <c r="T81" s="455">
        <f t="shared" si="9"/>
        <v>0</v>
      </c>
      <c r="U81" s="324">
        <f>'Overall Metrics'!M135</f>
        <v>0</v>
      </c>
    </row>
    <row r="82" spans="1:21" ht="15.75" customHeight="1">
      <c r="A82" s="175">
        <f t="shared" si="6"/>
        <v>2023</v>
      </c>
      <c r="B82" s="454" t="str">
        <f t="shared" si="7"/>
        <v>26</v>
      </c>
      <c r="C82" s="454" t="str">
        <f t="array" ref="C82">_xlfn.IFS(_xlfn.NUMBERVALUE(B82)&lt;=13,"Q1",AND(_xlfn.NUMBERVALUE(B82)&gt;13,_xlfn.NUMBERVALUE(B82)&lt;=26),"Q2", AND(_xlfn.NUMBERVALUE(B82)&gt;26,_xlfn.NUMBERVALUE(B82)&lt;=39),"Q3",_xlfn.NUMBERVALUE(B82)&gt;39,"Q4")</f>
        <v>Q2</v>
      </c>
      <c r="D82" s="448">
        <f t="shared" si="10"/>
        <v>44765</v>
      </c>
      <c r="E82" s="448">
        <f t="shared" si="11"/>
        <v>44771</v>
      </c>
      <c r="F82" s="308">
        <v>202226</v>
      </c>
      <c r="G82" s="125"/>
      <c r="H82" s="92"/>
      <c r="I82" s="92"/>
      <c r="J82" s="92"/>
      <c r="K82" s="461"/>
      <c r="L82" s="92"/>
      <c r="M82" s="92"/>
      <c r="N82" s="92"/>
      <c r="O82" s="92"/>
      <c r="P82" s="92"/>
      <c r="Q82" s="92"/>
      <c r="R82" s="126"/>
      <c r="S82" s="325">
        <f t="shared" si="8"/>
        <v>0</v>
      </c>
      <c r="T82" s="455">
        <f t="shared" si="9"/>
        <v>0</v>
      </c>
      <c r="U82" s="324">
        <f>'Overall Metrics'!M136</f>
        <v>0</v>
      </c>
    </row>
    <row r="83" spans="1:21" ht="15.75" customHeight="1">
      <c r="A83" s="175">
        <f t="shared" si="6"/>
        <v>2023</v>
      </c>
      <c r="B83" s="454" t="str">
        <f t="shared" si="7"/>
        <v>27</v>
      </c>
      <c r="C83" s="454" t="str">
        <f t="array" ref="C83">_xlfn.IFS(_xlfn.NUMBERVALUE(B83)&lt;=13,"Q1",AND(_xlfn.NUMBERVALUE(B83)&gt;13,_xlfn.NUMBERVALUE(B83)&lt;=26),"Q2", AND(_xlfn.NUMBERVALUE(B83)&gt;26,_xlfn.NUMBERVALUE(B83)&lt;=39),"Q3",_xlfn.NUMBERVALUE(B83)&gt;39,"Q4")</f>
        <v>Q3</v>
      </c>
      <c r="D83" s="448">
        <f t="shared" si="10"/>
        <v>44772</v>
      </c>
      <c r="E83" s="448">
        <f t="shared" si="11"/>
        <v>44778</v>
      </c>
      <c r="F83" s="308">
        <v>202227</v>
      </c>
      <c r="G83" s="125"/>
      <c r="H83" s="92"/>
      <c r="I83" s="92"/>
      <c r="J83" s="92"/>
      <c r="K83" s="461"/>
      <c r="L83" s="92"/>
      <c r="M83" s="92"/>
      <c r="N83" s="92"/>
      <c r="O83" s="92"/>
      <c r="P83" s="92"/>
      <c r="Q83" s="92"/>
      <c r="R83" s="126"/>
      <c r="S83" s="325">
        <f t="shared" si="8"/>
        <v>0</v>
      </c>
      <c r="T83" s="455">
        <f t="shared" si="9"/>
        <v>0</v>
      </c>
      <c r="U83" s="324">
        <f>'Overall Metrics'!M137</f>
        <v>0</v>
      </c>
    </row>
    <row r="84" spans="1:21" ht="15.75" customHeight="1">
      <c r="A84" s="175">
        <f t="shared" si="6"/>
        <v>2023</v>
      </c>
      <c r="B84" s="454" t="str">
        <f t="shared" si="7"/>
        <v>28</v>
      </c>
      <c r="C84" s="454" t="str">
        <f t="array" ref="C84">_xlfn.IFS(_xlfn.NUMBERVALUE(B84)&lt;=13,"Q1",AND(_xlfn.NUMBERVALUE(B84)&gt;13,_xlfn.NUMBERVALUE(B84)&lt;=26),"Q2", AND(_xlfn.NUMBERVALUE(B84)&gt;26,_xlfn.NUMBERVALUE(B84)&lt;=39),"Q3",_xlfn.NUMBERVALUE(B84)&gt;39,"Q4")</f>
        <v>Q3</v>
      </c>
      <c r="D84" s="448">
        <f t="shared" si="10"/>
        <v>44779</v>
      </c>
      <c r="E84" s="448">
        <f t="shared" si="11"/>
        <v>44785</v>
      </c>
      <c r="F84" s="308">
        <v>202228</v>
      </c>
      <c r="G84" s="125"/>
      <c r="H84" s="92"/>
      <c r="I84" s="92"/>
      <c r="J84" s="92"/>
      <c r="K84" s="461"/>
      <c r="L84" s="92"/>
      <c r="M84" s="92"/>
      <c r="N84" s="92"/>
      <c r="O84" s="92"/>
      <c r="P84" s="92"/>
      <c r="Q84" s="92"/>
      <c r="R84" s="126"/>
      <c r="S84" s="325">
        <f t="shared" si="8"/>
        <v>0</v>
      </c>
      <c r="T84" s="455">
        <f t="shared" si="9"/>
        <v>0</v>
      </c>
      <c r="U84" s="324">
        <f>'Overall Metrics'!M138</f>
        <v>0</v>
      </c>
    </row>
    <row r="85" spans="1:21" ht="15.75" customHeight="1">
      <c r="A85" s="175">
        <f t="shared" si="6"/>
        <v>2023</v>
      </c>
      <c r="B85" s="454" t="str">
        <f t="shared" si="7"/>
        <v>29</v>
      </c>
      <c r="C85" s="454" t="str">
        <f t="array" ref="C85">_xlfn.IFS(_xlfn.NUMBERVALUE(B85)&lt;=13,"Q1",AND(_xlfn.NUMBERVALUE(B85)&gt;13,_xlfn.NUMBERVALUE(B85)&lt;=26),"Q2", AND(_xlfn.NUMBERVALUE(B85)&gt;26,_xlfn.NUMBERVALUE(B85)&lt;=39),"Q3",_xlfn.NUMBERVALUE(B85)&gt;39,"Q4")</f>
        <v>Q3</v>
      </c>
      <c r="D85" s="448">
        <f t="shared" si="10"/>
        <v>44786</v>
      </c>
      <c r="E85" s="448">
        <f t="shared" si="11"/>
        <v>44792</v>
      </c>
      <c r="F85" s="308">
        <v>202229</v>
      </c>
      <c r="G85" s="125"/>
      <c r="H85" s="92"/>
      <c r="I85" s="92"/>
      <c r="J85" s="92"/>
      <c r="K85" s="461"/>
      <c r="L85" s="92"/>
      <c r="M85" s="92"/>
      <c r="N85" s="92"/>
      <c r="O85" s="92"/>
      <c r="P85" s="92"/>
      <c r="Q85" s="92"/>
      <c r="R85" s="126"/>
      <c r="S85" s="325">
        <f t="shared" si="8"/>
        <v>0</v>
      </c>
      <c r="T85" s="455">
        <f t="shared" si="9"/>
        <v>0</v>
      </c>
      <c r="U85" s="324">
        <f>'Overall Metrics'!M139</f>
        <v>0</v>
      </c>
    </row>
    <row r="86" spans="1:21" ht="15.75" customHeight="1">
      <c r="A86" s="175">
        <f t="shared" si="6"/>
        <v>2023</v>
      </c>
      <c r="B86" s="454" t="str">
        <f t="shared" si="7"/>
        <v>30</v>
      </c>
      <c r="C86" s="454" t="str">
        <f t="array" ref="C86">_xlfn.IFS(_xlfn.NUMBERVALUE(B86)&lt;=13,"Q1",AND(_xlfn.NUMBERVALUE(B86)&gt;13,_xlfn.NUMBERVALUE(B86)&lt;=26),"Q2", AND(_xlfn.NUMBERVALUE(B86)&gt;26,_xlfn.NUMBERVALUE(B86)&lt;=39),"Q3",_xlfn.NUMBERVALUE(B86)&gt;39,"Q4")</f>
        <v>Q3</v>
      </c>
      <c r="D86" s="448">
        <f t="shared" si="10"/>
        <v>44793</v>
      </c>
      <c r="E86" s="448">
        <f t="shared" si="11"/>
        <v>44799</v>
      </c>
      <c r="F86" s="308">
        <v>202230</v>
      </c>
      <c r="G86" s="125"/>
      <c r="H86" s="92"/>
      <c r="I86" s="92"/>
      <c r="J86" s="92"/>
      <c r="K86" s="461"/>
      <c r="L86" s="92"/>
      <c r="M86" s="92"/>
      <c r="N86" s="92"/>
      <c r="O86" s="92"/>
      <c r="P86" s="92"/>
      <c r="Q86" s="92"/>
      <c r="R86" s="126"/>
      <c r="S86" s="325">
        <f t="shared" si="8"/>
        <v>0</v>
      </c>
      <c r="T86" s="455">
        <f t="shared" si="9"/>
        <v>0</v>
      </c>
      <c r="U86" s="324">
        <f>'Overall Metrics'!M140</f>
        <v>0</v>
      </c>
    </row>
    <row r="87" spans="1:21" ht="15.75" customHeight="1">
      <c r="A87" s="175">
        <f t="shared" si="6"/>
        <v>2023</v>
      </c>
      <c r="B87" s="454" t="str">
        <f t="shared" si="7"/>
        <v>31</v>
      </c>
      <c r="C87" s="454" t="str">
        <f t="array" ref="C87">_xlfn.IFS(_xlfn.NUMBERVALUE(B87)&lt;=13,"Q1",AND(_xlfn.NUMBERVALUE(B87)&gt;13,_xlfn.NUMBERVALUE(B87)&lt;=26),"Q2", AND(_xlfn.NUMBERVALUE(B87)&gt;26,_xlfn.NUMBERVALUE(B87)&lt;=39),"Q3",_xlfn.NUMBERVALUE(B87)&gt;39,"Q4")</f>
        <v>Q3</v>
      </c>
      <c r="D87" s="448">
        <f t="shared" si="10"/>
        <v>44800</v>
      </c>
      <c r="E87" s="448">
        <f t="shared" si="11"/>
        <v>44806</v>
      </c>
      <c r="F87" s="308">
        <v>202231</v>
      </c>
      <c r="G87" s="125"/>
      <c r="H87" s="92"/>
      <c r="I87" s="92"/>
      <c r="J87" s="92"/>
      <c r="K87" s="461"/>
      <c r="L87" s="92"/>
      <c r="M87" s="92"/>
      <c r="N87" s="92"/>
      <c r="O87" s="92"/>
      <c r="P87" s="92"/>
      <c r="Q87" s="92"/>
      <c r="R87" s="126"/>
      <c r="S87" s="325">
        <f t="shared" si="8"/>
        <v>0</v>
      </c>
      <c r="T87" s="455">
        <f t="shared" si="9"/>
        <v>0</v>
      </c>
      <c r="U87" s="324">
        <f>'Overall Metrics'!M141</f>
        <v>0</v>
      </c>
    </row>
    <row r="88" spans="1:21" ht="15.75" customHeight="1">
      <c r="A88" s="175">
        <f t="shared" si="6"/>
        <v>2023</v>
      </c>
      <c r="B88" s="454" t="str">
        <f t="shared" si="7"/>
        <v>32</v>
      </c>
      <c r="C88" s="454" t="str">
        <f t="array" ref="C88">_xlfn.IFS(_xlfn.NUMBERVALUE(B88)&lt;=13,"Q1",AND(_xlfn.NUMBERVALUE(B88)&gt;13,_xlfn.NUMBERVALUE(B88)&lt;=26),"Q2", AND(_xlfn.NUMBERVALUE(B88)&gt;26,_xlfn.NUMBERVALUE(B88)&lt;=39),"Q3",_xlfn.NUMBERVALUE(B88)&gt;39,"Q4")</f>
        <v>Q3</v>
      </c>
      <c r="D88" s="448">
        <f t="shared" si="10"/>
        <v>44807</v>
      </c>
      <c r="E88" s="448">
        <f t="shared" si="11"/>
        <v>44813</v>
      </c>
      <c r="F88" s="308">
        <v>202232</v>
      </c>
      <c r="G88" s="125"/>
      <c r="H88" s="92"/>
      <c r="I88" s="92"/>
      <c r="J88" s="92"/>
      <c r="K88" s="461"/>
      <c r="L88" s="92"/>
      <c r="M88" s="92"/>
      <c r="N88" s="92"/>
      <c r="O88" s="92"/>
      <c r="P88" s="92"/>
      <c r="Q88" s="92"/>
      <c r="R88" s="126"/>
      <c r="S88" s="325">
        <f t="shared" si="8"/>
        <v>0</v>
      </c>
      <c r="T88" s="455">
        <f t="shared" si="9"/>
        <v>0</v>
      </c>
      <c r="U88" s="324">
        <f>'Overall Metrics'!M142</f>
        <v>0</v>
      </c>
    </row>
    <row r="89" spans="1:21" ht="15.75" customHeight="1">
      <c r="A89" s="175">
        <f t="shared" si="6"/>
        <v>2023</v>
      </c>
      <c r="B89" s="454" t="str">
        <f t="shared" si="7"/>
        <v>33</v>
      </c>
      <c r="C89" s="454" t="str">
        <f t="array" ref="C89">_xlfn.IFS(_xlfn.NUMBERVALUE(B89)&lt;=13,"Q1",AND(_xlfn.NUMBERVALUE(B89)&gt;13,_xlfn.NUMBERVALUE(B89)&lt;=26),"Q2", AND(_xlfn.NUMBERVALUE(B89)&gt;26,_xlfn.NUMBERVALUE(B89)&lt;=39),"Q3",_xlfn.NUMBERVALUE(B89)&gt;39,"Q4")</f>
        <v>Q3</v>
      </c>
      <c r="D89" s="448">
        <f t="shared" si="10"/>
        <v>44814</v>
      </c>
      <c r="E89" s="448">
        <f t="shared" si="11"/>
        <v>44820</v>
      </c>
      <c r="F89" s="308">
        <v>202233</v>
      </c>
      <c r="G89" s="125"/>
      <c r="H89" s="92"/>
      <c r="I89" s="92"/>
      <c r="J89" s="92"/>
      <c r="K89" s="461"/>
      <c r="L89" s="92"/>
      <c r="M89" s="92"/>
      <c r="N89" s="92"/>
      <c r="O89" s="92"/>
      <c r="P89" s="92"/>
      <c r="Q89" s="92"/>
      <c r="R89" s="126"/>
      <c r="S89" s="325">
        <f t="shared" si="8"/>
        <v>0</v>
      </c>
      <c r="T89" s="455">
        <f t="shared" si="9"/>
        <v>0</v>
      </c>
      <c r="U89" s="324">
        <f>'Overall Metrics'!M143</f>
        <v>0</v>
      </c>
    </row>
    <row r="90" spans="1:21" ht="15.75" customHeight="1">
      <c r="A90" s="175">
        <f t="shared" si="6"/>
        <v>2023</v>
      </c>
      <c r="B90" s="454" t="str">
        <f t="shared" si="7"/>
        <v>34</v>
      </c>
      <c r="C90" s="454" t="str">
        <f t="array" ref="C90">_xlfn.IFS(_xlfn.NUMBERVALUE(B90)&lt;=13,"Q1",AND(_xlfn.NUMBERVALUE(B90)&gt;13,_xlfn.NUMBERVALUE(B90)&lt;=26),"Q2", AND(_xlfn.NUMBERVALUE(B90)&gt;26,_xlfn.NUMBERVALUE(B90)&lt;=39),"Q3",_xlfn.NUMBERVALUE(B90)&gt;39,"Q4")</f>
        <v>Q3</v>
      </c>
      <c r="D90" s="448">
        <f t="shared" si="10"/>
        <v>44821</v>
      </c>
      <c r="E90" s="448">
        <f t="shared" si="11"/>
        <v>44827</v>
      </c>
      <c r="F90" s="308">
        <v>202234</v>
      </c>
      <c r="G90" s="125"/>
      <c r="H90" s="92"/>
      <c r="I90" s="92"/>
      <c r="J90" s="92"/>
      <c r="K90" s="461"/>
      <c r="L90" s="92"/>
      <c r="M90" s="92"/>
      <c r="N90" s="92"/>
      <c r="O90" s="92"/>
      <c r="P90" s="92"/>
      <c r="Q90" s="92"/>
      <c r="R90" s="126"/>
      <c r="S90" s="325">
        <f t="shared" si="8"/>
        <v>0</v>
      </c>
      <c r="T90" s="455">
        <f t="shared" si="9"/>
        <v>0</v>
      </c>
      <c r="U90" s="324">
        <f>'Overall Metrics'!M144</f>
        <v>0</v>
      </c>
    </row>
    <row r="91" spans="1:21" ht="15.75" customHeight="1">
      <c r="A91" s="175">
        <f t="shared" si="6"/>
        <v>2023</v>
      </c>
      <c r="B91" s="454" t="str">
        <f t="shared" si="7"/>
        <v>35</v>
      </c>
      <c r="C91" s="454" t="str">
        <f t="array" ref="C91">_xlfn.IFS(_xlfn.NUMBERVALUE(B91)&lt;=13,"Q1",AND(_xlfn.NUMBERVALUE(B91)&gt;13,_xlfn.NUMBERVALUE(B91)&lt;=26),"Q2", AND(_xlfn.NUMBERVALUE(B91)&gt;26,_xlfn.NUMBERVALUE(B91)&lt;=39),"Q3",_xlfn.NUMBERVALUE(B91)&gt;39,"Q4")</f>
        <v>Q3</v>
      </c>
      <c r="D91" s="448">
        <f t="shared" si="10"/>
        <v>44828</v>
      </c>
      <c r="E91" s="448">
        <f t="shared" si="11"/>
        <v>44834</v>
      </c>
      <c r="F91" s="308">
        <v>202235</v>
      </c>
      <c r="G91" s="125"/>
      <c r="H91" s="92"/>
      <c r="I91" s="92"/>
      <c r="J91" s="92"/>
      <c r="K91" s="461"/>
      <c r="L91" s="92"/>
      <c r="M91" s="92"/>
      <c r="N91" s="92"/>
      <c r="O91" s="92"/>
      <c r="P91" s="92"/>
      <c r="Q91" s="92"/>
      <c r="R91" s="126"/>
      <c r="S91" s="325">
        <f t="shared" si="8"/>
        <v>0</v>
      </c>
      <c r="T91" s="455">
        <f t="shared" si="9"/>
        <v>0</v>
      </c>
      <c r="U91" s="324">
        <f>'Overall Metrics'!M145</f>
        <v>0</v>
      </c>
    </row>
    <row r="92" spans="1:21" ht="15.75" customHeight="1">
      <c r="A92" s="175">
        <f t="shared" si="6"/>
        <v>2023</v>
      </c>
      <c r="B92" s="454" t="str">
        <f t="shared" si="7"/>
        <v>36</v>
      </c>
      <c r="C92" s="454" t="str">
        <f t="array" ref="C92">_xlfn.IFS(_xlfn.NUMBERVALUE(B92)&lt;=13,"Q1",AND(_xlfn.NUMBERVALUE(B92)&gt;13,_xlfn.NUMBERVALUE(B92)&lt;=26),"Q2", AND(_xlfn.NUMBERVALUE(B92)&gt;26,_xlfn.NUMBERVALUE(B92)&lt;=39),"Q3",_xlfn.NUMBERVALUE(B92)&gt;39,"Q4")</f>
        <v>Q3</v>
      </c>
      <c r="D92" s="448">
        <f t="shared" si="10"/>
        <v>44835</v>
      </c>
      <c r="E92" s="448">
        <f t="shared" si="11"/>
        <v>44841</v>
      </c>
      <c r="F92" s="308">
        <v>202236</v>
      </c>
      <c r="G92" s="125"/>
      <c r="H92" s="92"/>
      <c r="I92" s="92"/>
      <c r="J92" s="92"/>
      <c r="K92" s="461"/>
      <c r="L92" s="92"/>
      <c r="M92" s="92"/>
      <c r="N92" s="92"/>
      <c r="O92" s="92"/>
      <c r="P92" s="92"/>
      <c r="Q92" s="92"/>
      <c r="R92" s="126"/>
      <c r="S92" s="325">
        <f t="shared" si="8"/>
        <v>0</v>
      </c>
      <c r="T92" s="455">
        <f t="shared" si="9"/>
        <v>0</v>
      </c>
      <c r="U92" s="324">
        <f>'Overall Metrics'!M146</f>
        <v>0</v>
      </c>
    </row>
    <row r="93" spans="1:21" ht="15.75" customHeight="1">
      <c r="A93" s="175">
        <f t="shared" si="6"/>
        <v>2023</v>
      </c>
      <c r="B93" s="454" t="str">
        <f t="shared" si="7"/>
        <v>37</v>
      </c>
      <c r="C93" s="454" t="str">
        <f t="array" ref="C93">_xlfn.IFS(_xlfn.NUMBERVALUE(B93)&lt;=13,"Q1",AND(_xlfn.NUMBERVALUE(B93)&gt;13,_xlfn.NUMBERVALUE(B93)&lt;=26),"Q2", AND(_xlfn.NUMBERVALUE(B93)&gt;26,_xlfn.NUMBERVALUE(B93)&lt;=39),"Q3",_xlfn.NUMBERVALUE(B93)&gt;39,"Q4")</f>
        <v>Q3</v>
      </c>
      <c r="D93" s="448">
        <f t="shared" si="10"/>
        <v>44842</v>
      </c>
      <c r="E93" s="448">
        <f t="shared" si="11"/>
        <v>44848</v>
      </c>
      <c r="F93" s="308">
        <v>202237</v>
      </c>
      <c r="G93" s="125"/>
      <c r="H93" s="92"/>
      <c r="I93" s="460"/>
      <c r="J93" s="92"/>
      <c r="K93" s="461"/>
      <c r="L93" s="92"/>
      <c r="M93" s="92"/>
      <c r="N93" s="92"/>
      <c r="O93" s="92"/>
      <c r="P93" s="92"/>
      <c r="Q93" s="460"/>
      <c r="R93" s="314"/>
      <c r="S93" s="325">
        <f t="shared" si="8"/>
        <v>0</v>
      </c>
      <c r="T93" s="458">
        <f t="shared" si="9"/>
        <v>0</v>
      </c>
      <c r="U93" s="324">
        <f>'Overall Metrics'!M147</f>
        <v>0</v>
      </c>
    </row>
    <row r="94" spans="1:21" ht="15.75" customHeight="1">
      <c r="A94" s="175">
        <f t="shared" si="6"/>
        <v>2023</v>
      </c>
      <c r="B94" s="454" t="str">
        <f t="shared" si="7"/>
        <v>38</v>
      </c>
      <c r="C94" s="454" t="str">
        <f t="array" ref="C94">_xlfn.IFS(_xlfn.NUMBERVALUE(B94)&lt;=13,"Q1",AND(_xlfn.NUMBERVALUE(B94)&gt;13,_xlfn.NUMBERVALUE(B94)&lt;=26),"Q2", AND(_xlfn.NUMBERVALUE(B94)&gt;26,_xlfn.NUMBERVALUE(B94)&lt;=39),"Q3",_xlfn.NUMBERVALUE(B94)&gt;39,"Q4")</f>
        <v>Q3</v>
      </c>
      <c r="D94" s="448">
        <f t="shared" si="10"/>
        <v>44849</v>
      </c>
      <c r="E94" s="448">
        <f t="shared" si="11"/>
        <v>44855</v>
      </c>
      <c r="F94" s="308">
        <v>202238</v>
      </c>
      <c r="G94" s="125"/>
      <c r="H94" s="92"/>
      <c r="I94" s="460"/>
      <c r="J94" s="92"/>
      <c r="K94" s="461"/>
      <c r="L94" s="92"/>
      <c r="M94" s="92"/>
      <c r="N94" s="92"/>
      <c r="O94" s="92"/>
      <c r="P94" s="92"/>
      <c r="Q94" s="460"/>
      <c r="R94" s="314"/>
      <c r="S94" s="325">
        <f t="shared" si="8"/>
        <v>0</v>
      </c>
      <c r="T94" s="458">
        <f t="shared" si="9"/>
        <v>0</v>
      </c>
      <c r="U94" s="324">
        <f>'Overall Metrics'!M148</f>
        <v>0</v>
      </c>
    </row>
    <row r="95" spans="1:21" ht="15.75" customHeight="1">
      <c r="A95" s="175">
        <f t="shared" si="6"/>
        <v>2023</v>
      </c>
      <c r="B95" s="454" t="str">
        <f t="shared" si="7"/>
        <v>39</v>
      </c>
      <c r="C95" s="454" t="str">
        <f t="array" ref="C95">_xlfn.IFS(_xlfn.NUMBERVALUE(B95)&lt;=13,"Q1",AND(_xlfn.NUMBERVALUE(B95)&gt;13,_xlfn.NUMBERVALUE(B95)&lt;=26),"Q2", AND(_xlfn.NUMBERVALUE(B95)&gt;26,_xlfn.NUMBERVALUE(B95)&lt;=39),"Q3",_xlfn.NUMBERVALUE(B95)&gt;39,"Q4")</f>
        <v>Q3</v>
      </c>
      <c r="D95" s="448">
        <f t="shared" si="10"/>
        <v>44856</v>
      </c>
      <c r="E95" s="448">
        <f t="shared" si="11"/>
        <v>44862</v>
      </c>
      <c r="F95" s="308">
        <v>202239</v>
      </c>
      <c r="G95" s="125"/>
      <c r="H95" s="92"/>
      <c r="I95" s="92"/>
      <c r="J95" s="92"/>
      <c r="K95" s="461"/>
      <c r="L95" s="92"/>
      <c r="M95" s="92"/>
      <c r="N95" s="92"/>
      <c r="O95" s="92"/>
      <c r="P95" s="92"/>
      <c r="Q95" s="92"/>
      <c r="R95" s="126"/>
      <c r="S95" s="325">
        <f t="shared" si="8"/>
        <v>0</v>
      </c>
      <c r="T95" s="455">
        <f t="shared" si="9"/>
        <v>0</v>
      </c>
      <c r="U95" s="324">
        <f>'Overall Metrics'!M149</f>
        <v>0</v>
      </c>
    </row>
    <row r="96" spans="1:21" ht="15.75" customHeight="1">
      <c r="A96" s="175">
        <f t="shared" si="6"/>
        <v>2023</v>
      </c>
      <c r="B96" s="454" t="str">
        <f t="shared" si="7"/>
        <v>40</v>
      </c>
      <c r="C96" s="454" t="str">
        <f t="array" ref="C96">_xlfn.IFS(_xlfn.NUMBERVALUE(B96)&lt;=13,"Q1",AND(_xlfn.NUMBERVALUE(B96)&gt;13,_xlfn.NUMBERVALUE(B96)&lt;=26),"Q2", AND(_xlfn.NUMBERVALUE(B96)&gt;26,_xlfn.NUMBERVALUE(B96)&lt;=39),"Q3",_xlfn.NUMBERVALUE(B96)&gt;39,"Q4")</f>
        <v>Q4</v>
      </c>
      <c r="D96" s="448">
        <f t="shared" si="10"/>
        <v>44863</v>
      </c>
      <c r="E96" s="448">
        <f t="shared" si="11"/>
        <v>44869</v>
      </c>
      <c r="F96" s="308">
        <v>202240</v>
      </c>
      <c r="G96" s="125"/>
      <c r="H96" s="92"/>
      <c r="I96" s="92"/>
      <c r="J96" s="92"/>
      <c r="K96" s="461"/>
      <c r="L96" s="92"/>
      <c r="M96" s="92"/>
      <c r="N96" s="92"/>
      <c r="O96" s="92"/>
      <c r="P96" s="92"/>
      <c r="Q96" s="92"/>
      <c r="R96" s="126"/>
      <c r="S96" s="325">
        <f t="shared" si="8"/>
        <v>0</v>
      </c>
      <c r="T96" s="455">
        <f t="shared" si="9"/>
        <v>0</v>
      </c>
      <c r="U96" s="324">
        <f>'Overall Metrics'!M150</f>
        <v>0</v>
      </c>
    </row>
    <row r="97" spans="1:22" ht="15.75" customHeight="1">
      <c r="A97" s="175">
        <f t="shared" si="6"/>
        <v>2023</v>
      </c>
      <c r="B97" s="454" t="str">
        <f t="shared" si="7"/>
        <v>41</v>
      </c>
      <c r="C97" s="454" t="str">
        <f t="array" ref="C97">_xlfn.IFS(_xlfn.NUMBERVALUE(B97)&lt;=13,"Q1",AND(_xlfn.NUMBERVALUE(B97)&gt;13,_xlfn.NUMBERVALUE(B97)&lt;=26),"Q2", AND(_xlfn.NUMBERVALUE(B97)&gt;26,_xlfn.NUMBERVALUE(B97)&lt;=39),"Q3",_xlfn.NUMBERVALUE(B97)&gt;39,"Q4")</f>
        <v>Q4</v>
      </c>
      <c r="D97" s="448">
        <f t="shared" si="10"/>
        <v>44870</v>
      </c>
      <c r="E97" s="448">
        <f t="shared" si="11"/>
        <v>44876</v>
      </c>
      <c r="F97" s="308">
        <v>202241</v>
      </c>
      <c r="G97" s="125"/>
      <c r="H97" s="92"/>
      <c r="I97" s="92"/>
      <c r="J97" s="92"/>
      <c r="K97" s="461"/>
      <c r="L97" s="92"/>
      <c r="M97" s="92"/>
      <c r="N97" s="92"/>
      <c r="O97" s="92"/>
      <c r="P97" s="92"/>
      <c r="Q97" s="92"/>
      <c r="R97" s="126"/>
      <c r="S97" s="325">
        <f t="shared" si="8"/>
        <v>0</v>
      </c>
      <c r="T97" s="455">
        <f t="shared" si="9"/>
        <v>0</v>
      </c>
      <c r="U97" s="324">
        <f>'Overall Metrics'!M151</f>
        <v>0</v>
      </c>
    </row>
    <row r="98" spans="1:22" ht="15.75" customHeight="1">
      <c r="A98" s="175">
        <f t="shared" si="6"/>
        <v>2023</v>
      </c>
      <c r="B98" s="454" t="str">
        <f t="shared" si="7"/>
        <v>42</v>
      </c>
      <c r="C98" s="454" t="str">
        <f t="array" ref="C98">_xlfn.IFS(_xlfn.NUMBERVALUE(B98)&lt;=13,"Q1",AND(_xlfn.NUMBERVALUE(B98)&gt;13,_xlfn.NUMBERVALUE(B98)&lt;=26),"Q2", AND(_xlfn.NUMBERVALUE(B98)&gt;26,_xlfn.NUMBERVALUE(B98)&lt;=39),"Q3",_xlfn.NUMBERVALUE(B98)&gt;39,"Q4")</f>
        <v>Q4</v>
      </c>
      <c r="D98" s="448">
        <f t="shared" si="10"/>
        <v>44877</v>
      </c>
      <c r="E98" s="448">
        <f t="shared" si="11"/>
        <v>44883</v>
      </c>
      <c r="F98" s="308">
        <v>202242</v>
      </c>
      <c r="G98" s="125"/>
      <c r="H98" s="92"/>
      <c r="I98" s="92"/>
      <c r="J98" s="92"/>
      <c r="K98" s="461"/>
      <c r="L98" s="92"/>
      <c r="M98" s="92"/>
      <c r="N98" s="92"/>
      <c r="O98" s="92"/>
      <c r="P98" s="92"/>
      <c r="Q98" s="92"/>
      <c r="R98" s="126"/>
      <c r="S98" s="325">
        <f t="shared" si="8"/>
        <v>0</v>
      </c>
      <c r="T98" s="455">
        <f t="shared" si="9"/>
        <v>0</v>
      </c>
      <c r="U98" s="324">
        <f>'Overall Metrics'!M152</f>
        <v>0</v>
      </c>
    </row>
    <row r="99" spans="1:22" s="200" customFormat="1" ht="15.75" customHeight="1">
      <c r="A99" s="175">
        <f t="shared" si="6"/>
        <v>2023</v>
      </c>
      <c r="B99" s="454" t="str">
        <f t="shared" si="7"/>
        <v>43</v>
      </c>
      <c r="C99" s="454" t="str">
        <f t="array" ref="C99">_xlfn.IFS(_xlfn.NUMBERVALUE(B99)&lt;=13,"Q1",AND(_xlfn.NUMBERVALUE(B99)&gt;13,_xlfn.NUMBERVALUE(B99)&lt;=26),"Q2", AND(_xlfn.NUMBERVALUE(B99)&gt;26,_xlfn.NUMBERVALUE(B99)&lt;=39),"Q3",_xlfn.NUMBERVALUE(B99)&gt;39,"Q4")</f>
        <v>Q4</v>
      </c>
      <c r="D99" s="448">
        <f t="shared" si="10"/>
        <v>44884</v>
      </c>
      <c r="E99" s="448">
        <f t="shared" si="11"/>
        <v>44890</v>
      </c>
      <c r="F99" s="308">
        <v>202243</v>
      </c>
      <c r="G99" s="125"/>
      <c r="H99" s="92"/>
      <c r="I99" s="92"/>
      <c r="J99" s="92"/>
      <c r="K99" s="461"/>
      <c r="L99" s="92"/>
      <c r="M99" s="92"/>
      <c r="N99" s="92"/>
      <c r="O99" s="92"/>
      <c r="P99" s="92"/>
      <c r="Q99" s="92"/>
      <c r="R99" s="126"/>
      <c r="S99" s="325">
        <f t="shared" si="8"/>
        <v>0</v>
      </c>
      <c r="T99" s="455">
        <f t="shared" si="9"/>
        <v>0</v>
      </c>
      <c r="U99" s="324">
        <f>'Overall Metrics'!M153</f>
        <v>0</v>
      </c>
    </row>
    <row r="100" spans="1:22" ht="15.75" customHeight="1">
      <c r="A100" s="175">
        <f t="shared" si="6"/>
        <v>2023</v>
      </c>
      <c r="B100" s="454" t="str">
        <f t="shared" si="7"/>
        <v>44</v>
      </c>
      <c r="C100" s="454" t="str">
        <f t="array" ref="C100">_xlfn.IFS(_xlfn.NUMBERVALUE(B100)&lt;=13,"Q1",AND(_xlfn.NUMBERVALUE(B100)&gt;13,_xlfn.NUMBERVALUE(B100)&lt;=26),"Q2", AND(_xlfn.NUMBERVALUE(B100)&gt;26,_xlfn.NUMBERVALUE(B100)&lt;=39),"Q3",_xlfn.NUMBERVALUE(B100)&gt;39,"Q4")</f>
        <v>Q4</v>
      </c>
      <c r="D100" s="448">
        <f t="shared" si="10"/>
        <v>44891</v>
      </c>
      <c r="E100" s="448">
        <f t="shared" si="11"/>
        <v>44897</v>
      </c>
      <c r="F100" s="308">
        <v>202244</v>
      </c>
      <c r="G100" s="125"/>
      <c r="H100" s="92"/>
      <c r="I100" s="92"/>
      <c r="J100" s="92"/>
      <c r="K100" s="461"/>
      <c r="L100" s="92"/>
      <c r="M100" s="92"/>
      <c r="N100" s="92"/>
      <c r="O100" s="92"/>
      <c r="P100" s="92"/>
      <c r="Q100" s="92"/>
      <c r="R100" s="126"/>
      <c r="S100" s="325">
        <f t="shared" si="8"/>
        <v>0</v>
      </c>
      <c r="T100" s="455">
        <f t="shared" si="9"/>
        <v>0</v>
      </c>
      <c r="U100" s="324">
        <f>'Overall Metrics'!M154</f>
        <v>0</v>
      </c>
    </row>
    <row r="101" spans="1:22" ht="15.75" customHeight="1">
      <c r="A101" s="175">
        <f t="shared" si="6"/>
        <v>2023</v>
      </c>
      <c r="B101" s="454" t="str">
        <f t="shared" si="7"/>
        <v>45</v>
      </c>
      <c r="C101" s="454" t="str">
        <f t="array" ref="C101">_xlfn.IFS(_xlfn.NUMBERVALUE(B101)&lt;=13,"Q1",AND(_xlfn.NUMBERVALUE(B101)&gt;13,_xlfn.NUMBERVALUE(B101)&lt;=26),"Q2", AND(_xlfn.NUMBERVALUE(B101)&gt;26,_xlfn.NUMBERVALUE(B101)&lt;=39),"Q3",_xlfn.NUMBERVALUE(B101)&gt;39,"Q4")</f>
        <v>Q4</v>
      </c>
      <c r="D101" s="448">
        <f t="shared" si="10"/>
        <v>44898</v>
      </c>
      <c r="E101" s="448">
        <f t="shared" si="11"/>
        <v>44904</v>
      </c>
      <c r="F101" s="308">
        <v>202245</v>
      </c>
      <c r="G101" s="125"/>
      <c r="H101" s="92"/>
      <c r="I101" s="92"/>
      <c r="J101" s="92"/>
      <c r="K101" s="461"/>
      <c r="L101" s="92"/>
      <c r="M101" s="92"/>
      <c r="N101" s="92"/>
      <c r="O101" s="92"/>
      <c r="P101" s="92"/>
      <c r="Q101" s="92"/>
      <c r="R101" s="126"/>
      <c r="S101" s="325">
        <f t="shared" si="8"/>
        <v>0</v>
      </c>
      <c r="T101" s="455">
        <f t="shared" si="9"/>
        <v>0</v>
      </c>
      <c r="U101" s="324">
        <f>'Overall Metrics'!M155</f>
        <v>0</v>
      </c>
    </row>
    <row r="102" spans="1:22" ht="15.75" customHeight="1">
      <c r="A102" s="175">
        <f t="shared" si="6"/>
        <v>2023</v>
      </c>
      <c r="B102" s="454" t="str">
        <f t="shared" si="7"/>
        <v>46</v>
      </c>
      <c r="C102" s="454" t="str">
        <f t="array" ref="C102">_xlfn.IFS(_xlfn.NUMBERVALUE(B102)&lt;=13,"Q1",AND(_xlfn.NUMBERVALUE(B102)&gt;13,_xlfn.NUMBERVALUE(B102)&lt;=26),"Q2", AND(_xlfn.NUMBERVALUE(B102)&gt;26,_xlfn.NUMBERVALUE(B102)&lt;=39),"Q3",_xlfn.NUMBERVALUE(B102)&gt;39,"Q4")</f>
        <v>Q4</v>
      </c>
      <c r="D102" s="448">
        <f t="shared" si="10"/>
        <v>44905</v>
      </c>
      <c r="E102" s="448">
        <f t="shared" si="11"/>
        <v>44911</v>
      </c>
      <c r="F102" s="308">
        <v>202246</v>
      </c>
      <c r="G102" s="125"/>
      <c r="H102" s="92"/>
      <c r="I102" s="92"/>
      <c r="J102" s="92"/>
      <c r="K102" s="461"/>
      <c r="L102" s="92"/>
      <c r="M102" s="92"/>
      <c r="N102" s="92"/>
      <c r="O102" s="92"/>
      <c r="P102" s="92"/>
      <c r="Q102" s="92"/>
      <c r="R102" s="126"/>
      <c r="S102" s="325">
        <f t="shared" si="8"/>
        <v>0</v>
      </c>
      <c r="T102" s="455">
        <f t="shared" si="9"/>
        <v>0</v>
      </c>
      <c r="U102" s="324">
        <f>'Overall Metrics'!M156</f>
        <v>0</v>
      </c>
    </row>
    <row r="103" spans="1:22" ht="15.75" customHeight="1">
      <c r="A103" s="175">
        <f t="shared" si="6"/>
        <v>2023</v>
      </c>
      <c r="B103" s="454" t="str">
        <f t="shared" si="7"/>
        <v>47</v>
      </c>
      <c r="C103" s="454" t="str">
        <f t="array" ref="C103">_xlfn.IFS(_xlfn.NUMBERVALUE(B103)&lt;=13,"Q1",AND(_xlfn.NUMBERVALUE(B103)&gt;13,_xlfn.NUMBERVALUE(B103)&lt;=26),"Q2", AND(_xlfn.NUMBERVALUE(B103)&gt;26,_xlfn.NUMBERVALUE(B103)&lt;=39),"Q3",_xlfn.NUMBERVALUE(B103)&gt;39,"Q4")</f>
        <v>Q4</v>
      </c>
      <c r="D103" s="448">
        <f t="shared" si="10"/>
        <v>44912</v>
      </c>
      <c r="E103" s="448">
        <f t="shared" si="11"/>
        <v>44918</v>
      </c>
      <c r="F103" s="308">
        <v>202247</v>
      </c>
      <c r="G103" s="125"/>
      <c r="H103" s="92"/>
      <c r="I103" s="92"/>
      <c r="J103" s="92"/>
      <c r="K103" s="461"/>
      <c r="L103" s="92"/>
      <c r="M103" s="92"/>
      <c r="N103" s="92"/>
      <c r="O103" s="92"/>
      <c r="P103" s="92"/>
      <c r="Q103" s="92"/>
      <c r="R103" s="126"/>
      <c r="S103" s="325">
        <f t="shared" si="8"/>
        <v>0</v>
      </c>
      <c r="T103" s="455">
        <f t="shared" si="9"/>
        <v>0</v>
      </c>
      <c r="U103" s="324">
        <f>'Overall Metrics'!M157</f>
        <v>0</v>
      </c>
    </row>
    <row r="104" spans="1:22" ht="15.75" customHeight="1">
      <c r="A104" s="175">
        <f t="shared" si="6"/>
        <v>2023</v>
      </c>
      <c r="B104" s="454" t="str">
        <f t="shared" si="7"/>
        <v>48</v>
      </c>
      <c r="C104" s="454" t="str">
        <f t="array" ref="C104">_xlfn.IFS(_xlfn.NUMBERVALUE(B104)&lt;=13,"Q1",AND(_xlfn.NUMBERVALUE(B104)&gt;13,_xlfn.NUMBERVALUE(B104)&lt;=26),"Q2", AND(_xlfn.NUMBERVALUE(B104)&gt;26,_xlfn.NUMBERVALUE(B104)&lt;=39),"Q3",_xlfn.NUMBERVALUE(B104)&gt;39,"Q4")</f>
        <v>Q4</v>
      </c>
      <c r="D104" s="448">
        <f t="shared" si="10"/>
        <v>44919</v>
      </c>
      <c r="E104" s="448">
        <f t="shared" si="11"/>
        <v>44925</v>
      </c>
      <c r="F104" s="308">
        <v>202248</v>
      </c>
      <c r="G104" s="125"/>
      <c r="H104" s="92"/>
      <c r="I104" s="92"/>
      <c r="J104" s="92"/>
      <c r="K104" s="461"/>
      <c r="L104" s="92"/>
      <c r="M104" s="92"/>
      <c r="N104" s="92"/>
      <c r="O104" s="92"/>
      <c r="P104" s="92"/>
      <c r="Q104" s="92"/>
      <c r="R104" s="126"/>
      <c r="S104" s="325">
        <f t="shared" si="8"/>
        <v>0</v>
      </c>
      <c r="T104" s="455">
        <f t="shared" si="9"/>
        <v>0</v>
      </c>
      <c r="U104" s="324">
        <f>'Overall Metrics'!M158</f>
        <v>0</v>
      </c>
    </row>
    <row r="105" spans="1:22" ht="15.75" customHeight="1">
      <c r="A105" s="175">
        <f t="shared" si="6"/>
        <v>2023</v>
      </c>
      <c r="B105" s="454" t="str">
        <f t="shared" si="7"/>
        <v>49</v>
      </c>
      <c r="C105" s="454" t="str">
        <f t="array" ref="C105">_xlfn.IFS(_xlfn.NUMBERVALUE(B105)&lt;=13,"Q1",AND(_xlfn.NUMBERVALUE(B105)&gt;13,_xlfn.NUMBERVALUE(B105)&lt;=26),"Q2", AND(_xlfn.NUMBERVALUE(B105)&gt;26,_xlfn.NUMBERVALUE(B105)&lt;=39),"Q3",_xlfn.NUMBERVALUE(B105)&gt;39,"Q4")</f>
        <v>Q4</v>
      </c>
      <c r="D105" s="448">
        <f t="shared" si="10"/>
        <v>44926</v>
      </c>
      <c r="E105" s="448">
        <f t="shared" si="11"/>
        <v>44932</v>
      </c>
      <c r="F105" s="308">
        <v>202249</v>
      </c>
      <c r="G105" s="125"/>
      <c r="H105" s="92"/>
      <c r="I105" s="92"/>
      <c r="J105" s="92"/>
      <c r="K105" s="461"/>
      <c r="L105" s="92"/>
      <c r="M105" s="92"/>
      <c r="N105" s="92"/>
      <c r="O105" s="92"/>
      <c r="P105" s="92"/>
      <c r="Q105" s="92"/>
      <c r="R105" s="126"/>
      <c r="S105" s="325">
        <f t="shared" si="8"/>
        <v>0</v>
      </c>
      <c r="T105" s="455">
        <f t="shared" si="9"/>
        <v>0</v>
      </c>
      <c r="U105" s="324">
        <f>'Overall Metrics'!M159</f>
        <v>0</v>
      </c>
    </row>
    <row r="106" spans="1:22" ht="15.75" customHeight="1">
      <c r="A106" s="175">
        <f t="shared" si="6"/>
        <v>2023</v>
      </c>
      <c r="B106" s="454" t="str">
        <f t="shared" si="7"/>
        <v>50</v>
      </c>
      <c r="C106" s="454" t="str">
        <f t="array" ref="C106">_xlfn.IFS(_xlfn.NUMBERVALUE(B106)&lt;=13,"Q1",AND(_xlfn.NUMBERVALUE(B106)&gt;13,_xlfn.NUMBERVALUE(B106)&lt;=26),"Q2", AND(_xlfn.NUMBERVALUE(B106)&gt;26,_xlfn.NUMBERVALUE(B106)&lt;=39),"Q3",_xlfn.NUMBERVALUE(B106)&gt;39,"Q4")</f>
        <v>Q4</v>
      </c>
      <c r="D106" s="448">
        <f t="shared" si="10"/>
        <v>44933</v>
      </c>
      <c r="E106" s="448">
        <f t="shared" si="11"/>
        <v>44939</v>
      </c>
      <c r="F106" s="308">
        <v>202250</v>
      </c>
      <c r="G106" s="125"/>
      <c r="H106" s="92"/>
      <c r="I106" s="92"/>
      <c r="J106" s="92"/>
      <c r="K106" s="461"/>
      <c r="L106" s="92"/>
      <c r="M106" s="92"/>
      <c r="N106" s="92"/>
      <c r="O106" s="92"/>
      <c r="P106" s="92"/>
      <c r="Q106" s="92"/>
      <c r="R106" s="126"/>
      <c r="S106" s="325">
        <f t="shared" si="8"/>
        <v>0</v>
      </c>
      <c r="T106" s="455">
        <f t="shared" si="9"/>
        <v>0</v>
      </c>
      <c r="U106" s="324">
        <f>'Overall Metrics'!M160</f>
        <v>0</v>
      </c>
    </row>
    <row r="107" spans="1:22" ht="15.75" customHeight="1">
      <c r="A107" s="175">
        <f t="shared" si="6"/>
        <v>2023</v>
      </c>
      <c r="B107" s="454" t="str">
        <f t="shared" si="7"/>
        <v>51</v>
      </c>
      <c r="C107" s="454" t="str">
        <f t="array" ref="C107">_xlfn.IFS(_xlfn.NUMBERVALUE(B107)&lt;=13,"Q1",AND(_xlfn.NUMBERVALUE(B107)&gt;13,_xlfn.NUMBERVALUE(B107)&lt;=26),"Q2", AND(_xlfn.NUMBERVALUE(B107)&gt;26,_xlfn.NUMBERVALUE(B107)&lt;=39),"Q3",_xlfn.NUMBERVALUE(B107)&gt;39,"Q4")</f>
        <v>Q4</v>
      </c>
      <c r="D107" s="448">
        <f t="shared" si="10"/>
        <v>44940</v>
      </c>
      <c r="E107" s="448">
        <f t="shared" si="11"/>
        <v>44946</v>
      </c>
      <c r="F107" s="308">
        <v>202251</v>
      </c>
      <c r="G107" s="125"/>
      <c r="H107" s="92"/>
      <c r="I107" s="92"/>
      <c r="J107" s="92"/>
      <c r="K107" s="461"/>
      <c r="L107" s="92"/>
      <c r="M107" s="92"/>
      <c r="N107" s="92"/>
      <c r="O107" s="92"/>
      <c r="P107" s="92"/>
      <c r="Q107" s="92"/>
      <c r="R107" s="126"/>
      <c r="S107" s="325">
        <f t="shared" si="8"/>
        <v>0</v>
      </c>
      <c r="T107" s="455">
        <f t="shared" si="9"/>
        <v>0</v>
      </c>
      <c r="U107" s="324">
        <f>'Overall Metrics'!M161</f>
        <v>0</v>
      </c>
    </row>
    <row r="108" spans="1:22" ht="15.75" customHeight="1">
      <c r="A108" s="175">
        <f t="shared" si="6"/>
        <v>2023</v>
      </c>
      <c r="B108" s="454" t="str">
        <f t="shared" si="7"/>
        <v>52</v>
      </c>
      <c r="C108" s="454" t="str">
        <f t="array" ref="C108">_xlfn.IFS(_xlfn.NUMBERVALUE(B108)&lt;=13,"Q1",AND(_xlfn.NUMBERVALUE(B108)&gt;13,_xlfn.NUMBERVALUE(B108)&lt;=26),"Q2", AND(_xlfn.NUMBERVALUE(B108)&gt;26,_xlfn.NUMBERVALUE(B108)&lt;=39),"Q3",_xlfn.NUMBERVALUE(B108)&gt;39,"Q4")</f>
        <v>Q4</v>
      </c>
      <c r="D108" s="448">
        <f t="shared" si="10"/>
        <v>44947</v>
      </c>
      <c r="E108" s="448">
        <f t="shared" si="11"/>
        <v>44953</v>
      </c>
      <c r="F108" s="308">
        <v>202252</v>
      </c>
      <c r="G108" s="125"/>
      <c r="H108" s="92"/>
      <c r="I108" s="92"/>
      <c r="J108" s="92"/>
      <c r="K108" s="461"/>
      <c r="L108" s="92"/>
      <c r="M108" s="92"/>
      <c r="N108" s="92"/>
      <c r="O108" s="92"/>
      <c r="P108" s="92"/>
      <c r="Q108" s="92"/>
      <c r="R108" s="126"/>
      <c r="S108" s="325">
        <f t="shared" si="8"/>
        <v>0</v>
      </c>
      <c r="T108" s="455">
        <f t="shared" si="9"/>
        <v>0</v>
      </c>
      <c r="U108" s="324">
        <f>'Overall Metrics'!M162</f>
        <v>0</v>
      </c>
    </row>
    <row r="109" spans="1:22" ht="15.75" customHeight="1">
      <c r="A109" s="175">
        <f t="shared" si="6"/>
        <v>2024</v>
      </c>
      <c r="B109" s="454" t="str">
        <f t="shared" si="7"/>
        <v>01</v>
      </c>
      <c r="C109" s="454" t="str">
        <f t="array" ref="C109">_xlfn.IFS(_xlfn.NUMBERVALUE(B109)&lt;=13,"Q1",AND(_xlfn.NUMBERVALUE(B109)&gt;13,_xlfn.NUMBERVALUE(B109)&lt;=26),"Q2", AND(_xlfn.NUMBERVALUE(B109)&gt;26,_xlfn.NUMBERVALUE(B109)&lt;=39),"Q3",_xlfn.NUMBERVALUE(B109)&gt;39,"Q4")</f>
        <v>Q1</v>
      </c>
      <c r="D109" s="448">
        <f t="shared" si="10"/>
        <v>44954</v>
      </c>
      <c r="E109" s="448">
        <f t="shared" si="11"/>
        <v>44960</v>
      </c>
      <c r="F109" s="308">
        <v>202301</v>
      </c>
      <c r="G109" s="125"/>
      <c r="H109" s="92"/>
      <c r="I109" s="92"/>
      <c r="J109" s="92"/>
      <c r="K109" s="92"/>
      <c r="L109" s="92"/>
      <c r="M109" s="92"/>
      <c r="N109" s="92"/>
      <c r="O109" s="92"/>
      <c r="P109" s="92"/>
      <c r="Q109" s="92"/>
      <c r="R109" s="126"/>
      <c r="S109" s="325">
        <f t="shared" si="8"/>
        <v>0</v>
      </c>
      <c r="T109" s="455">
        <f t="shared" si="9"/>
        <v>0</v>
      </c>
      <c r="U109" s="324">
        <f>'Overall Metrics'!M163</f>
        <v>0</v>
      </c>
      <c r="V109" s="315"/>
    </row>
    <row r="110" spans="1:22" ht="15.75" customHeight="1">
      <c r="A110" s="175">
        <f t="shared" si="6"/>
        <v>2024</v>
      </c>
      <c r="B110" s="454" t="str">
        <f t="shared" si="7"/>
        <v>02</v>
      </c>
      <c r="C110" s="454" t="str">
        <f t="array" ref="C110">_xlfn.IFS(_xlfn.NUMBERVALUE(B110)&lt;=13,"Q1",AND(_xlfn.NUMBERVALUE(B110)&gt;13,_xlfn.NUMBERVALUE(B110)&lt;=26),"Q2", AND(_xlfn.NUMBERVALUE(B110)&gt;26,_xlfn.NUMBERVALUE(B110)&lt;=39),"Q3",_xlfn.NUMBERVALUE(B110)&gt;39,"Q4")</f>
        <v>Q1</v>
      </c>
      <c r="D110" s="448">
        <f t="shared" si="10"/>
        <v>44961</v>
      </c>
      <c r="E110" s="448">
        <f t="shared" si="11"/>
        <v>44967</v>
      </c>
      <c r="F110" s="308">
        <v>202302</v>
      </c>
      <c r="G110" s="125"/>
      <c r="H110" s="92"/>
      <c r="I110" s="92"/>
      <c r="J110" s="92"/>
      <c r="K110" s="92"/>
      <c r="L110" s="92"/>
      <c r="M110" s="92"/>
      <c r="N110" s="92"/>
      <c r="O110" s="92"/>
      <c r="P110" s="92"/>
      <c r="Q110" s="92"/>
      <c r="R110" s="126"/>
      <c r="S110" s="325">
        <f t="shared" si="8"/>
        <v>0</v>
      </c>
      <c r="T110" s="455">
        <f t="shared" si="9"/>
        <v>0</v>
      </c>
      <c r="U110" s="324">
        <f>'Overall Metrics'!M164</f>
        <v>0</v>
      </c>
      <c r="V110" s="315"/>
    </row>
    <row r="111" spans="1:22" ht="15.75" customHeight="1">
      <c r="A111" s="175">
        <f t="shared" si="6"/>
        <v>2024</v>
      </c>
      <c r="B111" s="454" t="str">
        <f t="shared" si="7"/>
        <v>03</v>
      </c>
      <c r="C111" s="454" t="str">
        <f t="array" ref="C111">_xlfn.IFS(_xlfn.NUMBERVALUE(B111)&lt;=13,"Q1",AND(_xlfn.NUMBERVALUE(B111)&gt;13,_xlfn.NUMBERVALUE(B111)&lt;=26),"Q2", AND(_xlfn.NUMBERVALUE(B111)&gt;26,_xlfn.NUMBERVALUE(B111)&lt;=39),"Q3",_xlfn.NUMBERVALUE(B111)&gt;39,"Q4")</f>
        <v>Q1</v>
      </c>
      <c r="D111" s="448">
        <f t="shared" si="10"/>
        <v>44968</v>
      </c>
      <c r="E111" s="448">
        <f t="shared" si="11"/>
        <v>44974</v>
      </c>
      <c r="F111" s="308">
        <v>202303</v>
      </c>
      <c r="G111" s="125"/>
      <c r="H111" s="92"/>
      <c r="I111" s="92"/>
      <c r="J111" s="92"/>
      <c r="K111" s="92"/>
      <c r="L111" s="92"/>
      <c r="M111" s="92"/>
      <c r="N111" s="92"/>
      <c r="O111" s="92"/>
      <c r="P111" s="92"/>
      <c r="Q111" s="92"/>
      <c r="R111" s="126"/>
      <c r="S111" s="325">
        <f t="shared" si="8"/>
        <v>0</v>
      </c>
      <c r="T111" s="455">
        <f t="shared" si="9"/>
        <v>0</v>
      </c>
      <c r="U111" s="324">
        <f>'Overall Metrics'!M165</f>
        <v>0</v>
      </c>
      <c r="V111" s="315"/>
    </row>
    <row r="112" spans="1:22" ht="15.75" customHeight="1">
      <c r="A112" s="175">
        <f t="shared" si="6"/>
        <v>2024</v>
      </c>
      <c r="B112" s="454" t="str">
        <f t="shared" si="7"/>
        <v>04</v>
      </c>
      <c r="C112" s="454" t="str">
        <f t="array" ref="C112">_xlfn.IFS(_xlfn.NUMBERVALUE(B112)&lt;=13,"Q1",AND(_xlfn.NUMBERVALUE(B112)&gt;13,_xlfn.NUMBERVALUE(B112)&lt;=26),"Q2", AND(_xlfn.NUMBERVALUE(B112)&gt;26,_xlfn.NUMBERVALUE(B112)&lt;=39),"Q3",_xlfn.NUMBERVALUE(B112)&gt;39,"Q4")</f>
        <v>Q1</v>
      </c>
      <c r="D112" s="448">
        <f t="shared" si="10"/>
        <v>44975</v>
      </c>
      <c r="E112" s="448">
        <f t="shared" si="11"/>
        <v>44981</v>
      </c>
      <c r="F112" s="308">
        <v>202304</v>
      </c>
      <c r="G112" s="125"/>
      <c r="H112" s="92"/>
      <c r="I112" s="92"/>
      <c r="J112" s="92"/>
      <c r="K112" s="92"/>
      <c r="L112" s="92"/>
      <c r="M112" s="92"/>
      <c r="N112" s="92"/>
      <c r="O112" s="92"/>
      <c r="P112" s="92"/>
      <c r="Q112" s="92"/>
      <c r="R112" s="126"/>
      <c r="S112" s="325">
        <f t="shared" si="8"/>
        <v>0</v>
      </c>
      <c r="T112" s="455">
        <f t="shared" si="9"/>
        <v>0</v>
      </c>
      <c r="U112" s="324">
        <f>'Overall Metrics'!M166</f>
        <v>0</v>
      </c>
      <c r="V112" s="315"/>
    </row>
    <row r="113" spans="1:22" ht="15.75" customHeight="1">
      <c r="A113" s="175">
        <f t="shared" si="6"/>
        <v>2024</v>
      </c>
      <c r="B113" s="454" t="str">
        <f t="shared" si="7"/>
        <v>05</v>
      </c>
      <c r="C113" s="454" t="str">
        <f t="array" ref="C113">_xlfn.IFS(_xlfn.NUMBERVALUE(B113)&lt;=13,"Q1",AND(_xlfn.NUMBERVALUE(B113)&gt;13,_xlfn.NUMBERVALUE(B113)&lt;=26),"Q2", AND(_xlfn.NUMBERVALUE(B113)&gt;26,_xlfn.NUMBERVALUE(B113)&lt;=39),"Q3",_xlfn.NUMBERVALUE(B113)&gt;39,"Q4")</f>
        <v>Q1</v>
      </c>
      <c r="D113" s="448">
        <f t="shared" si="10"/>
        <v>44982</v>
      </c>
      <c r="E113" s="448">
        <f t="shared" si="11"/>
        <v>44988</v>
      </c>
      <c r="F113" s="308">
        <v>202305</v>
      </c>
      <c r="G113" s="125"/>
      <c r="H113" s="92"/>
      <c r="I113" s="92"/>
      <c r="J113" s="92"/>
      <c r="K113" s="92"/>
      <c r="L113" s="92"/>
      <c r="M113" s="92"/>
      <c r="N113" s="92"/>
      <c r="O113" s="92"/>
      <c r="P113" s="92"/>
      <c r="Q113" s="92"/>
      <c r="R113" s="126"/>
      <c r="S113" s="325">
        <f t="shared" si="8"/>
        <v>0</v>
      </c>
      <c r="T113" s="455">
        <f t="shared" si="9"/>
        <v>0</v>
      </c>
      <c r="U113" s="324">
        <f>'Overall Metrics'!M167</f>
        <v>0</v>
      </c>
      <c r="V113" s="315"/>
    </row>
    <row r="114" spans="1:22" ht="15.75" customHeight="1">
      <c r="A114" s="175">
        <f t="shared" si="6"/>
        <v>2024</v>
      </c>
      <c r="B114" s="454" t="str">
        <f t="shared" si="7"/>
        <v>06</v>
      </c>
      <c r="C114" s="454" t="str">
        <f t="array" ref="C114">_xlfn.IFS(_xlfn.NUMBERVALUE(B114)&lt;=13,"Q1",AND(_xlfn.NUMBERVALUE(B114)&gt;13,_xlfn.NUMBERVALUE(B114)&lt;=26),"Q2", AND(_xlfn.NUMBERVALUE(B114)&gt;26,_xlfn.NUMBERVALUE(B114)&lt;=39),"Q3",_xlfn.NUMBERVALUE(B114)&gt;39,"Q4")</f>
        <v>Q1</v>
      </c>
      <c r="D114" s="448">
        <f t="shared" si="10"/>
        <v>44989</v>
      </c>
      <c r="E114" s="448">
        <f t="shared" si="11"/>
        <v>44995</v>
      </c>
      <c r="F114" s="308">
        <v>202306</v>
      </c>
      <c r="G114" s="125"/>
      <c r="H114" s="92"/>
      <c r="I114" s="92"/>
      <c r="J114" s="92"/>
      <c r="K114" s="92"/>
      <c r="L114" s="92"/>
      <c r="M114" s="92"/>
      <c r="N114" s="92"/>
      <c r="O114" s="92"/>
      <c r="P114" s="92"/>
      <c r="Q114" s="92"/>
      <c r="R114" s="126"/>
      <c r="S114" s="325">
        <f t="shared" si="8"/>
        <v>0</v>
      </c>
      <c r="T114" s="455">
        <f t="shared" si="9"/>
        <v>0</v>
      </c>
      <c r="U114" s="324">
        <f>'Overall Metrics'!M168</f>
        <v>0</v>
      </c>
      <c r="V114" s="315"/>
    </row>
    <row r="115" spans="1:22" ht="15.75" customHeight="1">
      <c r="A115" s="175">
        <f t="shared" si="6"/>
        <v>2024</v>
      </c>
      <c r="B115" s="454" t="str">
        <f t="shared" si="7"/>
        <v>07</v>
      </c>
      <c r="C115" s="454" t="str">
        <f t="array" ref="C115">_xlfn.IFS(_xlfn.NUMBERVALUE(B115)&lt;=13,"Q1",AND(_xlfn.NUMBERVALUE(B115)&gt;13,_xlfn.NUMBERVALUE(B115)&lt;=26),"Q2", AND(_xlfn.NUMBERVALUE(B115)&gt;26,_xlfn.NUMBERVALUE(B115)&lt;=39),"Q3",_xlfn.NUMBERVALUE(B115)&gt;39,"Q4")</f>
        <v>Q1</v>
      </c>
      <c r="D115" s="448">
        <f t="shared" si="10"/>
        <v>44996</v>
      </c>
      <c r="E115" s="448">
        <f t="shared" si="11"/>
        <v>45002</v>
      </c>
      <c r="F115" s="308">
        <v>202307</v>
      </c>
      <c r="G115" s="125"/>
      <c r="H115" s="92"/>
      <c r="I115" s="92"/>
      <c r="J115" s="92"/>
      <c r="K115" s="92"/>
      <c r="L115" s="92"/>
      <c r="M115" s="92"/>
      <c r="N115" s="92"/>
      <c r="O115" s="92"/>
      <c r="P115" s="92"/>
      <c r="Q115" s="92"/>
      <c r="R115" s="126"/>
      <c r="S115" s="325">
        <f t="shared" si="8"/>
        <v>0</v>
      </c>
      <c r="T115" s="455">
        <f t="shared" si="9"/>
        <v>0</v>
      </c>
      <c r="U115" s="324">
        <f>'Overall Metrics'!M169</f>
        <v>0</v>
      </c>
      <c r="V115" s="315"/>
    </row>
    <row r="116" spans="1:22" ht="15.75" customHeight="1">
      <c r="A116" s="175">
        <f t="shared" si="6"/>
        <v>2024</v>
      </c>
      <c r="B116" s="454" t="str">
        <f t="shared" si="7"/>
        <v>08</v>
      </c>
      <c r="C116" s="454" t="str">
        <f t="array" ref="C116">_xlfn.IFS(_xlfn.NUMBERVALUE(B116)&lt;=13,"Q1",AND(_xlfn.NUMBERVALUE(B116)&gt;13,_xlfn.NUMBERVALUE(B116)&lt;=26),"Q2", AND(_xlfn.NUMBERVALUE(B116)&gt;26,_xlfn.NUMBERVALUE(B116)&lt;=39),"Q3",_xlfn.NUMBERVALUE(B116)&gt;39,"Q4")</f>
        <v>Q1</v>
      </c>
      <c r="D116" s="448">
        <f t="shared" si="10"/>
        <v>45003</v>
      </c>
      <c r="E116" s="448">
        <f t="shared" si="11"/>
        <v>45009</v>
      </c>
      <c r="F116" s="308">
        <v>202308</v>
      </c>
      <c r="G116" s="125"/>
      <c r="H116" s="92"/>
      <c r="I116" s="92"/>
      <c r="J116" s="92"/>
      <c r="K116" s="92"/>
      <c r="L116" s="92"/>
      <c r="M116" s="92"/>
      <c r="N116" s="92"/>
      <c r="O116" s="92"/>
      <c r="P116" s="92"/>
      <c r="Q116" s="92"/>
      <c r="R116" s="126"/>
      <c r="S116" s="325">
        <f t="shared" si="8"/>
        <v>0</v>
      </c>
      <c r="T116" s="455">
        <f t="shared" si="9"/>
        <v>0</v>
      </c>
      <c r="U116" s="324">
        <f>'Overall Metrics'!M170</f>
        <v>0</v>
      </c>
      <c r="V116" s="315"/>
    </row>
    <row r="117" spans="1:22" ht="15.75" customHeight="1">
      <c r="A117" s="175">
        <f t="shared" si="6"/>
        <v>2024</v>
      </c>
      <c r="B117" s="454" t="str">
        <f t="shared" si="7"/>
        <v>09</v>
      </c>
      <c r="C117" s="454" t="str">
        <f t="array" ref="C117">_xlfn.IFS(_xlfn.NUMBERVALUE(B117)&lt;=13,"Q1",AND(_xlfn.NUMBERVALUE(B117)&gt;13,_xlfn.NUMBERVALUE(B117)&lt;=26),"Q2", AND(_xlfn.NUMBERVALUE(B117)&gt;26,_xlfn.NUMBERVALUE(B117)&lt;=39),"Q3",_xlfn.NUMBERVALUE(B117)&gt;39,"Q4")</f>
        <v>Q1</v>
      </c>
      <c r="D117" s="448">
        <f t="shared" si="10"/>
        <v>45010</v>
      </c>
      <c r="E117" s="448">
        <f t="shared" si="11"/>
        <v>45016</v>
      </c>
      <c r="F117" s="308">
        <v>202309</v>
      </c>
      <c r="G117" s="125"/>
      <c r="H117" s="92"/>
      <c r="I117" s="92"/>
      <c r="J117" s="92"/>
      <c r="K117" s="92"/>
      <c r="L117" s="92"/>
      <c r="M117" s="92"/>
      <c r="N117" s="92"/>
      <c r="O117" s="92"/>
      <c r="P117" s="92"/>
      <c r="Q117" s="92"/>
      <c r="R117" s="126"/>
      <c r="S117" s="325">
        <f t="shared" si="8"/>
        <v>0</v>
      </c>
      <c r="T117" s="455">
        <f t="shared" si="9"/>
        <v>0</v>
      </c>
      <c r="U117" s="324">
        <f>'Overall Metrics'!M171</f>
        <v>0</v>
      </c>
      <c r="V117" s="315"/>
    </row>
    <row r="118" spans="1:22" ht="15.75" customHeight="1">
      <c r="A118" s="175">
        <f t="shared" si="6"/>
        <v>2024</v>
      </c>
      <c r="B118" s="454" t="str">
        <f t="shared" si="7"/>
        <v>10</v>
      </c>
      <c r="C118" s="454" t="str">
        <f t="array" ref="C118">_xlfn.IFS(_xlfn.NUMBERVALUE(B118)&lt;=13,"Q1",AND(_xlfn.NUMBERVALUE(B118)&gt;13,_xlfn.NUMBERVALUE(B118)&lt;=26),"Q2", AND(_xlfn.NUMBERVALUE(B118)&gt;26,_xlfn.NUMBERVALUE(B118)&lt;=39),"Q3",_xlfn.NUMBERVALUE(B118)&gt;39,"Q4")</f>
        <v>Q1</v>
      </c>
      <c r="D118" s="448">
        <f t="shared" si="10"/>
        <v>45017</v>
      </c>
      <c r="E118" s="448">
        <f t="shared" si="11"/>
        <v>45023</v>
      </c>
      <c r="F118" s="308">
        <v>202310</v>
      </c>
      <c r="G118" s="125"/>
      <c r="H118" s="92"/>
      <c r="I118" s="92"/>
      <c r="J118" s="92"/>
      <c r="K118" s="92"/>
      <c r="L118" s="92"/>
      <c r="M118" s="92"/>
      <c r="N118" s="92"/>
      <c r="O118" s="92"/>
      <c r="P118" s="92"/>
      <c r="Q118" s="92"/>
      <c r="R118" s="126"/>
      <c r="S118" s="325">
        <f t="shared" si="8"/>
        <v>0</v>
      </c>
      <c r="T118" s="455">
        <f t="shared" si="9"/>
        <v>0</v>
      </c>
      <c r="U118" s="324">
        <f>'Overall Metrics'!M172</f>
        <v>0</v>
      </c>
      <c r="V118" s="315"/>
    </row>
    <row r="119" spans="1:22" ht="15.75" customHeight="1">
      <c r="A119" s="175">
        <f t="shared" si="6"/>
        <v>2024</v>
      </c>
      <c r="B119" s="454" t="str">
        <f t="shared" si="7"/>
        <v>11</v>
      </c>
      <c r="C119" s="454" t="str">
        <f t="array" ref="C119">_xlfn.IFS(_xlfn.NUMBERVALUE(B119)&lt;=13,"Q1",AND(_xlfn.NUMBERVALUE(B119)&gt;13,_xlfn.NUMBERVALUE(B119)&lt;=26),"Q2", AND(_xlfn.NUMBERVALUE(B119)&gt;26,_xlfn.NUMBERVALUE(B119)&lt;=39),"Q3",_xlfn.NUMBERVALUE(B119)&gt;39,"Q4")</f>
        <v>Q1</v>
      </c>
      <c r="D119" s="448">
        <f t="shared" si="10"/>
        <v>45024</v>
      </c>
      <c r="E119" s="448">
        <f t="shared" si="11"/>
        <v>45030</v>
      </c>
      <c r="F119" s="308">
        <v>202311</v>
      </c>
      <c r="G119" s="125"/>
      <c r="H119" s="92"/>
      <c r="I119" s="92"/>
      <c r="J119" s="92"/>
      <c r="K119" s="92"/>
      <c r="L119" s="92"/>
      <c r="M119" s="92"/>
      <c r="N119" s="92"/>
      <c r="O119" s="92"/>
      <c r="P119" s="92"/>
      <c r="Q119" s="92"/>
      <c r="R119" s="126"/>
      <c r="S119" s="325">
        <f t="shared" si="8"/>
        <v>0</v>
      </c>
      <c r="T119" s="455">
        <f t="shared" si="9"/>
        <v>0</v>
      </c>
      <c r="U119" s="324">
        <f>'Overall Metrics'!M173</f>
        <v>0</v>
      </c>
      <c r="V119" s="315"/>
    </row>
    <row r="120" spans="1:22" ht="15.75" customHeight="1">
      <c r="A120" s="175">
        <f t="shared" si="6"/>
        <v>2024</v>
      </c>
      <c r="B120" s="454" t="str">
        <f t="shared" si="7"/>
        <v>12</v>
      </c>
      <c r="C120" s="454" t="str">
        <f t="array" ref="C120">_xlfn.IFS(_xlfn.NUMBERVALUE(B120)&lt;=13,"Q1",AND(_xlfn.NUMBERVALUE(B120)&gt;13,_xlfn.NUMBERVALUE(B120)&lt;=26),"Q2", AND(_xlfn.NUMBERVALUE(B120)&gt;26,_xlfn.NUMBERVALUE(B120)&lt;=39),"Q3",_xlfn.NUMBERVALUE(B120)&gt;39,"Q4")</f>
        <v>Q1</v>
      </c>
      <c r="D120" s="448">
        <f t="shared" si="10"/>
        <v>45031</v>
      </c>
      <c r="E120" s="448">
        <f t="shared" si="11"/>
        <v>45037</v>
      </c>
      <c r="F120" s="308">
        <v>202312</v>
      </c>
      <c r="G120" s="125"/>
      <c r="H120" s="92"/>
      <c r="I120" s="92"/>
      <c r="J120" s="92"/>
      <c r="K120" s="92"/>
      <c r="L120" s="92"/>
      <c r="M120" s="92"/>
      <c r="N120" s="92"/>
      <c r="O120" s="92"/>
      <c r="P120" s="92"/>
      <c r="Q120" s="92"/>
      <c r="R120" s="126"/>
      <c r="S120" s="325">
        <f t="shared" si="8"/>
        <v>0</v>
      </c>
      <c r="T120" s="455">
        <f t="shared" si="9"/>
        <v>0</v>
      </c>
      <c r="U120" s="324">
        <f>'Overall Metrics'!M174</f>
        <v>0</v>
      </c>
      <c r="V120" s="315"/>
    </row>
    <row r="121" spans="1:22" ht="15.75" customHeight="1">
      <c r="A121" s="175">
        <f t="shared" si="6"/>
        <v>2024</v>
      </c>
      <c r="B121" s="454" t="str">
        <f t="shared" si="7"/>
        <v>13</v>
      </c>
      <c r="C121" s="454" t="str">
        <f t="array" ref="C121">_xlfn.IFS(_xlfn.NUMBERVALUE(B121)&lt;=13,"Q1",AND(_xlfn.NUMBERVALUE(B121)&gt;13,_xlfn.NUMBERVALUE(B121)&lt;=26),"Q2", AND(_xlfn.NUMBERVALUE(B121)&gt;26,_xlfn.NUMBERVALUE(B121)&lt;=39),"Q3",_xlfn.NUMBERVALUE(B121)&gt;39,"Q4")</f>
        <v>Q1</v>
      </c>
      <c r="D121" s="448">
        <f t="shared" si="10"/>
        <v>45038</v>
      </c>
      <c r="E121" s="448">
        <f t="shared" si="11"/>
        <v>45044</v>
      </c>
      <c r="F121" s="308">
        <v>202313</v>
      </c>
      <c r="G121" s="125"/>
      <c r="H121" s="92"/>
      <c r="I121" s="92"/>
      <c r="J121" s="92"/>
      <c r="K121" s="92"/>
      <c r="L121" s="92"/>
      <c r="M121" s="92"/>
      <c r="N121" s="92"/>
      <c r="O121" s="92"/>
      <c r="P121" s="92"/>
      <c r="Q121" s="92"/>
      <c r="R121" s="126"/>
      <c r="S121" s="325">
        <f t="shared" si="8"/>
        <v>0</v>
      </c>
      <c r="T121" s="455">
        <f t="shared" si="9"/>
        <v>0</v>
      </c>
      <c r="U121" s="324">
        <f>'Overall Metrics'!M175</f>
        <v>0</v>
      </c>
      <c r="V121" s="315"/>
    </row>
    <row r="122" spans="1:22" ht="15.75" customHeight="1">
      <c r="A122" s="175">
        <f t="shared" si="6"/>
        <v>2024</v>
      </c>
      <c r="B122" s="454" t="str">
        <f t="shared" si="7"/>
        <v>14</v>
      </c>
      <c r="C122" s="454" t="str">
        <f t="array" ref="C122">_xlfn.IFS(_xlfn.NUMBERVALUE(B122)&lt;=13,"Q1",AND(_xlfn.NUMBERVALUE(B122)&gt;13,_xlfn.NUMBERVALUE(B122)&lt;=26),"Q2", AND(_xlfn.NUMBERVALUE(B122)&gt;26,_xlfn.NUMBERVALUE(B122)&lt;=39),"Q3",_xlfn.NUMBERVALUE(B122)&gt;39,"Q4")</f>
        <v>Q2</v>
      </c>
      <c r="D122" s="448">
        <f t="shared" si="10"/>
        <v>45045</v>
      </c>
      <c r="E122" s="448">
        <f t="shared" si="11"/>
        <v>45051</v>
      </c>
      <c r="F122" s="308">
        <v>202314</v>
      </c>
      <c r="G122" s="125"/>
      <c r="H122" s="92"/>
      <c r="I122" s="92"/>
      <c r="J122" s="92"/>
      <c r="K122" s="92"/>
      <c r="L122" s="92"/>
      <c r="M122" s="92"/>
      <c r="N122" s="92"/>
      <c r="O122" s="92"/>
      <c r="P122" s="92"/>
      <c r="Q122" s="92"/>
      <c r="R122" s="126"/>
      <c r="S122" s="325">
        <f t="shared" si="8"/>
        <v>0</v>
      </c>
      <c r="T122" s="455">
        <f t="shared" si="9"/>
        <v>0</v>
      </c>
      <c r="U122" s="324">
        <f>'Overall Metrics'!M176</f>
        <v>0</v>
      </c>
      <c r="V122" s="315"/>
    </row>
    <row r="123" spans="1:22" ht="15.75" customHeight="1">
      <c r="A123" s="175">
        <f t="shared" si="6"/>
        <v>2024</v>
      </c>
      <c r="B123" s="454" t="str">
        <f t="shared" si="7"/>
        <v>15</v>
      </c>
      <c r="C123" s="454" t="str">
        <f t="array" ref="C123">_xlfn.IFS(_xlfn.NUMBERVALUE(B123)&lt;=13,"Q1",AND(_xlfn.NUMBERVALUE(B123)&gt;13,_xlfn.NUMBERVALUE(B123)&lt;=26),"Q2", AND(_xlfn.NUMBERVALUE(B123)&gt;26,_xlfn.NUMBERVALUE(B123)&lt;=39),"Q3",_xlfn.NUMBERVALUE(B123)&gt;39,"Q4")</f>
        <v>Q2</v>
      </c>
      <c r="D123" s="448">
        <f t="shared" si="10"/>
        <v>45052</v>
      </c>
      <c r="E123" s="448">
        <f t="shared" si="11"/>
        <v>45058</v>
      </c>
      <c r="F123" s="308">
        <v>202315</v>
      </c>
      <c r="G123" s="125"/>
      <c r="H123" s="92"/>
      <c r="I123" s="92"/>
      <c r="J123" s="92"/>
      <c r="K123" s="92"/>
      <c r="L123" s="92"/>
      <c r="M123" s="92"/>
      <c r="N123" s="92"/>
      <c r="O123" s="92"/>
      <c r="P123" s="92"/>
      <c r="Q123" s="92"/>
      <c r="R123" s="126"/>
      <c r="S123" s="325">
        <f t="shared" si="8"/>
        <v>0</v>
      </c>
      <c r="T123" s="455">
        <f t="shared" si="9"/>
        <v>0</v>
      </c>
      <c r="U123" s="324">
        <f>'Overall Metrics'!M177</f>
        <v>0</v>
      </c>
      <c r="V123" s="315"/>
    </row>
    <row r="124" spans="1:22" ht="15.75" customHeight="1">
      <c r="A124" s="175">
        <f t="shared" si="6"/>
        <v>2024</v>
      </c>
      <c r="B124" s="454" t="str">
        <f t="shared" si="7"/>
        <v>16</v>
      </c>
      <c r="C124" s="454" t="str">
        <f t="array" ref="C124">_xlfn.IFS(_xlfn.NUMBERVALUE(B124)&lt;=13,"Q1",AND(_xlfn.NUMBERVALUE(B124)&gt;13,_xlfn.NUMBERVALUE(B124)&lt;=26),"Q2", AND(_xlfn.NUMBERVALUE(B124)&gt;26,_xlfn.NUMBERVALUE(B124)&lt;=39),"Q3",_xlfn.NUMBERVALUE(B124)&gt;39,"Q4")</f>
        <v>Q2</v>
      </c>
      <c r="D124" s="448">
        <f t="shared" si="10"/>
        <v>45059</v>
      </c>
      <c r="E124" s="448">
        <f t="shared" si="11"/>
        <v>45065</v>
      </c>
      <c r="F124" s="308">
        <v>202316</v>
      </c>
      <c r="G124" s="125"/>
      <c r="H124" s="92"/>
      <c r="I124" s="92"/>
      <c r="J124" s="92"/>
      <c r="K124" s="92"/>
      <c r="L124" s="92"/>
      <c r="M124" s="92"/>
      <c r="N124" s="92"/>
      <c r="O124" s="92"/>
      <c r="P124" s="92"/>
      <c r="Q124" s="92"/>
      <c r="R124" s="126"/>
      <c r="S124" s="325">
        <f t="shared" si="8"/>
        <v>0</v>
      </c>
      <c r="T124" s="455">
        <f t="shared" si="9"/>
        <v>0</v>
      </c>
      <c r="U124" s="324">
        <f>'Overall Metrics'!M178</f>
        <v>0</v>
      </c>
      <c r="V124" s="315"/>
    </row>
    <row r="125" spans="1:22" ht="15.75" customHeight="1">
      <c r="A125" s="175">
        <f t="shared" si="6"/>
        <v>2024</v>
      </c>
      <c r="B125" s="454" t="str">
        <f t="shared" si="7"/>
        <v>17</v>
      </c>
      <c r="C125" s="454" t="str">
        <f t="array" ref="C125">_xlfn.IFS(_xlfn.NUMBERVALUE(B125)&lt;=13,"Q1",AND(_xlfn.NUMBERVALUE(B125)&gt;13,_xlfn.NUMBERVALUE(B125)&lt;=26),"Q2", AND(_xlfn.NUMBERVALUE(B125)&gt;26,_xlfn.NUMBERVALUE(B125)&lt;=39),"Q3",_xlfn.NUMBERVALUE(B125)&gt;39,"Q4")</f>
        <v>Q2</v>
      </c>
      <c r="D125" s="448">
        <f t="shared" si="10"/>
        <v>45066</v>
      </c>
      <c r="E125" s="448">
        <f t="shared" si="11"/>
        <v>45072</v>
      </c>
      <c r="F125" s="308">
        <v>202317</v>
      </c>
      <c r="G125" s="125"/>
      <c r="H125" s="92"/>
      <c r="I125" s="92"/>
      <c r="J125" s="92"/>
      <c r="K125" s="92"/>
      <c r="L125" s="92"/>
      <c r="M125" s="92"/>
      <c r="N125" s="92"/>
      <c r="O125" s="92"/>
      <c r="P125" s="92"/>
      <c r="Q125" s="92"/>
      <c r="R125" s="126"/>
      <c r="S125" s="325">
        <f t="shared" si="8"/>
        <v>0</v>
      </c>
      <c r="T125" s="455">
        <f t="shared" si="9"/>
        <v>0</v>
      </c>
      <c r="U125" s="324">
        <f>'Overall Metrics'!M179</f>
        <v>0</v>
      </c>
      <c r="V125" s="315"/>
    </row>
    <row r="126" spans="1:22" ht="15.75" customHeight="1">
      <c r="A126" s="175">
        <f t="shared" si="6"/>
        <v>2024</v>
      </c>
      <c r="B126" s="454" t="str">
        <f t="shared" si="7"/>
        <v>18</v>
      </c>
      <c r="C126" s="454" t="str">
        <f t="array" ref="C126">_xlfn.IFS(_xlfn.NUMBERVALUE(B126)&lt;=13,"Q1",AND(_xlfn.NUMBERVALUE(B126)&gt;13,_xlfn.NUMBERVALUE(B126)&lt;=26),"Q2", AND(_xlfn.NUMBERVALUE(B126)&gt;26,_xlfn.NUMBERVALUE(B126)&lt;=39),"Q3",_xlfn.NUMBERVALUE(B126)&gt;39,"Q4")</f>
        <v>Q2</v>
      </c>
      <c r="D126" s="448">
        <f t="shared" si="10"/>
        <v>45073</v>
      </c>
      <c r="E126" s="448">
        <f t="shared" si="11"/>
        <v>45079</v>
      </c>
      <c r="F126" s="308">
        <v>202318</v>
      </c>
      <c r="G126" s="125"/>
      <c r="H126" s="92"/>
      <c r="I126" s="92"/>
      <c r="J126" s="92"/>
      <c r="K126" s="92"/>
      <c r="L126" s="92"/>
      <c r="M126" s="92"/>
      <c r="N126" s="92"/>
      <c r="O126" s="92"/>
      <c r="P126" s="92"/>
      <c r="Q126" s="92"/>
      <c r="R126" s="126"/>
      <c r="S126" s="325">
        <f t="shared" si="8"/>
        <v>0</v>
      </c>
      <c r="T126" s="455">
        <f t="shared" si="9"/>
        <v>0</v>
      </c>
      <c r="U126" s="324">
        <f>'Overall Metrics'!M180</f>
        <v>0</v>
      </c>
      <c r="V126" s="315"/>
    </row>
    <row r="127" spans="1:22" ht="15.75" customHeight="1">
      <c r="A127" s="175">
        <f t="shared" si="6"/>
        <v>2024</v>
      </c>
      <c r="B127" s="454" t="str">
        <f t="shared" si="7"/>
        <v>19</v>
      </c>
      <c r="C127" s="454" t="str">
        <f t="array" ref="C127">_xlfn.IFS(_xlfn.NUMBERVALUE(B127)&lt;=13,"Q1",AND(_xlfn.NUMBERVALUE(B127)&gt;13,_xlfn.NUMBERVALUE(B127)&lt;=26),"Q2", AND(_xlfn.NUMBERVALUE(B127)&gt;26,_xlfn.NUMBERVALUE(B127)&lt;=39),"Q3",_xlfn.NUMBERVALUE(B127)&gt;39,"Q4")</f>
        <v>Q2</v>
      </c>
      <c r="D127" s="448">
        <f t="shared" si="10"/>
        <v>45080</v>
      </c>
      <c r="E127" s="448">
        <f t="shared" si="11"/>
        <v>45086</v>
      </c>
      <c r="F127" s="308">
        <v>202319</v>
      </c>
      <c r="G127" s="125"/>
      <c r="H127" s="92"/>
      <c r="I127" s="92"/>
      <c r="J127" s="92"/>
      <c r="K127" s="92"/>
      <c r="L127" s="92"/>
      <c r="M127" s="92"/>
      <c r="N127" s="92"/>
      <c r="O127" s="92"/>
      <c r="P127" s="92"/>
      <c r="Q127" s="92"/>
      <c r="R127" s="126"/>
      <c r="S127" s="325">
        <f t="shared" si="8"/>
        <v>0</v>
      </c>
      <c r="T127" s="455">
        <f t="shared" si="9"/>
        <v>0</v>
      </c>
      <c r="U127" s="324">
        <f>'Overall Metrics'!M181</f>
        <v>0</v>
      </c>
      <c r="V127" s="315"/>
    </row>
    <row r="128" spans="1:22" ht="15.75" customHeight="1">
      <c r="A128" s="175">
        <f t="shared" si="6"/>
        <v>2024</v>
      </c>
      <c r="B128" s="454" t="str">
        <f t="shared" si="7"/>
        <v>20</v>
      </c>
      <c r="C128" s="454" t="str">
        <f t="array" ref="C128">_xlfn.IFS(_xlfn.NUMBERVALUE(B128)&lt;=13,"Q1",AND(_xlfn.NUMBERVALUE(B128)&gt;13,_xlfn.NUMBERVALUE(B128)&lt;=26),"Q2", AND(_xlfn.NUMBERVALUE(B128)&gt;26,_xlfn.NUMBERVALUE(B128)&lt;=39),"Q3",_xlfn.NUMBERVALUE(B128)&gt;39,"Q4")</f>
        <v>Q2</v>
      </c>
      <c r="D128" s="448">
        <f t="shared" si="10"/>
        <v>45087</v>
      </c>
      <c r="E128" s="448">
        <f t="shared" si="11"/>
        <v>45093</v>
      </c>
      <c r="F128" s="308">
        <v>202320</v>
      </c>
      <c r="G128" s="125"/>
      <c r="H128" s="92"/>
      <c r="I128" s="92"/>
      <c r="J128" s="92"/>
      <c r="K128" s="92"/>
      <c r="L128" s="92"/>
      <c r="M128" s="92"/>
      <c r="N128" s="92"/>
      <c r="O128" s="92"/>
      <c r="P128" s="92"/>
      <c r="Q128" s="92"/>
      <c r="R128" s="126"/>
      <c r="S128" s="325">
        <f t="shared" si="8"/>
        <v>0</v>
      </c>
      <c r="T128" s="455">
        <f t="shared" si="9"/>
        <v>0</v>
      </c>
      <c r="U128" s="324">
        <f>'Overall Metrics'!M182</f>
        <v>0</v>
      </c>
      <c r="V128" s="315"/>
    </row>
    <row r="129" spans="1:22" ht="15.75" customHeight="1">
      <c r="A129" s="175">
        <f t="shared" si="6"/>
        <v>2024</v>
      </c>
      <c r="B129" s="454" t="str">
        <f t="shared" si="7"/>
        <v>21</v>
      </c>
      <c r="C129" s="454" t="str">
        <f t="array" ref="C129">_xlfn.IFS(_xlfn.NUMBERVALUE(B129)&lt;=13,"Q1",AND(_xlfn.NUMBERVALUE(B129)&gt;13,_xlfn.NUMBERVALUE(B129)&lt;=26),"Q2", AND(_xlfn.NUMBERVALUE(B129)&gt;26,_xlfn.NUMBERVALUE(B129)&lt;=39),"Q3",_xlfn.NUMBERVALUE(B129)&gt;39,"Q4")</f>
        <v>Q2</v>
      </c>
      <c r="D129" s="448">
        <f t="shared" si="10"/>
        <v>45094</v>
      </c>
      <c r="E129" s="448">
        <f t="shared" si="11"/>
        <v>45100</v>
      </c>
      <c r="F129" s="308">
        <v>202321</v>
      </c>
      <c r="G129" s="125"/>
      <c r="H129" s="92"/>
      <c r="I129" s="92"/>
      <c r="J129" s="92"/>
      <c r="K129" s="92"/>
      <c r="L129" s="92"/>
      <c r="M129" s="92"/>
      <c r="N129" s="92"/>
      <c r="O129" s="92"/>
      <c r="P129" s="92"/>
      <c r="Q129" s="92"/>
      <c r="R129" s="126"/>
      <c r="S129" s="325">
        <f t="shared" si="8"/>
        <v>0</v>
      </c>
      <c r="T129" s="455">
        <f t="shared" si="9"/>
        <v>0</v>
      </c>
      <c r="U129" s="324">
        <f>'Overall Metrics'!M183</f>
        <v>0</v>
      </c>
      <c r="V129" s="315"/>
    </row>
    <row r="130" spans="1:22" ht="15.75" customHeight="1">
      <c r="A130" s="175">
        <f t="shared" si="6"/>
        <v>2024</v>
      </c>
      <c r="B130" s="454" t="str">
        <f t="shared" si="7"/>
        <v>22</v>
      </c>
      <c r="C130" s="454" t="str">
        <f t="array" ref="C130">_xlfn.IFS(_xlfn.NUMBERVALUE(B130)&lt;=13,"Q1",AND(_xlfn.NUMBERVALUE(B130)&gt;13,_xlfn.NUMBERVALUE(B130)&lt;=26),"Q2", AND(_xlfn.NUMBERVALUE(B130)&gt;26,_xlfn.NUMBERVALUE(B130)&lt;=39),"Q3",_xlfn.NUMBERVALUE(B130)&gt;39,"Q4")</f>
        <v>Q2</v>
      </c>
      <c r="D130" s="448">
        <f t="shared" si="10"/>
        <v>45101</v>
      </c>
      <c r="E130" s="448">
        <f t="shared" si="11"/>
        <v>45107</v>
      </c>
      <c r="F130" s="308">
        <v>202322</v>
      </c>
      <c r="G130" s="125"/>
      <c r="H130" s="92"/>
      <c r="I130" s="92"/>
      <c r="J130" s="92"/>
      <c r="K130" s="92"/>
      <c r="L130" s="92"/>
      <c r="M130" s="92"/>
      <c r="N130" s="92"/>
      <c r="O130" s="92"/>
      <c r="P130" s="92"/>
      <c r="Q130" s="92"/>
      <c r="R130" s="126"/>
      <c r="S130" s="325">
        <f t="shared" si="8"/>
        <v>0</v>
      </c>
      <c r="T130" s="455">
        <f t="shared" si="9"/>
        <v>0</v>
      </c>
      <c r="U130" s="324">
        <f>'Overall Metrics'!M184</f>
        <v>0</v>
      </c>
      <c r="V130" s="315"/>
    </row>
    <row r="131" spans="1:22" ht="15.75" customHeight="1">
      <c r="A131" s="175">
        <f t="shared" si="6"/>
        <v>2024</v>
      </c>
      <c r="B131" s="454" t="str">
        <f t="shared" si="7"/>
        <v>23</v>
      </c>
      <c r="C131" s="454" t="str">
        <f t="array" ref="C131">_xlfn.IFS(_xlfn.NUMBERVALUE(B131)&lt;=13,"Q1",AND(_xlfn.NUMBERVALUE(B131)&gt;13,_xlfn.NUMBERVALUE(B131)&lt;=26),"Q2", AND(_xlfn.NUMBERVALUE(B131)&gt;26,_xlfn.NUMBERVALUE(B131)&lt;=39),"Q3",_xlfn.NUMBERVALUE(B131)&gt;39,"Q4")</f>
        <v>Q2</v>
      </c>
      <c r="D131" s="448">
        <f t="shared" si="10"/>
        <v>45108</v>
      </c>
      <c r="E131" s="448">
        <f t="shared" si="11"/>
        <v>45114</v>
      </c>
      <c r="F131" s="308">
        <v>202323</v>
      </c>
      <c r="G131" s="125"/>
      <c r="H131" s="92"/>
      <c r="I131" s="92"/>
      <c r="J131" s="92"/>
      <c r="K131" s="92"/>
      <c r="L131" s="92"/>
      <c r="M131" s="92"/>
      <c r="N131" s="92"/>
      <c r="O131" s="92"/>
      <c r="P131" s="92"/>
      <c r="Q131" s="92"/>
      <c r="R131" s="126"/>
      <c r="S131" s="325">
        <f t="shared" si="8"/>
        <v>0</v>
      </c>
      <c r="T131" s="455">
        <f t="shared" si="9"/>
        <v>0</v>
      </c>
      <c r="U131" s="324">
        <f>'Overall Metrics'!M185</f>
        <v>0</v>
      </c>
      <c r="V131" s="315"/>
    </row>
    <row r="132" spans="1:22" ht="15.75" customHeight="1">
      <c r="A132" s="175">
        <f t="shared" si="6"/>
        <v>2024</v>
      </c>
      <c r="B132" s="454" t="str">
        <f t="shared" si="7"/>
        <v>24</v>
      </c>
      <c r="C132" s="454" t="str">
        <f t="array" ref="C132">_xlfn.IFS(_xlfn.NUMBERVALUE(B132)&lt;=13,"Q1",AND(_xlfn.NUMBERVALUE(B132)&gt;13,_xlfn.NUMBERVALUE(B132)&lt;=26),"Q2", AND(_xlfn.NUMBERVALUE(B132)&gt;26,_xlfn.NUMBERVALUE(B132)&lt;=39),"Q3",_xlfn.NUMBERVALUE(B132)&gt;39,"Q4")</f>
        <v>Q2</v>
      </c>
      <c r="D132" s="448">
        <f t="shared" si="10"/>
        <v>45115</v>
      </c>
      <c r="E132" s="448">
        <f t="shared" si="11"/>
        <v>45121</v>
      </c>
      <c r="F132" s="308">
        <v>202324</v>
      </c>
      <c r="G132" s="125"/>
      <c r="H132" s="92"/>
      <c r="I132" s="92"/>
      <c r="J132" s="92"/>
      <c r="K132" s="92"/>
      <c r="L132" s="92"/>
      <c r="M132" s="92"/>
      <c r="N132" s="92"/>
      <c r="O132" s="92"/>
      <c r="P132" s="92"/>
      <c r="Q132" s="92"/>
      <c r="R132" s="126"/>
      <c r="S132" s="325">
        <f t="shared" si="8"/>
        <v>0</v>
      </c>
      <c r="T132" s="455">
        <f t="shared" si="9"/>
        <v>0</v>
      </c>
      <c r="U132" s="324">
        <f>'Overall Metrics'!M186</f>
        <v>0</v>
      </c>
      <c r="V132" s="315"/>
    </row>
    <row r="133" spans="1:22" ht="15.75" customHeight="1">
      <c r="A133" s="175">
        <f t="shared" ref="A133:A196" si="12">LEFT(F133,4)+1</f>
        <v>2024</v>
      </c>
      <c r="B133" s="454" t="str">
        <f t="shared" ref="B133:B196" si="13">RIGHT(F133,2)</f>
        <v>25</v>
      </c>
      <c r="C133" s="454" t="str">
        <f t="array" ref="C133">_xlfn.IFS(_xlfn.NUMBERVALUE(B133)&lt;=13,"Q1",AND(_xlfn.NUMBERVALUE(B133)&gt;13,_xlfn.NUMBERVALUE(B133)&lt;=26),"Q2", AND(_xlfn.NUMBERVALUE(B133)&gt;26,_xlfn.NUMBERVALUE(B133)&lt;=39),"Q3",_xlfn.NUMBERVALUE(B133)&gt;39,"Q4")</f>
        <v>Q2</v>
      </c>
      <c r="D133" s="448">
        <f t="shared" si="10"/>
        <v>45122</v>
      </c>
      <c r="E133" s="448">
        <f t="shared" si="11"/>
        <v>45128</v>
      </c>
      <c r="F133" s="308">
        <v>202325</v>
      </c>
      <c r="G133" s="125"/>
      <c r="H133" s="92"/>
      <c r="I133" s="92"/>
      <c r="J133" s="92"/>
      <c r="K133" s="92"/>
      <c r="L133" s="92"/>
      <c r="M133" s="92"/>
      <c r="N133" s="92"/>
      <c r="O133" s="92"/>
      <c r="P133" s="92"/>
      <c r="Q133" s="92"/>
      <c r="R133" s="126"/>
      <c r="S133" s="325">
        <f t="shared" ref="S133:S196" si="14">SUM(G133:R133)</f>
        <v>0</v>
      </c>
      <c r="T133" s="455">
        <f t="shared" ref="T133:T196" si="15">U133-S133</f>
        <v>0</v>
      </c>
      <c r="U133" s="324">
        <f>'Overall Metrics'!M187</f>
        <v>0</v>
      </c>
      <c r="V133" s="315"/>
    </row>
    <row r="134" spans="1:22" ht="15.75" customHeight="1">
      <c r="A134" s="175">
        <f t="shared" si="12"/>
        <v>2024</v>
      </c>
      <c r="B134" s="454" t="str">
        <f t="shared" si="13"/>
        <v>26</v>
      </c>
      <c r="C134" s="454" t="str">
        <f t="array" ref="C134">_xlfn.IFS(_xlfn.NUMBERVALUE(B134)&lt;=13,"Q1",AND(_xlfn.NUMBERVALUE(B134)&gt;13,_xlfn.NUMBERVALUE(B134)&lt;=26),"Q2", AND(_xlfn.NUMBERVALUE(B134)&gt;26,_xlfn.NUMBERVALUE(B134)&lt;=39),"Q3",_xlfn.NUMBERVALUE(B134)&gt;39,"Q4")</f>
        <v>Q2</v>
      </c>
      <c r="D134" s="448">
        <f t="shared" ref="D134:D197" si="16">E133+1</f>
        <v>45129</v>
      </c>
      <c r="E134" s="448">
        <f t="shared" ref="E134:E197" si="17">D134+6</f>
        <v>45135</v>
      </c>
      <c r="F134" s="308">
        <v>202326</v>
      </c>
      <c r="G134" s="125"/>
      <c r="H134" s="92"/>
      <c r="I134" s="92"/>
      <c r="J134" s="92"/>
      <c r="K134" s="92"/>
      <c r="L134" s="92"/>
      <c r="M134" s="92"/>
      <c r="N134" s="92"/>
      <c r="O134" s="92"/>
      <c r="P134" s="92"/>
      <c r="Q134" s="92"/>
      <c r="R134" s="126"/>
      <c r="S134" s="325">
        <f t="shared" si="14"/>
        <v>0</v>
      </c>
      <c r="T134" s="455">
        <f t="shared" si="15"/>
        <v>0</v>
      </c>
      <c r="U134" s="324">
        <f>'Overall Metrics'!M188</f>
        <v>0</v>
      </c>
      <c r="V134" s="315"/>
    </row>
    <row r="135" spans="1:22" ht="15.75" customHeight="1">
      <c r="A135" s="175">
        <f t="shared" si="12"/>
        <v>2024</v>
      </c>
      <c r="B135" s="454" t="str">
        <f t="shared" si="13"/>
        <v>27</v>
      </c>
      <c r="C135" s="454" t="str">
        <f t="array" ref="C135">_xlfn.IFS(_xlfn.NUMBERVALUE(B135)&lt;=13,"Q1",AND(_xlfn.NUMBERVALUE(B135)&gt;13,_xlfn.NUMBERVALUE(B135)&lt;=26),"Q2", AND(_xlfn.NUMBERVALUE(B135)&gt;26,_xlfn.NUMBERVALUE(B135)&lt;=39),"Q3",_xlfn.NUMBERVALUE(B135)&gt;39,"Q4")</f>
        <v>Q3</v>
      </c>
      <c r="D135" s="448">
        <f t="shared" si="16"/>
        <v>45136</v>
      </c>
      <c r="E135" s="448">
        <f t="shared" si="17"/>
        <v>45142</v>
      </c>
      <c r="F135" s="308">
        <v>202327</v>
      </c>
      <c r="G135" s="125"/>
      <c r="H135" s="92"/>
      <c r="I135" s="92"/>
      <c r="J135" s="92"/>
      <c r="K135" s="92"/>
      <c r="L135" s="92"/>
      <c r="M135" s="92"/>
      <c r="N135" s="92"/>
      <c r="O135" s="92"/>
      <c r="P135" s="92"/>
      <c r="Q135" s="92"/>
      <c r="R135" s="126"/>
      <c r="S135" s="325">
        <f t="shared" si="14"/>
        <v>0</v>
      </c>
      <c r="T135" s="455">
        <f t="shared" si="15"/>
        <v>0</v>
      </c>
      <c r="U135" s="324">
        <f>'Overall Metrics'!M189</f>
        <v>0</v>
      </c>
      <c r="V135" s="315"/>
    </row>
    <row r="136" spans="1:22" ht="15.75" customHeight="1">
      <c r="A136" s="175">
        <f t="shared" si="12"/>
        <v>2024</v>
      </c>
      <c r="B136" s="454" t="str">
        <f t="shared" si="13"/>
        <v>28</v>
      </c>
      <c r="C136" s="454" t="str">
        <f t="array" ref="C136">_xlfn.IFS(_xlfn.NUMBERVALUE(B136)&lt;=13,"Q1",AND(_xlfn.NUMBERVALUE(B136)&gt;13,_xlfn.NUMBERVALUE(B136)&lt;=26),"Q2", AND(_xlfn.NUMBERVALUE(B136)&gt;26,_xlfn.NUMBERVALUE(B136)&lt;=39),"Q3",_xlfn.NUMBERVALUE(B136)&gt;39,"Q4")</f>
        <v>Q3</v>
      </c>
      <c r="D136" s="448">
        <f t="shared" si="16"/>
        <v>45143</v>
      </c>
      <c r="E136" s="448">
        <f t="shared" si="17"/>
        <v>45149</v>
      </c>
      <c r="F136" s="308">
        <v>202328</v>
      </c>
      <c r="G136" s="125"/>
      <c r="H136" s="92"/>
      <c r="I136" s="92"/>
      <c r="J136" s="92"/>
      <c r="K136" s="92"/>
      <c r="L136" s="92"/>
      <c r="M136" s="92"/>
      <c r="N136" s="92"/>
      <c r="O136" s="92"/>
      <c r="P136" s="92"/>
      <c r="Q136" s="92"/>
      <c r="R136" s="126"/>
      <c r="S136" s="325">
        <f t="shared" si="14"/>
        <v>0</v>
      </c>
      <c r="T136" s="455">
        <f t="shared" si="15"/>
        <v>0</v>
      </c>
      <c r="U136" s="324">
        <f>'Overall Metrics'!M190</f>
        <v>0</v>
      </c>
      <c r="V136" s="315"/>
    </row>
    <row r="137" spans="1:22" ht="15.75" customHeight="1">
      <c r="A137" s="175">
        <f t="shared" si="12"/>
        <v>2024</v>
      </c>
      <c r="B137" s="454" t="str">
        <f t="shared" si="13"/>
        <v>29</v>
      </c>
      <c r="C137" s="454" t="str">
        <f t="array" ref="C137">_xlfn.IFS(_xlfn.NUMBERVALUE(B137)&lt;=13,"Q1",AND(_xlfn.NUMBERVALUE(B137)&gt;13,_xlfn.NUMBERVALUE(B137)&lt;=26),"Q2", AND(_xlfn.NUMBERVALUE(B137)&gt;26,_xlfn.NUMBERVALUE(B137)&lt;=39),"Q3",_xlfn.NUMBERVALUE(B137)&gt;39,"Q4")</f>
        <v>Q3</v>
      </c>
      <c r="D137" s="448">
        <f t="shared" si="16"/>
        <v>45150</v>
      </c>
      <c r="E137" s="448">
        <f t="shared" si="17"/>
        <v>45156</v>
      </c>
      <c r="F137" s="308">
        <v>202329</v>
      </c>
      <c r="G137" s="125"/>
      <c r="H137" s="92"/>
      <c r="I137" s="92"/>
      <c r="J137" s="92"/>
      <c r="K137" s="92"/>
      <c r="L137" s="92"/>
      <c r="M137" s="92"/>
      <c r="N137" s="92"/>
      <c r="O137" s="92"/>
      <c r="P137" s="92"/>
      <c r="Q137" s="92"/>
      <c r="R137" s="126"/>
      <c r="S137" s="325">
        <f t="shared" si="14"/>
        <v>0</v>
      </c>
      <c r="T137" s="455">
        <f t="shared" si="15"/>
        <v>0</v>
      </c>
      <c r="U137" s="324">
        <f>'Overall Metrics'!M191</f>
        <v>0</v>
      </c>
      <c r="V137" s="315"/>
    </row>
    <row r="138" spans="1:22" ht="15.75" customHeight="1">
      <c r="A138" s="175">
        <f t="shared" si="12"/>
        <v>2024</v>
      </c>
      <c r="B138" s="454" t="str">
        <f t="shared" si="13"/>
        <v>30</v>
      </c>
      <c r="C138" s="454" t="str">
        <f t="array" ref="C138">_xlfn.IFS(_xlfn.NUMBERVALUE(B138)&lt;=13,"Q1",AND(_xlfn.NUMBERVALUE(B138)&gt;13,_xlfn.NUMBERVALUE(B138)&lt;=26),"Q2", AND(_xlfn.NUMBERVALUE(B138)&gt;26,_xlfn.NUMBERVALUE(B138)&lt;=39),"Q3",_xlfn.NUMBERVALUE(B138)&gt;39,"Q4")</f>
        <v>Q3</v>
      </c>
      <c r="D138" s="448">
        <f t="shared" si="16"/>
        <v>45157</v>
      </c>
      <c r="E138" s="448">
        <f t="shared" si="17"/>
        <v>45163</v>
      </c>
      <c r="F138" s="308">
        <v>202330</v>
      </c>
      <c r="G138" s="125"/>
      <c r="H138" s="92"/>
      <c r="I138" s="92"/>
      <c r="J138" s="92"/>
      <c r="K138" s="92"/>
      <c r="L138" s="92"/>
      <c r="M138" s="92"/>
      <c r="N138" s="92"/>
      <c r="O138" s="92"/>
      <c r="P138" s="92"/>
      <c r="Q138" s="92"/>
      <c r="R138" s="126"/>
      <c r="S138" s="325">
        <f t="shared" si="14"/>
        <v>0</v>
      </c>
      <c r="T138" s="455">
        <f t="shared" si="15"/>
        <v>0</v>
      </c>
      <c r="U138" s="324">
        <f>'Overall Metrics'!M192</f>
        <v>0</v>
      </c>
      <c r="V138" s="315"/>
    </row>
    <row r="139" spans="1:22" ht="15.75" customHeight="1">
      <c r="A139" s="175">
        <f t="shared" si="12"/>
        <v>2024</v>
      </c>
      <c r="B139" s="454" t="str">
        <f t="shared" si="13"/>
        <v>31</v>
      </c>
      <c r="C139" s="454" t="str">
        <f t="array" ref="C139">_xlfn.IFS(_xlfn.NUMBERVALUE(B139)&lt;=13,"Q1",AND(_xlfn.NUMBERVALUE(B139)&gt;13,_xlfn.NUMBERVALUE(B139)&lt;=26),"Q2", AND(_xlfn.NUMBERVALUE(B139)&gt;26,_xlfn.NUMBERVALUE(B139)&lt;=39),"Q3",_xlfn.NUMBERVALUE(B139)&gt;39,"Q4")</f>
        <v>Q3</v>
      </c>
      <c r="D139" s="448">
        <f t="shared" si="16"/>
        <v>45164</v>
      </c>
      <c r="E139" s="448">
        <f t="shared" si="17"/>
        <v>45170</v>
      </c>
      <c r="F139" s="308">
        <v>202331</v>
      </c>
      <c r="G139" s="125"/>
      <c r="H139" s="92"/>
      <c r="I139" s="92"/>
      <c r="J139" s="92"/>
      <c r="K139" s="92"/>
      <c r="L139" s="92"/>
      <c r="M139" s="92"/>
      <c r="N139" s="92"/>
      <c r="O139" s="92"/>
      <c r="P139" s="92"/>
      <c r="Q139" s="92"/>
      <c r="R139" s="126"/>
      <c r="S139" s="325">
        <f t="shared" si="14"/>
        <v>0</v>
      </c>
      <c r="T139" s="455">
        <f t="shared" si="15"/>
        <v>0</v>
      </c>
      <c r="U139" s="324">
        <f>'Overall Metrics'!M193</f>
        <v>0</v>
      </c>
      <c r="V139" s="315"/>
    </row>
    <row r="140" spans="1:22" ht="15.75" customHeight="1">
      <c r="A140" s="175">
        <f t="shared" si="12"/>
        <v>2024</v>
      </c>
      <c r="B140" s="454" t="str">
        <f t="shared" si="13"/>
        <v>32</v>
      </c>
      <c r="C140" s="454" t="str">
        <f t="array" ref="C140">_xlfn.IFS(_xlfn.NUMBERVALUE(B140)&lt;=13,"Q1",AND(_xlfn.NUMBERVALUE(B140)&gt;13,_xlfn.NUMBERVALUE(B140)&lt;=26),"Q2", AND(_xlfn.NUMBERVALUE(B140)&gt;26,_xlfn.NUMBERVALUE(B140)&lt;=39),"Q3",_xlfn.NUMBERVALUE(B140)&gt;39,"Q4")</f>
        <v>Q3</v>
      </c>
      <c r="D140" s="448">
        <f t="shared" si="16"/>
        <v>45171</v>
      </c>
      <c r="E140" s="448">
        <f t="shared" si="17"/>
        <v>45177</v>
      </c>
      <c r="F140" s="308">
        <v>202332</v>
      </c>
      <c r="G140" s="125"/>
      <c r="H140" s="92"/>
      <c r="I140" s="92"/>
      <c r="J140" s="92"/>
      <c r="K140" s="92"/>
      <c r="L140" s="92"/>
      <c r="M140" s="92"/>
      <c r="N140" s="92"/>
      <c r="O140" s="92"/>
      <c r="P140" s="92"/>
      <c r="Q140" s="92"/>
      <c r="R140" s="126"/>
      <c r="S140" s="325">
        <f t="shared" si="14"/>
        <v>0</v>
      </c>
      <c r="T140" s="455">
        <f t="shared" si="15"/>
        <v>0</v>
      </c>
      <c r="U140" s="324">
        <f>'Overall Metrics'!M194</f>
        <v>0</v>
      </c>
      <c r="V140" s="315"/>
    </row>
    <row r="141" spans="1:22" ht="15.75" customHeight="1">
      <c r="A141" s="175">
        <f t="shared" si="12"/>
        <v>2024</v>
      </c>
      <c r="B141" s="454" t="str">
        <f t="shared" si="13"/>
        <v>33</v>
      </c>
      <c r="C141" s="454" t="str">
        <f t="array" ref="C141">_xlfn.IFS(_xlfn.NUMBERVALUE(B141)&lt;=13,"Q1",AND(_xlfn.NUMBERVALUE(B141)&gt;13,_xlfn.NUMBERVALUE(B141)&lt;=26),"Q2", AND(_xlfn.NUMBERVALUE(B141)&gt;26,_xlfn.NUMBERVALUE(B141)&lt;=39),"Q3",_xlfn.NUMBERVALUE(B141)&gt;39,"Q4")</f>
        <v>Q3</v>
      </c>
      <c r="D141" s="448">
        <f t="shared" si="16"/>
        <v>45178</v>
      </c>
      <c r="E141" s="448">
        <f t="shared" si="17"/>
        <v>45184</v>
      </c>
      <c r="F141" s="308">
        <v>202333</v>
      </c>
      <c r="G141" s="125"/>
      <c r="H141" s="92"/>
      <c r="I141" s="92"/>
      <c r="J141" s="92"/>
      <c r="K141" s="92"/>
      <c r="L141" s="92"/>
      <c r="M141" s="92"/>
      <c r="N141" s="92"/>
      <c r="O141" s="92"/>
      <c r="P141" s="92"/>
      <c r="Q141" s="92"/>
      <c r="R141" s="126"/>
      <c r="S141" s="325">
        <f t="shared" si="14"/>
        <v>0</v>
      </c>
      <c r="T141" s="455">
        <f t="shared" si="15"/>
        <v>0</v>
      </c>
      <c r="U141" s="324">
        <f>'Overall Metrics'!M195</f>
        <v>0</v>
      </c>
      <c r="V141" s="315"/>
    </row>
    <row r="142" spans="1:22" ht="15.75" customHeight="1">
      <c r="A142" s="175">
        <f t="shared" si="12"/>
        <v>2024</v>
      </c>
      <c r="B142" s="454" t="str">
        <f t="shared" si="13"/>
        <v>34</v>
      </c>
      <c r="C142" s="454" t="str">
        <f t="array" ref="C142">_xlfn.IFS(_xlfn.NUMBERVALUE(B142)&lt;=13,"Q1",AND(_xlfn.NUMBERVALUE(B142)&gt;13,_xlfn.NUMBERVALUE(B142)&lt;=26),"Q2", AND(_xlfn.NUMBERVALUE(B142)&gt;26,_xlfn.NUMBERVALUE(B142)&lt;=39),"Q3",_xlfn.NUMBERVALUE(B142)&gt;39,"Q4")</f>
        <v>Q3</v>
      </c>
      <c r="D142" s="448">
        <f t="shared" si="16"/>
        <v>45185</v>
      </c>
      <c r="E142" s="448">
        <f t="shared" si="17"/>
        <v>45191</v>
      </c>
      <c r="F142" s="308">
        <v>202334</v>
      </c>
      <c r="G142" s="404"/>
      <c r="H142" s="340"/>
      <c r="I142" s="340"/>
      <c r="J142" s="340"/>
      <c r="K142" s="340"/>
      <c r="L142" s="340"/>
      <c r="M142" s="340"/>
      <c r="N142" s="340"/>
      <c r="O142" s="340"/>
      <c r="P142" s="340"/>
      <c r="Q142" s="340"/>
      <c r="R142" s="403"/>
      <c r="S142" s="325">
        <f t="shared" si="14"/>
        <v>0</v>
      </c>
      <c r="T142" s="455">
        <f t="shared" si="15"/>
        <v>0</v>
      </c>
      <c r="U142" s="324">
        <f>'Overall Metrics'!M196</f>
        <v>0</v>
      </c>
      <c r="V142" s="315"/>
    </row>
    <row r="143" spans="1:22" ht="15.75" customHeight="1">
      <c r="A143" s="175">
        <f t="shared" si="12"/>
        <v>2024</v>
      </c>
      <c r="B143" s="454" t="str">
        <f t="shared" si="13"/>
        <v>35</v>
      </c>
      <c r="C143" s="454" t="str">
        <f t="array" ref="C143">_xlfn.IFS(_xlfn.NUMBERVALUE(B143)&lt;=13,"Q1",AND(_xlfn.NUMBERVALUE(B143)&gt;13,_xlfn.NUMBERVALUE(B143)&lt;=26),"Q2", AND(_xlfn.NUMBERVALUE(B143)&gt;26,_xlfn.NUMBERVALUE(B143)&lt;=39),"Q3",_xlfn.NUMBERVALUE(B143)&gt;39,"Q4")</f>
        <v>Q3</v>
      </c>
      <c r="D143" s="448">
        <f t="shared" si="16"/>
        <v>45192</v>
      </c>
      <c r="E143" s="448">
        <f t="shared" si="17"/>
        <v>45198</v>
      </c>
      <c r="F143" s="308">
        <v>202335</v>
      </c>
      <c r="G143" s="125"/>
      <c r="H143" s="92"/>
      <c r="I143" s="92"/>
      <c r="J143" s="92"/>
      <c r="K143" s="92"/>
      <c r="L143" s="92"/>
      <c r="M143" s="92"/>
      <c r="N143" s="92"/>
      <c r="O143" s="92"/>
      <c r="P143" s="92"/>
      <c r="Q143" s="92"/>
      <c r="R143" s="126"/>
      <c r="S143" s="325">
        <f t="shared" si="14"/>
        <v>0</v>
      </c>
      <c r="T143" s="455">
        <f t="shared" si="15"/>
        <v>0</v>
      </c>
      <c r="U143" s="324">
        <f>'Overall Metrics'!M197</f>
        <v>0</v>
      </c>
      <c r="V143" s="315"/>
    </row>
    <row r="144" spans="1:22" ht="15.75" customHeight="1">
      <c r="A144" s="175">
        <f t="shared" si="12"/>
        <v>2024</v>
      </c>
      <c r="B144" s="454" t="str">
        <f t="shared" si="13"/>
        <v>36</v>
      </c>
      <c r="C144" s="454" t="str">
        <f t="array" ref="C144">_xlfn.IFS(_xlfn.NUMBERVALUE(B144)&lt;=13,"Q1",AND(_xlfn.NUMBERVALUE(B144)&gt;13,_xlfn.NUMBERVALUE(B144)&lt;=26),"Q2", AND(_xlfn.NUMBERVALUE(B144)&gt;26,_xlfn.NUMBERVALUE(B144)&lt;=39),"Q3",_xlfn.NUMBERVALUE(B144)&gt;39,"Q4")</f>
        <v>Q3</v>
      </c>
      <c r="D144" s="448">
        <f t="shared" si="16"/>
        <v>45199</v>
      </c>
      <c r="E144" s="448">
        <f t="shared" si="17"/>
        <v>45205</v>
      </c>
      <c r="F144" s="308">
        <v>202336</v>
      </c>
      <c r="G144" s="125"/>
      <c r="H144" s="92"/>
      <c r="I144" s="92"/>
      <c r="J144" s="92"/>
      <c r="K144" s="92"/>
      <c r="L144" s="92"/>
      <c r="M144" s="92"/>
      <c r="N144" s="92"/>
      <c r="O144" s="92"/>
      <c r="P144" s="92"/>
      <c r="Q144" s="92"/>
      <c r="R144" s="126"/>
      <c r="S144" s="325">
        <f t="shared" si="14"/>
        <v>0</v>
      </c>
      <c r="T144" s="455">
        <f t="shared" si="15"/>
        <v>0</v>
      </c>
      <c r="U144" s="324">
        <f>'Overall Metrics'!M198</f>
        <v>0</v>
      </c>
      <c r="V144" s="315"/>
    </row>
    <row r="145" spans="1:22" ht="15.75" customHeight="1">
      <c r="A145" s="175">
        <f t="shared" si="12"/>
        <v>2024</v>
      </c>
      <c r="B145" s="454" t="str">
        <f t="shared" si="13"/>
        <v>37</v>
      </c>
      <c r="C145" s="454" t="str">
        <f t="array" ref="C145">_xlfn.IFS(_xlfn.NUMBERVALUE(B145)&lt;=13,"Q1",AND(_xlfn.NUMBERVALUE(B145)&gt;13,_xlfn.NUMBERVALUE(B145)&lt;=26),"Q2", AND(_xlfn.NUMBERVALUE(B145)&gt;26,_xlfn.NUMBERVALUE(B145)&lt;=39),"Q3",_xlfn.NUMBERVALUE(B145)&gt;39,"Q4")</f>
        <v>Q3</v>
      </c>
      <c r="D145" s="448">
        <f t="shared" si="16"/>
        <v>45206</v>
      </c>
      <c r="E145" s="448">
        <f t="shared" si="17"/>
        <v>45212</v>
      </c>
      <c r="F145" s="308">
        <v>202337</v>
      </c>
      <c r="G145" s="125"/>
      <c r="H145" s="92"/>
      <c r="I145" s="92"/>
      <c r="J145" s="92"/>
      <c r="K145" s="92"/>
      <c r="L145" s="92"/>
      <c r="M145" s="92"/>
      <c r="N145" s="92"/>
      <c r="O145" s="92"/>
      <c r="P145" s="92"/>
      <c r="Q145" s="92"/>
      <c r="R145" s="126"/>
      <c r="S145" s="325">
        <f t="shared" si="14"/>
        <v>0</v>
      </c>
      <c r="T145" s="455">
        <f t="shared" si="15"/>
        <v>0</v>
      </c>
      <c r="U145" s="324">
        <f>'Overall Metrics'!M199</f>
        <v>0</v>
      </c>
      <c r="V145" s="315"/>
    </row>
    <row r="146" spans="1:22" ht="15.75" customHeight="1">
      <c r="A146" s="175">
        <f t="shared" si="12"/>
        <v>2024</v>
      </c>
      <c r="B146" s="454" t="str">
        <f t="shared" si="13"/>
        <v>38</v>
      </c>
      <c r="C146" s="454" t="str">
        <f t="array" ref="C146">_xlfn.IFS(_xlfn.NUMBERVALUE(B146)&lt;=13,"Q1",AND(_xlfn.NUMBERVALUE(B146)&gt;13,_xlfn.NUMBERVALUE(B146)&lt;=26),"Q2", AND(_xlfn.NUMBERVALUE(B146)&gt;26,_xlfn.NUMBERVALUE(B146)&lt;=39),"Q3",_xlfn.NUMBERVALUE(B146)&gt;39,"Q4")</f>
        <v>Q3</v>
      </c>
      <c r="D146" s="448">
        <f t="shared" si="16"/>
        <v>45213</v>
      </c>
      <c r="E146" s="448">
        <f t="shared" si="17"/>
        <v>45219</v>
      </c>
      <c r="F146" s="308">
        <v>202338</v>
      </c>
      <c r="G146" s="125"/>
      <c r="H146" s="92"/>
      <c r="I146" s="92"/>
      <c r="J146" s="92"/>
      <c r="K146" s="92"/>
      <c r="L146" s="92"/>
      <c r="M146" s="92"/>
      <c r="N146" s="92"/>
      <c r="O146" s="92"/>
      <c r="P146" s="92"/>
      <c r="Q146" s="92"/>
      <c r="R146" s="126"/>
      <c r="S146" s="325">
        <f t="shared" si="14"/>
        <v>0</v>
      </c>
      <c r="T146" s="455">
        <f t="shared" si="15"/>
        <v>0</v>
      </c>
      <c r="U146" s="324">
        <f>'Overall Metrics'!M200</f>
        <v>0</v>
      </c>
      <c r="V146" s="315"/>
    </row>
    <row r="147" spans="1:22" ht="15.75" customHeight="1">
      <c r="A147" s="175">
        <f t="shared" si="12"/>
        <v>2024</v>
      </c>
      <c r="B147" s="454" t="str">
        <f t="shared" si="13"/>
        <v>39</v>
      </c>
      <c r="C147" s="454" t="str">
        <f t="array" ref="C147">_xlfn.IFS(_xlfn.NUMBERVALUE(B147)&lt;=13,"Q1",AND(_xlfn.NUMBERVALUE(B147)&gt;13,_xlfn.NUMBERVALUE(B147)&lt;=26),"Q2", AND(_xlfn.NUMBERVALUE(B147)&gt;26,_xlfn.NUMBERVALUE(B147)&lt;=39),"Q3",_xlfn.NUMBERVALUE(B147)&gt;39,"Q4")</f>
        <v>Q3</v>
      </c>
      <c r="D147" s="448">
        <f t="shared" si="16"/>
        <v>45220</v>
      </c>
      <c r="E147" s="448">
        <f t="shared" si="17"/>
        <v>45226</v>
      </c>
      <c r="F147" s="308">
        <v>202339</v>
      </c>
      <c r="G147" s="125"/>
      <c r="H147" s="92"/>
      <c r="I147" s="92"/>
      <c r="J147" s="92"/>
      <c r="K147" s="92"/>
      <c r="L147" s="92"/>
      <c r="M147" s="92"/>
      <c r="N147" s="92"/>
      <c r="O147" s="92"/>
      <c r="P147" s="92"/>
      <c r="Q147" s="92"/>
      <c r="R147" s="126"/>
      <c r="S147" s="325">
        <f t="shared" si="14"/>
        <v>0</v>
      </c>
      <c r="T147" s="455">
        <f t="shared" si="15"/>
        <v>0</v>
      </c>
      <c r="U147" s="324">
        <f>'Overall Metrics'!M201</f>
        <v>0</v>
      </c>
      <c r="V147" s="315"/>
    </row>
    <row r="148" spans="1:22" ht="15.75" customHeight="1">
      <c r="A148" s="175">
        <f t="shared" si="12"/>
        <v>2024</v>
      </c>
      <c r="B148" s="454" t="str">
        <f t="shared" si="13"/>
        <v>40</v>
      </c>
      <c r="C148" s="454" t="str">
        <f t="array" ref="C148">_xlfn.IFS(_xlfn.NUMBERVALUE(B148)&lt;=13,"Q1",AND(_xlfn.NUMBERVALUE(B148)&gt;13,_xlfn.NUMBERVALUE(B148)&lt;=26),"Q2", AND(_xlfn.NUMBERVALUE(B148)&gt;26,_xlfn.NUMBERVALUE(B148)&lt;=39),"Q3",_xlfn.NUMBERVALUE(B148)&gt;39,"Q4")</f>
        <v>Q4</v>
      </c>
      <c r="D148" s="448">
        <f t="shared" si="16"/>
        <v>45227</v>
      </c>
      <c r="E148" s="448">
        <f t="shared" si="17"/>
        <v>45233</v>
      </c>
      <c r="F148" s="308">
        <v>202340</v>
      </c>
      <c r="G148" s="125"/>
      <c r="H148" s="92"/>
      <c r="I148" s="92"/>
      <c r="J148" s="92"/>
      <c r="K148" s="92"/>
      <c r="L148" s="92"/>
      <c r="M148" s="92"/>
      <c r="N148" s="92"/>
      <c r="O148" s="92"/>
      <c r="P148" s="92"/>
      <c r="Q148" s="92"/>
      <c r="R148" s="126"/>
      <c r="S148" s="325">
        <f t="shared" si="14"/>
        <v>0</v>
      </c>
      <c r="T148" s="455">
        <f t="shared" si="15"/>
        <v>0</v>
      </c>
      <c r="U148" s="324">
        <f>'Overall Metrics'!M202</f>
        <v>0</v>
      </c>
      <c r="V148" s="315"/>
    </row>
    <row r="149" spans="1:22" ht="15.75" customHeight="1">
      <c r="A149" s="175">
        <f t="shared" si="12"/>
        <v>2024</v>
      </c>
      <c r="B149" s="454" t="str">
        <f t="shared" si="13"/>
        <v>41</v>
      </c>
      <c r="C149" s="454" t="str">
        <f t="array" ref="C149">_xlfn.IFS(_xlfn.NUMBERVALUE(B149)&lt;=13,"Q1",AND(_xlfn.NUMBERVALUE(B149)&gt;13,_xlfn.NUMBERVALUE(B149)&lt;=26),"Q2", AND(_xlfn.NUMBERVALUE(B149)&gt;26,_xlfn.NUMBERVALUE(B149)&lt;=39),"Q3",_xlfn.NUMBERVALUE(B149)&gt;39,"Q4")</f>
        <v>Q4</v>
      </c>
      <c r="D149" s="448">
        <f t="shared" si="16"/>
        <v>45234</v>
      </c>
      <c r="E149" s="448">
        <f t="shared" si="17"/>
        <v>45240</v>
      </c>
      <c r="F149" s="308">
        <v>202341</v>
      </c>
      <c r="G149" s="125"/>
      <c r="H149" s="92"/>
      <c r="I149" s="92"/>
      <c r="J149" s="92"/>
      <c r="K149" s="92"/>
      <c r="L149" s="92"/>
      <c r="M149" s="92"/>
      <c r="N149" s="92"/>
      <c r="O149" s="92"/>
      <c r="P149" s="92"/>
      <c r="Q149" s="92"/>
      <c r="R149" s="126"/>
      <c r="S149" s="325">
        <f t="shared" si="14"/>
        <v>0</v>
      </c>
      <c r="T149" s="455">
        <f t="shared" si="15"/>
        <v>0</v>
      </c>
      <c r="U149" s="324">
        <f>'Overall Metrics'!M203</f>
        <v>0</v>
      </c>
      <c r="V149" s="315"/>
    </row>
    <row r="150" spans="1:22" ht="15.75" customHeight="1">
      <c r="A150" s="175">
        <f t="shared" si="12"/>
        <v>2024</v>
      </c>
      <c r="B150" s="454" t="str">
        <f t="shared" si="13"/>
        <v>42</v>
      </c>
      <c r="C150" s="454" t="str">
        <f t="array" ref="C150">_xlfn.IFS(_xlfn.NUMBERVALUE(B150)&lt;=13,"Q1",AND(_xlfn.NUMBERVALUE(B150)&gt;13,_xlfn.NUMBERVALUE(B150)&lt;=26),"Q2", AND(_xlfn.NUMBERVALUE(B150)&gt;26,_xlfn.NUMBERVALUE(B150)&lt;=39),"Q3",_xlfn.NUMBERVALUE(B150)&gt;39,"Q4")</f>
        <v>Q4</v>
      </c>
      <c r="D150" s="448">
        <f t="shared" si="16"/>
        <v>45241</v>
      </c>
      <c r="E150" s="448">
        <f t="shared" si="17"/>
        <v>45247</v>
      </c>
      <c r="F150" s="308">
        <v>202342</v>
      </c>
      <c r="G150" s="125"/>
      <c r="H150" s="92"/>
      <c r="I150" s="92"/>
      <c r="J150" s="92"/>
      <c r="K150" s="92"/>
      <c r="L150" s="92"/>
      <c r="M150" s="92"/>
      <c r="N150" s="92"/>
      <c r="O150" s="92"/>
      <c r="P150" s="92"/>
      <c r="Q150" s="92"/>
      <c r="R150" s="126"/>
      <c r="S150" s="325">
        <f t="shared" si="14"/>
        <v>0</v>
      </c>
      <c r="T150" s="455">
        <f t="shared" si="15"/>
        <v>0</v>
      </c>
      <c r="U150" s="324">
        <f>'Overall Metrics'!M204</f>
        <v>0</v>
      </c>
      <c r="V150" s="315"/>
    </row>
    <row r="151" spans="1:22" ht="15.75" customHeight="1">
      <c r="A151" s="175">
        <f t="shared" si="12"/>
        <v>2024</v>
      </c>
      <c r="B151" s="454" t="str">
        <f t="shared" si="13"/>
        <v>43</v>
      </c>
      <c r="C151" s="454" t="str">
        <f t="array" ref="C151">_xlfn.IFS(_xlfn.NUMBERVALUE(B151)&lt;=13,"Q1",AND(_xlfn.NUMBERVALUE(B151)&gt;13,_xlfn.NUMBERVALUE(B151)&lt;=26),"Q2", AND(_xlfn.NUMBERVALUE(B151)&gt;26,_xlfn.NUMBERVALUE(B151)&lt;=39),"Q3",_xlfn.NUMBERVALUE(B151)&gt;39,"Q4")</f>
        <v>Q4</v>
      </c>
      <c r="D151" s="448">
        <f t="shared" si="16"/>
        <v>45248</v>
      </c>
      <c r="E151" s="448">
        <f t="shared" si="17"/>
        <v>45254</v>
      </c>
      <c r="F151" s="308">
        <v>202343</v>
      </c>
      <c r="G151" s="125"/>
      <c r="H151" s="92"/>
      <c r="I151" s="92"/>
      <c r="J151" s="92"/>
      <c r="K151" s="92"/>
      <c r="L151" s="92"/>
      <c r="M151" s="92"/>
      <c r="N151" s="92"/>
      <c r="O151" s="92"/>
      <c r="P151" s="92"/>
      <c r="Q151" s="92"/>
      <c r="R151" s="126"/>
      <c r="S151" s="325">
        <f t="shared" si="14"/>
        <v>0</v>
      </c>
      <c r="T151" s="455">
        <f t="shared" si="15"/>
        <v>0</v>
      </c>
      <c r="U151" s="324">
        <f>'Overall Metrics'!M205</f>
        <v>0</v>
      </c>
      <c r="V151" s="315"/>
    </row>
    <row r="152" spans="1:22" ht="15.75" customHeight="1">
      <c r="A152" s="175">
        <f t="shared" si="12"/>
        <v>2024</v>
      </c>
      <c r="B152" s="454" t="str">
        <f t="shared" si="13"/>
        <v>44</v>
      </c>
      <c r="C152" s="454" t="str">
        <f t="array" ref="C152">_xlfn.IFS(_xlfn.NUMBERVALUE(B152)&lt;=13,"Q1",AND(_xlfn.NUMBERVALUE(B152)&gt;13,_xlfn.NUMBERVALUE(B152)&lt;=26),"Q2", AND(_xlfn.NUMBERVALUE(B152)&gt;26,_xlfn.NUMBERVALUE(B152)&lt;=39),"Q3",_xlfn.NUMBERVALUE(B152)&gt;39,"Q4")</f>
        <v>Q4</v>
      </c>
      <c r="D152" s="448">
        <f t="shared" si="16"/>
        <v>45255</v>
      </c>
      <c r="E152" s="448">
        <f t="shared" si="17"/>
        <v>45261</v>
      </c>
      <c r="F152" s="308">
        <v>202344</v>
      </c>
      <c r="G152" s="125"/>
      <c r="H152" s="92"/>
      <c r="I152" s="92"/>
      <c r="J152" s="92"/>
      <c r="K152" s="92"/>
      <c r="L152" s="92"/>
      <c r="M152" s="92"/>
      <c r="N152" s="92"/>
      <c r="O152" s="92"/>
      <c r="P152" s="92"/>
      <c r="Q152" s="92"/>
      <c r="R152" s="126"/>
      <c r="S152" s="325">
        <f t="shared" si="14"/>
        <v>0</v>
      </c>
      <c r="T152" s="455">
        <f t="shared" si="15"/>
        <v>0</v>
      </c>
      <c r="U152" s="324">
        <f>'Overall Metrics'!M206</f>
        <v>0</v>
      </c>
      <c r="V152" s="315"/>
    </row>
    <row r="153" spans="1:22" ht="15.75" customHeight="1">
      <c r="A153" s="175">
        <f t="shared" si="12"/>
        <v>2024</v>
      </c>
      <c r="B153" s="454" t="str">
        <f t="shared" si="13"/>
        <v>45</v>
      </c>
      <c r="C153" s="454" t="str">
        <f t="array" ref="C153">_xlfn.IFS(_xlfn.NUMBERVALUE(B153)&lt;=13,"Q1",AND(_xlfn.NUMBERVALUE(B153)&gt;13,_xlfn.NUMBERVALUE(B153)&lt;=26),"Q2", AND(_xlfn.NUMBERVALUE(B153)&gt;26,_xlfn.NUMBERVALUE(B153)&lt;=39),"Q3",_xlfn.NUMBERVALUE(B153)&gt;39,"Q4")</f>
        <v>Q4</v>
      </c>
      <c r="D153" s="448">
        <f t="shared" si="16"/>
        <v>45262</v>
      </c>
      <c r="E153" s="448">
        <f t="shared" si="17"/>
        <v>45268</v>
      </c>
      <c r="F153" s="308">
        <v>202345</v>
      </c>
      <c r="G153" s="125"/>
      <c r="H153" s="92"/>
      <c r="I153" s="92"/>
      <c r="J153" s="92"/>
      <c r="K153" s="92"/>
      <c r="L153" s="92"/>
      <c r="M153" s="92"/>
      <c r="N153" s="92"/>
      <c r="O153" s="92"/>
      <c r="P153" s="92"/>
      <c r="Q153" s="92"/>
      <c r="R153" s="126"/>
      <c r="S153" s="325">
        <f t="shared" si="14"/>
        <v>0</v>
      </c>
      <c r="T153" s="455">
        <f t="shared" si="15"/>
        <v>0</v>
      </c>
      <c r="U153" s="324">
        <f>'Overall Metrics'!M207</f>
        <v>0</v>
      </c>
      <c r="V153" s="315"/>
    </row>
    <row r="154" spans="1:22" ht="15.75" customHeight="1">
      <c r="A154" s="175">
        <f t="shared" si="12"/>
        <v>2024</v>
      </c>
      <c r="B154" s="454" t="str">
        <f t="shared" si="13"/>
        <v>46</v>
      </c>
      <c r="C154" s="454" t="str">
        <f t="array" ref="C154">_xlfn.IFS(_xlfn.NUMBERVALUE(B154)&lt;=13,"Q1",AND(_xlfn.NUMBERVALUE(B154)&gt;13,_xlfn.NUMBERVALUE(B154)&lt;=26),"Q2", AND(_xlfn.NUMBERVALUE(B154)&gt;26,_xlfn.NUMBERVALUE(B154)&lt;=39),"Q3",_xlfn.NUMBERVALUE(B154)&gt;39,"Q4")</f>
        <v>Q4</v>
      </c>
      <c r="D154" s="448">
        <f t="shared" si="16"/>
        <v>45269</v>
      </c>
      <c r="E154" s="448">
        <f t="shared" si="17"/>
        <v>45275</v>
      </c>
      <c r="F154" s="308">
        <v>202346</v>
      </c>
      <c r="G154" s="125"/>
      <c r="H154" s="92"/>
      <c r="I154" s="92"/>
      <c r="J154" s="92"/>
      <c r="K154" s="92"/>
      <c r="L154" s="92"/>
      <c r="M154" s="92"/>
      <c r="N154" s="92"/>
      <c r="O154" s="92"/>
      <c r="P154" s="92"/>
      <c r="Q154" s="92"/>
      <c r="R154" s="126"/>
      <c r="S154" s="325">
        <f t="shared" si="14"/>
        <v>0</v>
      </c>
      <c r="T154" s="455">
        <f t="shared" si="15"/>
        <v>0</v>
      </c>
      <c r="U154" s="324">
        <f>'Overall Metrics'!M208</f>
        <v>0</v>
      </c>
      <c r="V154" s="315"/>
    </row>
    <row r="155" spans="1:22" ht="15.75" customHeight="1">
      <c r="A155" s="175">
        <f t="shared" si="12"/>
        <v>2024</v>
      </c>
      <c r="B155" s="454" t="str">
        <f t="shared" si="13"/>
        <v>47</v>
      </c>
      <c r="C155" s="454" t="str">
        <f t="array" ref="C155">_xlfn.IFS(_xlfn.NUMBERVALUE(B155)&lt;=13,"Q1",AND(_xlfn.NUMBERVALUE(B155)&gt;13,_xlfn.NUMBERVALUE(B155)&lt;=26),"Q2", AND(_xlfn.NUMBERVALUE(B155)&gt;26,_xlfn.NUMBERVALUE(B155)&lt;=39),"Q3",_xlfn.NUMBERVALUE(B155)&gt;39,"Q4")</f>
        <v>Q4</v>
      </c>
      <c r="D155" s="448">
        <f t="shared" si="16"/>
        <v>45276</v>
      </c>
      <c r="E155" s="448">
        <f t="shared" si="17"/>
        <v>45282</v>
      </c>
      <c r="F155" s="308">
        <v>202347</v>
      </c>
      <c r="G155" s="125"/>
      <c r="H155" s="92"/>
      <c r="I155" s="92"/>
      <c r="J155" s="92"/>
      <c r="K155" s="92"/>
      <c r="L155" s="92"/>
      <c r="M155" s="92"/>
      <c r="N155" s="92"/>
      <c r="O155" s="92"/>
      <c r="P155" s="92"/>
      <c r="Q155" s="92"/>
      <c r="R155" s="126"/>
      <c r="S155" s="325">
        <f t="shared" si="14"/>
        <v>0</v>
      </c>
      <c r="T155" s="455">
        <f t="shared" si="15"/>
        <v>0</v>
      </c>
      <c r="U155" s="324">
        <f>'Overall Metrics'!M209</f>
        <v>0</v>
      </c>
      <c r="V155" s="315"/>
    </row>
    <row r="156" spans="1:22" ht="15.75" customHeight="1">
      <c r="A156" s="175">
        <f t="shared" si="12"/>
        <v>2024</v>
      </c>
      <c r="B156" s="454" t="str">
        <f t="shared" si="13"/>
        <v>48</v>
      </c>
      <c r="C156" s="454" t="str">
        <f t="array" ref="C156">_xlfn.IFS(_xlfn.NUMBERVALUE(B156)&lt;=13,"Q1",AND(_xlfn.NUMBERVALUE(B156)&gt;13,_xlfn.NUMBERVALUE(B156)&lt;=26),"Q2", AND(_xlfn.NUMBERVALUE(B156)&gt;26,_xlfn.NUMBERVALUE(B156)&lt;=39),"Q3",_xlfn.NUMBERVALUE(B156)&gt;39,"Q4")</f>
        <v>Q4</v>
      </c>
      <c r="D156" s="448">
        <f t="shared" si="16"/>
        <v>45283</v>
      </c>
      <c r="E156" s="448">
        <f t="shared" si="17"/>
        <v>45289</v>
      </c>
      <c r="F156" s="308">
        <v>202348</v>
      </c>
      <c r="G156" s="125"/>
      <c r="H156" s="92"/>
      <c r="I156" s="92"/>
      <c r="J156" s="92"/>
      <c r="K156" s="92"/>
      <c r="L156" s="92"/>
      <c r="M156" s="92"/>
      <c r="N156" s="92"/>
      <c r="O156" s="92"/>
      <c r="P156" s="92"/>
      <c r="Q156" s="92"/>
      <c r="R156" s="126"/>
      <c r="S156" s="325">
        <f t="shared" si="14"/>
        <v>0</v>
      </c>
      <c r="T156" s="455">
        <f t="shared" si="15"/>
        <v>0</v>
      </c>
      <c r="U156" s="324">
        <f>'Overall Metrics'!M210</f>
        <v>0</v>
      </c>
      <c r="V156" s="315"/>
    </row>
    <row r="157" spans="1:22" ht="15.75" customHeight="1">
      <c r="A157" s="175">
        <f t="shared" si="12"/>
        <v>2024</v>
      </c>
      <c r="B157" s="454" t="str">
        <f t="shared" si="13"/>
        <v>49</v>
      </c>
      <c r="C157" s="454" t="str">
        <f t="array" ref="C157">_xlfn.IFS(_xlfn.NUMBERVALUE(B157)&lt;=13,"Q1",AND(_xlfn.NUMBERVALUE(B157)&gt;13,_xlfn.NUMBERVALUE(B157)&lt;=26),"Q2", AND(_xlfn.NUMBERVALUE(B157)&gt;26,_xlfn.NUMBERVALUE(B157)&lt;=39),"Q3",_xlfn.NUMBERVALUE(B157)&gt;39,"Q4")</f>
        <v>Q4</v>
      </c>
      <c r="D157" s="448">
        <f t="shared" si="16"/>
        <v>45290</v>
      </c>
      <c r="E157" s="448">
        <f t="shared" si="17"/>
        <v>45296</v>
      </c>
      <c r="F157" s="308">
        <v>202349</v>
      </c>
      <c r="G157" s="125">
        <v>3275</v>
      </c>
      <c r="H157" s="92">
        <v>2938</v>
      </c>
      <c r="I157" s="92">
        <v>4828</v>
      </c>
      <c r="J157" s="873">
        <v>3369</v>
      </c>
      <c r="K157" s="873">
        <v>4312</v>
      </c>
      <c r="L157" s="92">
        <v>1854</v>
      </c>
      <c r="M157" s="92">
        <v>4157</v>
      </c>
      <c r="N157" s="92">
        <v>4296</v>
      </c>
      <c r="O157" s="92">
        <v>3672</v>
      </c>
      <c r="P157" s="92">
        <v>3656</v>
      </c>
      <c r="Q157" s="92">
        <v>2430</v>
      </c>
      <c r="R157" s="126">
        <v>4923</v>
      </c>
      <c r="S157" s="325">
        <f t="shared" si="14"/>
        <v>43710</v>
      </c>
      <c r="T157" s="455">
        <f t="shared" si="15"/>
        <v>119321</v>
      </c>
      <c r="U157" s="324">
        <f>'Overall Metrics'!M211</f>
        <v>163031</v>
      </c>
      <c r="V157" s="315"/>
    </row>
    <row r="158" spans="1:22" ht="15.75" customHeight="1">
      <c r="A158" s="175">
        <f t="shared" si="12"/>
        <v>2024</v>
      </c>
      <c r="B158" s="454" t="str">
        <f t="shared" si="13"/>
        <v>50</v>
      </c>
      <c r="C158" s="454" t="str">
        <f t="array" ref="C158">_xlfn.IFS(_xlfn.NUMBERVALUE(B158)&lt;=13,"Q1",AND(_xlfn.NUMBERVALUE(B158)&gt;13,_xlfn.NUMBERVALUE(B158)&lt;=26),"Q2", AND(_xlfn.NUMBERVALUE(B158)&gt;26,_xlfn.NUMBERVALUE(B158)&lt;=39),"Q3",_xlfn.NUMBERVALUE(B158)&gt;39,"Q4")</f>
        <v>Q4</v>
      </c>
      <c r="D158" s="448">
        <f t="shared" si="16"/>
        <v>45297</v>
      </c>
      <c r="E158" s="448">
        <f t="shared" si="17"/>
        <v>45303</v>
      </c>
      <c r="F158" s="308">
        <v>202350</v>
      </c>
      <c r="G158" s="125">
        <v>4484</v>
      </c>
      <c r="H158" s="873">
        <v>4381</v>
      </c>
      <c r="I158" s="873">
        <v>1650</v>
      </c>
      <c r="J158" s="873">
        <v>1788</v>
      </c>
      <c r="K158" s="873">
        <v>2268</v>
      </c>
      <c r="L158" s="873">
        <v>4869</v>
      </c>
      <c r="M158" s="873">
        <v>1315</v>
      </c>
      <c r="N158" s="873">
        <v>3147</v>
      </c>
      <c r="O158" s="873">
        <v>4239</v>
      </c>
      <c r="P158" s="873">
        <v>4073</v>
      </c>
      <c r="Q158" s="873">
        <v>2020</v>
      </c>
      <c r="R158" s="873">
        <v>3090</v>
      </c>
      <c r="S158" s="325">
        <f t="shared" si="14"/>
        <v>37324</v>
      </c>
      <c r="T158" s="455">
        <f t="shared" si="15"/>
        <v>124684</v>
      </c>
      <c r="U158" s="324">
        <f>'Overall Metrics'!M212</f>
        <v>162008</v>
      </c>
      <c r="V158" s="315"/>
    </row>
    <row r="159" spans="1:22" ht="15.75" customHeight="1">
      <c r="A159" s="175">
        <f t="shared" si="12"/>
        <v>2024</v>
      </c>
      <c r="B159" s="454" t="str">
        <f t="shared" si="13"/>
        <v>51</v>
      </c>
      <c r="C159" s="454" t="str">
        <f t="array" ref="C159">_xlfn.IFS(_xlfn.NUMBERVALUE(B159)&lt;=13,"Q1",AND(_xlfn.NUMBERVALUE(B159)&gt;13,_xlfn.NUMBERVALUE(B159)&lt;=26),"Q2", AND(_xlfn.NUMBERVALUE(B159)&gt;26,_xlfn.NUMBERVALUE(B159)&lt;=39),"Q3",_xlfn.NUMBERVALUE(B159)&gt;39,"Q4")</f>
        <v>Q4</v>
      </c>
      <c r="D159" s="448">
        <f t="shared" si="16"/>
        <v>45304</v>
      </c>
      <c r="E159" s="448">
        <f t="shared" si="17"/>
        <v>45310</v>
      </c>
      <c r="F159" s="308">
        <v>202351</v>
      </c>
      <c r="G159" s="125">
        <v>3275</v>
      </c>
      <c r="H159" s="873">
        <v>3886</v>
      </c>
      <c r="I159" s="873">
        <v>3678</v>
      </c>
      <c r="J159" s="873">
        <v>3640</v>
      </c>
      <c r="K159" s="873">
        <v>3022</v>
      </c>
      <c r="L159" s="873">
        <v>3014</v>
      </c>
      <c r="M159" s="873">
        <v>1019</v>
      </c>
      <c r="N159" s="873">
        <v>4296</v>
      </c>
      <c r="O159" s="873">
        <v>2160</v>
      </c>
      <c r="P159" s="873">
        <v>2430</v>
      </c>
      <c r="Q159" s="873">
        <v>2811</v>
      </c>
      <c r="R159" s="873">
        <v>2658</v>
      </c>
      <c r="S159" s="325">
        <f t="shared" si="14"/>
        <v>35889</v>
      </c>
      <c r="T159" s="455">
        <f t="shared" si="15"/>
        <v>105872</v>
      </c>
      <c r="U159" s="324">
        <f>'Overall Metrics'!M213</f>
        <v>141761</v>
      </c>
      <c r="V159" s="315"/>
    </row>
    <row r="160" spans="1:22" ht="16.5" customHeight="1">
      <c r="A160" s="175">
        <f t="shared" si="12"/>
        <v>2024</v>
      </c>
      <c r="B160" s="454" t="str">
        <f t="shared" si="13"/>
        <v>52</v>
      </c>
      <c r="C160" s="454" t="str">
        <f t="array" ref="C160">_xlfn.IFS(_xlfn.NUMBERVALUE(B160)&lt;=13,"Q1",AND(_xlfn.NUMBERVALUE(B160)&gt;13,_xlfn.NUMBERVALUE(B160)&lt;=26),"Q2", AND(_xlfn.NUMBERVALUE(B160)&gt;26,_xlfn.NUMBERVALUE(B160)&lt;=39),"Q3",_xlfn.NUMBERVALUE(B160)&gt;39,"Q4")</f>
        <v>Q4</v>
      </c>
      <c r="D160" s="448">
        <f t="shared" si="16"/>
        <v>45311</v>
      </c>
      <c r="E160" s="448">
        <f t="shared" si="17"/>
        <v>45317</v>
      </c>
      <c r="F160" s="308">
        <v>202352</v>
      </c>
      <c r="G160" s="125">
        <v>3670</v>
      </c>
      <c r="H160" s="873">
        <v>2938</v>
      </c>
      <c r="I160" s="873">
        <v>2203</v>
      </c>
      <c r="J160" s="873">
        <v>3991</v>
      </c>
      <c r="K160" s="873">
        <v>4371</v>
      </c>
      <c r="L160" s="873">
        <v>4994</v>
      </c>
      <c r="M160" s="873">
        <v>1872</v>
      </c>
      <c r="N160" s="873">
        <v>2384</v>
      </c>
      <c r="O160" s="873">
        <v>3672</v>
      </c>
      <c r="P160" s="873">
        <v>4239</v>
      </c>
      <c r="Q160" s="873">
        <v>4552</v>
      </c>
      <c r="R160" s="873">
        <v>1039</v>
      </c>
      <c r="S160" s="325">
        <f t="shared" si="14"/>
        <v>39925</v>
      </c>
      <c r="T160" s="455">
        <f t="shared" si="15"/>
        <v>102851</v>
      </c>
      <c r="U160" s="324">
        <f>'Overall Metrics'!M214</f>
        <v>142776</v>
      </c>
      <c r="V160" s="315"/>
    </row>
    <row r="161" spans="1:21" ht="16.350000000000001" customHeight="1">
      <c r="A161" s="175">
        <f t="shared" si="12"/>
        <v>2025</v>
      </c>
      <c r="B161" s="454" t="str">
        <f t="shared" si="13"/>
        <v>01</v>
      </c>
      <c r="C161" s="454" t="str">
        <f t="array" ref="C161">_xlfn.IFS(_xlfn.NUMBERVALUE(B161)&lt;=13,"Q1",AND(_xlfn.NUMBERVALUE(B161)&gt;13,_xlfn.NUMBERVALUE(B161)&lt;=26),"Q2", AND(_xlfn.NUMBERVALUE(B161)&gt;26,_xlfn.NUMBERVALUE(B161)&lt;=39),"Q3",_xlfn.NUMBERVALUE(B161)&gt;39,"Q4")</f>
        <v>Q1</v>
      </c>
      <c r="D161" s="448">
        <f t="shared" si="16"/>
        <v>45318</v>
      </c>
      <c r="E161" s="448">
        <f t="shared" si="17"/>
        <v>45324</v>
      </c>
      <c r="F161" s="308">
        <v>202401</v>
      </c>
      <c r="G161" s="125">
        <v>4728</v>
      </c>
      <c r="H161" s="873">
        <v>2660</v>
      </c>
      <c r="I161" s="873">
        <v>4828</v>
      </c>
      <c r="J161" s="873">
        <v>1518</v>
      </c>
      <c r="K161" s="873">
        <v>3698</v>
      </c>
      <c r="L161" s="873">
        <v>1854</v>
      </c>
      <c r="M161" s="873">
        <v>4157</v>
      </c>
      <c r="N161" s="873">
        <v>2837</v>
      </c>
      <c r="O161" s="873">
        <v>2951</v>
      </c>
      <c r="P161" s="873">
        <v>3588</v>
      </c>
      <c r="Q161" s="873">
        <v>1065</v>
      </c>
      <c r="R161" s="873">
        <v>4923</v>
      </c>
      <c r="S161" s="325">
        <f t="shared" si="14"/>
        <v>38807</v>
      </c>
      <c r="T161" s="455">
        <f t="shared" si="15"/>
        <v>79445</v>
      </c>
      <c r="U161" s="324">
        <f>'Overall Metrics'!M215</f>
        <v>118252</v>
      </c>
    </row>
    <row r="162" spans="1:21" ht="16.350000000000001" customHeight="1">
      <c r="A162" s="175">
        <f t="shared" si="12"/>
        <v>2025</v>
      </c>
      <c r="B162" s="454" t="str">
        <f t="shared" si="13"/>
        <v>02</v>
      </c>
      <c r="C162" s="454" t="str">
        <f t="array" ref="C162">_xlfn.IFS(_xlfn.NUMBERVALUE(B162)&lt;=13,"Q1",AND(_xlfn.NUMBERVALUE(B162)&gt;13,_xlfn.NUMBERVALUE(B162)&lt;=26),"Q2", AND(_xlfn.NUMBERVALUE(B162)&gt;26,_xlfn.NUMBERVALUE(B162)&lt;=39),"Q3",_xlfn.NUMBERVALUE(B162)&gt;39,"Q4")</f>
        <v>Q1</v>
      </c>
      <c r="D162" s="448">
        <f t="shared" si="16"/>
        <v>45325</v>
      </c>
      <c r="E162" s="448">
        <f t="shared" si="17"/>
        <v>45331</v>
      </c>
      <c r="F162" s="308">
        <v>202402</v>
      </c>
      <c r="G162" s="125">
        <v>1630</v>
      </c>
      <c r="H162" s="873">
        <v>3867</v>
      </c>
      <c r="I162" s="873">
        <v>2975</v>
      </c>
      <c r="J162" s="873">
        <v>3369</v>
      </c>
      <c r="K162" s="873">
        <v>3082</v>
      </c>
      <c r="L162" s="873">
        <v>4901</v>
      </c>
      <c r="M162" s="873">
        <v>2578</v>
      </c>
      <c r="N162" s="873">
        <v>4689</v>
      </c>
      <c r="O162" s="873">
        <v>3817</v>
      </c>
      <c r="P162" s="873">
        <v>3835</v>
      </c>
      <c r="Q162" s="873">
        <v>3656</v>
      </c>
      <c r="R162" s="873">
        <v>4830</v>
      </c>
      <c r="S162" s="325">
        <f t="shared" si="14"/>
        <v>43229</v>
      </c>
      <c r="T162" s="455">
        <f t="shared" si="15"/>
        <v>59743</v>
      </c>
      <c r="U162" s="324">
        <f>'Overall Metrics'!M216</f>
        <v>102972</v>
      </c>
    </row>
    <row r="163" spans="1:21" ht="16.350000000000001" customHeight="1">
      <c r="A163" s="175">
        <f t="shared" si="12"/>
        <v>2025</v>
      </c>
      <c r="B163" s="454" t="str">
        <f t="shared" si="13"/>
        <v>03</v>
      </c>
      <c r="C163" s="454" t="str">
        <f t="array" ref="C163">_xlfn.IFS(_xlfn.NUMBERVALUE(B163)&lt;=13,"Q1",AND(_xlfn.NUMBERVALUE(B163)&gt;13,_xlfn.NUMBERVALUE(B163)&lt;=26),"Q2", AND(_xlfn.NUMBERVALUE(B163)&gt;26,_xlfn.NUMBERVALUE(B163)&lt;=39),"Q3",_xlfn.NUMBERVALUE(B163)&gt;39,"Q4")</f>
        <v>Q1</v>
      </c>
      <c r="D163" s="448">
        <f t="shared" si="16"/>
        <v>45332</v>
      </c>
      <c r="E163" s="448">
        <f t="shared" si="17"/>
        <v>45338</v>
      </c>
      <c r="F163" s="308">
        <v>202403</v>
      </c>
      <c r="G163" s="125">
        <v>4302</v>
      </c>
      <c r="H163" s="873">
        <v>2595</v>
      </c>
      <c r="I163" s="873">
        <v>3080</v>
      </c>
      <c r="J163" s="873">
        <v>2188</v>
      </c>
      <c r="K163" s="873">
        <v>2541</v>
      </c>
      <c r="L163" s="873">
        <v>4941</v>
      </c>
      <c r="M163" s="873">
        <v>4963</v>
      </c>
      <c r="N163" s="873">
        <v>1500</v>
      </c>
      <c r="O163" s="873">
        <v>4925</v>
      </c>
      <c r="P163" s="873">
        <v>4899</v>
      </c>
      <c r="Q163" s="873">
        <v>1973</v>
      </c>
      <c r="R163" s="873">
        <v>3814</v>
      </c>
      <c r="S163" s="325">
        <f t="shared" si="14"/>
        <v>41721</v>
      </c>
      <c r="T163" s="455">
        <f t="shared" si="15"/>
        <v>76000</v>
      </c>
      <c r="U163" s="324">
        <f>'Overall Metrics'!M217</f>
        <v>117721</v>
      </c>
    </row>
    <row r="164" spans="1:21" ht="16.350000000000001" customHeight="1">
      <c r="A164" s="175">
        <f t="shared" si="12"/>
        <v>2025</v>
      </c>
      <c r="B164" s="454" t="str">
        <f t="shared" si="13"/>
        <v>04</v>
      </c>
      <c r="C164" s="454" t="str">
        <f t="array" ref="C164">_xlfn.IFS(_xlfn.NUMBERVALUE(B164)&lt;=13,"Q1",AND(_xlfn.NUMBERVALUE(B164)&gt;13,_xlfn.NUMBERVALUE(B164)&lt;=26),"Q2", AND(_xlfn.NUMBERVALUE(B164)&gt;26,_xlfn.NUMBERVALUE(B164)&lt;=39),"Q3",_xlfn.NUMBERVALUE(B164)&gt;39,"Q4")</f>
        <v>Q1</v>
      </c>
      <c r="D164" s="448">
        <f t="shared" si="16"/>
        <v>45339</v>
      </c>
      <c r="E164" s="448">
        <f t="shared" si="17"/>
        <v>45345</v>
      </c>
      <c r="F164" s="308">
        <v>202404</v>
      </c>
      <c r="G164" s="125">
        <v>3352</v>
      </c>
      <c r="H164" s="873">
        <v>1332</v>
      </c>
      <c r="I164" s="873">
        <v>3830</v>
      </c>
      <c r="J164" s="873">
        <v>3278</v>
      </c>
      <c r="K164" s="873">
        <v>4312</v>
      </c>
      <c r="L164" s="873">
        <v>3591</v>
      </c>
      <c r="M164" s="873">
        <v>4379</v>
      </c>
      <c r="N164" s="873">
        <v>3122</v>
      </c>
      <c r="O164" s="873">
        <v>3454</v>
      </c>
      <c r="P164" s="873">
        <v>4873</v>
      </c>
      <c r="Q164" s="873">
        <v>3041</v>
      </c>
      <c r="R164" s="873">
        <v>2122</v>
      </c>
      <c r="S164" s="325">
        <f t="shared" si="14"/>
        <v>40686</v>
      </c>
      <c r="T164" s="455">
        <f t="shared" si="15"/>
        <v>67011</v>
      </c>
      <c r="U164" s="324">
        <f>'Overall Metrics'!M218</f>
        <v>107697</v>
      </c>
    </row>
    <row r="165" spans="1:21" ht="16.350000000000001" customHeight="1">
      <c r="A165" s="175">
        <f t="shared" si="12"/>
        <v>2025</v>
      </c>
      <c r="B165" s="454" t="str">
        <f t="shared" si="13"/>
        <v>05</v>
      </c>
      <c r="C165" s="454" t="str">
        <f t="array" ref="C165">_xlfn.IFS(_xlfn.NUMBERVALUE(B165)&lt;=13,"Q1",AND(_xlfn.NUMBERVALUE(B165)&gt;13,_xlfn.NUMBERVALUE(B165)&lt;=26),"Q2", AND(_xlfn.NUMBERVALUE(B165)&gt;26,_xlfn.NUMBERVALUE(B165)&lt;=39),"Q3",_xlfn.NUMBERVALUE(B165)&gt;39,"Q4")</f>
        <v>Q1</v>
      </c>
      <c r="D165" s="448">
        <f t="shared" si="16"/>
        <v>45346</v>
      </c>
      <c r="E165" s="448">
        <f t="shared" si="17"/>
        <v>45352</v>
      </c>
      <c r="F165" s="308">
        <v>202405</v>
      </c>
      <c r="G165" s="125">
        <v>4856</v>
      </c>
      <c r="H165" s="873">
        <v>2005</v>
      </c>
      <c r="I165" s="873">
        <v>1726</v>
      </c>
      <c r="J165" s="873">
        <v>1023</v>
      </c>
      <c r="K165" s="873">
        <v>1387</v>
      </c>
      <c r="L165" s="873">
        <v>1857</v>
      </c>
      <c r="M165" s="873">
        <v>2656</v>
      </c>
      <c r="N165" s="873">
        <v>1526</v>
      </c>
      <c r="O165" s="873">
        <v>4129</v>
      </c>
      <c r="P165" s="873">
        <v>1042</v>
      </c>
      <c r="Q165" s="873">
        <v>3786</v>
      </c>
      <c r="R165" s="873">
        <v>4792</v>
      </c>
      <c r="S165" s="325">
        <f t="shared" si="14"/>
        <v>30785</v>
      </c>
      <c r="T165" s="455">
        <f t="shared" si="15"/>
        <v>113001</v>
      </c>
      <c r="U165" s="324">
        <f>'Overall Metrics'!M219</f>
        <v>143786</v>
      </c>
    </row>
    <row r="166" spans="1:21" ht="16.350000000000001" customHeight="1">
      <c r="A166" s="175">
        <f t="shared" si="12"/>
        <v>2025</v>
      </c>
      <c r="B166" s="454" t="str">
        <f t="shared" si="13"/>
        <v>06</v>
      </c>
      <c r="C166" s="454" t="str">
        <f t="array" ref="C166">_xlfn.IFS(_xlfn.NUMBERVALUE(B166)&lt;=13,"Q1",AND(_xlfn.NUMBERVALUE(B166)&gt;13,_xlfn.NUMBERVALUE(B166)&lt;=26),"Q2", AND(_xlfn.NUMBERVALUE(B166)&gt;26,_xlfn.NUMBERVALUE(B166)&lt;=39),"Q3",_xlfn.NUMBERVALUE(B166)&gt;39,"Q4")</f>
        <v>Q1</v>
      </c>
      <c r="D166" s="448">
        <f t="shared" si="16"/>
        <v>45353</v>
      </c>
      <c r="E166" s="448">
        <f t="shared" si="17"/>
        <v>45359</v>
      </c>
      <c r="F166" s="308">
        <v>202406</v>
      </c>
      <c r="G166" s="125">
        <v>1043</v>
      </c>
      <c r="H166" s="873">
        <v>1364</v>
      </c>
      <c r="I166" s="873">
        <v>2917</v>
      </c>
      <c r="J166" s="873">
        <v>4840</v>
      </c>
      <c r="K166" s="873">
        <v>2927</v>
      </c>
      <c r="L166" s="873">
        <v>4343</v>
      </c>
      <c r="M166" s="873">
        <v>4145</v>
      </c>
      <c r="N166" s="873">
        <v>1742</v>
      </c>
      <c r="O166" s="873">
        <v>2211</v>
      </c>
      <c r="P166" s="873">
        <v>1302</v>
      </c>
      <c r="Q166" s="873">
        <v>1124</v>
      </c>
      <c r="R166" s="873">
        <v>3432</v>
      </c>
      <c r="S166" s="325">
        <f t="shared" si="14"/>
        <v>31390</v>
      </c>
      <c r="T166" s="455">
        <f t="shared" si="15"/>
        <v>79484</v>
      </c>
      <c r="U166" s="324">
        <f>'Overall Metrics'!M220</f>
        <v>110874</v>
      </c>
    </row>
    <row r="167" spans="1:21" ht="16.350000000000001" customHeight="1">
      <c r="A167" s="175">
        <f t="shared" si="12"/>
        <v>2025</v>
      </c>
      <c r="B167" s="454" t="str">
        <f t="shared" si="13"/>
        <v>07</v>
      </c>
      <c r="C167" s="454" t="str">
        <f t="array" ref="C167">_xlfn.IFS(_xlfn.NUMBERVALUE(B167)&lt;=13,"Q1",AND(_xlfn.NUMBERVALUE(B167)&gt;13,_xlfn.NUMBERVALUE(B167)&lt;=26),"Q2", AND(_xlfn.NUMBERVALUE(B167)&gt;26,_xlfn.NUMBERVALUE(B167)&lt;=39),"Q3",_xlfn.NUMBERVALUE(B167)&gt;39,"Q4")</f>
        <v>Q1</v>
      </c>
      <c r="D167" s="448">
        <f t="shared" si="16"/>
        <v>45360</v>
      </c>
      <c r="E167" s="448">
        <f t="shared" si="17"/>
        <v>45366</v>
      </c>
      <c r="F167" s="308">
        <v>202407</v>
      </c>
      <c r="G167" s="125">
        <v>3512</v>
      </c>
      <c r="H167" s="873">
        <v>1388</v>
      </c>
      <c r="I167" s="873">
        <v>4815</v>
      </c>
      <c r="J167" s="873">
        <v>4997</v>
      </c>
      <c r="K167" s="873">
        <v>3503</v>
      </c>
      <c r="L167" s="873">
        <v>4849</v>
      </c>
      <c r="M167" s="873">
        <v>2947</v>
      </c>
      <c r="N167" s="873">
        <v>4253</v>
      </c>
      <c r="O167" s="873">
        <v>3127</v>
      </c>
      <c r="P167" s="873">
        <v>1005</v>
      </c>
      <c r="Q167" s="873">
        <v>2713</v>
      </c>
      <c r="R167" s="873">
        <v>3694</v>
      </c>
      <c r="S167" s="325">
        <f t="shared" si="14"/>
        <v>40803</v>
      </c>
      <c r="T167" s="455">
        <f t="shared" si="15"/>
        <v>64381</v>
      </c>
      <c r="U167" s="324">
        <f>'Overall Metrics'!M221</f>
        <v>105184</v>
      </c>
    </row>
    <row r="168" spans="1:21" ht="16.350000000000001" customHeight="1">
      <c r="A168" s="175">
        <f t="shared" si="12"/>
        <v>2025</v>
      </c>
      <c r="B168" s="454" t="str">
        <f t="shared" si="13"/>
        <v>08</v>
      </c>
      <c r="C168" s="454" t="str">
        <f t="array" ref="C168">_xlfn.IFS(_xlfn.NUMBERVALUE(B168)&lt;=13,"Q1",AND(_xlfn.NUMBERVALUE(B168)&gt;13,_xlfn.NUMBERVALUE(B168)&lt;=26),"Q2", AND(_xlfn.NUMBERVALUE(B168)&gt;26,_xlfn.NUMBERVALUE(B168)&lt;=39),"Q3",_xlfn.NUMBERVALUE(B168)&gt;39,"Q4")</f>
        <v>Q1</v>
      </c>
      <c r="D168" s="448">
        <f t="shared" si="16"/>
        <v>45367</v>
      </c>
      <c r="E168" s="448">
        <f t="shared" si="17"/>
        <v>45373</v>
      </c>
      <c r="F168" s="308">
        <v>202408</v>
      </c>
      <c r="G168" s="125">
        <v>1251</v>
      </c>
      <c r="H168" s="873">
        <v>4861</v>
      </c>
      <c r="I168" s="873">
        <v>1037</v>
      </c>
      <c r="J168" s="873">
        <v>2698</v>
      </c>
      <c r="K168" s="873">
        <v>1962</v>
      </c>
      <c r="L168" s="873">
        <v>2517</v>
      </c>
      <c r="M168" s="873">
        <v>1957</v>
      </c>
      <c r="N168" s="873">
        <v>3514</v>
      </c>
      <c r="O168" s="873">
        <v>1617</v>
      </c>
      <c r="P168" s="873">
        <v>1357</v>
      </c>
      <c r="Q168" s="873">
        <v>3411</v>
      </c>
      <c r="R168" s="873">
        <v>4038</v>
      </c>
      <c r="S168" s="325">
        <f t="shared" si="14"/>
        <v>30220</v>
      </c>
      <c r="T168" s="455">
        <f t="shared" si="15"/>
        <v>126019</v>
      </c>
      <c r="U168" s="324">
        <f>'Overall Metrics'!M222</f>
        <v>156239</v>
      </c>
    </row>
    <row r="169" spans="1:21" ht="16.350000000000001" customHeight="1">
      <c r="A169" s="175">
        <f t="shared" si="12"/>
        <v>2025</v>
      </c>
      <c r="B169" s="454" t="str">
        <f t="shared" si="13"/>
        <v>09</v>
      </c>
      <c r="C169" s="454" t="str">
        <f t="array" ref="C169">_xlfn.IFS(_xlfn.NUMBERVALUE(B169)&lt;=13,"Q1",AND(_xlfn.NUMBERVALUE(B169)&gt;13,_xlfn.NUMBERVALUE(B169)&lt;=26),"Q2", AND(_xlfn.NUMBERVALUE(B169)&gt;26,_xlfn.NUMBERVALUE(B169)&lt;=39),"Q3",_xlfn.NUMBERVALUE(B169)&gt;39,"Q4")</f>
        <v>Q1</v>
      </c>
      <c r="D169" s="448">
        <f t="shared" si="16"/>
        <v>45374</v>
      </c>
      <c r="E169" s="448">
        <f t="shared" si="17"/>
        <v>45380</v>
      </c>
      <c r="F169" s="308">
        <v>202409</v>
      </c>
      <c r="G169" s="125">
        <v>2324</v>
      </c>
      <c r="H169" s="873">
        <v>1375</v>
      </c>
      <c r="I169" s="873">
        <v>3202</v>
      </c>
      <c r="J169" s="873">
        <v>2226</v>
      </c>
      <c r="K169" s="873">
        <v>4420</v>
      </c>
      <c r="L169" s="873">
        <v>2940</v>
      </c>
      <c r="M169" s="873">
        <v>1843</v>
      </c>
      <c r="N169" s="873">
        <v>2446</v>
      </c>
      <c r="O169" s="873">
        <v>1173</v>
      </c>
      <c r="P169" s="873">
        <v>1848</v>
      </c>
      <c r="Q169" s="873">
        <v>3729</v>
      </c>
      <c r="R169" s="873">
        <v>2287</v>
      </c>
      <c r="S169" s="325">
        <f t="shared" si="14"/>
        <v>29813</v>
      </c>
      <c r="T169" s="455">
        <f t="shared" si="15"/>
        <v>84453</v>
      </c>
      <c r="U169" s="324">
        <f>'Overall Metrics'!M223</f>
        <v>114266</v>
      </c>
    </row>
    <row r="170" spans="1:21" ht="16.350000000000001" customHeight="1">
      <c r="A170" s="175">
        <f t="shared" si="12"/>
        <v>2025</v>
      </c>
      <c r="B170" s="454" t="str">
        <f t="shared" si="13"/>
        <v>10</v>
      </c>
      <c r="C170" s="454" t="str">
        <f t="array" ref="C170">_xlfn.IFS(_xlfn.NUMBERVALUE(B170)&lt;=13,"Q1",AND(_xlfn.NUMBERVALUE(B170)&gt;13,_xlfn.NUMBERVALUE(B170)&lt;=26),"Q2", AND(_xlfn.NUMBERVALUE(B170)&gt;26,_xlfn.NUMBERVALUE(B170)&lt;=39),"Q3",_xlfn.NUMBERVALUE(B170)&gt;39,"Q4")</f>
        <v>Q1</v>
      </c>
      <c r="D170" s="448">
        <f t="shared" si="16"/>
        <v>45381</v>
      </c>
      <c r="E170" s="448">
        <f t="shared" si="17"/>
        <v>45387</v>
      </c>
      <c r="F170" s="308">
        <v>202410</v>
      </c>
      <c r="G170" s="125">
        <v>1945</v>
      </c>
      <c r="H170" s="873">
        <v>1713</v>
      </c>
      <c r="I170" s="873">
        <v>2831</v>
      </c>
      <c r="J170" s="873">
        <v>2041</v>
      </c>
      <c r="K170" s="873">
        <v>4738</v>
      </c>
      <c r="L170" s="873">
        <v>1567</v>
      </c>
      <c r="M170" s="873">
        <v>2816</v>
      </c>
      <c r="N170" s="873">
        <v>3766</v>
      </c>
      <c r="O170" s="873">
        <v>4095</v>
      </c>
      <c r="P170" s="873">
        <v>4468</v>
      </c>
      <c r="Q170" s="873">
        <v>2271</v>
      </c>
      <c r="R170" s="873">
        <v>1977</v>
      </c>
      <c r="S170" s="325">
        <f t="shared" si="14"/>
        <v>34228</v>
      </c>
      <c r="T170" s="455">
        <f t="shared" si="15"/>
        <v>63357</v>
      </c>
      <c r="U170" s="324">
        <f>'Overall Metrics'!M224</f>
        <v>97585</v>
      </c>
    </row>
    <row r="171" spans="1:21" ht="16.350000000000001" customHeight="1">
      <c r="A171" s="175">
        <f t="shared" si="12"/>
        <v>2025</v>
      </c>
      <c r="B171" s="454" t="str">
        <f t="shared" si="13"/>
        <v>11</v>
      </c>
      <c r="C171" s="454" t="str">
        <f t="array" ref="C171">_xlfn.IFS(_xlfn.NUMBERVALUE(B171)&lt;=13,"Q1",AND(_xlfn.NUMBERVALUE(B171)&gt;13,_xlfn.NUMBERVALUE(B171)&lt;=26),"Q2", AND(_xlfn.NUMBERVALUE(B171)&gt;26,_xlfn.NUMBERVALUE(B171)&lt;=39),"Q3",_xlfn.NUMBERVALUE(B171)&gt;39,"Q4")</f>
        <v>Q1</v>
      </c>
      <c r="D171" s="448">
        <f t="shared" si="16"/>
        <v>45388</v>
      </c>
      <c r="E171" s="448">
        <f t="shared" si="17"/>
        <v>45394</v>
      </c>
      <c r="F171" s="308">
        <v>202411</v>
      </c>
      <c r="G171" s="125">
        <v>1952</v>
      </c>
      <c r="H171" s="873">
        <v>1253</v>
      </c>
      <c r="I171" s="873">
        <v>4756</v>
      </c>
      <c r="J171" s="873">
        <v>4756</v>
      </c>
      <c r="K171" s="873">
        <v>1382</v>
      </c>
      <c r="L171" s="873">
        <v>3200</v>
      </c>
      <c r="M171" s="873">
        <v>4927</v>
      </c>
      <c r="N171" s="873">
        <v>1937</v>
      </c>
      <c r="O171" s="873">
        <v>3630</v>
      </c>
      <c r="P171" s="873">
        <v>3682</v>
      </c>
      <c r="Q171" s="873">
        <v>4699</v>
      </c>
      <c r="R171" s="873">
        <v>1843</v>
      </c>
      <c r="S171" s="325">
        <f t="shared" si="14"/>
        <v>38017</v>
      </c>
      <c r="T171" s="455">
        <f t="shared" si="15"/>
        <v>114327</v>
      </c>
      <c r="U171" s="324">
        <f>'Overall Metrics'!M225</f>
        <v>152344</v>
      </c>
    </row>
    <row r="172" spans="1:21" ht="16.350000000000001" customHeight="1">
      <c r="A172" s="175">
        <f t="shared" si="12"/>
        <v>2025</v>
      </c>
      <c r="B172" s="454" t="str">
        <f t="shared" si="13"/>
        <v>12</v>
      </c>
      <c r="C172" s="454" t="str">
        <f t="array" ref="C172">_xlfn.IFS(_xlfn.NUMBERVALUE(B172)&lt;=13,"Q1",AND(_xlfn.NUMBERVALUE(B172)&gt;13,_xlfn.NUMBERVALUE(B172)&lt;=26),"Q2", AND(_xlfn.NUMBERVALUE(B172)&gt;26,_xlfn.NUMBERVALUE(B172)&lt;=39),"Q3",_xlfn.NUMBERVALUE(B172)&gt;39,"Q4")</f>
        <v>Q1</v>
      </c>
      <c r="D172" s="448">
        <f t="shared" si="16"/>
        <v>45395</v>
      </c>
      <c r="E172" s="448">
        <f t="shared" si="17"/>
        <v>45401</v>
      </c>
      <c r="F172" s="308">
        <v>202412</v>
      </c>
      <c r="G172" s="125">
        <v>3702</v>
      </c>
      <c r="H172" s="873">
        <v>2330</v>
      </c>
      <c r="I172" s="873">
        <v>3181</v>
      </c>
      <c r="J172" s="873">
        <v>4410</v>
      </c>
      <c r="K172" s="873">
        <v>4679</v>
      </c>
      <c r="L172" s="873">
        <v>4431</v>
      </c>
      <c r="M172" s="873">
        <v>2322</v>
      </c>
      <c r="N172" s="873">
        <v>4825</v>
      </c>
      <c r="O172" s="873">
        <v>4983</v>
      </c>
      <c r="P172" s="873">
        <v>2731</v>
      </c>
      <c r="Q172" s="873">
        <v>4518</v>
      </c>
      <c r="R172" s="873">
        <v>4249</v>
      </c>
      <c r="S172" s="325">
        <f t="shared" si="14"/>
        <v>46361</v>
      </c>
      <c r="T172" s="455">
        <f t="shared" si="15"/>
        <v>84968</v>
      </c>
      <c r="U172" s="324">
        <f>'Overall Metrics'!M226</f>
        <v>131329</v>
      </c>
    </row>
    <row r="173" spans="1:21" ht="16.350000000000001" customHeight="1">
      <c r="A173" s="175">
        <f t="shared" si="12"/>
        <v>2025</v>
      </c>
      <c r="B173" s="454" t="str">
        <f t="shared" si="13"/>
        <v>13</v>
      </c>
      <c r="C173" s="454" t="str">
        <f t="array" ref="C173">_xlfn.IFS(_xlfn.NUMBERVALUE(B173)&lt;=13,"Q1",AND(_xlfn.NUMBERVALUE(B173)&gt;13,_xlfn.NUMBERVALUE(B173)&lt;=26),"Q2", AND(_xlfn.NUMBERVALUE(B173)&gt;26,_xlfn.NUMBERVALUE(B173)&lt;=39),"Q3",_xlfn.NUMBERVALUE(B173)&gt;39,"Q4")</f>
        <v>Q1</v>
      </c>
      <c r="D173" s="448">
        <f t="shared" si="16"/>
        <v>45402</v>
      </c>
      <c r="E173" s="448">
        <f t="shared" si="17"/>
        <v>45408</v>
      </c>
      <c r="F173" s="308">
        <v>202413</v>
      </c>
      <c r="G173" s="125">
        <v>1487</v>
      </c>
      <c r="H173" s="873">
        <v>2798</v>
      </c>
      <c r="I173" s="873">
        <v>4292</v>
      </c>
      <c r="J173" s="873">
        <v>1579</v>
      </c>
      <c r="K173" s="873">
        <v>3000</v>
      </c>
      <c r="L173" s="873">
        <v>4484</v>
      </c>
      <c r="M173" s="873">
        <v>4033</v>
      </c>
      <c r="N173" s="873">
        <v>3407</v>
      </c>
      <c r="O173" s="873">
        <v>3973</v>
      </c>
      <c r="P173" s="873">
        <v>3095</v>
      </c>
      <c r="Q173" s="873">
        <v>4161</v>
      </c>
      <c r="R173" s="873">
        <v>4397</v>
      </c>
      <c r="S173" s="325">
        <f t="shared" si="14"/>
        <v>40706</v>
      </c>
      <c r="T173" s="455">
        <f t="shared" si="15"/>
        <v>92970</v>
      </c>
      <c r="U173" s="324">
        <f>'Overall Metrics'!M227</f>
        <v>133676</v>
      </c>
    </row>
    <row r="174" spans="1:21" ht="16.350000000000001" customHeight="1">
      <c r="A174" s="175">
        <f t="shared" si="12"/>
        <v>2025</v>
      </c>
      <c r="B174" s="454" t="str">
        <f t="shared" si="13"/>
        <v>14</v>
      </c>
      <c r="C174" s="454" t="str">
        <f t="array" ref="C174">_xlfn.IFS(_xlfn.NUMBERVALUE(B174)&lt;=13,"Q1",AND(_xlfn.NUMBERVALUE(B174)&gt;13,_xlfn.NUMBERVALUE(B174)&lt;=26),"Q2", AND(_xlfn.NUMBERVALUE(B174)&gt;26,_xlfn.NUMBERVALUE(B174)&lt;=39),"Q3",_xlfn.NUMBERVALUE(B174)&gt;39,"Q4")</f>
        <v>Q2</v>
      </c>
      <c r="D174" s="448">
        <f t="shared" si="16"/>
        <v>45409</v>
      </c>
      <c r="E174" s="448">
        <f t="shared" si="17"/>
        <v>45415</v>
      </c>
      <c r="F174" s="308">
        <v>202414</v>
      </c>
      <c r="G174" s="125">
        <v>4764</v>
      </c>
      <c r="H174" s="873">
        <v>1289</v>
      </c>
      <c r="I174" s="873">
        <v>1112</v>
      </c>
      <c r="J174" s="873">
        <v>3310</v>
      </c>
      <c r="K174" s="873">
        <v>4779</v>
      </c>
      <c r="L174" s="873">
        <v>1792</v>
      </c>
      <c r="M174" s="873">
        <v>1864</v>
      </c>
      <c r="N174" s="873">
        <v>3984</v>
      </c>
      <c r="O174" s="873">
        <v>1497</v>
      </c>
      <c r="P174" s="873">
        <v>4529</v>
      </c>
      <c r="Q174" s="873">
        <v>1061</v>
      </c>
      <c r="R174" s="873">
        <v>4069</v>
      </c>
      <c r="S174" s="325">
        <f t="shared" si="14"/>
        <v>34050</v>
      </c>
      <c r="T174" s="455">
        <f t="shared" si="15"/>
        <v>91815</v>
      </c>
      <c r="U174" s="324">
        <f>'Overall Metrics'!M228</f>
        <v>125865</v>
      </c>
    </row>
    <row r="175" spans="1:21" ht="16.350000000000001" customHeight="1">
      <c r="A175" s="175">
        <f t="shared" si="12"/>
        <v>2025</v>
      </c>
      <c r="B175" s="454" t="str">
        <f t="shared" si="13"/>
        <v>15</v>
      </c>
      <c r="C175" s="454" t="str">
        <f t="array" ref="C175">_xlfn.IFS(_xlfn.NUMBERVALUE(B175)&lt;=13,"Q1",AND(_xlfn.NUMBERVALUE(B175)&gt;13,_xlfn.NUMBERVALUE(B175)&lt;=26),"Q2", AND(_xlfn.NUMBERVALUE(B175)&gt;26,_xlfn.NUMBERVALUE(B175)&lt;=39),"Q3",_xlfn.NUMBERVALUE(B175)&gt;39,"Q4")</f>
        <v>Q2</v>
      </c>
      <c r="D175" s="448">
        <f t="shared" si="16"/>
        <v>45416</v>
      </c>
      <c r="E175" s="448">
        <f t="shared" si="17"/>
        <v>45422</v>
      </c>
      <c r="F175" s="308">
        <v>202415</v>
      </c>
      <c r="G175" s="125">
        <v>4701</v>
      </c>
      <c r="H175" s="873">
        <v>2110</v>
      </c>
      <c r="I175" s="873">
        <v>3312</v>
      </c>
      <c r="J175" s="873">
        <v>1410</v>
      </c>
      <c r="K175" s="873">
        <v>4422</v>
      </c>
      <c r="L175" s="873">
        <v>2471</v>
      </c>
      <c r="M175" s="873">
        <v>2147</v>
      </c>
      <c r="N175" s="873">
        <v>1763</v>
      </c>
      <c r="O175" s="873">
        <v>1776</v>
      </c>
      <c r="P175" s="873">
        <v>3572</v>
      </c>
      <c r="Q175" s="873">
        <v>1529</v>
      </c>
      <c r="R175" s="873">
        <v>2273</v>
      </c>
      <c r="S175" s="325">
        <f t="shared" si="14"/>
        <v>31486</v>
      </c>
      <c r="T175" s="455">
        <f t="shared" si="15"/>
        <v>50726</v>
      </c>
      <c r="U175" s="324">
        <f>'Overall Metrics'!M229</f>
        <v>82212</v>
      </c>
    </row>
    <row r="176" spans="1:21" ht="16.350000000000001" customHeight="1">
      <c r="A176" s="175">
        <f t="shared" si="12"/>
        <v>2025</v>
      </c>
      <c r="B176" s="454" t="str">
        <f t="shared" si="13"/>
        <v>16</v>
      </c>
      <c r="C176" s="454" t="str">
        <f t="array" ref="C176">_xlfn.IFS(_xlfn.NUMBERVALUE(B176)&lt;=13,"Q1",AND(_xlfn.NUMBERVALUE(B176)&gt;13,_xlfn.NUMBERVALUE(B176)&lt;=26),"Q2", AND(_xlfn.NUMBERVALUE(B176)&gt;26,_xlfn.NUMBERVALUE(B176)&lt;=39),"Q3",_xlfn.NUMBERVALUE(B176)&gt;39,"Q4")</f>
        <v>Q2</v>
      </c>
      <c r="D176" s="448">
        <f t="shared" si="16"/>
        <v>45423</v>
      </c>
      <c r="E176" s="448">
        <f t="shared" si="17"/>
        <v>45429</v>
      </c>
      <c r="F176" s="308">
        <v>202416</v>
      </c>
      <c r="G176" s="125">
        <v>3482</v>
      </c>
      <c r="H176" s="873">
        <v>3659</v>
      </c>
      <c r="I176" s="873">
        <v>1308</v>
      </c>
      <c r="J176" s="873">
        <v>1473</v>
      </c>
      <c r="K176" s="873">
        <v>1240</v>
      </c>
      <c r="L176" s="873">
        <v>2124</v>
      </c>
      <c r="M176" s="873">
        <v>3942</v>
      </c>
      <c r="N176" s="873">
        <v>2296</v>
      </c>
      <c r="O176" s="873">
        <v>1675</v>
      </c>
      <c r="P176" s="873">
        <v>2971</v>
      </c>
      <c r="Q176" s="873">
        <v>1455</v>
      </c>
      <c r="R176" s="873">
        <v>4515</v>
      </c>
      <c r="S176" s="325">
        <f t="shared" si="14"/>
        <v>30140</v>
      </c>
      <c r="T176" s="455">
        <f t="shared" si="15"/>
        <v>79631</v>
      </c>
      <c r="U176" s="324">
        <f>'Overall Metrics'!M230</f>
        <v>109771</v>
      </c>
    </row>
    <row r="177" spans="1:21" ht="16.350000000000001" customHeight="1">
      <c r="A177" s="175">
        <f t="shared" si="12"/>
        <v>2025</v>
      </c>
      <c r="B177" s="454" t="str">
        <f t="shared" si="13"/>
        <v>17</v>
      </c>
      <c r="C177" s="454" t="str">
        <f t="array" ref="C177">_xlfn.IFS(_xlfn.NUMBERVALUE(B177)&lt;=13,"Q1",AND(_xlfn.NUMBERVALUE(B177)&gt;13,_xlfn.NUMBERVALUE(B177)&lt;=26),"Q2", AND(_xlfn.NUMBERVALUE(B177)&gt;26,_xlfn.NUMBERVALUE(B177)&lt;=39),"Q3",_xlfn.NUMBERVALUE(B177)&gt;39,"Q4")</f>
        <v>Q2</v>
      </c>
      <c r="D177" s="448">
        <f t="shared" si="16"/>
        <v>45430</v>
      </c>
      <c r="E177" s="448">
        <f t="shared" si="17"/>
        <v>45436</v>
      </c>
      <c r="F177" s="308">
        <v>202417</v>
      </c>
      <c r="G177" s="125">
        <v>2407</v>
      </c>
      <c r="H177" s="873">
        <v>1936</v>
      </c>
      <c r="I177" s="873">
        <v>2052</v>
      </c>
      <c r="J177" s="873">
        <v>1451</v>
      </c>
      <c r="K177" s="873">
        <v>1697</v>
      </c>
      <c r="L177" s="873">
        <v>3198</v>
      </c>
      <c r="M177" s="873">
        <v>3331</v>
      </c>
      <c r="N177" s="873">
        <v>2865</v>
      </c>
      <c r="O177" s="873">
        <v>3868</v>
      </c>
      <c r="P177" s="873">
        <v>1549</v>
      </c>
      <c r="Q177" s="873">
        <v>2189</v>
      </c>
      <c r="R177" s="873">
        <v>1433</v>
      </c>
      <c r="S177" s="325">
        <f t="shared" si="14"/>
        <v>27976</v>
      </c>
      <c r="T177" s="455">
        <f t="shared" si="15"/>
        <v>100422</v>
      </c>
      <c r="U177" s="324">
        <f>'Overall Metrics'!M231</f>
        <v>128398</v>
      </c>
    </row>
    <row r="178" spans="1:21" ht="16.350000000000001" customHeight="1">
      <c r="A178" s="175">
        <f t="shared" si="12"/>
        <v>2025</v>
      </c>
      <c r="B178" s="454" t="str">
        <f t="shared" si="13"/>
        <v>18</v>
      </c>
      <c r="C178" s="454" t="str">
        <f t="array" ref="C178">_xlfn.IFS(_xlfn.NUMBERVALUE(B178)&lt;=13,"Q1",AND(_xlfn.NUMBERVALUE(B178)&gt;13,_xlfn.NUMBERVALUE(B178)&lt;=26),"Q2", AND(_xlfn.NUMBERVALUE(B178)&gt;26,_xlfn.NUMBERVALUE(B178)&lt;=39),"Q3",_xlfn.NUMBERVALUE(B178)&gt;39,"Q4")</f>
        <v>Q2</v>
      </c>
      <c r="D178" s="448">
        <f t="shared" si="16"/>
        <v>45437</v>
      </c>
      <c r="E178" s="448">
        <f t="shared" si="17"/>
        <v>45443</v>
      </c>
      <c r="F178" s="308">
        <v>202418</v>
      </c>
      <c r="G178" s="125">
        <v>1083</v>
      </c>
      <c r="H178" s="873">
        <v>3179</v>
      </c>
      <c r="I178" s="873">
        <v>3547</v>
      </c>
      <c r="J178" s="873">
        <v>4575</v>
      </c>
      <c r="K178" s="873">
        <v>4421</v>
      </c>
      <c r="L178" s="873">
        <v>2623</v>
      </c>
      <c r="M178" s="873">
        <v>1380</v>
      </c>
      <c r="N178" s="873">
        <v>1243</v>
      </c>
      <c r="O178" s="873">
        <v>1947</v>
      </c>
      <c r="P178" s="873">
        <v>2093</v>
      </c>
      <c r="Q178" s="873">
        <v>1836</v>
      </c>
      <c r="R178" s="873">
        <v>2550</v>
      </c>
      <c r="S178" s="325">
        <f t="shared" si="14"/>
        <v>30477</v>
      </c>
      <c r="T178" s="455">
        <f t="shared" si="15"/>
        <v>107351</v>
      </c>
      <c r="U178" s="324">
        <f>'Overall Metrics'!M232</f>
        <v>137828</v>
      </c>
    </row>
    <row r="179" spans="1:21" ht="16.350000000000001" customHeight="1">
      <c r="A179" s="175">
        <f t="shared" si="12"/>
        <v>2025</v>
      </c>
      <c r="B179" s="454" t="str">
        <f t="shared" si="13"/>
        <v>19</v>
      </c>
      <c r="C179" s="454" t="str">
        <f t="array" ref="C179">_xlfn.IFS(_xlfn.NUMBERVALUE(B179)&lt;=13,"Q1",AND(_xlfn.NUMBERVALUE(B179)&gt;13,_xlfn.NUMBERVALUE(B179)&lt;=26),"Q2", AND(_xlfn.NUMBERVALUE(B179)&gt;26,_xlfn.NUMBERVALUE(B179)&lt;=39),"Q3",_xlfn.NUMBERVALUE(B179)&gt;39,"Q4")</f>
        <v>Q2</v>
      </c>
      <c r="D179" s="448">
        <f t="shared" si="16"/>
        <v>45444</v>
      </c>
      <c r="E179" s="448">
        <f t="shared" si="17"/>
        <v>45450</v>
      </c>
      <c r="F179" s="308">
        <v>202419</v>
      </c>
      <c r="G179" s="125">
        <v>2899</v>
      </c>
      <c r="H179" s="873">
        <v>1844</v>
      </c>
      <c r="I179" s="873">
        <v>1992</v>
      </c>
      <c r="J179" s="873">
        <v>2379</v>
      </c>
      <c r="K179" s="873">
        <v>1034</v>
      </c>
      <c r="L179" s="873">
        <v>3924</v>
      </c>
      <c r="M179" s="873">
        <v>1807</v>
      </c>
      <c r="N179" s="873">
        <v>1136</v>
      </c>
      <c r="O179" s="873">
        <v>1937</v>
      </c>
      <c r="P179" s="873">
        <v>4730</v>
      </c>
      <c r="Q179" s="873">
        <v>2945</v>
      </c>
      <c r="R179" s="873">
        <v>3560</v>
      </c>
      <c r="S179" s="325">
        <f t="shared" si="14"/>
        <v>30187</v>
      </c>
      <c r="T179" s="455">
        <f t="shared" si="15"/>
        <v>60151</v>
      </c>
      <c r="U179" s="324">
        <f>'Overall Metrics'!M233</f>
        <v>90338</v>
      </c>
    </row>
    <row r="180" spans="1:21" ht="16.350000000000001" customHeight="1">
      <c r="A180" s="175">
        <f t="shared" si="12"/>
        <v>2025</v>
      </c>
      <c r="B180" s="454" t="str">
        <f t="shared" si="13"/>
        <v>20</v>
      </c>
      <c r="C180" s="454" t="str">
        <f t="array" ref="C180">_xlfn.IFS(_xlfn.NUMBERVALUE(B180)&lt;=13,"Q1",AND(_xlfn.NUMBERVALUE(B180)&gt;13,_xlfn.NUMBERVALUE(B180)&lt;=26),"Q2", AND(_xlfn.NUMBERVALUE(B180)&gt;26,_xlfn.NUMBERVALUE(B180)&lt;=39),"Q3",_xlfn.NUMBERVALUE(B180)&gt;39,"Q4")</f>
        <v>Q2</v>
      </c>
      <c r="D180" s="448">
        <f t="shared" si="16"/>
        <v>45451</v>
      </c>
      <c r="E180" s="448">
        <f t="shared" si="17"/>
        <v>45457</v>
      </c>
      <c r="F180" s="308">
        <v>202420</v>
      </c>
      <c r="G180" s="125">
        <v>3745</v>
      </c>
      <c r="H180" s="873">
        <v>3016</v>
      </c>
      <c r="I180" s="873">
        <v>1173</v>
      </c>
      <c r="J180" s="873">
        <v>1532</v>
      </c>
      <c r="K180" s="873">
        <v>3820</v>
      </c>
      <c r="L180" s="873">
        <v>4098</v>
      </c>
      <c r="M180" s="873">
        <v>1739</v>
      </c>
      <c r="N180" s="873">
        <v>4293</v>
      </c>
      <c r="O180" s="873">
        <v>3047</v>
      </c>
      <c r="P180" s="873">
        <v>4268</v>
      </c>
      <c r="Q180" s="873">
        <v>2352</v>
      </c>
      <c r="R180" s="873">
        <v>4610</v>
      </c>
      <c r="S180" s="325">
        <f t="shared" si="14"/>
        <v>37693</v>
      </c>
      <c r="T180" s="455">
        <f t="shared" si="15"/>
        <v>69845</v>
      </c>
      <c r="U180" s="324">
        <f>'Overall Metrics'!M234</f>
        <v>107538</v>
      </c>
    </row>
    <row r="181" spans="1:21" ht="16.350000000000001" customHeight="1">
      <c r="A181" s="175">
        <f t="shared" si="12"/>
        <v>2025</v>
      </c>
      <c r="B181" s="454" t="str">
        <f t="shared" si="13"/>
        <v>21</v>
      </c>
      <c r="C181" s="454" t="str">
        <f t="array" ref="C181">_xlfn.IFS(_xlfn.NUMBERVALUE(B181)&lt;=13,"Q1",AND(_xlfn.NUMBERVALUE(B181)&gt;13,_xlfn.NUMBERVALUE(B181)&lt;=26),"Q2", AND(_xlfn.NUMBERVALUE(B181)&gt;26,_xlfn.NUMBERVALUE(B181)&lt;=39),"Q3",_xlfn.NUMBERVALUE(B181)&gt;39,"Q4")</f>
        <v>Q2</v>
      </c>
      <c r="D181" s="448">
        <f t="shared" si="16"/>
        <v>45458</v>
      </c>
      <c r="E181" s="448">
        <f t="shared" si="17"/>
        <v>45464</v>
      </c>
      <c r="F181" s="308">
        <v>202421</v>
      </c>
      <c r="G181" s="125">
        <v>4272</v>
      </c>
      <c r="H181" s="873">
        <v>1127</v>
      </c>
      <c r="I181" s="873">
        <v>1866</v>
      </c>
      <c r="J181" s="873">
        <v>3503</v>
      </c>
      <c r="K181" s="873">
        <v>4276</v>
      </c>
      <c r="L181" s="873">
        <v>3529</v>
      </c>
      <c r="M181" s="873">
        <v>4169</v>
      </c>
      <c r="N181" s="873">
        <v>4342</v>
      </c>
      <c r="O181" s="873">
        <v>1101</v>
      </c>
      <c r="P181" s="873">
        <v>3121</v>
      </c>
      <c r="Q181" s="873">
        <v>3932</v>
      </c>
      <c r="R181" s="873">
        <v>4762</v>
      </c>
      <c r="S181" s="325">
        <f t="shared" si="14"/>
        <v>40000</v>
      </c>
      <c r="T181" s="455">
        <f t="shared" si="15"/>
        <v>52918</v>
      </c>
      <c r="U181" s="324">
        <f>'Overall Metrics'!M235</f>
        <v>92918</v>
      </c>
    </row>
    <row r="182" spans="1:21" ht="16.350000000000001" customHeight="1">
      <c r="A182" s="175">
        <f t="shared" si="12"/>
        <v>2025</v>
      </c>
      <c r="B182" s="454" t="str">
        <f t="shared" si="13"/>
        <v>22</v>
      </c>
      <c r="C182" s="454" t="str">
        <f t="array" ref="C182">_xlfn.IFS(_xlfn.NUMBERVALUE(B182)&lt;=13,"Q1",AND(_xlfn.NUMBERVALUE(B182)&gt;13,_xlfn.NUMBERVALUE(B182)&lt;=26),"Q2", AND(_xlfn.NUMBERVALUE(B182)&gt;26,_xlfn.NUMBERVALUE(B182)&lt;=39),"Q3",_xlfn.NUMBERVALUE(B182)&gt;39,"Q4")</f>
        <v>Q2</v>
      </c>
      <c r="D182" s="448">
        <f t="shared" si="16"/>
        <v>45465</v>
      </c>
      <c r="E182" s="448">
        <f t="shared" si="17"/>
        <v>45471</v>
      </c>
      <c r="F182" s="308">
        <v>202422</v>
      </c>
      <c r="G182" s="125">
        <v>1736</v>
      </c>
      <c r="H182" s="873">
        <v>1558</v>
      </c>
      <c r="I182" s="873">
        <v>1764</v>
      </c>
      <c r="J182" s="873">
        <v>2934</v>
      </c>
      <c r="K182" s="873">
        <v>3739</v>
      </c>
      <c r="L182" s="873">
        <v>3374</v>
      </c>
      <c r="M182" s="873">
        <v>3407</v>
      </c>
      <c r="N182" s="873">
        <v>4812</v>
      </c>
      <c r="O182" s="873">
        <v>4985</v>
      </c>
      <c r="P182" s="873">
        <v>2080</v>
      </c>
      <c r="Q182" s="873">
        <v>2319</v>
      </c>
      <c r="R182" s="873">
        <v>3694</v>
      </c>
      <c r="S182" s="325">
        <f t="shared" si="14"/>
        <v>36402</v>
      </c>
      <c r="T182" s="455">
        <f t="shared" si="15"/>
        <v>63990</v>
      </c>
      <c r="U182" s="324">
        <f>'Overall Metrics'!M236</f>
        <v>100392</v>
      </c>
    </row>
    <row r="183" spans="1:21" ht="16.350000000000001" customHeight="1">
      <c r="A183" s="175">
        <f t="shared" si="12"/>
        <v>2025</v>
      </c>
      <c r="B183" s="454" t="str">
        <f t="shared" si="13"/>
        <v>23</v>
      </c>
      <c r="C183" s="454" t="str">
        <f t="array" ref="C183">_xlfn.IFS(_xlfn.NUMBERVALUE(B183)&lt;=13,"Q1",AND(_xlfn.NUMBERVALUE(B183)&gt;13,_xlfn.NUMBERVALUE(B183)&lt;=26),"Q2", AND(_xlfn.NUMBERVALUE(B183)&gt;26,_xlfn.NUMBERVALUE(B183)&lt;=39),"Q3",_xlfn.NUMBERVALUE(B183)&gt;39,"Q4")</f>
        <v>Q2</v>
      </c>
      <c r="D183" s="448">
        <f t="shared" si="16"/>
        <v>45472</v>
      </c>
      <c r="E183" s="448">
        <f t="shared" si="17"/>
        <v>45478</v>
      </c>
      <c r="F183" s="308">
        <v>202423</v>
      </c>
      <c r="G183" s="125">
        <v>2067</v>
      </c>
      <c r="H183" s="873">
        <v>2226</v>
      </c>
      <c r="I183" s="873">
        <v>3706</v>
      </c>
      <c r="J183" s="873">
        <v>4061</v>
      </c>
      <c r="K183" s="873">
        <v>4821</v>
      </c>
      <c r="L183" s="873">
        <v>4087</v>
      </c>
      <c r="M183" s="873">
        <v>2343</v>
      </c>
      <c r="N183" s="873">
        <v>4344</v>
      </c>
      <c r="O183" s="873">
        <v>1638</v>
      </c>
      <c r="P183" s="873">
        <v>3213</v>
      </c>
      <c r="Q183" s="873">
        <v>3112</v>
      </c>
      <c r="R183" s="873">
        <v>2740</v>
      </c>
      <c r="S183" s="325">
        <f t="shared" si="14"/>
        <v>38358</v>
      </c>
      <c r="T183" s="455">
        <f t="shared" si="15"/>
        <v>60756</v>
      </c>
      <c r="U183" s="324">
        <f>'Overall Metrics'!M237</f>
        <v>99114</v>
      </c>
    </row>
    <row r="184" spans="1:21" ht="16.350000000000001" customHeight="1">
      <c r="A184" s="175">
        <f t="shared" si="12"/>
        <v>2025</v>
      </c>
      <c r="B184" s="454" t="str">
        <f t="shared" si="13"/>
        <v>24</v>
      </c>
      <c r="C184" s="454" t="str">
        <f t="array" ref="C184">_xlfn.IFS(_xlfn.NUMBERVALUE(B184)&lt;=13,"Q1",AND(_xlfn.NUMBERVALUE(B184)&gt;13,_xlfn.NUMBERVALUE(B184)&lt;=26),"Q2", AND(_xlfn.NUMBERVALUE(B184)&gt;26,_xlfn.NUMBERVALUE(B184)&lt;=39),"Q3",_xlfn.NUMBERVALUE(B184)&gt;39,"Q4")</f>
        <v>Q2</v>
      </c>
      <c r="D184" s="448">
        <f t="shared" si="16"/>
        <v>45479</v>
      </c>
      <c r="E184" s="448">
        <f t="shared" si="17"/>
        <v>45485</v>
      </c>
      <c r="F184" s="308">
        <v>202424</v>
      </c>
      <c r="G184" s="125">
        <v>1320</v>
      </c>
      <c r="H184" s="873">
        <v>2177</v>
      </c>
      <c r="I184" s="873">
        <v>2604</v>
      </c>
      <c r="J184" s="873">
        <v>4238</v>
      </c>
      <c r="K184" s="873">
        <v>3356</v>
      </c>
      <c r="L184" s="873">
        <v>1943</v>
      </c>
      <c r="M184" s="873">
        <v>1867</v>
      </c>
      <c r="N184" s="873">
        <v>3533</v>
      </c>
      <c r="O184" s="873">
        <v>1996</v>
      </c>
      <c r="P184" s="873">
        <v>1396</v>
      </c>
      <c r="Q184" s="873">
        <v>4372</v>
      </c>
      <c r="R184" s="873">
        <v>4558</v>
      </c>
      <c r="S184" s="325">
        <f t="shared" si="14"/>
        <v>33360</v>
      </c>
      <c r="T184" s="455">
        <f t="shared" si="15"/>
        <v>79086</v>
      </c>
      <c r="U184" s="324">
        <f>'Overall Metrics'!M238</f>
        <v>112446</v>
      </c>
    </row>
    <row r="185" spans="1:21" ht="16.350000000000001" customHeight="1">
      <c r="A185" s="175">
        <f t="shared" si="12"/>
        <v>2025</v>
      </c>
      <c r="B185" s="454" t="str">
        <f t="shared" si="13"/>
        <v>25</v>
      </c>
      <c r="C185" s="454" t="str">
        <f t="array" ref="C185">_xlfn.IFS(_xlfn.NUMBERVALUE(B185)&lt;=13,"Q1",AND(_xlfn.NUMBERVALUE(B185)&gt;13,_xlfn.NUMBERVALUE(B185)&lt;=26),"Q2", AND(_xlfn.NUMBERVALUE(B185)&gt;26,_xlfn.NUMBERVALUE(B185)&lt;=39),"Q3",_xlfn.NUMBERVALUE(B185)&gt;39,"Q4")</f>
        <v>Q2</v>
      </c>
      <c r="D185" s="448">
        <f t="shared" si="16"/>
        <v>45486</v>
      </c>
      <c r="E185" s="448">
        <f t="shared" si="17"/>
        <v>45492</v>
      </c>
      <c r="F185" s="308">
        <v>202425</v>
      </c>
      <c r="G185" s="125">
        <v>4958</v>
      </c>
      <c r="H185" s="873">
        <v>1329</v>
      </c>
      <c r="I185" s="873">
        <v>1819</v>
      </c>
      <c r="J185" s="873">
        <v>3237</v>
      </c>
      <c r="K185" s="873">
        <v>2892</v>
      </c>
      <c r="L185" s="873">
        <v>2768</v>
      </c>
      <c r="M185" s="873">
        <v>1720</v>
      </c>
      <c r="N185" s="873">
        <v>3556</v>
      </c>
      <c r="O185" s="873">
        <v>1599</v>
      </c>
      <c r="P185" s="873">
        <v>1803</v>
      </c>
      <c r="Q185" s="873">
        <v>4926</v>
      </c>
      <c r="R185" s="873">
        <v>1094</v>
      </c>
      <c r="S185" s="325">
        <f t="shared" si="14"/>
        <v>31701</v>
      </c>
      <c r="T185" s="455">
        <f t="shared" si="15"/>
        <v>76015</v>
      </c>
      <c r="U185" s="324">
        <f>'Overall Metrics'!M239</f>
        <v>107716</v>
      </c>
    </row>
    <row r="186" spans="1:21" ht="16.350000000000001" customHeight="1">
      <c r="A186" s="175">
        <f t="shared" si="12"/>
        <v>2025</v>
      </c>
      <c r="B186" s="454" t="str">
        <f t="shared" si="13"/>
        <v>26</v>
      </c>
      <c r="C186" s="454" t="str">
        <f t="array" ref="C186">_xlfn.IFS(_xlfn.NUMBERVALUE(B186)&lt;=13,"Q1",AND(_xlfn.NUMBERVALUE(B186)&gt;13,_xlfn.NUMBERVALUE(B186)&lt;=26),"Q2", AND(_xlfn.NUMBERVALUE(B186)&gt;26,_xlfn.NUMBERVALUE(B186)&lt;=39),"Q3",_xlfn.NUMBERVALUE(B186)&gt;39,"Q4")</f>
        <v>Q2</v>
      </c>
      <c r="D186" s="448">
        <f t="shared" si="16"/>
        <v>45493</v>
      </c>
      <c r="E186" s="448">
        <f t="shared" si="17"/>
        <v>45499</v>
      </c>
      <c r="F186" s="308">
        <v>202426</v>
      </c>
      <c r="G186" s="125">
        <v>2090</v>
      </c>
      <c r="H186" s="873">
        <v>2921</v>
      </c>
      <c r="I186" s="873">
        <v>1700</v>
      </c>
      <c r="J186" s="873">
        <v>4905</v>
      </c>
      <c r="K186" s="873">
        <v>3453</v>
      </c>
      <c r="L186" s="873">
        <v>4795</v>
      </c>
      <c r="M186" s="873">
        <v>3028</v>
      </c>
      <c r="N186" s="873">
        <v>2161</v>
      </c>
      <c r="O186" s="873">
        <v>2547</v>
      </c>
      <c r="P186" s="873">
        <v>3218</v>
      </c>
      <c r="Q186" s="873">
        <v>3043</v>
      </c>
      <c r="R186" s="873">
        <v>4074</v>
      </c>
      <c r="S186" s="325">
        <f t="shared" si="14"/>
        <v>37935</v>
      </c>
      <c r="T186" s="455">
        <f t="shared" si="15"/>
        <v>83540</v>
      </c>
      <c r="U186" s="324">
        <f>'Overall Metrics'!M240</f>
        <v>121475</v>
      </c>
    </row>
    <row r="187" spans="1:21" ht="16.350000000000001" customHeight="1">
      <c r="A187" s="175">
        <f t="shared" si="12"/>
        <v>2025</v>
      </c>
      <c r="B187" s="454" t="str">
        <f t="shared" si="13"/>
        <v>27</v>
      </c>
      <c r="C187" s="454" t="str">
        <f t="array" ref="C187">_xlfn.IFS(_xlfn.NUMBERVALUE(B187)&lt;=13,"Q1",AND(_xlfn.NUMBERVALUE(B187)&gt;13,_xlfn.NUMBERVALUE(B187)&lt;=26),"Q2", AND(_xlfn.NUMBERVALUE(B187)&gt;26,_xlfn.NUMBERVALUE(B187)&lt;=39),"Q3",_xlfn.NUMBERVALUE(B187)&gt;39,"Q4")</f>
        <v>Q3</v>
      </c>
      <c r="D187" s="448">
        <f t="shared" si="16"/>
        <v>45500</v>
      </c>
      <c r="E187" s="448">
        <f t="shared" si="17"/>
        <v>45506</v>
      </c>
      <c r="F187" s="308">
        <v>202427</v>
      </c>
      <c r="G187" s="125">
        <v>4147</v>
      </c>
      <c r="H187" s="873">
        <v>4673</v>
      </c>
      <c r="I187" s="873">
        <v>3052</v>
      </c>
      <c r="J187" s="873">
        <v>4311</v>
      </c>
      <c r="K187" s="873">
        <v>4885</v>
      </c>
      <c r="L187" s="873">
        <v>1460</v>
      </c>
      <c r="M187" s="873">
        <v>2738</v>
      </c>
      <c r="N187" s="873">
        <v>3114</v>
      </c>
      <c r="O187" s="873">
        <v>3109</v>
      </c>
      <c r="P187" s="873">
        <v>2826</v>
      </c>
      <c r="Q187" s="873">
        <v>1586</v>
      </c>
      <c r="R187" s="873">
        <v>3571</v>
      </c>
      <c r="S187" s="325">
        <f t="shared" si="14"/>
        <v>39472</v>
      </c>
      <c r="T187" s="455">
        <f t="shared" si="15"/>
        <v>47299</v>
      </c>
      <c r="U187" s="324">
        <f>'Overall Metrics'!M241</f>
        <v>86771</v>
      </c>
    </row>
    <row r="188" spans="1:21" ht="16.350000000000001" customHeight="1">
      <c r="A188" s="175">
        <f t="shared" si="12"/>
        <v>2025</v>
      </c>
      <c r="B188" s="454" t="str">
        <f t="shared" si="13"/>
        <v>28</v>
      </c>
      <c r="C188" s="454" t="str">
        <f t="array" ref="C188">_xlfn.IFS(_xlfn.NUMBERVALUE(B188)&lt;=13,"Q1",AND(_xlfn.NUMBERVALUE(B188)&gt;13,_xlfn.NUMBERVALUE(B188)&lt;=26),"Q2", AND(_xlfn.NUMBERVALUE(B188)&gt;26,_xlfn.NUMBERVALUE(B188)&lt;=39),"Q3",_xlfn.NUMBERVALUE(B188)&gt;39,"Q4")</f>
        <v>Q3</v>
      </c>
      <c r="D188" s="448">
        <f t="shared" si="16"/>
        <v>45507</v>
      </c>
      <c r="E188" s="448">
        <f t="shared" si="17"/>
        <v>45513</v>
      </c>
      <c r="F188" s="308">
        <v>202428</v>
      </c>
      <c r="G188" s="125">
        <v>1014</v>
      </c>
      <c r="H188" s="873">
        <v>1725</v>
      </c>
      <c r="I188" s="873">
        <v>2443</v>
      </c>
      <c r="J188" s="873">
        <v>1917</v>
      </c>
      <c r="K188" s="873">
        <v>1701</v>
      </c>
      <c r="L188" s="873">
        <v>2058</v>
      </c>
      <c r="M188" s="873">
        <v>2168</v>
      </c>
      <c r="N188" s="873">
        <v>2307</v>
      </c>
      <c r="O188" s="873">
        <v>4439</v>
      </c>
      <c r="P188" s="873">
        <v>3997</v>
      </c>
      <c r="Q188" s="873">
        <v>2119</v>
      </c>
      <c r="R188" s="873">
        <v>3847</v>
      </c>
      <c r="S188" s="325">
        <f t="shared" si="14"/>
        <v>29735</v>
      </c>
      <c r="T188" s="455">
        <f t="shared" si="15"/>
        <v>84668</v>
      </c>
      <c r="U188" s="324">
        <f>'Overall Metrics'!M242</f>
        <v>114403</v>
      </c>
    </row>
    <row r="189" spans="1:21" ht="16.350000000000001" customHeight="1">
      <c r="A189" s="175">
        <f t="shared" si="12"/>
        <v>2025</v>
      </c>
      <c r="B189" s="454" t="str">
        <f t="shared" si="13"/>
        <v>29</v>
      </c>
      <c r="C189" s="454" t="str">
        <f t="array" ref="C189">_xlfn.IFS(_xlfn.NUMBERVALUE(B189)&lt;=13,"Q1",AND(_xlfn.NUMBERVALUE(B189)&gt;13,_xlfn.NUMBERVALUE(B189)&lt;=26),"Q2", AND(_xlfn.NUMBERVALUE(B189)&gt;26,_xlfn.NUMBERVALUE(B189)&lt;=39),"Q3",_xlfn.NUMBERVALUE(B189)&gt;39,"Q4")</f>
        <v>Q3</v>
      </c>
      <c r="D189" s="448">
        <f t="shared" si="16"/>
        <v>45514</v>
      </c>
      <c r="E189" s="448">
        <f t="shared" si="17"/>
        <v>45520</v>
      </c>
      <c r="F189" s="308">
        <v>202429</v>
      </c>
      <c r="G189" s="125">
        <v>3150</v>
      </c>
      <c r="H189" s="873">
        <v>4097</v>
      </c>
      <c r="I189" s="873">
        <v>2903</v>
      </c>
      <c r="J189" s="873">
        <v>1425</v>
      </c>
      <c r="K189" s="873">
        <v>3693</v>
      </c>
      <c r="L189" s="873">
        <v>3800</v>
      </c>
      <c r="M189" s="873">
        <v>4283</v>
      </c>
      <c r="N189" s="873">
        <v>1109</v>
      </c>
      <c r="O189" s="873">
        <v>3768</v>
      </c>
      <c r="P189" s="873">
        <v>1416</v>
      </c>
      <c r="Q189" s="873">
        <v>4796</v>
      </c>
      <c r="R189" s="873">
        <v>1757</v>
      </c>
      <c r="S189" s="325">
        <f t="shared" si="14"/>
        <v>36197</v>
      </c>
      <c r="T189" s="455">
        <f t="shared" si="15"/>
        <v>77831</v>
      </c>
      <c r="U189" s="324">
        <f>'Overall Metrics'!M243</f>
        <v>114028</v>
      </c>
    </row>
    <row r="190" spans="1:21" ht="16.350000000000001" customHeight="1">
      <c r="A190" s="175">
        <f t="shared" si="12"/>
        <v>2025</v>
      </c>
      <c r="B190" s="454" t="str">
        <f t="shared" si="13"/>
        <v>30</v>
      </c>
      <c r="C190" s="454" t="str">
        <f t="array" ref="C190">_xlfn.IFS(_xlfn.NUMBERVALUE(B190)&lt;=13,"Q1",AND(_xlfn.NUMBERVALUE(B190)&gt;13,_xlfn.NUMBERVALUE(B190)&lt;=26),"Q2", AND(_xlfn.NUMBERVALUE(B190)&gt;26,_xlfn.NUMBERVALUE(B190)&lt;=39),"Q3",_xlfn.NUMBERVALUE(B190)&gt;39,"Q4")</f>
        <v>Q3</v>
      </c>
      <c r="D190" s="448">
        <f t="shared" si="16"/>
        <v>45521</v>
      </c>
      <c r="E190" s="448">
        <f t="shared" si="17"/>
        <v>45527</v>
      </c>
      <c r="F190" s="308">
        <v>202430</v>
      </c>
      <c r="G190" s="125">
        <v>2849</v>
      </c>
      <c r="H190" s="873">
        <v>4220</v>
      </c>
      <c r="I190" s="873">
        <v>3194</v>
      </c>
      <c r="J190" s="873">
        <v>1190</v>
      </c>
      <c r="K190" s="873">
        <v>3110</v>
      </c>
      <c r="L190" s="873">
        <v>4256</v>
      </c>
      <c r="M190" s="873">
        <v>3053</v>
      </c>
      <c r="N190" s="873">
        <v>4665</v>
      </c>
      <c r="O190" s="873">
        <v>3547</v>
      </c>
      <c r="P190" s="873">
        <v>4848</v>
      </c>
      <c r="Q190" s="873">
        <v>1304</v>
      </c>
      <c r="R190" s="873">
        <v>3677</v>
      </c>
      <c r="S190" s="325">
        <f t="shared" si="14"/>
        <v>39913</v>
      </c>
      <c r="T190" s="455">
        <f t="shared" si="15"/>
        <v>93790</v>
      </c>
      <c r="U190" s="324">
        <f>'Overall Metrics'!M244</f>
        <v>133703</v>
      </c>
    </row>
    <row r="191" spans="1:21" ht="16.350000000000001" customHeight="1">
      <c r="A191" s="175">
        <f t="shared" si="12"/>
        <v>2025</v>
      </c>
      <c r="B191" s="454" t="str">
        <f t="shared" si="13"/>
        <v>31</v>
      </c>
      <c r="C191" s="454" t="str">
        <f t="array" ref="C191">_xlfn.IFS(_xlfn.NUMBERVALUE(B191)&lt;=13,"Q1",AND(_xlfn.NUMBERVALUE(B191)&gt;13,_xlfn.NUMBERVALUE(B191)&lt;=26),"Q2", AND(_xlfn.NUMBERVALUE(B191)&gt;26,_xlfn.NUMBERVALUE(B191)&lt;=39),"Q3",_xlfn.NUMBERVALUE(B191)&gt;39,"Q4")</f>
        <v>Q3</v>
      </c>
      <c r="D191" s="448">
        <f t="shared" si="16"/>
        <v>45528</v>
      </c>
      <c r="E191" s="448">
        <f t="shared" si="17"/>
        <v>45534</v>
      </c>
      <c r="F191" s="308">
        <v>202431</v>
      </c>
      <c r="G191" s="125">
        <v>1379</v>
      </c>
      <c r="H191" s="873">
        <v>4135</v>
      </c>
      <c r="I191" s="873">
        <v>3984</v>
      </c>
      <c r="J191" s="873">
        <v>2536</v>
      </c>
      <c r="K191" s="873">
        <v>2352</v>
      </c>
      <c r="L191" s="873">
        <v>3485</v>
      </c>
      <c r="M191" s="873">
        <v>4964</v>
      </c>
      <c r="N191" s="873">
        <v>2548</v>
      </c>
      <c r="O191" s="873">
        <v>2108</v>
      </c>
      <c r="P191" s="873">
        <v>2381</v>
      </c>
      <c r="Q191" s="873">
        <v>2825</v>
      </c>
      <c r="R191" s="873">
        <v>2173</v>
      </c>
      <c r="S191" s="325">
        <f t="shared" si="14"/>
        <v>34870</v>
      </c>
      <c r="T191" s="455">
        <f t="shared" si="15"/>
        <v>103395</v>
      </c>
      <c r="U191" s="324">
        <f>'Overall Metrics'!M245</f>
        <v>138265</v>
      </c>
    </row>
    <row r="192" spans="1:21" ht="16.350000000000001" customHeight="1">
      <c r="A192" s="175">
        <f t="shared" si="12"/>
        <v>2025</v>
      </c>
      <c r="B192" s="454" t="str">
        <f t="shared" si="13"/>
        <v>32</v>
      </c>
      <c r="C192" s="454" t="str">
        <f t="array" ref="C192">_xlfn.IFS(_xlfn.NUMBERVALUE(B192)&lt;=13,"Q1",AND(_xlfn.NUMBERVALUE(B192)&gt;13,_xlfn.NUMBERVALUE(B192)&lt;=26),"Q2", AND(_xlfn.NUMBERVALUE(B192)&gt;26,_xlfn.NUMBERVALUE(B192)&lt;=39),"Q3",_xlfn.NUMBERVALUE(B192)&gt;39,"Q4")</f>
        <v>Q3</v>
      </c>
      <c r="D192" s="448">
        <f t="shared" si="16"/>
        <v>45535</v>
      </c>
      <c r="E192" s="448">
        <f t="shared" si="17"/>
        <v>45541</v>
      </c>
      <c r="F192" s="308">
        <v>202432</v>
      </c>
      <c r="G192" s="125">
        <v>1101</v>
      </c>
      <c r="H192" s="873">
        <v>3638</v>
      </c>
      <c r="I192" s="873">
        <v>4320</v>
      </c>
      <c r="J192" s="873">
        <v>1332</v>
      </c>
      <c r="K192" s="873">
        <v>4261</v>
      </c>
      <c r="L192" s="873">
        <v>1775</v>
      </c>
      <c r="M192" s="873">
        <v>1054</v>
      </c>
      <c r="N192" s="873">
        <v>4124</v>
      </c>
      <c r="O192" s="873">
        <v>1581</v>
      </c>
      <c r="P192" s="873">
        <v>3423</v>
      </c>
      <c r="Q192" s="873">
        <v>2678</v>
      </c>
      <c r="R192" s="873">
        <v>4223</v>
      </c>
      <c r="S192" s="325">
        <f t="shared" si="14"/>
        <v>33510</v>
      </c>
      <c r="T192" s="455">
        <f t="shared" si="15"/>
        <v>82004</v>
      </c>
      <c r="U192" s="324">
        <f>'Overall Metrics'!M246</f>
        <v>115514</v>
      </c>
    </row>
    <row r="193" spans="1:21" ht="16.350000000000001" customHeight="1">
      <c r="A193" s="175">
        <f t="shared" si="12"/>
        <v>2025</v>
      </c>
      <c r="B193" s="454" t="str">
        <f t="shared" si="13"/>
        <v>33</v>
      </c>
      <c r="C193" s="454" t="str">
        <f t="array" ref="C193">_xlfn.IFS(_xlfn.NUMBERVALUE(B193)&lt;=13,"Q1",AND(_xlfn.NUMBERVALUE(B193)&gt;13,_xlfn.NUMBERVALUE(B193)&lt;=26),"Q2", AND(_xlfn.NUMBERVALUE(B193)&gt;26,_xlfn.NUMBERVALUE(B193)&lt;=39),"Q3",_xlfn.NUMBERVALUE(B193)&gt;39,"Q4")</f>
        <v>Q3</v>
      </c>
      <c r="D193" s="448">
        <f t="shared" si="16"/>
        <v>45542</v>
      </c>
      <c r="E193" s="448">
        <f t="shared" si="17"/>
        <v>45548</v>
      </c>
      <c r="F193" s="308">
        <v>202433</v>
      </c>
      <c r="G193" s="125">
        <v>3938</v>
      </c>
      <c r="H193" s="873">
        <v>1627</v>
      </c>
      <c r="I193" s="873">
        <v>4160</v>
      </c>
      <c r="J193" s="873">
        <v>1056</v>
      </c>
      <c r="K193" s="873">
        <v>4385</v>
      </c>
      <c r="L193" s="873">
        <v>3153</v>
      </c>
      <c r="M193" s="873">
        <v>2957</v>
      </c>
      <c r="N193" s="873">
        <v>2153</v>
      </c>
      <c r="O193" s="873">
        <v>2539</v>
      </c>
      <c r="P193" s="873">
        <v>2742</v>
      </c>
      <c r="Q193" s="873">
        <v>1026</v>
      </c>
      <c r="R193" s="873">
        <v>2587</v>
      </c>
      <c r="S193" s="325">
        <f t="shared" si="14"/>
        <v>32323</v>
      </c>
      <c r="T193" s="455">
        <f t="shared" si="15"/>
        <v>81424</v>
      </c>
      <c r="U193" s="324">
        <f>'Overall Metrics'!M247</f>
        <v>113747</v>
      </c>
    </row>
    <row r="194" spans="1:21" ht="16.350000000000001" customHeight="1">
      <c r="A194" s="175">
        <f t="shared" si="12"/>
        <v>2025</v>
      </c>
      <c r="B194" s="454" t="str">
        <f t="shared" si="13"/>
        <v>34</v>
      </c>
      <c r="C194" s="454" t="str">
        <f t="array" ref="C194">_xlfn.IFS(_xlfn.NUMBERVALUE(B194)&lt;=13,"Q1",AND(_xlfn.NUMBERVALUE(B194)&gt;13,_xlfn.NUMBERVALUE(B194)&lt;=26),"Q2", AND(_xlfn.NUMBERVALUE(B194)&gt;26,_xlfn.NUMBERVALUE(B194)&lt;=39),"Q3",_xlfn.NUMBERVALUE(B194)&gt;39,"Q4")</f>
        <v>Q3</v>
      </c>
      <c r="D194" s="448">
        <f t="shared" si="16"/>
        <v>45549</v>
      </c>
      <c r="E194" s="448">
        <f t="shared" si="17"/>
        <v>45555</v>
      </c>
      <c r="F194" s="308">
        <v>202434</v>
      </c>
      <c r="G194" s="125">
        <v>4663</v>
      </c>
      <c r="H194" s="873">
        <v>1486</v>
      </c>
      <c r="I194" s="873">
        <v>2746</v>
      </c>
      <c r="J194" s="873">
        <v>4897</v>
      </c>
      <c r="K194" s="873">
        <v>1016</v>
      </c>
      <c r="L194" s="873">
        <v>3575</v>
      </c>
      <c r="M194" s="873">
        <v>2442</v>
      </c>
      <c r="N194" s="873">
        <v>1428</v>
      </c>
      <c r="O194" s="873">
        <v>1014</v>
      </c>
      <c r="P194" s="873">
        <v>4450</v>
      </c>
      <c r="Q194" s="873">
        <v>4102</v>
      </c>
      <c r="R194" s="873">
        <v>3873</v>
      </c>
      <c r="S194" s="325">
        <f t="shared" si="14"/>
        <v>35692</v>
      </c>
      <c r="T194" s="455">
        <f t="shared" si="15"/>
        <v>85688</v>
      </c>
      <c r="U194" s="324">
        <f>'Overall Metrics'!M248</f>
        <v>121380</v>
      </c>
    </row>
    <row r="195" spans="1:21" ht="16.350000000000001" customHeight="1">
      <c r="A195" s="175">
        <f t="shared" si="12"/>
        <v>2025</v>
      </c>
      <c r="B195" s="454" t="str">
        <f t="shared" si="13"/>
        <v>35</v>
      </c>
      <c r="C195" s="454" t="str">
        <f t="array" ref="C195">_xlfn.IFS(_xlfn.NUMBERVALUE(B195)&lt;=13,"Q1",AND(_xlfn.NUMBERVALUE(B195)&gt;13,_xlfn.NUMBERVALUE(B195)&lt;=26),"Q2", AND(_xlfn.NUMBERVALUE(B195)&gt;26,_xlfn.NUMBERVALUE(B195)&lt;=39),"Q3",_xlfn.NUMBERVALUE(B195)&gt;39,"Q4")</f>
        <v>Q3</v>
      </c>
      <c r="D195" s="448">
        <f t="shared" si="16"/>
        <v>45556</v>
      </c>
      <c r="E195" s="448">
        <f t="shared" si="17"/>
        <v>45562</v>
      </c>
      <c r="F195" s="308">
        <v>202435</v>
      </c>
      <c r="G195" s="125">
        <v>1105</v>
      </c>
      <c r="H195" s="873">
        <v>1321</v>
      </c>
      <c r="I195" s="873">
        <v>4934</v>
      </c>
      <c r="J195" s="873">
        <v>3270</v>
      </c>
      <c r="K195" s="873">
        <v>2668</v>
      </c>
      <c r="L195" s="873">
        <v>4782</v>
      </c>
      <c r="M195" s="873">
        <v>4699</v>
      </c>
      <c r="N195" s="873">
        <v>3771</v>
      </c>
      <c r="O195" s="873">
        <v>1464</v>
      </c>
      <c r="P195" s="873">
        <v>4331</v>
      </c>
      <c r="Q195" s="873">
        <v>4989</v>
      </c>
      <c r="R195" s="873">
        <v>4086</v>
      </c>
      <c r="S195" s="325">
        <f t="shared" si="14"/>
        <v>41420</v>
      </c>
      <c r="T195" s="455">
        <f t="shared" si="15"/>
        <v>74000</v>
      </c>
      <c r="U195" s="324">
        <f>'Overall Metrics'!M249</f>
        <v>115420</v>
      </c>
    </row>
    <row r="196" spans="1:21" ht="16.350000000000001" customHeight="1">
      <c r="A196" s="175">
        <f t="shared" si="12"/>
        <v>2025</v>
      </c>
      <c r="B196" s="454" t="str">
        <f t="shared" si="13"/>
        <v>36</v>
      </c>
      <c r="C196" s="454" t="str">
        <f t="array" ref="C196">_xlfn.IFS(_xlfn.NUMBERVALUE(B196)&lt;=13,"Q1",AND(_xlfn.NUMBERVALUE(B196)&gt;13,_xlfn.NUMBERVALUE(B196)&lt;=26),"Q2", AND(_xlfn.NUMBERVALUE(B196)&gt;26,_xlfn.NUMBERVALUE(B196)&lt;=39),"Q3",_xlfn.NUMBERVALUE(B196)&gt;39,"Q4")</f>
        <v>Q3</v>
      </c>
      <c r="D196" s="448">
        <f t="shared" si="16"/>
        <v>45563</v>
      </c>
      <c r="E196" s="448">
        <f t="shared" si="17"/>
        <v>45569</v>
      </c>
      <c r="F196" s="308">
        <v>202436</v>
      </c>
      <c r="G196" s="125">
        <v>1941</v>
      </c>
      <c r="H196" s="873">
        <v>2786</v>
      </c>
      <c r="I196" s="873">
        <v>2644</v>
      </c>
      <c r="J196" s="873">
        <v>2304</v>
      </c>
      <c r="K196" s="873">
        <v>4973</v>
      </c>
      <c r="L196" s="873">
        <v>1603</v>
      </c>
      <c r="M196" s="873">
        <v>1799</v>
      </c>
      <c r="N196" s="873">
        <v>1721</v>
      </c>
      <c r="O196" s="873">
        <v>1309</v>
      </c>
      <c r="P196" s="873">
        <v>1121</v>
      </c>
      <c r="Q196" s="873">
        <v>2228</v>
      </c>
      <c r="R196" s="873">
        <v>4020</v>
      </c>
      <c r="S196" s="325">
        <f t="shared" si="14"/>
        <v>28449</v>
      </c>
      <c r="T196" s="455">
        <f t="shared" si="15"/>
        <v>97849</v>
      </c>
      <c r="U196" s="324">
        <f>'Overall Metrics'!M250</f>
        <v>126298</v>
      </c>
    </row>
    <row r="197" spans="1:21" ht="16.350000000000001" customHeight="1">
      <c r="A197" s="175">
        <f t="shared" ref="A197:A265" si="18">LEFT(F197,4)+1</f>
        <v>2025</v>
      </c>
      <c r="B197" s="454" t="str">
        <f t="shared" ref="B197:B265" si="19">RIGHT(F197,2)</f>
        <v>37</v>
      </c>
      <c r="C197" s="454" t="str">
        <f t="array" ref="C197">_xlfn.IFS(_xlfn.NUMBERVALUE(B197)&lt;=13,"Q1",AND(_xlfn.NUMBERVALUE(B197)&gt;13,_xlfn.NUMBERVALUE(B197)&lt;=26),"Q2", AND(_xlfn.NUMBERVALUE(B197)&gt;26,_xlfn.NUMBERVALUE(B197)&lt;=39),"Q3",_xlfn.NUMBERVALUE(B197)&gt;39,"Q4")</f>
        <v>Q3</v>
      </c>
      <c r="D197" s="448">
        <f t="shared" si="16"/>
        <v>45570</v>
      </c>
      <c r="E197" s="448">
        <f t="shared" si="17"/>
        <v>45576</v>
      </c>
      <c r="F197" s="308">
        <v>202437</v>
      </c>
      <c r="G197" s="125">
        <v>2558</v>
      </c>
      <c r="H197" s="873">
        <v>3341</v>
      </c>
      <c r="I197" s="873">
        <v>3664</v>
      </c>
      <c r="J197" s="873">
        <v>4758</v>
      </c>
      <c r="K197" s="873">
        <v>3847</v>
      </c>
      <c r="L197" s="873">
        <v>2860</v>
      </c>
      <c r="M197" s="873">
        <v>4761</v>
      </c>
      <c r="N197" s="873">
        <v>1749</v>
      </c>
      <c r="O197" s="873">
        <v>2646</v>
      </c>
      <c r="P197" s="873">
        <v>4045</v>
      </c>
      <c r="Q197" s="873">
        <v>3899</v>
      </c>
      <c r="R197" s="873">
        <v>4145</v>
      </c>
      <c r="S197" s="325">
        <f t="shared" ref="S197:S260" si="20">SUM(G197:R197)</f>
        <v>42273</v>
      </c>
      <c r="T197" s="455">
        <f t="shared" ref="T197:T260" si="21">U197-S197</f>
        <v>65205</v>
      </c>
      <c r="U197" s="324">
        <f>'Overall Metrics'!M251</f>
        <v>107478</v>
      </c>
    </row>
    <row r="198" spans="1:21" ht="16.350000000000001" customHeight="1">
      <c r="A198" s="175">
        <f t="shared" si="18"/>
        <v>2025</v>
      </c>
      <c r="B198" s="454" t="str">
        <f t="shared" si="19"/>
        <v>38</v>
      </c>
      <c r="C198" s="454" t="str">
        <f t="array" ref="C198">_xlfn.IFS(_xlfn.NUMBERVALUE(B198)&lt;=13,"Q1",AND(_xlfn.NUMBERVALUE(B198)&gt;13,_xlfn.NUMBERVALUE(B198)&lt;=26),"Q2", AND(_xlfn.NUMBERVALUE(B198)&gt;26,_xlfn.NUMBERVALUE(B198)&lt;=39),"Q3",_xlfn.NUMBERVALUE(B198)&gt;39,"Q4")</f>
        <v>Q3</v>
      </c>
      <c r="D198" s="448">
        <f t="shared" ref="D198:D265" si="22">E197+1</f>
        <v>45577</v>
      </c>
      <c r="E198" s="448">
        <f t="shared" ref="E198:E261" si="23">D198+6</f>
        <v>45583</v>
      </c>
      <c r="F198" s="308">
        <v>202438</v>
      </c>
      <c r="G198" s="125">
        <v>3139</v>
      </c>
      <c r="H198" s="873">
        <v>1209</v>
      </c>
      <c r="I198" s="873">
        <v>2658</v>
      </c>
      <c r="J198" s="873">
        <v>1678</v>
      </c>
      <c r="K198" s="873">
        <v>3740</v>
      </c>
      <c r="L198" s="873">
        <v>1982</v>
      </c>
      <c r="M198" s="873">
        <v>4431</v>
      </c>
      <c r="N198" s="873">
        <v>1765</v>
      </c>
      <c r="O198" s="873">
        <v>3411</v>
      </c>
      <c r="P198" s="873">
        <v>1753</v>
      </c>
      <c r="Q198" s="873">
        <v>1348</v>
      </c>
      <c r="R198" s="873">
        <v>4511</v>
      </c>
      <c r="S198" s="325">
        <f t="shared" si="20"/>
        <v>31625</v>
      </c>
      <c r="T198" s="455">
        <f t="shared" si="21"/>
        <v>68307</v>
      </c>
      <c r="U198" s="324">
        <f>'Overall Metrics'!M252</f>
        <v>99932</v>
      </c>
    </row>
    <row r="199" spans="1:21" ht="16.350000000000001" customHeight="1">
      <c r="A199" s="175">
        <f t="shared" si="18"/>
        <v>2025</v>
      </c>
      <c r="B199" s="454" t="str">
        <f t="shared" si="19"/>
        <v>39</v>
      </c>
      <c r="C199" s="454" t="str">
        <f t="array" ref="C199">_xlfn.IFS(_xlfn.NUMBERVALUE(B199)&lt;=13,"Q1",AND(_xlfn.NUMBERVALUE(B199)&gt;13,_xlfn.NUMBERVALUE(B199)&lt;=26),"Q2", AND(_xlfn.NUMBERVALUE(B199)&gt;26,_xlfn.NUMBERVALUE(B199)&lt;=39),"Q3",_xlfn.NUMBERVALUE(B199)&gt;39,"Q4")</f>
        <v>Q3</v>
      </c>
      <c r="D199" s="448">
        <f t="shared" si="22"/>
        <v>45584</v>
      </c>
      <c r="E199" s="448">
        <f t="shared" si="23"/>
        <v>45590</v>
      </c>
      <c r="F199" s="308">
        <v>202439</v>
      </c>
      <c r="G199" s="125">
        <v>2011</v>
      </c>
      <c r="H199" s="873">
        <v>4962</v>
      </c>
      <c r="I199" s="873">
        <v>1374</v>
      </c>
      <c r="J199" s="873">
        <v>2255</v>
      </c>
      <c r="K199" s="873">
        <v>4868</v>
      </c>
      <c r="L199" s="873">
        <v>2529</v>
      </c>
      <c r="M199" s="873">
        <v>4642</v>
      </c>
      <c r="N199" s="873">
        <v>4679</v>
      </c>
      <c r="O199" s="873">
        <v>1593</v>
      </c>
      <c r="P199" s="873">
        <v>4987</v>
      </c>
      <c r="Q199" s="873">
        <v>3709</v>
      </c>
      <c r="R199" s="873">
        <v>3221</v>
      </c>
      <c r="S199" s="325">
        <f t="shared" si="20"/>
        <v>40830</v>
      </c>
      <c r="T199" s="455">
        <f t="shared" si="21"/>
        <v>83106</v>
      </c>
      <c r="U199" s="324">
        <f>'Overall Metrics'!M253</f>
        <v>123936</v>
      </c>
    </row>
    <row r="200" spans="1:21" ht="16.350000000000001" customHeight="1">
      <c r="A200" s="175">
        <f t="shared" si="18"/>
        <v>2025</v>
      </c>
      <c r="B200" s="454" t="str">
        <f t="shared" si="19"/>
        <v>40</v>
      </c>
      <c r="C200" s="454" t="str">
        <f t="array" ref="C200">_xlfn.IFS(_xlfn.NUMBERVALUE(B200)&lt;=13,"Q1",AND(_xlfn.NUMBERVALUE(B200)&gt;13,_xlfn.NUMBERVALUE(B200)&lt;=26),"Q2", AND(_xlfn.NUMBERVALUE(B200)&gt;26,_xlfn.NUMBERVALUE(B200)&lt;=39),"Q3",_xlfn.NUMBERVALUE(B200)&gt;39,"Q4")</f>
        <v>Q4</v>
      </c>
      <c r="D200" s="448">
        <f t="shared" si="22"/>
        <v>45591</v>
      </c>
      <c r="E200" s="448">
        <f t="shared" si="23"/>
        <v>45597</v>
      </c>
      <c r="F200" s="308">
        <v>202440</v>
      </c>
      <c r="G200" s="125">
        <v>2205</v>
      </c>
      <c r="H200" s="873">
        <v>3420</v>
      </c>
      <c r="I200" s="873">
        <v>4463</v>
      </c>
      <c r="J200" s="873">
        <v>3746</v>
      </c>
      <c r="K200" s="873">
        <v>1330</v>
      </c>
      <c r="L200" s="873">
        <v>2435</v>
      </c>
      <c r="M200" s="873">
        <v>3376</v>
      </c>
      <c r="N200" s="873">
        <v>4469</v>
      </c>
      <c r="O200" s="873">
        <v>4353</v>
      </c>
      <c r="P200" s="873">
        <v>2315</v>
      </c>
      <c r="Q200" s="873">
        <v>4276</v>
      </c>
      <c r="R200" s="873">
        <v>2419</v>
      </c>
      <c r="S200" s="325">
        <f t="shared" si="20"/>
        <v>38807</v>
      </c>
      <c r="T200" s="455">
        <f t="shared" si="21"/>
        <v>66390</v>
      </c>
      <c r="U200" s="324">
        <f>'Overall Metrics'!M254</f>
        <v>105197</v>
      </c>
    </row>
    <row r="201" spans="1:21" ht="16.350000000000001" customHeight="1">
      <c r="A201" s="175">
        <f t="shared" si="18"/>
        <v>2025</v>
      </c>
      <c r="B201" s="454" t="str">
        <f t="shared" si="19"/>
        <v>41</v>
      </c>
      <c r="C201" s="454" t="str">
        <f t="array" ref="C201">_xlfn.IFS(_xlfn.NUMBERVALUE(B201)&lt;=13,"Q1",AND(_xlfn.NUMBERVALUE(B201)&gt;13,_xlfn.NUMBERVALUE(B201)&lt;=26),"Q2", AND(_xlfn.NUMBERVALUE(B201)&gt;26,_xlfn.NUMBERVALUE(B201)&lt;=39),"Q3",_xlfn.NUMBERVALUE(B201)&gt;39,"Q4")</f>
        <v>Q4</v>
      </c>
      <c r="D201" s="448">
        <f t="shared" si="22"/>
        <v>45598</v>
      </c>
      <c r="E201" s="448">
        <f t="shared" si="23"/>
        <v>45604</v>
      </c>
      <c r="F201" s="308">
        <v>202441</v>
      </c>
      <c r="G201" s="125">
        <v>4336</v>
      </c>
      <c r="H201" s="873">
        <v>3061</v>
      </c>
      <c r="I201" s="873">
        <v>3658</v>
      </c>
      <c r="J201" s="873">
        <v>4884</v>
      </c>
      <c r="K201" s="873">
        <v>1271</v>
      </c>
      <c r="L201" s="873">
        <v>1280</v>
      </c>
      <c r="M201" s="873">
        <v>3081</v>
      </c>
      <c r="N201" s="873">
        <v>2403</v>
      </c>
      <c r="O201" s="873">
        <v>2102</v>
      </c>
      <c r="P201" s="873">
        <v>4588</v>
      </c>
      <c r="Q201" s="873">
        <v>2357</v>
      </c>
      <c r="R201" s="873">
        <v>2117</v>
      </c>
      <c r="S201" s="325">
        <f t="shared" si="20"/>
        <v>35138</v>
      </c>
      <c r="T201" s="455">
        <f t="shared" si="21"/>
        <v>98365</v>
      </c>
      <c r="U201" s="324">
        <f>'Overall Metrics'!M255</f>
        <v>133503</v>
      </c>
    </row>
    <row r="202" spans="1:21" ht="16.350000000000001" customHeight="1">
      <c r="A202" s="175">
        <f t="shared" si="18"/>
        <v>2025</v>
      </c>
      <c r="B202" s="454" t="str">
        <f t="shared" si="19"/>
        <v>42</v>
      </c>
      <c r="C202" s="454" t="str">
        <f t="array" ref="C202">_xlfn.IFS(_xlfn.NUMBERVALUE(B202)&lt;=13,"Q1",AND(_xlfn.NUMBERVALUE(B202)&gt;13,_xlfn.NUMBERVALUE(B202)&lt;=26),"Q2", AND(_xlfn.NUMBERVALUE(B202)&gt;26,_xlfn.NUMBERVALUE(B202)&lt;=39),"Q3",_xlfn.NUMBERVALUE(B202)&gt;39,"Q4")</f>
        <v>Q4</v>
      </c>
      <c r="D202" s="448">
        <f t="shared" si="22"/>
        <v>45605</v>
      </c>
      <c r="E202" s="448">
        <f t="shared" si="23"/>
        <v>45611</v>
      </c>
      <c r="F202" s="308">
        <v>202442</v>
      </c>
      <c r="G202" s="125">
        <v>1355</v>
      </c>
      <c r="H202" s="873">
        <v>3460</v>
      </c>
      <c r="I202" s="873">
        <v>4387</v>
      </c>
      <c r="J202" s="873">
        <v>2172</v>
      </c>
      <c r="K202" s="873">
        <v>4158</v>
      </c>
      <c r="L202" s="873">
        <v>3065</v>
      </c>
      <c r="M202" s="873">
        <v>1927</v>
      </c>
      <c r="N202" s="873">
        <v>3268</v>
      </c>
      <c r="O202" s="873">
        <v>3573</v>
      </c>
      <c r="P202" s="873">
        <v>2330</v>
      </c>
      <c r="Q202" s="873">
        <v>4578</v>
      </c>
      <c r="R202" s="873">
        <v>4086</v>
      </c>
      <c r="S202" s="325">
        <f t="shared" si="20"/>
        <v>38359</v>
      </c>
      <c r="T202" s="455">
        <f t="shared" si="21"/>
        <v>115348</v>
      </c>
      <c r="U202" s="324">
        <f>'Overall Metrics'!M256</f>
        <v>153707</v>
      </c>
    </row>
    <row r="203" spans="1:21" ht="16.350000000000001" customHeight="1">
      <c r="A203" s="175">
        <f t="shared" si="18"/>
        <v>2025</v>
      </c>
      <c r="B203" s="454" t="str">
        <f t="shared" si="19"/>
        <v>43</v>
      </c>
      <c r="C203" s="454" t="str">
        <f t="array" ref="C203">_xlfn.IFS(_xlfn.NUMBERVALUE(B203)&lt;=13,"Q1",AND(_xlfn.NUMBERVALUE(B203)&gt;13,_xlfn.NUMBERVALUE(B203)&lt;=26),"Q2", AND(_xlfn.NUMBERVALUE(B203)&gt;26,_xlfn.NUMBERVALUE(B203)&lt;=39),"Q3",_xlfn.NUMBERVALUE(B203)&gt;39,"Q4")</f>
        <v>Q4</v>
      </c>
      <c r="D203" s="448">
        <f t="shared" si="22"/>
        <v>45612</v>
      </c>
      <c r="E203" s="448">
        <f t="shared" si="23"/>
        <v>45618</v>
      </c>
      <c r="F203" s="308">
        <v>202443</v>
      </c>
      <c r="G203" s="125">
        <v>1489</v>
      </c>
      <c r="H203" s="873">
        <v>2353</v>
      </c>
      <c r="I203" s="873">
        <v>3037</v>
      </c>
      <c r="J203" s="873">
        <v>4198</v>
      </c>
      <c r="K203" s="873">
        <v>2616</v>
      </c>
      <c r="L203" s="873">
        <v>2552</v>
      </c>
      <c r="M203" s="873">
        <v>3933</v>
      </c>
      <c r="N203" s="873">
        <v>2012</v>
      </c>
      <c r="O203" s="873">
        <v>1758</v>
      </c>
      <c r="P203" s="873">
        <v>3794</v>
      </c>
      <c r="Q203" s="873">
        <v>1746</v>
      </c>
      <c r="R203" s="873">
        <v>2300</v>
      </c>
      <c r="S203" s="325">
        <f t="shared" si="20"/>
        <v>31788</v>
      </c>
      <c r="T203" s="455">
        <f t="shared" si="21"/>
        <v>86546</v>
      </c>
      <c r="U203" s="324">
        <f>'Overall Metrics'!M257</f>
        <v>118334</v>
      </c>
    </row>
    <row r="204" spans="1:21" ht="16.350000000000001" customHeight="1">
      <c r="A204" s="175">
        <f t="shared" si="18"/>
        <v>2025</v>
      </c>
      <c r="B204" s="454" t="str">
        <f t="shared" si="19"/>
        <v>44</v>
      </c>
      <c r="C204" s="454" t="str">
        <f t="array" ref="C204">_xlfn.IFS(_xlfn.NUMBERVALUE(B204)&lt;=13,"Q1",AND(_xlfn.NUMBERVALUE(B204)&gt;13,_xlfn.NUMBERVALUE(B204)&lt;=26),"Q2", AND(_xlfn.NUMBERVALUE(B204)&gt;26,_xlfn.NUMBERVALUE(B204)&lt;=39),"Q3",_xlfn.NUMBERVALUE(B204)&gt;39,"Q4")</f>
        <v>Q4</v>
      </c>
      <c r="D204" s="448">
        <f t="shared" si="22"/>
        <v>45619</v>
      </c>
      <c r="E204" s="448">
        <f t="shared" si="23"/>
        <v>45625</v>
      </c>
      <c r="F204" s="308">
        <v>202444</v>
      </c>
      <c r="G204" s="125">
        <v>1187</v>
      </c>
      <c r="H204" s="873">
        <v>3185</v>
      </c>
      <c r="I204" s="873">
        <v>4629</v>
      </c>
      <c r="J204" s="873">
        <v>3668</v>
      </c>
      <c r="K204" s="873">
        <v>2044</v>
      </c>
      <c r="L204" s="873">
        <v>2362</v>
      </c>
      <c r="M204" s="873">
        <v>3037</v>
      </c>
      <c r="N204" s="873">
        <v>1690</v>
      </c>
      <c r="O204" s="873">
        <v>2336</v>
      </c>
      <c r="P204" s="873">
        <v>3551</v>
      </c>
      <c r="Q204" s="873">
        <v>4335</v>
      </c>
      <c r="R204" s="873">
        <v>1388</v>
      </c>
      <c r="S204" s="325">
        <f t="shared" si="20"/>
        <v>33412</v>
      </c>
      <c r="T204" s="455">
        <f t="shared" si="21"/>
        <v>63040</v>
      </c>
      <c r="U204" s="324">
        <f>'Overall Metrics'!M258</f>
        <v>96452</v>
      </c>
    </row>
    <row r="205" spans="1:21" ht="16.350000000000001" customHeight="1">
      <c r="A205" s="175">
        <f t="shared" si="18"/>
        <v>2025</v>
      </c>
      <c r="B205" s="454" t="str">
        <f t="shared" si="19"/>
        <v>45</v>
      </c>
      <c r="C205" s="454" t="str">
        <f t="array" ref="C205">_xlfn.IFS(_xlfn.NUMBERVALUE(B205)&lt;=13,"Q1",AND(_xlfn.NUMBERVALUE(B205)&gt;13,_xlfn.NUMBERVALUE(B205)&lt;=26),"Q2", AND(_xlfn.NUMBERVALUE(B205)&gt;26,_xlfn.NUMBERVALUE(B205)&lt;=39),"Q3",_xlfn.NUMBERVALUE(B205)&gt;39,"Q4")</f>
        <v>Q4</v>
      </c>
      <c r="D205" s="448">
        <f t="shared" si="22"/>
        <v>45626</v>
      </c>
      <c r="E205" s="448">
        <f t="shared" si="23"/>
        <v>45632</v>
      </c>
      <c r="F205" s="308">
        <v>202445</v>
      </c>
      <c r="G205" s="125">
        <v>1403</v>
      </c>
      <c r="H205" s="873">
        <v>4094</v>
      </c>
      <c r="I205" s="873">
        <v>2196</v>
      </c>
      <c r="J205" s="873">
        <v>3829</v>
      </c>
      <c r="K205" s="873">
        <v>1196</v>
      </c>
      <c r="L205" s="873">
        <v>3088</v>
      </c>
      <c r="M205" s="873">
        <v>3154</v>
      </c>
      <c r="N205" s="873">
        <v>1413</v>
      </c>
      <c r="O205" s="873">
        <v>2062</v>
      </c>
      <c r="P205" s="873">
        <v>1958</v>
      </c>
      <c r="Q205" s="873">
        <v>2165</v>
      </c>
      <c r="R205" s="873">
        <v>1203</v>
      </c>
      <c r="S205" s="325">
        <f t="shared" si="20"/>
        <v>27761</v>
      </c>
      <c r="T205" s="455">
        <f t="shared" si="21"/>
        <v>89193</v>
      </c>
      <c r="U205" s="324">
        <f>'Overall Metrics'!M259</f>
        <v>116954</v>
      </c>
    </row>
    <row r="206" spans="1:21" ht="16.350000000000001" customHeight="1">
      <c r="A206" s="175">
        <f t="shared" si="18"/>
        <v>2025</v>
      </c>
      <c r="B206" s="454" t="str">
        <f t="shared" si="19"/>
        <v>46</v>
      </c>
      <c r="C206" s="454" t="str">
        <f t="array" ref="C206">_xlfn.IFS(_xlfn.NUMBERVALUE(B206)&lt;=13,"Q1",AND(_xlfn.NUMBERVALUE(B206)&gt;13,_xlfn.NUMBERVALUE(B206)&lt;=26),"Q2", AND(_xlfn.NUMBERVALUE(B206)&gt;26,_xlfn.NUMBERVALUE(B206)&lt;=39),"Q3",_xlfn.NUMBERVALUE(B206)&gt;39,"Q4")</f>
        <v>Q4</v>
      </c>
      <c r="D206" s="448">
        <f t="shared" si="22"/>
        <v>45633</v>
      </c>
      <c r="E206" s="448">
        <f t="shared" si="23"/>
        <v>45639</v>
      </c>
      <c r="F206" s="308">
        <v>202446</v>
      </c>
      <c r="G206" s="125">
        <v>2720</v>
      </c>
      <c r="H206" s="873">
        <v>1849</v>
      </c>
      <c r="I206" s="873">
        <v>4461</v>
      </c>
      <c r="J206" s="873">
        <v>3639</v>
      </c>
      <c r="K206" s="873">
        <v>1062</v>
      </c>
      <c r="L206" s="873">
        <v>2142</v>
      </c>
      <c r="M206" s="873">
        <v>3457</v>
      </c>
      <c r="N206" s="873">
        <v>3094</v>
      </c>
      <c r="O206" s="873">
        <v>2272</v>
      </c>
      <c r="P206" s="873">
        <v>2821</v>
      </c>
      <c r="Q206" s="873">
        <v>3682</v>
      </c>
      <c r="R206" s="873">
        <v>3943</v>
      </c>
      <c r="S206" s="325">
        <f t="shared" si="20"/>
        <v>35142</v>
      </c>
      <c r="T206" s="455">
        <f t="shared" si="21"/>
        <v>91124</v>
      </c>
      <c r="U206" s="324">
        <f>'Overall Metrics'!M260</f>
        <v>126266</v>
      </c>
    </row>
    <row r="207" spans="1:21" ht="16.350000000000001" customHeight="1">
      <c r="A207" s="175">
        <f t="shared" si="18"/>
        <v>2025</v>
      </c>
      <c r="B207" s="454" t="str">
        <f t="shared" si="19"/>
        <v>47</v>
      </c>
      <c r="C207" s="454" t="str">
        <f t="array" ref="C207">_xlfn.IFS(_xlfn.NUMBERVALUE(B207)&lt;=13,"Q1",AND(_xlfn.NUMBERVALUE(B207)&gt;13,_xlfn.NUMBERVALUE(B207)&lt;=26),"Q2", AND(_xlfn.NUMBERVALUE(B207)&gt;26,_xlfn.NUMBERVALUE(B207)&lt;=39),"Q3",_xlfn.NUMBERVALUE(B207)&gt;39,"Q4")</f>
        <v>Q4</v>
      </c>
      <c r="D207" s="448">
        <f t="shared" si="22"/>
        <v>45640</v>
      </c>
      <c r="E207" s="448">
        <f t="shared" si="23"/>
        <v>45646</v>
      </c>
      <c r="F207" s="308">
        <v>202447</v>
      </c>
      <c r="G207" s="125">
        <v>2406</v>
      </c>
      <c r="H207" s="873">
        <v>1658</v>
      </c>
      <c r="I207" s="873">
        <v>3840</v>
      </c>
      <c r="J207" s="873">
        <v>4068</v>
      </c>
      <c r="K207" s="873">
        <v>4502</v>
      </c>
      <c r="L207" s="873">
        <v>4537</v>
      </c>
      <c r="M207" s="873">
        <v>3467</v>
      </c>
      <c r="N207" s="873">
        <v>4668</v>
      </c>
      <c r="O207" s="873">
        <v>3298</v>
      </c>
      <c r="P207" s="873">
        <v>2886</v>
      </c>
      <c r="Q207" s="873">
        <v>3237</v>
      </c>
      <c r="R207" s="873">
        <v>3853</v>
      </c>
      <c r="S207" s="325">
        <f t="shared" si="20"/>
        <v>42420</v>
      </c>
      <c r="T207" s="455">
        <f t="shared" si="21"/>
        <v>54854</v>
      </c>
      <c r="U207" s="324">
        <f>'Overall Metrics'!M261</f>
        <v>97274</v>
      </c>
    </row>
    <row r="208" spans="1:21" ht="16.350000000000001" customHeight="1">
      <c r="A208" s="175">
        <f t="shared" si="18"/>
        <v>2025</v>
      </c>
      <c r="B208" s="454" t="str">
        <f t="shared" si="19"/>
        <v>48</v>
      </c>
      <c r="C208" s="454" t="str">
        <f t="array" ref="C208">_xlfn.IFS(_xlfn.NUMBERVALUE(B208)&lt;=13,"Q1",AND(_xlfn.NUMBERVALUE(B208)&gt;13,_xlfn.NUMBERVALUE(B208)&lt;=26),"Q2", AND(_xlfn.NUMBERVALUE(B208)&gt;26,_xlfn.NUMBERVALUE(B208)&lt;=39),"Q3",_xlfn.NUMBERVALUE(B208)&gt;39,"Q4")</f>
        <v>Q4</v>
      </c>
      <c r="D208" s="448">
        <f t="shared" si="22"/>
        <v>45647</v>
      </c>
      <c r="E208" s="448">
        <f t="shared" si="23"/>
        <v>45653</v>
      </c>
      <c r="F208" s="308">
        <v>202448</v>
      </c>
      <c r="G208" s="125">
        <v>3708</v>
      </c>
      <c r="H208" s="873">
        <v>2317</v>
      </c>
      <c r="I208" s="873">
        <v>1876</v>
      </c>
      <c r="J208" s="873">
        <v>3406</v>
      </c>
      <c r="K208" s="873">
        <v>2697</v>
      </c>
      <c r="L208" s="873">
        <v>3669</v>
      </c>
      <c r="M208" s="873">
        <v>4686</v>
      </c>
      <c r="N208" s="873">
        <v>1222</v>
      </c>
      <c r="O208" s="873">
        <v>4914</v>
      </c>
      <c r="P208" s="873">
        <v>2304</v>
      </c>
      <c r="Q208" s="873">
        <v>2933</v>
      </c>
      <c r="R208" s="873">
        <v>4441</v>
      </c>
      <c r="S208" s="325">
        <f t="shared" si="20"/>
        <v>38173</v>
      </c>
      <c r="T208" s="455">
        <f t="shared" si="21"/>
        <v>98053</v>
      </c>
      <c r="U208" s="324">
        <f>'Overall Metrics'!M262</f>
        <v>136226</v>
      </c>
    </row>
    <row r="209" spans="1:21" ht="16.350000000000001" customHeight="1">
      <c r="A209" s="175">
        <f t="shared" si="18"/>
        <v>2025</v>
      </c>
      <c r="B209" s="454" t="str">
        <f t="shared" si="19"/>
        <v>49</v>
      </c>
      <c r="C209" s="454" t="str">
        <f t="array" ref="C209">_xlfn.IFS(_xlfn.NUMBERVALUE(B209)&lt;=13,"Q1",AND(_xlfn.NUMBERVALUE(B209)&gt;13,_xlfn.NUMBERVALUE(B209)&lt;=26),"Q2", AND(_xlfn.NUMBERVALUE(B209)&gt;26,_xlfn.NUMBERVALUE(B209)&lt;=39),"Q3",_xlfn.NUMBERVALUE(B209)&gt;39,"Q4")</f>
        <v>Q4</v>
      </c>
      <c r="D209" s="448">
        <f t="shared" si="22"/>
        <v>45654</v>
      </c>
      <c r="E209" s="448">
        <f t="shared" si="23"/>
        <v>45660</v>
      </c>
      <c r="F209" s="308">
        <v>202449</v>
      </c>
      <c r="G209" s="125">
        <v>3077</v>
      </c>
      <c r="H209" s="873">
        <v>3802</v>
      </c>
      <c r="I209" s="873">
        <v>1019</v>
      </c>
      <c r="J209" s="873">
        <v>4755</v>
      </c>
      <c r="K209" s="873">
        <v>4229</v>
      </c>
      <c r="L209" s="873">
        <v>4265</v>
      </c>
      <c r="M209" s="873">
        <v>2672</v>
      </c>
      <c r="N209" s="873">
        <v>3974</v>
      </c>
      <c r="O209" s="873">
        <v>2722</v>
      </c>
      <c r="P209" s="873">
        <v>3096</v>
      </c>
      <c r="Q209" s="873">
        <v>4121</v>
      </c>
      <c r="R209" s="873">
        <v>4585</v>
      </c>
      <c r="S209" s="325">
        <f t="shared" si="20"/>
        <v>42317</v>
      </c>
      <c r="T209" s="455">
        <f t="shared" si="21"/>
        <v>46706</v>
      </c>
      <c r="U209" s="324">
        <f>'Overall Metrics'!M263</f>
        <v>89023</v>
      </c>
    </row>
    <row r="210" spans="1:21" ht="16.350000000000001" customHeight="1">
      <c r="A210" s="175">
        <f t="shared" si="18"/>
        <v>2025</v>
      </c>
      <c r="B210" s="454" t="str">
        <f t="shared" si="19"/>
        <v>50</v>
      </c>
      <c r="C210" s="454" t="str">
        <f t="array" ref="C210">_xlfn.IFS(_xlfn.NUMBERVALUE(B210)&lt;=13,"Q1",AND(_xlfn.NUMBERVALUE(B210)&gt;13,_xlfn.NUMBERVALUE(B210)&lt;=26),"Q2", AND(_xlfn.NUMBERVALUE(B210)&gt;26,_xlfn.NUMBERVALUE(B210)&lt;=39),"Q3",_xlfn.NUMBERVALUE(B210)&gt;39,"Q4")</f>
        <v>Q4</v>
      </c>
      <c r="D210" s="448">
        <f t="shared" si="22"/>
        <v>45661</v>
      </c>
      <c r="E210" s="448">
        <f t="shared" si="23"/>
        <v>45667</v>
      </c>
      <c r="F210" s="308">
        <v>202450</v>
      </c>
      <c r="G210" s="125">
        <v>3594</v>
      </c>
      <c r="H210" s="873">
        <v>1156</v>
      </c>
      <c r="I210" s="873">
        <v>2078</v>
      </c>
      <c r="J210" s="873">
        <v>3968</v>
      </c>
      <c r="K210" s="873">
        <v>3116</v>
      </c>
      <c r="L210" s="873">
        <v>3250</v>
      </c>
      <c r="M210" s="873">
        <v>2022</v>
      </c>
      <c r="N210" s="873">
        <v>1124</v>
      </c>
      <c r="O210" s="873">
        <v>1724</v>
      </c>
      <c r="P210" s="873">
        <v>2364</v>
      </c>
      <c r="Q210" s="873">
        <v>3468</v>
      </c>
      <c r="R210" s="873">
        <v>4056</v>
      </c>
      <c r="S210" s="325">
        <f t="shared" si="20"/>
        <v>31920</v>
      </c>
      <c r="T210" s="455">
        <f t="shared" si="21"/>
        <v>74003</v>
      </c>
      <c r="U210" s="324">
        <f>'Overall Metrics'!M264</f>
        <v>105923</v>
      </c>
    </row>
    <row r="211" spans="1:21" ht="16.350000000000001" customHeight="1">
      <c r="A211" s="175">
        <f t="shared" si="18"/>
        <v>2025</v>
      </c>
      <c r="B211" s="454" t="str">
        <f t="shared" si="19"/>
        <v>51</v>
      </c>
      <c r="C211" s="454" t="str">
        <f t="array" ref="C211">_xlfn.IFS(_xlfn.NUMBERVALUE(B211)&lt;=13,"Q1",AND(_xlfn.NUMBERVALUE(B211)&gt;13,_xlfn.NUMBERVALUE(B211)&lt;=26),"Q2", AND(_xlfn.NUMBERVALUE(B211)&gt;26,_xlfn.NUMBERVALUE(B211)&lt;=39),"Q3",_xlfn.NUMBERVALUE(B211)&gt;39,"Q4")</f>
        <v>Q4</v>
      </c>
      <c r="D211" s="448">
        <f t="shared" si="22"/>
        <v>45668</v>
      </c>
      <c r="E211" s="448">
        <f t="shared" si="23"/>
        <v>45674</v>
      </c>
      <c r="F211" s="308">
        <v>202451</v>
      </c>
      <c r="G211" s="125">
        <v>2186</v>
      </c>
      <c r="H211" s="873">
        <v>4402</v>
      </c>
      <c r="I211" s="873">
        <v>1613</v>
      </c>
      <c r="J211" s="873">
        <v>4204</v>
      </c>
      <c r="K211" s="873">
        <v>2517</v>
      </c>
      <c r="L211" s="873">
        <v>2232</v>
      </c>
      <c r="M211" s="873">
        <v>3640</v>
      </c>
      <c r="N211" s="873">
        <v>2962</v>
      </c>
      <c r="O211" s="873">
        <v>2248</v>
      </c>
      <c r="P211" s="873">
        <v>3853</v>
      </c>
      <c r="Q211" s="873">
        <v>4181</v>
      </c>
      <c r="R211" s="873">
        <v>3478</v>
      </c>
      <c r="S211" s="325">
        <f t="shared" si="20"/>
        <v>37516</v>
      </c>
      <c r="T211" s="455">
        <f t="shared" si="21"/>
        <v>65792</v>
      </c>
      <c r="U211" s="324">
        <f>'Overall Metrics'!M265</f>
        <v>103308</v>
      </c>
    </row>
    <row r="212" spans="1:21" ht="16.350000000000001" customHeight="1">
      <c r="A212" s="175">
        <f t="shared" si="18"/>
        <v>2025</v>
      </c>
      <c r="B212" s="454" t="str">
        <f t="shared" si="19"/>
        <v>52</v>
      </c>
      <c r="C212" s="454" t="str">
        <f t="array" ref="C212">_xlfn.IFS(_xlfn.NUMBERVALUE(B212)&lt;=13,"Q1",AND(_xlfn.NUMBERVALUE(B212)&gt;13,_xlfn.NUMBERVALUE(B212)&lt;=26),"Q2", AND(_xlfn.NUMBERVALUE(B212)&gt;26,_xlfn.NUMBERVALUE(B212)&lt;=39),"Q3",_xlfn.NUMBERVALUE(B212)&gt;39,"Q4")</f>
        <v>Q4</v>
      </c>
      <c r="D212" s="448">
        <f t="shared" si="22"/>
        <v>45675</v>
      </c>
      <c r="E212" s="448">
        <f t="shared" si="23"/>
        <v>45681</v>
      </c>
      <c r="F212" s="308">
        <v>202452</v>
      </c>
      <c r="G212" s="125">
        <v>4084</v>
      </c>
      <c r="H212" s="873">
        <v>3778</v>
      </c>
      <c r="I212" s="873">
        <v>4182</v>
      </c>
      <c r="J212" s="873">
        <v>3609</v>
      </c>
      <c r="K212" s="873">
        <v>1378</v>
      </c>
      <c r="L212" s="873">
        <v>2909</v>
      </c>
      <c r="M212" s="873">
        <v>1655</v>
      </c>
      <c r="N212" s="873">
        <v>2451</v>
      </c>
      <c r="O212" s="873">
        <v>3108</v>
      </c>
      <c r="P212" s="873">
        <v>4053</v>
      </c>
      <c r="Q212" s="873">
        <v>2901</v>
      </c>
      <c r="R212" s="873">
        <v>2678</v>
      </c>
      <c r="S212" s="325">
        <f t="shared" si="20"/>
        <v>36786</v>
      </c>
      <c r="T212" s="455">
        <f t="shared" si="21"/>
        <v>67442</v>
      </c>
      <c r="U212" s="324">
        <f>'Overall Metrics'!M266</f>
        <v>104228</v>
      </c>
    </row>
    <row r="213" spans="1:21" ht="17.100000000000001" customHeight="1">
      <c r="A213" s="175">
        <f t="shared" si="18"/>
        <v>2025</v>
      </c>
      <c r="B213" s="454" t="str">
        <f t="shared" si="19"/>
        <v>53</v>
      </c>
      <c r="C213" s="454" t="str">
        <f t="array" ref="C213">_xlfn.IFS(_xlfn.NUMBERVALUE(B213)&lt;=13,"Q1",AND(_xlfn.NUMBERVALUE(B213)&gt;13,_xlfn.NUMBERVALUE(B213)&lt;=26),"Q2", AND(_xlfn.NUMBERVALUE(B213)&gt;26,_xlfn.NUMBERVALUE(B213)&lt;=39),"Q3",_xlfn.NUMBERVALUE(B213)&gt;39,"Q4")</f>
        <v>Q4</v>
      </c>
      <c r="D213" s="448">
        <f t="shared" si="22"/>
        <v>45682</v>
      </c>
      <c r="E213" s="448">
        <f t="shared" si="23"/>
        <v>45688</v>
      </c>
      <c r="F213" s="308">
        <v>202453</v>
      </c>
      <c r="G213" s="125">
        <v>4377</v>
      </c>
      <c r="H213" s="873">
        <v>4583</v>
      </c>
      <c r="I213" s="873">
        <v>2587</v>
      </c>
      <c r="J213" s="873">
        <v>1790</v>
      </c>
      <c r="K213" s="873">
        <v>4579</v>
      </c>
      <c r="L213" s="873">
        <v>4464</v>
      </c>
      <c r="M213" s="873">
        <v>4344</v>
      </c>
      <c r="N213" s="873">
        <v>2134</v>
      </c>
      <c r="O213" s="873">
        <v>2669</v>
      </c>
      <c r="P213" s="873">
        <v>3950</v>
      </c>
      <c r="Q213" s="873">
        <v>3057</v>
      </c>
      <c r="R213" s="873">
        <v>1392</v>
      </c>
      <c r="S213" s="325">
        <f t="shared" si="20"/>
        <v>39926</v>
      </c>
      <c r="T213" s="455">
        <f t="shared" si="21"/>
        <v>71792</v>
      </c>
      <c r="U213" s="324">
        <f>'Overall Metrics'!M267</f>
        <v>111718</v>
      </c>
    </row>
    <row r="214" spans="1:21" ht="16.350000000000001" customHeight="1">
      <c r="A214" s="175">
        <f t="shared" si="18"/>
        <v>2026</v>
      </c>
      <c r="B214" s="454" t="str">
        <f t="shared" si="19"/>
        <v>01</v>
      </c>
      <c r="C214" s="454" t="str">
        <f t="array" ref="C214">_xlfn.IFS(_xlfn.NUMBERVALUE(B214)&lt;=13,"Q1",AND(_xlfn.NUMBERVALUE(B214)&gt;13,_xlfn.NUMBERVALUE(B214)&lt;=26),"Q2", AND(_xlfn.NUMBERVALUE(B214)&gt;26,_xlfn.NUMBERVALUE(B214)&lt;=39),"Q3",_xlfn.NUMBERVALUE(B214)&gt;39,"Q4")</f>
        <v>Q1</v>
      </c>
      <c r="D214" s="448">
        <f t="shared" si="22"/>
        <v>45689</v>
      </c>
      <c r="E214" s="448">
        <f t="shared" si="23"/>
        <v>45695</v>
      </c>
      <c r="F214" s="308">
        <v>202501</v>
      </c>
      <c r="G214" s="125">
        <v>4911</v>
      </c>
      <c r="H214" s="873">
        <v>4988</v>
      </c>
      <c r="I214" s="873">
        <v>3793</v>
      </c>
      <c r="J214" s="873">
        <v>3925</v>
      </c>
      <c r="K214" s="873">
        <v>3279</v>
      </c>
      <c r="L214" s="873">
        <v>4040</v>
      </c>
      <c r="M214" s="873">
        <v>3407</v>
      </c>
      <c r="N214" s="873">
        <v>2756</v>
      </c>
      <c r="O214" s="873">
        <v>1704</v>
      </c>
      <c r="P214" s="873">
        <v>2798</v>
      </c>
      <c r="Q214" s="873">
        <v>2810</v>
      </c>
      <c r="R214" s="873">
        <v>3112</v>
      </c>
      <c r="S214" s="325">
        <f t="shared" si="20"/>
        <v>41523</v>
      </c>
      <c r="T214" s="455">
        <f t="shared" si="21"/>
        <v>95176</v>
      </c>
      <c r="U214" s="324">
        <f>'Overall Metrics'!M268</f>
        <v>136699</v>
      </c>
    </row>
    <row r="215" spans="1:21" ht="16.350000000000001" customHeight="1">
      <c r="A215" s="175">
        <f t="shared" si="18"/>
        <v>2026</v>
      </c>
      <c r="B215" s="454" t="str">
        <f t="shared" si="19"/>
        <v>02</v>
      </c>
      <c r="C215" s="454" t="str">
        <f t="array" ref="C215">_xlfn.IFS(_xlfn.NUMBERVALUE(B215)&lt;=13,"Q1",AND(_xlfn.NUMBERVALUE(B215)&gt;13,_xlfn.NUMBERVALUE(B215)&lt;=26),"Q2", AND(_xlfn.NUMBERVALUE(B215)&gt;26,_xlfn.NUMBERVALUE(B215)&lt;=39),"Q3",_xlfn.NUMBERVALUE(B215)&gt;39,"Q4")</f>
        <v>Q1</v>
      </c>
      <c r="D215" s="448">
        <f t="shared" si="22"/>
        <v>45696</v>
      </c>
      <c r="E215" s="448">
        <f t="shared" si="23"/>
        <v>45702</v>
      </c>
      <c r="F215" s="308">
        <v>202502</v>
      </c>
      <c r="G215" s="125">
        <v>3284</v>
      </c>
      <c r="H215" s="873">
        <v>4002</v>
      </c>
      <c r="I215" s="873">
        <v>1763</v>
      </c>
      <c r="J215" s="873">
        <v>4510</v>
      </c>
      <c r="K215" s="873">
        <v>3590</v>
      </c>
      <c r="L215" s="873">
        <v>1664</v>
      </c>
      <c r="M215" s="873">
        <v>1289</v>
      </c>
      <c r="N215" s="873">
        <v>4204</v>
      </c>
      <c r="O215" s="873">
        <v>2947</v>
      </c>
      <c r="P215" s="873">
        <v>4274</v>
      </c>
      <c r="Q215" s="873">
        <v>2704</v>
      </c>
      <c r="R215" s="873">
        <v>4912</v>
      </c>
      <c r="S215" s="325">
        <f t="shared" si="20"/>
        <v>39143</v>
      </c>
      <c r="T215" s="455">
        <f t="shared" si="21"/>
        <v>65988</v>
      </c>
      <c r="U215" s="324">
        <f>'Overall Metrics'!M269</f>
        <v>105131</v>
      </c>
    </row>
    <row r="216" spans="1:21" ht="16.350000000000001" customHeight="1">
      <c r="A216" s="175">
        <f t="shared" si="18"/>
        <v>2026</v>
      </c>
      <c r="B216" s="454" t="str">
        <f t="shared" si="19"/>
        <v>03</v>
      </c>
      <c r="C216" s="454" t="str">
        <f t="array" ref="C216">_xlfn.IFS(_xlfn.NUMBERVALUE(B216)&lt;=13,"Q1",AND(_xlfn.NUMBERVALUE(B216)&gt;13,_xlfn.NUMBERVALUE(B216)&lt;=26),"Q2", AND(_xlfn.NUMBERVALUE(B216)&gt;26,_xlfn.NUMBERVALUE(B216)&lt;=39),"Q3",_xlfn.NUMBERVALUE(B216)&gt;39,"Q4")</f>
        <v>Q1</v>
      </c>
      <c r="D216" s="448">
        <f t="shared" si="22"/>
        <v>45703</v>
      </c>
      <c r="E216" s="448">
        <f t="shared" si="23"/>
        <v>45709</v>
      </c>
      <c r="F216" s="308">
        <v>202503</v>
      </c>
      <c r="G216" s="125">
        <v>4871</v>
      </c>
      <c r="H216" s="873">
        <v>4272</v>
      </c>
      <c r="I216" s="873">
        <v>4683</v>
      </c>
      <c r="J216" s="873">
        <v>1748</v>
      </c>
      <c r="K216" s="873">
        <v>2756</v>
      </c>
      <c r="L216" s="873">
        <v>1675</v>
      </c>
      <c r="M216" s="873">
        <v>1756</v>
      </c>
      <c r="N216" s="873">
        <v>2083</v>
      </c>
      <c r="O216" s="873">
        <v>1656</v>
      </c>
      <c r="P216" s="873">
        <v>4379</v>
      </c>
      <c r="Q216" s="873">
        <v>1808</v>
      </c>
      <c r="R216" s="873">
        <v>3589</v>
      </c>
      <c r="S216" s="325">
        <f t="shared" si="20"/>
        <v>35276</v>
      </c>
      <c r="T216" s="455">
        <f t="shared" si="21"/>
        <v>86836</v>
      </c>
      <c r="U216" s="324">
        <f>'Overall Metrics'!M270</f>
        <v>122112</v>
      </c>
    </row>
    <row r="217" spans="1:21" ht="16.350000000000001" customHeight="1">
      <c r="A217" s="175">
        <f t="shared" si="18"/>
        <v>2026</v>
      </c>
      <c r="B217" s="454" t="str">
        <f t="shared" si="19"/>
        <v>04</v>
      </c>
      <c r="C217" s="454" t="str">
        <f t="array" ref="C217">_xlfn.IFS(_xlfn.NUMBERVALUE(B217)&lt;=13,"Q1",AND(_xlfn.NUMBERVALUE(B217)&gt;13,_xlfn.NUMBERVALUE(B217)&lt;=26),"Q2", AND(_xlfn.NUMBERVALUE(B217)&gt;26,_xlfn.NUMBERVALUE(B217)&lt;=39),"Q3",_xlfn.NUMBERVALUE(B217)&gt;39,"Q4")</f>
        <v>Q1</v>
      </c>
      <c r="D217" s="448">
        <f t="shared" si="22"/>
        <v>45710</v>
      </c>
      <c r="E217" s="448">
        <f t="shared" si="23"/>
        <v>45716</v>
      </c>
      <c r="F217" s="308">
        <v>202504</v>
      </c>
      <c r="G217" s="125">
        <v>2005</v>
      </c>
      <c r="H217" s="873">
        <v>2820</v>
      </c>
      <c r="I217" s="873">
        <v>4255</v>
      </c>
      <c r="J217" s="873">
        <v>4072</v>
      </c>
      <c r="K217" s="873">
        <v>3162</v>
      </c>
      <c r="L217" s="873">
        <v>4003</v>
      </c>
      <c r="M217" s="873">
        <v>2224</v>
      </c>
      <c r="N217" s="873">
        <v>1254</v>
      </c>
      <c r="O217" s="873">
        <v>2816</v>
      </c>
      <c r="P217" s="873">
        <v>4874</v>
      </c>
      <c r="Q217" s="873">
        <v>1314</v>
      </c>
      <c r="R217" s="873">
        <v>4462</v>
      </c>
      <c r="S217" s="325">
        <f t="shared" si="20"/>
        <v>37261</v>
      </c>
      <c r="T217" s="455">
        <f t="shared" si="21"/>
        <v>100006</v>
      </c>
      <c r="U217" s="324">
        <f>'Overall Metrics'!M271</f>
        <v>137267</v>
      </c>
    </row>
    <row r="218" spans="1:21" ht="16.350000000000001" customHeight="1">
      <c r="A218" s="175">
        <f t="shared" si="18"/>
        <v>2026</v>
      </c>
      <c r="B218" s="454" t="str">
        <f t="shared" si="19"/>
        <v>05</v>
      </c>
      <c r="C218" s="454" t="str">
        <f t="array" ref="C218">_xlfn.IFS(_xlfn.NUMBERVALUE(B218)&lt;=13,"Q1",AND(_xlfn.NUMBERVALUE(B218)&gt;13,_xlfn.NUMBERVALUE(B218)&lt;=26),"Q2", AND(_xlfn.NUMBERVALUE(B218)&gt;26,_xlfn.NUMBERVALUE(B218)&lt;=39),"Q3",_xlfn.NUMBERVALUE(B218)&gt;39,"Q4")</f>
        <v>Q1</v>
      </c>
      <c r="D218" s="448">
        <f t="shared" si="22"/>
        <v>45717</v>
      </c>
      <c r="E218" s="448">
        <f t="shared" si="23"/>
        <v>45723</v>
      </c>
      <c r="F218" s="308">
        <v>202505</v>
      </c>
      <c r="G218" s="125">
        <v>3091</v>
      </c>
      <c r="H218" s="873">
        <v>1667</v>
      </c>
      <c r="I218" s="873">
        <v>3913</v>
      </c>
      <c r="J218" s="873">
        <v>1679</v>
      </c>
      <c r="K218" s="873">
        <v>4037</v>
      </c>
      <c r="L218" s="873">
        <v>4220</v>
      </c>
      <c r="M218" s="873">
        <v>3557</v>
      </c>
      <c r="N218" s="873">
        <v>2428</v>
      </c>
      <c r="O218" s="873">
        <v>4065</v>
      </c>
      <c r="P218" s="873">
        <v>3782</v>
      </c>
      <c r="Q218" s="873">
        <v>1504</v>
      </c>
      <c r="R218" s="873">
        <v>2354</v>
      </c>
      <c r="S218" s="325">
        <f t="shared" si="20"/>
        <v>36297</v>
      </c>
      <c r="T218" s="455">
        <f t="shared" si="21"/>
        <v>81421</v>
      </c>
      <c r="U218" s="324">
        <f>'Overall Metrics'!M272</f>
        <v>117718</v>
      </c>
    </row>
    <row r="219" spans="1:21" ht="16.350000000000001" customHeight="1">
      <c r="A219" s="175">
        <f t="shared" si="18"/>
        <v>2026</v>
      </c>
      <c r="B219" s="454" t="str">
        <f t="shared" si="19"/>
        <v>06</v>
      </c>
      <c r="C219" s="454" t="str">
        <f t="array" ref="C219">_xlfn.IFS(_xlfn.NUMBERVALUE(B219)&lt;=13,"Q1",AND(_xlfn.NUMBERVALUE(B219)&gt;13,_xlfn.NUMBERVALUE(B219)&lt;=26),"Q2", AND(_xlfn.NUMBERVALUE(B219)&gt;26,_xlfn.NUMBERVALUE(B219)&lt;=39),"Q3",_xlfn.NUMBERVALUE(B219)&gt;39,"Q4")</f>
        <v>Q1</v>
      </c>
      <c r="D219" s="448">
        <f t="shared" si="22"/>
        <v>45724</v>
      </c>
      <c r="E219" s="448">
        <f t="shared" si="23"/>
        <v>45730</v>
      </c>
      <c r="F219" s="308">
        <v>202506</v>
      </c>
      <c r="G219" s="125">
        <v>1403</v>
      </c>
      <c r="H219" s="92">
        <v>4094</v>
      </c>
      <c r="I219" s="92">
        <v>2196</v>
      </c>
      <c r="J219" s="92">
        <v>3829</v>
      </c>
      <c r="K219" s="92">
        <v>1196</v>
      </c>
      <c r="L219" s="92">
        <v>3088</v>
      </c>
      <c r="M219" s="92">
        <v>3154</v>
      </c>
      <c r="N219" s="92">
        <v>1413</v>
      </c>
      <c r="O219" s="92">
        <v>2062</v>
      </c>
      <c r="P219" s="92">
        <v>1958</v>
      </c>
      <c r="Q219" s="92">
        <v>2165</v>
      </c>
      <c r="R219" s="92">
        <v>1203</v>
      </c>
      <c r="S219" s="325">
        <f t="shared" si="20"/>
        <v>27761</v>
      </c>
      <c r="T219" s="455">
        <f t="shared" si="21"/>
        <v>89193</v>
      </c>
      <c r="U219" s="324">
        <f>'Overall Metrics'!M273</f>
        <v>116954</v>
      </c>
    </row>
    <row r="220" spans="1:21" ht="16.350000000000001" customHeight="1">
      <c r="A220" s="175">
        <f t="shared" si="18"/>
        <v>2026</v>
      </c>
      <c r="B220" s="454" t="str">
        <f t="shared" si="19"/>
        <v>07</v>
      </c>
      <c r="C220" s="454" t="str">
        <f t="array" ref="C220">_xlfn.IFS(_xlfn.NUMBERVALUE(B220)&lt;=13,"Q1",AND(_xlfn.NUMBERVALUE(B220)&gt;13,_xlfn.NUMBERVALUE(B220)&lt;=26),"Q2", AND(_xlfn.NUMBERVALUE(B220)&gt;26,_xlfn.NUMBERVALUE(B220)&lt;=39),"Q3",_xlfn.NUMBERVALUE(B220)&gt;39,"Q4")</f>
        <v>Q1</v>
      </c>
      <c r="D220" s="448">
        <f t="shared" si="22"/>
        <v>45731</v>
      </c>
      <c r="E220" s="448">
        <f t="shared" si="23"/>
        <v>45737</v>
      </c>
      <c r="F220" s="308">
        <v>202507</v>
      </c>
      <c r="G220" s="125"/>
      <c r="H220" s="92"/>
      <c r="I220" s="92"/>
      <c r="J220" s="92"/>
      <c r="K220" s="92"/>
      <c r="L220" s="92"/>
      <c r="M220" s="92"/>
      <c r="N220" s="92"/>
      <c r="O220" s="92"/>
      <c r="P220" s="92"/>
      <c r="Q220" s="92"/>
      <c r="R220" s="92"/>
      <c r="S220" s="325">
        <f t="shared" si="20"/>
        <v>0</v>
      </c>
      <c r="T220" s="455">
        <f t="shared" si="21"/>
        <v>0</v>
      </c>
      <c r="U220" s="324">
        <f>'Overall Metrics'!M274</f>
        <v>0</v>
      </c>
    </row>
    <row r="221" spans="1:21" ht="16.350000000000001" customHeight="1">
      <c r="A221" s="175">
        <f t="shared" si="18"/>
        <v>2026</v>
      </c>
      <c r="B221" s="454" t="str">
        <f t="shared" si="19"/>
        <v>08</v>
      </c>
      <c r="C221" s="454" t="str">
        <f t="array" ref="C221">_xlfn.IFS(_xlfn.NUMBERVALUE(B221)&lt;=13,"Q1",AND(_xlfn.NUMBERVALUE(B221)&gt;13,_xlfn.NUMBERVALUE(B221)&lt;=26),"Q2", AND(_xlfn.NUMBERVALUE(B221)&gt;26,_xlfn.NUMBERVALUE(B221)&lt;=39),"Q3",_xlfn.NUMBERVALUE(B221)&gt;39,"Q4")</f>
        <v>Q1</v>
      </c>
      <c r="D221" s="448">
        <f t="shared" si="22"/>
        <v>45738</v>
      </c>
      <c r="E221" s="448">
        <f t="shared" si="23"/>
        <v>45744</v>
      </c>
      <c r="F221" s="308">
        <v>202508</v>
      </c>
      <c r="G221" s="125"/>
      <c r="H221" s="92"/>
      <c r="I221" s="92"/>
      <c r="J221" s="92"/>
      <c r="K221" s="92"/>
      <c r="L221" s="92"/>
      <c r="M221" s="92"/>
      <c r="N221" s="92"/>
      <c r="O221" s="92"/>
      <c r="P221" s="92"/>
      <c r="Q221" s="92"/>
      <c r="R221" s="92"/>
      <c r="S221" s="325">
        <f t="shared" si="20"/>
        <v>0</v>
      </c>
      <c r="T221" s="455">
        <f t="shared" si="21"/>
        <v>0</v>
      </c>
      <c r="U221" s="324">
        <f>'Overall Metrics'!M275</f>
        <v>0</v>
      </c>
    </row>
    <row r="222" spans="1:21" ht="16.350000000000001" customHeight="1">
      <c r="A222" s="175">
        <f t="shared" si="18"/>
        <v>2026</v>
      </c>
      <c r="B222" s="454" t="str">
        <f t="shared" si="19"/>
        <v>09</v>
      </c>
      <c r="C222" s="454" t="str">
        <f t="array" ref="C222">_xlfn.IFS(_xlfn.NUMBERVALUE(B222)&lt;=13,"Q1",AND(_xlfn.NUMBERVALUE(B222)&gt;13,_xlfn.NUMBERVALUE(B222)&lt;=26),"Q2", AND(_xlfn.NUMBERVALUE(B222)&gt;26,_xlfn.NUMBERVALUE(B222)&lt;=39),"Q3",_xlfn.NUMBERVALUE(B222)&gt;39,"Q4")</f>
        <v>Q1</v>
      </c>
      <c r="D222" s="448">
        <f t="shared" si="22"/>
        <v>45745</v>
      </c>
      <c r="E222" s="448">
        <f t="shared" si="23"/>
        <v>45751</v>
      </c>
      <c r="F222" s="308">
        <v>202509</v>
      </c>
      <c r="G222" s="125"/>
      <c r="H222" s="92"/>
      <c r="I222" s="92"/>
      <c r="J222" s="92"/>
      <c r="K222" s="92"/>
      <c r="L222" s="92"/>
      <c r="M222" s="92"/>
      <c r="N222" s="92"/>
      <c r="O222" s="92"/>
      <c r="P222" s="92"/>
      <c r="Q222" s="92"/>
      <c r="R222" s="92"/>
      <c r="S222" s="325">
        <f t="shared" si="20"/>
        <v>0</v>
      </c>
      <c r="T222" s="455">
        <f t="shared" si="21"/>
        <v>0</v>
      </c>
      <c r="U222" s="324">
        <f>'Overall Metrics'!M276</f>
        <v>0</v>
      </c>
    </row>
    <row r="223" spans="1:21" ht="16.350000000000001" customHeight="1">
      <c r="A223" s="175">
        <f t="shared" si="18"/>
        <v>2026</v>
      </c>
      <c r="B223" s="454" t="str">
        <f t="shared" si="19"/>
        <v>10</v>
      </c>
      <c r="C223" s="454" t="str">
        <f t="array" ref="C223">_xlfn.IFS(_xlfn.NUMBERVALUE(B223)&lt;=13,"Q1",AND(_xlfn.NUMBERVALUE(B223)&gt;13,_xlfn.NUMBERVALUE(B223)&lt;=26),"Q2", AND(_xlfn.NUMBERVALUE(B223)&gt;26,_xlfn.NUMBERVALUE(B223)&lt;=39),"Q3",_xlfn.NUMBERVALUE(B223)&gt;39,"Q4")</f>
        <v>Q1</v>
      </c>
      <c r="D223" s="448">
        <f t="shared" si="22"/>
        <v>45752</v>
      </c>
      <c r="E223" s="448">
        <f t="shared" si="23"/>
        <v>45758</v>
      </c>
      <c r="F223" s="308">
        <v>202510</v>
      </c>
      <c r="G223" s="125"/>
      <c r="H223" s="92"/>
      <c r="I223" s="92"/>
      <c r="J223" s="92"/>
      <c r="K223" s="92"/>
      <c r="L223" s="92"/>
      <c r="M223" s="92"/>
      <c r="N223" s="92"/>
      <c r="O223" s="92"/>
      <c r="P223" s="92"/>
      <c r="Q223" s="92"/>
      <c r="R223" s="92"/>
      <c r="S223" s="325">
        <f t="shared" si="20"/>
        <v>0</v>
      </c>
      <c r="T223" s="455">
        <f t="shared" si="21"/>
        <v>0</v>
      </c>
      <c r="U223" s="324">
        <f>'Overall Metrics'!M277</f>
        <v>0</v>
      </c>
    </row>
    <row r="224" spans="1:21" ht="16.350000000000001" customHeight="1">
      <c r="A224" s="175">
        <f t="shared" si="18"/>
        <v>2026</v>
      </c>
      <c r="B224" s="454" t="str">
        <f t="shared" si="19"/>
        <v>11</v>
      </c>
      <c r="C224" s="454" t="str">
        <f t="array" ref="C224">_xlfn.IFS(_xlfn.NUMBERVALUE(B224)&lt;=13,"Q1",AND(_xlfn.NUMBERVALUE(B224)&gt;13,_xlfn.NUMBERVALUE(B224)&lt;=26),"Q2", AND(_xlfn.NUMBERVALUE(B224)&gt;26,_xlfn.NUMBERVALUE(B224)&lt;=39),"Q3",_xlfn.NUMBERVALUE(B224)&gt;39,"Q4")</f>
        <v>Q1</v>
      </c>
      <c r="D224" s="448">
        <f t="shared" si="22"/>
        <v>45759</v>
      </c>
      <c r="E224" s="448">
        <f t="shared" si="23"/>
        <v>45765</v>
      </c>
      <c r="F224" s="308">
        <v>202511</v>
      </c>
      <c r="G224" s="125"/>
      <c r="H224" s="92"/>
      <c r="I224" s="92"/>
      <c r="J224" s="92"/>
      <c r="K224" s="92"/>
      <c r="L224" s="92"/>
      <c r="M224" s="92"/>
      <c r="N224" s="92"/>
      <c r="O224" s="92"/>
      <c r="P224" s="92"/>
      <c r="Q224" s="92"/>
      <c r="R224" s="92"/>
      <c r="S224" s="325">
        <f t="shared" si="20"/>
        <v>0</v>
      </c>
      <c r="T224" s="455">
        <f t="shared" si="21"/>
        <v>0</v>
      </c>
      <c r="U224" s="324">
        <f>'Overall Metrics'!M278</f>
        <v>0</v>
      </c>
    </row>
    <row r="225" spans="1:21" ht="16.350000000000001" customHeight="1">
      <c r="A225" s="175">
        <f t="shared" si="18"/>
        <v>2026</v>
      </c>
      <c r="B225" s="454" t="str">
        <f t="shared" si="19"/>
        <v>12</v>
      </c>
      <c r="C225" s="454" t="str">
        <f t="array" ref="C225">_xlfn.IFS(_xlfn.NUMBERVALUE(B225)&lt;=13,"Q1",AND(_xlfn.NUMBERVALUE(B225)&gt;13,_xlfn.NUMBERVALUE(B225)&lt;=26),"Q2", AND(_xlfn.NUMBERVALUE(B225)&gt;26,_xlfn.NUMBERVALUE(B225)&lt;=39),"Q3",_xlfn.NUMBERVALUE(B225)&gt;39,"Q4")</f>
        <v>Q1</v>
      </c>
      <c r="D225" s="448">
        <f t="shared" si="22"/>
        <v>45766</v>
      </c>
      <c r="E225" s="448">
        <f t="shared" si="23"/>
        <v>45772</v>
      </c>
      <c r="F225" s="308">
        <v>202512</v>
      </c>
      <c r="G225" s="404"/>
      <c r="H225" s="340"/>
      <c r="I225" s="340"/>
      <c r="J225" s="340"/>
      <c r="K225" s="340"/>
      <c r="L225" s="340"/>
      <c r="M225" s="340"/>
      <c r="N225" s="340"/>
      <c r="O225" s="340"/>
      <c r="P225" s="340"/>
      <c r="Q225" s="340"/>
      <c r="R225" s="340"/>
      <c r="S225" s="325">
        <f t="shared" si="20"/>
        <v>0</v>
      </c>
      <c r="T225" s="455">
        <f t="shared" si="21"/>
        <v>0</v>
      </c>
      <c r="U225" s="324">
        <f>'Overall Metrics'!M279</f>
        <v>0</v>
      </c>
    </row>
    <row r="226" spans="1:21" ht="16.350000000000001" customHeight="1">
      <c r="A226" s="175">
        <f t="shared" si="18"/>
        <v>2026</v>
      </c>
      <c r="B226" s="454" t="str">
        <f t="shared" si="19"/>
        <v>13</v>
      </c>
      <c r="C226" s="454" t="str">
        <f t="array" ref="C226">_xlfn.IFS(_xlfn.NUMBERVALUE(B226)&lt;=13,"Q1",AND(_xlfn.NUMBERVALUE(B226)&gt;13,_xlfn.NUMBERVALUE(B226)&lt;=26),"Q2", AND(_xlfn.NUMBERVALUE(B226)&gt;26,_xlfn.NUMBERVALUE(B226)&lt;=39),"Q3",_xlfn.NUMBERVALUE(B226)&gt;39,"Q4")</f>
        <v>Q1</v>
      </c>
      <c r="D226" s="448">
        <f t="shared" si="22"/>
        <v>45773</v>
      </c>
      <c r="E226" s="448">
        <f t="shared" si="23"/>
        <v>45779</v>
      </c>
      <c r="F226" s="308">
        <v>202513</v>
      </c>
      <c r="G226" s="125"/>
      <c r="H226" s="92"/>
      <c r="I226" s="92"/>
      <c r="J226" s="92"/>
      <c r="K226" s="92"/>
      <c r="L226" s="92"/>
      <c r="M226" s="92"/>
      <c r="N226" s="92"/>
      <c r="O226" s="92"/>
      <c r="P226" s="92"/>
      <c r="Q226" s="92"/>
      <c r="R226" s="92"/>
      <c r="S226" s="325">
        <f t="shared" si="20"/>
        <v>0</v>
      </c>
      <c r="T226" s="455">
        <f t="shared" si="21"/>
        <v>0</v>
      </c>
      <c r="U226" s="324">
        <f>'Overall Metrics'!M280</f>
        <v>0</v>
      </c>
    </row>
    <row r="227" spans="1:21" ht="16.350000000000001" customHeight="1">
      <c r="A227" s="175">
        <f t="shared" si="18"/>
        <v>2026</v>
      </c>
      <c r="B227" s="454" t="str">
        <f t="shared" si="19"/>
        <v>14</v>
      </c>
      <c r="C227" s="454" t="str">
        <f t="array" ref="C227">_xlfn.IFS(_xlfn.NUMBERVALUE(B227)&lt;=13,"Q1",AND(_xlfn.NUMBERVALUE(B227)&gt;13,_xlfn.NUMBERVALUE(B227)&lt;=26),"Q2", AND(_xlfn.NUMBERVALUE(B227)&gt;26,_xlfn.NUMBERVALUE(B227)&lt;=39),"Q3",_xlfn.NUMBERVALUE(B227)&gt;39,"Q4")</f>
        <v>Q2</v>
      </c>
      <c r="D227" s="448">
        <f t="shared" si="22"/>
        <v>45780</v>
      </c>
      <c r="E227" s="448">
        <f t="shared" si="23"/>
        <v>45786</v>
      </c>
      <c r="F227" s="308">
        <v>202514</v>
      </c>
      <c r="G227" s="125"/>
      <c r="H227" s="92"/>
      <c r="I227" s="92"/>
      <c r="J227" s="92"/>
      <c r="K227" s="92"/>
      <c r="L227" s="92"/>
      <c r="M227" s="92"/>
      <c r="N227" s="92"/>
      <c r="O227" s="92"/>
      <c r="P227" s="92"/>
      <c r="Q227" s="92"/>
      <c r="R227" s="92"/>
      <c r="S227" s="325">
        <f t="shared" si="20"/>
        <v>0</v>
      </c>
      <c r="T227" s="455">
        <f t="shared" si="21"/>
        <v>0</v>
      </c>
      <c r="U227" s="324">
        <f>'Overall Metrics'!M281</f>
        <v>0</v>
      </c>
    </row>
    <row r="228" spans="1:21" ht="16.350000000000001" customHeight="1">
      <c r="A228" s="175">
        <f t="shared" si="18"/>
        <v>2026</v>
      </c>
      <c r="B228" s="454" t="str">
        <f t="shared" si="19"/>
        <v>15</v>
      </c>
      <c r="C228" s="454" t="str">
        <f t="array" ref="C228">_xlfn.IFS(_xlfn.NUMBERVALUE(B228)&lt;=13,"Q1",AND(_xlfn.NUMBERVALUE(B228)&gt;13,_xlfn.NUMBERVALUE(B228)&lt;=26),"Q2", AND(_xlfn.NUMBERVALUE(B228)&gt;26,_xlfn.NUMBERVALUE(B228)&lt;=39),"Q3",_xlfn.NUMBERVALUE(B228)&gt;39,"Q4")</f>
        <v>Q2</v>
      </c>
      <c r="D228" s="448">
        <f t="shared" si="22"/>
        <v>45787</v>
      </c>
      <c r="E228" s="448">
        <f t="shared" si="23"/>
        <v>45793</v>
      </c>
      <c r="F228" s="308">
        <v>202515</v>
      </c>
      <c r="G228" s="125"/>
      <c r="H228" s="92"/>
      <c r="I228" s="92"/>
      <c r="J228" s="92"/>
      <c r="K228" s="92"/>
      <c r="L228" s="92"/>
      <c r="M228" s="92"/>
      <c r="N228" s="92"/>
      <c r="O228" s="92"/>
      <c r="P228" s="92"/>
      <c r="Q228" s="92"/>
      <c r="R228" s="92"/>
      <c r="S228" s="325">
        <f t="shared" si="20"/>
        <v>0</v>
      </c>
      <c r="T228" s="455">
        <f t="shared" si="21"/>
        <v>0</v>
      </c>
      <c r="U228" s="324">
        <f>'Overall Metrics'!M282</f>
        <v>0</v>
      </c>
    </row>
    <row r="229" spans="1:21" ht="16.350000000000001" customHeight="1">
      <c r="A229" s="175">
        <f t="shared" si="18"/>
        <v>2026</v>
      </c>
      <c r="B229" s="454" t="str">
        <f t="shared" si="19"/>
        <v>16</v>
      </c>
      <c r="C229" s="454" t="str">
        <f t="array" ref="C229">_xlfn.IFS(_xlfn.NUMBERVALUE(B229)&lt;=13,"Q1",AND(_xlfn.NUMBERVALUE(B229)&gt;13,_xlfn.NUMBERVALUE(B229)&lt;=26),"Q2", AND(_xlfn.NUMBERVALUE(B229)&gt;26,_xlfn.NUMBERVALUE(B229)&lt;=39),"Q3",_xlfn.NUMBERVALUE(B229)&gt;39,"Q4")</f>
        <v>Q2</v>
      </c>
      <c r="D229" s="448">
        <f t="shared" si="22"/>
        <v>45794</v>
      </c>
      <c r="E229" s="448">
        <f t="shared" si="23"/>
        <v>45800</v>
      </c>
      <c r="F229" s="308">
        <v>202516</v>
      </c>
      <c r="G229" s="125"/>
      <c r="H229" s="92"/>
      <c r="I229" s="92"/>
      <c r="J229" s="92"/>
      <c r="K229" s="92"/>
      <c r="L229" s="92"/>
      <c r="M229" s="92"/>
      <c r="N229" s="92"/>
      <c r="O229" s="92"/>
      <c r="P229" s="92"/>
      <c r="Q229" s="92"/>
      <c r="R229" s="92"/>
      <c r="S229" s="325">
        <f t="shared" si="20"/>
        <v>0</v>
      </c>
      <c r="T229" s="455">
        <f t="shared" si="21"/>
        <v>0</v>
      </c>
      <c r="U229" s="324">
        <f>'Overall Metrics'!M283</f>
        <v>0</v>
      </c>
    </row>
    <row r="230" spans="1:21" ht="16.350000000000001" customHeight="1">
      <c r="A230" s="175">
        <f t="shared" si="18"/>
        <v>2026</v>
      </c>
      <c r="B230" s="454" t="str">
        <f t="shared" si="19"/>
        <v>17</v>
      </c>
      <c r="C230" s="454" t="str">
        <f t="array" ref="C230">_xlfn.IFS(_xlfn.NUMBERVALUE(B230)&lt;=13,"Q1",AND(_xlfn.NUMBERVALUE(B230)&gt;13,_xlfn.NUMBERVALUE(B230)&lt;=26),"Q2", AND(_xlfn.NUMBERVALUE(B230)&gt;26,_xlfn.NUMBERVALUE(B230)&lt;=39),"Q3",_xlfn.NUMBERVALUE(B230)&gt;39,"Q4")</f>
        <v>Q2</v>
      </c>
      <c r="D230" s="448">
        <f t="shared" si="22"/>
        <v>45801</v>
      </c>
      <c r="E230" s="448">
        <f t="shared" si="23"/>
        <v>45807</v>
      </c>
      <c r="F230" s="308">
        <v>202517</v>
      </c>
      <c r="G230" s="125"/>
      <c r="H230" s="92"/>
      <c r="I230" s="92"/>
      <c r="J230" s="92"/>
      <c r="K230" s="92"/>
      <c r="L230" s="92"/>
      <c r="M230" s="92"/>
      <c r="N230" s="92"/>
      <c r="O230" s="92"/>
      <c r="P230" s="92"/>
      <c r="Q230" s="92"/>
      <c r="R230" s="92"/>
      <c r="S230" s="325">
        <f t="shared" si="20"/>
        <v>0</v>
      </c>
      <c r="T230" s="455">
        <f t="shared" si="21"/>
        <v>0</v>
      </c>
      <c r="U230" s="324">
        <f>'Overall Metrics'!M284</f>
        <v>0</v>
      </c>
    </row>
    <row r="231" spans="1:21" ht="16.350000000000001" customHeight="1">
      <c r="A231" s="175">
        <f t="shared" si="18"/>
        <v>2026</v>
      </c>
      <c r="B231" s="454" t="str">
        <f t="shared" si="19"/>
        <v>18</v>
      </c>
      <c r="C231" s="454" t="str">
        <f t="array" ref="C231">_xlfn.IFS(_xlfn.NUMBERVALUE(B231)&lt;=13,"Q1",AND(_xlfn.NUMBERVALUE(B231)&gt;13,_xlfn.NUMBERVALUE(B231)&lt;=26),"Q2", AND(_xlfn.NUMBERVALUE(B231)&gt;26,_xlfn.NUMBERVALUE(B231)&lt;=39),"Q3",_xlfn.NUMBERVALUE(B231)&gt;39,"Q4")</f>
        <v>Q2</v>
      </c>
      <c r="D231" s="448">
        <f t="shared" si="22"/>
        <v>45808</v>
      </c>
      <c r="E231" s="448">
        <f t="shared" si="23"/>
        <v>45814</v>
      </c>
      <c r="F231" s="308">
        <v>202518</v>
      </c>
      <c r="G231" s="125"/>
      <c r="H231" s="92"/>
      <c r="I231" s="92"/>
      <c r="J231" s="92"/>
      <c r="K231" s="92"/>
      <c r="L231" s="92"/>
      <c r="M231" s="92"/>
      <c r="N231" s="92"/>
      <c r="O231" s="92"/>
      <c r="P231" s="92"/>
      <c r="Q231" s="92"/>
      <c r="R231" s="92"/>
      <c r="S231" s="325">
        <f t="shared" si="20"/>
        <v>0</v>
      </c>
      <c r="T231" s="455">
        <f t="shared" si="21"/>
        <v>0</v>
      </c>
      <c r="U231" s="324">
        <f>'Overall Metrics'!M285</f>
        <v>0</v>
      </c>
    </row>
    <row r="232" spans="1:21" ht="16.350000000000001" customHeight="1">
      <c r="A232" s="175">
        <f t="shared" si="18"/>
        <v>2026</v>
      </c>
      <c r="B232" s="454" t="str">
        <f t="shared" si="19"/>
        <v>19</v>
      </c>
      <c r="C232" s="454" t="str">
        <f t="array" ref="C232">_xlfn.IFS(_xlfn.NUMBERVALUE(B232)&lt;=13,"Q1",AND(_xlfn.NUMBERVALUE(B232)&gt;13,_xlfn.NUMBERVALUE(B232)&lt;=26),"Q2", AND(_xlfn.NUMBERVALUE(B232)&gt;26,_xlfn.NUMBERVALUE(B232)&lt;=39),"Q3",_xlfn.NUMBERVALUE(B232)&gt;39,"Q4")</f>
        <v>Q2</v>
      </c>
      <c r="D232" s="448">
        <f t="shared" si="22"/>
        <v>45815</v>
      </c>
      <c r="E232" s="448">
        <f t="shared" si="23"/>
        <v>45821</v>
      </c>
      <c r="F232" s="308">
        <v>202519</v>
      </c>
      <c r="G232" s="125"/>
      <c r="H232" s="92"/>
      <c r="I232" s="92"/>
      <c r="J232" s="92"/>
      <c r="K232" s="92"/>
      <c r="L232" s="92"/>
      <c r="M232" s="92"/>
      <c r="N232" s="92"/>
      <c r="O232" s="92"/>
      <c r="P232" s="92"/>
      <c r="Q232" s="92"/>
      <c r="R232" s="92"/>
      <c r="S232" s="325">
        <f t="shared" si="20"/>
        <v>0</v>
      </c>
      <c r="T232" s="455">
        <f t="shared" si="21"/>
        <v>0</v>
      </c>
      <c r="U232" s="324">
        <f>'Overall Metrics'!M286</f>
        <v>0</v>
      </c>
    </row>
    <row r="233" spans="1:21" ht="16.350000000000001" customHeight="1">
      <c r="A233" s="175">
        <f t="shared" si="18"/>
        <v>2026</v>
      </c>
      <c r="B233" s="454" t="str">
        <f t="shared" si="19"/>
        <v>20</v>
      </c>
      <c r="C233" s="454" t="str">
        <f t="array" ref="C233">_xlfn.IFS(_xlfn.NUMBERVALUE(B233)&lt;=13,"Q1",AND(_xlfn.NUMBERVALUE(B233)&gt;13,_xlfn.NUMBERVALUE(B233)&lt;=26),"Q2", AND(_xlfn.NUMBERVALUE(B233)&gt;26,_xlfn.NUMBERVALUE(B233)&lt;=39),"Q3",_xlfn.NUMBERVALUE(B233)&gt;39,"Q4")</f>
        <v>Q2</v>
      </c>
      <c r="D233" s="448">
        <f t="shared" si="22"/>
        <v>45822</v>
      </c>
      <c r="E233" s="448">
        <f t="shared" si="23"/>
        <v>45828</v>
      </c>
      <c r="F233" s="308">
        <v>202520</v>
      </c>
      <c r="G233" s="125"/>
      <c r="H233" s="92"/>
      <c r="I233" s="92"/>
      <c r="J233" s="92"/>
      <c r="K233" s="92"/>
      <c r="L233" s="92"/>
      <c r="M233" s="92"/>
      <c r="N233" s="92"/>
      <c r="O233" s="92"/>
      <c r="P233" s="92"/>
      <c r="Q233" s="92"/>
      <c r="R233" s="92"/>
      <c r="S233" s="325">
        <f t="shared" si="20"/>
        <v>0</v>
      </c>
      <c r="T233" s="455">
        <f t="shared" si="21"/>
        <v>0</v>
      </c>
      <c r="U233" s="324">
        <f>'Overall Metrics'!M287</f>
        <v>0</v>
      </c>
    </row>
    <row r="234" spans="1:21" ht="16.350000000000001" customHeight="1">
      <c r="A234" s="175">
        <f t="shared" si="18"/>
        <v>2026</v>
      </c>
      <c r="B234" s="454" t="str">
        <f t="shared" si="19"/>
        <v>21</v>
      </c>
      <c r="C234" s="454" t="str">
        <f t="array" ref="C234">_xlfn.IFS(_xlfn.NUMBERVALUE(B234)&lt;=13,"Q1",AND(_xlfn.NUMBERVALUE(B234)&gt;13,_xlfn.NUMBERVALUE(B234)&lt;=26),"Q2", AND(_xlfn.NUMBERVALUE(B234)&gt;26,_xlfn.NUMBERVALUE(B234)&lt;=39),"Q3",_xlfn.NUMBERVALUE(B234)&gt;39,"Q4")</f>
        <v>Q2</v>
      </c>
      <c r="D234" s="448">
        <f t="shared" si="22"/>
        <v>45829</v>
      </c>
      <c r="E234" s="448">
        <f t="shared" si="23"/>
        <v>45835</v>
      </c>
      <c r="F234" s="308">
        <v>202521</v>
      </c>
      <c r="G234" s="125"/>
      <c r="H234" s="92"/>
      <c r="I234" s="92"/>
      <c r="J234" s="92"/>
      <c r="K234" s="92"/>
      <c r="L234" s="92"/>
      <c r="M234" s="92"/>
      <c r="N234" s="92"/>
      <c r="O234" s="92"/>
      <c r="P234" s="92"/>
      <c r="Q234" s="92"/>
      <c r="R234" s="92"/>
      <c r="S234" s="325">
        <f t="shared" si="20"/>
        <v>0</v>
      </c>
      <c r="T234" s="455">
        <f t="shared" si="21"/>
        <v>0</v>
      </c>
      <c r="U234" s="324">
        <f>'Overall Metrics'!M288</f>
        <v>0</v>
      </c>
    </row>
    <row r="235" spans="1:21" ht="16.350000000000001" customHeight="1">
      <c r="A235" s="175">
        <f t="shared" si="18"/>
        <v>2026</v>
      </c>
      <c r="B235" s="454" t="str">
        <f t="shared" si="19"/>
        <v>22</v>
      </c>
      <c r="C235" s="454" t="str">
        <f t="array" ref="C235">_xlfn.IFS(_xlfn.NUMBERVALUE(B235)&lt;=13,"Q1",AND(_xlfn.NUMBERVALUE(B235)&gt;13,_xlfn.NUMBERVALUE(B235)&lt;=26),"Q2", AND(_xlfn.NUMBERVALUE(B235)&gt;26,_xlfn.NUMBERVALUE(B235)&lt;=39),"Q3",_xlfn.NUMBERVALUE(B235)&gt;39,"Q4")</f>
        <v>Q2</v>
      </c>
      <c r="D235" s="448">
        <f t="shared" si="22"/>
        <v>45836</v>
      </c>
      <c r="E235" s="448">
        <f t="shared" si="23"/>
        <v>45842</v>
      </c>
      <c r="F235" s="308">
        <v>202522</v>
      </c>
      <c r="G235" s="125"/>
      <c r="H235" s="92"/>
      <c r="I235" s="92"/>
      <c r="J235" s="92"/>
      <c r="K235" s="92"/>
      <c r="L235" s="92"/>
      <c r="M235" s="92"/>
      <c r="N235" s="92"/>
      <c r="O235" s="92"/>
      <c r="P235" s="92"/>
      <c r="Q235" s="92"/>
      <c r="R235" s="92"/>
      <c r="S235" s="325">
        <f t="shared" si="20"/>
        <v>0</v>
      </c>
      <c r="T235" s="455">
        <f t="shared" si="21"/>
        <v>0</v>
      </c>
      <c r="U235" s="324">
        <f>'Overall Metrics'!M289</f>
        <v>0</v>
      </c>
    </row>
    <row r="236" spans="1:21" ht="16.350000000000001" customHeight="1">
      <c r="A236" s="175">
        <f t="shared" si="18"/>
        <v>2026</v>
      </c>
      <c r="B236" s="454" t="str">
        <f t="shared" si="19"/>
        <v>23</v>
      </c>
      <c r="C236" s="454" t="str">
        <f t="array" ref="C236">_xlfn.IFS(_xlfn.NUMBERVALUE(B236)&lt;=13,"Q1",AND(_xlfn.NUMBERVALUE(B236)&gt;13,_xlfn.NUMBERVALUE(B236)&lt;=26),"Q2", AND(_xlfn.NUMBERVALUE(B236)&gt;26,_xlfn.NUMBERVALUE(B236)&lt;=39),"Q3",_xlfn.NUMBERVALUE(B236)&gt;39,"Q4")</f>
        <v>Q2</v>
      </c>
      <c r="D236" s="448">
        <f t="shared" si="22"/>
        <v>45843</v>
      </c>
      <c r="E236" s="448">
        <f t="shared" si="23"/>
        <v>45849</v>
      </c>
      <c r="F236" s="308">
        <v>202523</v>
      </c>
      <c r="G236" s="125"/>
      <c r="H236" s="92"/>
      <c r="I236" s="92"/>
      <c r="J236" s="92"/>
      <c r="K236" s="92"/>
      <c r="L236" s="92"/>
      <c r="M236" s="92"/>
      <c r="N236" s="92"/>
      <c r="O236" s="92"/>
      <c r="P236" s="92"/>
      <c r="Q236" s="92"/>
      <c r="R236" s="92"/>
      <c r="S236" s="325">
        <f t="shared" si="20"/>
        <v>0</v>
      </c>
      <c r="T236" s="455">
        <f t="shared" si="21"/>
        <v>0</v>
      </c>
      <c r="U236" s="324">
        <f>'Overall Metrics'!M290</f>
        <v>0</v>
      </c>
    </row>
    <row r="237" spans="1:21" ht="16.350000000000001" customHeight="1">
      <c r="A237" s="175">
        <f t="shared" si="18"/>
        <v>2026</v>
      </c>
      <c r="B237" s="454" t="str">
        <f t="shared" si="19"/>
        <v>24</v>
      </c>
      <c r="C237" s="454" t="str">
        <f t="array" ref="C237">_xlfn.IFS(_xlfn.NUMBERVALUE(B237)&lt;=13,"Q1",AND(_xlfn.NUMBERVALUE(B237)&gt;13,_xlfn.NUMBERVALUE(B237)&lt;=26),"Q2", AND(_xlfn.NUMBERVALUE(B237)&gt;26,_xlfn.NUMBERVALUE(B237)&lt;=39),"Q3",_xlfn.NUMBERVALUE(B237)&gt;39,"Q4")</f>
        <v>Q2</v>
      </c>
      <c r="D237" s="448">
        <f t="shared" si="22"/>
        <v>45850</v>
      </c>
      <c r="E237" s="448">
        <f t="shared" si="23"/>
        <v>45856</v>
      </c>
      <c r="F237" s="308">
        <v>202524</v>
      </c>
      <c r="G237" s="125"/>
      <c r="H237" s="92"/>
      <c r="I237" s="92"/>
      <c r="J237" s="92"/>
      <c r="K237" s="92"/>
      <c r="L237" s="92"/>
      <c r="M237" s="92"/>
      <c r="N237" s="92"/>
      <c r="O237" s="92"/>
      <c r="P237" s="92"/>
      <c r="Q237" s="92"/>
      <c r="R237" s="92"/>
      <c r="S237" s="325">
        <f t="shared" si="20"/>
        <v>0</v>
      </c>
      <c r="T237" s="455">
        <f t="shared" si="21"/>
        <v>0</v>
      </c>
      <c r="U237" s="324">
        <f>'Overall Metrics'!M291</f>
        <v>0</v>
      </c>
    </row>
    <row r="238" spans="1:21" ht="16.350000000000001" customHeight="1">
      <c r="A238" s="175">
        <f t="shared" si="18"/>
        <v>2026</v>
      </c>
      <c r="B238" s="454" t="str">
        <f t="shared" si="19"/>
        <v>25</v>
      </c>
      <c r="C238" s="454" t="str">
        <f t="array" ref="C238">_xlfn.IFS(_xlfn.NUMBERVALUE(B238)&lt;=13,"Q1",AND(_xlfn.NUMBERVALUE(B238)&gt;13,_xlfn.NUMBERVALUE(B238)&lt;=26),"Q2", AND(_xlfn.NUMBERVALUE(B238)&gt;26,_xlfn.NUMBERVALUE(B238)&lt;=39),"Q3",_xlfn.NUMBERVALUE(B238)&gt;39,"Q4")</f>
        <v>Q2</v>
      </c>
      <c r="D238" s="448">
        <f t="shared" si="22"/>
        <v>45857</v>
      </c>
      <c r="E238" s="448">
        <f t="shared" si="23"/>
        <v>45863</v>
      </c>
      <c r="F238" s="308">
        <v>202525</v>
      </c>
      <c r="G238" s="125"/>
      <c r="H238" s="92"/>
      <c r="I238" s="92"/>
      <c r="J238" s="92"/>
      <c r="K238" s="92"/>
      <c r="L238" s="92"/>
      <c r="M238" s="92"/>
      <c r="N238" s="92"/>
      <c r="O238" s="92"/>
      <c r="P238" s="92"/>
      <c r="Q238" s="92"/>
      <c r="R238" s="92"/>
      <c r="S238" s="325">
        <f t="shared" si="20"/>
        <v>0</v>
      </c>
      <c r="T238" s="455">
        <f t="shared" si="21"/>
        <v>0</v>
      </c>
      <c r="U238" s="324">
        <f>'Overall Metrics'!M292</f>
        <v>0</v>
      </c>
    </row>
    <row r="239" spans="1:21" ht="16.350000000000001" customHeight="1">
      <c r="A239" s="175">
        <f t="shared" si="18"/>
        <v>2026</v>
      </c>
      <c r="B239" s="454" t="str">
        <f t="shared" si="19"/>
        <v>26</v>
      </c>
      <c r="C239" s="454" t="str">
        <f t="array" ref="C239">_xlfn.IFS(_xlfn.NUMBERVALUE(B239)&lt;=13,"Q1",AND(_xlfn.NUMBERVALUE(B239)&gt;13,_xlfn.NUMBERVALUE(B239)&lt;=26),"Q2", AND(_xlfn.NUMBERVALUE(B239)&gt;26,_xlfn.NUMBERVALUE(B239)&lt;=39),"Q3",_xlfn.NUMBERVALUE(B239)&gt;39,"Q4")</f>
        <v>Q2</v>
      </c>
      <c r="D239" s="448">
        <f t="shared" si="22"/>
        <v>45864</v>
      </c>
      <c r="E239" s="448">
        <f t="shared" si="23"/>
        <v>45870</v>
      </c>
      <c r="F239" s="308">
        <v>202526</v>
      </c>
      <c r="G239" s="125"/>
      <c r="H239" s="92"/>
      <c r="I239" s="92"/>
      <c r="J239" s="92"/>
      <c r="K239" s="92"/>
      <c r="L239" s="92"/>
      <c r="M239" s="92"/>
      <c r="N239" s="92"/>
      <c r="O239" s="92"/>
      <c r="P239" s="92"/>
      <c r="Q239" s="92"/>
      <c r="R239" s="92"/>
      <c r="S239" s="325">
        <f t="shared" si="20"/>
        <v>0</v>
      </c>
      <c r="T239" s="455">
        <f t="shared" si="21"/>
        <v>0</v>
      </c>
      <c r="U239" s="324">
        <f>'Overall Metrics'!M293</f>
        <v>0</v>
      </c>
    </row>
    <row r="240" spans="1:21" ht="16.350000000000001" customHeight="1">
      <c r="A240" s="175">
        <f t="shared" si="18"/>
        <v>2026</v>
      </c>
      <c r="B240" s="454" t="str">
        <f t="shared" si="19"/>
        <v>27</v>
      </c>
      <c r="C240" s="454" t="str">
        <f t="array" ref="C240">_xlfn.IFS(_xlfn.NUMBERVALUE(B240)&lt;=13,"Q1",AND(_xlfn.NUMBERVALUE(B240)&gt;13,_xlfn.NUMBERVALUE(B240)&lt;=26),"Q2", AND(_xlfn.NUMBERVALUE(B240)&gt;26,_xlfn.NUMBERVALUE(B240)&lt;=39),"Q3",_xlfn.NUMBERVALUE(B240)&gt;39,"Q4")</f>
        <v>Q3</v>
      </c>
      <c r="D240" s="448">
        <f t="shared" si="22"/>
        <v>45871</v>
      </c>
      <c r="E240" s="448">
        <f t="shared" si="23"/>
        <v>45877</v>
      </c>
      <c r="F240" s="308">
        <v>202527</v>
      </c>
      <c r="G240" s="125"/>
      <c r="H240" s="92"/>
      <c r="I240" s="92"/>
      <c r="J240" s="92"/>
      <c r="K240" s="92"/>
      <c r="L240" s="92"/>
      <c r="M240" s="92"/>
      <c r="N240" s="92"/>
      <c r="O240" s="92"/>
      <c r="P240" s="92"/>
      <c r="Q240" s="92"/>
      <c r="R240" s="92"/>
      <c r="S240" s="325">
        <f t="shared" si="20"/>
        <v>0</v>
      </c>
      <c r="T240" s="455">
        <f t="shared" si="21"/>
        <v>0</v>
      </c>
      <c r="U240" s="324">
        <f>'Overall Metrics'!M294</f>
        <v>0</v>
      </c>
    </row>
    <row r="241" spans="1:21" ht="16.350000000000001" customHeight="1">
      <c r="A241" s="175">
        <f t="shared" si="18"/>
        <v>2026</v>
      </c>
      <c r="B241" s="454" t="str">
        <f t="shared" si="19"/>
        <v>28</v>
      </c>
      <c r="C241" s="454" t="str">
        <f t="array" ref="C241">_xlfn.IFS(_xlfn.NUMBERVALUE(B241)&lt;=13,"Q1",AND(_xlfn.NUMBERVALUE(B241)&gt;13,_xlfn.NUMBERVALUE(B241)&lt;=26),"Q2", AND(_xlfn.NUMBERVALUE(B241)&gt;26,_xlfn.NUMBERVALUE(B241)&lt;=39),"Q3",_xlfn.NUMBERVALUE(B241)&gt;39,"Q4")</f>
        <v>Q3</v>
      </c>
      <c r="D241" s="448">
        <f t="shared" si="22"/>
        <v>45878</v>
      </c>
      <c r="E241" s="448">
        <f t="shared" si="23"/>
        <v>45884</v>
      </c>
      <c r="F241" s="308">
        <v>202528</v>
      </c>
      <c r="G241" s="125"/>
      <c r="H241" s="92"/>
      <c r="I241" s="92"/>
      <c r="J241" s="92"/>
      <c r="K241" s="92"/>
      <c r="L241" s="92"/>
      <c r="M241" s="92"/>
      <c r="N241" s="92"/>
      <c r="O241" s="92"/>
      <c r="P241" s="92"/>
      <c r="Q241" s="92"/>
      <c r="R241" s="92"/>
      <c r="S241" s="325">
        <f t="shared" si="20"/>
        <v>0</v>
      </c>
      <c r="T241" s="455">
        <f t="shared" si="21"/>
        <v>0</v>
      </c>
      <c r="U241" s="324">
        <f>'Overall Metrics'!M295</f>
        <v>0</v>
      </c>
    </row>
    <row r="242" spans="1:21" ht="16.350000000000001" customHeight="1">
      <c r="A242" s="175">
        <f t="shared" si="18"/>
        <v>2026</v>
      </c>
      <c r="B242" s="454" t="str">
        <f t="shared" si="19"/>
        <v>29</v>
      </c>
      <c r="C242" s="454" t="str">
        <f t="array" ref="C242">_xlfn.IFS(_xlfn.NUMBERVALUE(B242)&lt;=13,"Q1",AND(_xlfn.NUMBERVALUE(B242)&gt;13,_xlfn.NUMBERVALUE(B242)&lt;=26),"Q2", AND(_xlfn.NUMBERVALUE(B242)&gt;26,_xlfn.NUMBERVALUE(B242)&lt;=39),"Q3",_xlfn.NUMBERVALUE(B242)&gt;39,"Q4")</f>
        <v>Q3</v>
      </c>
      <c r="D242" s="448">
        <f t="shared" si="22"/>
        <v>45885</v>
      </c>
      <c r="E242" s="448">
        <f t="shared" si="23"/>
        <v>45891</v>
      </c>
      <c r="F242" s="308">
        <v>202529</v>
      </c>
      <c r="G242" s="125"/>
      <c r="H242" s="92"/>
      <c r="I242" s="92"/>
      <c r="J242" s="92"/>
      <c r="K242" s="92"/>
      <c r="L242" s="92"/>
      <c r="M242" s="92"/>
      <c r="N242" s="92"/>
      <c r="O242" s="92"/>
      <c r="P242" s="92"/>
      <c r="Q242" s="92"/>
      <c r="R242" s="92"/>
      <c r="S242" s="325">
        <f t="shared" si="20"/>
        <v>0</v>
      </c>
      <c r="T242" s="455">
        <f t="shared" si="21"/>
        <v>0</v>
      </c>
      <c r="U242" s="324">
        <f>'Overall Metrics'!M296</f>
        <v>0</v>
      </c>
    </row>
    <row r="243" spans="1:21" ht="16.350000000000001" customHeight="1">
      <c r="A243" s="175">
        <f t="shared" si="18"/>
        <v>2026</v>
      </c>
      <c r="B243" s="454" t="str">
        <f t="shared" si="19"/>
        <v>30</v>
      </c>
      <c r="C243" s="454" t="str">
        <f t="array" ref="C243">_xlfn.IFS(_xlfn.NUMBERVALUE(B243)&lt;=13,"Q1",AND(_xlfn.NUMBERVALUE(B243)&gt;13,_xlfn.NUMBERVALUE(B243)&lt;=26),"Q2", AND(_xlfn.NUMBERVALUE(B243)&gt;26,_xlfn.NUMBERVALUE(B243)&lt;=39),"Q3",_xlfn.NUMBERVALUE(B243)&gt;39,"Q4")</f>
        <v>Q3</v>
      </c>
      <c r="D243" s="448">
        <f t="shared" si="22"/>
        <v>45892</v>
      </c>
      <c r="E243" s="448">
        <f t="shared" si="23"/>
        <v>45898</v>
      </c>
      <c r="F243" s="308">
        <v>202530</v>
      </c>
      <c r="G243" s="125"/>
      <c r="H243" s="92"/>
      <c r="I243" s="92"/>
      <c r="J243" s="92"/>
      <c r="K243" s="92"/>
      <c r="L243" s="92"/>
      <c r="M243" s="92"/>
      <c r="N243" s="92"/>
      <c r="O243" s="92"/>
      <c r="P243" s="92"/>
      <c r="Q243" s="92"/>
      <c r="R243" s="92"/>
      <c r="S243" s="325">
        <f t="shared" si="20"/>
        <v>0</v>
      </c>
      <c r="T243" s="455">
        <f t="shared" si="21"/>
        <v>0</v>
      </c>
      <c r="U243" s="324">
        <f>'Overall Metrics'!M297</f>
        <v>0</v>
      </c>
    </row>
    <row r="244" spans="1:21" ht="15.75" customHeight="1">
      <c r="A244" s="175">
        <f t="shared" si="18"/>
        <v>2026</v>
      </c>
      <c r="B244" s="454" t="str">
        <f t="shared" si="19"/>
        <v>31</v>
      </c>
      <c r="C244" s="454" t="str">
        <f t="array" ref="C244">_xlfn.IFS(_xlfn.NUMBERVALUE(B244)&lt;=13,"Q1",AND(_xlfn.NUMBERVALUE(B244)&gt;13,_xlfn.NUMBERVALUE(B244)&lt;=26),"Q2", AND(_xlfn.NUMBERVALUE(B244)&gt;26,_xlfn.NUMBERVALUE(B244)&lt;=39),"Q3",_xlfn.NUMBERVALUE(B244)&gt;39,"Q4")</f>
        <v>Q3</v>
      </c>
      <c r="D244" s="448">
        <f t="shared" si="22"/>
        <v>45899</v>
      </c>
      <c r="E244" s="448">
        <f t="shared" si="23"/>
        <v>45905</v>
      </c>
      <c r="F244" s="308">
        <v>202531</v>
      </c>
      <c r="S244" s="325">
        <f t="shared" si="20"/>
        <v>0</v>
      </c>
      <c r="T244" s="455">
        <f t="shared" si="21"/>
        <v>0</v>
      </c>
      <c r="U244" s="324">
        <f>'Overall Metrics'!M298</f>
        <v>0</v>
      </c>
    </row>
    <row r="245" spans="1:21" ht="15.75" customHeight="1">
      <c r="A245" s="175">
        <f t="shared" si="18"/>
        <v>2026</v>
      </c>
      <c r="B245" s="454" t="str">
        <f t="shared" si="19"/>
        <v>32</v>
      </c>
      <c r="C245" s="454" t="str">
        <f t="array" ref="C245">_xlfn.IFS(_xlfn.NUMBERVALUE(B245)&lt;=13,"Q1",AND(_xlfn.NUMBERVALUE(B245)&gt;13,_xlfn.NUMBERVALUE(B245)&lt;=26),"Q2", AND(_xlfn.NUMBERVALUE(B245)&gt;26,_xlfn.NUMBERVALUE(B245)&lt;=39),"Q3",_xlfn.NUMBERVALUE(B245)&gt;39,"Q4")</f>
        <v>Q3</v>
      </c>
      <c r="D245" s="448">
        <f t="shared" si="22"/>
        <v>45906</v>
      </c>
      <c r="E245" s="448">
        <f t="shared" si="23"/>
        <v>45912</v>
      </c>
      <c r="F245" s="308">
        <v>202532</v>
      </c>
      <c r="S245" s="325">
        <f t="shared" si="20"/>
        <v>0</v>
      </c>
      <c r="T245" s="455">
        <f t="shared" si="21"/>
        <v>0</v>
      </c>
      <c r="U245" s="324">
        <f>'Overall Metrics'!M299</f>
        <v>0</v>
      </c>
    </row>
    <row r="246" spans="1:21" ht="15.75" customHeight="1">
      <c r="A246" s="175">
        <f t="shared" si="18"/>
        <v>2026</v>
      </c>
      <c r="B246" s="454" t="str">
        <f t="shared" si="19"/>
        <v>33</v>
      </c>
      <c r="C246" s="454" t="str">
        <f t="array" ref="C246">_xlfn.IFS(_xlfn.NUMBERVALUE(B246)&lt;=13,"Q1",AND(_xlfn.NUMBERVALUE(B246)&gt;13,_xlfn.NUMBERVALUE(B246)&lt;=26),"Q2", AND(_xlfn.NUMBERVALUE(B246)&gt;26,_xlfn.NUMBERVALUE(B246)&lt;=39),"Q3",_xlfn.NUMBERVALUE(B246)&gt;39,"Q4")</f>
        <v>Q3</v>
      </c>
      <c r="D246" s="448">
        <f t="shared" si="22"/>
        <v>45913</v>
      </c>
      <c r="E246" s="448">
        <f t="shared" si="23"/>
        <v>45919</v>
      </c>
      <c r="F246" s="308">
        <v>202533</v>
      </c>
      <c r="S246" s="325">
        <f t="shared" si="20"/>
        <v>0</v>
      </c>
      <c r="T246" s="455">
        <f t="shared" si="21"/>
        <v>0</v>
      </c>
      <c r="U246" s="324">
        <f>'Overall Metrics'!M300</f>
        <v>0</v>
      </c>
    </row>
    <row r="247" spans="1:21" ht="15.75" customHeight="1">
      <c r="A247" s="175">
        <f t="shared" si="18"/>
        <v>2026</v>
      </c>
      <c r="B247" s="454" t="str">
        <f t="shared" si="19"/>
        <v>34</v>
      </c>
      <c r="C247" s="454" t="str">
        <f t="array" ref="C247">_xlfn.IFS(_xlfn.NUMBERVALUE(B247)&lt;=13,"Q1",AND(_xlfn.NUMBERVALUE(B247)&gt;13,_xlfn.NUMBERVALUE(B247)&lt;=26),"Q2", AND(_xlfn.NUMBERVALUE(B247)&gt;26,_xlfn.NUMBERVALUE(B247)&lt;=39),"Q3",_xlfn.NUMBERVALUE(B247)&gt;39,"Q4")</f>
        <v>Q3</v>
      </c>
      <c r="D247" s="448">
        <f t="shared" si="22"/>
        <v>45920</v>
      </c>
      <c r="E247" s="448">
        <f t="shared" si="23"/>
        <v>45926</v>
      </c>
      <c r="F247" s="308">
        <v>202534</v>
      </c>
      <c r="S247" s="325">
        <f t="shared" si="20"/>
        <v>0</v>
      </c>
      <c r="T247" s="455">
        <f t="shared" si="21"/>
        <v>0</v>
      </c>
      <c r="U247" s="324">
        <f>'Overall Metrics'!M301</f>
        <v>0</v>
      </c>
    </row>
    <row r="248" spans="1:21" ht="15.75" customHeight="1">
      <c r="A248" s="175">
        <f t="shared" si="18"/>
        <v>2026</v>
      </c>
      <c r="B248" s="454" t="str">
        <f t="shared" si="19"/>
        <v>35</v>
      </c>
      <c r="C248" s="454" t="str">
        <f t="array" ref="C248">_xlfn.IFS(_xlfn.NUMBERVALUE(B248)&lt;=13,"Q1",AND(_xlfn.NUMBERVALUE(B248)&gt;13,_xlfn.NUMBERVALUE(B248)&lt;=26),"Q2", AND(_xlfn.NUMBERVALUE(B248)&gt;26,_xlfn.NUMBERVALUE(B248)&lt;=39),"Q3",_xlfn.NUMBERVALUE(B248)&gt;39,"Q4")</f>
        <v>Q3</v>
      </c>
      <c r="D248" s="448">
        <f t="shared" si="22"/>
        <v>45927</v>
      </c>
      <c r="E248" s="448">
        <f t="shared" si="23"/>
        <v>45933</v>
      </c>
      <c r="F248" s="308">
        <v>202535</v>
      </c>
      <c r="S248" s="325">
        <f t="shared" si="20"/>
        <v>0</v>
      </c>
      <c r="T248" s="455">
        <f t="shared" si="21"/>
        <v>0</v>
      </c>
      <c r="U248" s="324">
        <f>'Overall Metrics'!M302</f>
        <v>0</v>
      </c>
    </row>
    <row r="249" spans="1:21" ht="15.75" customHeight="1">
      <c r="A249" s="175">
        <f t="shared" si="18"/>
        <v>2026</v>
      </c>
      <c r="B249" s="454" t="str">
        <f t="shared" si="19"/>
        <v>36</v>
      </c>
      <c r="C249" s="454" t="str">
        <f t="array" ref="C249">_xlfn.IFS(_xlfn.NUMBERVALUE(B249)&lt;=13,"Q1",AND(_xlfn.NUMBERVALUE(B249)&gt;13,_xlfn.NUMBERVALUE(B249)&lt;=26),"Q2", AND(_xlfn.NUMBERVALUE(B249)&gt;26,_xlfn.NUMBERVALUE(B249)&lt;=39),"Q3",_xlfn.NUMBERVALUE(B249)&gt;39,"Q4")</f>
        <v>Q3</v>
      </c>
      <c r="D249" s="448">
        <f t="shared" si="22"/>
        <v>45934</v>
      </c>
      <c r="E249" s="448">
        <f t="shared" si="23"/>
        <v>45940</v>
      </c>
      <c r="F249" s="308">
        <v>202536</v>
      </c>
      <c r="S249" s="325">
        <f t="shared" si="20"/>
        <v>0</v>
      </c>
      <c r="T249" s="455">
        <f t="shared" si="21"/>
        <v>0</v>
      </c>
      <c r="U249" s="324">
        <f>'Overall Metrics'!M303</f>
        <v>0</v>
      </c>
    </row>
    <row r="250" spans="1:21" ht="15.75" customHeight="1">
      <c r="A250" s="175">
        <f t="shared" si="18"/>
        <v>2026</v>
      </c>
      <c r="B250" s="454" t="str">
        <f t="shared" si="19"/>
        <v>37</v>
      </c>
      <c r="C250" s="454" t="str">
        <f t="array" ref="C250">_xlfn.IFS(_xlfn.NUMBERVALUE(B250)&lt;=13,"Q1",AND(_xlfn.NUMBERVALUE(B250)&gt;13,_xlfn.NUMBERVALUE(B250)&lt;=26),"Q2", AND(_xlfn.NUMBERVALUE(B250)&gt;26,_xlfn.NUMBERVALUE(B250)&lt;=39),"Q3",_xlfn.NUMBERVALUE(B250)&gt;39,"Q4")</f>
        <v>Q3</v>
      </c>
      <c r="D250" s="448">
        <f t="shared" si="22"/>
        <v>45941</v>
      </c>
      <c r="E250" s="448">
        <f t="shared" si="23"/>
        <v>45947</v>
      </c>
      <c r="F250" s="308">
        <v>202537</v>
      </c>
      <c r="S250" s="325">
        <f t="shared" si="20"/>
        <v>0</v>
      </c>
      <c r="T250" s="455">
        <f t="shared" si="21"/>
        <v>0</v>
      </c>
      <c r="U250" s="324">
        <f>'Overall Metrics'!M304</f>
        <v>0</v>
      </c>
    </row>
    <row r="251" spans="1:21" ht="15.75" customHeight="1">
      <c r="A251" s="175">
        <f t="shared" si="18"/>
        <v>2026</v>
      </c>
      <c r="B251" s="454" t="str">
        <f t="shared" si="19"/>
        <v>38</v>
      </c>
      <c r="C251" s="454" t="str">
        <f t="array" ref="C251">_xlfn.IFS(_xlfn.NUMBERVALUE(B251)&lt;=13,"Q1",AND(_xlfn.NUMBERVALUE(B251)&gt;13,_xlfn.NUMBERVALUE(B251)&lt;=26),"Q2", AND(_xlfn.NUMBERVALUE(B251)&gt;26,_xlfn.NUMBERVALUE(B251)&lt;=39),"Q3",_xlfn.NUMBERVALUE(B251)&gt;39,"Q4")</f>
        <v>Q3</v>
      </c>
      <c r="D251" s="448">
        <f t="shared" si="22"/>
        <v>45948</v>
      </c>
      <c r="E251" s="448">
        <f t="shared" si="23"/>
        <v>45954</v>
      </c>
      <c r="F251" s="308">
        <v>202538</v>
      </c>
      <c r="S251" s="325">
        <f t="shared" si="20"/>
        <v>0</v>
      </c>
      <c r="T251" s="455">
        <f t="shared" si="21"/>
        <v>0</v>
      </c>
      <c r="U251" s="324">
        <f>'Overall Metrics'!M305</f>
        <v>0</v>
      </c>
    </row>
    <row r="252" spans="1:21" ht="15.75" customHeight="1">
      <c r="A252" s="175">
        <f t="shared" si="18"/>
        <v>2026</v>
      </c>
      <c r="B252" s="454" t="str">
        <f t="shared" si="19"/>
        <v>39</v>
      </c>
      <c r="C252" s="454" t="str">
        <f t="array" ref="C252">_xlfn.IFS(_xlfn.NUMBERVALUE(B252)&lt;=13,"Q1",AND(_xlfn.NUMBERVALUE(B252)&gt;13,_xlfn.NUMBERVALUE(B252)&lt;=26),"Q2", AND(_xlfn.NUMBERVALUE(B252)&gt;26,_xlfn.NUMBERVALUE(B252)&lt;=39),"Q3",_xlfn.NUMBERVALUE(B252)&gt;39,"Q4")</f>
        <v>Q3</v>
      </c>
      <c r="D252" s="448">
        <f t="shared" si="22"/>
        <v>45955</v>
      </c>
      <c r="E252" s="448">
        <f t="shared" si="23"/>
        <v>45961</v>
      </c>
      <c r="F252" s="308">
        <v>202539</v>
      </c>
      <c r="S252" s="325">
        <f t="shared" si="20"/>
        <v>0</v>
      </c>
      <c r="T252" s="455">
        <f t="shared" si="21"/>
        <v>0</v>
      </c>
      <c r="U252" s="324">
        <f>'Overall Metrics'!M306</f>
        <v>0</v>
      </c>
    </row>
    <row r="253" spans="1:21" ht="15.75" customHeight="1">
      <c r="A253" s="175">
        <f t="shared" si="18"/>
        <v>2026</v>
      </c>
      <c r="B253" s="454" t="str">
        <f t="shared" si="19"/>
        <v>40</v>
      </c>
      <c r="C253" s="454" t="str">
        <f t="array" ref="C253">_xlfn.IFS(_xlfn.NUMBERVALUE(B253)&lt;=13,"Q1",AND(_xlfn.NUMBERVALUE(B253)&gt;13,_xlfn.NUMBERVALUE(B253)&lt;=26),"Q2", AND(_xlfn.NUMBERVALUE(B253)&gt;26,_xlfn.NUMBERVALUE(B253)&lt;=39),"Q3",_xlfn.NUMBERVALUE(B253)&gt;39,"Q4")</f>
        <v>Q4</v>
      </c>
      <c r="D253" s="448">
        <f t="shared" si="22"/>
        <v>45962</v>
      </c>
      <c r="E253" s="448">
        <f t="shared" si="23"/>
        <v>45968</v>
      </c>
      <c r="F253" s="308">
        <v>202540</v>
      </c>
      <c r="S253" s="325">
        <f t="shared" si="20"/>
        <v>0</v>
      </c>
      <c r="T253" s="455">
        <f t="shared" si="21"/>
        <v>0</v>
      </c>
      <c r="U253" s="324">
        <f>'Overall Metrics'!M307</f>
        <v>0</v>
      </c>
    </row>
    <row r="254" spans="1:21" ht="15.75" customHeight="1">
      <c r="A254" s="175">
        <f t="shared" si="18"/>
        <v>2026</v>
      </c>
      <c r="B254" s="454" t="str">
        <f t="shared" si="19"/>
        <v>41</v>
      </c>
      <c r="C254" s="454" t="str">
        <f t="array" ref="C254">_xlfn.IFS(_xlfn.NUMBERVALUE(B254)&lt;=13,"Q1",AND(_xlfn.NUMBERVALUE(B254)&gt;13,_xlfn.NUMBERVALUE(B254)&lt;=26),"Q2", AND(_xlfn.NUMBERVALUE(B254)&gt;26,_xlfn.NUMBERVALUE(B254)&lt;=39),"Q3",_xlfn.NUMBERVALUE(B254)&gt;39,"Q4")</f>
        <v>Q4</v>
      </c>
      <c r="D254" s="448">
        <f t="shared" si="22"/>
        <v>45969</v>
      </c>
      <c r="E254" s="448">
        <f t="shared" si="23"/>
        <v>45975</v>
      </c>
      <c r="F254" s="308">
        <v>202541</v>
      </c>
      <c r="S254" s="325">
        <f t="shared" si="20"/>
        <v>0</v>
      </c>
      <c r="T254" s="455">
        <f t="shared" si="21"/>
        <v>0</v>
      </c>
      <c r="U254" s="324">
        <f>'Overall Metrics'!M308</f>
        <v>0</v>
      </c>
    </row>
    <row r="255" spans="1:21" ht="15.75" customHeight="1">
      <c r="A255" s="175">
        <f t="shared" si="18"/>
        <v>2026</v>
      </c>
      <c r="B255" s="454" t="str">
        <f t="shared" si="19"/>
        <v>42</v>
      </c>
      <c r="C255" s="454" t="str">
        <f t="array" ref="C255">_xlfn.IFS(_xlfn.NUMBERVALUE(B255)&lt;=13,"Q1",AND(_xlfn.NUMBERVALUE(B255)&gt;13,_xlfn.NUMBERVALUE(B255)&lt;=26),"Q2", AND(_xlfn.NUMBERVALUE(B255)&gt;26,_xlfn.NUMBERVALUE(B255)&lt;=39),"Q3",_xlfn.NUMBERVALUE(B255)&gt;39,"Q4")</f>
        <v>Q4</v>
      </c>
      <c r="D255" s="448">
        <f t="shared" si="22"/>
        <v>45976</v>
      </c>
      <c r="E255" s="448">
        <f t="shared" si="23"/>
        <v>45982</v>
      </c>
      <c r="F255" s="308">
        <v>202542</v>
      </c>
      <c r="S255" s="325">
        <f t="shared" si="20"/>
        <v>0</v>
      </c>
      <c r="T255" s="455">
        <f t="shared" si="21"/>
        <v>0</v>
      </c>
      <c r="U255" s="324">
        <f>'Overall Metrics'!M309</f>
        <v>0</v>
      </c>
    </row>
    <row r="256" spans="1:21" ht="15.75" customHeight="1">
      <c r="A256" s="175">
        <f t="shared" si="18"/>
        <v>2026</v>
      </c>
      <c r="B256" s="454" t="str">
        <f t="shared" si="19"/>
        <v>43</v>
      </c>
      <c r="C256" s="454" t="str">
        <f t="array" ref="C256">_xlfn.IFS(_xlfn.NUMBERVALUE(B256)&lt;=13,"Q1",AND(_xlfn.NUMBERVALUE(B256)&gt;13,_xlfn.NUMBERVALUE(B256)&lt;=26),"Q2", AND(_xlfn.NUMBERVALUE(B256)&gt;26,_xlfn.NUMBERVALUE(B256)&lt;=39),"Q3",_xlfn.NUMBERVALUE(B256)&gt;39,"Q4")</f>
        <v>Q4</v>
      </c>
      <c r="D256" s="448">
        <f t="shared" si="22"/>
        <v>45983</v>
      </c>
      <c r="E256" s="448">
        <f t="shared" si="23"/>
        <v>45989</v>
      </c>
      <c r="F256" s="308">
        <v>202543</v>
      </c>
      <c r="S256" s="325">
        <f t="shared" si="20"/>
        <v>0</v>
      </c>
      <c r="T256" s="455">
        <f t="shared" si="21"/>
        <v>0</v>
      </c>
      <c r="U256" s="324">
        <f>'Overall Metrics'!M310</f>
        <v>0</v>
      </c>
    </row>
    <row r="257" spans="1:21" ht="15.75" customHeight="1">
      <c r="A257" s="175">
        <f t="shared" si="18"/>
        <v>2026</v>
      </c>
      <c r="B257" s="454" t="str">
        <f t="shared" si="19"/>
        <v>44</v>
      </c>
      <c r="C257" s="454" t="str">
        <f t="array" ref="C257">_xlfn.IFS(_xlfn.NUMBERVALUE(B257)&lt;=13,"Q1",AND(_xlfn.NUMBERVALUE(B257)&gt;13,_xlfn.NUMBERVALUE(B257)&lt;=26),"Q2", AND(_xlfn.NUMBERVALUE(B257)&gt;26,_xlfn.NUMBERVALUE(B257)&lt;=39),"Q3",_xlfn.NUMBERVALUE(B257)&gt;39,"Q4")</f>
        <v>Q4</v>
      </c>
      <c r="D257" s="448">
        <f t="shared" si="22"/>
        <v>45990</v>
      </c>
      <c r="E257" s="448">
        <f t="shared" si="23"/>
        <v>45996</v>
      </c>
      <c r="F257" s="308">
        <v>202544</v>
      </c>
      <c r="S257" s="325">
        <f t="shared" si="20"/>
        <v>0</v>
      </c>
      <c r="T257" s="455">
        <f t="shared" si="21"/>
        <v>0</v>
      </c>
      <c r="U257" s="324">
        <f>'Overall Metrics'!M311</f>
        <v>0</v>
      </c>
    </row>
    <row r="258" spans="1:21" ht="15.75" customHeight="1">
      <c r="A258" s="175">
        <f t="shared" si="18"/>
        <v>2026</v>
      </c>
      <c r="B258" s="454" t="str">
        <f t="shared" si="19"/>
        <v>45</v>
      </c>
      <c r="C258" s="454" t="str">
        <f t="array" ref="C258">_xlfn.IFS(_xlfn.NUMBERVALUE(B258)&lt;=13,"Q1",AND(_xlfn.NUMBERVALUE(B258)&gt;13,_xlfn.NUMBERVALUE(B258)&lt;=26),"Q2", AND(_xlfn.NUMBERVALUE(B258)&gt;26,_xlfn.NUMBERVALUE(B258)&lt;=39),"Q3",_xlfn.NUMBERVALUE(B258)&gt;39,"Q4")</f>
        <v>Q4</v>
      </c>
      <c r="D258" s="448">
        <f t="shared" si="22"/>
        <v>45997</v>
      </c>
      <c r="E258" s="448">
        <f t="shared" si="23"/>
        <v>46003</v>
      </c>
      <c r="F258" s="308">
        <v>202545</v>
      </c>
      <c r="S258" s="325">
        <f t="shared" si="20"/>
        <v>0</v>
      </c>
      <c r="T258" s="455">
        <f t="shared" si="21"/>
        <v>0</v>
      </c>
      <c r="U258" s="324">
        <f>'Overall Metrics'!M312</f>
        <v>0</v>
      </c>
    </row>
    <row r="259" spans="1:21" ht="15.75" customHeight="1">
      <c r="A259" s="175">
        <f t="shared" si="18"/>
        <v>2026</v>
      </c>
      <c r="B259" s="454" t="str">
        <f t="shared" si="19"/>
        <v>46</v>
      </c>
      <c r="C259" s="454" t="str">
        <f t="array" ref="C259">_xlfn.IFS(_xlfn.NUMBERVALUE(B259)&lt;=13,"Q1",AND(_xlfn.NUMBERVALUE(B259)&gt;13,_xlfn.NUMBERVALUE(B259)&lt;=26),"Q2", AND(_xlfn.NUMBERVALUE(B259)&gt;26,_xlfn.NUMBERVALUE(B259)&lt;=39),"Q3",_xlfn.NUMBERVALUE(B259)&gt;39,"Q4")</f>
        <v>Q4</v>
      </c>
      <c r="D259" s="448">
        <f t="shared" si="22"/>
        <v>46004</v>
      </c>
      <c r="E259" s="448">
        <f t="shared" si="23"/>
        <v>46010</v>
      </c>
      <c r="F259" s="308">
        <v>202546</v>
      </c>
      <c r="S259" s="325">
        <f t="shared" si="20"/>
        <v>0</v>
      </c>
      <c r="T259" s="455">
        <f t="shared" si="21"/>
        <v>0</v>
      </c>
      <c r="U259" s="324">
        <f>'Overall Metrics'!M313</f>
        <v>0</v>
      </c>
    </row>
    <row r="260" spans="1:21" ht="15.75" customHeight="1">
      <c r="A260" s="175">
        <f t="shared" si="18"/>
        <v>2026</v>
      </c>
      <c r="B260" s="454" t="str">
        <f t="shared" si="19"/>
        <v>47</v>
      </c>
      <c r="C260" s="454" t="str">
        <f t="array" ref="C260">_xlfn.IFS(_xlfn.NUMBERVALUE(B260)&lt;=13,"Q1",AND(_xlfn.NUMBERVALUE(B260)&gt;13,_xlfn.NUMBERVALUE(B260)&lt;=26),"Q2", AND(_xlfn.NUMBERVALUE(B260)&gt;26,_xlfn.NUMBERVALUE(B260)&lt;=39),"Q3",_xlfn.NUMBERVALUE(B260)&gt;39,"Q4")</f>
        <v>Q4</v>
      </c>
      <c r="D260" s="448">
        <f t="shared" si="22"/>
        <v>46011</v>
      </c>
      <c r="E260" s="448">
        <f t="shared" si="23"/>
        <v>46017</v>
      </c>
      <c r="F260" s="308">
        <v>202547</v>
      </c>
      <c r="S260" s="325">
        <f t="shared" si="20"/>
        <v>0</v>
      </c>
      <c r="T260" s="455">
        <f t="shared" si="21"/>
        <v>0</v>
      </c>
      <c r="U260" s="324">
        <f>'Overall Metrics'!M314</f>
        <v>0</v>
      </c>
    </row>
    <row r="261" spans="1:21" ht="15.75" customHeight="1">
      <c r="A261" s="175">
        <f t="shared" si="18"/>
        <v>2026</v>
      </c>
      <c r="B261" s="454" t="str">
        <f t="shared" si="19"/>
        <v>48</v>
      </c>
      <c r="C261" s="454" t="str">
        <f t="array" ref="C261">_xlfn.IFS(_xlfn.NUMBERVALUE(B261)&lt;=13,"Q1",AND(_xlfn.NUMBERVALUE(B261)&gt;13,_xlfn.NUMBERVALUE(B261)&lt;=26),"Q2", AND(_xlfn.NUMBERVALUE(B261)&gt;26,_xlfn.NUMBERVALUE(B261)&lt;=39),"Q3",_xlfn.NUMBERVALUE(B261)&gt;39,"Q4")</f>
        <v>Q4</v>
      </c>
      <c r="D261" s="448">
        <f t="shared" si="22"/>
        <v>46018</v>
      </c>
      <c r="E261" s="448">
        <f t="shared" si="23"/>
        <v>46024</v>
      </c>
      <c r="F261" s="308">
        <v>202548</v>
      </c>
      <c r="S261" s="325">
        <f t="shared" ref="S261:S265" si="24">SUM(G261:R261)</f>
        <v>0</v>
      </c>
      <c r="T261" s="455">
        <f t="shared" ref="T261:T265" si="25">U261-S261</f>
        <v>0</v>
      </c>
      <c r="U261" s="324">
        <f>'Overall Metrics'!M315</f>
        <v>0</v>
      </c>
    </row>
    <row r="262" spans="1:21" ht="15.75" customHeight="1">
      <c r="A262" s="175">
        <f t="shared" si="18"/>
        <v>2026</v>
      </c>
      <c r="B262" s="454" t="str">
        <f t="shared" si="19"/>
        <v>49</v>
      </c>
      <c r="C262" s="454" t="str">
        <f t="array" ref="C262">_xlfn.IFS(_xlfn.NUMBERVALUE(B262)&lt;=13,"Q1",AND(_xlfn.NUMBERVALUE(B262)&gt;13,_xlfn.NUMBERVALUE(B262)&lt;=26),"Q2", AND(_xlfn.NUMBERVALUE(B262)&gt;26,_xlfn.NUMBERVALUE(B262)&lt;=39),"Q3",_xlfn.NUMBERVALUE(B262)&gt;39,"Q4")</f>
        <v>Q4</v>
      </c>
      <c r="D262" s="448">
        <f t="shared" si="22"/>
        <v>46025</v>
      </c>
      <c r="E262" s="448">
        <f t="shared" ref="E262:E265" si="26">D262+6</f>
        <v>46031</v>
      </c>
      <c r="F262" s="308">
        <v>202549</v>
      </c>
      <c r="S262" s="325">
        <f t="shared" si="24"/>
        <v>0</v>
      </c>
      <c r="T262" s="455">
        <f t="shared" si="25"/>
        <v>0</v>
      </c>
      <c r="U262" s="324">
        <f>'Overall Metrics'!M316</f>
        <v>0</v>
      </c>
    </row>
    <row r="263" spans="1:21" ht="15.75" customHeight="1">
      <c r="A263" s="175">
        <f t="shared" si="18"/>
        <v>2026</v>
      </c>
      <c r="B263" s="454" t="str">
        <f t="shared" si="19"/>
        <v>50</v>
      </c>
      <c r="C263" s="454" t="str">
        <f t="array" ref="C263">_xlfn.IFS(_xlfn.NUMBERVALUE(B263)&lt;=13,"Q1",AND(_xlfn.NUMBERVALUE(B263)&gt;13,_xlfn.NUMBERVALUE(B263)&lt;=26),"Q2", AND(_xlfn.NUMBERVALUE(B263)&gt;26,_xlfn.NUMBERVALUE(B263)&lt;=39),"Q3",_xlfn.NUMBERVALUE(B263)&gt;39,"Q4")</f>
        <v>Q4</v>
      </c>
      <c r="D263" s="448">
        <f t="shared" si="22"/>
        <v>46032</v>
      </c>
      <c r="E263" s="448">
        <f t="shared" si="26"/>
        <v>46038</v>
      </c>
      <c r="F263" s="308">
        <v>202550</v>
      </c>
      <c r="S263" s="325">
        <f t="shared" si="24"/>
        <v>0</v>
      </c>
      <c r="T263" s="455">
        <f t="shared" si="25"/>
        <v>0</v>
      </c>
      <c r="U263" s="324">
        <f>'Overall Metrics'!M317</f>
        <v>0</v>
      </c>
    </row>
    <row r="264" spans="1:21" ht="15.75" customHeight="1">
      <c r="A264" s="175">
        <f t="shared" si="18"/>
        <v>2026</v>
      </c>
      <c r="B264" s="454" t="str">
        <f t="shared" si="19"/>
        <v>51</v>
      </c>
      <c r="C264" s="454" t="str">
        <f t="array" ref="C264">_xlfn.IFS(_xlfn.NUMBERVALUE(B264)&lt;=13,"Q1",AND(_xlfn.NUMBERVALUE(B264)&gt;13,_xlfn.NUMBERVALUE(B264)&lt;=26),"Q2", AND(_xlfn.NUMBERVALUE(B264)&gt;26,_xlfn.NUMBERVALUE(B264)&lt;=39),"Q3",_xlfn.NUMBERVALUE(B264)&gt;39,"Q4")</f>
        <v>Q4</v>
      </c>
      <c r="D264" s="448">
        <f t="shared" si="22"/>
        <v>46039</v>
      </c>
      <c r="E264" s="448">
        <f t="shared" si="26"/>
        <v>46045</v>
      </c>
      <c r="F264" s="308">
        <v>202551</v>
      </c>
      <c r="S264" s="325">
        <f t="shared" si="24"/>
        <v>0</v>
      </c>
      <c r="T264" s="455">
        <f t="shared" si="25"/>
        <v>0</v>
      </c>
      <c r="U264" s="324">
        <f>'Overall Metrics'!M318</f>
        <v>0</v>
      </c>
    </row>
    <row r="265" spans="1:21" ht="16.5" customHeight="1" thickBot="1">
      <c r="A265" s="176">
        <f t="shared" si="18"/>
        <v>2026</v>
      </c>
      <c r="B265" s="177" t="str">
        <f t="shared" si="19"/>
        <v>52</v>
      </c>
      <c r="C265" s="177" t="str">
        <f t="array" ref="C265">_xlfn.IFS(_xlfn.NUMBERVALUE(B265)&lt;=13,"Q1",AND(_xlfn.NUMBERVALUE(B265)&gt;13,_xlfn.NUMBERVALUE(B265)&lt;=26),"Q2", AND(_xlfn.NUMBERVALUE(B265)&gt;26,_xlfn.NUMBERVALUE(B265)&lt;=39),"Q3",_xlfn.NUMBERVALUE(B265)&gt;39,"Q4")</f>
        <v>Q4</v>
      </c>
      <c r="D265" s="178">
        <f t="shared" si="22"/>
        <v>46046</v>
      </c>
      <c r="E265" s="178">
        <f t="shared" si="26"/>
        <v>46052</v>
      </c>
      <c r="F265" s="316">
        <v>202552</v>
      </c>
      <c r="G265" s="431"/>
      <c r="H265" s="431"/>
      <c r="I265" s="431"/>
      <c r="J265" s="431"/>
      <c r="K265" s="431"/>
      <c r="L265" s="431"/>
      <c r="M265" s="431"/>
      <c r="N265" s="431"/>
      <c r="O265" s="431"/>
      <c r="P265" s="431"/>
      <c r="Q265" s="431"/>
      <c r="R265" s="431"/>
      <c r="S265" s="432">
        <f t="shared" si="24"/>
        <v>0</v>
      </c>
      <c r="T265" s="182">
        <f t="shared" si="25"/>
        <v>0</v>
      </c>
      <c r="U265" s="433">
        <f>'Overall Metrics'!M319</f>
        <v>0</v>
      </c>
    </row>
  </sheetData>
  <mergeCells count="3">
    <mergeCell ref="A1:C2"/>
    <mergeCell ref="D1:D2"/>
    <mergeCell ref="E1:E2"/>
  </mergeCells>
  <conditionalFormatting sqref="G1:U2">
    <cfRule type="cellIs" dxfId="71" priority="2" operator="between">
      <formula>-0.1</formula>
      <formula>0</formula>
    </cfRule>
    <cfRule type="cellIs" dxfId="70" priority="3" operator="between">
      <formula>0</formula>
      <formula>0.1</formula>
    </cfRule>
    <cfRule type="cellIs" dxfId="69" priority="4" operator="lessThanOrEqual">
      <formula>-0.1</formula>
    </cfRule>
    <cfRule type="cellIs" dxfId="68" priority="5" operator="greaterThanOrEqual">
      <formula>0.1</formula>
    </cfRule>
  </conditionalFormatting>
  <pageMargins left="0.7" right="0.7" top="0.75" bottom="0.75" header="0.3" footer="0.3"/>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A1:R319"/>
  <sheetViews>
    <sheetView showGridLines="0" zoomScale="80" zoomScaleNormal="80" workbookViewId="0">
      <pane ySplit="6" topLeftCell="A257" activePane="bottomLeft" state="frozen"/>
      <selection pane="bottomLeft" activeCell="O273" sqref="O273"/>
    </sheetView>
  </sheetViews>
  <sheetFormatPr defaultRowHeight="15"/>
  <cols>
    <col min="1" max="1" width="7.42578125" bestFit="1" customWidth="1"/>
    <col min="2" max="2" width="7" bestFit="1" customWidth="1"/>
    <col min="3" max="3" width="8" bestFit="1" customWidth="1"/>
    <col min="4" max="4" width="11" bestFit="1" customWidth="1"/>
    <col min="5" max="5" width="10.5703125" bestFit="1" customWidth="1"/>
    <col min="6" max="6" width="16.5703125" bestFit="1" customWidth="1"/>
    <col min="7" max="7" width="9.42578125" bestFit="1" customWidth="1"/>
    <col min="8" max="9" width="11.5703125" bestFit="1" customWidth="1"/>
    <col min="10" max="10" width="12.5703125" bestFit="1" customWidth="1"/>
    <col min="11" max="11" width="12.42578125" customWidth="1"/>
  </cols>
  <sheetData>
    <row r="1" spans="1:11" ht="15.75" customHeight="1" thickBot="1">
      <c r="A1" s="979" t="e">
        <f ca="1">VLOOKUP(E1,E7:F319,2,FALSE)</f>
        <v>#N/A</v>
      </c>
      <c r="B1" s="980"/>
      <c r="C1" s="980"/>
      <c r="D1" s="976">
        <f ca="1">E1-6</f>
        <v>46067</v>
      </c>
      <c r="E1" s="976">
        <f ca="1">TODAY()-WEEKDAY(TODAY()+1)</f>
        <v>46073</v>
      </c>
      <c r="F1" s="94" t="s">
        <v>162</v>
      </c>
      <c r="G1" s="169" t="str">
        <f t="array" aca="1" ref="G1" ca="1">IFERROR(VLOOKUP($A$1-IF(RIGHT($A$1,2)="01",48,1),$F$7:G319,COLUMNS($F$7:G319),FALSE)-VLOOKUP(($A$1-IFERROR(_xlfn.IFS(RIGHT($A$1,2)="01",49,RIGHT($A$1,2)="02",49),2)),$F$7:G319,COLUMNS($F$7:G319),FALSE),"NA")</f>
        <v>NA</v>
      </c>
      <c r="H1" s="169" t="str">
        <f t="array" aca="1" ref="H1" ca="1">IFERROR(VLOOKUP($A$1-IF(RIGHT($A$1,2)="01",48,1),$F$7:H319,COLUMNS($F$7:H319),FALSE)-VLOOKUP(($A$1-IFERROR(_xlfn.IFS(RIGHT($A$1,2)="01",49,RIGHT($A$1,2)="02",49),2)),$F$7:H319,COLUMNS($F$7:H319),FALSE),"NA")</f>
        <v>NA</v>
      </c>
      <c r="I1" s="169" t="str">
        <f t="array" aca="1" ref="I1" ca="1">IFERROR(VLOOKUP($A$1-IF(RIGHT($A$1,2)="01",48,1),$F$7:I319,COLUMNS($F$7:I319),FALSE)-VLOOKUP(($A$1-IFERROR(_xlfn.IFS(RIGHT($A$1,2)="01",49,RIGHT($A$1,2)="02",49),2)),$F$7:I319,COLUMNS($F$7:I319),FALSE),"NA")</f>
        <v>NA</v>
      </c>
      <c r="J1" s="163" t="str">
        <f t="array" aca="1" ref="J1" ca="1">IFERROR(VLOOKUP($A$1-IF(RIGHT($A$1,2)="01",48,1),$F$7:J319,COLUMNS($F$7:J319),FALSE)/VLOOKUP(($A$1-IFERROR(_xlfn.IFS(RIGHT($A$1,2)="01",49,RIGHT($A$1,2)="02",49),2)),$F$7:J319,COLUMNS($F$7:J319),FALSE)-1,"NA")</f>
        <v>NA</v>
      </c>
      <c r="K1" s="163" t="str">
        <f t="array" aca="1" ref="K1" ca="1">IFERROR(VLOOKUP($A$1-IF(RIGHT($A$1,2)="01",48,1),$F$7:K319,COLUMNS($F$7:K319),FALSE)/VLOOKUP(($A$1-IFERROR(_xlfn.IFS(RIGHT($A$1,2)="01",49,RIGHT($A$1,2)="02",49),2)),$F$7:K319,COLUMNS($F$7:K319),FALSE)-1,"NA")</f>
        <v>NA</v>
      </c>
    </row>
    <row r="2" spans="1:11" ht="15.6" customHeight="1">
      <c r="A2" s="981"/>
      <c r="B2" s="1002"/>
      <c r="C2" s="1002"/>
      <c r="D2" s="1002"/>
      <c r="E2" s="1002"/>
      <c r="F2" s="95" t="s">
        <v>163</v>
      </c>
      <c r="G2" s="169" t="e">
        <f ca="1">IF(VLOOKUP(($A$1-IF(RIGHT($A$1,2)="01",100,100)),$F$7:G319,COLUMNS($F$7:G319),FALSE)=0,"NA",(IFERROR(VLOOKUP(($A$1-IF(RIGHT($A$1,2)="01",48,1)),$F$7:G319,COLUMNS($F$7:G319),FALSE)-VLOOKUP(($A$1-IF(RIGHT($A$1,2)="01",100,100)),$F$7:G319,COLUMNS($F$7:G319),FALSE),"NA")))</f>
        <v>#N/A</v>
      </c>
      <c r="H2" s="169" t="e">
        <f ca="1">IF(VLOOKUP(($A$1-IF(RIGHT($A$1,2)="01",100,100)),$F$7:H319,COLUMNS($F$7:H319),FALSE)=0,"NA",(IFERROR(VLOOKUP(($A$1-IF(RIGHT($A$1,2)="01",48,1)),$F$7:H319,COLUMNS($F$7:H319),FALSE)-VLOOKUP(($A$1-IF(RIGHT($A$1,2)="01",100,100)),$F$7:H319,COLUMNS($F$7:H319),FALSE),"NA")))</f>
        <v>#N/A</v>
      </c>
      <c r="I2" s="169" t="e">
        <f ca="1">IF(VLOOKUP(($A$1-IF(RIGHT($A$1,2)="01",100,100)),$F$7:I319,COLUMNS($F$7:I319),FALSE)=0,"NA",(IFERROR(VLOOKUP(($A$1-IF(RIGHT($A$1,2)="01",48,1)),$F$7:I319,COLUMNS($F$7:I319),FALSE)-VLOOKUP(($A$1-IF(RIGHT($A$1,2)="01",100,100)),$F$7:I319,COLUMNS($F$7:I319),FALSE),"NA")))</f>
        <v>#N/A</v>
      </c>
      <c r="J2" s="169" t="str">
        <f ca="1">IFERROR(VLOOKUP(($A$1-IF(RIGHT($A$1,2)="01",48,1)),$F$7:J319,COLUMNS($F$7:J319),FALSE)/VLOOKUP(($A$1-IF(RIGHT($A$1,2)="01",100,100)),$F$7:J319,COLUMNS($F$7:J319),FALSE)-1,"NA")</f>
        <v>NA</v>
      </c>
      <c r="K2" s="169" t="str">
        <f ca="1">IFERROR(VLOOKUP(($A$1-IF(RIGHT($A$1,2)="01",48,1)),$F$7:K319,COLUMNS($F$7:K319),FALSE)/VLOOKUP(($A$1-IF(RIGHT($A$1,2)="01",100,100)),$F$7:K319,COLUMNS($F$7:K319),FALSE)-1,"NA")</f>
        <v>NA</v>
      </c>
    </row>
    <row r="3" spans="1:11" ht="15.6" customHeight="1">
      <c r="A3" s="981"/>
      <c r="B3" s="1002"/>
      <c r="C3" s="1002"/>
      <c r="D3" s="1002"/>
      <c r="E3" s="1002"/>
      <c r="F3" s="95" t="s">
        <v>164</v>
      </c>
      <c r="G3" s="79" t="s">
        <v>166</v>
      </c>
      <c r="H3" s="79" t="s">
        <v>172</v>
      </c>
      <c r="I3" s="79" t="s">
        <v>172</v>
      </c>
      <c r="J3" s="79" t="s">
        <v>172</v>
      </c>
      <c r="K3" s="79" t="s">
        <v>172</v>
      </c>
    </row>
    <row r="4" spans="1:11" ht="15.6" customHeight="1">
      <c r="A4" s="982"/>
      <c r="B4" s="978"/>
      <c r="C4" s="978"/>
      <c r="D4" s="978"/>
      <c r="E4" s="978"/>
      <c r="F4" s="96" t="s">
        <v>174</v>
      </c>
    </row>
    <row r="5" spans="1:11" ht="15.75" customHeight="1" thickBot="1">
      <c r="A5" s="78"/>
      <c r="B5" s="78"/>
      <c r="C5" s="78"/>
      <c r="D5" s="78"/>
      <c r="E5" s="78"/>
      <c r="F5" s="78"/>
    </row>
    <row r="6" spans="1:11" ht="41.25" customHeight="1" thickBot="1">
      <c r="A6" s="81" t="s">
        <v>41</v>
      </c>
      <c r="B6" s="82" t="s">
        <v>44</v>
      </c>
      <c r="C6" s="82" t="s">
        <v>177</v>
      </c>
      <c r="D6" s="82" t="s">
        <v>323</v>
      </c>
      <c r="E6" s="82" t="s">
        <v>48</v>
      </c>
      <c r="F6" s="82" t="s">
        <v>178</v>
      </c>
      <c r="G6" s="81" t="s">
        <v>203</v>
      </c>
      <c r="H6" s="82" t="s">
        <v>204</v>
      </c>
      <c r="I6" s="82" t="s">
        <v>205</v>
      </c>
      <c r="J6" s="82" t="s">
        <v>415</v>
      </c>
      <c r="K6" s="83" t="s">
        <v>416</v>
      </c>
    </row>
    <row r="7" spans="1:11" ht="15.75" customHeight="1">
      <c r="A7" s="341">
        <f t="shared" ref="A7:A70" si="0">LEFT(F7,4)+1</f>
        <v>2021</v>
      </c>
      <c r="B7" s="172" t="str">
        <f t="shared" ref="B7:B70" si="1">RIGHT(F7,2)</f>
        <v>01</v>
      </c>
      <c r="C7" s="172" t="str">
        <f t="array" ref="C7">_xlfn.IFS(_xlfn.NUMBERVALUE(B7)&lt;=13,"Q1",AND(_xlfn.NUMBERVALUE(B7)&gt;13,_xlfn.NUMBERVALUE(B7)&lt;=26),"Q2", AND(_xlfn.NUMBERVALUE(B7)&gt;26,_xlfn.NUMBERVALUE(B7)&lt;=39),"Q3",_xlfn.NUMBERVALUE(B7)&gt;39,"Q4")</f>
        <v>Q1</v>
      </c>
      <c r="D7" s="173">
        <v>43862</v>
      </c>
      <c r="E7" s="174">
        <f t="shared" ref="E7:E70" si="2">D7+6</f>
        <v>43868</v>
      </c>
      <c r="F7" s="687">
        <v>202001</v>
      </c>
      <c r="G7" s="688"/>
      <c r="H7" s="755"/>
      <c r="I7" s="755"/>
      <c r="J7" s="692"/>
      <c r="K7" s="693"/>
    </row>
    <row r="8" spans="1:11" ht="15.75" customHeight="1">
      <c r="A8" s="175">
        <f t="shared" si="0"/>
        <v>2021</v>
      </c>
      <c r="B8" s="454" t="str">
        <f t="shared" si="1"/>
        <v>02</v>
      </c>
      <c r="C8" s="454" t="str">
        <f t="array" ref="C8">_xlfn.IFS(_xlfn.NUMBERVALUE(B8)&lt;=13,"Q1",AND(_xlfn.NUMBERVALUE(B8)&gt;13,_xlfn.NUMBERVALUE(B8)&lt;=26),"Q2", AND(_xlfn.NUMBERVALUE(B8)&gt;26,_xlfn.NUMBERVALUE(B8)&lt;=39),"Q3",_xlfn.NUMBERVALUE(B8)&gt;39,"Q4")</f>
        <v>Q1</v>
      </c>
      <c r="D8" s="448">
        <f t="shared" ref="D8:D71" si="3">E7+1</f>
        <v>43869</v>
      </c>
      <c r="E8" s="448">
        <f t="shared" si="2"/>
        <v>43875</v>
      </c>
      <c r="F8" s="689">
        <v>202002</v>
      </c>
      <c r="G8" s="688"/>
      <c r="H8" s="755"/>
      <c r="I8" s="755"/>
      <c r="J8" s="692"/>
      <c r="K8" s="693"/>
    </row>
    <row r="9" spans="1:11" ht="15.75" customHeight="1">
      <c r="A9" s="175">
        <f t="shared" si="0"/>
        <v>2021</v>
      </c>
      <c r="B9" s="454" t="str">
        <f t="shared" si="1"/>
        <v>03</v>
      </c>
      <c r="C9" s="454" t="str">
        <f t="array" ref="C9">_xlfn.IFS(_xlfn.NUMBERVALUE(B9)&lt;=13,"Q1",AND(_xlfn.NUMBERVALUE(B9)&gt;13,_xlfn.NUMBERVALUE(B9)&lt;=26),"Q2", AND(_xlfn.NUMBERVALUE(B9)&gt;26,_xlfn.NUMBERVALUE(B9)&lt;=39),"Q3",_xlfn.NUMBERVALUE(B9)&gt;39,"Q4")</f>
        <v>Q1</v>
      </c>
      <c r="D9" s="448">
        <f t="shared" si="3"/>
        <v>43876</v>
      </c>
      <c r="E9" s="448">
        <f t="shared" si="2"/>
        <v>43882</v>
      </c>
      <c r="F9" s="689">
        <v>202003</v>
      </c>
      <c r="G9" s="688"/>
      <c r="H9" s="755"/>
      <c r="I9" s="755"/>
      <c r="J9" s="692"/>
      <c r="K9" s="693"/>
    </row>
    <row r="10" spans="1:11" ht="15.75" customHeight="1">
      <c r="A10" s="175">
        <f t="shared" si="0"/>
        <v>2021</v>
      </c>
      <c r="B10" s="454" t="str">
        <f t="shared" si="1"/>
        <v>04</v>
      </c>
      <c r="C10" s="454" t="str">
        <f t="array" ref="C10">_xlfn.IFS(_xlfn.NUMBERVALUE(B10)&lt;=13,"Q1",AND(_xlfn.NUMBERVALUE(B10)&gt;13,_xlfn.NUMBERVALUE(B10)&lt;=26),"Q2", AND(_xlfn.NUMBERVALUE(B10)&gt;26,_xlfn.NUMBERVALUE(B10)&lt;=39),"Q3",_xlfn.NUMBERVALUE(B10)&gt;39,"Q4")</f>
        <v>Q1</v>
      </c>
      <c r="D10" s="448">
        <f t="shared" si="3"/>
        <v>43883</v>
      </c>
      <c r="E10" s="448">
        <f t="shared" si="2"/>
        <v>43889</v>
      </c>
      <c r="F10" s="689">
        <v>202004</v>
      </c>
      <c r="G10" s="688"/>
      <c r="H10" s="755"/>
      <c r="I10" s="755"/>
      <c r="J10" s="692"/>
      <c r="K10" s="693"/>
    </row>
    <row r="11" spans="1:11" ht="15.75" customHeight="1">
      <c r="A11" s="175">
        <f t="shared" si="0"/>
        <v>2021</v>
      </c>
      <c r="B11" s="454" t="str">
        <f t="shared" si="1"/>
        <v>05</v>
      </c>
      <c r="C11" s="454" t="str">
        <f t="array" ref="C11">_xlfn.IFS(_xlfn.NUMBERVALUE(B11)&lt;=13,"Q1",AND(_xlfn.NUMBERVALUE(B11)&gt;13,_xlfn.NUMBERVALUE(B11)&lt;=26),"Q2", AND(_xlfn.NUMBERVALUE(B11)&gt;26,_xlfn.NUMBERVALUE(B11)&lt;=39),"Q3",_xlfn.NUMBERVALUE(B11)&gt;39,"Q4")</f>
        <v>Q1</v>
      </c>
      <c r="D11" s="448">
        <f t="shared" si="3"/>
        <v>43890</v>
      </c>
      <c r="E11" s="448">
        <f t="shared" si="2"/>
        <v>43896</v>
      </c>
      <c r="F11" s="689">
        <v>202005</v>
      </c>
      <c r="G11" s="688"/>
      <c r="H11" s="755"/>
      <c r="I11" s="755"/>
      <c r="J11" s="692"/>
      <c r="K11" s="693"/>
    </row>
    <row r="12" spans="1:11" ht="15.75" customHeight="1">
      <c r="A12" s="175">
        <f t="shared" si="0"/>
        <v>2021</v>
      </c>
      <c r="B12" s="454" t="str">
        <f t="shared" si="1"/>
        <v>06</v>
      </c>
      <c r="C12" s="454" t="str">
        <f t="array" ref="C12">_xlfn.IFS(_xlfn.NUMBERVALUE(B12)&lt;=13,"Q1",AND(_xlfn.NUMBERVALUE(B12)&gt;13,_xlfn.NUMBERVALUE(B12)&lt;=26),"Q2", AND(_xlfn.NUMBERVALUE(B12)&gt;26,_xlfn.NUMBERVALUE(B12)&lt;=39),"Q3",_xlfn.NUMBERVALUE(B12)&gt;39,"Q4")</f>
        <v>Q1</v>
      </c>
      <c r="D12" s="448">
        <f t="shared" si="3"/>
        <v>43897</v>
      </c>
      <c r="E12" s="448">
        <f t="shared" si="2"/>
        <v>43903</v>
      </c>
      <c r="F12" s="689">
        <v>202006</v>
      </c>
      <c r="G12" s="688"/>
      <c r="H12" s="755"/>
      <c r="I12" s="755"/>
      <c r="J12" s="692"/>
      <c r="K12" s="693"/>
    </row>
    <row r="13" spans="1:11" ht="15.75" customHeight="1">
      <c r="A13" s="175">
        <f t="shared" si="0"/>
        <v>2021</v>
      </c>
      <c r="B13" s="454" t="str">
        <f t="shared" si="1"/>
        <v>07</v>
      </c>
      <c r="C13" s="454" t="str">
        <f t="array" ref="C13">_xlfn.IFS(_xlfn.NUMBERVALUE(B13)&lt;=13,"Q1",AND(_xlfn.NUMBERVALUE(B13)&gt;13,_xlfn.NUMBERVALUE(B13)&lt;=26),"Q2", AND(_xlfn.NUMBERVALUE(B13)&gt;26,_xlfn.NUMBERVALUE(B13)&lt;=39),"Q3",_xlfn.NUMBERVALUE(B13)&gt;39,"Q4")</f>
        <v>Q1</v>
      </c>
      <c r="D13" s="448">
        <f t="shared" si="3"/>
        <v>43904</v>
      </c>
      <c r="E13" s="448">
        <f t="shared" si="2"/>
        <v>43910</v>
      </c>
      <c r="F13" s="689">
        <v>202007</v>
      </c>
      <c r="G13" s="688"/>
      <c r="H13" s="755"/>
      <c r="I13" s="755"/>
      <c r="J13" s="692"/>
      <c r="K13" s="693"/>
    </row>
    <row r="14" spans="1:11" ht="15.75" customHeight="1">
      <c r="A14" s="175">
        <f t="shared" si="0"/>
        <v>2021</v>
      </c>
      <c r="B14" s="454" t="str">
        <f t="shared" si="1"/>
        <v>08</v>
      </c>
      <c r="C14" s="454" t="str">
        <f t="array" ref="C14">_xlfn.IFS(_xlfn.NUMBERVALUE(B14)&lt;=13,"Q1",AND(_xlfn.NUMBERVALUE(B14)&gt;13,_xlfn.NUMBERVALUE(B14)&lt;=26),"Q2", AND(_xlfn.NUMBERVALUE(B14)&gt;26,_xlfn.NUMBERVALUE(B14)&lt;=39),"Q3",_xlfn.NUMBERVALUE(B14)&gt;39,"Q4")</f>
        <v>Q1</v>
      </c>
      <c r="D14" s="448">
        <f t="shared" si="3"/>
        <v>43911</v>
      </c>
      <c r="E14" s="448">
        <f t="shared" si="2"/>
        <v>43917</v>
      </c>
      <c r="F14" s="689">
        <v>202008</v>
      </c>
      <c r="G14" s="688"/>
      <c r="H14" s="755"/>
      <c r="I14" s="755"/>
      <c r="J14" s="692"/>
      <c r="K14" s="693"/>
    </row>
    <row r="15" spans="1:11" ht="15.75" customHeight="1">
      <c r="A15" s="175">
        <f t="shared" si="0"/>
        <v>2021</v>
      </c>
      <c r="B15" s="454" t="str">
        <f t="shared" si="1"/>
        <v>09</v>
      </c>
      <c r="C15" s="454" t="str">
        <f t="array" ref="C15">_xlfn.IFS(_xlfn.NUMBERVALUE(B15)&lt;=13,"Q1",AND(_xlfn.NUMBERVALUE(B15)&gt;13,_xlfn.NUMBERVALUE(B15)&lt;=26),"Q2", AND(_xlfn.NUMBERVALUE(B15)&gt;26,_xlfn.NUMBERVALUE(B15)&lt;=39),"Q3",_xlfn.NUMBERVALUE(B15)&gt;39,"Q4")</f>
        <v>Q1</v>
      </c>
      <c r="D15" s="448">
        <f t="shared" si="3"/>
        <v>43918</v>
      </c>
      <c r="E15" s="448">
        <f t="shared" si="2"/>
        <v>43924</v>
      </c>
      <c r="F15" s="689">
        <v>202009</v>
      </c>
      <c r="G15" s="688"/>
      <c r="H15" s="755"/>
      <c r="I15" s="755"/>
      <c r="J15" s="692"/>
      <c r="K15" s="693"/>
    </row>
    <row r="16" spans="1:11" ht="15.75" customHeight="1">
      <c r="A16" s="175">
        <f t="shared" si="0"/>
        <v>2021</v>
      </c>
      <c r="B16" s="454" t="str">
        <f t="shared" si="1"/>
        <v>10</v>
      </c>
      <c r="C16" s="454" t="str">
        <f t="array" ref="C16">_xlfn.IFS(_xlfn.NUMBERVALUE(B16)&lt;=13,"Q1",AND(_xlfn.NUMBERVALUE(B16)&gt;13,_xlfn.NUMBERVALUE(B16)&lt;=26),"Q2", AND(_xlfn.NUMBERVALUE(B16)&gt;26,_xlfn.NUMBERVALUE(B16)&lt;=39),"Q3",_xlfn.NUMBERVALUE(B16)&gt;39,"Q4")</f>
        <v>Q1</v>
      </c>
      <c r="D16" s="448">
        <f t="shared" si="3"/>
        <v>43925</v>
      </c>
      <c r="E16" s="448">
        <f t="shared" si="2"/>
        <v>43931</v>
      </c>
      <c r="F16" s="689">
        <v>202010</v>
      </c>
      <c r="G16" s="688"/>
      <c r="H16" s="755"/>
      <c r="I16" s="755"/>
      <c r="J16" s="692"/>
      <c r="K16" s="693"/>
    </row>
    <row r="17" spans="1:11" ht="15.75" customHeight="1">
      <c r="A17" s="175">
        <f t="shared" si="0"/>
        <v>2021</v>
      </c>
      <c r="B17" s="454" t="str">
        <f t="shared" si="1"/>
        <v>11</v>
      </c>
      <c r="C17" s="454" t="str">
        <f t="array" ref="C17">_xlfn.IFS(_xlfn.NUMBERVALUE(B17)&lt;=13,"Q1",AND(_xlfn.NUMBERVALUE(B17)&gt;13,_xlfn.NUMBERVALUE(B17)&lt;=26),"Q2", AND(_xlfn.NUMBERVALUE(B17)&gt;26,_xlfn.NUMBERVALUE(B17)&lt;=39),"Q3",_xlfn.NUMBERVALUE(B17)&gt;39,"Q4")</f>
        <v>Q1</v>
      </c>
      <c r="D17" s="448">
        <f t="shared" si="3"/>
        <v>43932</v>
      </c>
      <c r="E17" s="448">
        <f t="shared" si="2"/>
        <v>43938</v>
      </c>
      <c r="F17" s="689">
        <v>202011</v>
      </c>
      <c r="G17" s="688"/>
      <c r="H17" s="755"/>
      <c r="I17" s="755"/>
      <c r="J17" s="692"/>
      <c r="K17" s="693"/>
    </row>
    <row r="18" spans="1:11" ht="15.75" customHeight="1">
      <c r="A18" s="175">
        <f t="shared" si="0"/>
        <v>2021</v>
      </c>
      <c r="B18" s="454" t="str">
        <f t="shared" si="1"/>
        <v>12</v>
      </c>
      <c r="C18" s="454" t="str">
        <f t="array" ref="C18">_xlfn.IFS(_xlfn.NUMBERVALUE(B18)&lt;=13,"Q1",AND(_xlfn.NUMBERVALUE(B18)&gt;13,_xlfn.NUMBERVALUE(B18)&lt;=26),"Q2", AND(_xlfn.NUMBERVALUE(B18)&gt;26,_xlfn.NUMBERVALUE(B18)&lt;=39),"Q3",_xlfn.NUMBERVALUE(B18)&gt;39,"Q4")</f>
        <v>Q1</v>
      </c>
      <c r="D18" s="448">
        <f t="shared" si="3"/>
        <v>43939</v>
      </c>
      <c r="E18" s="448">
        <f t="shared" si="2"/>
        <v>43945</v>
      </c>
      <c r="F18" s="689">
        <v>202012</v>
      </c>
      <c r="G18" s="688"/>
      <c r="H18" s="755"/>
      <c r="I18" s="755"/>
      <c r="J18" s="692"/>
      <c r="K18" s="693"/>
    </row>
    <row r="19" spans="1:11" ht="15.75" customHeight="1">
      <c r="A19" s="175">
        <f t="shared" si="0"/>
        <v>2021</v>
      </c>
      <c r="B19" s="454" t="str">
        <f t="shared" si="1"/>
        <v>13</v>
      </c>
      <c r="C19" s="454" t="str">
        <f t="array" ref="C19">_xlfn.IFS(_xlfn.NUMBERVALUE(B19)&lt;=13,"Q1",AND(_xlfn.NUMBERVALUE(B19)&gt;13,_xlfn.NUMBERVALUE(B19)&lt;=26),"Q2", AND(_xlfn.NUMBERVALUE(B19)&gt;26,_xlfn.NUMBERVALUE(B19)&lt;=39),"Q3",_xlfn.NUMBERVALUE(B19)&gt;39,"Q4")</f>
        <v>Q1</v>
      </c>
      <c r="D19" s="448">
        <f t="shared" si="3"/>
        <v>43946</v>
      </c>
      <c r="E19" s="448">
        <f t="shared" si="2"/>
        <v>43952</v>
      </c>
      <c r="F19" s="689">
        <v>202013</v>
      </c>
      <c r="G19" s="688"/>
      <c r="H19" s="755"/>
      <c r="I19" s="755"/>
      <c r="J19" s="692"/>
      <c r="K19" s="693"/>
    </row>
    <row r="20" spans="1:11" ht="15.75" customHeight="1">
      <c r="A20" s="175">
        <f t="shared" si="0"/>
        <v>2021</v>
      </c>
      <c r="B20" s="454" t="str">
        <f t="shared" si="1"/>
        <v>14</v>
      </c>
      <c r="C20" s="454" t="str">
        <f t="array" ref="C20">_xlfn.IFS(_xlfn.NUMBERVALUE(B20)&lt;=13,"Q1",AND(_xlfn.NUMBERVALUE(B20)&gt;13,_xlfn.NUMBERVALUE(B20)&lt;=26),"Q2", AND(_xlfn.NUMBERVALUE(B20)&gt;26,_xlfn.NUMBERVALUE(B20)&lt;=39),"Q3",_xlfn.NUMBERVALUE(B20)&gt;39,"Q4")</f>
        <v>Q2</v>
      </c>
      <c r="D20" s="448">
        <f t="shared" si="3"/>
        <v>43953</v>
      </c>
      <c r="E20" s="448">
        <f t="shared" si="2"/>
        <v>43959</v>
      </c>
      <c r="F20" s="689">
        <v>202014</v>
      </c>
      <c r="G20" s="688"/>
      <c r="H20" s="755"/>
      <c r="I20" s="755"/>
      <c r="J20" s="692"/>
      <c r="K20" s="693"/>
    </row>
    <row r="21" spans="1:11" ht="15.75" customHeight="1">
      <c r="A21" s="175">
        <f t="shared" si="0"/>
        <v>2021</v>
      </c>
      <c r="B21" s="454" t="str">
        <f t="shared" si="1"/>
        <v>15</v>
      </c>
      <c r="C21" s="454" t="str">
        <f t="array" ref="C21">_xlfn.IFS(_xlfn.NUMBERVALUE(B21)&lt;=13,"Q1",AND(_xlfn.NUMBERVALUE(B21)&gt;13,_xlfn.NUMBERVALUE(B21)&lt;=26),"Q2", AND(_xlfn.NUMBERVALUE(B21)&gt;26,_xlfn.NUMBERVALUE(B21)&lt;=39),"Q3",_xlfn.NUMBERVALUE(B21)&gt;39,"Q4")</f>
        <v>Q2</v>
      </c>
      <c r="D21" s="448">
        <f t="shared" si="3"/>
        <v>43960</v>
      </c>
      <c r="E21" s="448">
        <f t="shared" si="2"/>
        <v>43966</v>
      </c>
      <c r="F21" s="689">
        <v>202015</v>
      </c>
      <c r="G21" s="688"/>
      <c r="H21" s="755"/>
      <c r="I21" s="755"/>
      <c r="J21" s="692"/>
      <c r="K21" s="693"/>
    </row>
    <row r="22" spans="1:11" ht="15.75" customHeight="1">
      <c r="A22" s="175">
        <f t="shared" si="0"/>
        <v>2021</v>
      </c>
      <c r="B22" s="454" t="str">
        <f t="shared" si="1"/>
        <v>16</v>
      </c>
      <c r="C22" s="454" t="str">
        <f t="array" ref="C22">_xlfn.IFS(_xlfn.NUMBERVALUE(B22)&lt;=13,"Q1",AND(_xlfn.NUMBERVALUE(B22)&gt;13,_xlfn.NUMBERVALUE(B22)&lt;=26),"Q2", AND(_xlfn.NUMBERVALUE(B22)&gt;26,_xlfn.NUMBERVALUE(B22)&lt;=39),"Q3",_xlfn.NUMBERVALUE(B22)&gt;39,"Q4")</f>
        <v>Q2</v>
      </c>
      <c r="D22" s="448">
        <f t="shared" si="3"/>
        <v>43967</v>
      </c>
      <c r="E22" s="448">
        <f t="shared" si="2"/>
        <v>43973</v>
      </c>
      <c r="F22" s="689">
        <v>202016</v>
      </c>
      <c r="G22" s="688"/>
      <c r="H22" s="755"/>
      <c r="I22" s="755"/>
      <c r="J22" s="692"/>
      <c r="K22" s="693"/>
    </row>
    <row r="23" spans="1:11" ht="15.75" customHeight="1">
      <c r="A23" s="175">
        <f t="shared" si="0"/>
        <v>2021</v>
      </c>
      <c r="B23" s="454" t="str">
        <f t="shared" si="1"/>
        <v>17</v>
      </c>
      <c r="C23" s="454" t="str">
        <f t="array" ref="C23">_xlfn.IFS(_xlfn.NUMBERVALUE(B23)&lt;=13,"Q1",AND(_xlfn.NUMBERVALUE(B23)&gt;13,_xlfn.NUMBERVALUE(B23)&lt;=26),"Q2", AND(_xlfn.NUMBERVALUE(B23)&gt;26,_xlfn.NUMBERVALUE(B23)&lt;=39),"Q3",_xlfn.NUMBERVALUE(B23)&gt;39,"Q4")</f>
        <v>Q2</v>
      </c>
      <c r="D23" s="448">
        <f t="shared" si="3"/>
        <v>43974</v>
      </c>
      <c r="E23" s="448">
        <f t="shared" si="2"/>
        <v>43980</v>
      </c>
      <c r="F23" s="689">
        <v>202017</v>
      </c>
      <c r="G23" s="688"/>
      <c r="H23" s="755"/>
      <c r="I23" s="755"/>
      <c r="J23" s="692"/>
      <c r="K23" s="693"/>
    </row>
    <row r="24" spans="1:11" ht="15.75" customHeight="1">
      <c r="A24" s="175">
        <f t="shared" si="0"/>
        <v>2021</v>
      </c>
      <c r="B24" s="454" t="str">
        <f t="shared" si="1"/>
        <v>18</v>
      </c>
      <c r="C24" s="454" t="str">
        <f t="array" ref="C24">_xlfn.IFS(_xlfn.NUMBERVALUE(B24)&lt;=13,"Q1",AND(_xlfn.NUMBERVALUE(B24)&gt;13,_xlfn.NUMBERVALUE(B24)&lt;=26),"Q2", AND(_xlfn.NUMBERVALUE(B24)&gt;26,_xlfn.NUMBERVALUE(B24)&lt;=39),"Q3",_xlfn.NUMBERVALUE(B24)&gt;39,"Q4")</f>
        <v>Q2</v>
      </c>
      <c r="D24" s="448">
        <f t="shared" si="3"/>
        <v>43981</v>
      </c>
      <c r="E24" s="448">
        <f t="shared" si="2"/>
        <v>43987</v>
      </c>
      <c r="F24" s="689">
        <v>202018</v>
      </c>
      <c r="G24" s="688"/>
      <c r="H24" s="755"/>
      <c r="I24" s="755"/>
      <c r="J24" s="692"/>
      <c r="K24" s="693"/>
    </row>
    <row r="25" spans="1:11" ht="15.75" customHeight="1">
      <c r="A25" s="175">
        <f t="shared" si="0"/>
        <v>2021</v>
      </c>
      <c r="B25" s="454" t="str">
        <f t="shared" si="1"/>
        <v>19</v>
      </c>
      <c r="C25" s="454" t="str">
        <f t="array" ref="C25">_xlfn.IFS(_xlfn.NUMBERVALUE(B25)&lt;=13,"Q1",AND(_xlfn.NUMBERVALUE(B25)&gt;13,_xlfn.NUMBERVALUE(B25)&lt;=26),"Q2", AND(_xlfn.NUMBERVALUE(B25)&gt;26,_xlfn.NUMBERVALUE(B25)&lt;=39),"Q3",_xlfn.NUMBERVALUE(B25)&gt;39,"Q4")</f>
        <v>Q2</v>
      </c>
      <c r="D25" s="448">
        <f t="shared" si="3"/>
        <v>43988</v>
      </c>
      <c r="E25" s="448">
        <f t="shared" si="2"/>
        <v>43994</v>
      </c>
      <c r="F25" s="689">
        <v>202019</v>
      </c>
      <c r="G25" s="688"/>
      <c r="H25" s="755"/>
      <c r="I25" s="755"/>
      <c r="J25" s="692"/>
      <c r="K25" s="693"/>
    </row>
    <row r="26" spans="1:11" ht="15.75" customHeight="1">
      <c r="A26" s="175">
        <f t="shared" si="0"/>
        <v>2021</v>
      </c>
      <c r="B26" s="454" t="str">
        <f t="shared" si="1"/>
        <v>20</v>
      </c>
      <c r="C26" s="454" t="str">
        <f t="array" ref="C26">_xlfn.IFS(_xlfn.NUMBERVALUE(B26)&lt;=13,"Q1",AND(_xlfn.NUMBERVALUE(B26)&gt;13,_xlfn.NUMBERVALUE(B26)&lt;=26),"Q2", AND(_xlfn.NUMBERVALUE(B26)&gt;26,_xlfn.NUMBERVALUE(B26)&lt;=39),"Q3",_xlfn.NUMBERVALUE(B26)&gt;39,"Q4")</f>
        <v>Q2</v>
      </c>
      <c r="D26" s="448">
        <f t="shared" si="3"/>
        <v>43995</v>
      </c>
      <c r="E26" s="448">
        <f t="shared" si="2"/>
        <v>44001</v>
      </c>
      <c r="F26" s="689">
        <v>202020</v>
      </c>
      <c r="G26" s="688"/>
      <c r="H26" s="755"/>
      <c r="I26" s="755"/>
      <c r="J26" s="692"/>
      <c r="K26" s="693"/>
    </row>
    <row r="27" spans="1:11" ht="15.75" customHeight="1">
      <c r="A27" s="175">
        <f t="shared" si="0"/>
        <v>2021</v>
      </c>
      <c r="B27" s="454" t="str">
        <f t="shared" si="1"/>
        <v>21</v>
      </c>
      <c r="C27" s="454" t="str">
        <f t="array" ref="C27">_xlfn.IFS(_xlfn.NUMBERVALUE(B27)&lt;=13,"Q1",AND(_xlfn.NUMBERVALUE(B27)&gt;13,_xlfn.NUMBERVALUE(B27)&lt;=26),"Q2", AND(_xlfn.NUMBERVALUE(B27)&gt;26,_xlfn.NUMBERVALUE(B27)&lt;=39),"Q3",_xlfn.NUMBERVALUE(B27)&gt;39,"Q4")</f>
        <v>Q2</v>
      </c>
      <c r="D27" s="448">
        <f t="shared" si="3"/>
        <v>44002</v>
      </c>
      <c r="E27" s="448">
        <f t="shared" si="2"/>
        <v>44008</v>
      </c>
      <c r="F27" s="689">
        <v>202021</v>
      </c>
      <c r="G27" s="688"/>
      <c r="H27" s="755"/>
      <c r="I27" s="755"/>
      <c r="J27" s="692"/>
      <c r="K27" s="693"/>
    </row>
    <row r="28" spans="1:11" ht="15.75" customHeight="1">
      <c r="A28" s="175">
        <f t="shared" si="0"/>
        <v>2021</v>
      </c>
      <c r="B28" s="454" t="str">
        <f t="shared" si="1"/>
        <v>22</v>
      </c>
      <c r="C28" s="454" t="str">
        <f t="array" ref="C28">_xlfn.IFS(_xlfn.NUMBERVALUE(B28)&lt;=13,"Q1",AND(_xlfn.NUMBERVALUE(B28)&gt;13,_xlfn.NUMBERVALUE(B28)&lt;=26),"Q2", AND(_xlfn.NUMBERVALUE(B28)&gt;26,_xlfn.NUMBERVALUE(B28)&lt;=39),"Q3",_xlfn.NUMBERVALUE(B28)&gt;39,"Q4")</f>
        <v>Q2</v>
      </c>
      <c r="D28" s="448">
        <f t="shared" si="3"/>
        <v>44009</v>
      </c>
      <c r="E28" s="448">
        <f t="shared" si="2"/>
        <v>44015</v>
      </c>
      <c r="F28" s="689">
        <v>202022</v>
      </c>
      <c r="G28" s="688"/>
      <c r="H28" s="755"/>
      <c r="I28" s="755"/>
      <c r="J28" s="692"/>
      <c r="K28" s="693"/>
    </row>
    <row r="29" spans="1:11" ht="15.75" customHeight="1">
      <c r="A29" s="175">
        <f t="shared" si="0"/>
        <v>2021</v>
      </c>
      <c r="B29" s="454" t="str">
        <f t="shared" si="1"/>
        <v>23</v>
      </c>
      <c r="C29" s="454" t="str">
        <f t="array" ref="C29">_xlfn.IFS(_xlfn.NUMBERVALUE(B29)&lt;=13,"Q1",AND(_xlfn.NUMBERVALUE(B29)&gt;13,_xlfn.NUMBERVALUE(B29)&lt;=26),"Q2", AND(_xlfn.NUMBERVALUE(B29)&gt;26,_xlfn.NUMBERVALUE(B29)&lt;=39),"Q3",_xlfn.NUMBERVALUE(B29)&gt;39,"Q4")</f>
        <v>Q2</v>
      </c>
      <c r="D29" s="448">
        <f t="shared" si="3"/>
        <v>44016</v>
      </c>
      <c r="E29" s="448">
        <f t="shared" si="2"/>
        <v>44022</v>
      </c>
      <c r="F29" s="689">
        <v>202023</v>
      </c>
      <c r="G29" s="688"/>
      <c r="H29" s="755"/>
      <c r="I29" s="755"/>
      <c r="J29" s="692"/>
      <c r="K29" s="693"/>
    </row>
    <row r="30" spans="1:11" ht="15.75" customHeight="1">
      <c r="A30" s="175">
        <f t="shared" si="0"/>
        <v>2021</v>
      </c>
      <c r="B30" s="454" t="str">
        <f t="shared" si="1"/>
        <v>24</v>
      </c>
      <c r="C30" s="454" t="str">
        <f t="array" ref="C30">_xlfn.IFS(_xlfn.NUMBERVALUE(B30)&lt;=13,"Q1",AND(_xlfn.NUMBERVALUE(B30)&gt;13,_xlfn.NUMBERVALUE(B30)&lt;=26),"Q2", AND(_xlfn.NUMBERVALUE(B30)&gt;26,_xlfn.NUMBERVALUE(B30)&lt;=39),"Q3",_xlfn.NUMBERVALUE(B30)&gt;39,"Q4")</f>
        <v>Q2</v>
      </c>
      <c r="D30" s="448">
        <f t="shared" si="3"/>
        <v>44023</v>
      </c>
      <c r="E30" s="448">
        <f t="shared" si="2"/>
        <v>44029</v>
      </c>
      <c r="F30" s="689">
        <v>202024</v>
      </c>
      <c r="G30" s="688"/>
      <c r="H30" s="755"/>
      <c r="I30" s="755"/>
      <c r="J30" s="692"/>
      <c r="K30" s="693"/>
    </row>
    <row r="31" spans="1:11" ht="15.75" customHeight="1">
      <c r="A31" s="175">
        <f t="shared" si="0"/>
        <v>2021</v>
      </c>
      <c r="B31" s="454" t="str">
        <f t="shared" si="1"/>
        <v>25</v>
      </c>
      <c r="C31" s="454" t="str">
        <f t="array" ref="C31">_xlfn.IFS(_xlfn.NUMBERVALUE(B31)&lt;=13,"Q1",AND(_xlfn.NUMBERVALUE(B31)&gt;13,_xlfn.NUMBERVALUE(B31)&lt;=26),"Q2", AND(_xlfn.NUMBERVALUE(B31)&gt;26,_xlfn.NUMBERVALUE(B31)&lt;=39),"Q3",_xlfn.NUMBERVALUE(B31)&gt;39,"Q4")</f>
        <v>Q2</v>
      </c>
      <c r="D31" s="448">
        <f t="shared" si="3"/>
        <v>44030</v>
      </c>
      <c r="E31" s="448">
        <f t="shared" si="2"/>
        <v>44036</v>
      </c>
      <c r="F31" s="689">
        <v>202025</v>
      </c>
      <c r="G31" s="688"/>
      <c r="H31" s="755"/>
      <c r="I31" s="755"/>
      <c r="J31" s="692"/>
      <c r="K31" s="693"/>
    </row>
    <row r="32" spans="1:11" ht="15.75" customHeight="1">
      <c r="A32" s="175">
        <f t="shared" si="0"/>
        <v>2021</v>
      </c>
      <c r="B32" s="454" t="str">
        <f t="shared" si="1"/>
        <v>26</v>
      </c>
      <c r="C32" s="454" t="str">
        <f t="array" ref="C32">_xlfn.IFS(_xlfn.NUMBERVALUE(B32)&lt;=13,"Q1",AND(_xlfn.NUMBERVALUE(B32)&gt;13,_xlfn.NUMBERVALUE(B32)&lt;=26),"Q2", AND(_xlfn.NUMBERVALUE(B32)&gt;26,_xlfn.NUMBERVALUE(B32)&lt;=39),"Q3",_xlfn.NUMBERVALUE(B32)&gt;39,"Q4")</f>
        <v>Q2</v>
      </c>
      <c r="D32" s="448">
        <f t="shared" si="3"/>
        <v>44037</v>
      </c>
      <c r="E32" s="448">
        <f t="shared" si="2"/>
        <v>44043</v>
      </c>
      <c r="F32" s="689">
        <v>202026</v>
      </c>
      <c r="G32" s="688"/>
      <c r="H32" s="755"/>
      <c r="I32" s="755"/>
      <c r="J32" s="692"/>
      <c r="K32" s="693"/>
    </row>
    <row r="33" spans="1:11" ht="15.75" customHeight="1">
      <c r="A33" s="175">
        <f t="shared" si="0"/>
        <v>2021</v>
      </c>
      <c r="B33" s="454" t="str">
        <f t="shared" si="1"/>
        <v>27</v>
      </c>
      <c r="C33" s="454" t="str">
        <f t="array" ref="C33">_xlfn.IFS(_xlfn.NUMBERVALUE(B33)&lt;=13,"Q1",AND(_xlfn.NUMBERVALUE(B33)&gt;13,_xlfn.NUMBERVALUE(B33)&lt;=26),"Q2", AND(_xlfn.NUMBERVALUE(B33)&gt;26,_xlfn.NUMBERVALUE(B33)&lt;=39),"Q3",_xlfn.NUMBERVALUE(B33)&gt;39,"Q4")</f>
        <v>Q3</v>
      </c>
      <c r="D33" s="448">
        <f t="shared" si="3"/>
        <v>44044</v>
      </c>
      <c r="E33" s="448">
        <f t="shared" si="2"/>
        <v>44050</v>
      </c>
      <c r="F33" s="689">
        <v>202027</v>
      </c>
      <c r="G33" s="688"/>
      <c r="H33" s="755"/>
      <c r="I33" s="755"/>
      <c r="J33" s="692"/>
      <c r="K33" s="693"/>
    </row>
    <row r="34" spans="1:11" ht="15.75" customHeight="1">
      <c r="A34" s="175">
        <f t="shared" si="0"/>
        <v>2021</v>
      </c>
      <c r="B34" s="454" t="str">
        <f t="shared" si="1"/>
        <v>28</v>
      </c>
      <c r="C34" s="454" t="str">
        <f t="array" ref="C34">_xlfn.IFS(_xlfn.NUMBERVALUE(B34)&lt;=13,"Q1",AND(_xlfn.NUMBERVALUE(B34)&gt;13,_xlfn.NUMBERVALUE(B34)&lt;=26),"Q2", AND(_xlfn.NUMBERVALUE(B34)&gt;26,_xlfn.NUMBERVALUE(B34)&lt;=39),"Q3",_xlfn.NUMBERVALUE(B34)&gt;39,"Q4")</f>
        <v>Q3</v>
      </c>
      <c r="D34" s="448">
        <f t="shared" si="3"/>
        <v>44051</v>
      </c>
      <c r="E34" s="448">
        <f t="shared" si="2"/>
        <v>44057</v>
      </c>
      <c r="F34" s="689">
        <v>202028</v>
      </c>
      <c r="G34" s="688"/>
      <c r="H34" s="755"/>
      <c r="I34" s="755"/>
      <c r="J34" s="692"/>
      <c r="K34" s="693"/>
    </row>
    <row r="35" spans="1:11" ht="15.75" customHeight="1">
      <c r="A35" s="175">
        <f t="shared" si="0"/>
        <v>2021</v>
      </c>
      <c r="B35" s="454" t="str">
        <f t="shared" si="1"/>
        <v>29</v>
      </c>
      <c r="C35" s="454" t="str">
        <f t="array" ref="C35">_xlfn.IFS(_xlfn.NUMBERVALUE(B35)&lt;=13,"Q1",AND(_xlfn.NUMBERVALUE(B35)&gt;13,_xlfn.NUMBERVALUE(B35)&lt;=26),"Q2", AND(_xlfn.NUMBERVALUE(B35)&gt;26,_xlfn.NUMBERVALUE(B35)&lt;=39),"Q3",_xlfn.NUMBERVALUE(B35)&gt;39,"Q4")</f>
        <v>Q3</v>
      </c>
      <c r="D35" s="448">
        <f t="shared" si="3"/>
        <v>44058</v>
      </c>
      <c r="E35" s="448">
        <f t="shared" si="2"/>
        <v>44064</v>
      </c>
      <c r="F35" s="689">
        <v>202029</v>
      </c>
      <c r="G35" s="688"/>
      <c r="H35" s="755"/>
      <c r="I35" s="755"/>
      <c r="J35" s="692"/>
      <c r="K35" s="693"/>
    </row>
    <row r="36" spans="1:11" ht="15.75" customHeight="1">
      <c r="A36" s="175">
        <f t="shared" si="0"/>
        <v>2021</v>
      </c>
      <c r="B36" s="454" t="str">
        <f t="shared" si="1"/>
        <v>30</v>
      </c>
      <c r="C36" s="454" t="str">
        <f t="array" ref="C36">_xlfn.IFS(_xlfn.NUMBERVALUE(B36)&lt;=13,"Q1",AND(_xlfn.NUMBERVALUE(B36)&gt;13,_xlfn.NUMBERVALUE(B36)&lt;=26),"Q2", AND(_xlfn.NUMBERVALUE(B36)&gt;26,_xlfn.NUMBERVALUE(B36)&lt;=39),"Q3",_xlfn.NUMBERVALUE(B36)&gt;39,"Q4")</f>
        <v>Q3</v>
      </c>
      <c r="D36" s="448">
        <f t="shared" si="3"/>
        <v>44065</v>
      </c>
      <c r="E36" s="448">
        <f t="shared" si="2"/>
        <v>44071</v>
      </c>
      <c r="F36" s="689">
        <v>202030</v>
      </c>
      <c r="G36" s="688"/>
      <c r="H36" s="755"/>
      <c r="I36" s="755"/>
      <c r="J36" s="692"/>
      <c r="K36" s="693"/>
    </row>
    <row r="37" spans="1:11" ht="15.75" customHeight="1">
      <c r="A37" s="175">
        <f t="shared" si="0"/>
        <v>2021</v>
      </c>
      <c r="B37" s="454" t="str">
        <f t="shared" si="1"/>
        <v>31</v>
      </c>
      <c r="C37" s="454" t="str">
        <f t="array" ref="C37">_xlfn.IFS(_xlfn.NUMBERVALUE(B37)&lt;=13,"Q1",AND(_xlfn.NUMBERVALUE(B37)&gt;13,_xlfn.NUMBERVALUE(B37)&lt;=26),"Q2", AND(_xlfn.NUMBERVALUE(B37)&gt;26,_xlfn.NUMBERVALUE(B37)&lt;=39),"Q3",_xlfn.NUMBERVALUE(B37)&gt;39,"Q4")</f>
        <v>Q3</v>
      </c>
      <c r="D37" s="448">
        <f t="shared" si="3"/>
        <v>44072</v>
      </c>
      <c r="E37" s="448">
        <f t="shared" si="2"/>
        <v>44078</v>
      </c>
      <c r="F37" s="689">
        <v>202031</v>
      </c>
      <c r="G37" s="688"/>
      <c r="H37" s="755"/>
      <c r="I37" s="755"/>
      <c r="J37" s="692"/>
      <c r="K37" s="693"/>
    </row>
    <row r="38" spans="1:11" ht="15.75" customHeight="1">
      <c r="A38" s="175">
        <f t="shared" si="0"/>
        <v>2021</v>
      </c>
      <c r="B38" s="454" t="str">
        <f t="shared" si="1"/>
        <v>32</v>
      </c>
      <c r="C38" s="454" t="str">
        <f t="array" ref="C38">_xlfn.IFS(_xlfn.NUMBERVALUE(B38)&lt;=13,"Q1",AND(_xlfn.NUMBERVALUE(B38)&gt;13,_xlfn.NUMBERVALUE(B38)&lt;=26),"Q2", AND(_xlfn.NUMBERVALUE(B38)&gt;26,_xlfn.NUMBERVALUE(B38)&lt;=39),"Q3",_xlfn.NUMBERVALUE(B38)&gt;39,"Q4")</f>
        <v>Q3</v>
      </c>
      <c r="D38" s="448">
        <f t="shared" si="3"/>
        <v>44079</v>
      </c>
      <c r="E38" s="448">
        <f t="shared" si="2"/>
        <v>44085</v>
      </c>
      <c r="F38" s="689">
        <v>202032</v>
      </c>
      <c r="G38" s="688"/>
      <c r="H38" s="755"/>
      <c r="I38" s="755"/>
      <c r="J38" s="692"/>
      <c r="K38" s="693"/>
    </row>
    <row r="39" spans="1:11" ht="15.75" customHeight="1">
      <c r="A39" s="175">
        <f t="shared" si="0"/>
        <v>2021</v>
      </c>
      <c r="B39" s="454" t="str">
        <f t="shared" si="1"/>
        <v>33</v>
      </c>
      <c r="C39" s="454" t="str">
        <f t="array" ref="C39">_xlfn.IFS(_xlfn.NUMBERVALUE(B39)&lt;=13,"Q1",AND(_xlfn.NUMBERVALUE(B39)&gt;13,_xlfn.NUMBERVALUE(B39)&lt;=26),"Q2", AND(_xlfn.NUMBERVALUE(B39)&gt;26,_xlfn.NUMBERVALUE(B39)&lt;=39),"Q3",_xlfn.NUMBERVALUE(B39)&gt;39,"Q4")</f>
        <v>Q3</v>
      </c>
      <c r="D39" s="448">
        <f t="shared" si="3"/>
        <v>44086</v>
      </c>
      <c r="E39" s="448">
        <f t="shared" si="2"/>
        <v>44092</v>
      </c>
      <c r="F39" s="689">
        <v>202033</v>
      </c>
      <c r="G39" s="688"/>
      <c r="H39" s="755"/>
      <c r="I39" s="755"/>
      <c r="J39" s="692"/>
      <c r="K39" s="693"/>
    </row>
    <row r="40" spans="1:11" ht="15.75" customHeight="1">
      <c r="A40" s="175">
        <f t="shared" si="0"/>
        <v>2021</v>
      </c>
      <c r="B40" s="454" t="str">
        <f t="shared" si="1"/>
        <v>34</v>
      </c>
      <c r="C40" s="454" t="str">
        <f t="array" ref="C40">_xlfn.IFS(_xlfn.NUMBERVALUE(B40)&lt;=13,"Q1",AND(_xlfn.NUMBERVALUE(B40)&gt;13,_xlfn.NUMBERVALUE(B40)&lt;=26),"Q2", AND(_xlfn.NUMBERVALUE(B40)&gt;26,_xlfn.NUMBERVALUE(B40)&lt;=39),"Q3",_xlfn.NUMBERVALUE(B40)&gt;39,"Q4")</f>
        <v>Q3</v>
      </c>
      <c r="D40" s="448">
        <f t="shared" si="3"/>
        <v>44093</v>
      </c>
      <c r="E40" s="448">
        <f t="shared" si="2"/>
        <v>44099</v>
      </c>
      <c r="F40" s="689">
        <v>202034</v>
      </c>
      <c r="G40" s="688"/>
      <c r="H40" s="755"/>
      <c r="I40" s="755"/>
      <c r="J40" s="692"/>
      <c r="K40" s="693"/>
    </row>
    <row r="41" spans="1:11" ht="15.75" customHeight="1">
      <c r="A41" s="175">
        <f t="shared" si="0"/>
        <v>2021</v>
      </c>
      <c r="B41" s="454" t="str">
        <f t="shared" si="1"/>
        <v>35</v>
      </c>
      <c r="C41" s="454" t="str">
        <f t="array" ref="C41">_xlfn.IFS(_xlfn.NUMBERVALUE(B41)&lt;=13,"Q1",AND(_xlfn.NUMBERVALUE(B41)&gt;13,_xlfn.NUMBERVALUE(B41)&lt;=26),"Q2", AND(_xlfn.NUMBERVALUE(B41)&gt;26,_xlfn.NUMBERVALUE(B41)&lt;=39),"Q3",_xlfn.NUMBERVALUE(B41)&gt;39,"Q4")</f>
        <v>Q3</v>
      </c>
      <c r="D41" s="448">
        <f t="shared" si="3"/>
        <v>44100</v>
      </c>
      <c r="E41" s="448">
        <f t="shared" si="2"/>
        <v>44106</v>
      </c>
      <c r="F41" s="689">
        <v>202035</v>
      </c>
      <c r="G41" s="688"/>
      <c r="H41" s="755"/>
      <c r="I41" s="755"/>
      <c r="J41" s="692"/>
      <c r="K41" s="693"/>
    </row>
    <row r="42" spans="1:11" ht="15.75" customHeight="1">
      <c r="A42" s="175">
        <f t="shared" si="0"/>
        <v>2021</v>
      </c>
      <c r="B42" s="454" t="str">
        <f t="shared" si="1"/>
        <v>36</v>
      </c>
      <c r="C42" s="454" t="str">
        <f t="array" ref="C42">_xlfn.IFS(_xlfn.NUMBERVALUE(B42)&lt;=13,"Q1",AND(_xlfn.NUMBERVALUE(B42)&gt;13,_xlfn.NUMBERVALUE(B42)&lt;=26),"Q2", AND(_xlfn.NUMBERVALUE(B42)&gt;26,_xlfn.NUMBERVALUE(B42)&lt;=39),"Q3",_xlfn.NUMBERVALUE(B42)&gt;39,"Q4")</f>
        <v>Q3</v>
      </c>
      <c r="D42" s="448">
        <f t="shared" si="3"/>
        <v>44107</v>
      </c>
      <c r="E42" s="448">
        <f t="shared" si="2"/>
        <v>44113</v>
      </c>
      <c r="F42" s="689">
        <v>202036</v>
      </c>
      <c r="G42" s="688"/>
      <c r="H42" s="755"/>
      <c r="I42" s="755"/>
      <c r="J42" s="692"/>
      <c r="K42" s="693"/>
    </row>
    <row r="43" spans="1:11" ht="15.75" customHeight="1">
      <c r="A43" s="175">
        <f t="shared" si="0"/>
        <v>2021</v>
      </c>
      <c r="B43" s="454" t="str">
        <f t="shared" si="1"/>
        <v>37</v>
      </c>
      <c r="C43" s="454" t="str">
        <f t="array" ref="C43">_xlfn.IFS(_xlfn.NUMBERVALUE(B43)&lt;=13,"Q1",AND(_xlfn.NUMBERVALUE(B43)&gt;13,_xlfn.NUMBERVALUE(B43)&lt;=26),"Q2", AND(_xlfn.NUMBERVALUE(B43)&gt;26,_xlfn.NUMBERVALUE(B43)&lt;=39),"Q3",_xlfn.NUMBERVALUE(B43)&gt;39,"Q4")</f>
        <v>Q3</v>
      </c>
      <c r="D43" s="448">
        <f t="shared" si="3"/>
        <v>44114</v>
      </c>
      <c r="E43" s="448">
        <f t="shared" si="2"/>
        <v>44120</v>
      </c>
      <c r="F43" s="689">
        <v>202037</v>
      </c>
      <c r="G43" s="688"/>
      <c r="H43" s="755"/>
      <c r="I43" s="755"/>
      <c r="J43" s="692"/>
      <c r="K43" s="693"/>
    </row>
    <row r="44" spans="1:11" ht="15.75" customHeight="1">
      <c r="A44" s="175">
        <f t="shared" si="0"/>
        <v>2021</v>
      </c>
      <c r="B44" s="454" t="str">
        <f t="shared" si="1"/>
        <v>38</v>
      </c>
      <c r="C44" s="454" t="str">
        <f t="array" ref="C44">_xlfn.IFS(_xlfn.NUMBERVALUE(B44)&lt;=13,"Q1",AND(_xlfn.NUMBERVALUE(B44)&gt;13,_xlfn.NUMBERVALUE(B44)&lt;=26),"Q2", AND(_xlfn.NUMBERVALUE(B44)&gt;26,_xlfn.NUMBERVALUE(B44)&lt;=39),"Q3",_xlfn.NUMBERVALUE(B44)&gt;39,"Q4")</f>
        <v>Q3</v>
      </c>
      <c r="D44" s="448">
        <f t="shared" si="3"/>
        <v>44121</v>
      </c>
      <c r="E44" s="448">
        <f t="shared" si="2"/>
        <v>44127</v>
      </c>
      <c r="F44" s="689">
        <v>202038</v>
      </c>
      <c r="G44" s="688"/>
      <c r="H44" s="755"/>
      <c r="I44" s="755"/>
      <c r="J44" s="692"/>
      <c r="K44" s="693"/>
    </row>
    <row r="45" spans="1:11" ht="15.75" customHeight="1">
      <c r="A45" s="175">
        <f t="shared" si="0"/>
        <v>2021</v>
      </c>
      <c r="B45" s="454" t="str">
        <f t="shared" si="1"/>
        <v>39</v>
      </c>
      <c r="C45" s="454" t="str">
        <f t="array" ref="C45">_xlfn.IFS(_xlfn.NUMBERVALUE(B45)&lt;=13,"Q1",AND(_xlfn.NUMBERVALUE(B45)&gt;13,_xlfn.NUMBERVALUE(B45)&lt;=26),"Q2", AND(_xlfn.NUMBERVALUE(B45)&gt;26,_xlfn.NUMBERVALUE(B45)&lt;=39),"Q3",_xlfn.NUMBERVALUE(B45)&gt;39,"Q4")</f>
        <v>Q3</v>
      </c>
      <c r="D45" s="448">
        <f t="shared" si="3"/>
        <v>44128</v>
      </c>
      <c r="E45" s="448">
        <f t="shared" si="2"/>
        <v>44134</v>
      </c>
      <c r="F45" s="689">
        <v>202039</v>
      </c>
      <c r="G45" s="688"/>
      <c r="H45" s="755"/>
      <c r="I45" s="755"/>
      <c r="J45" s="692"/>
      <c r="K45" s="693"/>
    </row>
    <row r="46" spans="1:11" ht="15.75" customHeight="1">
      <c r="A46" s="175">
        <f t="shared" si="0"/>
        <v>2021</v>
      </c>
      <c r="B46" s="454" t="str">
        <f t="shared" si="1"/>
        <v>40</v>
      </c>
      <c r="C46" s="454" t="str">
        <f t="array" ref="C46">_xlfn.IFS(_xlfn.NUMBERVALUE(B46)&lt;=13,"Q1",AND(_xlfn.NUMBERVALUE(B46)&gt;13,_xlfn.NUMBERVALUE(B46)&lt;=26),"Q2", AND(_xlfn.NUMBERVALUE(B46)&gt;26,_xlfn.NUMBERVALUE(B46)&lt;=39),"Q3",_xlfn.NUMBERVALUE(B46)&gt;39,"Q4")</f>
        <v>Q4</v>
      </c>
      <c r="D46" s="448">
        <f t="shared" si="3"/>
        <v>44135</v>
      </c>
      <c r="E46" s="448">
        <f t="shared" si="2"/>
        <v>44141</v>
      </c>
      <c r="F46" s="689">
        <v>202040</v>
      </c>
      <c r="G46" s="688"/>
      <c r="H46" s="755"/>
      <c r="I46" s="755"/>
      <c r="J46" s="692"/>
      <c r="K46" s="693"/>
    </row>
    <row r="47" spans="1:11" ht="15.75" customHeight="1">
      <c r="A47" s="175">
        <f t="shared" si="0"/>
        <v>2021</v>
      </c>
      <c r="B47" s="454" t="str">
        <f t="shared" si="1"/>
        <v>41</v>
      </c>
      <c r="C47" s="454" t="str">
        <f t="array" ref="C47">_xlfn.IFS(_xlfn.NUMBERVALUE(B47)&lt;=13,"Q1",AND(_xlfn.NUMBERVALUE(B47)&gt;13,_xlfn.NUMBERVALUE(B47)&lt;=26),"Q2", AND(_xlfn.NUMBERVALUE(B47)&gt;26,_xlfn.NUMBERVALUE(B47)&lt;=39),"Q3",_xlfn.NUMBERVALUE(B47)&gt;39,"Q4")</f>
        <v>Q4</v>
      </c>
      <c r="D47" s="448">
        <f t="shared" si="3"/>
        <v>44142</v>
      </c>
      <c r="E47" s="448">
        <f t="shared" si="2"/>
        <v>44148</v>
      </c>
      <c r="F47" s="689">
        <v>202041</v>
      </c>
      <c r="G47" s="688"/>
      <c r="H47" s="755"/>
      <c r="I47" s="755"/>
      <c r="J47" s="692"/>
      <c r="K47" s="693"/>
    </row>
    <row r="48" spans="1:11" ht="15.75" customHeight="1">
      <c r="A48" s="175">
        <f t="shared" si="0"/>
        <v>2021</v>
      </c>
      <c r="B48" s="454" t="str">
        <f t="shared" si="1"/>
        <v>42</v>
      </c>
      <c r="C48" s="454" t="str">
        <f t="array" ref="C48">_xlfn.IFS(_xlfn.NUMBERVALUE(B48)&lt;=13,"Q1",AND(_xlfn.NUMBERVALUE(B48)&gt;13,_xlfn.NUMBERVALUE(B48)&lt;=26),"Q2", AND(_xlfn.NUMBERVALUE(B48)&gt;26,_xlfn.NUMBERVALUE(B48)&lt;=39),"Q3",_xlfn.NUMBERVALUE(B48)&gt;39,"Q4")</f>
        <v>Q4</v>
      </c>
      <c r="D48" s="448">
        <f t="shared" si="3"/>
        <v>44149</v>
      </c>
      <c r="E48" s="448">
        <f t="shared" si="2"/>
        <v>44155</v>
      </c>
      <c r="F48" s="689">
        <v>202042</v>
      </c>
      <c r="G48" s="688"/>
      <c r="H48" s="755"/>
      <c r="I48" s="755"/>
      <c r="J48" s="692"/>
      <c r="K48" s="693"/>
    </row>
    <row r="49" spans="1:11" ht="15.75" customHeight="1">
      <c r="A49" s="175">
        <f t="shared" si="0"/>
        <v>2021</v>
      </c>
      <c r="B49" s="454" t="str">
        <f t="shared" si="1"/>
        <v>43</v>
      </c>
      <c r="C49" s="454" t="str">
        <f t="array" ref="C49">_xlfn.IFS(_xlfn.NUMBERVALUE(B49)&lt;=13,"Q1",AND(_xlfn.NUMBERVALUE(B49)&gt;13,_xlfn.NUMBERVALUE(B49)&lt;=26),"Q2", AND(_xlfn.NUMBERVALUE(B49)&gt;26,_xlfn.NUMBERVALUE(B49)&lt;=39),"Q3",_xlfn.NUMBERVALUE(B49)&gt;39,"Q4")</f>
        <v>Q4</v>
      </c>
      <c r="D49" s="448">
        <f t="shared" si="3"/>
        <v>44156</v>
      </c>
      <c r="E49" s="448">
        <f t="shared" si="2"/>
        <v>44162</v>
      </c>
      <c r="F49" s="689">
        <v>202043</v>
      </c>
      <c r="G49" s="688"/>
      <c r="H49" s="755"/>
      <c r="I49" s="755"/>
      <c r="J49" s="692"/>
      <c r="K49" s="693"/>
    </row>
    <row r="50" spans="1:11" ht="15.75" customHeight="1">
      <c r="A50" s="175">
        <f t="shared" si="0"/>
        <v>2021</v>
      </c>
      <c r="B50" s="454" t="str">
        <f t="shared" si="1"/>
        <v>44</v>
      </c>
      <c r="C50" s="454" t="str">
        <f t="array" ref="C50">_xlfn.IFS(_xlfn.NUMBERVALUE(B50)&lt;=13,"Q1",AND(_xlfn.NUMBERVALUE(B50)&gt;13,_xlfn.NUMBERVALUE(B50)&lt;=26),"Q2", AND(_xlfn.NUMBERVALUE(B50)&gt;26,_xlfn.NUMBERVALUE(B50)&lt;=39),"Q3",_xlfn.NUMBERVALUE(B50)&gt;39,"Q4")</f>
        <v>Q4</v>
      </c>
      <c r="D50" s="448">
        <f t="shared" si="3"/>
        <v>44163</v>
      </c>
      <c r="E50" s="448">
        <f t="shared" si="2"/>
        <v>44169</v>
      </c>
      <c r="F50" s="689">
        <v>202044</v>
      </c>
      <c r="G50" s="688"/>
      <c r="H50" s="755"/>
      <c r="I50" s="755"/>
      <c r="J50" s="692"/>
      <c r="K50" s="693"/>
    </row>
    <row r="51" spans="1:11" ht="15.75" customHeight="1">
      <c r="A51" s="175">
        <f t="shared" si="0"/>
        <v>2021</v>
      </c>
      <c r="B51" s="454" t="str">
        <f t="shared" si="1"/>
        <v>45</v>
      </c>
      <c r="C51" s="454" t="str">
        <f t="array" ref="C51">_xlfn.IFS(_xlfn.NUMBERVALUE(B51)&lt;=13,"Q1",AND(_xlfn.NUMBERVALUE(B51)&gt;13,_xlfn.NUMBERVALUE(B51)&lt;=26),"Q2", AND(_xlfn.NUMBERVALUE(B51)&gt;26,_xlfn.NUMBERVALUE(B51)&lt;=39),"Q3",_xlfn.NUMBERVALUE(B51)&gt;39,"Q4")</f>
        <v>Q4</v>
      </c>
      <c r="D51" s="448">
        <f t="shared" si="3"/>
        <v>44170</v>
      </c>
      <c r="E51" s="448">
        <f t="shared" si="2"/>
        <v>44176</v>
      </c>
      <c r="F51" s="689">
        <v>202045</v>
      </c>
      <c r="G51" s="688"/>
      <c r="H51" s="755"/>
      <c r="I51" s="755"/>
      <c r="J51" s="692"/>
      <c r="K51" s="693"/>
    </row>
    <row r="52" spans="1:11" ht="15.75" customHeight="1">
      <c r="A52" s="175">
        <f t="shared" si="0"/>
        <v>2021</v>
      </c>
      <c r="B52" s="454" t="str">
        <f t="shared" si="1"/>
        <v>46</v>
      </c>
      <c r="C52" s="454" t="str">
        <f t="array" ref="C52">_xlfn.IFS(_xlfn.NUMBERVALUE(B52)&lt;=13,"Q1",AND(_xlfn.NUMBERVALUE(B52)&gt;13,_xlfn.NUMBERVALUE(B52)&lt;=26),"Q2", AND(_xlfn.NUMBERVALUE(B52)&gt;26,_xlfn.NUMBERVALUE(B52)&lt;=39),"Q3",_xlfn.NUMBERVALUE(B52)&gt;39,"Q4")</f>
        <v>Q4</v>
      </c>
      <c r="D52" s="448">
        <f t="shared" si="3"/>
        <v>44177</v>
      </c>
      <c r="E52" s="448">
        <f t="shared" si="2"/>
        <v>44183</v>
      </c>
      <c r="F52" s="689">
        <v>202046</v>
      </c>
      <c r="G52" s="688"/>
      <c r="H52" s="755"/>
      <c r="I52" s="755"/>
      <c r="J52" s="692"/>
      <c r="K52" s="693"/>
    </row>
    <row r="53" spans="1:11" ht="15.75" customHeight="1">
      <c r="A53" s="175">
        <f t="shared" si="0"/>
        <v>2021</v>
      </c>
      <c r="B53" s="454" t="str">
        <f t="shared" si="1"/>
        <v>47</v>
      </c>
      <c r="C53" s="454" t="str">
        <f t="array" ref="C53">_xlfn.IFS(_xlfn.NUMBERVALUE(B53)&lt;=13,"Q1",AND(_xlfn.NUMBERVALUE(B53)&gt;13,_xlfn.NUMBERVALUE(B53)&lt;=26),"Q2", AND(_xlfn.NUMBERVALUE(B53)&gt;26,_xlfn.NUMBERVALUE(B53)&lt;=39),"Q3",_xlfn.NUMBERVALUE(B53)&gt;39,"Q4")</f>
        <v>Q4</v>
      </c>
      <c r="D53" s="448">
        <f t="shared" si="3"/>
        <v>44184</v>
      </c>
      <c r="E53" s="448">
        <f t="shared" si="2"/>
        <v>44190</v>
      </c>
      <c r="F53" s="689">
        <v>202047</v>
      </c>
      <c r="G53" s="688"/>
      <c r="H53" s="755"/>
      <c r="I53" s="755"/>
      <c r="J53" s="692"/>
      <c r="K53" s="693"/>
    </row>
    <row r="54" spans="1:11" ht="15.75" customHeight="1">
      <c r="A54" s="175">
        <f t="shared" si="0"/>
        <v>2021</v>
      </c>
      <c r="B54" s="454" t="str">
        <f t="shared" si="1"/>
        <v>48</v>
      </c>
      <c r="C54" s="454" t="str">
        <f t="array" ref="C54">_xlfn.IFS(_xlfn.NUMBERVALUE(B54)&lt;=13,"Q1",AND(_xlfn.NUMBERVALUE(B54)&gt;13,_xlfn.NUMBERVALUE(B54)&lt;=26),"Q2", AND(_xlfn.NUMBERVALUE(B54)&gt;26,_xlfn.NUMBERVALUE(B54)&lt;=39),"Q3",_xlfn.NUMBERVALUE(B54)&gt;39,"Q4")</f>
        <v>Q4</v>
      </c>
      <c r="D54" s="448">
        <f t="shared" si="3"/>
        <v>44191</v>
      </c>
      <c r="E54" s="448">
        <f t="shared" si="2"/>
        <v>44197</v>
      </c>
      <c r="F54" s="689">
        <v>202048</v>
      </c>
      <c r="G54" s="688"/>
      <c r="H54" s="755"/>
      <c r="I54" s="755"/>
      <c r="J54" s="692"/>
      <c r="K54" s="693"/>
    </row>
    <row r="55" spans="1:11" ht="15.75" customHeight="1">
      <c r="A55" s="175">
        <f t="shared" si="0"/>
        <v>2021</v>
      </c>
      <c r="B55" s="454" t="str">
        <f t="shared" si="1"/>
        <v>49</v>
      </c>
      <c r="C55" s="454" t="str">
        <f t="array" ref="C55">_xlfn.IFS(_xlfn.NUMBERVALUE(B55)&lt;=13,"Q1",AND(_xlfn.NUMBERVALUE(B55)&gt;13,_xlfn.NUMBERVALUE(B55)&lt;=26),"Q2", AND(_xlfn.NUMBERVALUE(B55)&gt;26,_xlfn.NUMBERVALUE(B55)&lt;=39),"Q3",_xlfn.NUMBERVALUE(B55)&gt;39,"Q4")</f>
        <v>Q4</v>
      </c>
      <c r="D55" s="448">
        <f t="shared" si="3"/>
        <v>44198</v>
      </c>
      <c r="E55" s="448">
        <f t="shared" si="2"/>
        <v>44204</v>
      </c>
      <c r="F55" s="689">
        <v>202049</v>
      </c>
      <c r="G55" s="688"/>
      <c r="H55" s="755"/>
      <c r="I55" s="755"/>
      <c r="J55" s="692"/>
      <c r="K55" s="693"/>
    </row>
    <row r="56" spans="1:11" ht="15.75" customHeight="1">
      <c r="A56" s="175">
        <f t="shared" si="0"/>
        <v>2021</v>
      </c>
      <c r="B56" s="454" t="str">
        <f t="shared" si="1"/>
        <v>50</v>
      </c>
      <c r="C56" s="454" t="str">
        <f t="array" ref="C56">_xlfn.IFS(_xlfn.NUMBERVALUE(B56)&lt;=13,"Q1",AND(_xlfn.NUMBERVALUE(B56)&gt;13,_xlfn.NUMBERVALUE(B56)&lt;=26),"Q2", AND(_xlfn.NUMBERVALUE(B56)&gt;26,_xlfn.NUMBERVALUE(B56)&lt;=39),"Q3",_xlfn.NUMBERVALUE(B56)&gt;39,"Q4")</f>
        <v>Q4</v>
      </c>
      <c r="D56" s="448">
        <f t="shared" si="3"/>
        <v>44205</v>
      </c>
      <c r="E56" s="448">
        <f t="shared" si="2"/>
        <v>44211</v>
      </c>
      <c r="F56" s="689">
        <v>202050</v>
      </c>
      <c r="G56" s="688"/>
      <c r="H56" s="755"/>
      <c r="I56" s="755"/>
      <c r="J56" s="692"/>
      <c r="K56" s="693"/>
    </row>
    <row r="57" spans="1:11" ht="15.75" customHeight="1">
      <c r="A57" s="175">
        <f t="shared" si="0"/>
        <v>2021</v>
      </c>
      <c r="B57" s="454" t="str">
        <f t="shared" si="1"/>
        <v>51</v>
      </c>
      <c r="C57" s="454" t="str">
        <f t="array" ref="C57">_xlfn.IFS(_xlfn.NUMBERVALUE(B57)&lt;=13,"Q1",AND(_xlfn.NUMBERVALUE(B57)&gt;13,_xlfn.NUMBERVALUE(B57)&lt;=26),"Q2", AND(_xlfn.NUMBERVALUE(B57)&gt;26,_xlfn.NUMBERVALUE(B57)&lt;=39),"Q3",_xlfn.NUMBERVALUE(B57)&gt;39,"Q4")</f>
        <v>Q4</v>
      </c>
      <c r="D57" s="448">
        <f t="shared" si="3"/>
        <v>44212</v>
      </c>
      <c r="E57" s="448">
        <f t="shared" si="2"/>
        <v>44218</v>
      </c>
      <c r="F57" s="689">
        <v>202051</v>
      </c>
      <c r="G57" s="688"/>
      <c r="H57" s="755"/>
      <c r="I57" s="755"/>
      <c r="J57" s="692"/>
      <c r="K57" s="693"/>
    </row>
    <row r="58" spans="1:11" ht="15.75" customHeight="1">
      <c r="A58" s="175">
        <f t="shared" si="0"/>
        <v>2021</v>
      </c>
      <c r="B58" s="454" t="str">
        <f t="shared" si="1"/>
        <v>52</v>
      </c>
      <c r="C58" s="454" t="str">
        <f t="array" ref="C58">_xlfn.IFS(_xlfn.NUMBERVALUE(B58)&lt;=13,"Q1",AND(_xlfn.NUMBERVALUE(B58)&gt;13,_xlfn.NUMBERVALUE(B58)&lt;=26),"Q2", AND(_xlfn.NUMBERVALUE(B58)&gt;26,_xlfn.NUMBERVALUE(B58)&lt;=39),"Q3",_xlfn.NUMBERVALUE(B58)&gt;39,"Q4")</f>
        <v>Q4</v>
      </c>
      <c r="D58" s="448">
        <f t="shared" si="3"/>
        <v>44219</v>
      </c>
      <c r="E58" s="448">
        <f t="shared" si="2"/>
        <v>44225</v>
      </c>
      <c r="F58" s="689">
        <v>202052</v>
      </c>
      <c r="G58" s="688"/>
      <c r="H58" s="755"/>
      <c r="I58" s="755"/>
      <c r="J58" s="692"/>
      <c r="K58" s="693"/>
    </row>
    <row r="59" spans="1:11" ht="15.75" customHeight="1">
      <c r="A59" s="175">
        <f t="shared" si="0"/>
        <v>2022</v>
      </c>
      <c r="B59" s="454" t="str">
        <f t="shared" si="1"/>
        <v>01</v>
      </c>
      <c r="C59" s="454" t="str">
        <f t="array" ref="C59">_xlfn.IFS(_xlfn.NUMBERVALUE(B59)&lt;=13,"Q1",AND(_xlfn.NUMBERVALUE(B59)&gt;13,_xlfn.NUMBERVALUE(B59)&lt;=26),"Q2", AND(_xlfn.NUMBERVALUE(B59)&gt;26,_xlfn.NUMBERVALUE(B59)&lt;=39),"Q3",_xlfn.NUMBERVALUE(B59)&gt;39,"Q4")</f>
        <v>Q1</v>
      </c>
      <c r="D59" s="448">
        <f t="shared" si="3"/>
        <v>44226</v>
      </c>
      <c r="E59" s="448">
        <f t="shared" si="2"/>
        <v>44232</v>
      </c>
      <c r="F59" s="689">
        <v>202101</v>
      </c>
      <c r="G59" s="688"/>
      <c r="H59" s="755"/>
      <c r="I59" s="755"/>
      <c r="J59" s="692"/>
      <c r="K59" s="693"/>
    </row>
    <row r="60" spans="1:11" ht="15.75" customHeight="1">
      <c r="A60" s="175">
        <f t="shared" si="0"/>
        <v>2022</v>
      </c>
      <c r="B60" s="454" t="str">
        <f t="shared" si="1"/>
        <v>02</v>
      </c>
      <c r="C60" s="454" t="str">
        <f t="array" ref="C60">_xlfn.IFS(_xlfn.NUMBERVALUE(B60)&lt;=13,"Q1",AND(_xlfn.NUMBERVALUE(B60)&gt;13,_xlfn.NUMBERVALUE(B60)&lt;=26),"Q2", AND(_xlfn.NUMBERVALUE(B60)&gt;26,_xlfn.NUMBERVALUE(B60)&lt;=39),"Q3",_xlfn.NUMBERVALUE(B60)&gt;39,"Q4")</f>
        <v>Q1</v>
      </c>
      <c r="D60" s="448">
        <f t="shared" si="3"/>
        <v>44233</v>
      </c>
      <c r="E60" s="448">
        <f t="shared" si="2"/>
        <v>44239</v>
      </c>
      <c r="F60" s="689">
        <v>202102</v>
      </c>
      <c r="G60" s="688"/>
      <c r="H60" s="755"/>
      <c r="I60" s="755"/>
      <c r="J60" s="692"/>
      <c r="K60" s="693"/>
    </row>
    <row r="61" spans="1:11" ht="15.75" customHeight="1">
      <c r="A61" s="175">
        <f t="shared" si="0"/>
        <v>2022</v>
      </c>
      <c r="B61" s="454" t="str">
        <f t="shared" si="1"/>
        <v>03</v>
      </c>
      <c r="C61" s="454" t="str">
        <f t="array" ref="C61">_xlfn.IFS(_xlfn.NUMBERVALUE(B61)&lt;=13,"Q1",AND(_xlfn.NUMBERVALUE(B61)&gt;13,_xlfn.NUMBERVALUE(B61)&lt;=26),"Q2", AND(_xlfn.NUMBERVALUE(B61)&gt;26,_xlfn.NUMBERVALUE(B61)&lt;=39),"Q3",_xlfn.NUMBERVALUE(B61)&gt;39,"Q4")</f>
        <v>Q1</v>
      </c>
      <c r="D61" s="448">
        <f t="shared" si="3"/>
        <v>44240</v>
      </c>
      <c r="E61" s="448">
        <f t="shared" si="2"/>
        <v>44246</v>
      </c>
      <c r="F61" s="689">
        <v>202103</v>
      </c>
      <c r="G61" s="688"/>
      <c r="H61" s="755"/>
      <c r="I61" s="755"/>
      <c r="J61" s="692"/>
      <c r="K61" s="693"/>
    </row>
    <row r="62" spans="1:11" ht="15.75" customHeight="1">
      <c r="A62" s="175">
        <f t="shared" si="0"/>
        <v>2022</v>
      </c>
      <c r="B62" s="454" t="str">
        <f t="shared" si="1"/>
        <v>04</v>
      </c>
      <c r="C62" s="454" t="str">
        <f t="array" ref="C62">_xlfn.IFS(_xlfn.NUMBERVALUE(B62)&lt;=13,"Q1",AND(_xlfn.NUMBERVALUE(B62)&gt;13,_xlfn.NUMBERVALUE(B62)&lt;=26),"Q2", AND(_xlfn.NUMBERVALUE(B62)&gt;26,_xlfn.NUMBERVALUE(B62)&lt;=39),"Q3",_xlfn.NUMBERVALUE(B62)&gt;39,"Q4")</f>
        <v>Q1</v>
      </c>
      <c r="D62" s="448">
        <f t="shared" si="3"/>
        <v>44247</v>
      </c>
      <c r="E62" s="448">
        <f t="shared" si="2"/>
        <v>44253</v>
      </c>
      <c r="F62" s="689">
        <v>202104</v>
      </c>
      <c r="G62" s="688"/>
      <c r="H62" s="755"/>
      <c r="I62" s="755"/>
      <c r="J62" s="692"/>
      <c r="K62" s="693"/>
    </row>
    <row r="63" spans="1:11" ht="15.75" customHeight="1">
      <c r="A63" s="175">
        <f t="shared" si="0"/>
        <v>2022</v>
      </c>
      <c r="B63" s="454" t="str">
        <f t="shared" si="1"/>
        <v>05</v>
      </c>
      <c r="C63" s="454" t="str">
        <f t="array" ref="C63">_xlfn.IFS(_xlfn.NUMBERVALUE(B63)&lt;=13,"Q1",AND(_xlfn.NUMBERVALUE(B63)&gt;13,_xlfn.NUMBERVALUE(B63)&lt;=26),"Q2", AND(_xlfn.NUMBERVALUE(B63)&gt;26,_xlfn.NUMBERVALUE(B63)&lt;=39),"Q3",_xlfn.NUMBERVALUE(B63)&gt;39,"Q4")</f>
        <v>Q1</v>
      </c>
      <c r="D63" s="448">
        <f t="shared" si="3"/>
        <v>44254</v>
      </c>
      <c r="E63" s="448">
        <f t="shared" si="2"/>
        <v>44260</v>
      </c>
      <c r="F63" s="689">
        <v>202105</v>
      </c>
      <c r="G63" s="688"/>
      <c r="H63" s="755"/>
      <c r="I63" s="755"/>
      <c r="J63" s="692"/>
      <c r="K63" s="693"/>
    </row>
    <row r="64" spans="1:11" ht="15.75" customHeight="1">
      <c r="A64" s="175">
        <f t="shared" si="0"/>
        <v>2022</v>
      </c>
      <c r="B64" s="454" t="str">
        <f t="shared" si="1"/>
        <v>06</v>
      </c>
      <c r="C64" s="454" t="str">
        <f t="array" ref="C64">_xlfn.IFS(_xlfn.NUMBERVALUE(B64)&lt;=13,"Q1",AND(_xlfn.NUMBERVALUE(B64)&gt;13,_xlfn.NUMBERVALUE(B64)&lt;=26),"Q2", AND(_xlfn.NUMBERVALUE(B64)&gt;26,_xlfn.NUMBERVALUE(B64)&lt;=39),"Q3",_xlfn.NUMBERVALUE(B64)&gt;39,"Q4")</f>
        <v>Q1</v>
      </c>
      <c r="D64" s="448">
        <f t="shared" si="3"/>
        <v>44261</v>
      </c>
      <c r="E64" s="448">
        <f t="shared" si="2"/>
        <v>44267</v>
      </c>
      <c r="F64" s="689">
        <v>202106</v>
      </c>
      <c r="G64" s="688"/>
      <c r="H64" s="755"/>
      <c r="I64" s="755"/>
      <c r="J64" s="692"/>
      <c r="K64" s="693"/>
    </row>
    <row r="65" spans="1:11" ht="15.75" customHeight="1">
      <c r="A65" s="175">
        <f t="shared" si="0"/>
        <v>2022</v>
      </c>
      <c r="B65" s="454" t="str">
        <f t="shared" si="1"/>
        <v>07</v>
      </c>
      <c r="C65" s="454" t="str">
        <f t="array" ref="C65">_xlfn.IFS(_xlfn.NUMBERVALUE(B65)&lt;=13,"Q1",AND(_xlfn.NUMBERVALUE(B65)&gt;13,_xlfn.NUMBERVALUE(B65)&lt;=26),"Q2", AND(_xlfn.NUMBERVALUE(B65)&gt;26,_xlfn.NUMBERVALUE(B65)&lt;=39),"Q3",_xlfn.NUMBERVALUE(B65)&gt;39,"Q4")</f>
        <v>Q1</v>
      </c>
      <c r="D65" s="448">
        <f t="shared" si="3"/>
        <v>44268</v>
      </c>
      <c r="E65" s="448">
        <f t="shared" si="2"/>
        <v>44274</v>
      </c>
      <c r="F65" s="689">
        <v>202107</v>
      </c>
      <c r="G65" s="688"/>
      <c r="H65" s="755"/>
      <c r="I65" s="755"/>
      <c r="J65" s="692"/>
      <c r="K65" s="693"/>
    </row>
    <row r="66" spans="1:11" ht="15.75" customHeight="1">
      <c r="A66" s="175">
        <f t="shared" si="0"/>
        <v>2022</v>
      </c>
      <c r="B66" s="454" t="str">
        <f t="shared" si="1"/>
        <v>08</v>
      </c>
      <c r="C66" s="454" t="str">
        <f t="array" ref="C66">_xlfn.IFS(_xlfn.NUMBERVALUE(B66)&lt;=13,"Q1",AND(_xlfn.NUMBERVALUE(B66)&gt;13,_xlfn.NUMBERVALUE(B66)&lt;=26),"Q2", AND(_xlfn.NUMBERVALUE(B66)&gt;26,_xlfn.NUMBERVALUE(B66)&lt;=39),"Q3",_xlfn.NUMBERVALUE(B66)&gt;39,"Q4")</f>
        <v>Q1</v>
      </c>
      <c r="D66" s="448">
        <f t="shared" si="3"/>
        <v>44275</v>
      </c>
      <c r="E66" s="448">
        <f t="shared" si="2"/>
        <v>44281</v>
      </c>
      <c r="F66" s="689">
        <v>202108</v>
      </c>
      <c r="G66" s="688"/>
      <c r="H66" s="755"/>
      <c r="I66" s="755"/>
      <c r="J66" s="692"/>
      <c r="K66" s="693"/>
    </row>
    <row r="67" spans="1:11" ht="15.75" customHeight="1">
      <c r="A67" s="175">
        <f t="shared" si="0"/>
        <v>2022</v>
      </c>
      <c r="B67" s="454" t="str">
        <f t="shared" si="1"/>
        <v>09</v>
      </c>
      <c r="C67" s="454" t="str">
        <f t="array" ref="C67">_xlfn.IFS(_xlfn.NUMBERVALUE(B67)&lt;=13,"Q1",AND(_xlfn.NUMBERVALUE(B67)&gt;13,_xlfn.NUMBERVALUE(B67)&lt;=26),"Q2", AND(_xlfn.NUMBERVALUE(B67)&gt;26,_xlfn.NUMBERVALUE(B67)&lt;=39),"Q3",_xlfn.NUMBERVALUE(B67)&gt;39,"Q4")</f>
        <v>Q1</v>
      </c>
      <c r="D67" s="448">
        <f t="shared" si="3"/>
        <v>44282</v>
      </c>
      <c r="E67" s="448">
        <f t="shared" si="2"/>
        <v>44288</v>
      </c>
      <c r="F67" s="689">
        <v>202109</v>
      </c>
      <c r="G67" s="688"/>
      <c r="H67" s="755"/>
      <c r="I67" s="755"/>
      <c r="J67" s="692"/>
      <c r="K67" s="693"/>
    </row>
    <row r="68" spans="1:11" ht="15.75" customHeight="1">
      <c r="A68" s="175">
        <f t="shared" si="0"/>
        <v>2022</v>
      </c>
      <c r="B68" s="454" t="str">
        <f t="shared" si="1"/>
        <v>10</v>
      </c>
      <c r="C68" s="454" t="str">
        <f t="array" ref="C68">_xlfn.IFS(_xlfn.NUMBERVALUE(B68)&lt;=13,"Q1",AND(_xlfn.NUMBERVALUE(B68)&gt;13,_xlfn.NUMBERVALUE(B68)&lt;=26),"Q2", AND(_xlfn.NUMBERVALUE(B68)&gt;26,_xlfn.NUMBERVALUE(B68)&lt;=39),"Q3",_xlfn.NUMBERVALUE(B68)&gt;39,"Q4")</f>
        <v>Q1</v>
      </c>
      <c r="D68" s="448">
        <f t="shared" si="3"/>
        <v>44289</v>
      </c>
      <c r="E68" s="448">
        <f t="shared" si="2"/>
        <v>44295</v>
      </c>
      <c r="F68" s="689">
        <v>202110</v>
      </c>
      <c r="G68" s="688"/>
      <c r="H68" s="755"/>
      <c r="I68" s="755"/>
      <c r="J68" s="692"/>
      <c r="K68" s="693"/>
    </row>
    <row r="69" spans="1:11" ht="15.75" customHeight="1">
      <c r="A69" s="175">
        <f t="shared" si="0"/>
        <v>2022</v>
      </c>
      <c r="B69" s="454" t="str">
        <f t="shared" si="1"/>
        <v>11</v>
      </c>
      <c r="C69" s="454" t="str">
        <f t="array" ref="C69">_xlfn.IFS(_xlfn.NUMBERVALUE(B69)&lt;=13,"Q1",AND(_xlfn.NUMBERVALUE(B69)&gt;13,_xlfn.NUMBERVALUE(B69)&lt;=26),"Q2", AND(_xlfn.NUMBERVALUE(B69)&gt;26,_xlfn.NUMBERVALUE(B69)&lt;=39),"Q3",_xlfn.NUMBERVALUE(B69)&gt;39,"Q4")</f>
        <v>Q1</v>
      </c>
      <c r="D69" s="448">
        <f t="shared" si="3"/>
        <v>44296</v>
      </c>
      <c r="E69" s="448">
        <f t="shared" si="2"/>
        <v>44302</v>
      </c>
      <c r="F69" s="689">
        <v>202111</v>
      </c>
      <c r="G69" s="688"/>
      <c r="H69" s="755"/>
      <c r="I69" s="755"/>
      <c r="J69" s="692"/>
      <c r="K69" s="693"/>
    </row>
    <row r="70" spans="1:11" ht="15.75" customHeight="1">
      <c r="A70" s="175">
        <f t="shared" si="0"/>
        <v>2022</v>
      </c>
      <c r="B70" s="454" t="str">
        <f t="shared" si="1"/>
        <v>12</v>
      </c>
      <c r="C70" s="454" t="str">
        <f t="array" ref="C70">_xlfn.IFS(_xlfn.NUMBERVALUE(B70)&lt;=13,"Q1",AND(_xlfn.NUMBERVALUE(B70)&gt;13,_xlfn.NUMBERVALUE(B70)&lt;=26),"Q2", AND(_xlfn.NUMBERVALUE(B70)&gt;26,_xlfn.NUMBERVALUE(B70)&lt;=39),"Q3",_xlfn.NUMBERVALUE(B70)&gt;39,"Q4")</f>
        <v>Q1</v>
      </c>
      <c r="D70" s="448">
        <f t="shared" si="3"/>
        <v>44303</v>
      </c>
      <c r="E70" s="448">
        <f t="shared" si="2"/>
        <v>44309</v>
      </c>
      <c r="F70" s="689">
        <v>202112</v>
      </c>
      <c r="G70" s="688"/>
      <c r="H70" s="755"/>
      <c r="I70" s="755"/>
      <c r="J70" s="692"/>
      <c r="K70" s="693"/>
    </row>
    <row r="71" spans="1:11" ht="15.75" customHeight="1">
      <c r="A71" s="175">
        <f t="shared" ref="A71:A134" si="4">LEFT(F71,4)+1</f>
        <v>2022</v>
      </c>
      <c r="B71" s="454" t="str">
        <f t="shared" ref="B71:B134" si="5">RIGHT(F71,2)</f>
        <v>13</v>
      </c>
      <c r="C71" s="454" t="str">
        <f t="array" ref="C71">_xlfn.IFS(_xlfn.NUMBERVALUE(B71)&lt;=13,"Q1",AND(_xlfn.NUMBERVALUE(B71)&gt;13,_xlfn.NUMBERVALUE(B71)&lt;=26),"Q2", AND(_xlfn.NUMBERVALUE(B71)&gt;26,_xlfn.NUMBERVALUE(B71)&lt;=39),"Q3",_xlfn.NUMBERVALUE(B71)&gt;39,"Q4")</f>
        <v>Q1</v>
      </c>
      <c r="D71" s="448">
        <f t="shared" si="3"/>
        <v>44310</v>
      </c>
      <c r="E71" s="448">
        <f t="shared" ref="E71:E134" si="6">D71+6</f>
        <v>44316</v>
      </c>
      <c r="F71" s="689">
        <v>202113</v>
      </c>
      <c r="G71" s="688"/>
      <c r="H71" s="755"/>
      <c r="I71" s="755"/>
      <c r="J71" s="692"/>
      <c r="K71" s="693"/>
    </row>
    <row r="72" spans="1:11" ht="15.75" customHeight="1">
      <c r="A72" s="175">
        <f t="shared" si="4"/>
        <v>2022</v>
      </c>
      <c r="B72" s="454" t="str">
        <f t="shared" si="5"/>
        <v>14</v>
      </c>
      <c r="C72" s="454" t="str">
        <f t="array" ref="C72">_xlfn.IFS(_xlfn.NUMBERVALUE(B72)&lt;=13,"Q1",AND(_xlfn.NUMBERVALUE(B72)&gt;13,_xlfn.NUMBERVALUE(B72)&lt;=26),"Q2", AND(_xlfn.NUMBERVALUE(B72)&gt;26,_xlfn.NUMBERVALUE(B72)&lt;=39),"Q3",_xlfn.NUMBERVALUE(B72)&gt;39,"Q4")</f>
        <v>Q2</v>
      </c>
      <c r="D72" s="448">
        <f t="shared" ref="D72:D135" si="7">E71+1</f>
        <v>44317</v>
      </c>
      <c r="E72" s="448">
        <f t="shared" si="6"/>
        <v>44323</v>
      </c>
      <c r="F72" s="689">
        <v>202114</v>
      </c>
      <c r="G72" s="688"/>
      <c r="H72" s="755"/>
      <c r="I72" s="755"/>
      <c r="J72" s="692"/>
      <c r="K72" s="693"/>
    </row>
    <row r="73" spans="1:11" ht="15.75" customHeight="1">
      <c r="A73" s="175">
        <f t="shared" si="4"/>
        <v>2022</v>
      </c>
      <c r="B73" s="454" t="str">
        <f t="shared" si="5"/>
        <v>15</v>
      </c>
      <c r="C73" s="454" t="str">
        <f t="array" ref="C73">_xlfn.IFS(_xlfn.NUMBERVALUE(B73)&lt;=13,"Q1",AND(_xlfn.NUMBERVALUE(B73)&gt;13,_xlfn.NUMBERVALUE(B73)&lt;=26),"Q2", AND(_xlfn.NUMBERVALUE(B73)&gt;26,_xlfn.NUMBERVALUE(B73)&lt;=39),"Q3",_xlfn.NUMBERVALUE(B73)&gt;39,"Q4")</f>
        <v>Q2</v>
      </c>
      <c r="D73" s="448">
        <f t="shared" si="7"/>
        <v>44324</v>
      </c>
      <c r="E73" s="448">
        <f t="shared" si="6"/>
        <v>44330</v>
      </c>
      <c r="F73" s="689">
        <v>202115</v>
      </c>
      <c r="G73" s="688"/>
      <c r="H73" s="755"/>
      <c r="I73" s="755"/>
      <c r="J73" s="692"/>
      <c r="K73" s="693"/>
    </row>
    <row r="74" spans="1:11" ht="15.75" customHeight="1">
      <c r="A74" s="175">
        <f t="shared" si="4"/>
        <v>2022</v>
      </c>
      <c r="B74" s="454" t="str">
        <f t="shared" si="5"/>
        <v>16</v>
      </c>
      <c r="C74" s="454" t="str">
        <f t="array" ref="C74">_xlfn.IFS(_xlfn.NUMBERVALUE(B74)&lt;=13,"Q1",AND(_xlfn.NUMBERVALUE(B74)&gt;13,_xlfn.NUMBERVALUE(B74)&lt;=26),"Q2", AND(_xlfn.NUMBERVALUE(B74)&gt;26,_xlfn.NUMBERVALUE(B74)&lt;=39),"Q3",_xlfn.NUMBERVALUE(B74)&gt;39,"Q4")</f>
        <v>Q2</v>
      </c>
      <c r="D74" s="448">
        <f t="shared" si="7"/>
        <v>44331</v>
      </c>
      <c r="E74" s="448">
        <f t="shared" si="6"/>
        <v>44337</v>
      </c>
      <c r="F74" s="689">
        <v>202116</v>
      </c>
      <c r="G74" s="688"/>
      <c r="H74" s="755"/>
      <c r="I74" s="755"/>
      <c r="J74" s="692"/>
      <c r="K74" s="693"/>
    </row>
    <row r="75" spans="1:11" ht="15.75" customHeight="1">
      <c r="A75" s="175">
        <f t="shared" si="4"/>
        <v>2022</v>
      </c>
      <c r="B75" s="454" t="str">
        <f t="shared" si="5"/>
        <v>17</v>
      </c>
      <c r="C75" s="454" t="str">
        <f t="array" ref="C75">_xlfn.IFS(_xlfn.NUMBERVALUE(B75)&lt;=13,"Q1",AND(_xlfn.NUMBERVALUE(B75)&gt;13,_xlfn.NUMBERVALUE(B75)&lt;=26),"Q2", AND(_xlfn.NUMBERVALUE(B75)&gt;26,_xlfn.NUMBERVALUE(B75)&lt;=39),"Q3",_xlfn.NUMBERVALUE(B75)&gt;39,"Q4")</f>
        <v>Q2</v>
      </c>
      <c r="D75" s="448">
        <f t="shared" si="7"/>
        <v>44338</v>
      </c>
      <c r="E75" s="448">
        <f t="shared" si="6"/>
        <v>44344</v>
      </c>
      <c r="F75" s="689">
        <v>202117</v>
      </c>
      <c r="G75" s="688"/>
      <c r="H75" s="755"/>
      <c r="I75" s="755"/>
      <c r="J75" s="692"/>
      <c r="K75" s="693"/>
    </row>
    <row r="76" spans="1:11" ht="15.75" customHeight="1">
      <c r="A76" s="175">
        <f t="shared" si="4"/>
        <v>2022</v>
      </c>
      <c r="B76" s="454" t="str">
        <f t="shared" si="5"/>
        <v>18</v>
      </c>
      <c r="C76" s="454" t="str">
        <f t="array" ref="C76">_xlfn.IFS(_xlfn.NUMBERVALUE(B76)&lt;=13,"Q1",AND(_xlfn.NUMBERVALUE(B76)&gt;13,_xlfn.NUMBERVALUE(B76)&lt;=26),"Q2", AND(_xlfn.NUMBERVALUE(B76)&gt;26,_xlfn.NUMBERVALUE(B76)&lt;=39),"Q3",_xlfn.NUMBERVALUE(B76)&gt;39,"Q4")</f>
        <v>Q2</v>
      </c>
      <c r="D76" s="448">
        <f t="shared" si="7"/>
        <v>44345</v>
      </c>
      <c r="E76" s="448">
        <f t="shared" si="6"/>
        <v>44351</v>
      </c>
      <c r="F76" s="689">
        <v>202118</v>
      </c>
      <c r="G76" s="688"/>
      <c r="H76" s="755"/>
      <c r="I76" s="755"/>
      <c r="J76" s="692"/>
      <c r="K76" s="693"/>
    </row>
    <row r="77" spans="1:11" ht="15.75" customHeight="1">
      <c r="A77" s="175">
        <f t="shared" si="4"/>
        <v>2022</v>
      </c>
      <c r="B77" s="454" t="str">
        <f t="shared" si="5"/>
        <v>19</v>
      </c>
      <c r="C77" s="454" t="str">
        <f t="array" ref="C77">_xlfn.IFS(_xlfn.NUMBERVALUE(B77)&lt;=13,"Q1",AND(_xlfn.NUMBERVALUE(B77)&gt;13,_xlfn.NUMBERVALUE(B77)&lt;=26),"Q2", AND(_xlfn.NUMBERVALUE(B77)&gt;26,_xlfn.NUMBERVALUE(B77)&lt;=39),"Q3",_xlfn.NUMBERVALUE(B77)&gt;39,"Q4")</f>
        <v>Q2</v>
      </c>
      <c r="D77" s="448">
        <f t="shared" si="7"/>
        <v>44352</v>
      </c>
      <c r="E77" s="448">
        <f t="shared" si="6"/>
        <v>44358</v>
      </c>
      <c r="F77" s="689">
        <v>202119</v>
      </c>
      <c r="G77" s="688"/>
      <c r="H77" s="755"/>
      <c r="I77" s="755"/>
      <c r="J77" s="692"/>
      <c r="K77" s="693"/>
    </row>
    <row r="78" spans="1:11" ht="15.75" customHeight="1">
      <c r="A78" s="175">
        <f t="shared" si="4"/>
        <v>2022</v>
      </c>
      <c r="B78" s="454" t="str">
        <f t="shared" si="5"/>
        <v>20</v>
      </c>
      <c r="C78" s="454" t="str">
        <f t="array" ref="C78">_xlfn.IFS(_xlfn.NUMBERVALUE(B78)&lt;=13,"Q1",AND(_xlfn.NUMBERVALUE(B78)&gt;13,_xlfn.NUMBERVALUE(B78)&lt;=26),"Q2", AND(_xlfn.NUMBERVALUE(B78)&gt;26,_xlfn.NUMBERVALUE(B78)&lt;=39),"Q3",_xlfn.NUMBERVALUE(B78)&gt;39,"Q4")</f>
        <v>Q2</v>
      </c>
      <c r="D78" s="448">
        <f t="shared" si="7"/>
        <v>44359</v>
      </c>
      <c r="E78" s="448">
        <f t="shared" si="6"/>
        <v>44365</v>
      </c>
      <c r="F78" s="689">
        <v>202120</v>
      </c>
      <c r="G78" s="688"/>
      <c r="H78" s="755"/>
      <c r="I78" s="755"/>
      <c r="J78" s="692"/>
      <c r="K78" s="693"/>
    </row>
    <row r="79" spans="1:11" ht="15.75" customHeight="1">
      <c r="A79" s="175">
        <f t="shared" si="4"/>
        <v>2022</v>
      </c>
      <c r="B79" s="454" t="str">
        <f t="shared" si="5"/>
        <v>21</v>
      </c>
      <c r="C79" s="454" t="str">
        <f t="array" ref="C79">_xlfn.IFS(_xlfn.NUMBERVALUE(B79)&lt;=13,"Q1",AND(_xlfn.NUMBERVALUE(B79)&gt;13,_xlfn.NUMBERVALUE(B79)&lt;=26),"Q2", AND(_xlfn.NUMBERVALUE(B79)&gt;26,_xlfn.NUMBERVALUE(B79)&lt;=39),"Q3",_xlfn.NUMBERVALUE(B79)&gt;39,"Q4")</f>
        <v>Q2</v>
      </c>
      <c r="D79" s="448">
        <f t="shared" si="7"/>
        <v>44366</v>
      </c>
      <c r="E79" s="448">
        <f t="shared" si="6"/>
        <v>44372</v>
      </c>
      <c r="F79" s="689">
        <v>202121</v>
      </c>
      <c r="G79" s="688"/>
      <c r="H79" s="755"/>
      <c r="I79" s="755"/>
      <c r="J79" s="692"/>
      <c r="K79" s="693"/>
    </row>
    <row r="80" spans="1:11" ht="15.75" customHeight="1">
      <c r="A80" s="175">
        <f t="shared" si="4"/>
        <v>2022</v>
      </c>
      <c r="B80" s="454" t="str">
        <f t="shared" si="5"/>
        <v>22</v>
      </c>
      <c r="C80" s="454" t="str">
        <f t="array" ref="C80">_xlfn.IFS(_xlfn.NUMBERVALUE(B80)&lt;=13,"Q1",AND(_xlfn.NUMBERVALUE(B80)&gt;13,_xlfn.NUMBERVALUE(B80)&lt;=26),"Q2", AND(_xlfn.NUMBERVALUE(B80)&gt;26,_xlfn.NUMBERVALUE(B80)&lt;=39),"Q3",_xlfn.NUMBERVALUE(B80)&gt;39,"Q4")</f>
        <v>Q2</v>
      </c>
      <c r="D80" s="448">
        <f t="shared" si="7"/>
        <v>44373</v>
      </c>
      <c r="E80" s="448">
        <f t="shared" si="6"/>
        <v>44379</v>
      </c>
      <c r="F80" s="689">
        <v>202122</v>
      </c>
      <c r="G80" s="688"/>
      <c r="H80" s="755"/>
      <c r="I80" s="755"/>
      <c r="J80" s="692"/>
      <c r="K80" s="693"/>
    </row>
    <row r="81" spans="1:11" ht="15.75" customHeight="1">
      <c r="A81" s="175">
        <f t="shared" si="4"/>
        <v>2022</v>
      </c>
      <c r="B81" s="454" t="str">
        <f t="shared" si="5"/>
        <v>23</v>
      </c>
      <c r="C81" s="454" t="str">
        <f t="array" ref="C81">_xlfn.IFS(_xlfn.NUMBERVALUE(B81)&lt;=13,"Q1",AND(_xlfn.NUMBERVALUE(B81)&gt;13,_xlfn.NUMBERVALUE(B81)&lt;=26),"Q2", AND(_xlfn.NUMBERVALUE(B81)&gt;26,_xlfn.NUMBERVALUE(B81)&lt;=39),"Q3",_xlfn.NUMBERVALUE(B81)&gt;39,"Q4")</f>
        <v>Q2</v>
      </c>
      <c r="D81" s="448">
        <f t="shared" si="7"/>
        <v>44380</v>
      </c>
      <c r="E81" s="448">
        <f t="shared" si="6"/>
        <v>44386</v>
      </c>
      <c r="F81" s="689">
        <v>202123</v>
      </c>
      <c r="G81" s="688"/>
      <c r="H81" s="755"/>
      <c r="I81" s="755"/>
      <c r="J81" s="692"/>
      <c r="K81" s="693"/>
    </row>
    <row r="82" spans="1:11" ht="15.75" customHeight="1">
      <c r="A82" s="175">
        <f t="shared" si="4"/>
        <v>2022</v>
      </c>
      <c r="B82" s="454" t="str">
        <f t="shared" si="5"/>
        <v>24</v>
      </c>
      <c r="C82" s="454" t="str">
        <f t="array" ref="C82">_xlfn.IFS(_xlfn.NUMBERVALUE(B82)&lt;=13,"Q1",AND(_xlfn.NUMBERVALUE(B82)&gt;13,_xlfn.NUMBERVALUE(B82)&lt;=26),"Q2", AND(_xlfn.NUMBERVALUE(B82)&gt;26,_xlfn.NUMBERVALUE(B82)&lt;=39),"Q3",_xlfn.NUMBERVALUE(B82)&gt;39,"Q4")</f>
        <v>Q2</v>
      </c>
      <c r="D82" s="448">
        <f t="shared" si="7"/>
        <v>44387</v>
      </c>
      <c r="E82" s="448">
        <f t="shared" si="6"/>
        <v>44393</v>
      </c>
      <c r="F82" s="689">
        <v>202124</v>
      </c>
      <c r="G82" s="688"/>
      <c r="H82" s="755"/>
      <c r="I82" s="755"/>
      <c r="J82" s="692"/>
      <c r="K82" s="693"/>
    </row>
    <row r="83" spans="1:11" ht="15.75" customHeight="1">
      <c r="A83" s="175">
        <f t="shared" si="4"/>
        <v>2022</v>
      </c>
      <c r="B83" s="454" t="str">
        <f t="shared" si="5"/>
        <v>25</v>
      </c>
      <c r="C83" s="454" t="str">
        <f t="array" ref="C83">_xlfn.IFS(_xlfn.NUMBERVALUE(B83)&lt;=13,"Q1",AND(_xlfn.NUMBERVALUE(B83)&gt;13,_xlfn.NUMBERVALUE(B83)&lt;=26),"Q2", AND(_xlfn.NUMBERVALUE(B83)&gt;26,_xlfn.NUMBERVALUE(B83)&lt;=39),"Q3",_xlfn.NUMBERVALUE(B83)&gt;39,"Q4")</f>
        <v>Q2</v>
      </c>
      <c r="D83" s="448">
        <f t="shared" si="7"/>
        <v>44394</v>
      </c>
      <c r="E83" s="448">
        <f t="shared" si="6"/>
        <v>44400</v>
      </c>
      <c r="F83" s="689">
        <v>202125</v>
      </c>
      <c r="G83" s="688"/>
      <c r="H83" s="755"/>
      <c r="I83" s="755"/>
      <c r="J83" s="692"/>
      <c r="K83" s="693"/>
    </row>
    <row r="84" spans="1:11" ht="15.75" customHeight="1">
      <c r="A84" s="175">
        <f t="shared" si="4"/>
        <v>2022</v>
      </c>
      <c r="B84" s="454" t="str">
        <f t="shared" si="5"/>
        <v>26</v>
      </c>
      <c r="C84" s="454" t="str">
        <f t="array" ref="C84">_xlfn.IFS(_xlfn.NUMBERVALUE(B84)&lt;=13,"Q1",AND(_xlfn.NUMBERVALUE(B84)&gt;13,_xlfn.NUMBERVALUE(B84)&lt;=26),"Q2", AND(_xlfn.NUMBERVALUE(B84)&gt;26,_xlfn.NUMBERVALUE(B84)&lt;=39),"Q3",_xlfn.NUMBERVALUE(B84)&gt;39,"Q4")</f>
        <v>Q2</v>
      </c>
      <c r="D84" s="448">
        <f t="shared" si="7"/>
        <v>44401</v>
      </c>
      <c r="E84" s="448">
        <f t="shared" si="6"/>
        <v>44407</v>
      </c>
      <c r="F84" s="689">
        <v>202126</v>
      </c>
      <c r="G84" s="688"/>
      <c r="H84" s="755"/>
      <c r="I84" s="755"/>
      <c r="J84" s="692"/>
      <c r="K84" s="693"/>
    </row>
    <row r="85" spans="1:11" ht="15.75" customHeight="1">
      <c r="A85" s="175">
        <f t="shared" si="4"/>
        <v>2022</v>
      </c>
      <c r="B85" s="454" t="str">
        <f t="shared" si="5"/>
        <v>27</v>
      </c>
      <c r="C85" s="454" t="str">
        <f t="array" ref="C85">_xlfn.IFS(_xlfn.NUMBERVALUE(B85)&lt;=13,"Q1",AND(_xlfn.NUMBERVALUE(B85)&gt;13,_xlfn.NUMBERVALUE(B85)&lt;=26),"Q2", AND(_xlfn.NUMBERVALUE(B85)&gt;26,_xlfn.NUMBERVALUE(B85)&lt;=39),"Q3",_xlfn.NUMBERVALUE(B85)&gt;39,"Q4")</f>
        <v>Q3</v>
      </c>
      <c r="D85" s="448">
        <f t="shared" si="7"/>
        <v>44408</v>
      </c>
      <c r="E85" s="448">
        <f t="shared" si="6"/>
        <v>44414</v>
      </c>
      <c r="F85" s="689">
        <v>202127</v>
      </c>
      <c r="G85" s="688"/>
      <c r="H85" s="755"/>
      <c r="I85" s="755"/>
      <c r="J85" s="692"/>
      <c r="K85" s="693"/>
    </row>
    <row r="86" spans="1:11" ht="15.75" customHeight="1">
      <c r="A86" s="175">
        <f t="shared" si="4"/>
        <v>2022</v>
      </c>
      <c r="B86" s="454" t="str">
        <f t="shared" si="5"/>
        <v>28</v>
      </c>
      <c r="C86" s="454" t="str">
        <f t="array" ref="C86">_xlfn.IFS(_xlfn.NUMBERVALUE(B86)&lt;=13,"Q1",AND(_xlfn.NUMBERVALUE(B86)&gt;13,_xlfn.NUMBERVALUE(B86)&lt;=26),"Q2", AND(_xlfn.NUMBERVALUE(B86)&gt;26,_xlfn.NUMBERVALUE(B86)&lt;=39),"Q3",_xlfn.NUMBERVALUE(B86)&gt;39,"Q4")</f>
        <v>Q3</v>
      </c>
      <c r="D86" s="448">
        <f t="shared" si="7"/>
        <v>44415</v>
      </c>
      <c r="E86" s="448">
        <f t="shared" si="6"/>
        <v>44421</v>
      </c>
      <c r="F86" s="689">
        <v>202128</v>
      </c>
      <c r="G86" s="688"/>
      <c r="H86" s="755"/>
      <c r="I86" s="755"/>
      <c r="J86" s="692"/>
      <c r="K86" s="693"/>
    </row>
    <row r="87" spans="1:11" ht="15.75" customHeight="1">
      <c r="A87" s="175">
        <f t="shared" si="4"/>
        <v>2022</v>
      </c>
      <c r="B87" s="454" t="str">
        <f t="shared" si="5"/>
        <v>29</v>
      </c>
      <c r="C87" s="454" t="str">
        <f t="array" ref="C87">_xlfn.IFS(_xlfn.NUMBERVALUE(B87)&lt;=13,"Q1",AND(_xlfn.NUMBERVALUE(B87)&gt;13,_xlfn.NUMBERVALUE(B87)&lt;=26),"Q2", AND(_xlfn.NUMBERVALUE(B87)&gt;26,_xlfn.NUMBERVALUE(B87)&lt;=39),"Q3",_xlfn.NUMBERVALUE(B87)&gt;39,"Q4")</f>
        <v>Q3</v>
      </c>
      <c r="D87" s="448">
        <f t="shared" si="7"/>
        <v>44422</v>
      </c>
      <c r="E87" s="448">
        <f t="shared" si="6"/>
        <v>44428</v>
      </c>
      <c r="F87" s="689">
        <v>202129</v>
      </c>
      <c r="G87" s="688"/>
      <c r="H87" s="755"/>
      <c r="I87" s="755"/>
      <c r="J87" s="692"/>
      <c r="K87" s="693"/>
    </row>
    <row r="88" spans="1:11" ht="15.75" customHeight="1">
      <c r="A88" s="175">
        <f t="shared" si="4"/>
        <v>2022</v>
      </c>
      <c r="B88" s="454" t="str">
        <f t="shared" si="5"/>
        <v>30</v>
      </c>
      <c r="C88" s="454" t="str">
        <f t="array" ref="C88">_xlfn.IFS(_xlfn.NUMBERVALUE(B88)&lt;=13,"Q1",AND(_xlfn.NUMBERVALUE(B88)&gt;13,_xlfn.NUMBERVALUE(B88)&lt;=26),"Q2", AND(_xlfn.NUMBERVALUE(B88)&gt;26,_xlfn.NUMBERVALUE(B88)&lt;=39),"Q3",_xlfn.NUMBERVALUE(B88)&gt;39,"Q4")</f>
        <v>Q3</v>
      </c>
      <c r="D88" s="448">
        <f t="shared" si="7"/>
        <v>44429</v>
      </c>
      <c r="E88" s="448">
        <f t="shared" si="6"/>
        <v>44435</v>
      </c>
      <c r="F88" s="689">
        <v>202130</v>
      </c>
      <c r="G88" s="688"/>
      <c r="H88" s="755"/>
      <c r="I88" s="755"/>
      <c r="J88" s="692"/>
      <c r="K88" s="693"/>
    </row>
    <row r="89" spans="1:11" ht="15.75" customHeight="1">
      <c r="A89" s="175">
        <f t="shared" si="4"/>
        <v>2022</v>
      </c>
      <c r="B89" s="454" t="str">
        <f t="shared" si="5"/>
        <v>31</v>
      </c>
      <c r="C89" s="454" t="str">
        <f t="array" ref="C89">_xlfn.IFS(_xlfn.NUMBERVALUE(B89)&lt;=13,"Q1",AND(_xlfn.NUMBERVALUE(B89)&gt;13,_xlfn.NUMBERVALUE(B89)&lt;=26),"Q2", AND(_xlfn.NUMBERVALUE(B89)&gt;26,_xlfn.NUMBERVALUE(B89)&lt;=39),"Q3",_xlfn.NUMBERVALUE(B89)&gt;39,"Q4")</f>
        <v>Q3</v>
      </c>
      <c r="D89" s="448">
        <f t="shared" si="7"/>
        <v>44436</v>
      </c>
      <c r="E89" s="448">
        <f t="shared" si="6"/>
        <v>44442</v>
      </c>
      <c r="F89" s="689">
        <v>202131</v>
      </c>
      <c r="G89" s="688"/>
      <c r="H89" s="755"/>
      <c r="I89" s="755"/>
      <c r="J89" s="692"/>
      <c r="K89" s="693"/>
    </row>
    <row r="90" spans="1:11" ht="15.75" customHeight="1">
      <c r="A90" s="175">
        <f t="shared" si="4"/>
        <v>2022</v>
      </c>
      <c r="B90" s="454" t="str">
        <f t="shared" si="5"/>
        <v>32</v>
      </c>
      <c r="C90" s="454" t="str">
        <f t="array" ref="C90">_xlfn.IFS(_xlfn.NUMBERVALUE(B90)&lt;=13,"Q1",AND(_xlfn.NUMBERVALUE(B90)&gt;13,_xlfn.NUMBERVALUE(B90)&lt;=26),"Q2", AND(_xlfn.NUMBERVALUE(B90)&gt;26,_xlfn.NUMBERVALUE(B90)&lt;=39),"Q3",_xlfn.NUMBERVALUE(B90)&gt;39,"Q4")</f>
        <v>Q3</v>
      </c>
      <c r="D90" s="448">
        <f t="shared" si="7"/>
        <v>44443</v>
      </c>
      <c r="E90" s="448">
        <f t="shared" si="6"/>
        <v>44449</v>
      </c>
      <c r="F90" s="689">
        <v>202132</v>
      </c>
      <c r="G90" s="688"/>
      <c r="H90" s="755"/>
      <c r="I90" s="755"/>
      <c r="J90" s="692"/>
      <c r="K90" s="693"/>
    </row>
    <row r="91" spans="1:11" ht="15.75" customHeight="1">
      <c r="A91" s="175">
        <f t="shared" si="4"/>
        <v>2022</v>
      </c>
      <c r="B91" s="454" t="str">
        <f t="shared" si="5"/>
        <v>33</v>
      </c>
      <c r="C91" s="454" t="str">
        <f t="array" ref="C91">_xlfn.IFS(_xlfn.NUMBERVALUE(B91)&lt;=13,"Q1",AND(_xlfn.NUMBERVALUE(B91)&gt;13,_xlfn.NUMBERVALUE(B91)&lt;=26),"Q2", AND(_xlfn.NUMBERVALUE(B91)&gt;26,_xlfn.NUMBERVALUE(B91)&lt;=39),"Q3",_xlfn.NUMBERVALUE(B91)&gt;39,"Q4")</f>
        <v>Q3</v>
      </c>
      <c r="D91" s="448">
        <f t="shared" si="7"/>
        <v>44450</v>
      </c>
      <c r="E91" s="448">
        <f t="shared" si="6"/>
        <v>44456</v>
      </c>
      <c r="F91" s="689">
        <v>202133</v>
      </c>
      <c r="G91" s="688"/>
      <c r="H91" s="755"/>
      <c r="I91" s="755"/>
      <c r="J91" s="692"/>
      <c r="K91" s="693"/>
    </row>
    <row r="92" spans="1:11" ht="15.75" customHeight="1">
      <c r="A92" s="175">
        <f t="shared" si="4"/>
        <v>2022</v>
      </c>
      <c r="B92" s="454" t="str">
        <f t="shared" si="5"/>
        <v>34</v>
      </c>
      <c r="C92" s="454" t="str">
        <f t="array" ref="C92">_xlfn.IFS(_xlfn.NUMBERVALUE(B92)&lt;=13,"Q1",AND(_xlfn.NUMBERVALUE(B92)&gt;13,_xlfn.NUMBERVALUE(B92)&lt;=26),"Q2", AND(_xlfn.NUMBERVALUE(B92)&gt;26,_xlfn.NUMBERVALUE(B92)&lt;=39),"Q3",_xlfn.NUMBERVALUE(B92)&gt;39,"Q4")</f>
        <v>Q3</v>
      </c>
      <c r="D92" s="448">
        <f t="shared" si="7"/>
        <v>44457</v>
      </c>
      <c r="E92" s="448">
        <f t="shared" si="6"/>
        <v>44463</v>
      </c>
      <c r="F92" s="689">
        <v>202134</v>
      </c>
      <c r="G92" s="688"/>
      <c r="H92" s="755"/>
      <c r="I92" s="755"/>
      <c r="J92" s="692"/>
      <c r="K92" s="693"/>
    </row>
    <row r="93" spans="1:11" ht="15.75" customHeight="1">
      <c r="A93" s="175">
        <f t="shared" si="4"/>
        <v>2022</v>
      </c>
      <c r="B93" s="454" t="str">
        <f t="shared" si="5"/>
        <v>35</v>
      </c>
      <c r="C93" s="454" t="str">
        <f t="array" ref="C93">_xlfn.IFS(_xlfn.NUMBERVALUE(B93)&lt;=13,"Q1",AND(_xlfn.NUMBERVALUE(B93)&gt;13,_xlfn.NUMBERVALUE(B93)&lt;=26),"Q2", AND(_xlfn.NUMBERVALUE(B93)&gt;26,_xlfn.NUMBERVALUE(B93)&lt;=39),"Q3",_xlfn.NUMBERVALUE(B93)&gt;39,"Q4")</f>
        <v>Q3</v>
      </c>
      <c r="D93" s="448">
        <f t="shared" si="7"/>
        <v>44464</v>
      </c>
      <c r="E93" s="448">
        <f t="shared" si="6"/>
        <v>44470</v>
      </c>
      <c r="F93" s="689">
        <v>202135</v>
      </c>
      <c r="G93" s="688"/>
      <c r="H93" s="755"/>
      <c r="I93" s="755"/>
      <c r="J93" s="692"/>
      <c r="K93" s="693"/>
    </row>
    <row r="94" spans="1:11" ht="15.75" customHeight="1">
      <c r="A94" s="175">
        <f t="shared" si="4"/>
        <v>2022</v>
      </c>
      <c r="B94" s="454" t="str">
        <f t="shared" si="5"/>
        <v>36</v>
      </c>
      <c r="C94" s="454" t="str">
        <f t="array" ref="C94">_xlfn.IFS(_xlfn.NUMBERVALUE(B94)&lt;=13,"Q1",AND(_xlfn.NUMBERVALUE(B94)&gt;13,_xlfn.NUMBERVALUE(B94)&lt;=26),"Q2", AND(_xlfn.NUMBERVALUE(B94)&gt;26,_xlfn.NUMBERVALUE(B94)&lt;=39),"Q3",_xlfn.NUMBERVALUE(B94)&gt;39,"Q4")</f>
        <v>Q3</v>
      </c>
      <c r="D94" s="448">
        <f t="shared" si="7"/>
        <v>44471</v>
      </c>
      <c r="E94" s="448">
        <f t="shared" si="6"/>
        <v>44477</v>
      </c>
      <c r="F94" s="689">
        <v>202136</v>
      </c>
      <c r="G94" s="688"/>
      <c r="H94" s="755"/>
      <c r="I94" s="755"/>
      <c r="J94" s="692"/>
      <c r="K94" s="693"/>
    </row>
    <row r="95" spans="1:11" ht="15.75" customHeight="1">
      <c r="A95" s="175">
        <f t="shared" si="4"/>
        <v>2022</v>
      </c>
      <c r="B95" s="454" t="str">
        <f t="shared" si="5"/>
        <v>37</v>
      </c>
      <c r="C95" s="454" t="str">
        <f t="array" ref="C95">_xlfn.IFS(_xlfn.NUMBERVALUE(B95)&lt;=13,"Q1",AND(_xlfn.NUMBERVALUE(B95)&gt;13,_xlfn.NUMBERVALUE(B95)&lt;=26),"Q2", AND(_xlfn.NUMBERVALUE(B95)&gt;26,_xlfn.NUMBERVALUE(B95)&lt;=39),"Q3",_xlfn.NUMBERVALUE(B95)&gt;39,"Q4")</f>
        <v>Q3</v>
      </c>
      <c r="D95" s="448">
        <f t="shared" si="7"/>
        <v>44478</v>
      </c>
      <c r="E95" s="448">
        <f t="shared" si="6"/>
        <v>44484</v>
      </c>
      <c r="F95" s="689">
        <v>202137</v>
      </c>
      <c r="G95" s="688"/>
      <c r="H95" s="755"/>
      <c r="I95" s="755"/>
      <c r="J95" s="692"/>
      <c r="K95" s="693"/>
    </row>
    <row r="96" spans="1:11" ht="15.75" customHeight="1">
      <c r="A96" s="175">
        <f t="shared" si="4"/>
        <v>2022</v>
      </c>
      <c r="B96" s="454" t="str">
        <f t="shared" si="5"/>
        <v>38</v>
      </c>
      <c r="C96" s="454" t="str">
        <f t="array" ref="C96">_xlfn.IFS(_xlfn.NUMBERVALUE(B96)&lt;=13,"Q1",AND(_xlfn.NUMBERVALUE(B96)&gt;13,_xlfn.NUMBERVALUE(B96)&lt;=26),"Q2", AND(_xlfn.NUMBERVALUE(B96)&gt;26,_xlfn.NUMBERVALUE(B96)&lt;=39),"Q3",_xlfn.NUMBERVALUE(B96)&gt;39,"Q4")</f>
        <v>Q3</v>
      </c>
      <c r="D96" s="448">
        <f t="shared" si="7"/>
        <v>44485</v>
      </c>
      <c r="E96" s="448">
        <f t="shared" si="6"/>
        <v>44491</v>
      </c>
      <c r="F96" s="689">
        <v>202138</v>
      </c>
      <c r="G96" s="688"/>
      <c r="H96" s="755"/>
      <c r="I96" s="755"/>
      <c r="J96" s="692"/>
      <c r="K96" s="693"/>
    </row>
    <row r="97" spans="1:11" ht="15.75" customHeight="1">
      <c r="A97" s="175">
        <f t="shared" si="4"/>
        <v>2022</v>
      </c>
      <c r="B97" s="454" t="str">
        <f t="shared" si="5"/>
        <v>39</v>
      </c>
      <c r="C97" s="454" t="str">
        <f t="array" ref="C97">_xlfn.IFS(_xlfn.NUMBERVALUE(B97)&lt;=13,"Q1",AND(_xlfn.NUMBERVALUE(B97)&gt;13,_xlfn.NUMBERVALUE(B97)&lt;=26),"Q2", AND(_xlfn.NUMBERVALUE(B97)&gt;26,_xlfn.NUMBERVALUE(B97)&lt;=39),"Q3",_xlfn.NUMBERVALUE(B97)&gt;39,"Q4")</f>
        <v>Q3</v>
      </c>
      <c r="D97" s="448">
        <f t="shared" si="7"/>
        <v>44492</v>
      </c>
      <c r="E97" s="448">
        <f t="shared" si="6"/>
        <v>44498</v>
      </c>
      <c r="F97" s="689">
        <v>202139</v>
      </c>
      <c r="G97" s="688"/>
      <c r="H97" s="755"/>
      <c r="I97" s="755"/>
      <c r="J97" s="692"/>
      <c r="K97" s="693"/>
    </row>
    <row r="98" spans="1:11" ht="15.75" customHeight="1">
      <c r="A98" s="175">
        <f t="shared" si="4"/>
        <v>2022</v>
      </c>
      <c r="B98" s="454" t="str">
        <f t="shared" si="5"/>
        <v>40</v>
      </c>
      <c r="C98" s="454" t="str">
        <f t="array" ref="C98">_xlfn.IFS(_xlfn.NUMBERVALUE(B98)&lt;=13,"Q1",AND(_xlfn.NUMBERVALUE(B98)&gt;13,_xlfn.NUMBERVALUE(B98)&lt;=26),"Q2", AND(_xlfn.NUMBERVALUE(B98)&gt;26,_xlfn.NUMBERVALUE(B98)&lt;=39),"Q3",_xlfn.NUMBERVALUE(B98)&gt;39,"Q4")</f>
        <v>Q4</v>
      </c>
      <c r="D98" s="448">
        <f t="shared" si="7"/>
        <v>44499</v>
      </c>
      <c r="E98" s="448">
        <f t="shared" si="6"/>
        <v>44505</v>
      </c>
      <c r="F98" s="689">
        <v>202140</v>
      </c>
      <c r="G98" s="688"/>
      <c r="H98" s="755"/>
      <c r="I98" s="755"/>
      <c r="J98" s="692"/>
      <c r="K98" s="693"/>
    </row>
    <row r="99" spans="1:11" ht="15.75" customHeight="1">
      <c r="A99" s="175">
        <f t="shared" si="4"/>
        <v>2022</v>
      </c>
      <c r="B99" s="454" t="str">
        <f t="shared" si="5"/>
        <v>41</v>
      </c>
      <c r="C99" s="454" t="str">
        <f t="array" ref="C99">_xlfn.IFS(_xlfn.NUMBERVALUE(B99)&lt;=13,"Q1",AND(_xlfn.NUMBERVALUE(B99)&gt;13,_xlfn.NUMBERVALUE(B99)&lt;=26),"Q2", AND(_xlfn.NUMBERVALUE(B99)&gt;26,_xlfn.NUMBERVALUE(B99)&lt;=39),"Q3",_xlfn.NUMBERVALUE(B99)&gt;39,"Q4")</f>
        <v>Q4</v>
      </c>
      <c r="D99" s="448">
        <f t="shared" si="7"/>
        <v>44506</v>
      </c>
      <c r="E99" s="448">
        <f t="shared" si="6"/>
        <v>44512</v>
      </c>
      <c r="F99" s="689">
        <v>202141</v>
      </c>
      <c r="G99" s="688"/>
      <c r="H99" s="755"/>
      <c r="I99" s="755"/>
      <c r="J99" s="692"/>
      <c r="K99" s="693"/>
    </row>
    <row r="100" spans="1:11" ht="15.75" customHeight="1">
      <c r="A100" s="175">
        <f t="shared" si="4"/>
        <v>2022</v>
      </c>
      <c r="B100" s="454" t="str">
        <f t="shared" si="5"/>
        <v>42</v>
      </c>
      <c r="C100" s="454" t="str">
        <f t="array" ref="C100">_xlfn.IFS(_xlfn.NUMBERVALUE(B100)&lt;=13,"Q1",AND(_xlfn.NUMBERVALUE(B100)&gt;13,_xlfn.NUMBERVALUE(B100)&lt;=26),"Q2", AND(_xlfn.NUMBERVALUE(B100)&gt;26,_xlfn.NUMBERVALUE(B100)&lt;=39),"Q3",_xlfn.NUMBERVALUE(B100)&gt;39,"Q4")</f>
        <v>Q4</v>
      </c>
      <c r="D100" s="448">
        <f t="shared" si="7"/>
        <v>44513</v>
      </c>
      <c r="E100" s="448">
        <f t="shared" si="6"/>
        <v>44519</v>
      </c>
      <c r="F100" s="689">
        <v>202142</v>
      </c>
      <c r="G100" s="688"/>
      <c r="H100" s="755"/>
      <c r="I100" s="755"/>
      <c r="J100" s="692"/>
      <c r="K100" s="693"/>
    </row>
    <row r="101" spans="1:11" ht="15.75" customHeight="1">
      <c r="A101" s="175">
        <f t="shared" si="4"/>
        <v>2022</v>
      </c>
      <c r="B101" s="454" t="str">
        <f t="shared" si="5"/>
        <v>43</v>
      </c>
      <c r="C101" s="454" t="str">
        <f t="array" ref="C101">_xlfn.IFS(_xlfn.NUMBERVALUE(B101)&lt;=13,"Q1",AND(_xlfn.NUMBERVALUE(B101)&gt;13,_xlfn.NUMBERVALUE(B101)&lt;=26),"Q2", AND(_xlfn.NUMBERVALUE(B101)&gt;26,_xlfn.NUMBERVALUE(B101)&lt;=39),"Q3",_xlfn.NUMBERVALUE(B101)&gt;39,"Q4")</f>
        <v>Q4</v>
      </c>
      <c r="D101" s="448">
        <f t="shared" si="7"/>
        <v>44520</v>
      </c>
      <c r="E101" s="448">
        <f t="shared" si="6"/>
        <v>44526</v>
      </c>
      <c r="F101" s="689">
        <v>202143</v>
      </c>
      <c r="G101" s="688"/>
      <c r="H101" s="755"/>
      <c r="I101" s="755"/>
      <c r="J101" s="692"/>
      <c r="K101" s="693"/>
    </row>
    <row r="102" spans="1:11" ht="15.75" customHeight="1">
      <c r="A102" s="175">
        <f t="shared" si="4"/>
        <v>2022</v>
      </c>
      <c r="B102" s="454" t="str">
        <f t="shared" si="5"/>
        <v>44</v>
      </c>
      <c r="C102" s="454" t="str">
        <f t="array" ref="C102">_xlfn.IFS(_xlfn.NUMBERVALUE(B102)&lt;=13,"Q1",AND(_xlfn.NUMBERVALUE(B102)&gt;13,_xlfn.NUMBERVALUE(B102)&lt;=26),"Q2", AND(_xlfn.NUMBERVALUE(B102)&gt;26,_xlfn.NUMBERVALUE(B102)&lt;=39),"Q3",_xlfn.NUMBERVALUE(B102)&gt;39,"Q4")</f>
        <v>Q4</v>
      </c>
      <c r="D102" s="448">
        <f t="shared" si="7"/>
        <v>44527</v>
      </c>
      <c r="E102" s="448">
        <f t="shared" si="6"/>
        <v>44533</v>
      </c>
      <c r="F102" s="689">
        <v>202144</v>
      </c>
      <c r="G102" s="688"/>
      <c r="H102" s="755"/>
      <c r="I102" s="755"/>
      <c r="J102" s="692"/>
      <c r="K102" s="693"/>
    </row>
    <row r="103" spans="1:11" ht="15.75" customHeight="1">
      <c r="A103" s="175">
        <f t="shared" si="4"/>
        <v>2022</v>
      </c>
      <c r="B103" s="454" t="str">
        <f t="shared" si="5"/>
        <v>45</v>
      </c>
      <c r="C103" s="454" t="str">
        <f t="array" ref="C103">_xlfn.IFS(_xlfn.NUMBERVALUE(B103)&lt;=13,"Q1",AND(_xlfn.NUMBERVALUE(B103)&gt;13,_xlfn.NUMBERVALUE(B103)&lt;=26),"Q2", AND(_xlfn.NUMBERVALUE(B103)&gt;26,_xlfn.NUMBERVALUE(B103)&lt;=39),"Q3",_xlfn.NUMBERVALUE(B103)&gt;39,"Q4")</f>
        <v>Q4</v>
      </c>
      <c r="D103" s="448">
        <f t="shared" si="7"/>
        <v>44534</v>
      </c>
      <c r="E103" s="448">
        <f t="shared" si="6"/>
        <v>44540</v>
      </c>
      <c r="F103" s="689">
        <v>202145</v>
      </c>
      <c r="G103" s="688"/>
      <c r="H103" s="755"/>
      <c r="I103" s="755"/>
      <c r="J103" s="692"/>
      <c r="K103" s="693"/>
    </row>
    <row r="104" spans="1:11" ht="15.75" customHeight="1">
      <c r="A104" s="175">
        <f t="shared" si="4"/>
        <v>2022</v>
      </c>
      <c r="B104" s="454" t="str">
        <f t="shared" si="5"/>
        <v>46</v>
      </c>
      <c r="C104" s="454" t="str">
        <f t="array" ref="C104">_xlfn.IFS(_xlfn.NUMBERVALUE(B104)&lt;=13,"Q1",AND(_xlfn.NUMBERVALUE(B104)&gt;13,_xlfn.NUMBERVALUE(B104)&lt;=26),"Q2", AND(_xlfn.NUMBERVALUE(B104)&gt;26,_xlfn.NUMBERVALUE(B104)&lt;=39),"Q3",_xlfn.NUMBERVALUE(B104)&gt;39,"Q4")</f>
        <v>Q4</v>
      </c>
      <c r="D104" s="448">
        <f t="shared" si="7"/>
        <v>44541</v>
      </c>
      <c r="E104" s="448">
        <f t="shared" si="6"/>
        <v>44547</v>
      </c>
      <c r="F104" s="689">
        <v>202146</v>
      </c>
      <c r="G104" s="688"/>
      <c r="H104" s="755"/>
      <c r="I104" s="755"/>
      <c r="J104" s="692"/>
      <c r="K104" s="693"/>
    </row>
    <row r="105" spans="1:11" ht="15.75" customHeight="1">
      <c r="A105" s="175">
        <f t="shared" si="4"/>
        <v>2022</v>
      </c>
      <c r="B105" s="454" t="str">
        <f t="shared" si="5"/>
        <v>47</v>
      </c>
      <c r="C105" s="454" t="str">
        <f t="array" ref="C105">_xlfn.IFS(_xlfn.NUMBERVALUE(B105)&lt;=13,"Q1",AND(_xlfn.NUMBERVALUE(B105)&gt;13,_xlfn.NUMBERVALUE(B105)&lt;=26),"Q2", AND(_xlfn.NUMBERVALUE(B105)&gt;26,_xlfn.NUMBERVALUE(B105)&lt;=39),"Q3",_xlfn.NUMBERVALUE(B105)&gt;39,"Q4")</f>
        <v>Q4</v>
      </c>
      <c r="D105" s="448">
        <f t="shared" si="7"/>
        <v>44548</v>
      </c>
      <c r="E105" s="448">
        <f t="shared" si="6"/>
        <v>44554</v>
      </c>
      <c r="F105" s="689">
        <v>202147</v>
      </c>
      <c r="G105" s="688"/>
      <c r="H105" s="755"/>
      <c r="I105" s="755"/>
      <c r="J105" s="692"/>
      <c r="K105" s="693"/>
    </row>
    <row r="106" spans="1:11" ht="15.75" customHeight="1">
      <c r="A106" s="175">
        <f t="shared" si="4"/>
        <v>2022</v>
      </c>
      <c r="B106" s="454" t="str">
        <f t="shared" si="5"/>
        <v>48</v>
      </c>
      <c r="C106" s="454" t="str">
        <f t="array" ref="C106">_xlfn.IFS(_xlfn.NUMBERVALUE(B106)&lt;=13,"Q1",AND(_xlfn.NUMBERVALUE(B106)&gt;13,_xlfn.NUMBERVALUE(B106)&lt;=26),"Q2", AND(_xlfn.NUMBERVALUE(B106)&gt;26,_xlfn.NUMBERVALUE(B106)&lt;=39),"Q3",_xlfn.NUMBERVALUE(B106)&gt;39,"Q4")</f>
        <v>Q4</v>
      </c>
      <c r="D106" s="448">
        <f t="shared" si="7"/>
        <v>44555</v>
      </c>
      <c r="E106" s="448">
        <f t="shared" si="6"/>
        <v>44561</v>
      </c>
      <c r="F106" s="689">
        <v>202148</v>
      </c>
      <c r="G106" s="688"/>
      <c r="H106" s="755"/>
      <c r="I106" s="755"/>
      <c r="J106" s="692"/>
      <c r="K106" s="693"/>
    </row>
    <row r="107" spans="1:11" ht="15.75" customHeight="1">
      <c r="A107" s="175">
        <f t="shared" si="4"/>
        <v>2022</v>
      </c>
      <c r="B107" s="454" t="str">
        <f t="shared" si="5"/>
        <v>49</v>
      </c>
      <c r="C107" s="454" t="str">
        <f t="array" ref="C107">_xlfn.IFS(_xlfn.NUMBERVALUE(B107)&lt;=13,"Q1",AND(_xlfn.NUMBERVALUE(B107)&gt;13,_xlfn.NUMBERVALUE(B107)&lt;=26),"Q2", AND(_xlfn.NUMBERVALUE(B107)&gt;26,_xlfn.NUMBERVALUE(B107)&lt;=39),"Q3",_xlfn.NUMBERVALUE(B107)&gt;39,"Q4")</f>
        <v>Q4</v>
      </c>
      <c r="D107" s="448">
        <f t="shared" si="7"/>
        <v>44562</v>
      </c>
      <c r="E107" s="448">
        <f t="shared" si="6"/>
        <v>44568</v>
      </c>
      <c r="F107" s="689">
        <v>202149</v>
      </c>
      <c r="G107" s="688"/>
      <c r="H107" s="755"/>
      <c r="I107" s="755"/>
      <c r="J107" s="692"/>
      <c r="K107" s="693"/>
    </row>
    <row r="108" spans="1:11" ht="15.75" customHeight="1">
      <c r="A108" s="175">
        <f t="shared" si="4"/>
        <v>2022</v>
      </c>
      <c r="B108" s="454" t="str">
        <f t="shared" si="5"/>
        <v>50</v>
      </c>
      <c r="C108" s="454" t="str">
        <f t="array" ref="C108">_xlfn.IFS(_xlfn.NUMBERVALUE(B108)&lt;=13,"Q1",AND(_xlfn.NUMBERVALUE(B108)&gt;13,_xlfn.NUMBERVALUE(B108)&lt;=26),"Q2", AND(_xlfn.NUMBERVALUE(B108)&gt;26,_xlfn.NUMBERVALUE(B108)&lt;=39),"Q3",_xlfn.NUMBERVALUE(B108)&gt;39,"Q4")</f>
        <v>Q4</v>
      </c>
      <c r="D108" s="448">
        <f t="shared" si="7"/>
        <v>44569</v>
      </c>
      <c r="E108" s="448">
        <f t="shared" si="6"/>
        <v>44575</v>
      </c>
      <c r="F108" s="689">
        <v>202150</v>
      </c>
      <c r="G108" s="688"/>
      <c r="H108" s="755"/>
      <c r="I108" s="755"/>
      <c r="J108" s="692"/>
      <c r="K108" s="693"/>
    </row>
    <row r="109" spans="1:11" ht="15.75" customHeight="1">
      <c r="A109" s="175">
        <f t="shared" si="4"/>
        <v>2022</v>
      </c>
      <c r="B109" s="454" t="str">
        <f t="shared" si="5"/>
        <v>51</v>
      </c>
      <c r="C109" s="454" t="str">
        <f t="array" ref="C109">_xlfn.IFS(_xlfn.NUMBERVALUE(B109)&lt;=13,"Q1",AND(_xlfn.NUMBERVALUE(B109)&gt;13,_xlfn.NUMBERVALUE(B109)&lt;=26),"Q2", AND(_xlfn.NUMBERVALUE(B109)&gt;26,_xlfn.NUMBERVALUE(B109)&lt;=39),"Q3",_xlfn.NUMBERVALUE(B109)&gt;39,"Q4")</f>
        <v>Q4</v>
      </c>
      <c r="D109" s="448">
        <f t="shared" si="7"/>
        <v>44576</v>
      </c>
      <c r="E109" s="448">
        <f t="shared" si="6"/>
        <v>44582</v>
      </c>
      <c r="F109" s="689">
        <v>202151</v>
      </c>
      <c r="G109" s="688"/>
      <c r="H109" s="755"/>
      <c r="I109" s="755"/>
      <c r="J109" s="692"/>
      <c r="K109" s="693"/>
    </row>
    <row r="110" spans="1:11" ht="15.75" customHeight="1">
      <c r="A110" s="175">
        <f t="shared" si="4"/>
        <v>2022</v>
      </c>
      <c r="B110" s="454" t="str">
        <f t="shared" si="5"/>
        <v>52</v>
      </c>
      <c r="C110" s="454" t="str">
        <f t="array" ref="C110">_xlfn.IFS(_xlfn.NUMBERVALUE(B110)&lt;=13,"Q1",AND(_xlfn.NUMBERVALUE(B110)&gt;13,_xlfn.NUMBERVALUE(B110)&lt;=26),"Q2", AND(_xlfn.NUMBERVALUE(B110)&gt;26,_xlfn.NUMBERVALUE(B110)&lt;=39),"Q3",_xlfn.NUMBERVALUE(B110)&gt;39,"Q4")</f>
        <v>Q4</v>
      </c>
      <c r="D110" s="448">
        <f t="shared" si="7"/>
        <v>44583</v>
      </c>
      <c r="E110" s="448">
        <f t="shared" si="6"/>
        <v>44589</v>
      </c>
      <c r="F110" s="689">
        <v>202152</v>
      </c>
      <c r="G110" s="688"/>
      <c r="H110" s="755"/>
      <c r="I110" s="755"/>
      <c r="J110" s="692"/>
      <c r="K110" s="693"/>
    </row>
    <row r="111" spans="1:11" ht="15.75" customHeight="1">
      <c r="A111" s="175">
        <f t="shared" si="4"/>
        <v>2023</v>
      </c>
      <c r="B111" s="454" t="str">
        <f t="shared" si="5"/>
        <v>01</v>
      </c>
      <c r="C111" s="454" t="str">
        <f t="array" ref="C111">_xlfn.IFS(_xlfn.NUMBERVALUE(B111)&lt;=13,"Q1",AND(_xlfn.NUMBERVALUE(B111)&gt;13,_xlfn.NUMBERVALUE(B111)&lt;=26),"Q2", AND(_xlfn.NUMBERVALUE(B111)&gt;26,_xlfn.NUMBERVALUE(B111)&lt;=39),"Q3",_xlfn.NUMBERVALUE(B111)&gt;39,"Q4")</f>
        <v>Q1</v>
      </c>
      <c r="D111" s="448">
        <f t="shared" si="7"/>
        <v>44590</v>
      </c>
      <c r="E111" s="448">
        <f t="shared" si="6"/>
        <v>44596</v>
      </c>
      <c r="F111" s="690">
        <v>202201</v>
      </c>
      <c r="G111" s="688"/>
      <c r="H111" s="755"/>
      <c r="I111" s="755"/>
      <c r="J111" s="692"/>
      <c r="K111" s="693"/>
    </row>
    <row r="112" spans="1:11" ht="15.75" customHeight="1">
      <c r="A112" s="175">
        <f t="shared" si="4"/>
        <v>2023</v>
      </c>
      <c r="B112" s="454" t="str">
        <f t="shared" si="5"/>
        <v>02</v>
      </c>
      <c r="C112" s="454" t="str">
        <f t="array" ref="C112">_xlfn.IFS(_xlfn.NUMBERVALUE(B112)&lt;=13,"Q1",AND(_xlfn.NUMBERVALUE(B112)&gt;13,_xlfn.NUMBERVALUE(B112)&lt;=26),"Q2", AND(_xlfn.NUMBERVALUE(B112)&gt;26,_xlfn.NUMBERVALUE(B112)&lt;=39),"Q3",_xlfn.NUMBERVALUE(B112)&gt;39,"Q4")</f>
        <v>Q1</v>
      </c>
      <c r="D112" s="448">
        <f t="shared" si="7"/>
        <v>44597</v>
      </c>
      <c r="E112" s="448">
        <f t="shared" si="6"/>
        <v>44603</v>
      </c>
      <c r="F112" s="690">
        <v>202202</v>
      </c>
      <c r="G112" s="688"/>
      <c r="H112" s="755"/>
      <c r="I112" s="755"/>
      <c r="J112" s="692"/>
      <c r="K112" s="693"/>
    </row>
    <row r="113" spans="1:11" ht="15.75" customHeight="1">
      <c r="A113" s="175">
        <f t="shared" si="4"/>
        <v>2023</v>
      </c>
      <c r="B113" s="454" t="str">
        <f t="shared" si="5"/>
        <v>03</v>
      </c>
      <c r="C113" s="454" t="str">
        <f t="array" ref="C113">_xlfn.IFS(_xlfn.NUMBERVALUE(B113)&lt;=13,"Q1",AND(_xlfn.NUMBERVALUE(B113)&gt;13,_xlfn.NUMBERVALUE(B113)&lt;=26),"Q2", AND(_xlfn.NUMBERVALUE(B113)&gt;26,_xlfn.NUMBERVALUE(B113)&lt;=39),"Q3",_xlfn.NUMBERVALUE(B113)&gt;39,"Q4")</f>
        <v>Q1</v>
      </c>
      <c r="D113" s="448">
        <f t="shared" si="7"/>
        <v>44604</v>
      </c>
      <c r="E113" s="448">
        <f t="shared" si="6"/>
        <v>44610</v>
      </c>
      <c r="F113" s="690">
        <v>202203</v>
      </c>
      <c r="G113" s="688"/>
      <c r="H113" s="755"/>
      <c r="I113" s="755"/>
      <c r="J113" s="692"/>
      <c r="K113" s="693"/>
    </row>
    <row r="114" spans="1:11" ht="15.75" customHeight="1">
      <c r="A114" s="175">
        <f t="shared" si="4"/>
        <v>2023</v>
      </c>
      <c r="B114" s="454" t="str">
        <f t="shared" si="5"/>
        <v>04</v>
      </c>
      <c r="C114" s="454" t="str">
        <f t="array" ref="C114">_xlfn.IFS(_xlfn.NUMBERVALUE(B114)&lt;=13,"Q1",AND(_xlfn.NUMBERVALUE(B114)&gt;13,_xlfn.NUMBERVALUE(B114)&lt;=26),"Q2", AND(_xlfn.NUMBERVALUE(B114)&gt;26,_xlfn.NUMBERVALUE(B114)&lt;=39),"Q3",_xlfn.NUMBERVALUE(B114)&gt;39,"Q4")</f>
        <v>Q1</v>
      </c>
      <c r="D114" s="448">
        <f t="shared" si="7"/>
        <v>44611</v>
      </c>
      <c r="E114" s="448">
        <f t="shared" si="6"/>
        <v>44617</v>
      </c>
      <c r="F114" s="690">
        <v>202204</v>
      </c>
      <c r="G114" s="688"/>
      <c r="H114" s="755"/>
      <c r="I114" s="755"/>
      <c r="J114" s="692"/>
      <c r="K114" s="693"/>
    </row>
    <row r="115" spans="1:11" ht="15.75" customHeight="1">
      <c r="A115" s="175">
        <f t="shared" si="4"/>
        <v>2023</v>
      </c>
      <c r="B115" s="454" t="str">
        <f t="shared" si="5"/>
        <v>05</v>
      </c>
      <c r="C115" s="454" t="str">
        <f t="array" ref="C115">_xlfn.IFS(_xlfn.NUMBERVALUE(B115)&lt;=13,"Q1",AND(_xlfn.NUMBERVALUE(B115)&gt;13,_xlfn.NUMBERVALUE(B115)&lt;=26),"Q2", AND(_xlfn.NUMBERVALUE(B115)&gt;26,_xlfn.NUMBERVALUE(B115)&lt;=39),"Q3",_xlfn.NUMBERVALUE(B115)&gt;39,"Q4")</f>
        <v>Q1</v>
      </c>
      <c r="D115" s="448">
        <f t="shared" si="7"/>
        <v>44618</v>
      </c>
      <c r="E115" s="448">
        <f t="shared" si="6"/>
        <v>44624</v>
      </c>
      <c r="F115" s="690">
        <v>202205</v>
      </c>
      <c r="G115" s="688"/>
      <c r="H115" s="755"/>
      <c r="I115" s="755"/>
      <c r="J115" s="692"/>
      <c r="K115" s="693"/>
    </row>
    <row r="116" spans="1:11" ht="15.75" customHeight="1">
      <c r="A116" s="175">
        <f t="shared" si="4"/>
        <v>2023</v>
      </c>
      <c r="B116" s="454" t="str">
        <f t="shared" si="5"/>
        <v>06</v>
      </c>
      <c r="C116" s="454" t="str">
        <f t="array" ref="C116">_xlfn.IFS(_xlfn.NUMBERVALUE(B116)&lt;=13,"Q1",AND(_xlfn.NUMBERVALUE(B116)&gt;13,_xlfn.NUMBERVALUE(B116)&lt;=26),"Q2", AND(_xlfn.NUMBERVALUE(B116)&gt;26,_xlfn.NUMBERVALUE(B116)&lt;=39),"Q3",_xlfn.NUMBERVALUE(B116)&gt;39,"Q4")</f>
        <v>Q1</v>
      </c>
      <c r="D116" s="448">
        <f t="shared" si="7"/>
        <v>44625</v>
      </c>
      <c r="E116" s="448">
        <f t="shared" si="6"/>
        <v>44631</v>
      </c>
      <c r="F116" s="690">
        <v>202206</v>
      </c>
      <c r="G116" s="688"/>
      <c r="H116" s="755"/>
      <c r="I116" s="755"/>
      <c r="J116" s="692"/>
      <c r="K116" s="693"/>
    </row>
    <row r="117" spans="1:11" ht="15.75" customHeight="1">
      <c r="A117" s="175">
        <f t="shared" si="4"/>
        <v>2023</v>
      </c>
      <c r="B117" s="454" t="str">
        <f t="shared" si="5"/>
        <v>07</v>
      </c>
      <c r="C117" s="454" t="str">
        <f t="array" ref="C117">_xlfn.IFS(_xlfn.NUMBERVALUE(B117)&lt;=13,"Q1",AND(_xlfn.NUMBERVALUE(B117)&gt;13,_xlfn.NUMBERVALUE(B117)&lt;=26),"Q2", AND(_xlfn.NUMBERVALUE(B117)&gt;26,_xlfn.NUMBERVALUE(B117)&lt;=39),"Q3",_xlfn.NUMBERVALUE(B117)&gt;39,"Q4")</f>
        <v>Q1</v>
      </c>
      <c r="D117" s="448">
        <f t="shared" si="7"/>
        <v>44632</v>
      </c>
      <c r="E117" s="448">
        <f t="shared" si="6"/>
        <v>44638</v>
      </c>
      <c r="F117" s="690">
        <v>202207</v>
      </c>
      <c r="G117" s="688"/>
      <c r="H117" s="755"/>
      <c r="I117" s="755"/>
      <c r="J117" s="692"/>
      <c r="K117" s="693"/>
    </row>
    <row r="118" spans="1:11" ht="15.75" customHeight="1">
      <c r="A118" s="175">
        <f t="shared" si="4"/>
        <v>2023</v>
      </c>
      <c r="B118" s="454" t="str">
        <f t="shared" si="5"/>
        <v>08</v>
      </c>
      <c r="C118" s="454" t="str">
        <f t="array" ref="C118">_xlfn.IFS(_xlfn.NUMBERVALUE(B118)&lt;=13,"Q1",AND(_xlfn.NUMBERVALUE(B118)&gt;13,_xlfn.NUMBERVALUE(B118)&lt;=26),"Q2", AND(_xlfn.NUMBERVALUE(B118)&gt;26,_xlfn.NUMBERVALUE(B118)&lt;=39),"Q3",_xlfn.NUMBERVALUE(B118)&gt;39,"Q4")</f>
        <v>Q1</v>
      </c>
      <c r="D118" s="448">
        <f t="shared" si="7"/>
        <v>44639</v>
      </c>
      <c r="E118" s="448">
        <f t="shared" si="6"/>
        <v>44645</v>
      </c>
      <c r="F118" s="690">
        <v>202208</v>
      </c>
      <c r="G118" s="688"/>
      <c r="H118" s="755"/>
      <c r="I118" s="755"/>
      <c r="J118" s="692"/>
      <c r="K118" s="693"/>
    </row>
    <row r="119" spans="1:11" ht="15.75" customHeight="1">
      <c r="A119" s="175">
        <f t="shared" si="4"/>
        <v>2023</v>
      </c>
      <c r="B119" s="454" t="str">
        <f t="shared" si="5"/>
        <v>09</v>
      </c>
      <c r="C119" s="454" t="str">
        <f t="array" ref="C119">_xlfn.IFS(_xlfn.NUMBERVALUE(B119)&lt;=13,"Q1",AND(_xlfn.NUMBERVALUE(B119)&gt;13,_xlfn.NUMBERVALUE(B119)&lt;=26),"Q2", AND(_xlfn.NUMBERVALUE(B119)&gt;26,_xlfn.NUMBERVALUE(B119)&lt;=39),"Q3",_xlfn.NUMBERVALUE(B119)&gt;39,"Q4")</f>
        <v>Q1</v>
      </c>
      <c r="D119" s="448">
        <f t="shared" si="7"/>
        <v>44646</v>
      </c>
      <c r="E119" s="448">
        <f t="shared" si="6"/>
        <v>44652</v>
      </c>
      <c r="F119" s="690">
        <v>202209</v>
      </c>
      <c r="G119" s="688"/>
      <c r="H119" s="755"/>
      <c r="I119" s="755"/>
      <c r="J119" s="692"/>
      <c r="K119" s="693"/>
    </row>
    <row r="120" spans="1:11" ht="15.75" customHeight="1">
      <c r="A120" s="175">
        <f t="shared" si="4"/>
        <v>2023</v>
      </c>
      <c r="B120" s="454" t="str">
        <f t="shared" si="5"/>
        <v>10</v>
      </c>
      <c r="C120" s="454" t="str">
        <f t="array" ref="C120">_xlfn.IFS(_xlfn.NUMBERVALUE(B120)&lt;=13,"Q1",AND(_xlfn.NUMBERVALUE(B120)&gt;13,_xlfn.NUMBERVALUE(B120)&lt;=26),"Q2", AND(_xlfn.NUMBERVALUE(B120)&gt;26,_xlfn.NUMBERVALUE(B120)&lt;=39),"Q3",_xlfn.NUMBERVALUE(B120)&gt;39,"Q4")</f>
        <v>Q1</v>
      </c>
      <c r="D120" s="448">
        <f t="shared" si="7"/>
        <v>44653</v>
      </c>
      <c r="E120" s="448">
        <f t="shared" si="6"/>
        <v>44659</v>
      </c>
      <c r="F120" s="690">
        <v>202210</v>
      </c>
      <c r="G120" s="688"/>
      <c r="H120" s="755"/>
      <c r="I120" s="755"/>
      <c r="J120" s="692"/>
      <c r="K120" s="693"/>
    </row>
    <row r="121" spans="1:11" ht="15.75" customHeight="1">
      <c r="A121" s="175">
        <f t="shared" si="4"/>
        <v>2023</v>
      </c>
      <c r="B121" s="454" t="str">
        <f t="shared" si="5"/>
        <v>11</v>
      </c>
      <c r="C121" s="454" t="str">
        <f t="array" ref="C121">_xlfn.IFS(_xlfn.NUMBERVALUE(B121)&lt;=13,"Q1",AND(_xlfn.NUMBERVALUE(B121)&gt;13,_xlfn.NUMBERVALUE(B121)&lt;=26),"Q2", AND(_xlfn.NUMBERVALUE(B121)&gt;26,_xlfn.NUMBERVALUE(B121)&lt;=39),"Q3",_xlfn.NUMBERVALUE(B121)&gt;39,"Q4")</f>
        <v>Q1</v>
      </c>
      <c r="D121" s="448">
        <f t="shared" si="7"/>
        <v>44660</v>
      </c>
      <c r="E121" s="448">
        <f t="shared" si="6"/>
        <v>44666</v>
      </c>
      <c r="F121" s="690">
        <v>202211</v>
      </c>
      <c r="G121" s="688"/>
      <c r="H121" s="755"/>
      <c r="I121" s="755"/>
      <c r="J121" s="692"/>
      <c r="K121" s="693"/>
    </row>
    <row r="122" spans="1:11" ht="15.75" customHeight="1">
      <c r="A122" s="175">
        <f t="shared" si="4"/>
        <v>2023</v>
      </c>
      <c r="B122" s="454" t="str">
        <f t="shared" si="5"/>
        <v>12</v>
      </c>
      <c r="C122" s="454" t="str">
        <f t="array" ref="C122">_xlfn.IFS(_xlfn.NUMBERVALUE(B122)&lt;=13,"Q1",AND(_xlfn.NUMBERVALUE(B122)&gt;13,_xlfn.NUMBERVALUE(B122)&lt;=26),"Q2", AND(_xlfn.NUMBERVALUE(B122)&gt;26,_xlfn.NUMBERVALUE(B122)&lt;=39),"Q3",_xlfn.NUMBERVALUE(B122)&gt;39,"Q4")</f>
        <v>Q1</v>
      </c>
      <c r="D122" s="448">
        <f t="shared" si="7"/>
        <v>44667</v>
      </c>
      <c r="E122" s="448">
        <f t="shared" si="6"/>
        <v>44673</v>
      </c>
      <c r="F122" s="690">
        <v>202212</v>
      </c>
      <c r="G122" s="688"/>
      <c r="H122" s="755"/>
      <c r="I122" s="755"/>
      <c r="J122" s="692"/>
      <c r="K122" s="693"/>
    </row>
    <row r="123" spans="1:11" ht="15.75" customHeight="1">
      <c r="A123" s="175">
        <f t="shared" si="4"/>
        <v>2023</v>
      </c>
      <c r="B123" s="454" t="str">
        <f t="shared" si="5"/>
        <v>13</v>
      </c>
      <c r="C123" s="454" t="str">
        <f t="array" ref="C123">_xlfn.IFS(_xlfn.NUMBERVALUE(B123)&lt;=13,"Q1",AND(_xlfn.NUMBERVALUE(B123)&gt;13,_xlfn.NUMBERVALUE(B123)&lt;=26),"Q2", AND(_xlfn.NUMBERVALUE(B123)&gt;26,_xlfn.NUMBERVALUE(B123)&lt;=39),"Q3",_xlfn.NUMBERVALUE(B123)&gt;39,"Q4")</f>
        <v>Q1</v>
      </c>
      <c r="D123" s="448">
        <f t="shared" si="7"/>
        <v>44674</v>
      </c>
      <c r="E123" s="448">
        <f t="shared" si="6"/>
        <v>44680</v>
      </c>
      <c r="F123" s="690">
        <v>202213</v>
      </c>
      <c r="G123" s="688"/>
      <c r="H123" s="755"/>
      <c r="I123" s="755"/>
      <c r="J123" s="692"/>
      <c r="K123" s="693"/>
    </row>
    <row r="124" spans="1:11" ht="15.75" customHeight="1">
      <c r="A124" s="175">
        <f t="shared" si="4"/>
        <v>2023</v>
      </c>
      <c r="B124" s="454" t="str">
        <f t="shared" si="5"/>
        <v>14</v>
      </c>
      <c r="C124" s="454" t="str">
        <f t="array" ref="C124">_xlfn.IFS(_xlfn.NUMBERVALUE(B124)&lt;=13,"Q1",AND(_xlfn.NUMBERVALUE(B124)&gt;13,_xlfn.NUMBERVALUE(B124)&lt;=26),"Q2", AND(_xlfn.NUMBERVALUE(B124)&gt;26,_xlfn.NUMBERVALUE(B124)&lt;=39),"Q3",_xlfn.NUMBERVALUE(B124)&gt;39,"Q4")</f>
        <v>Q2</v>
      </c>
      <c r="D124" s="448">
        <f t="shared" si="7"/>
        <v>44681</v>
      </c>
      <c r="E124" s="448">
        <f t="shared" si="6"/>
        <v>44687</v>
      </c>
      <c r="F124" s="690">
        <v>202214</v>
      </c>
      <c r="G124" s="688"/>
      <c r="H124" s="755"/>
      <c r="I124" s="755"/>
      <c r="J124" s="692"/>
      <c r="K124" s="693"/>
    </row>
    <row r="125" spans="1:11" ht="15.75" customHeight="1">
      <c r="A125" s="175">
        <f t="shared" si="4"/>
        <v>2023</v>
      </c>
      <c r="B125" s="454" t="str">
        <f t="shared" si="5"/>
        <v>15</v>
      </c>
      <c r="C125" s="454" t="str">
        <f t="array" ref="C125">_xlfn.IFS(_xlfn.NUMBERVALUE(B125)&lt;=13,"Q1",AND(_xlfn.NUMBERVALUE(B125)&gt;13,_xlfn.NUMBERVALUE(B125)&lt;=26),"Q2", AND(_xlfn.NUMBERVALUE(B125)&gt;26,_xlfn.NUMBERVALUE(B125)&lt;=39),"Q3",_xlfn.NUMBERVALUE(B125)&gt;39,"Q4")</f>
        <v>Q2</v>
      </c>
      <c r="D125" s="448">
        <f t="shared" si="7"/>
        <v>44688</v>
      </c>
      <c r="E125" s="448">
        <f t="shared" si="6"/>
        <v>44694</v>
      </c>
      <c r="F125" s="690">
        <v>202215</v>
      </c>
      <c r="G125" s="688"/>
      <c r="H125" s="755"/>
      <c r="I125" s="755"/>
      <c r="J125" s="692"/>
      <c r="K125" s="693"/>
    </row>
    <row r="126" spans="1:11" ht="15.75" customHeight="1">
      <c r="A126" s="175">
        <f t="shared" si="4"/>
        <v>2023</v>
      </c>
      <c r="B126" s="454" t="str">
        <f t="shared" si="5"/>
        <v>16</v>
      </c>
      <c r="C126" s="454" t="str">
        <f t="array" ref="C126">_xlfn.IFS(_xlfn.NUMBERVALUE(B126)&lt;=13,"Q1",AND(_xlfn.NUMBERVALUE(B126)&gt;13,_xlfn.NUMBERVALUE(B126)&lt;=26),"Q2", AND(_xlfn.NUMBERVALUE(B126)&gt;26,_xlfn.NUMBERVALUE(B126)&lt;=39),"Q3",_xlfn.NUMBERVALUE(B126)&gt;39,"Q4")</f>
        <v>Q2</v>
      </c>
      <c r="D126" s="448">
        <f t="shared" si="7"/>
        <v>44695</v>
      </c>
      <c r="E126" s="448">
        <f t="shared" si="6"/>
        <v>44701</v>
      </c>
      <c r="F126" s="690">
        <v>202216</v>
      </c>
      <c r="G126" s="688"/>
      <c r="H126" s="755"/>
      <c r="I126" s="755"/>
      <c r="J126" s="692"/>
      <c r="K126" s="693"/>
    </row>
    <row r="127" spans="1:11" ht="15.75" customHeight="1">
      <c r="A127" s="175">
        <f t="shared" si="4"/>
        <v>2023</v>
      </c>
      <c r="B127" s="454" t="str">
        <f t="shared" si="5"/>
        <v>17</v>
      </c>
      <c r="C127" s="454" t="str">
        <f t="array" ref="C127">_xlfn.IFS(_xlfn.NUMBERVALUE(B127)&lt;=13,"Q1",AND(_xlfn.NUMBERVALUE(B127)&gt;13,_xlfn.NUMBERVALUE(B127)&lt;=26),"Q2", AND(_xlfn.NUMBERVALUE(B127)&gt;26,_xlfn.NUMBERVALUE(B127)&lt;=39),"Q3",_xlfn.NUMBERVALUE(B127)&gt;39,"Q4")</f>
        <v>Q2</v>
      </c>
      <c r="D127" s="448">
        <f t="shared" si="7"/>
        <v>44702</v>
      </c>
      <c r="E127" s="448">
        <f t="shared" si="6"/>
        <v>44708</v>
      </c>
      <c r="F127" s="690">
        <v>202217</v>
      </c>
      <c r="G127" s="688"/>
      <c r="H127" s="755"/>
      <c r="I127" s="755"/>
      <c r="J127" s="692"/>
      <c r="K127" s="693"/>
    </row>
    <row r="128" spans="1:11" ht="15.75" customHeight="1">
      <c r="A128" s="175">
        <f t="shared" si="4"/>
        <v>2023</v>
      </c>
      <c r="B128" s="454" t="str">
        <f t="shared" si="5"/>
        <v>18</v>
      </c>
      <c r="C128" s="454" t="str">
        <f t="array" ref="C128">_xlfn.IFS(_xlfn.NUMBERVALUE(B128)&lt;=13,"Q1",AND(_xlfn.NUMBERVALUE(B128)&gt;13,_xlfn.NUMBERVALUE(B128)&lt;=26),"Q2", AND(_xlfn.NUMBERVALUE(B128)&gt;26,_xlfn.NUMBERVALUE(B128)&lt;=39),"Q3",_xlfn.NUMBERVALUE(B128)&gt;39,"Q4")</f>
        <v>Q2</v>
      </c>
      <c r="D128" s="448">
        <f t="shared" si="7"/>
        <v>44709</v>
      </c>
      <c r="E128" s="448">
        <f t="shared" si="6"/>
        <v>44715</v>
      </c>
      <c r="F128" s="690">
        <v>202218</v>
      </c>
      <c r="G128" s="688"/>
      <c r="H128" s="755"/>
      <c r="I128" s="755"/>
      <c r="J128" s="692"/>
      <c r="K128" s="693"/>
    </row>
    <row r="129" spans="1:11" ht="15.75" customHeight="1">
      <c r="A129" s="175">
        <f t="shared" si="4"/>
        <v>2023</v>
      </c>
      <c r="B129" s="454" t="str">
        <f t="shared" si="5"/>
        <v>19</v>
      </c>
      <c r="C129" s="454" t="str">
        <f t="array" ref="C129">_xlfn.IFS(_xlfn.NUMBERVALUE(B129)&lt;=13,"Q1",AND(_xlfn.NUMBERVALUE(B129)&gt;13,_xlfn.NUMBERVALUE(B129)&lt;=26),"Q2", AND(_xlfn.NUMBERVALUE(B129)&gt;26,_xlfn.NUMBERVALUE(B129)&lt;=39),"Q3",_xlfn.NUMBERVALUE(B129)&gt;39,"Q4")</f>
        <v>Q2</v>
      </c>
      <c r="D129" s="448">
        <f t="shared" si="7"/>
        <v>44716</v>
      </c>
      <c r="E129" s="448">
        <f t="shared" si="6"/>
        <v>44722</v>
      </c>
      <c r="F129" s="690">
        <v>202219</v>
      </c>
      <c r="G129" s="688"/>
      <c r="H129" s="755"/>
      <c r="I129" s="755"/>
      <c r="J129" s="692"/>
      <c r="K129" s="693"/>
    </row>
    <row r="130" spans="1:11" ht="15.75" customHeight="1">
      <c r="A130" s="175">
        <f t="shared" si="4"/>
        <v>2023</v>
      </c>
      <c r="B130" s="454" t="str">
        <f t="shared" si="5"/>
        <v>20</v>
      </c>
      <c r="C130" s="454" t="str">
        <f t="array" ref="C130">_xlfn.IFS(_xlfn.NUMBERVALUE(B130)&lt;=13,"Q1",AND(_xlfn.NUMBERVALUE(B130)&gt;13,_xlfn.NUMBERVALUE(B130)&lt;=26),"Q2", AND(_xlfn.NUMBERVALUE(B130)&gt;26,_xlfn.NUMBERVALUE(B130)&lt;=39),"Q3",_xlfn.NUMBERVALUE(B130)&gt;39,"Q4")</f>
        <v>Q2</v>
      </c>
      <c r="D130" s="448">
        <f t="shared" si="7"/>
        <v>44723</v>
      </c>
      <c r="E130" s="448">
        <f t="shared" si="6"/>
        <v>44729</v>
      </c>
      <c r="F130" s="690">
        <v>202220</v>
      </c>
      <c r="G130" s="688"/>
      <c r="H130" s="755"/>
      <c r="I130" s="755"/>
      <c r="J130" s="692"/>
      <c r="K130" s="693"/>
    </row>
    <row r="131" spans="1:11" ht="15.75" customHeight="1">
      <c r="A131" s="175">
        <f t="shared" si="4"/>
        <v>2023</v>
      </c>
      <c r="B131" s="454" t="str">
        <f t="shared" si="5"/>
        <v>21</v>
      </c>
      <c r="C131" s="454" t="str">
        <f t="array" ref="C131">_xlfn.IFS(_xlfn.NUMBERVALUE(B131)&lt;=13,"Q1",AND(_xlfn.NUMBERVALUE(B131)&gt;13,_xlfn.NUMBERVALUE(B131)&lt;=26),"Q2", AND(_xlfn.NUMBERVALUE(B131)&gt;26,_xlfn.NUMBERVALUE(B131)&lt;=39),"Q3",_xlfn.NUMBERVALUE(B131)&gt;39,"Q4")</f>
        <v>Q2</v>
      </c>
      <c r="D131" s="448">
        <f t="shared" si="7"/>
        <v>44730</v>
      </c>
      <c r="E131" s="448">
        <f t="shared" si="6"/>
        <v>44736</v>
      </c>
      <c r="F131" s="690">
        <v>202221</v>
      </c>
      <c r="G131" s="688"/>
      <c r="H131" s="755"/>
      <c r="I131" s="755"/>
      <c r="J131" s="692"/>
      <c r="K131" s="693"/>
    </row>
    <row r="132" spans="1:11" ht="15.75" customHeight="1">
      <c r="A132" s="175">
        <f t="shared" si="4"/>
        <v>2023</v>
      </c>
      <c r="B132" s="454" t="str">
        <f t="shared" si="5"/>
        <v>22</v>
      </c>
      <c r="C132" s="454" t="str">
        <f t="array" ref="C132">_xlfn.IFS(_xlfn.NUMBERVALUE(B132)&lt;=13,"Q1",AND(_xlfn.NUMBERVALUE(B132)&gt;13,_xlfn.NUMBERVALUE(B132)&lt;=26),"Q2", AND(_xlfn.NUMBERVALUE(B132)&gt;26,_xlfn.NUMBERVALUE(B132)&lt;=39),"Q3",_xlfn.NUMBERVALUE(B132)&gt;39,"Q4")</f>
        <v>Q2</v>
      </c>
      <c r="D132" s="448">
        <f t="shared" si="7"/>
        <v>44737</v>
      </c>
      <c r="E132" s="448">
        <f t="shared" si="6"/>
        <v>44743</v>
      </c>
      <c r="F132" s="690">
        <v>202222</v>
      </c>
      <c r="G132" s="688"/>
      <c r="H132" s="755"/>
      <c r="I132" s="755"/>
      <c r="J132" s="692"/>
      <c r="K132" s="693"/>
    </row>
    <row r="133" spans="1:11" ht="15.75" customHeight="1">
      <c r="A133" s="175">
        <f t="shared" si="4"/>
        <v>2023</v>
      </c>
      <c r="B133" s="454" t="str">
        <f t="shared" si="5"/>
        <v>23</v>
      </c>
      <c r="C133" s="454" t="str">
        <f t="array" ref="C133">_xlfn.IFS(_xlfn.NUMBERVALUE(B133)&lt;=13,"Q1",AND(_xlfn.NUMBERVALUE(B133)&gt;13,_xlfn.NUMBERVALUE(B133)&lt;=26),"Q2", AND(_xlfn.NUMBERVALUE(B133)&gt;26,_xlfn.NUMBERVALUE(B133)&lt;=39),"Q3",_xlfn.NUMBERVALUE(B133)&gt;39,"Q4")</f>
        <v>Q2</v>
      </c>
      <c r="D133" s="448">
        <f t="shared" si="7"/>
        <v>44744</v>
      </c>
      <c r="E133" s="448">
        <f t="shared" si="6"/>
        <v>44750</v>
      </c>
      <c r="F133" s="690">
        <v>202223</v>
      </c>
      <c r="G133" s="688"/>
      <c r="H133" s="755"/>
      <c r="I133" s="755"/>
      <c r="J133" s="692"/>
      <c r="K133" s="693"/>
    </row>
    <row r="134" spans="1:11" ht="15.75" customHeight="1">
      <c r="A134" s="175">
        <f t="shared" si="4"/>
        <v>2023</v>
      </c>
      <c r="B134" s="454" t="str">
        <f t="shared" si="5"/>
        <v>24</v>
      </c>
      <c r="C134" s="454" t="str">
        <f t="array" ref="C134">_xlfn.IFS(_xlfn.NUMBERVALUE(B134)&lt;=13,"Q1",AND(_xlfn.NUMBERVALUE(B134)&gt;13,_xlfn.NUMBERVALUE(B134)&lt;=26),"Q2", AND(_xlfn.NUMBERVALUE(B134)&gt;26,_xlfn.NUMBERVALUE(B134)&lt;=39),"Q3",_xlfn.NUMBERVALUE(B134)&gt;39,"Q4")</f>
        <v>Q2</v>
      </c>
      <c r="D134" s="448">
        <f t="shared" si="7"/>
        <v>44751</v>
      </c>
      <c r="E134" s="448">
        <f t="shared" si="6"/>
        <v>44757</v>
      </c>
      <c r="F134" s="690">
        <v>202224</v>
      </c>
      <c r="G134" s="688"/>
      <c r="H134" s="755"/>
      <c r="I134" s="755"/>
      <c r="J134" s="692"/>
      <c r="K134" s="693"/>
    </row>
    <row r="135" spans="1:11" ht="15.75" customHeight="1">
      <c r="A135" s="175">
        <f t="shared" ref="A135:A198" si="8">LEFT(F135,4)+1</f>
        <v>2023</v>
      </c>
      <c r="B135" s="454" t="str">
        <f t="shared" ref="B135:B198" si="9">RIGHT(F135,2)</f>
        <v>25</v>
      </c>
      <c r="C135" s="454" t="str">
        <f t="array" ref="C135">_xlfn.IFS(_xlfn.NUMBERVALUE(B135)&lt;=13,"Q1",AND(_xlfn.NUMBERVALUE(B135)&gt;13,_xlfn.NUMBERVALUE(B135)&lt;=26),"Q2", AND(_xlfn.NUMBERVALUE(B135)&gt;26,_xlfn.NUMBERVALUE(B135)&lt;=39),"Q3",_xlfn.NUMBERVALUE(B135)&gt;39,"Q4")</f>
        <v>Q2</v>
      </c>
      <c r="D135" s="448">
        <f t="shared" si="7"/>
        <v>44758</v>
      </c>
      <c r="E135" s="448">
        <f t="shared" ref="E135:E198" si="10">D135+6</f>
        <v>44764</v>
      </c>
      <c r="F135" s="690">
        <v>202225</v>
      </c>
      <c r="G135" s="688"/>
      <c r="H135" s="755"/>
      <c r="I135" s="755"/>
      <c r="J135" s="692"/>
      <c r="K135" s="693"/>
    </row>
    <row r="136" spans="1:11" ht="15.75" customHeight="1">
      <c r="A136" s="175">
        <f t="shared" si="8"/>
        <v>2023</v>
      </c>
      <c r="B136" s="454" t="str">
        <f t="shared" si="9"/>
        <v>26</v>
      </c>
      <c r="C136" s="454" t="str">
        <f t="array" ref="C136">_xlfn.IFS(_xlfn.NUMBERVALUE(B136)&lt;=13,"Q1",AND(_xlfn.NUMBERVALUE(B136)&gt;13,_xlfn.NUMBERVALUE(B136)&lt;=26),"Q2", AND(_xlfn.NUMBERVALUE(B136)&gt;26,_xlfn.NUMBERVALUE(B136)&lt;=39),"Q3",_xlfn.NUMBERVALUE(B136)&gt;39,"Q4")</f>
        <v>Q2</v>
      </c>
      <c r="D136" s="448">
        <f t="shared" ref="D136:D199" si="11">E135+1</f>
        <v>44765</v>
      </c>
      <c r="E136" s="448">
        <f t="shared" si="10"/>
        <v>44771</v>
      </c>
      <c r="F136" s="690">
        <v>202226</v>
      </c>
      <c r="G136" s="688"/>
      <c r="H136" s="755"/>
      <c r="I136" s="755"/>
      <c r="J136" s="692"/>
      <c r="K136" s="693"/>
    </row>
    <row r="137" spans="1:11" ht="15.75" customHeight="1">
      <c r="A137" s="175">
        <f t="shared" si="8"/>
        <v>2023</v>
      </c>
      <c r="B137" s="454" t="str">
        <f t="shared" si="9"/>
        <v>27</v>
      </c>
      <c r="C137" s="454" t="str">
        <f t="array" ref="C137">_xlfn.IFS(_xlfn.NUMBERVALUE(B137)&lt;=13,"Q1",AND(_xlfn.NUMBERVALUE(B137)&gt;13,_xlfn.NUMBERVALUE(B137)&lt;=26),"Q2", AND(_xlfn.NUMBERVALUE(B137)&gt;26,_xlfn.NUMBERVALUE(B137)&lt;=39),"Q3",_xlfn.NUMBERVALUE(B137)&gt;39,"Q4")</f>
        <v>Q3</v>
      </c>
      <c r="D137" s="448">
        <f t="shared" si="11"/>
        <v>44772</v>
      </c>
      <c r="E137" s="448">
        <f t="shared" si="10"/>
        <v>44778</v>
      </c>
      <c r="F137" s="690">
        <v>202227</v>
      </c>
      <c r="G137" s="688"/>
      <c r="H137" s="755"/>
      <c r="I137" s="755"/>
      <c r="J137" s="692"/>
      <c r="K137" s="693"/>
    </row>
    <row r="138" spans="1:11" ht="15.75" customHeight="1">
      <c r="A138" s="175">
        <f t="shared" si="8"/>
        <v>2023</v>
      </c>
      <c r="B138" s="454" t="str">
        <f t="shared" si="9"/>
        <v>28</v>
      </c>
      <c r="C138" s="454" t="str">
        <f t="array" ref="C138">_xlfn.IFS(_xlfn.NUMBERVALUE(B138)&lt;=13,"Q1",AND(_xlfn.NUMBERVALUE(B138)&gt;13,_xlfn.NUMBERVALUE(B138)&lt;=26),"Q2", AND(_xlfn.NUMBERVALUE(B138)&gt;26,_xlfn.NUMBERVALUE(B138)&lt;=39),"Q3",_xlfn.NUMBERVALUE(B138)&gt;39,"Q4")</f>
        <v>Q3</v>
      </c>
      <c r="D138" s="448">
        <f t="shared" si="11"/>
        <v>44779</v>
      </c>
      <c r="E138" s="448">
        <f t="shared" si="10"/>
        <v>44785</v>
      </c>
      <c r="F138" s="690">
        <v>202228</v>
      </c>
      <c r="G138" s="688"/>
      <c r="H138" s="755"/>
      <c r="I138" s="755"/>
      <c r="J138" s="692"/>
      <c r="K138" s="693"/>
    </row>
    <row r="139" spans="1:11" ht="15.75" customHeight="1">
      <c r="A139" s="175">
        <f t="shared" si="8"/>
        <v>2023</v>
      </c>
      <c r="B139" s="454" t="str">
        <f t="shared" si="9"/>
        <v>29</v>
      </c>
      <c r="C139" s="454" t="str">
        <f t="array" ref="C139">_xlfn.IFS(_xlfn.NUMBERVALUE(B139)&lt;=13,"Q1",AND(_xlfn.NUMBERVALUE(B139)&gt;13,_xlfn.NUMBERVALUE(B139)&lt;=26),"Q2", AND(_xlfn.NUMBERVALUE(B139)&gt;26,_xlfn.NUMBERVALUE(B139)&lt;=39),"Q3",_xlfn.NUMBERVALUE(B139)&gt;39,"Q4")</f>
        <v>Q3</v>
      </c>
      <c r="D139" s="448">
        <f t="shared" si="11"/>
        <v>44786</v>
      </c>
      <c r="E139" s="448">
        <f t="shared" si="10"/>
        <v>44792</v>
      </c>
      <c r="F139" s="690">
        <v>202229</v>
      </c>
      <c r="G139" s="688"/>
      <c r="H139" s="755"/>
      <c r="I139" s="755"/>
      <c r="J139" s="692"/>
      <c r="K139" s="693"/>
    </row>
    <row r="140" spans="1:11" ht="15.75" customHeight="1">
      <c r="A140" s="175">
        <f t="shared" si="8"/>
        <v>2023</v>
      </c>
      <c r="B140" s="454" t="str">
        <f t="shared" si="9"/>
        <v>30</v>
      </c>
      <c r="C140" s="454" t="str">
        <f t="array" ref="C140">_xlfn.IFS(_xlfn.NUMBERVALUE(B140)&lt;=13,"Q1",AND(_xlfn.NUMBERVALUE(B140)&gt;13,_xlfn.NUMBERVALUE(B140)&lt;=26),"Q2", AND(_xlfn.NUMBERVALUE(B140)&gt;26,_xlfn.NUMBERVALUE(B140)&lt;=39),"Q3",_xlfn.NUMBERVALUE(B140)&gt;39,"Q4")</f>
        <v>Q3</v>
      </c>
      <c r="D140" s="448">
        <f t="shared" si="11"/>
        <v>44793</v>
      </c>
      <c r="E140" s="448">
        <f t="shared" si="10"/>
        <v>44799</v>
      </c>
      <c r="F140" s="690">
        <v>202230</v>
      </c>
      <c r="G140" s="688"/>
      <c r="H140" s="755"/>
      <c r="I140" s="755"/>
      <c r="J140" s="692"/>
      <c r="K140" s="693"/>
    </row>
    <row r="141" spans="1:11" ht="15.75" customHeight="1">
      <c r="A141" s="175">
        <f t="shared" si="8"/>
        <v>2023</v>
      </c>
      <c r="B141" s="454" t="str">
        <f t="shared" si="9"/>
        <v>31</v>
      </c>
      <c r="C141" s="454" t="str">
        <f t="array" ref="C141">_xlfn.IFS(_xlfn.NUMBERVALUE(B141)&lt;=13,"Q1",AND(_xlfn.NUMBERVALUE(B141)&gt;13,_xlfn.NUMBERVALUE(B141)&lt;=26),"Q2", AND(_xlfn.NUMBERVALUE(B141)&gt;26,_xlfn.NUMBERVALUE(B141)&lt;=39),"Q3",_xlfn.NUMBERVALUE(B141)&gt;39,"Q4")</f>
        <v>Q3</v>
      </c>
      <c r="D141" s="448">
        <f t="shared" si="11"/>
        <v>44800</v>
      </c>
      <c r="E141" s="448">
        <f t="shared" si="10"/>
        <v>44806</v>
      </c>
      <c r="F141" s="690">
        <v>202231</v>
      </c>
      <c r="G141" s="688"/>
      <c r="H141" s="755"/>
      <c r="I141" s="755"/>
      <c r="J141" s="692"/>
      <c r="K141" s="693"/>
    </row>
    <row r="142" spans="1:11" ht="15.75" customHeight="1">
      <c r="A142" s="175">
        <f t="shared" si="8"/>
        <v>2023</v>
      </c>
      <c r="B142" s="454" t="str">
        <f t="shared" si="9"/>
        <v>32</v>
      </c>
      <c r="C142" s="454" t="str">
        <f t="array" ref="C142">_xlfn.IFS(_xlfn.NUMBERVALUE(B142)&lt;=13,"Q1",AND(_xlfn.NUMBERVALUE(B142)&gt;13,_xlfn.NUMBERVALUE(B142)&lt;=26),"Q2", AND(_xlfn.NUMBERVALUE(B142)&gt;26,_xlfn.NUMBERVALUE(B142)&lt;=39),"Q3",_xlfn.NUMBERVALUE(B142)&gt;39,"Q4")</f>
        <v>Q3</v>
      </c>
      <c r="D142" s="448">
        <f t="shared" si="11"/>
        <v>44807</v>
      </c>
      <c r="E142" s="448">
        <f t="shared" si="10"/>
        <v>44813</v>
      </c>
      <c r="F142" s="690">
        <v>202232</v>
      </c>
      <c r="G142" s="688"/>
      <c r="H142" s="755"/>
      <c r="I142" s="755"/>
      <c r="J142" s="692"/>
      <c r="K142" s="693"/>
    </row>
    <row r="143" spans="1:11" ht="15.75" customHeight="1">
      <c r="A143" s="175">
        <f t="shared" si="8"/>
        <v>2023</v>
      </c>
      <c r="B143" s="454" t="str">
        <f t="shared" si="9"/>
        <v>33</v>
      </c>
      <c r="C143" s="454" t="str">
        <f t="array" ref="C143">_xlfn.IFS(_xlfn.NUMBERVALUE(B143)&lt;=13,"Q1",AND(_xlfn.NUMBERVALUE(B143)&gt;13,_xlfn.NUMBERVALUE(B143)&lt;=26),"Q2", AND(_xlfn.NUMBERVALUE(B143)&gt;26,_xlfn.NUMBERVALUE(B143)&lt;=39),"Q3",_xlfn.NUMBERVALUE(B143)&gt;39,"Q4")</f>
        <v>Q3</v>
      </c>
      <c r="D143" s="448">
        <f t="shared" si="11"/>
        <v>44814</v>
      </c>
      <c r="E143" s="448">
        <f t="shared" si="10"/>
        <v>44820</v>
      </c>
      <c r="F143" s="690">
        <v>202233</v>
      </c>
      <c r="G143" s="688"/>
      <c r="H143" s="755"/>
      <c r="I143" s="755"/>
      <c r="J143" s="692"/>
      <c r="K143" s="693"/>
    </row>
    <row r="144" spans="1:11" ht="15.75" customHeight="1">
      <c r="A144" s="175">
        <f t="shared" si="8"/>
        <v>2023</v>
      </c>
      <c r="B144" s="454" t="str">
        <f t="shared" si="9"/>
        <v>34</v>
      </c>
      <c r="C144" s="454" t="str">
        <f t="array" ref="C144">_xlfn.IFS(_xlfn.NUMBERVALUE(B144)&lt;=13,"Q1",AND(_xlfn.NUMBERVALUE(B144)&gt;13,_xlfn.NUMBERVALUE(B144)&lt;=26),"Q2", AND(_xlfn.NUMBERVALUE(B144)&gt;26,_xlfn.NUMBERVALUE(B144)&lt;=39),"Q3",_xlfn.NUMBERVALUE(B144)&gt;39,"Q4")</f>
        <v>Q3</v>
      </c>
      <c r="D144" s="448">
        <f t="shared" si="11"/>
        <v>44821</v>
      </c>
      <c r="E144" s="448">
        <f t="shared" si="10"/>
        <v>44827</v>
      </c>
      <c r="F144" s="690">
        <v>202234</v>
      </c>
      <c r="G144" s="688"/>
      <c r="H144" s="755"/>
      <c r="I144" s="755"/>
      <c r="J144" s="692"/>
      <c r="K144" s="693"/>
    </row>
    <row r="145" spans="1:11" ht="15.75" customHeight="1">
      <c r="A145" s="175">
        <f t="shared" si="8"/>
        <v>2023</v>
      </c>
      <c r="B145" s="454" t="str">
        <f t="shared" si="9"/>
        <v>35</v>
      </c>
      <c r="C145" s="454" t="str">
        <f t="array" ref="C145">_xlfn.IFS(_xlfn.NUMBERVALUE(B145)&lt;=13,"Q1",AND(_xlfn.NUMBERVALUE(B145)&gt;13,_xlfn.NUMBERVALUE(B145)&lt;=26),"Q2", AND(_xlfn.NUMBERVALUE(B145)&gt;26,_xlfn.NUMBERVALUE(B145)&lt;=39),"Q3",_xlfn.NUMBERVALUE(B145)&gt;39,"Q4")</f>
        <v>Q3</v>
      </c>
      <c r="D145" s="448">
        <f t="shared" si="11"/>
        <v>44828</v>
      </c>
      <c r="E145" s="448">
        <f t="shared" si="10"/>
        <v>44834</v>
      </c>
      <c r="F145" s="690">
        <v>202235</v>
      </c>
      <c r="G145" s="688"/>
      <c r="H145" s="755"/>
      <c r="I145" s="755"/>
      <c r="J145" s="692"/>
      <c r="K145" s="693"/>
    </row>
    <row r="146" spans="1:11" ht="15.75" customHeight="1">
      <c r="A146" s="175">
        <f t="shared" si="8"/>
        <v>2023</v>
      </c>
      <c r="B146" s="454" t="str">
        <f t="shared" si="9"/>
        <v>36</v>
      </c>
      <c r="C146" s="454" t="str">
        <f t="array" ref="C146">_xlfn.IFS(_xlfn.NUMBERVALUE(B146)&lt;=13,"Q1",AND(_xlfn.NUMBERVALUE(B146)&gt;13,_xlfn.NUMBERVALUE(B146)&lt;=26),"Q2", AND(_xlfn.NUMBERVALUE(B146)&gt;26,_xlfn.NUMBERVALUE(B146)&lt;=39),"Q3",_xlfn.NUMBERVALUE(B146)&gt;39,"Q4")</f>
        <v>Q3</v>
      </c>
      <c r="D146" s="448">
        <f t="shared" si="11"/>
        <v>44835</v>
      </c>
      <c r="E146" s="448">
        <f t="shared" si="10"/>
        <v>44841</v>
      </c>
      <c r="F146" s="690">
        <v>202236</v>
      </c>
      <c r="G146" s="688"/>
      <c r="H146" s="755"/>
      <c r="I146" s="755"/>
      <c r="J146" s="692"/>
      <c r="K146" s="693"/>
    </row>
    <row r="147" spans="1:11" ht="15.75" customHeight="1">
      <c r="A147" s="175">
        <f t="shared" si="8"/>
        <v>2023</v>
      </c>
      <c r="B147" s="454" t="str">
        <f t="shared" si="9"/>
        <v>37</v>
      </c>
      <c r="C147" s="454" t="str">
        <f t="array" ref="C147">_xlfn.IFS(_xlfn.NUMBERVALUE(B147)&lt;=13,"Q1",AND(_xlfn.NUMBERVALUE(B147)&gt;13,_xlfn.NUMBERVALUE(B147)&lt;=26),"Q2", AND(_xlfn.NUMBERVALUE(B147)&gt;26,_xlfn.NUMBERVALUE(B147)&lt;=39),"Q3",_xlfn.NUMBERVALUE(B147)&gt;39,"Q4")</f>
        <v>Q3</v>
      </c>
      <c r="D147" s="448">
        <f t="shared" si="11"/>
        <v>44842</v>
      </c>
      <c r="E147" s="448">
        <f t="shared" si="10"/>
        <v>44848</v>
      </c>
      <c r="F147" s="690">
        <v>202237</v>
      </c>
      <c r="G147" s="688"/>
      <c r="H147" s="755"/>
      <c r="I147" s="755"/>
      <c r="J147" s="692"/>
      <c r="K147" s="693"/>
    </row>
    <row r="148" spans="1:11" ht="15.75" customHeight="1">
      <c r="A148" s="175">
        <f t="shared" si="8"/>
        <v>2023</v>
      </c>
      <c r="B148" s="454" t="str">
        <f t="shared" si="9"/>
        <v>38</v>
      </c>
      <c r="C148" s="454" t="str">
        <f t="array" ref="C148">_xlfn.IFS(_xlfn.NUMBERVALUE(B148)&lt;=13,"Q1",AND(_xlfn.NUMBERVALUE(B148)&gt;13,_xlfn.NUMBERVALUE(B148)&lt;=26),"Q2", AND(_xlfn.NUMBERVALUE(B148)&gt;26,_xlfn.NUMBERVALUE(B148)&lt;=39),"Q3",_xlfn.NUMBERVALUE(B148)&gt;39,"Q4")</f>
        <v>Q3</v>
      </c>
      <c r="D148" s="448">
        <f t="shared" si="11"/>
        <v>44849</v>
      </c>
      <c r="E148" s="448">
        <f t="shared" si="10"/>
        <v>44855</v>
      </c>
      <c r="F148" s="690">
        <v>202238</v>
      </c>
      <c r="G148" s="688"/>
      <c r="H148" s="755"/>
      <c r="I148" s="755"/>
      <c r="J148" s="692"/>
      <c r="K148" s="693"/>
    </row>
    <row r="149" spans="1:11" ht="15.75" customHeight="1">
      <c r="A149" s="175">
        <f t="shared" si="8"/>
        <v>2023</v>
      </c>
      <c r="B149" s="454" t="str">
        <f t="shared" si="9"/>
        <v>39</v>
      </c>
      <c r="C149" s="454" t="str">
        <f t="array" ref="C149">_xlfn.IFS(_xlfn.NUMBERVALUE(B149)&lt;=13,"Q1",AND(_xlfn.NUMBERVALUE(B149)&gt;13,_xlfn.NUMBERVALUE(B149)&lt;=26),"Q2", AND(_xlfn.NUMBERVALUE(B149)&gt;26,_xlfn.NUMBERVALUE(B149)&lt;=39),"Q3",_xlfn.NUMBERVALUE(B149)&gt;39,"Q4")</f>
        <v>Q3</v>
      </c>
      <c r="D149" s="448">
        <f t="shared" si="11"/>
        <v>44856</v>
      </c>
      <c r="E149" s="448">
        <f t="shared" si="10"/>
        <v>44862</v>
      </c>
      <c r="F149" s="690">
        <v>202239</v>
      </c>
      <c r="G149" s="688"/>
      <c r="H149" s="755"/>
      <c r="I149" s="755"/>
      <c r="J149" s="692"/>
      <c r="K149" s="693"/>
    </row>
    <row r="150" spans="1:11" ht="15.75" customHeight="1">
      <c r="A150" s="175">
        <f t="shared" si="8"/>
        <v>2023</v>
      </c>
      <c r="B150" s="454" t="str">
        <f t="shared" si="9"/>
        <v>40</v>
      </c>
      <c r="C150" s="454" t="str">
        <f t="array" ref="C150">_xlfn.IFS(_xlfn.NUMBERVALUE(B150)&lt;=13,"Q1",AND(_xlfn.NUMBERVALUE(B150)&gt;13,_xlfn.NUMBERVALUE(B150)&lt;=26),"Q2", AND(_xlfn.NUMBERVALUE(B150)&gt;26,_xlfn.NUMBERVALUE(B150)&lt;=39),"Q3",_xlfn.NUMBERVALUE(B150)&gt;39,"Q4")</f>
        <v>Q4</v>
      </c>
      <c r="D150" s="448">
        <f t="shared" si="11"/>
        <v>44863</v>
      </c>
      <c r="E150" s="448">
        <f t="shared" si="10"/>
        <v>44869</v>
      </c>
      <c r="F150" s="690">
        <v>202240</v>
      </c>
      <c r="G150" s="688"/>
      <c r="H150" s="755"/>
      <c r="I150" s="755"/>
      <c r="J150" s="692"/>
      <c r="K150" s="693"/>
    </row>
    <row r="151" spans="1:11" ht="15.75" customHeight="1">
      <c r="A151" s="175">
        <f t="shared" si="8"/>
        <v>2023</v>
      </c>
      <c r="B151" s="454" t="str">
        <f t="shared" si="9"/>
        <v>41</v>
      </c>
      <c r="C151" s="454" t="str">
        <f t="array" ref="C151">_xlfn.IFS(_xlfn.NUMBERVALUE(B151)&lt;=13,"Q1",AND(_xlfn.NUMBERVALUE(B151)&gt;13,_xlfn.NUMBERVALUE(B151)&lt;=26),"Q2", AND(_xlfn.NUMBERVALUE(B151)&gt;26,_xlfn.NUMBERVALUE(B151)&lt;=39),"Q3",_xlfn.NUMBERVALUE(B151)&gt;39,"Q4")</f>
        <v>Q4</v>
      </c>
      <c r="D151" s="448">
        <f t="shared" si="11"/>
        <v>44870</v>
      </c>
      <c r="E151" s="448">
        <f t="shared" si="10"/>
        <v>44876</v>
      </c>
      <c r="F151" s="690">
        <v>202241</v>
      </c>
      <c r="G151" s="688"/>
      <c r="H151" s="755"/>
      <c r="I151" s="755"/>
      <c r="J151" s="692"/>
      <c r="K151" s="693"/>
    </row>
    <row r="152" spans="1:11" ht="15.75" customHeight="1">
      <c r="A152" s="175">
        <f t="shared" si="8"/>
        <v>2023</v>
      </c>
      <c r="B152" s="454" t="str">
        <f t="shared" si="9"/>
        <v>42</v>
      </c>
      <c r="C152" s="454" t="str">
        <f t="array" ref="C152">_xlfn.IFS(_xlfn.NUMBERVALUE(B152)&lt;=13,"Q1",AND(_xlfn.NUMBERVALUE(B152)&gt;13,_xlfn.NUMBERVALUE(B152)&lt;=26),"Q2", AND(_xlfn.NUMBERVALUE(B152)&gt;26,_xlfn.NUMBERVALUE(B152)&lt;=39),"Q3",_xlfn.NUMBERVALUE(B152)&gt;39,"Q4")</f>
        <v>Q4</v>
      </c>
      <c r="D152" s="448">
        <f t="shared" si="11"/>
        <v>44877</v>
      </c>
      <c r="E152" s="448">
        <f t="shared" si="10"/>
        <v>44883</v>
      </c>
      <c r="F152" s="690">
        <v>202242</v>
      </c>
      <c r="G152" s="688"/>
      <c r="H152" s="755"/>
      <c r="I152" s="755"/>
      <c r="J152" s="692"/>
      <c r="K152" s="693"/>
    </row>
    <row r="153" spans="1:11" ht="15.75" customHeight="1">
      <c r="A153" s="175">
        <f t="shared" si="8"/>
        <v>2023</v>
      </c>
      <c r="B153" s="454" t="str">
        <f t="shared" si="9"/>
        <v>43</v>
      </c>
      <c r="C153" s="454" t="str">
        <f t="array" ref="C153">_xlfn.IFS(_xlfn.NUMBERVALUE(B153)&lt;=13,"Q1",AND(_xlfn.NUMBERVALUE(B153)&gt;13,_xlfn.NUMBERVALUE(B153)&lt;=26),"Q2", AND(_xlfn.NUMBERVALUE(B153)&gt;26,_xlfn.NUMBERVALUE(B153)&lt;=39),"Q3",_xlfn.NUMBERVALUE(B153)&gt;39,"Q4")</f>
        <v>Q4</v>
      </c>
      <c r="D153" s="448">
        <f t="shared" si="11"/>
        <v>44884</v>
      </c>
      <c r="E153" s="448">
        <f t="shared" si="10"/>
        <v>44890</v>
      </c>
      <c r="F153" s="690">
        <v>202243</v>
      </c>
      <c r="G153" s="688"/>
      <c r="H153" s="755"/>
      <c r="I153" s="755"/>
      <c r="J153" s="692"/>
      <c r="K153" s="693"/>
    </row>
    <row r="154" spans="1:11" ht="15.75" customHeight="1">
      <c r="A154" s="175">
        <f t="shared" si="8"/>
        <v>2023</v>
      </c>
      <c r="B154" s="454" t="str">
        <f t="shared" si="9"/>
        <v>44</v>
      </c>
      <c r="C154" s="454" t="str">
        <f t="array" ref="C154">_xlfn.IFS(_xlfn.NUMBERVALUE(B154)&lt;=13,"Q1",AND(_xlfn.NUMBERVALUE(B154)&gt;13,_xlfn.NUMBERVALUE(B154)&lt;=26),"Q2", AND(_xlfn.NUMBERVALUE(B154)&gt;26,_xlfn.NUMBERVALUE(B154)&lt;=39),"Q3",_xlfn.NUMBERVALUE(B154)&gt;39,"Q4")</f>
        <v>Q4</v>
      </c>
      <c r="D154" s="448">
        <f t="shared" si="11"/>
        <v>44891</v>
      </c>
      <c r="E154" s="448">
        <f t="shared" si="10"/>
        <v>44897</v>
      </c>
      <c r="F154" s="690">
        <v>202244</v>
      </c>
      <c r="G154" s="688"/>
      <c r="H154" s="755"/>
      <c r="I154" s="755"/>
      <c r="J154" s="692"/>
      <c r="K154" s="693"/>
    </row>
    <row r="155" spans="1:11" ht="15.75" customHeight="1">
      <c r="A155" s="175">
        <f t="shared" si="8"/>
        <v>2023</v>
      </c>
      <c r="B155" s="454" t="str">
        <f t="shared" si="9"/>
        <v>45</v>
      </c>
      <c r="C155" s="454" t="str">
        <f t="array" ref="C155">_xlfn.IFS(_xlfn.NUMBERVALUE(B155)&lt;=13,"Q1",AND(_xlfn.NUMBERVALUE(B155)&gt;13,_xlfn.NUMBERVALUE(B155)&lt;=26),"Q2", AND(_xlfn.NUMBERVALUE(B155)&gt;26,_xlfn.NUMBERVALUE(B155)&lt;=39),"Q3",_xlfn.NUMBERVALUE(B155)&gt;39,"Q4")</f>
        <v>Q4</v>
      </c>
      <c r="D155" s="448">
        <f t="shared" si="11"/>
        <v>44898</v>
      </c>
      <c r="E155" s="448">
        <f t="shared" si="10"/>
        <v>44904</v>
      </c>
      <c r="F155" s="690">
        <v>202245</v>
      </c>
      <c r="G155" s="688"/>
      <c r="H155" s="755"/>
      <c r="I155" s="755"/>
      <c r="J155" s="692"/>
      <c r="K155" s="693"/>
    </row>
    <row r="156" spans="1:11" ht="15.75" customHeight="1">
      <c r="A156" s="175">
        <f t="shared" si="8"/>
        <v>2023</v>
      </c>
      <c r="B156" s="454" t="str">
        <f t="shared" si="9"/>
        <v>46</v>
      </c>
      <c r="C156" s="454" t="str">
        <f t="array" ref="C156">_xlfn.IFS(_xlfn.NUMBERVALUE(B156)&lt;=13,"Q1",AND(_xlfn.NUMBERVALUE(B156)&gt;13,_xlfn.NUMBERVALUE(B156)&lt;=26),"Q2", AND(_xlfn.NUMBERVALUE(B156)&gt;26,_xlfn.NUMBERVALUE(B156)&lt;=39),"Q3",_xlfn.NUMBERVALUE(B156)&gt;39,"Q4")</f>
        <v>Q4</v>
      </c>
      <c r="D156" s="448">
        <f t="shared" si="11"/>
        <v>44905</v>
      </c>
      <c r="E156" s="448">
        <f t="shared" si="10"/>
        <v>44911</v>
      </c>
      <c r="F156" s="690">
        <v>202246</v>
      </c>
      <c r="G156" s="688"/>
      <c r="H156" s="755"/>
      <c r="I156" s="755"/>
      <c r="J156" s="692"/>
      <c r="K156" s="693"/>
    </row>
    <row r="157" spans="1:11" ht="15.75" customHeight="1">
      <c r="A157" s="175">
        <f t="shared" si="8"/>
        <v>2023</v>
      </c>
      <c r="B157" s="454" t="str">
        <f t="shared" si="9"/>
        <v>47</v>
      </c>
      <c r="C157" s="454" t="str">
        <f t="array" ref="C157">_xlfn.IFS(_xlfn.NUMBERVALUE(B157)&lt;=13,"Q1",AND(_xlfn.NUMBERVALUE(B157)&gt;13,_xlfn.NUMBERVALUE(B157)&lt;=26),"Q2", AND(_xlfn.NUMBERVALUE(B157)&gt;26,_xlfn.NUMBERVALUE(B157)&lt;=39),"Q3",_xlfn.NUMBERVALUE(B157)&gt;39,"Q4")</f>
        <v>Q4</v>
      </c>
      <c r="D157" s="448">
        <f t="shared" si="11"/>
        <v>44912</v>
      </c>
      <c r="E157" s="448">
        <f t="shared" si="10"/>
        <v>44918</v>
      </c>
      <c r="F157" s="690">
        <v>202247</v>
      </c>
      <c r="G157" s="688"/>
      <c r="H157" s="755"/>
      <c r="I157" s="755"/>
      <c r="J157" s="692"/>
      <c r="K157" s="693"/>
    </row>
    <row r="158" spans="1:11" ht="15.75" customHeight="1">
      <c r="A158" s="175">
        <f t="shared" si="8"/>
        <v>2023</v>
      </c>
      <c r="B158" s="454" t="str">
        <f t="shared" si="9"/>
        <v>48</v>
      </c>
      <c r="C158" s="454" t="str">
        <f t="array" ref="C158">_xlfn.IFS(_xlfn.NUMBERVALUE(B158)&lt;=13,"Q1",AND(_xlfn.NUMBERVALUE(B158)&gt;13,_xlfn.NUMBERVALUE(B158)&lt;=26),"Q2", AND(_xlfn.NUMBERVALUE(B158)&gt;26,_xlfn.NUMBERVALUE(B158)&lt;=39),"Q3",_xlfn.NUMBERVALUE(B158)&gt;39,"Q4")</f>
        <v>Q4</v>
      </c>
      <c r="D158" s="448">
        <f t="shared" si="11"/>
        <v>44919</v>
      </c>
      <c r="E158" s="448">
        <f t="shared" si="10"/>
        <v>44925</v>
      </c>
      <c r="F158" s="690">
        <v>202248</v>
      </c>
      <c r="G158" s="688"/>
      <c r="H158" s="755"/>
      <c r="I158" s="755"/>
      <c r="J158" s="692"/>
      <c r="K158" s="693"/>
    </row>
    <row r="159" spans="1:11" ht="15.75" customHeight="1">
      <c r="A159" s="175">
        <f t="shared" si="8"/>
        <v>2023</v>
      </c>
      <c r="B159" s="454" t="str">
        <f t="shared" si="9"/>
        <v>49</v>
      </c>
      <c r="C159" s="454" t="str">
        <f t="array" ref="C159">_xlfn.IFS(_xlfn.NUMBERVALUE(B159)&lt;=13,"Q1",AND(_xlfn.NUMBERVALUE(B159)&gt;13,_xlfn.NUMBERVALUE(B159)&lt;=26),"Q2", AND(_xlfn.NUMBERVALUE(B159)&gt;26,_xlfn.NUMBERVALUE(B159)&lt;=39),"Q3",_xlfn.NUMBERVALUE(B159)&gt;39,"Q4")</f>
        <v>Q4</v>
      </c>
      <c r="D159" s="448">
        <f t="shared" si="11"/>
        <v>44926</v>
      </c>
      <c r="E159" s="448">
        <f t="shared" si="10"/>
        <v>44932</v>
      </c>
      <c r="F159" s="690">
        <v>202249</v>
      </c>
      <c r="G159" s="688"/>
      <c r="H159" s="755"/>
      <c r="I159" s="755"/>
      <c r="J159" s="692"/>
      <c r="K159" s="693"/>
    </row>
    <row r="160" spans="1:11" ht="15.75" customHeight="1">
      <c r="A160" s="175">
        <f t="shared" si="8"/>
        <v>2023</v>
      </c>
      <c r="B160" s="454" t="str">
        <f t="shared" si="9"/>
        <v>50</v>
      </c>
      <c r="C160" s="454" t="str">
        <f t="array" ref="C160">_xlfn.IFS(_xlfn.NUMBERVALUE(B160)&lt;=13,"Q1",AND(_xlfn.NUMBERVALUE(B160)&gt;13,_xlfn.NUMBERVALUE(B160)&lt;=26),"Q2", AND(_xlfn.NUMBERVALUE(B160)&gt;26,_xlfn.NUMBERVALUE(B160)&lt;=39),"Q3",_xlfn.NUMBERVALUE(B160)&gt;39,"Q4")</f>
        <v>Q4</v>
      </c>
      <c r="D160" s="448">
        <f t="shared" si="11"/>
        <v>44933</v>
      </c>
      <c r="E160" s="448">
        <f t="shared" si="10"/>
        <v>44939</v>
      </c>
      <c r="F160" s="690">
        <v>202250</v>
      </c>
      <c r="G160" s="688"/>
      <c r="H160" s="755"/>
      <c r="I160" s="755"/>
      <c r="J160" s="692"/>
      <c r="K160" s="693"/>
    </row>
    <row r="161" spans="1:11" ht="15.75" customHeight="1">
      <c r="A161" s="175">
        <f t="shared" si="8"/>
        <v>2023</v>
      </c>
      <c r="B161" s="454" t="str">
        <f t="shared" si="9"/>
        <v>51</v>
      </c>
      <c r="C161" s="454" t="str">
        <f t="array" ref="C161">_xlfn.IFS(_xlfn.NUMBERVALUE(B161)&lt;=13,"Q1",AND(_xlfn.NUMBERVALUE(B161)&gt;13,_xlfn.NUMBERVALUE(B161)&lt;=26),"Q2", AND(_xlfn.NUMBERVALUE(B161)&gt;26,_xlfn.NUMBERVALUE(B161)&lt;=39),"Q3",_xlfn.NUMBERVALUE(B161)&gt;39,"Q4")</f>
        <v>Q4</v>
      </c>
      <c r="D161" s="448">
        <f t="shared" si="11"/>
        <v>44940</v>
      </c>
      <c r="E161" s="448">
        <f t="shared" si="10"/>
        <v>44946</v>
      </c>
      <c r="F161" s="690">
        <v>202251</v>
      </c>
      <c r="G161" s="688"/>
      <c r="H161" s="755"/>
      <c r="I161" s="755"/>
      <c r="J161" s="692"/>
      <c r="K161" s="693"/>
    </row>
    <row r="162" spans="1:11" ht="15.75" customHeight="1">
      <c r="A162" s="175">
        <f t="shared" si="8"/>
        <v>2023</v>
      </c>
      <c r="B162" s="454" t="str">
        <f t="shared" si="9"/>
        <v>52</v>
      </c>
      <c r="C162" s="454" t="str">
        <f t="array" ref="C162">_xlfn.IFS(_xlfn.NUMBERVALUE(B162)&lt;=13,"Q1",AND(_xlfn.NUMBERVALUE(B162)&gt;13,_xlfn.NUMBERVALUE(B162)&lt;=26),"Q2", AND(_xlfn.NUMBERVALUE(B162)&gt;26,_xlfn.NUMBERVALUE(B162)&lt;=39),"Q3",_xlfn.NUMBERVALUE(B162)&gt;39,"Q4")</f>
        <v>Q4</v>
      </c>
      <c r="D162" s="448">
        <f t="shared" si="11"/>
        <v>44947</v>
      </c>
      <c r="E162" s="448">
        <f t="shared" si="10"/>
        <v>44953</v>
      </c>
      <c r="F162" s="690">
        <v>202252</v>
      </c>
      <c r="G162" s="688"/>
      <c r="H162" s="755"/>
      <c r="I162" s="755"/>
      <c r="J162" s="692"/>
      <c r="K162" s="693"/>
    </row>
    <row r="163" spans="1:11" ht="15.75" customHeight="1">
      <c r="A163" s="175">
        <f t="shared" si="8"/>
        <v>2024</v>
      </c>
      <c r="B163" s="454" t="str">
        <f t="shared" si="9"/>
        <v>01</v>
      </c>
      <c r="C163" s="454" t="str">
        <f t="array" ref="C163">_xlfn.IFS(_xlfn.NUMBERVALUE(B163)&lt;=13,"Q1",AND(_xlfn.NUMBERVALUE(B163)&gt;13,_xlfn.NUMBERVALUE(B163)&lt;=26),"Q2", AND(_xlfn.NUMBERVALUE(B163)&gt;26,_xlfn.NUMBERVALUE(B163)&lt;=39),"Q3",_xlfn.NUMBERVALUE(B163)&gt;39,"Q4")</f>
        <v>Q1</v>
      </c>
      <c r="D163" s="448">
        <f t="shared" si="11"/>
        <v>44954</v>
      </c>
      <c r="E163" s="448">
        <f t="shared" si="10"/>
        <v>44960</v>
      </c>
      <c r="F163" s="690">
        <v>202301</v>
      </c>
      <c r="G163" s="688"/>
      <c r="H163" s="755"/>
      <c r="I163" s="755"/>
      <c r="J163" s="692"/>
      <c r="K163" s="693"/>
    </row>
    <row r="164" spans="1:11" ht="15.75" customHeight="1">
      <c r="A164" s="175">
        <f t="shared" si="8"/>
        <v>2024</v>
      </c>
      <c r="B164" s="454" t="str">
        <f t="shared" si="9"/>
        <v>02</v>
      </c>
      <c r="C164" s="454" t="str">
        <f t="array" ref="C164">_xlfn.IFS(_xlfn.NUMBERVALUE(B164)&lt;=13,"Q1",AND(_xlfn.NUMBERVALUE(B164)&gt;13,_xlfn.NUMBERVALUE(B164)&lt;=26),"Q2", AND(_xlfn.NUMBERVALUE(B164)&gt;26,_xlfn.NUMBERVALUE(B164)&lt;=39),"Q3",_xlfn.NUMBERVALUE(B164)&gt;39,"Q4")</f>
        <v>Q1</v>
      </c>
      <c r="D164" s="448">
        <f t="shared" si="11"/>
        <v>44961</v>
      </c>
      <c r="E164" s="448">
        <f t="shared" si="10"/>
        <v>44967</v>
      </c>
      <c r="F164" s="690">
        <v>202302</v>
      </c>
      <c r="G164" s="688"/>
      <c r="H164" s="755"/>
      <c r="I164" s="755"/>
      <c r="J164" s="692"/>
      <c r="K164" s="693"/>
    </row>
    <row r="165" spans="1:11" ht="15.75" customHeight="1">
      <c r="A165" s="175">
        <f t="shared" si="8"/>
        <v>2024</v>
      </c>
      <c r="B165" s="454" t="str">
        <f t="shared" si="9"/>
        <v>03</v>
      </c>
      <c r="C165" s="454" t="str">
        <f t="array" ref="C165">_xlfn.IFS(_xlfn.NUMBERVALUE(B165)&lt;=13,"Q1",AND(_xlfn.NUMBERVALUE(B165)&gt;13,_xlfn.NUMBERVALUE(B165)&lt;=26),"Q2", AND(_xlfn.NUMBERVALUE(B165)&gt;26,_xlfn.NUMBERVALUE(B165)&lt;=39),"Q3",_xlfn.NUMBERVALUE(B165)&gt;39,"Q4")</f>
        <v>Q1</v>
      </c>
      <c r="D165" s="448">
        <f t="shared" si="11"/>
        <v>44968</v>
      </c>
      <c r="E165" s="448">
        <f t="shared" si="10"/>
        <v>44974</v>
      </c>
      <c r="F165" s="690">
        <v>202303</v>
      </c>
      <c r="G165" s="688"/>
      <c r="H165" s="755"/>
      <c r="I165" s="755"/>
      <c r="J165" s="692"/>
      <c r="K165" s="693"/>
    </row>
    <row r="166" spans="1:11" ht="15.75" customHeight="1">
      <c r="A166" s="175">
        <f t="shared" si="8"/>
        <v>2024</v>
      </c>
      <c r="B166" s="454" t="str">
        <f t="shared" si="9"/>
        <v>04</v>
      </c>
      <c r="C166" s="454" t="str">
        <f t="array" ref="C166">_xlfn.IFS(_xlfn.NUMBERVALUE(B166)&lt;=13,"Q1",AND(_xlfn.NUMBERVALUE(B166)&gt;13,_xlfn.NUMBERVALUE(B166)&lt;=26),"Q2", AND(_xlfn.NUMBERVALUE(B166)&gt;26,_xlfn.NUMBERVALUE(B166)&lt;=39),"Q3",_xlfn.NUMBERVALUE(B166)&gt;39,"Q4")</f>
        <v>Q1</v>
      </c>
      <c r="D166" s="448">
        <f t="shared" si="11"/>
        <v>44975</v>
      </c>
      <c r="E166" s="448">
        <f t="shared" si="10"/>
        <v>44981</v>
      </c>
      <c r="F166" s="690">
        <v>202304</v>
      </c>
      <c r="G166" s="688"/>
      <c r="H166" s="755"/>
      <c r="I166" s="755"/>
      <c r="J166" s="692"/>
      <c r="K166" s="693"/>
    </row>
    <row r="167" spans="1:11" ht="15.75" customHeight="1">
      <c r="A167" s="175">
        <f t="shared" si="8"/>
        <v>2024</v>
      </c>
      <c r="B167" s="454" t="str">
        <f t="shared" si="9"/>
        <v>05</v>
      </c>
      <c r="C167" s="454" t="str">
        <f t="array" ref="C167">_xlfn.IFS(_xlfn.NUMBERVALUE(B167)&lt;=13,"Q1",AND(_xlfn.NUMBERVALUE(B167)&gt;13,_xlfn.NUMBERVALUE(B167)&lt;=26),"Q2", AND(_xlfn.NUMBERVALUE(B167)&gt;26,_xlfn.NUMBERVALUE(B167)&lt;=39),"Q3",_xlfn.NUMBERVALUE(B167)&gt;39,"Q4")</f>
        <v>Q1</v>
      </c>
      <c r="D167" s="448">
        <f t="shared" si="11"/>
        <v>44982</v>
      </c>
      <c r="E167" s="448">
        <f t="shared" si="10"/>
        <v>44988</v>
      </c>
      <c r="F167" s="690">
        <v>202305</v>
      </c>
      <c r="G167" s="688"/>
      <c r="H167" s="755"/>
      <c r="I167" s="755"/>
      <c r="J167" s="692"/>
      <c r="K167" s="693"/>
    </row>
    <row r="168" spans="1:11" ht="15.75" customHeight="1">
      <c r="A168" s="175">
        <f t="shared" si="8"/>
        <v>2024</v>
      </c>
      <c r="B168" s="454" t="str">
        <f t="shared" si="9"/>
        <v>06</v>
      </c>
      <c r="C168" s="454" t="str">
        <f t="array" ref="C168">_xlfn.IFS(_xlfn.NUMBERVALUE(B168)&lt;=13,"Q1",AND(_xlfn.NUMBERVALUE(B168)&gt;13,_xlfn.NUMBERVALUE(B168)&lt;=26),"Q2", AND(_xlfn.NUMBERVALUE(B168)&gt;26,_xlfn.NUMBERVALUE(B168)&lt;=39),"Q3",_xlfn.NUMBERVALUE(B168)&gt;39,"Q4")</f>
        <v>Q1</v>
      </c>
      <c r="D168" s="448">
        <f t="shared" si="11"/>
        <v>44989</v>
      </c>
      <c r="E168" s="448">
        <f t="shared" si="10"/>
        <v>44995</v>
      </c>
      <c r="F168" s="690">
        <v>202306</v>
      </c>
      <c r="G168" s="688"/>
      <c r="H168" s="755"/>
      <c r="I168" s="755"/>
      <c r="J168" s="692"/>
      <c r="K168" s="693"/>
    </row>
    <row r="169" spans="1:11" ht="15.75" customHeight="1">
      <c r="A169" s="175">
        <f t="shared" si="8"/>
        <v>2024</v>
      </c>
      <c r="B169" s="454" t="str">
        <f t="shared" si="9"/>
        <v>07</v>
      </c>
      <c r="C169" s="454" t="str">
        <f t="array" ref="C169">_xlfn.IFS(_xlfn.NUMBERVALUE(B169)&lt;=13,"Q1",AND(_xlfn.NUMBERVALUE(B169)&gt;13,_xlfn.NUMBERVALUE(B169)&lt;=26),"Q2", AND(_xlfn.NUMBERVALUE(B169)&gt;26,_xlfn.NUMBERVALUE(B169)&lt;=39),"Q3",_xlfn.NUMBERVALUE(B169)&gt;39,"Q4")</f>
        <v>Q1</v>
      </c>
      <c r="D169" s="448">
        <f t="shared" si="11"/>
        <v>44996</v>
      </c>
      <c r="E169" s="448">
        <f t="shared" si="10"/>
        <v>45002</v>
      </c>
      <c r="F169" s="690">
        <v>202307</v>
      </c>
      <c r="G169" s="688"/>
      <c r="H169" s="755"/>
      <c r="I169" s="755"/>
      <c r="J169" s="692"/>
      <c r="K169" s="693"/>
    </row>
    <row r="170" spans="1:11" ht="15.75" customHeight="1">
      <c r="A170" s="175">
        <f t="shared" si="8"/>
        <v>2024</v>
      </c>
      <c r="B170" s="454" t="str">
        <f t="shared" si="9"/>
        <v>08</v>
      </c>
      <c r="C170" s="454" t="str">
        <f t="array" ref="C170">_xlfn.IFS(_xlfn.NUMBERVALUE(B170)&lt;=13,"Q1",AND(_xlfn.NUMBERVALUE(B170)&gt;13,_xlfn.NUMBERVALUE(B170)&lt;=26),"Q2", AND(_xlfn.NUMBERVALUE(B170)&gt;26,_xlfn.NUMBERVALUE(B170)&lt;=39),"Q3",_xlfn.NUMBERVALUE(B170)&gt;39,"Q4")</f>
        <v>Q1</v>
      </c>
      <c r="D170" s="448">
        <f t="shared" si="11"/>
        <v>45003</v>
      </c>
      <c r="E170" s="448">
        <f t="shared" si="10"/>
        <v>45009</v>
      </c>
      <c r="F170" s="690">
        <v>202308</v>
      </c>
      <c r="G170" s="688"/>
      <c r="H170" s="755"/>
      <c r="I170" s="755"/>
      <c r="J170" s="692"/>
      <c r="K170" s="693"/>
    </row>
    <row r="171" spans="1:11" ht="15.75" customHeight="1">
      <c r="A171" s="175">
        <f t="shared" si="8"/>
        <v>2024</v>
      </c>
      <c r="B171" s="454" t="str">
        <f t="shared" si="9"/>
        <v>09</v>
      </c>
      <c r="C171" s="454" t="str">
        <f t="array" ref="C171">_xlfn.IFS(_xlfn.NUMBERVALUE(B171)&lt;=13,"Q1",AND(_xlfn.NUMBERVALUE(B171)&gt;13,_xlfn.NUMBERVALUE(B171)&lt;=26),"Q2", AND(_xlfn.NUMBERVALUE(B171)&gt;26,_xlfn.NUMBERVALUE(B171)&lt;=39),"Q3",_xlfn.NUMBERVALUE(B171)&gt;39,"Q4")</f>
        <v>Q1</v>
      </c>
      <c r="D171" s="448">
        <f t="shared" si="11"/>
        <v>45010</v>
      </c>
      <c r="E171" s="448">
        <f t="shared" si="10"/>
        <v>45016</v>
      </c>
      <c r="F171" s="690">
        <v>202309</v>
      </c>
      <c r="G171" s="688"/>
      <c r="H171" s="755"/>
      <c r="I171" s="755"/>
      <c r="J171" s="692"/>
      <c r="K171" s="693"/>
    </row>
    <row r="172" spans="1:11" ht="15.75" customHeight="1">
      <c r="A172" s="175">
        <f t="shared" si="8"/>
        <v>2024</v>
      </c>
      <c r="B172" s="454" t="str">
        <f t="shared" si="9"/>
        <v>10</v>
      </c>
      <c r="C172" s="454" t="str">
        <f t="array" ref="C172">_xlfn.IFS(_xlfn.NUMBERVALUE(B172)&lt;=13,"Q1",AND(_xlfn.NUMBERVALUE(B172)&gt;13,_xlfn.NUMBERVALUE(B172)&lt;=26),"Q2", AND(_xlfn.NUMBERVALUE(B172)&gt;26,_xlfn.NUMBERVALUE(B172)&lt;=39),"Q3",_xlfn.NUMBERVALUE(B172)&gt;39,"Q4")</f>
        <v>Q1</v>
      </c>
      <c r="D172" s="448">
        <f t="shared" si="11"/>
        <v>45017</v>
      </c>
      <c r="E172" s="448">
        <f t="shared" si="10"/>
        <v>45023</v>
      </c>
      <c r="F172" s="690">
        <v>202310</v>
      </c>
      <c r="G172" s="688"/>
      <c r="H172" s="755"/>
      <c r="I172" s="755"/>
      <c r="J172" s="692"/>
      <c r="K172" s="693"/>
    </row>
    <row r="173" spans="1:11" ht="15.75" customHeight="1">
      <c r="A173" s="175">
        <f t="shared" si="8"/>
        <v>2024</v>
      </c>
      <c r="B173" s="454" t="str">
        <f t="shared" si="9"/>
        <v>11</v>
      </c>
      <c r="C173" s="454" t="str">
        <f t="array" ref="C173">_xlfn.IFS(_xlfn.NUMBERVALUE(B173)&lt;=13,"Q1",AND(_xlfn.NUMBERVALUE(B173)&gt;13,_xlfn.NUMBERVALUE(B173)&lt;=26),"Q2", AND(_xlfn.NUMBERVALUE(B173)&gt;26,_xlfn.NUMBERVALUE(B173)&lt;=39),"Q3",_xlfn.NUMBERVALUE(B173)&gt;39,"Q4")</f>
        <v>Q1</v>
      </c>
      <c r="D173" s="448">
        <f t="shared" si="11"/>
        <v>45024</v>
      </c>
      <c r="E173" s="448">
        <f t="shared" si="10"/>
        <v>45030</v>
      </c>
      <c r="F173" s="690">
        <v>202311</v>
      </c>
      <c r="G173" s="688"/>
      <c r="H173" s="755"/>
      <c r="I173" s="755"/>
      <c r="J173" s="692"/>
      <c r="K173" s="693"/>
    </row>
    <row r="174" spans="1:11" ht="15.75" customHeight="1">
      <c r="A174" s="175">
        <f t="shared" si="8"/>
        <v>2024</v>
      </c>
      <c r="B174" s="454" t="str">
        <f t="shared" si="9"/>
        <v>12</v>
      </c>
      <c r="C174" s="454" t="str">
        <f t="array" ref="C174">_xlfn.IFS(_xlfn.NUMBERVALUE(B174)&lt;=13,"Q1",AND(_xlfn.NUMBERVALUE(B174)&gt;13,_xlfn.NUMBERVALUE(B174)&lt;=26),"Q2", AND(_xlfn.NUMBERVALUE(B174)&gt;26,_xlfn.NUMBERVALUE(B174)&lt;=39),"Q3",_xlfn.NUMBERVALUE(B174)&gt;39,"Q4")</f>
        <v>Q1</v>
      </c>
      <c r="D174" s="448">
        <f t="shared" si="11"/>
        <v>45031</v>
      </c>
      <c r="E174" s="448">
        <f t="shared" si="10"/>
        <v>45037</v>
      </c>
      <c r="F174" s="690">
        <v>202312</v>
      </c>
      <c r="G174" s="688"/>
      <c r="H174" s="755"/>
      <c r="I174" s="755"/>
      <c r="J174" s="692"/>
      <c r="K174" s="693"/>
    </row>
    <row r="175" spans="1:11" ht="15.75" customHeight="1">
      <c r="A175" s="175">
        <f t="shared" si="8"/>
        <v>2024</v>
      </c>
      <c r="B175" s="454" t="str">
        <f t="shared" si="9"/>
        <v>13</v>
      </c>
      <c r="C175" s="454" t="str">
        <f t="array" ref="C175">_xlfn.IFS(_xlfn.NUMBERVALUE(B175)&lt;=13,"Q1",AND(_xlfn.NUMBERVALUE(B175)&gt;13,_xlfn.NUMBERVALUE(B175)&lt;=26),"Q2", AND(_xlfn.NUMBERVALUE(B175)&gt;26,_xlfn.NUMBERVALUE(B175)&lt;=39),"Q3",_xlfn.NUMBERVALUE(B175)&gt;39,"Q4")</f>
        <v>Q1</v>
      </c>
      <c r="D175" s="448">
        <f t="shared" si="11"/>
        <v>45038</v>
      </c>
      <c r="E175" s="448">
        <f t="shared" si="10"/>
        <v>45044</v>
      </c>
      <c r="F175" s="690">
        <v>202313</v>
      </c>
      <c r="G175" s="688"/>
      <c r="H175" s="755"/>
      <c r="I175" s="755"/>
      <c r="J175" s="692"/>
      <c r="K175" s="693"/>
    </row>
    <row r="176" spans="1:11" ht="15.75" customHeight="1">
      <c r="A176" s="175">
        <f t="shared" si="8"/>
        <v>2024</v>
      </c>
      <c r="B176" s="454" t="str">
        <f t="shared" si="9"/>
        <v>14</v>
      </c>
      <c r="C176" s="454" t="str">
        <f t="array" ref="C176">_xlfn.IFS(_xlfn.NUMBERVALUE(B176)&lt;=13,"Q1",AND(_xlfn.NUMBERVALUE(B176)&gt;13,_xlfn.NUMBERVALUE(B176)&lt;=26),"Q2", AND(_xlfn.NUMBERVALUE(B176)&gt;26,_xlfn.NUMBERVALUE(B176)&lt;=39),"Q3",_xlfn.NUMBERVALUE(B176)&gt;39,"Q4")</f>
        <v>Q2</v>
      </c>
      <c r="D176" s="448">
        <f t="shared" si="11"/>
        <v>45045</v>
      </c>
      <c r="E176" s="448">
        <f t="shared" si="10"/>
        <v>45051</v>
      </c>
      <c r="F176" s="690">
        <v>202314</v>
      </c>
      <c r="G176" s="688"/>
      <c r="H176" s="755"/>
      <c r="I176" s="755"/>
      <c r="J176" s="692"/>
      <c r="K176" s="693"/>
    </row>
    <row r="177" spans="1:11" ht="15.75" customHeight="1">
      <c r="A177" s="175">
        <f t="shared" si="8"/>
        <v>2024</v>
      </c>
      <c r="B177" s="454" t="str">
        <f t="shared" si="9"/>
        <v>15</v>
      </c>
      <c r="C177" s="454" t="str">
        <f t="array" ref="C177">_xlfn.IFS(_xlfn.NUMBERVALUE(B177)&lt;=13,"Q1",AND(_xlfn.NUMBERVALUE(B177)&gt;13,_xlfn.NUMBERVALUE(B177)&lt;=26),"Q2", AND(_xlfn.NUMBERVALUE(B177)&gt;26,_xlfn.NUMBERVALUE(B177)&lt;=39),"Q3",_xlfn.NUMBERVALUE(B177)&gt;39,"Q4")</f>
        <v>Q2</v>
      </c>
      <c r="D177" s="448">
        <f t="shared" si="11"/>
        <v>45052</v>
      </c>
      <c r="E177" s="448">
        <f t="shared" si="10"/>
        <v>45058</v>
      </c>
      <c r="F177" s="690">
        <v>202315</v>
      </c>
      <c r="G177" s="688"/>
      <c r="H177" s="755"/>
      <c r="I177" s="755"/>
      <c r="J177" s="692"/>
      <c r="K177" s="693"/>
    </row>
    <row r="178" spans="1:11" ht="15.75" customHeight="1">
      <c r="A178" s="175">
        <f t="shared" si="8"/>
        <v>2024</v>
      </c>
      <c r="B178" s="454" t="str">
        <f t="shared" si="9"/>
        <v>16</v>
      </c>
      <c r="C178" s="454" t="str">
        <f t="array" ref="C178">_xlfn.IFS(_xlfn.NUMBERVALUE(B178)&lt;=13,"Q1",AND(_xlfn.NUMBERVALUE(B178)&gt;13,_xlfn.NUMBERVALUE(B178)&lt;=26),"Q2", AND(_xlfn.NUMBERVALUE(B178)&gt;26,_xlfn.NUMBERVALUE(B178)&lt;=39),"Q3",_xlfn.NUMBERVALUE(B178)&gt;39,"Q4")</f>
        <v>Q2</v>
      </c>
      <c r="D178" s="448">
        <f t="shared" si="11"/>
        <v>45059</v>
      </c>
      <c r="E178" s="448">
        <f t="shared" si="10"/>
        <v>45065</v>
      </c>
      <c r="F178" s="690">
        <v>202316</v>
      </c>
      <c r="G178" s="688"/>
      <c r="H178" s="755"/>
      <c r="I178" s="755"/>
      <c r="J178" s="692"/>
      <c r="K178" s="693"/>
    </row>
    <row r="179" spans="1:11" ht="15.75" customHeight="1">
      <c r="A179" s="175">
        <f t="shared" si="8"/>
        <v>2024</v>
      </c>
      <c r="B179" s="454" t="str">
        <f t="shared" si="9"/>
        <v>17</v>
      </c>
      <c r="C179" s="454" t="str">
        <f t="array" ref="C179">_xlfn.IFS(_xlfn.NUMBERVALUE(B179)&lt;=13,"Q1",AND(_xlfn.NUMBERVALUE(B179)&gt;13,_xlfn.NUMBERVALUE(B179)&lt;=26),"Q2", AND(_xlfn.NUMBERVALUE(B179)&gt;26,_xlfn.NUMBERVALUE(B179)&lt;=39),"Q3",_xlfn.NUMBERVALUE(B179)&gt;39,"Q4")</f>
        <v>Q2</v>
      </c>
      <c r="D179" s="448">
        <f t="shared" si="11"/>
        <v>45066</v>
      </c>
      <c r="E179" s="448">
        <f t="shared" si="10"/>
        <v>45072</v>
      </c>
      <c r="F179" s="690">
        <v>202317</v>
      </c>
      <c r="G179" s="688"/>
      <c r="H179" s="755"/>
      <c r="I179" s="755"/>
      <c r="J179" s="692"/>
      <c r="K179" s="693"/>
    </row>
    <row r="180" spans="1:11" ht="15.75" customHeight="1">
      <c r="A180" s="175">
        <f t="shared" si="8"/>
        <v>2024</v>
      </c>
      <c r="B180" s="454" t="str">
        <f t="shared" si="9"/>
        <v>18</v>
      </c>
      <c r="C180" s="454" t="str">
        <f t="array" ref="C180">_xlfn.IFS(_xlfn.NUMBERVALUE(B180)&lt;=13,"Q1",AND(_xlfn.NUMBERVALUE(B180)&gt;13,_xlfn.NUMBERVALUE(B180)&lt;=26),"Q2", AND(_xlfn.NUMBERVALUE(B180)&gt;26,_xlfn.NUMBERVALUE(B180)&lt;=39),"Q3",_xlfn.NUMBERVALUE(B180)&gt;39,"Q4")</f>
        <v>Q2</v>
      </c>
      <c r="D180" s="448">
        <f t="shared" si="11"/>
        <v>45073</v>
      </c>
      <c r="E180" s="448">
        <f t="shared" si="10"/>
        <v>45079</v>
      </c>
      <c r="F180" s="690">
        <v>202318</v>
      </c>
      <c r="G180" s="688"/>
      <c r="H180" s="755"/>
      <c r="I180" s="755"/>
      <c r="J180" s="692"/>
      <c r="K180" s="693"/>
    </row>
    <row r="181" spans="1:11" ht="15.75" customHeight="1">
      <c r="A181" s="175">
        <f t="shared" si="8"/>
        <v>2024</v>
      </c>
      <c r="B181" s="454" t="str">
        <f t="shared" si="9"/>
        <v>19</v>
      </c>
      <c r="C181" s="454" t="str">
        <f t="array" ref="C181">_xlfn.IFS(_xlfn.NUMBERVALUE(B181)&lt;=13,"Q1",AND(_xlfn.NUMBERVALUE(B181)&gt;13,_xlfn.NUMBERVALUE(B181)&lt;=26),"Q2", AND(_xlfn.NUMBERVALUE(B181)&gt;26,_xlfn.NUMBERVALUE(B181)&lt;=39),"Q3",_xlfn.NUMBERVALUE(B181)&gt;39,"Q4")</f>
        <v>Q2</v>
      </c>
      <c r="D181" s="448">
        <f t="shared" si="11"/>
        <v>45080</v>
      </c>
      <c r="E181" s="448">
        <f t="shared" si="10"/>
        <v>45086</v>
      </c>
      <c r="F181" s="690">
        <v>202319</v>
      </c>
      <c r="G181" s="688"/>
      <c r="H181" s="755"/>
      <c r="I181" s="755"/>
      <c r="J181" s="692"/>
      <c r="K181" s="693"/>
    </row>
    <row r="182" spans="1:11" ht="15.75" customHeight="1">
      <c r="A182" s="175">
        <f t="shared" si="8"/>
        <v>2024</v>
      </c>
      <c r="B182" s="454" t="str">
        <f t="shared" si="9"/>
        <v>20</v>
      </c>
      <c r="C182" s="454" t="str">
        <f t="array" ref="C182">_xlfn.IFS(_xlfn.NUMBERVALUE(B182)&lt;=13,"Q1",AND(_xlfn.NUMBERVALUE(B182)&gt;13,_xlfn.NUMBERVALUE(B182)&lt;=26),"Q2", AND(_xlfn.NUMBERVALUE(B182)&gt;26,_xlfn.NUMBERVALUE(B182)&lt;=39),"Q3",_xlfn.NUMBERVALUE(B182)&gt;39,"Q4")</f>
        <v>Q2</v>
      </c>
      <c r="D182" s="448">
        <f t="shared" si="11"/>
        <v>45087</v>
      </c>
      <c r="E182" s="448">
        <f t="shared" si="10"/>
        <v>45093</v>
      </c>
      <c r="F182" s="690">
        <v>202320</v>
      </c>
      <c r="G182" s="688"/>
      <c r="H182" s="755"/>
      <c r="I182" s="755"/>
      <c r="J182" s="692"/>
      <c r="K182" s="693"/>
    </row>
    <row r="183" spans="1:11" ht="15.75" customHeight="1">
      <c r="A183" s="175">
        <f t="shared" si="8"/>
        <v>2024</v>
      </c>
      <c r="B183" s="454" t="str">
        <f t="shared" si="9"/>
        <v>21</v>
      </c>
      <c r="C183" s="454" t="str">
        <f t="array" ref="C183">_xlfn.IFS(_xlfn.NUMBERVALUE(B183)&lt;=13,"Q1",AND(_xlfn.NUMBERVALUE(B183)&gt;13,_xlfn.NUMBERVALUE(B183)&lt;=26),"Q2", AND(_xlfn.NUMBERVALUE(B183)&gt;26,_xlfn.NUMBERVALUE(B183)&lt;=39),"Q3",_xlfn.NUMBERVALUE(B183)&gt;39,"Q4")</f>
        <v>Q2</v>
      </c>
      <c r="D183" s="448">
        <f t="shared" si="11"/>
        <v>45094</v>
      </c>
      <c r="E183" s="448">
        <f t="shared" si="10"/>
        <v>45100</v>
      </c>
      <c r="F183" s="690">
        <v>202321</v>
      </c>
      <c r="G183" s="688"/>
      <c r="H183" s="755"/>
      <c r="I183" s="755"/>
      <c r="J183" s="692"/>
      <c r="K183" s="693"/>
    </row>
    <row r="184" spans="1:11" ht="15.75" customHeight="1">
      <c r="A184" s="175">
        <f t="shared" si="8"/>
        <v>2024</v>
      </c>
      <c r="B184" s="454" t="str">
        <f t="shared" si="9"/>
        <v>22</v>
      </c>
      <c r="C184" s="454" t="str">
        <f t="array" ref="C184">_xlfn.IFS(_xlfn.NUMBERVALUE(B184)&lt;=13,"Q1",AND(_xlfn.NUMBERVALUE(B184)&gt;13,_xlfn.NUMBERVALUE(B184)&lt;=26),"Q2", AND(_xlfn.NUMBERVALUE(B184)&gt;26,_xlfn.NUMBERVALUE(B184)&lt;=39),"Q3",_xlfn.NUMBERVALUE(B184)&gt;39,"Q4")</f>
        <v>Q2</v>
      </c>
      <c r="D184" s="448">
        <f t="shared" si="11"/>
        <v>45101</v>
      </c>
      <c r="E184" s="448">
        <f t="shared" si="10"/>
        <v>45107</v>
      </c>
      <c r="F184" s="690">
        <v>202322</v>
      </c>
      <c r="G184" s="688"/>
      <c r="H184" s="755"/>
      <c r="I184" s="755"/>
      <c r="J184" s="692"/>
      <c r="K184" s="693"/>
    </row>
    <row r="185" spans="1:11" ht="15.75" customHeight="1">
      <c r="A185" s="175">
        <f t="shared" si="8"/>
        <v>2024</v>
      </c>
      <c r="B185" s="454" t="str">
        <f t="shared" si="9"/>
        <v>23</v>
      </c>
      <c r="C185" s="454" t="str">
        <f t="array" ref="C185">_xlfn.IFS(_xlfn.NUMBERVALUE(B185)&lt;=13,"Q1",AND(_xlfn.NUMBERVALUE(B185)&gt;13,_xlfn.NUMBERVALUE(B185)&lt;=26),"Q2", AND(_xlfn.NUMBERVALUE(B185)&gt;26,_xlfn.NUMBERVALUE(B185)&lt;=39),"Q3",_xlfn.NUMBERVALUE(B185)&gt;39,"Q4")</f>
        <v>Q2</v>
      </c>
      <c r="D185" s="448">
        <f t="shared" si="11"/>
        <v>45108</v>
      </c>
      <c r="E185" s="448">
        <f t="shared" si="10"/>
        <v>45114</v>
      </c>
      <c r="F185" s="690">
        <v>202323</v>
      </c>
      <c r="G185" s="688"/>
      <c r="H185" s="755"/>
      <c r="I185" s="755"/>
      <c r="J185" s="692"/>
      <c r="K185" s="693"/>
    </row>
    <row r="186" spans="1:11" ht="15.75" customHeight="1">
      <c r="A186" s="175">
        <f t="shared" si="8"/>
        <v>2024</v>
      </c>
      <c r="B186" s="454" t="str">
        <f t="shared" si="9"/>
        <v>24</v>
      </c>
      <c r="C186" s="454" t="str">
        <f t="array" ref="C186">_xlfn.IFS(_xlfn.NUMBERVALUE(B186)&lt;=13,"Q1",AND(_xlfn.NUMBERVALUE(B186)&gt;13,_xlfn.NUMBERVALUE(B186)&lt;=26),"Q2", AND(_xlfn.NUMBERVALUE(B186)&gt;26,_xlfn.NUMBERVALUE(B186)&lt;=39),"Q3",_xlfn.NUMBERVALUE(B186)&gt;39,"Q4")</f>
        <v>Q2</v>
      </c>
      <c r="D186" s="448">
        <f t="shared" si="11"/>
        <v>45115</v>
      </c>
      <c r="E186" s="448">
        <f t="shared" si="10"/>
        <v>45121</v>
      </c>
      <c r="F186" s="690">
        <v>202324</v>
      </c>
      <c r="G186" s="688"/>
      <c r="H186" s="755"/>
      <c r="I186" s="755"/>
      <c r="J186" s="692"/>
      <c r="K186" s="693"/>
    </row>
    <row r="187" spans="1:11" ht="15.75" customHeight="1">
      <c r="A187" s="175">
        <f t="shared" si="8"/>
        <v>2024</v>
      </c>
      <c r="B187" s="454" t="str">
        <f t="shared" si="9"/>
        <v>25</v>
      </c>
      <c r="C187" s="454" t="str">
        <f t="array" ref="C187">_xlfn.IFS(_xlfn.NUMBERVALUE(B187)&lt;=13,"Q1",AND(_xlfn.NUMBERVALUE(B187)&gt;13,_xlfn.NUMBERVALUE(B187)&lt;=26),"Q2", AND(_xlfn.NUMBERVALUE(B187)&gt;26,_xlfn.NUMBERVALUE(B187)&lt;=39),"Q3",_xlfn.NUMBERVALUE(B187)&gt;39,"Q4")</f>
        <v>Q2</v>
      </c>
      <c r="D187" s="448">
        <f t="shared" si="11"/>
        <v>45122</v>
      </c>
      <c r="E187" s="448">
        <f t="shared" si="10"/>
        <v>45128</v>
      </c>
      <c r="F187" s="690">
        <v>202325</v>
      </c>
      <c r="G187" s="688"/>
      <c r="H187" s="755"/>
      <c r="I187" s="755"/>
      <c r="J187" s="692"/>
      <c r="K187" s="693"/>
    </row>
    <row r="188" spans="1:11" ht="15.75" customHeight="1">
      <c r="A188" s="175">
        <f t="shared" si="8"/>
        <v>2024</v>
      </c>
      <c r="B188" s="454" t="str">
        <f t="shared" si="9"/>
        <v>26</v>
      </c>
      <c r="C188" s="454" t="str">
        <f t="array" ref="C188">_xlfn.IFS(_xlfn.NUMBERVALUE(B188)&lt;=13,"Q1",AND(_xlfn.NUMBERVALUE(B188)&gt;13,_xlfn.NUMBERVALUE(B188)&lt;=26),"Q2", AND(_xlfn.NUMBERVALUE(B188)&gt;26,_xlfn.NUMBERVALUE(B188)&lt;=39),"Q3",_xlfn.NUMBERVALUE(B188)&gt;39,"Q4")</f>
        <v>Q2</v>
      </c>
      <c r="D188" s="448">
        <f t="shared" si="11"/>
        <v>45129</v>
      </c>
      <c r="E188" s="448">
        <f t="shared" si="10"/>
        <v>45135</v>
      </c>
      <c r="F188" s="690">
        <v>202326</v>
      </c>
      <c r="G188" s="688"/>
      <c r="H188" s="755"/>
      <c r="I188" s="755"/>
      <c r="J188" s="692"/>
      <c r="K188" s="693"/>
    </row>
    <row r="189" spans="1:11" ht="15.75" customHeight="1">
      <c r="A189" s="175">
        <f t="shared" si="8"/>
        <v>2024</v>
      </c>
      <c r="B189" s="454" t="str">
        <f t="shared" si="9"/>
        <v>27</v>
      </c>
      <c r="C189" s="454" t="str">
        <f t="array" ref="C189">_xlfn.IFS(_xlfn.NUMBERVALUE(B189)&lt;=13,"Q1",AND(_xlfn.NUMBERVALUE(B189)&gt;13,_xlfn.NUMBERVALUE(B189)&lt;=26),"Q2", AND(_xlfn.NUMBERVALUE(B189)&gt;26,_xlfn.NUMBERVALUE(B189)&lt;=39),"Q3",_xlfn.NUMBERVALUE(B189)&gt;39,"Q4")</f>
        <v>Q3</v>
      </c>
      <c r="D189" s="448">
        <f t="shared" si="11"/>
        <v>45136</v>
      </c>
      <c r="E189" s="448">
        <f t="shared" si="10"/>
        <v>45142</v>
      </c>
      <c r="F189" s="690">
        <v>202327</v>
      </c>
      <c r="G189" s="688"/>
      <c r="H189" s="755"/>
      <c r="I189" s="755"/>
      <c r="J189" s="692"/>
      <c r="K189" s="693"/>
    </row>
    <row r="190" spans="1:11" ht="15.75" customHeight="1">
      <c r="A190" s="175">
        <f t="shared" si="8"/>
        <v>2024</v>
      </c>
      <c r="B190" s="454" t="str">
        <f t="shared" si="9"/>
        <v>28</v>
      </c>
      <c r="C190" s="454" t="str">
        <f t="array" ref="C190">_xlfn.IFS(_xlfn.NUMBERVALUE(B190)&lt;=13,"Q1",AND(_xlfn.NUMBERVALUE(B190)&gt;13,_xlfn.NUMBERVALUE(B190)&lt;=26),"Q2", AND(_xlfn.NUMBERVALUE(B190)&gt;26,_xlfn.NUMBERVALUE(B190)&lt;=39),"Q3",_xlfn.NUMBERVALUE(B190)&gt;39,"Q4")</f>
        <v>Q3</v>
      </c>
      <c r="D190" s="448">
        <f t="shared" si="11"/>
        <v>45143</v>
      </c>
      <c r="E190" s="448">
        <f t="shared" si="10"/>
        <v>45149</v>
      </c>
      <c r="F190" s="690">
        <v>202328</v>
      </c>
      <c r="G190" s="688"/>
      <c r="H190" s="755"/>
      <c r="I190" s="755"/>
      <c r="J190" s="692"/>
      <c r="K190" s="693"/>
    </row>
    <row r="191" spans="1:11" ht="15.75" customHeight="1">
      <c r="A191" s="175">
        <f t="shared" si="8"/>
        <v>2024</v>
      </c>
      <c r="B191" s="454" t="str">
        <f t="shared" si="9"/>
        <v>29</v>
      </c>
      <c r="C191" s="454" t="str">
        <f t="array" ref="C191">_xlfn.IFS(_xlfn.NUMBERVALUE(B191)&lt;=13,"Q1",AND(_xlfn.NUMBERVALUE(B191)&gt;13,_xlfn.NUMBERVALUE(B191)&lt;=26),"Q2", AND(_xlfn.NUMBERVALUE(B191)&gt;26,_xlfn.NUMBERVALUE(B191)&lt;=39),"Q3",_xlfn.NUMBERVALUE(B191)&gt;39,"Q4")</f>
        <v>Q3</v>
      </c>
      <c r="D191" s="448">
        <f t="shared" si="11"/>
        <v>45150</v>
      </c>
      <c r="E191" s="448">
        <f t="shared" si="10"/>
        <v>45156</v>
      </c>
      <c r="F191" s="690">
        <v>202329</v>
      </c>
      <c r="G191" s="688"/>
      <c r="H191" s="755"/>
      <c r="I191" s="755"/>
      <c r="J191" s="692"/>
      <c r="K191" s="693"/>
    </row>
    <row r="192" spans="1:11" ht="15.75" customHeight="1">
      <c r="A192" s="175">
        <f t="shared" si="8"/>
        <v>2024</v>
      </c>
      <c r="B192" s="454" t="str">
        <f t="shared" si="9"/>
        <v>30</v>
      </c>
      <c r="C192" s="454" t="str">
        <f t="array" ref="C192">_xlfn.IFS(_xlfn.NUMBERVALUE(B192)&lt;=13,"Q1",AND(_xlfn.NUMBERVALUE(B192)&gt;13,_xlfn.NUMBERVALUE(B192)&lt;=26),"Q2", AND(_xlfn.NUMBERVALUE(B192)&gt;26,_xlfn.NUMBERVALUE(B192)&lt;=39),"Q3",_xlfn.NUMBERVALUE(B192)&gt;39,"Q4")</f>
        <v>Q3</v>
      </c>
      <c r="D192" s="448">
        <f t="shared" si="11"/>
        <v>45157</v>
      </c>
      <c r="E192" s="448">
        <f t="shared" si="10"/>
        <v>45163</v>
      </c>
      <c r="F192" s="690">
        <v>202330</v>
      </c>
      <c r="G192" s="688"/>
      <c r="H192" s="755"/>
      <c r="I192" s="755"/>
      <c r="J192" s="692"/>
      <c r="K192" s="693"/>
    </row>
    <row r="193" spans="1:11" ht="15.75" customHeight="1">
      <c r="A193" s="175">
        <f t="shared" si="8"/>
        <v>2024</v>
      </c>
      <c r="B193" s="454" t="str">
        <f t="shared" si="9"/>
        <v>31</v>
      </c>
      <c r="C193" s="454" t="str">
        <f t="array" ref="C193">_xlfn.IFS(_xlfn.NUMBERVALUE(B193)&lt;=13,"Q1",AND(_xlfn.NUMBERVALUE(B193)&gt;13,_xlfn.NUMBERVALUE(B193)&lt;=26),"Q2", AND(_xlfn.NUMBERVALUE(B193)&gt;26,_xlfn.NUMBERVALUE(B193)&lt;=39),"Q3",_xlfn.NUMBERVALUE(B193)&gt;39,"Q4")</f>
        <v>Q3</v>
      </c>
      <c r="D193" s="448">
        <f t="shared" si="11"/>
        <v>45164</v>
      </c>
      <c r="E193" s="448">
        <f t="shared" si="10"/>
        <v>45170</v>
      </c>
      <c r="F193" s="690">
        <v>202331</v>
      </c>
      <c r="G193" s="688"/>
      <c r="H193" s="755"/>
      <c r="I193" s="755"/>
      <c r="J193" s="692"/>
      <c r="K193" s="693"/>
    </row>
    <row r="194" spans="1:11" ht="15.75" customHeight="1">
      <c r="A194" s="175">
        <f t="shared" si="8"/>
        <v>2024</v>
      </c>
      <c r="B194" s="454" t="str">
        <f t="shared" si="9"/>
        <v>32</v>
      </c>
      <c r="C194" s="454" t="str">
        <f t="array" ref="C194">_xlfn.IFS(_xlfn.NUMBERVALUE(B194)&lt;=13,"Q1",AND(_xlfn.NUMBERVALUE(B194)&gt;13,_xlfn.NUMBERVALUE(B194)&lt;=26),"Q2", AND(_xlfn.NUMBERVALUE(B194)&gt;26,_xlfn.NUMBERVALUE(B194)&lt;=39),"Q3",_xlfn.NUMBERVALUE(B194)&gt;39,"Q4")</f>
        <v>Q3</v>
      </c>
      <c r="D194" s="448">
        <f t="shared" si="11"/>
        <v>45171</v>
      </c>
      <c r="E194" s="448">
        <f t="shared" si="10"/>
        <v>45177</v>
      </c>
      <c r="F194" s="690">
        <v>202332</v>
      </c>
      <c r="G194" s="688"/>
      <c r="H194" s="755"/>
      <c r="I194" s="755"/>
      <c r="J194" s="692"/>
      <c r="K194" s="693"/>
    </row>
    <row r="195" spans="1:11" ht="15.75" customHeight="1">
      <c r="A195" s="175">
        <f t="shared" si="8"/>
        <v>2024</v>
      </c>
      <c r="B195" s="454" t="str">
        <f t="shared" si="9"/>
        <v>33</v>
      </c>
      <c r="C195" s="454" t="str">
        <f t="array" ref="C195">_xlfn.IFS(_xlfn.NUMBERVALUE(B195)&lt;=13,"Q1",AND(_xlfn.NUMBERVALUE(B195)&gt;13,_xlfn.NUMBERVALUE(B195)&lt;=26),"Q2", AND(_xlfn.NUMBERVALUE(B195)&gt;26,_xlfn.NUMBERVALUE(B195)&lt;=39),"Q3",_xlfn.NUMBERVALUE(B195)&gt;39,"Q4")</f>
        <v>Q3</v>
      </c>
      <c r="D195" s="448">
        <f t="shared" si="11"/>
        <v>45178</v>
      </c>
      <c r="E195" s="448">
        <f t="shared" si="10"/>
        <v>45184</v>
      </c>
      <c r="F195" s="690">
        <v>202333</v>
      </c>
      <c r="G195" s="688"/>
      <c r="H195" s="755"/>
      <c r="I195" s="755"/>
      <c r="J195" s="692"/>
      <c r="K195" s="693"/>
    </row>
    <row r="196" spans="1:11" ht="15.75" customHeight="1">
      <c r="A196" s="175">
        <f t="shared" si="8"/>
        <v>2024</v>
      </c>
      <c r="B196" s="454" t="str">
        <f t="shared" si="9"/>
        <v>34</v>
      </c>
      <c r="C196" s="454" t="str">
        <f t="array" ref="C196">_xlfn.IFS(_xlfn.NUMBERVALUE(B196)&lt;=13,"Q1",AND(_xlfn.NUMBERVALUE(B196)&gt;13,_xlfn.NUMBERVALUE(B196)&lt;=26),"Q2", AND(_xlfn.NUMBERVALUE(B196)&gt;26,_xlfn.NUMBERVALUE(B196)&lt;=39),"Q3",_xlfn.NUMBERVALUE(B196)&gt;39,"Q4")</f>
        <v>Q3</v>
      </c>
      <c r="D196" s="448">
        <f t="shared" si="11"/>
        <v>45185</v>
      </c>
      <c r="E196" s="448">
        <f t="shared" si="10"/>
        <v>45191</v>
      </c>
      <c r="F196" s="690">
        <v>202334</v>
      </c>
      <c r="G196" s="688"/>
      <c r="H196" s="755"/>
      <c r="I196" s="755"/>
      <c r="J196" s="692"/>
      <c r="K196" s="693"/>
    </row>
    <row r="197" spans="1:11" ht="15.75" customHeight="1">
      <c r="A197" s="175">
        <f t="shared" si="8"/>
        <v>2024</v>
      </c>
      <c r="B197" s="454" t="str">
        <f t="shared" si="9"/>
        <v>35</v>
      </c>
      <c r="C197" s="454" t="str">
        <f t="array" ref="C197">_xlfn.IFS(_xlfn.NUMBERVALUE(B197)&lt;=13,"Q1",AND(_xlfn.NUMBERVALUE(B197)&gt;13,_xlfn.NUMBERVALUE(B197)&lt;=26),"Q2", AND(_xlfn.NUMBERVALUE(B197)&gt;26,_xlfn.NUMBERVALUE(B197)&lt;=39),"Q3",_xlfn.NUMBERVALUE(B197)&gt;39,"Q4")</f>
        <v>Q3</v>
      </c>
      <c r="D197" s="448">
        <f t="shared" si="11"/>
        <v>45192</v>
      </c>
      <c r="E197" s="448">
        <f t="shared" si="10"/>
        <v>45198</v>
      </c>
      <c r="F197" s="454">
        <v>202335</v>
      </c>
      <c r="G197" s="688"/>
      <c r="H197" s="755"/>
      <c r="I197" s="755"/>
      <c r="J197" s="692"/>
      <c r="K197" s="693"/>
    </row>
    <row r="198" spans="1:11" ht="15.75" customHeight="1">
      <c r="A198" s="175">
        <f t="shared" si="8"/>
        <v>2024</v>
      </c>
      <c r="B198" s="454" t="str">
        <f t="shared" si="9"/>
        <v>36</v>
      </c>
      <c r="C198" s="454" t="str">
        <f t="array" ref="C198">_xlfn.IFS(_xlfn.NUMBERVALUE(B198)&lt;=13,"Q1",AND(_xlfn.NUMBERVALUE(B198)&gt;13,_xlfn.NUMBERVALUE(B198)&lt;=26),"Q2", AND(_xlfn.NUMBERVALUE(B198)&gt;26,_xlfn.NUMBERVALUE(B198)&lt;=39),"Q3",_xlfn.NUMBERVALUE(B198)&gt;39,"Q4")</f>
        <v>Q3</v>
      </c>
      <c r="D198" s="448">
        <f t="shared" si="11"/>
        <v>45199</v>
      </c>
      <c r="E198" s="448">
        <f t="shared" si="10"/>
        <v>45205</v>
      </c>
      <c r="F198" s="690">
        <v>202336</v>
      </c>
      <c r="G198" s="688"/>
      <c r="H198" s="755"/>
      <c r="I198" s="755"/>
      <c r="J198" s="692"/>
      <c r="K198" s="693"/>
    </row>
    <row r="199" spans="1:11" ht="15.75" customHeight="1">
      <c r="A199" s="175">
        <f t="shared" ref="A199:A262" si="12">LEFT(F199,4)+1</f>
        <v>2024</v>
      </c>
      <c r="B199" s="454" t="str">
        <f t="shared" ref="B199:B262" si="13">RIGHT(F199,2)</f>
        <v>37</v>
      </c>
      <c r="C199" s="454" t="str">
        <f t="array" ref="C199">_xlfn.IFS(_xlfn.NUMBERVALUE(B199)&lt;=13,"Q1",AND(_xlfn.NUMBERVALUE(B199)&gt;13,_xlfn.NUMBERVALUE(B199)&lt;=26),"Q2", AND(_xlfn.NUMBERVALUE(B199)&gt;26,_xlfn.NUMBERVALUE(B199)&lt;=39),"Q3",_xlfn.NUMBERVALUE(B199)&gt;39,"Q4")</f>
        <v>Q3</v>
      </c>
      <c r="D199" s="448">
        <f t="shared" si="11"/>
        <v>45206</v>
      </c>
      <c r="E199" s="448">
        <f t="shared" ref="E199:E262" si="14">D199+6</f>
        <v>45212</v>
      </c>
      <c r="F199" s="690">
        <v>202337</v>
      </c>
      <c r="G199" s="688"/>
      <c r="H199" s="755"/>
      <c r="I199" s="755"/>
      <c r="J199" s="692"/>
      <c r="K199" s="693"/>
    </row>
    <row r="200" spans="1:11" ht="15.75" customHeight="1">
      <c r="A200" s="175">
        <f t="shared" si="12"/>
        <v>2024</v>
      </c>
      <c r="B200" s="454" t="str">
        <f t="shared" si="13"/>
        <v>38</v>
      </c>
      <c r="C200" s="454" t="str">
        <f t="array" ref="C200">_xlfn.IFS(_xlfn.NUMBERVALUE(B200)&lt;=13,"Q1",AND(_xlfn.NUMBERVALUE(B200)&gt;13,_xlfn.NUMBERVALUE(B200)&lt;=26),"Q2", AND(_xlfn.NUMBERVALUE(B200)&gt;26,_xlfn.NUMBERVALUE(B200)&lt;=39),"Q3",_xlfn.NUMBERVALUE(B200)&gt;39,"Q4")</f>
        <v>Q3</v>
      </c>
      <c r="D200" s="448">
        <f t="shared" ref="D200:D263" si="15">E199+1</f>
        <v>45213</v>
      </c>
      <c r="E200" s="448">
        <f t="shared" si="14"/>
        <v>45219</v>
      </c>
      <c r="F200" s="690">
        <v>202338</v>
      </c>
      <c r="G200" s="688"/>
      <c r="H200" s="755"/>
      <c r="I200" s="755"/>
      <c r="J200" s="692"/>
      <c r="K200" s="693"/>
    </row>
    <row r="201" spans="1:11" ht="15.75" customHeight="1">
      <c r="A201" s="175">
        <f t="shared" si="12"/>
        <v>2024</v>
      </c>
      <c r="B201" s="454" t="str">
        <f t="shared" si="13"/>
        <v>39</v>
      </c>
      <c r="C201" s="454" t="str">
        <f t="array" ref="C201">_xlfn.IFS(_xlfn.NUMBERVALUE(B201)&lt;=13,"Q1",AND(_xlfn.NUMBERVALUE(B201)&gt;13,_xlfn.NUMBERVALUE(B201)&lt;=26),"Q2", AND(_xlfn.NUMBERVALUE(B201)&gt;26,_xlfn.NUMBERVALUE(B201)&lt;=39),"Q3",_xlfn.NUMBERVALUE(B201)&gt;39,"Q4")</f>
        <v>Q3</v>
      </c>
      <c r="D201" s="448">
        <f t="shared" si="15"/>
        <v>45220</v>
      </c>
      <c r="E201" s="448">
        <f t="shared" si="14"/>
        <v>45226</v>
      </c>
      <c r="F201" s="690">
        <v>202339</v>
      </c>
      <c r="G201" s="688"/>
      <c r="H201" s="755"/>
      <c r="I201" s="755"/>
      <c r="J201" s="692"/>
      <c r="K201" s="693"/>
    </row>
    <row r="202" spans="1:11" ht="15.75" customHeight="1">
      <c r="A202" s="175">
        <f t="shared" si="12"/>
        <v>2024</v>
      </c>
      <c r="B202" s="454" t="str">
        <f t="shared" si="13"/>
        <v>40</v>
      </c>
      <c r="C202" s="454" t="str">
        <f t="array" ref="C202">_xlfn.IFS(_xlfn.NUMBERVALUE(B202)&lt;=13,"Q1",AND(_xlfn.NUMBERVALUE(B202)&gt;13,_xlfn.NUMBERVALUE(B202)&lt;=26),"Q2", AND(_xlfn.NUMBERVALUE(B202)&gt;26,_xlfn.NUMBERVALUE(B202)&lt;=39),"Q3",_xlfn.NUMBERVALUE(B202)&gt;39,"Q4")</f>
        <v>Q4</v>
      </c>
      <c r="D202" s="448">
        <f t="shared" si="15"/>
        <v>45227</v>
      </c>
      <c r="E202" s="448">
        <f t="shared" si="14"/>
        <v>45233</v>
      </c>
      <c r="F202" s="690">
        <v>202340</v>
      </c>
      <c r="G202" s="688"/>
      <c r="H202" s="755"/>
      <c r="I202" s="755"/>
      <c r="J202" s="692"/>
      <c r="K202" s="693"/>
    </row>
    <row r="203" spans="1:11" ht="15.75" customHeight="1">
      <c r="A203" s="175">
        <f t="shared" si="12"/>
        <v>2024</v>
      </c>
      <c r="B203" s="454" t="str">
        <f t="shared" si="13"/>
        <v>41</v>
      </c>
      <c r="C203" s="454" t="str">
        <f t="array" ref="C203">_xlfn.IFS(_xlfn.NUMBERVALUE(B203)&lt;=13,"Q1",AND(_xlfn.NUMBERVALUE(B203)&gt;13,_xlfn.NUMBERVALUE(B203)&lt;=26),"Q2", AND(_xlfn.NUMBERVALUE(B203)&gt;26,_xlfn.NUMBERVALUE(B203)&lt;=39),"Q3",_xlfn.NUMBERVALUE(B203)&gt;39,"Q4")</f>
        <v>Q4</v>
      </c>
      <c r="D203" s="448">
        <f t="shared" si="15"/>
        <v>45234</v>
      </c>
      <c r="E203" s="448">
        <f t="shared" si="14"/>
        <v>45240</v>
      </c>
      <c r="F203" s="690">
        <v>202341</v>
      </c>
      <c r="G203" s="688"/>
      <c r="H203" s="755"/>
      <c r="I203" s="755"/>
      <c r="J203" s="692"/>
      <c r="K203" s="693"/>
    </row>
    <row r="204" spans="1:11" ht="15.75" customHeight="1">
      <c r="A204" s="175">
        <f t="shared" si="12"/>
        <v>2024</v>
      </c>
      <c r="B204" s="454" t="str">
        <f t="shared" si="13"/>
        <v>42</v>
      </c>
      <c r="C204" s="454" t="str">
        <f t="array" ref="C204">_xlfn.IFS(_xlfn.NUMBERVALUE(B204)&lt;=13,"Q1",AND(_xlfn.NUMBERVALUE(B204)&gt;13,_xlfn.NUMBERVALUE(B204)&lt;=26),"Q2", AND(_xlfn.NUMBERVALUE(B204)&gt;26,_xlfn.NUMBERVALUE(B204)&lt;=39),"Q3",_xlfn.NUMBERVALUE(B204)&gt;39,"Q4")</f>
        <v>Q4</v>
      </c>
      <c r="D204" s="448">
        <f t="shared" si="15"/>
        <v>45241</v>
      </c>
      <c r="E204" s="448">
        <f t="shared" si="14"/>
        <v>45247</v>
      </c>
      <c r="F204" s="690">
        <v>202342</v>
      </c>
      <c r="G204" s="688"/>
      <c r="H204" s="755"/>
      <c r="I204" s="755"/>
      <c r="J204" s="692"/>
      <c r="K204" s="693"/>
    </row>
    <row r="205" spans="1:11" ht="15.75" customHeight="1">
      <c r="A205" s="175">
        <f t="shared" si="12"/>
        <v>2024</v>
      </c>
      <c r="B205" s="454" t="str">
        <f t="shared" si="13"/>
        <v>43</v>
      </c>
      <c r="C205" s="454" t="str">
        <f t="array" ref="C205">_xlfn.IFS(_xlfn.NUMBERVALUE(B205)&lt;=13,"Q1",AND(_xlfn.NUMBERVALUE(B205)&gt;13,_xlfn.NUMBERVALUE(B205)&lt;=26),"Q2", AND(_xlfn.NUMBERVALUE(B205)&gt;26,_xlfn.NUMBERVALUE(B205)&lt;=39),"Q3",_xlfn.NUMBERVALUE(B205)&gt;39,"Q4")</f>
        <v>Q4</v>
      </c>
      <c r="D205" s="448">
        <f t="shared" si="15"/>
        <v>45248</v>
      </c>
      <c r="E205" s="448">
        <f t="shared" si="14"/>
        <v>45254</v>
      </c>
      <c r="F205" s="690">
        <v>202343</v>
      </c>
      <c r="G205" s="688"/>
      <c r="H205" s="755"/>
      <c r="I205" s="755"/>
      <c r="J205" s="692"/>
      <c r="K205" s="693"/>
    </row>
    <row r="206" spans="1:11" ht="15.75" customHeight="1">
      <c r="A206" s="175">
        <f t="shared" si="12"/>
        <v>2024</v>
      </c>
      <c r="B206" s="454" t="str">
        <f t="shared" si="13"/>
        <v>44</v>
      </c>
      <c r="C206" s="454" t="str">
        <f t="array" ref="C206">_xlfn.IFS(_xlfn.NUMBERVALUE(B206)&lt;=13,"Q1",AND(_xlfn.NUMBERVALUE(B206)&gt;13,_xlfn.NUMBERVALUE(B206)&lt;=26),"Q2", AND(_xlfn.NUMBERVALUE(B206)&gt;26,_xlfn.NUMBERVALUE(B206)&lt;=39),"Q3",_xlfn.NUMBERVALUE(B206)&gt;39,"Q4")</f>
        <v>Q4</v>
      </c>
      <c r="D206" s="448">
        <f t="shared" si="15"/>
        <v>45255</v>
      </c>
      <c r="E206" s="448">
        <f t="shared" si="14"/>
        <v>45261</v>
      </c>
      <c r="F206" s="690">
        <v>202344</v>
      </c>
      <c r="G206" s="688"/>
      <c r="H206" s="755"/>
      <c r="I206" s="755"/>
      <c r="J206" s="692"/>
      <c r="K206" s="693"/>
    </row>
    <row r="207" spans="1:11" ht="15.75" customHeight="1">
      <c r="A207" s="175">
        <f t="shared" si="12"/>
        <v>2024</v>
      </c>
      <c r="B207" s="454" t="str">
        <f t="shared" si="13"/>
        <v>45</v>
      </c>
      <c r="C207" s="454" t="str">
        <f t="array" ref="C207">_xlfn.IFS(_xlfn.NUMBERVALUE(B207)&lt;=13,"Q1",AND(_xlfn.NUMBERVALUE(B207)&gt;13,_xlfn.NUMBERVALUE(B207)&lt;=26),"Q2", AND(_xlfn.NUMBERVALUE(B207)&gt;26,_xlfn.NUMBERVALUE(B207)&lt;=39),"Q3",_xlfn.NUMBERVALUE(B207)&gt;39,"Q4")</f>
        <v>Q4</v>
      </c>
      <c r="D207" s="448">
        <f t="shared" si="15"/>
        <v>45262</v>
      </c>
      <c r="E207" s="448">
        <f t="shared" si="14"/>
        <v>45268</v>
      </c>
      <c r="F207" s="690">
        <v>202345</v>
      </c>
      <c r="G207" s="688"/>
      <c r="H207" s="755"/>
      <c r="I207" s="755"/>
      <c r="J207" s="692"/>
      <c r="K207" s="693"/>
    </row>
    <row r="208" spans="1:11" ht="15.75" customHeight="1">
      <c r="A208" s="175">
        <f t="shared" si="12"/>
        <v>2024</v>
      </c>
      <c r="B208" s="454" t="str">
        <f t="shared" si="13"/>
        <v>46</v>
      </c>
      <c r="C208" s="454" t="str">
        <f t="array" ref="C208">_xlfn.IFS(_xlfn.NUMBERVALUE(B208)&lt;=13,"Q1",AND(_xlfn.NUMBERVALUE(B208)&gt;13,_xlfn.NUMBERVALUE(B208)&lt;=26),"Q2", AND(_xlfn.NUMBERVALUE(B208)&gt;26,_xlfn.NUMBERVALUE(B208)&lt;=39),"Q3",_xlfn.NUMBERVALUE(B208)&gt;39,"Q4")</f>
        <v>Q4</v>
      </c>
      <c r="D208" s="448">
        <f t="shared" si="15"/>
        <v>45269</v>
      </c>
      <c r="E208" s="448">
        <f t="shared" si="14"/>
        <v>45275</v>
      </c>
      <c r="F208" s="690">
        <v>202346</v>
      </c>
      <c r="G208" s="688"/>
      <c r="H208" s="755"/>
      <c r="I208" s="755"/>
      <c r="J208" s="692"/>
      <c r="K208" s="693"/>
    </row>
    <row r="209" spans="1:11" ht="15.75" customHeight="1">
      <c r="A209" s="175">
        <f t="shared" si="12"/>
        <v>2024</v>
      </c>
      <c r="B209" s="454" t="str">
        <f t="shared" si="13"/>
        <v>47</v>
      </c>
      <c r="C209" s="454" t="str">
        <f t="array" ref="C209">_xlfn.IFS(_xlfn.NUMBERVALUE(B209)&lt;=13,"Q1",AND(_xlfn.NUMBERVALUE(B209)&gt;13,_xlfn.NUMBERVALUE(B209)&lt;=26),"Q2", AND(_xlfn.NUMBERVALUE(B209)&gt;26,_xlfn.NUMBERVALUE(B209)&lt;=39),"Q3",_xlfn.NUMBERVALUE(B209)&gt;39,"Q4")</f>
        <v>Q4</v>
      </c>
      <c r="D209" s="448">
        <f t="shared" si="15"/>
        <v>45276</v>
      </c>
      <c r="E209" s="448">
        <f t="shared" si="14"/>
        <v>45282</v>
      </c>
      <c r="F209" s="690">
        <v>202347</v>
      </c>
      <c r="G209" s="688"/>
      <c r="H209" s="755"/>
      <c r="I209" s="755"/>
      <c r="J209" s="692"/>
      <c r="K209" s="693"/>
    </row>
    <row r="210" spans="1:11" ht="15.75" customHeight="1">
      <c r="A210" s="175">
        <f t="shared" si="12"/>
        <v>2024</v>
      </c>
      <c r="B210" s="454" t="str">
        <f t="shared" si="13"/>
        <v>48</v>
      </c>
      <c r="C210" s="454" t="str">
        <f t="array" ref="C210">_xlfn.IFS(_xlfn.NUMBERVALUE(B210)&lt;=13,"Q1",AND(_xlfn.NUMBERVALUE(B210)&gt;13,_xlfn.NUMBERVALUE(B210)&lt;=26),"Q2", AND(_xlfn.NUMBERVALUE(B210)&gt;26,_xlfn.NUMBERVALUE(B210)&lt;=39),"Q3",_xlfn.NUMBERVALUE(B210)&gt;39,"Q4")</f>
        <v>Q4</v>
      </c>
      <c r="D210" s="448">
        <f t="shared" si="15"/>
        <v>45283</v>
      </c>
      <c r="E210" s="448">
        <f t="shared" si="14"/>
        <v>45289</v>
      </c>
      <c r="F210" s="690">
        <v>202348</v>
      </c>
      <c r="G210" s="688"/>
      <c r="H210" s="755"/>
      <c r="I210" s="755"/>
      <c r="J210" s="692"/>
      <c r="K210" s="693"/>
    </row>
    <row r="211" spans="1:11" ht="15.75" customHeight="1">
      <c r="A211" s="175">
        <f t="shared" si="12"/>
        <v>2024</v>
      </c>
      <c r="B211" s="454" t="str">
        <f t="shared" si="13"/>
        <v>49</v>
      </c>
      <c r="C211" s="454" t="str">
        <f t="array" ref="C211">_xlfn.IFS(_xlfn.NUMBERVALUE(B211)&lt;=13,"Q1",AND(_xlfn.NUMBERVALUE(B211)&gt;13,_xlfn.NUMBERVALUE(B211)&lt;=26),"Q2", AND(_xlfn.NUMBERVALUE(B211)&gt;26,_xlfn.NUMBERVALUE(B211)&lt;=39),"Q3",_xlfn.NUMBERVALUE(B211)&gt;39,"Q4")</f>
        <v>Q4</v>
      </c>
      <c r="D211" s="448">
        <f t="shared" si="15"/>
        <v>45290</v>
      </c>
      <c r="E211" s="448">
        <f t="shared" si="14"/>
        <v>45296</v>
      </c>
      <c r="F211" s="690">
        <v>202349</v>
      </c>
      <c r="G211" s="688"/>
      <c r="H211" s="755">
        <v>0.50237629999361155</v>
      </c>
      <c r="I211" s="755">
        <v>0.1550551001514606</v>
      </c>
      <c r="J211" s="692"/>
      <c r="K211" s="693"/>
    </row>
    <row r="212" spans="1:11" ht="15.75" customHeight="1">
      <c r="A212" s="175">
        <f t="shared" si="12"/>
        <v>2024</v>
      </c>
      <c r="B212" s="454" t="str">
        <f t="shared" si="13"/>
        <v>50</v>
      </c>
      <c r="C212" s="454" t="str">
        <f t="array" ref="C212">_xlfn.IFS(_xlfn.NUMBERVALUE(B212)&lt;=13,"Q1",AND(_xlfn.NUMBERVALUE(B212)&gt;13,_xlfn.NUMBERVALUE(B212)&lt;=26),"Q2", AND(_xlfn.NUMBERVALUE(B212)&gt;26,_xlfn.NUMBERVALUE(B212)&lt;=39),"Q3",_xlfn.NUMBERVALUE(B212)&gt;39,"Q4")</f>
        <v>Q4</v>
      </c>
      <c r="D212" s="448">
        <f t="shared" si="15"/>
        <v>45297</v>
      </c>
      <c r="E212" s="448">
        <f t="shared" si="14"/>
        <v>45303</v>
      </c>
      <c r="F212" s="690">
        <v>202350</v>
      </c>
      <c r="G212" s="688"/>
      <c r="H212" s="755">
        <v>0.1550551001514606</v>
      </c>
      <c r="I212" s="755">
        <v>0.50237629999361155</v>
      </c>
      <c r="J212" s="692"/>
      <c r="K212" s="693"/>
    </row>
    <row r="213" spans="1:11" ht="15.75" customHeight="1">
      <c r="A213" s="175">
        <f t="shared" si="12"/>
        <v>2024</v>
      </c>
      <c r="B213" s="454" t="str">
        <f t="shared" si="13"/>
        <v>51</v>
      </c>
      <c r="C213" s="454" t="str">
        <f t="array" ref="C213">_xlfn.IFS(_xlfn.NUMBERVALUE(B213)&lt;=13,"Q1",AND(_xlfn.NUMBERVALUE(B213)&gt;13,_xlfn.NUMBERVALUE(B213)&lt;=26),"Q2", AND(_xlfn.NUMBERVALUE(B213)&gt;26,_xlfn.NUMBERVALUE(B213)&lt;=39),"Q3",_xlfn.NUMBERVALUE(B213)&gt;39,"Q4")</f>
        <v>Q4</v>
      </c>
      <c r="D213" s="448">
        <f t="shared" si="15"/>
        <v>45304</v>
      </c>
      <c r="E213" s="448">
        <f t="shared" si="14"/>
        <v>45310</v>
      </c>
      <c r="F213" s="690">
        <v>202351</v>
      </c>
      <c r="G213" s="688"/>
      <c r="H213" s="755">
        <v>1.504301265595165E-2</v>
      </c>
      <c r="I213" s="755">
        <v>0.26203902337968482</v>
      </c>
      <c r="J213" s="692"/>
      <c r="K213" s="693"/>
    </row>
    <row r="214" spans="1:11" ht="15.75" customHeight="1">
      <c r="A214" s="175">
        <f t="shared" si="12"/>
        <v>2024</v>
      </c>
      <c r="B214" s="454" t="str">
        <f t="shared" si="13"/>
        <v>52</v>
      </c>
      <c r="C214" s="454" t="str">
        <f t="array" ref="C214">_xlfn.IFS(_xlfn.NUMBERVALUE(B214)&lt;=13,"Q1",AND(_xlfn.NUMBERVALUE(B214)&gt;13,_xlfn.NUMBERVALUE(B214)&lt;=26),"Q2", AND(_xlfn.NUMBERVALUE(B214)&gt;26,_xlfn.NUMBERVALUE(B214)&lt;=39),"Q3",_xlfn.NUMBERVALUE(B214)&gt;39,"Q4")</f>
        <v>Q4</v>
      </c>
      <c r="D214" s="448">
        <f t="shared" si="15"/>
        <v>45311</v>
      </c>
      <c r="E214" s="448">
        <f t="shared" si="14"/>
        <v>45317</v>
      </c>
      <c r="F214" s="690">
        <v>202352</v>
      </c>
      <c r="G214" s="688"/>
      <c r="H214" s="755">
        <v>0.90911213079496145</v>
      </c>
      <c r="I214" s="755">
        <v>0.62839268645868318</v>
      </c>
      <c r="J214" s="692"/>
      <c r="K214" s="693"/>
    </row>
    <row r="215" spans="1:11" ht="15.75" customHeight="1">
      <c r="A215" s="175">
        <f t="shared" si="12"/>
        <v>2025</v>
      </c>
      <c r="B215" s="454" t="str">
        <f t="shared" si="13"/>
        <v>01</v>
      </c>
      <c r="C215" s="454" t="str">
        <f t="array" ref="C215">_xlfn.IFS(_xlfn.NUMBERVALUE(B215)&lt;=13,"Q1",AND(_xlfn.NUMBERVALUE(B215)&gt;13,_xlfn.NUMBERVALUE(B215)&lt;=26),"Q2", AND(_xlfn.NUMBERVALUE(B215)&gt;26,_xlfn.NUMBERVALUE(B215)&lt;=39),"Q3",_xlfn.NUMBERVALUE(B215)&gt;39,"Q4")</f>
        <v>Q1</v>
      </c>
      <c r="D215" s="448">
        <f t="shared" si="15"/>
        <v>45318</v>
      </c>
      <c r="E215" s="448">
        <f t="shared" si="14"/>
        <v>45324</v>
      </c>
      <c r="F215" s="690">
        <v>202401</v>
      </c>
      <c r="G215" s="688"/>
      <c r="H215" s="755">
        <v>0.90383990734944464</v>
      </c>
      <c r="I215" s="755">
        <v>0.61297728637400417</v>
      </c>
      <c r="J215" s="692"/>
      <c r="K215" s="693"/>
    </row>
    <row r="216" spans="1:11" ht="15.75" customHeight="1">
      <c r="A216" s="175">
        <f t="shared" si="12"/>
        <v>2025</v>
      </c>
      <c r="B216" s="454" t="str">
        <f t="shared" si="13"/>
        <v>02</v>
      </c>
      <c r="C216" s="454" t="str">
        <f t="array" ref="C216">_xlfn.IFS(_xlfn.NUMBERVALUE(B216)&lt;=13,"Q1",AND(_xlfn.NUMBERVALUE(B216)&gt;13,_xlfn.NUMBERVALUE(B216)&lt;=26),"Q2", AND(_xlfn.NUMBERVALUE(B216)&gt;26,_xlfn.NUMBERVALUE(B216)&lt;=39),"Q3",_xlfn.NUMBERVALUE(B216)&gt;39,"Q4")</f>
        <v>Q1</v>
      </c>
      <c r="D216" s="448">
        <f t="shared" si="15"/>
        <v>45325</v>
      </c>
      <c r="E216" s="448">
        <f t="shared" si="14"/>
        <v>45331</v>
      </c>
      <c r="F216" s="690">
        <v>202402</v>
      </c>
      <c r="G216" s="688"/>
      <c r="H216" s="755">
        <v>2.098180283642892E-2</v>
      </c>
      <c r="I216" s="755">
        <v>7.2161945419698781E-2</v>
      </c>
      <c r="J216" s="692"/>
      <c r="K216" s="693"/>
    </row>
    <row r="217" spans="1:11" ht="15.75" customHeight="1">
      <c r="A217" s="175">
        <f t="shared" si="12"/>
        <v>2025</v>
      </c>
      <c r="B217" s="454" t="str">
        <f t="shared" si="13"/>
        <v>03</v>
      </c>
      <c r="C217" s="454" t="str">
        <f t="array" ref="C217">_xlfn.IFS(_xlfn.NUMBERVALUE(B217)&lt;=13,"Q1",AND(_xlfn.NUMBERVALUE(B217)&gt;13,_xlfn.NUMBERVALUE(B217)&lt;=26),"Q2", AND(_xlfn.NUMBERVALUE(B217)&gt;26,_xlfn.NUMBERVALUE(B217)&lt;=39),"Q3",_xlfn.NUMBERVALUE(B217)&gt;39,"Q4")</f>
        <v>Q1</v>
      </c>
      <c r="D217" s="448">
        <f t="shared" si="15"/>
        <v>45332</v>
      </c>
      <c r="E217" s="448">
        <f t="shared" si="14"/>
        <v>45338</v>
      </c>
      <c r="F217" s="690">
        <v>202403</v>
      </c>
      <c r="G217" s="688"/>
      <c r="H217" s="755">
        <v>0.44843489778458318</v>
      </c>
      <c r="I217" s="755">
        <v>3.1701305376722222E-2</v>
      </c>
      <c r="J217" s="692"/>
      <c r="K217" s="693"/>
    </row>
    <row r="218" spans="1:11" ht="15.75" customHeight="1">
      <c r="A218" s="175">
        <f t="shared" si="12"/>
        <v>2025</v>
      </c>
      <c r="B218" s="454" t="str">
        <f t="shared" si="13"/>
        <v>04</v>
      </c>
      <c r="C218" s="454" t="str">
        <f t="array" ref="C218">_xlfn.IFS(_xlfn.NUMBERVALUE(B218)&lt;=13,"Q1",AND(_xlfn.NUMBERVALUE(B218)&gt;13,_xlfn.NUMBERVALUE(B218)&lt;=26),"Q2", AND(_xlfn.NUMBERVALUE(B218)&gt;26,_xlfn.NUMBERVALUE(B218)&lt;=39),"Q3",_xlfn.NUMBERVALUE(B218)&gt;39,"Q4")</f>
        <v>Q1</v>
      </c>
      <c r="D218" s="448">
        <f t="shared" si="15"/>
        <v>45339</v>
      </c>
      <c r="E218" s="448">
        <f t="shared" si="14"/>
        <v>45345</v>
      </c>
      <c r="F218" s="690">
        <v>202404</v>
      </c>
      <c r="G218" s="688"/>
      <c r="H218" s="755">
        <v>0.261967780085547</v>
      </c>
      <c r="I218" s="755">
        <v>0.51577539793479532</v>
      </c>
      <c r="J218" s="692"/>
      <c r="K218" s="693"/>
    </row>
    <row r="219" spans="1:11" ht="15.75" customHeight="1">
      <c r="A219" s="175">
        <f t="shared" si="12"/>
        <v>2025</v>
      </c>
      <c r="B219" s="454" t="str">
        <f t="shared" si="13"/>
        <v>05</v>
      </c>
      <c r="C219" s="454" t="str">
        <f t="array" ref="C219">_xlfn.IFS(_xlfn.NUMBERVALUE(B219)&lt;=13,"Q1",AND(_xlfn.NUMBERVALUE(B219)&gt;13,_xlfn.NUMBERVALUE(B219)&lt;=26),"Q2", AND(_xlfn.NUMBERVALUE(B219)&gt;26,_xlfn.NUMBERVALUE(B219)&lt;=39),"Q3",_xlfn.NUMBERVALUE(B219)&gt;39,"Q4")</f>
        <v>Q1</v>
      </c>
      <c r="D219" s="448">
        <f t="shared" si="15"/>
        <v>45346</v>
      </c>
      <c r="E219" s="448">
        <f t="shared" si="14"/>
        <v>45352</v>
      </c>
      <c r="F219" s="690">
        <v>202405</v>
      </c>
      <c r="G219" s="688"/>
      <c r="H219" s="755">
        <v>0.12719226523956731</v>
      </c>
      <c r="I219" s="755">
        <v>0.94816392938398453</v>
      </c>
      <c r="J219" s="692"/>
      <c r="K219" s="693"/>
    </row>
    <row r="220" spans="1:11" ht="15.75" customHeight="1">
      <c r="A220" s="175">
        <f t="shared" si="12"/>
        <v>2025</v>
      </c>
      <c r="B220" s="454" t="str">
        <f t="shared" si="13"/>
        <v>06</v>
      </c>
      <c r="C220" s="454" t="str">
        <f t="array" ref="C220">_xlfn.IFS(_xlfn.NUMBERVALUE(B220)&lt;=13,"Q1",AND(_xlfn.NUMBERVALUE(B220)&gt;13,_xlfn.NUMBERVALUE(B220)&lt;=26),"Q2", AND(_xlfn.NUMBERVALUE(B220)&gt;26,_xlfn.NUMBERVALUE(B220)&lt;=39),"Q3",_xlfn.NUMBERVALUE(B220)&gt;39,"Q4")</f>
        <v>Q1</v>
      </c>
      <c r="D220" s="448">
        <f t="shared" si="15"/>
        <v>45353</v>
      </c>
      <c r="E220" s="448">
        <f t="shared" si="14"/>
        <v>45359</v>
      </c>
      <c r="F220" s="690">
        <v>202406</v>
      </c>
      <c r="G220" s="688"/>
      <c r="H220" s="755">
        <v>0.74913871051942715</v>
      </c>
      <c r="I220" s="755">
        <v>0.2134792557859618</v>
      </c>
      <c r="J220" s="692"/>
      <c r="K220" s="693"/>
    </row>
    <row r="221" spans="1:11" ht="15.75" customHeight="1">
      <c r="A221" s="175">
        <f t="shared" si="12"/>
        <v>2025</v>
      </c>
      <c r="B221" s="454" t="str">
        <f t="shared" si="13"/>
        <v>07</v>
      </c>
      <c r="C221" s="454" t="str">
        <f t="array" ref="C221">_xlfn.IFS(_xlfn.NUMBERVALUE(B221)&lt;=13,"Q1",AND(_xlfn.NUMBERVALUE(B221)&gt;13,_xlfn.NUMBERVALUE(B221)&lt;=26),"Q2", AND(_xlfn.NUMBERVALUE(B221)&gt;26,_xlfn.NUMBERVALUE(B221)&lt;=39),"Q3",_xlfn.NUMBERVALUE(B221)&gt;39,"Q4")</f>
        <v>Q1</v>
      </c>
      <c r="D221" s="448">
        <f t="shared" si="15"/>
        <v>45360</v>
      </c>
      <c r="E221" s="448">
        <f t="shared" si="14"/>
        <v>45366</v>
      </c>
      <c r="F221" s="690">
        <v>202407</v>
      </c>
      <c r="G221" s="688"/>
      <c r="H221" s="755">
        <v>0.2197685209891613</v>
      </c>
      <c r="I221" s="755">
        <v>0.2540114348874617</v>
      </c>
      <c r="J221" s="692"/>
      <c r="K221" s="693"/>
    </row>
    <row r="222" spans="1:11" ht="15.75" customHeight="1">
      <c r="A222" s="175">
        <f t="shared" si="12"/>
        <v>2025</v>
      </c>
      <c r="B222" s="454" t="str">
        <f t="shared" si="13"/>
        <v>08</v>
      </c>
      <c r="C222" s="454" t="str">
        <f t="array" ref="C222">_xlfn.IFS(_xlfn.NUMBERVALUE(B222)&lt;=13,"Q1",AND(_xlfn.NUMBERVALUE(B222)&gt;13,_xlfn.NUMBERVALUE(B222)&lt;=26),"Q2", AND(_xlfn.NUMBERVALUE(B222)&gt;26,_xlfn.NUMBERVALUE(B222)&lt;=39),"Q3",_xlfn.NUMBERVALUE(B222)&gt;39,"Q4")</f>
        <v>Q1</v>
      </c>
      <c r="D222" s="448">
        <f t="shared" si="15"/>
        <v>45367</v>
      </c>
      <c r="E222" s="448">
        <f t="shared" si="14"/>
        <v>45373</v>
      </c>
      <c r="F222" s="690">
        <v>202408</v>
      </c>
      <c r="G222" s="688"/>
      <c r="H222" s="755">
        <v>0.64026577417375519</v>
      </c>
      <c r="I222" s="755">
        <v>0.85993615034974091</v>
      </c>
      <c r="J222" s="692"/>
      <c r="K222" s="693"/>
    </row>
    <row r="223" spans="1:11" ht="15.75" customHeight="1">
      <c r="A223" s="175">
        <f t="shared" si="12"/>
        <v>2025</v>
      </c>
      <c r="B223" s="454" t="str">
        <f t="shared" si="13"/>
        <v>09</v>
      </c>
      <c r="C223" s="454" t="str">
        <f t="array" ref="C223">_xlfn.IFS(_xlfn.NUMBERVALUE(B223)&lt;=13,"Q1",AND(_xlfn.NUMBERVALUE(B223)&gt;13,_xlfn.NUMBERVALUE(B223)&lt;=26),"Q2", AND(_xlfn.NUMBERVALUE(B223)&gt;26,_xlfn.NUMBERVALUE(B223)&lt;=39),"Q3",_xlfn.NUMBERVALUE(B223)&gt;39,"Q4")</f>
        <v>Q1</v>
      </c>
      <c r="D223" s="448">
        <f t="shared" si="15"/>
        <v>45374</v>
      </c>
      <c r="E223" s="448">
        <f t="shared" si="14"/>
        <v>45380</v>
      </c>
      <c r="F223" s="690">
        <v>202409</v>
      </c>
      <c r="G223" s="688"/>
      <c r="H223" s="755">
        <v>0.80466324637341557</v>
      </c>
      <c r="I223" s="755">
        <v>0.36078769640807568</v>
      </c>
      <c r="J223" s="692"/>
      <c r="K223" s="693"/>
    </row>
    <row r="224" spans="1:11" ht="15.75" customHeight="1">
      <c r="A224" s="175">
        <f t="shared" si="12"/>
        <v>2025</v>
      </c>
      <c r="B224" s="454" t="str">
        <f t="shared" si="13"/>
        <v>10</v>
      </c>
      <c r="C224" s="454" t="str">
        <f t="array" ref="C224">_xlfn.IFS(_xlfn.NUMBERVALUE(B224)&lt;=13,"Q1",AND(_xlfn.NUMBERVALUE(B224)&gt;13,_xlfn.NUMBERVALUE(B224)&lt;=26),"Q2", AND(_xlfn.NUMBERVALUE(B224)&gt;26,_xlfn.NUMBERVALUE(B224)&lt;=39),"Q3",_xlfn.NUMBERVALUE(B224)&gt;39,"Q4")</f>
        <v>Q1</v>
      </c>
      <c r="D224" s="448">
        <f t="shared" si="15"/>
        <v>45381</v>
      </c>
      <c r="E224" s="448">
        <f t="shared" si="14"/>
        <v>45387</v>
      </c>
      <c r="F224" s="690">
        <v>202410</v>
      </c>
      <c r="G224" s="688"/>
      <c r="H224" s="755">
        <v>0.57599912612584547</v>
      </c>
      <c r="I224" s="755">
        <v>0.38258374937548689</v>
      </c>
      <c r="J224" s="692"/>
      <c r="K224" s="693"/>
    </row>
    <row r="225" spans="1:11" ht="15.75" customHeight="1">
      <c r="A225" s="175">
        <f t="shared" si="12"/>
        <v>2025</v>
      </c>
      <c r="B225" s="454" t="str">
        <f t="shared" si="13"/>
        <v>11</v>
      </c>
      <c r="C225" s="454" t="str">
        <f t="array" ref="C225">_xlfn.IFS(_xlfn.NUMBERVALUE(B225)&lt;=13,"Q1",AND(_xlfn.NUMBERVALUE(B225)&gt;13,_xlfn.NUMBERVALUE(B225)&lt;=26),"Q2", AND(_xlfn.NUMBERVALUE(B225)&gt;26,_xlfn.NUMBERVALUE(B225)&lt;=39),"Q3",_xlfn.NUMBERVALUE(B225)&gt;39,"Q4")</f>
        <v>Q1</v>
      </c>
      <c r="D225" s="448">
        <f t="shared" si="15"/>
        <v>45388</v>
      </c>
      <c r="E225" s="448">
        <f t="shared" si="14"/>
        <v>45394</v>
      </c>
      <c r="F225" s="690">
        <v>202411</v>
      </c>
      <c r="G225" s="688"/>
      <c r="H225" s="755">
        <v>0.41113490717526319</v>
      </c>
      <c r="I225" s="755">
        <v>0.78265387839999068</v>
      </c>
      <c r="J225" s="692"/>
      <c r="K225" s="693"/>
    </row>
    <row r="226" spans="1:11" ht="15.75" customHeight="1">
      <c r="A226" s="175">
        <f t="shared" si="12"/>
        <v>2025</v>
      </c>
      <c r="B226" s="454" t="str">
        <f t="shared" si="13"/>
        <v>12</v>
      </c>
      <c r="C226" s="454" t="str">
        <f t="array" ref="C226">_xlfn.IFS(_xlfn.NUMBERVALUE(B226)&lt;=13,"Q1",AND(_xlfn.NUMBERVALUE(B226)&gt;13,_xlfn.NUMBERVALUE(B226)&lt;=26),"Q2", AND(_xlfn.NUMBERVALUE(B226)&gt;26,_xlfn.NUMBERVALUE(B226)&lt;=39),"Q3",_xlfn.NUMBERVALUE(B226)&gt;39,"Q4")</f>
        <v>Q1</v>
      </c>
      <c r="D226" s="448">
        <f t="shared" si="15"/>
        <v>45395</v>
      </c>
      <c r="E226" s="448">
        <f t="shared" si="14"/>
        <v>45401</v>
      </c>
      <c r="F226" s="690">
        <v>202412</v>
      </c>
      <c r="G226" s="688"/>
      <c r="H226" s="755">
        <v>0.81417253220457442</v>
      </c>
      <c r="I226" s="755">
        <v>0.24379651504811931</v>
      </c>
      <c r="J226" s="692"/>
      <c r="K226" s="693"/>
    </row>
    <row r="227" spans="1:11" ht="15.75" customHeight="1">
      <c r="A227" s="175">
        <f t="shared" si="12"/>
        <v>2025</v>
      </c>
      <c r="B227" s="454" t="str">
        <f t="shared" si="13"/>
        <v>13</v>
      </c>
      <c r="C227" s="454" t="str">
        <f t="array" ref="C227">_xlfn.IFS(_xlfn.NUMBERVALUE(B227)&lt;=13,"Q1",AND(_xlfn.NUMBERVALUE(B227)&gt;13,_xlfn.NUMBERVALUE(B227)&lt;=26),"Q2", AND(_xlfn.NUMBERVALUE(B227)&gt;26,_xlfn.NUMBERVALUE(B227)&lt;=39),"Q3",_xlfn.NUMBERVALUE(B227)&gt;39,"Q4")</f>
        <v>Q1</v>
      </c>
      <c r="D227" s="448">
        <f t="shared" si="15"/>
        <v>45402</v>
      </c>
      <c r="E227" s="448">
        <f t="shared" si="14"/>
        <v>45408</v>
      </c>
      <c r="F227" s="690">
        <v>202413</v>
      </c>
      <c r="G227" s="688"/>
      <c r="H227" s="755">
        <v>0.15920396685394519</v>
      </c>
      <c r="I227" s="755">
        <v>0.8847401624907556</v>
      </c>
      <c r="J227" s="692"/>
      <c r="K227" s="693"/>
    </row>
    <row r="228" spans="1:11" ht="15.75" customHeight="1">
      <c r="A228" s="175">
        <f t="shared" si="12"/>
        <v>2025</v>
      </c>
      <c r="B228" s="454" t="str">
        <f t="shared" si="13"/>
        <v>14</v>
      </c>
      <c r="C228" s="454" t="str">
        <f t="array" ref="C228">_xlfn.IFS(_xlfn.NUMBERVALUE(B228)&lt;=13,"Q1",AND(_xlfn.NUMBERVALUE(B228)&gt;13,_xlfn.NUMBERVALUE(B228)&lt;=26),"Q2", AND(_xlfn.NUMBERVALUE(B228)&gt;26,_xlfn.NUMBERVALUE(B228)&lt;=39),"Q3",_xlfn.NUMBERVALUE(B228)&gt;39,"Q4")</f>
        <v>Q2</v>
      </c>
      <c r="D228" s="448">
        <f t="shared" si="15"/>
        <v>45409</v>
      </c>
      <c r="E228" s="448">
        <f t="shared" si="14"/>
        <v>45415</v>
      </c>
      <c r="F228" s="690">
        <v>202414</v>
      </c>
      <c r="G228" s="688"/>
      <c r="H228" s="755">
        <v>0.18582203135492681</v>
      </c>
      <c r="I228" s="755">
        <v>0.13261261109808681</v>
      </c>
      <c r="J228" s="692"/>
      <c r="K228" s="693"/>
    </row>
    <row r="229" spans="1:11" ht="15.75" customHeight="1">
      <c r="A229" s="175">
        <f t="shared" si="12"/>
        <v>2025</v>
      </c>
      <c r="B229" s="454" t="str">
        <f t="shared" si="13"/>
        <v>15</v>
      </c>
      <c r="C229" s="454" t="str">
        <f t="array" ref="C229">_xlfn.IFS(_xlfn.NUMBERVALUE(B229)&lt;=13,"Q1",AND(_xlfn.NUMBERVALUE(B229)&gt;13,_xlfn.NUMBERVALUE(B229)&lt;=26),"Q2", AND(_xlfn.NUMBERVALUE(B229)&gt;26,_xlfn.NUMBERVALUE(B229)&lt;=39),"Q3",_xlfn.NUMBERVALUE(B229)&gt;39,"Q4")</f>
        <v>Q2</v>
      </c>
      <c r="D229" s="448">
        <f t="shared" si="15"/>
        <v>45416</v>
      </c>
      <c r="E229" s="448">
        <f t="shared" si="14"/>
        <v>45422</v>
      </c>
      <c r="F229" s="690">
        <v>202415</v>
      </c>
      <c r="G229" s="688"/>
      <c r="H229" s="755">
        <v>0.71198472306920857</v>
      </c>
      <c r="I229" s="755">
        <v>0.71728031934218939</v>
      </c>
      <c r="J229" s="692"/>
      <c r="K229" s="693"/>
    </row>
    <row r="230" spans="1:11" ht="15.75" customHeight="1">
      <c r="A230" s="175">
        <f t="shared" si="12"/>
        <v>2025</v>
      </c>
      <c r="B230" s="454" t="str">
        <f t="shared" si="13"/>
        <v>16</v>
      </c>
      <c r="C230" s="454" t="str">
        <f t="array" ref="C230">_xlfn.IFS(_xlfn.NUMBERVALUE(B230)&lt;=13,"Q1",AND(_xlfn.NUMBERVALUE(B230)&gt;13,_xlfn.NUMBERVALUE(B230)&lt;=26),"Q2", AND(_xlfn.NUMBERVALUE(B230)&gt;26,_xlfn.NUMBERVALUE(B230)&lt;=39),"Q3",_xlfn.NUMBERVALUE(B230)&gt;39,"Q4")</f>
        <v>Q2</v>
      </c>
      <c r="D230" s="448">
        <f t="shared" si="15"/>
        <v>45423</v>
      </c>
      <c r="E230" s="448">
        <f t="shared" si="14"/>
        <v>45429</v>
      </c>
      <c r="F230" s="690">
        <v>202416</v>
      </c>
      <c r="G230" s="688"/>
      <c r="H230" s="755">
        <v>0.33552561444836532</v>
      </c>
      <c r="I230" s="755">
        <v>0.49925987149142681</v>
      </c>
      <c r="J230" s="692"/>
      <c r="K230" s="693"/>
    </row>
    <row r="231" spans="1:11" ht="15.75" customHeight="1">
      <c r="A231" s="175">
        <f t="shared" si="12"/>
        <v>2025</v>
      </c>
      <c r="B231" s="454" t="str">
        <f t="shared" si="13"/>
        <v>17</v>
      </c>
      <c r="C231" s="454" t="str">
        <f t="array" ref="C231">_xlfn.IFS(_xlfn.NUMBERVALUE(B231)&lt;=13,"Q1",AND(_xlfn.NUMBERVALUE(B231)&gt;13,_xlfn.NUMBERVALUE(B231)&lt;=26),"Q2", AND(_xlfn.NUMBERVALUE(B231)&gt;26,_xlfn.NUMBERVALUE(B231)&lt;=39),"Q3",_xlfn.NUMBERVALUE(B231)&gt;39,"Q4")</f>
        <v>Q2</v>
      </c>
      <c r="D231" s="448">
        <f t="shared" si="15"/>
        <v>45430</v>
      </c>
      <c r="E231" s="448">
        <f t="shared" si="14"/>
        <v>45436</v>
      </c>
      <c r="F231" s="690">
        <v>202417</v>
      </c>
      <c r="G231" s="688"/>
      <c r="H231" s="755">
        <v>0.36573909276441569</v>
      </c>
      <c r="I231" s="755">
        <v>0.67223701861949048</v>
      </c>
      <c r="J231" s="692"/>
      <c r="K231" s="693"/>
    </row>
    <row r="232" spans="1:11" ht="15.75" customHeight="1">
      <c r="A232" s="175">
        <f t="shared" si="12"/>
        <v>2025</v>
      </c>
      <c r="B232" s="454" t="str">
        <f t="shared" si="13"/>
        <v>18</v>
      </c>
      <c r="C232" s="454" t="str">
        <f t="array" ref="C232">_xlfn.IFS(_xlfn.NUMBERVALUE(B232)&lt;=13,"Q1",AND(_xlfn.NUMBERVALUE(B232)&gt;13,_xlfn.NUMBERVALUE(B232)&lt;=26),"Q2", AND(_xlfn.NUMBERVALUE(B232)&gt;26,_xlfn.NUMBERVALUE(B232)&lt;=39),"Q3",_xlfn.NUMBERVALUE(B232)&gt;39,"Q4")</f>
        <v>Q2</v>
      </c>
      <c r="D232" s="448">
        <f t="shared" si="15"/>
        <v>45437</v>
      </c>
      <c r="E232" s="448">
        <f t="shared" si="14"/>
        <v>45443</v>
      </c>
      <c r="F232" s="690">
        <v>202418</v>
      </c>
      <c r="G232" s="688"/>
      <c r="H232" s="755">
        <v>0.42058019152168091</v>
      </c>
      <c r="I232" s="755">
        <v>0.62325864881538484</v>
      </c>
      <c r="J232" s="692"/>
      <c r="K232" s="693"/>
    </row>
    <row r="233" spans="1:11" ht="15.75" customHeight="1">
      <c r="A233" s="175">
        <f t="shared" si="12"/>
        <v>2025</v>
      </c>
      <c r="B233" s="454" t="str">
        <f t="shared" si="13"/>
        <v>19</v>
      </c>
      <c r="C233" s="454" t="str">
        <f t="array" ref="C233">_xlfn.IFS(_xlfn.NUMBERVALUE(B233)&lt;=13,"Q1",AND(_xlfn.NUMBERVALUE(B233)&gt;13,_xlfn.NUMBERVALUE(B233)&lt;=26),"Q2", AND(_xlfn.NUMBERVALUE(B233)&gt;26,_xlfn.NUMBERVALUE(B233)&lt;=39),"Q3",_xlfn.NUMBERVALUE(B233)&gt;39,"Q4")</f>
        <v>Q2</v>
      </c>
      <c r="D233" s="448">
        <f t="shared" si="15"/>
        <v>45444</v>
      </c>
      <c r="E233" s="448">
        <f t="shared" si="14"/>
        <v>45450</v>
      </c>
      <c r="F233" s="690">
        <v>202419</v>
      </c>
      <c r="G233" s="688"/>
      <c r="H233" s="755">
        <v>4.2022228798490928E-2</v>
      </c>
      <c r="I233" s="755">
        <v>0.37043247208947172</v>
      </c>
      <c r="J233" s="692"/>
      <c r="K233" s="693"/>
    </row>
    <row r="234" spans="1:11" ht="15.75" customHeight="1">
      <c r="A234" s="175">
        <f t="shared" si="12"/>
        <v>2025</v>
      </c>
      <c r="B234" s="454" t="str">
        <f t="shared" si="13"/>
        <v>20</v>
      </c>
      <c r="C234" s="454" t="str">
        <f t="array" ref="C234">_xlfn.IFS(_xlfn.NUMBERVALUE(B234)&lt;=13,"Q1",AND(_xlfn.NUMBERVALUE(B234)&gt;13,_xlfn.NUMBERVALUE(B234)&lt;=26),"Q2", AND(_xlfn.NUMBERVALUE(B234)&gt;26,_xlfn.NUMBERVALUE(B234)&lt;=39),"Q3",_xlfn.NUMBERVALUE(B234)&gt;39,"Q4")</f>
        <v>Q2</v>
      </c>
      <c r="D234" s="448">
        <f t="shared" si="15"/>
        <v>45451</v>
      </c>
      <c r="E234" s="448">
        <f t="shared" si="14"/>
        <v>45457</v>
      </c>
      <c r="F234" s="690">
        <v>202420</v>
      </c>
      <c r="G234" s="688"/>
      <c r="H234" s="755">
        <v>0.83643480415472204</v>
      </c>
      <c r="I234" s="755">
        <v>0.75956749925646483</v>
      </c>
      <c r="J234" s="692"/>
      <c r="K234" s="693"/>
    </row>
    <row r="235" spans="1:11" ht="15.75" customHeight="1">
      <c r="A235" s="175">
        <f t="shared" si="12"/>
        <v>2025</v>
      </c>
      <c r="B235" s="454" t="str">
        <f t="shared" si="13"/>
        <v>21</v>
      </c>
      <c r="C235" s="454" t="str">
        <f t="array" ref="C235">_xlfn.IFS(_xlfn.NUMBERVALUE(B235)&lt;=13,"Q1",AND(_xlfn.NUMBERVALUE(B235)&gt;13,_xlfn.NUMBERVALUE(B235)&lt;=26),"Q2", AND(_xlfn.NUMBERVALUE(B235)&gt;26,_xlfn.NUMBERVALUE(B235)&lt;=39),"Q3",_xlfn.NUMBERVALUE(B235)&gt;39,"Q4")</f>
        <v>Q2</v>
      </c>
      <c r="D235" s="448">
        <f t="shared" si="15"/>
        <v>45458</v>
      </c>
      <c r="E235" s="448">
        <f t="shared" si="14"/>
        <v>45464</v>
      </c>
      <c r="F235" s="690">
        <v>202421</v>
      </c>
      <c r="G235" s="688"/>
      <c r="H235" s="755">
        <v>0.71546830947576345</v>
      </c>
      <c r="I235" s="755">
        <v>0.72474130607931209</v>
      </c>
      <c r="J235" s="692"/>
      <c r="K235" s="693"/>
    </row>
    <row r="236" spans="1:11" ht="15.75" customHeight="1">
      <c r="A236" s="175">
        <f t="shared" si="12"/>
        <v>2025</v>
      </c>
      <c r="B236" s="454" t="str">
        <f t="shared" si="13"/>
        <v>22</v>
      </c>
      <c r="C236" s="454" t="str">
        <f t="array" ref="C236">_xlfn.IFS(_xlfn.NUMBERVALUE(B236)&lt;=13,"Q1",AND(_xlfn.NUMBERVALUE(B236)&gt;13,_xlfn.NUMBERVALUE(B236)&lt;=26),"Q2", AND(_xlfn.NUMBERVALUE(B236)&gt;26,_xlfn.NUMBERVALUE(B236)&lt;=39),"Q3",_xlfn.NUMBERVALUE(B236)&gt;39,"Q4")</f>
        <v>Q2</v>
      </c>
      <c r="D236" s="448">
        <f t="shared" si="15"/>
        <v>45465</v>
      </c>
      <c r="E236" s="448">
        <f t="shared" si="14"/>
        <v>45471</v>
      </c>
      <c r="F236" s="690">
        <v>202422</v>
      </c>
      <c r="G236" s="694">
        <f t="shared" ref="G236:G267" si="16">IFERROR((J236*H236+K236*I236)/SUM(J236:K236),0)</f>
        <v>0.42498962961987419</v>
      </c>
      <c r="H236" s="755">
        <v>2.9212416129405061E-2</v>
      </c>
      <c r="I236" s="755">
        <v>0.98421756595532095</v>
      </c>
      <c r="J236" s="692">
        <f>'Glass Metrics'!AB236</f>
        <v>91960</v>
      </c>
      <c r="K236" s="693">
        <f>'Glass Metrics'!AA236</f>
        <v>65082</v>
      </c>
    </row>
    <row r="237" spans="1:11" ht="15.6" customHeight="1">
      <c r="A237" s="175">
        <f t="shared" si="12"/>
        <v>2025</v>
      </c>
      <c r="B237" s="454" t="str">
        <f t="shared" si="13"/>
        <v>23</v>
      </c>
      <c r="C237" s="454" t="str">
        <f t="array" ref="C237">_xlfn.IFS(_xlfn.NUMBERVALUE(B237)&lt;=13,"Q1",AND(_xlfn.NUMBERVALUE(B237)&gt;13,_xlfn.NUMBERVALUE(B237)&lt;=26),"Q2", AND(_xlfn.NUMBERVALUE(B237)&gt;26,_xlfn.NUMBERVALUE(B237)&lt;=39),"Q3",_xlfn.NUMBERVALUE(B237)&gt;39,"Q4")</f>
        <v>Q2</v>
      </c>
      <c r="D237" s="448">
        <f t="shared" si="15"/>
        <v>45472</v>
      </c>
      <c r="E237" s="448">
        <f t="shared" si="14"/>
        <v>45478</v>
      </c>
      <c r="F237" s="690">
        <v>202423</v>
      </c>
      <c r="G237" s="694">
        <f t="shared" si="16"/>
        <v>0.68127897204812793</v>
      </c>
      <c r="H237" s="755">
        <v>0.98053920940248429</v>
      </c>
      <c r="I237" s="755">
        <v>0.32125040522578352</v>
      </c>
      <c r="J237" s="692">
        <f>'Glass Metrics'!AB237</f>
        <v>73791</v>
      </c>
      <c r="K237" s="693">
        <f>'Glass Metrics'!AA237</f>
        <v>61336</v>
      </c>
    </row>
    <row r="238" spans="1:11" ht="15.75" customHeight="1">
      <c r="A238" s="175">
        <f t="shared" si="12"/>
        <v>2025</v>
      </c>
      <c r="B238" s="454" t="str">
        <f t="shared" si="13"/>
        <v>24</v>
      </c>
      <c r="C238" s="454" t="str">
        <f t="array" ref="C238">_xlfn.IFS(_xlfn.NUMBERVALUE(B238)&lt;=13,"Q1",AND(_xlfn.NUMBERVALUE(B238)&gt;13,_xlfn.NUMBERVALUE(B238)&lt;=26),"Q2", AND(_xlfn.NUMBERVALUE(B238)&gt;26,_xlfn.NUMBERVALUE(B238)&lt;=39),"Q3",_xlfn.NUMBERVALUE(B238)&gt;39,"Q4")</f>
        <v>Q2</v>
      </c>
      <c r="D238" s="448">
        <f t="shared" si="15"/>
        <v>45479</v>
      </c>
      <c r="E238" s="448">
        <f t="shared" si="14"/>
        <v>45485</v>
      </c>
      <c r="F238" s="690">
        <v>202424</v>
      </c>
      <c r="G238" s="694">
        <f t="shared" si="16"/>
        <v>0.83331307096341545</v>
      </c>
      <c r="H238" s="755">
        <v>0.75290525078596815</v>
      </c>
      <c r="I238" s="755">
        <v>0.95137595685978249</v>
      </c>
      <c r="J238" s="692">
        <f>'Glass Metrics'!AB238</f>
        <v>79717</v>
      </c>
      <c r="K238" s="693">
        <f>'Glass Metrics'!AA238</f>
        <v>54292</v>
      </c>
    </row>
    <row r="239" spans="1:11" ht="15.75" customHeight="1">
      <c r="A239" s="175">
        <f t="shared" si="12"/>
        <v>2025</v>
      </c>
      <c r="B239" s="454" t="str">
        <f t="shared" si="13"/>
        <v>25</v>
      </c>
      <c r="C239" s="454" t="str">
        <f t="array" ref="C239">_xlfn.IFS(_xlfn.NUMBERVALUE(B239)&lt;=13,"Q1",AND(_xlfn.NUMBERVALUE(B239)&gt;13,_xlfn.NUMBERVALUE(B239)&lt;=26),"Q2", AND(_xlfn.NUMBERVALUE(B239)&gt;26,_xlfn.NUMBERVALUE(B239)&lt;=39),"Q3",_xlfn.NUMBERVALUE(B239)&gt;39,"Q4")</f>
        <v>Q2</v>
      </c>
      <c r="D239" s="448">
        <f t="shared" si="15"/>
        <v>45486</v>
      </c>
      <c r="E239" s="448">
        <f t="shared" si="14"/>
        <v>45492</v>
      </c>
      <c r="F239" s="690">
        <v>202425</v>
      </c>
      <c r="G239" s="694">
        <f t="shared" si="16"/>
        <v>0.46961705473961274</v>
      </c>
      <c r="H239" s="755">
        <v>0.46809423994148941</v>
      </c>
      <c r="I239" s="755">
        <v>0.47073186441105658</v>
      </c>
      <c r="J239" s="692">
        <f>'Glass Metrics'!AB239</f>
        <v>66538</v>
      </c>
      <c r="K239" s="693">
        <f>'Glass Metrics'!AA239</f>
        <v>90890</v>
      </c>
    </row>
    <row r="240" spans="1:11" ht="15.75" customHeight="1">
      <c r="A240" s="175">
        <f t="shared" si="12"/>
        <v>2025</v>
      </c>
      <c r="B240" s="454" t="str">
        <f t="shared" si="13"/>
        <v>26</v>
      </c>
      <c r="C240" s="454" t="str">
        <f t="array" ref="C240">_xlfn.IFS(_xlfn.NUMBERVALUE(B240)&lt;=13,"Q1",AND(_xlfn.NUMBERVALUE(B240)&gt;13,_xlfn.NUMBERVALUE(B240)&lt;=26),"Q2", AND(_xlfn.NUMBERVALUE(B240)&gt;26,_xlfn.NUMBERVALUE(B240)&lt;=39),"Q3",_xlfn.NUMBERVALUE(B240)&gt;39,"Q4")</f>
        <v>Q2</v>
      </c>
      <c r="D240" s="448">
        <f t="shared" si="15"/>
        <v>45493</v>
      </c>
      <c r="E240" s="448">
        <f t="shared" si="14"/>
        <v>45499</v>
      </c>
      <c r="F240" s="690">
        <v>202426</v>
      </c>
      <c r="G240" s="694">
        <f t="shared" si="16"/>
        <v>0.50797080724603128</v>
      </c>
      <c r="H240" s="755">
        <v>0.62916732743467796</v>
      </c>
      <c r="I240" s="755">
        <v>0.39229681235251362</v>
      </c>
      <c r="J240" s="692">
        <f>'Glass Metrics'!AB240</f>
        <v>71949</v>
      </c>
      <c r="K240" s="693">
        <f>'Glass Metrics'!AA240</f>
        <v>75384</v>
      </c>
    </row>
    <row r="241" spans="1:11" ht="15.75" customHeight="1">
      <c r="A241" s="175">
        <f t="shared" si="12"/>
        <v>2025</v>
      </c>
      <c r="B241" s="454" t="str">
        <f t="shared" si="13"/>
        <v>27</v>
      </c>
      <c r="C241" s="454" t="str">
        <f t="array" ref="C241">_xlfn.IFS(_xlfn.NUMBERVALUE(B241)&lt;=13,"Q1",AND(_xlfn.NUMBERVALUE(B241)&gt;13,_xlfn.NUMBERVALUE(B241)&lt;=26),"Q2", AND(_xlfn.NUMBERVALUE(B241)&gt;26,_xlfn.NUMBERVALUE(B241)&lt;=39),"Q3",_xlfn.NUMBERVALUE(B241)&gt;39,"Q4")</f>
        <v>Q3</v>
      </c>
      <c r="D241" s="448">
        <f t="shared" si="15"/>
        <v>45500</v>
      </c>
      <c r="E241" s="448">
        <f t="shared" si="14"/>
        <v>45506</v>
      </c>
      <c r="F241" s="690">
        <v>202427</v>
      </c>
      <c r="G241" s="694">
        <f t="shared" si="16"/>
        <v>0.53093184489538736</v>
      </c>
      <c r="H241" s="755">
        <v>0.49913791284313269</v>
      </c>
      <c r="I241" s="755">
        <v>0.56091636262025524</v>
      </c>
      <c r="J241" s="692">
        <f>'Glass Metrics'!AB241</f>
        <v>68473</v>
      </c>
      <c r="K241" s="693">
        <f>'Glass Metrics'!AA241</f>
        <v>72605</v>
      </c>
    </row>
    <row r="242" spans="1:11" ht="15.75" customHeight="1">
      <c r="A242" s="175">
        <f t="shared" si="12"/>
        <v>2025</v>
      </c>
      <c r="B242" s="454" t="str">
        <f t="shared" si="13"/>
        <v>28</v>
      </c>
      <c r="C242" s="454" t="str">
        <f t="array" ref="C242">_xlfn.IFS(_xlfn.NUMBERVALUE(B242)&lt;=13,"Q1",AND(_xlfn.NUMBERVALUE(B242)&gt;13,_xlfn.NUMBERVALUE(B242)&lt;=26),"Q2", AND(_xlfn.NUMBERVALUE(B242)&gt;26,_xlfn.NUMBERVALUE(B242)&lt;=39),"Q3",_xlfn.NUMBERVALUE(B242)&gt;39,"Q4")</f>
        <v>Q3</v>
      </c>
      <c r="D242" s="448">
        <f t="shared" si="15"/>
        <v>45507</v>
      </c>
      <c r="E242" s="448">
        <f t="shared" si="14"/>
        <v>45513</v>
      </c>
      <c r="F242" s="690">
        <v>202428</v>
      </c>
      <c r="G242" s="694">
        <f t="shared" si="16"/>
        <v>0.27172221696553062</v>
      </c>
      <c r="H242" s="755">
        <v>8.2771412599660588E-2</v>
      </c>
      <c r="I242" s="755">
        <v>0.69172274315020021</v>
      </c>
      <c r="J242" s="692">
        <v>24083639</v>
      </c>
      <c r="K242" s="693">
        <v>10834803</v>
      </c>
    </row>
    <row r="243" spans="1:11" ht="15.75" customHeight="1">
      <c r="A243" s="175">
        <f t="shared" si="12"/>
        <v>2025</v>
      </c>
      <c r="B243" s="454" t="str">
        <f t="shared" si="13"/>
        <v>29</v>
      </c>
      <c r="C243" s="454" t="str">
        <f t="array" ref="C243">_xlfn.IFS(_xlfn.NUMBERVALUE(B243)&lt;=13,"Q1",AND(_xlfn.NUMBERVALUE(B243)&gt;13,_xlfn.NUMBERVALUE(B243)&lt;=26),"Q2", AND(_xlfn.NUMBERVALUE(B243)&gt;26,_xlfn.NUMBERVALUE(B243)&lt;=39),"Q3",_xlfn.NUMBERVALUE(B243)&gt;39,"Q4")</f>
        <v>Q3</v>
      </c>
      <c r="D243" s="448">
        <f t="shared" si="15"/>
        <v>45514</v>
      </c>
      <c r="E243" s="448">
        <f t="shared" si="14"/>
        <v>45520</v>
      </c>
      <c r="F243" s="690">
        <v>202429</v>
      </c>
      <c r="G243" s="694">
        <f t="shared" si="16"/>
        <v>0.49513212768101311</v>
      </c>
      <c r="H243" s="755">
        <v>0.5538292660768791</v>
      </c>
      <c r="I243" s="755">
        <v>0.43169521116113591</v>
      </c>
      <c r="J243" s="692">
        <f>'Glass Metrics'!AB243</f>
        <v>96351</v>
      </c>
      <c r="K243" s="693">
        <f>'Glass Metrics'!AA243</f>
        <v>89152</v>
      </c>
    </row>
    <row r="244" spans="1:11" ht="15.75" customHeight="1">
      <c r="A244" s="175">
        <f t="shared" si="12"/>
        <v>2025</v>
      </c>
      <c r="B244" s="454" t="str">
        <f t="shared" si="13"/>
        <v>30</v>
      </c>
      <c r="C244" s="454" t="str">
        <f t="array" ref="C244">_xlfn.IFS(_xlfn.NUMBERVALUE(B244)&lt;=13,"Q1",AND(_xlfn.NUMBERVALUE(B244)&gt;13,_xlfn.NUMBERVALUE(B244)&lt;=26),"Q2", AND(_xlfn.NUMBERVALUE(B244)&gt;26,_xlfn.NUMBERVALUE(B244)&lt;=39),"Q3",_xlfn.NUMBERVALUE(B244)&gt;39,"Q4")</f>
        <v>Q3</v>
      </c>
      <c r="D244" s="448">
        <f t="shared" si="15"/>
        <v>45521</v>
      </c>
      <c r="E244" s="448">
        <f t="shared" si="14"/>
        <v>45527</v>
      </c>
      <c r="F244" s="690">
        <v>202430</v>
      </c>
      <c r="G244" s="694">
        <f t="shared" si="16"/>
        <v>0.85760832050689251</v>
      </c>
      <c r="H244" s="755">
        <v>0.805610493214995</v>
      </c>
      <c r="I244" s="755">
        <v>0.9075230876378062</v>
      </c>
      <c r="J244" s="692">
        <f>'Glass Metrics'!AB244</f>
        <v>79938</v>
      </c>
      <c r="K244" s="693">
        <f>'Glass Metrics'!AA244</f>
        <v>83274</v>
      </c>
    </row>
    <row r="245" spans="1:11" ht="15.75" customHeight="1">
      <c r="A245" s="175">
        <f t="shared" si="12"/>
        <v>2025</v>
      </c>
      <c r="B245" s="454" t="str">
        <f t="shared" si="13"/>
        <v>31</v>
      </c>
      <c r="C245" s="454" t="str">
        <f t="array" ref="C245">_xlfn.IFS(_xlfn.NUMBERVALUE(B245)&lt;=13,"Q1",AND(_xlfn.NUMBERVALUE(B245)&gt;13,_xlfn.NUMBERVALUE(B245)&lt;=26),"Q2", AND(_xlfn.NUMBERVALUE(B245)&gt;26,_xlfn.NUMBERVALUE(B245)&lt;=39),"Q3",_xlfn.NUMBERVALUE(B245)&gt;39,"Q4")</f>
        <v>Q3</v>
      </c>
      <c r="D245" s="448">
        <f t="shared" si="15"/>
        <v>45528</v>
      </c>
      <c r="E245" s="448">
        <f t="shared" si="14"/>
        <v>45534</v>
      </c>
      <c r="F245" s="690">
        <v>202431</v>
      </c>
      <c r="G245" s="694">
        <f t="shared" si="16"/>
        <v>0.56053052375491186</v>
      </c>
      <c r="H245" s="755">
        <v>0.4493551013544097</v>
      </c>
      <c r="I245" s="755">
        <v>0.63652158777509804</v>
      </c>
      <c r="J245" s="692">
        <f>'Glass Metrics'!AB245</f>
        <v>63768</v>
      </c>
      <c r="K245" s="693">
        <f>'Glass Metrics'!AA245</f>
        <v>93293</v>
      </c>
    </row>
    <row r="246" spans="1:11" ht="15.75" customHeight="1">
      <c r="A246" s="175">
        <f t="shared" si="12"/>
        <v>2025</v>
      </c>
      <c r="B246" s="454" t="str">
        <f t="shared" si="13"/>
        <v>32</v>
      </c>
      <c r="C246" s="454" t="str">
        <f t="array" ref="C246">_xlfn.IFS(_xlfn.NUMBERVALUE(B246)&lt;=13,"Q1",AND(_xlfn.NUMBERVALUE(B246)&gt;13,_xlfn.NUMBERVALUE(B246)&lt;=26),"Q2", AND(_xlfn.NUMBERVALUE(B246)&gt;26,_xlfn.NUMBERVALUE(B246)&lt;=39),"Q3",_xlfn.NUMBERVALUE(B246)&gt;39,"Q4")</f>
        <v>Q3</v>
      </c>
      <c r="D246" s="448">
        <f t="shared" si="15"/>
        <v>45535</v>
      </c>
      <c r="E246" s="448">
        <f t="shared" si="14"/>
        <v>45541</v>
      </c>
      <c r="F246" s="690">
        <v>202432</v>
      </c>
      <c r="G246" s="694">
        <f t="shared" si="16"/>
        <v>0.20038742946617891</v>
      </c>
      <c r="H246" s="755">
        <v>0.28183424244978478</v>
      </c>
      <c r="I246" s="755">
        <v>0.1007827853175124</v>
      </c>
      <c r="J246" s="692">
        <f>'Glass Metrics'!AB246</f>
        <v>85453</v>
      </c>
      <c r="K246" s="693">
        <f>'Glass Metrics'!AA246</f>
        <v>69875</v>
      </c>
    </row>
    <row r="247" spans="1:11" ht="15.75" customHeight="1">
      <c r="A247" s="175">
        <f t="shared" si="12"/>
        <v>2025</v>
      </c>
      <c r="B247" s="454" t="str">
        <f t="shared" si="13"/>
        <v>33</v>
      </c>
      <c r="C247" s="454" t="str">
        <f t="array" ref="C247">_xlfn.IFS(_xlfn.NUMBERVALUE(B247)&lt;=13,"Q1",AND(_xlfn.NUMBERVALUE(B247)&gt;13,_xlfn.NUMBERVALUE(B247)&lt;=26),"Q2", AND(_xlfn.NUMBERVALUE(B247)&gt;26,_xlfn.NUMBERVALUE(B247)&lt;=39),"Q3",_xlfn.NUMBERVALUE(B247)&gt;39,"Q4")</f>
        <v>Q3</v>
      </c>
      <c r="D247" s="448">
        <f t="shared" si="15"/>
        <v>45542</v>
      </c>
      <c r="E247" s="448">
        <f t="shared" si="14"/>
        <v>45548</v>
      </c>
      <c r="F247" s="690">
        <v>202433</v>
      </c>
      <c r="G247" s="694">
        <f t="shared" si="16"/>
        <v>0.46731863674348034</v>
      </c>
      <c r="H247" s="755">
        <v>0.1079177624676808</v>
      </c>
      <c r="I247" s="755">
        <v>0.80647043559967846</v>
      </c>
      <c r="J247" s="692">
        <f>'Glass Metrics'!AB247</f>
        <v>58722</v>
      </c>
      <c r="K247" s="693">
        <f>'Glass Metrics'!AA247</f>
        <v>62228</v>
      </c>
    </row>
    <row r="248" spans="1:11" ht="15.75" customHeight="1">
      <c r="A248" s="175">
        <f t="shared" si="12"/>
        <v>2025</v>
      </c>
      <c r="B248" s="454" t="str">
        <f t="shared" si="13"/>
        <v>34</v>
      </c>
      <c r="C248" s="454" t="str">
        <f t="array" ref="C248">_xlfn.IFS(_xlfn.NUMBERVALUE(B248)&lt;=13,"Q1",AND(_xlfn.NUMBERVALUE(B248)&gt;13,_xlfn.NUMBERVALUE(B248)&lt;=26),"Q2", AND(_xlfn.NUMBERVALUE(B248)&gt;26,_xlfn.NUMBERVALUE(B248)&lt;=39),"Q3",_xlfn.NUMBERVALUE(B248)&gt;39,"Q4")</f>
        <v>Q3</v>
      </c>
      <c r="D248" s="448">
        <f t="shared" si="15"/>
        <v>45549</v>
      </c>
      <c r="E248" s="448">
        <f t="shared" si="14"/>
        <v>45555</v>
      </c>
      <c r="F248" s="690">
        <v>202434</v>
      </c>
      <c r="G248" s="694">
        <f t="shared" si="16"/>
        <v>0.45965504124171752</v>
      </c>
      <c r="H248" s="755">
        <v>0.49472607804185809</v>
      </c>
      <c r="I248" s="755">
        <v>0.43491803697165499</v>
      </c>
      <c r="J248" s="692">
        <f>'Glass Metrics'!AB248</f>
        <v>68236</v>
      </c>
      <c r="K248" s="693">
        <f>'Glass Metrics'!AA248</f>
        <v>96742</v>
      </c>
    </row>
    <row r="249" spans="1:11" ht="15.75" customHeight="1">
      <c r="A249" s="175">
        <f t="shared" si="12"/>
        <v>2025</v>
      </c>
      <c r="B249" s="454" t="str">
        <f t="shared" si="13"/>
        <v>35</v>
      </c>
      <c r="C249" s="454" t="str">
        <f t="array" ref="C249">_xlfn.IFS(_xlfn.NUMBERVALUE(B249)&lt;=13,"Q1",AND(_xlfn.NUMBERVALUE(B249)&gt;13,_xlfn.NUMBERVALUE(B249)&lt;=26),"Q2", AND(_xlfn.NUMBERVALUE(B249)&gt;26,_xlfn.NUMBERVALUE(B249)&lt;=39),"Q3",_xlfn.NUMBERVALUE(B249)&gt;39,"Q4")</f>
        <v>Q3</v>
      </c>
      <c r="D249" s="448">
        <f t="shared" si="15"/>
        <v>45556</v>
      </c>
      <c r="E249" s="448">
        <f t="shared" si="14"/>
        <v>45562</v>
      </c>
      <c r="F249" s="690">
        <v>202435</v>
      </c>
      <c r="G249" s="694">
        <f t="shared" si="16"/>
        <v>0.8065736229915853</v>
      </c>
      <c r="H249" s="755">
        <v>0.67406707647433373</v>
      </c>
      <c r="I249" s="755">
        <v>0.94148552613237746</v>
      </c>
      <c r="J249" s="692">
        <f>'Glass Metrics'!AB249</f>
        <v>91031</v>
      </c>
      <c r="K249" s="693">
        <f>'Glass Metrics'!AA249</f>
        <v>89408</v>
      </c>
    </row>
    <row r="250" spans="1:11" ht="15.75" customHeight="1">
      <c r="A250" s="175">
        <f t="shared" si="12"/>
        <v>2025</v>
      </c>
      <c r="B250" s="454" t="str">
        <f t="shared" si="13"/>
        <v>36</v>
      </c>
      <c r="C250" s="454" t="str">
        <f t="array" ref="C250">_xlfn.IFS(_xlfn.NUMBERVALUE(B250)&lt;=13,"Q1",AND(_xlfn.NUMBERVALUE(B250)&gt;13,_xlfn.NUMBERVALUE(B250)&lt;=26),"Q2", AND(_xlfn.NUMBERVALUE(B250)&gt;26,_xlfn.NUMBERVALUE(B250)&lt;=39),"Q3",_xlfn.NUMBERVALUE(B250)&gt;39,"Q4")</f>
        <v>Q3</v>
      </c>
      <c r="D250" s="448">
        <f t="shared" si="15"/>
        <v>45563</v>
      </c>
      <c r="E250" s="448">
        <f t="shared" si="14"/>
        <v>45569</v>
      </c>
      <c r="F250" s="690">
        <v>202436</v>
      </c>
      <c r="G250" s="694">
        <f t="shared" si="16"/>
        <v>0.66261779042107394</v>
      </c>
      <c r="H250" s="755">
        <v>0.62266639112676747</v>
      </c>
      <c r="I250" s="755">
        <v>0.73084197248391691</v>
      </c>
      <c r="J250" s="692">
        <f>'Glass Metrics'!AB250</f>
        <v>95753</v>
      </c>
      <c r="K250" s="693">
        <f>'Glass Metrics'!AA250</f>
        <v>56072</v>
      </c>
    </row>
    <row r="251" spans="1:11" ht="15.75" customHeight="1">
      <c r="A251" s="175">
        <f t="shared" si="12"/>
        <v>2025</v>
      </c>
      <c r="B251" s="454" t="str">
        <f t="shared" si="13"/>
        <v>37</v>
      </c>
      <c r="C251" s="454" t="str">
        <f t="array" ref="C251">_xlfn.IFS(_xlfn.NUMBERVALUE(B251)&lt;=13,"Q1",AND(_xlfn.NUMBERVALUE(B251)&gt;13,_xlfn.NUMBERVALUE(B251)&lt;=26),"Q2", AND(_xlfn.NUMBERVALUE(B251)&gt;26,_xlfn.NUMBERVALUE(B251)&lt;=39),"Q3",_xlfn.NUMBERVALUE(B251)&gt;39,"Q4")</f>
        <v>Q3</v>
      </c>
      <c r="D251" s="448">
        <f t="shared" si="15"/>
        <v>45570</v>
      </c>
      <c r="E251" s="448">
        <f t="shared" si="14"/>
        <v>45576</v>
      </c>
      <c r="F251" s="690">
        <v>202437</v>
      </c>
      <c r="G251" s="694">
        <f t="shared" si="16"/>
        <v>0.33850506110373607</v>
      </c>
      <c r="H251" s="755">
        <v>0.61997217272773431</v>
      </c>
      <c r="I251" s="755">
        <v>9.4015866368831857E-2</v>
      </c>
      <c r="J251" s="692">
        <f>'Glass Metrics'!AB251</f>
        <v>63182</v>
      </c>
      <c r="K251" s="693">
        <f>'Glass Metrics'!AA251</f>
        <v>72738</v>
      </c>
    </row>
    <row r="252" spans="1:11" ht="15.75" customHeight="1">
      <c r="A252" s="175">
        <f t="shared" si="12"/>
        <v>2025</v>
      </c>
      <c r="B252" s="454" t="str">
        <f t="shared" si="13"/>
        <v>38</v>
      </c>
      <c r="C252" s="454" t="str">
        <f t="array" ref="C252">_xlfn.IFS(_xlfn.NUMBERVALUE(B252)&lt;=13,"Q1",AND(_xlfn.NUMBERVALUE(B252)&gt;13,_xlfn.NUMBERVALUE(B252)&lt;=26),"Q2", AND(_xlfn.NUMBERVALUE(B252)&gt;26,_xlfn.NUMBERVALUE(B252)&lt;=39),"Q3",_xlfn.NUMBERVALUE(B252)&gt;39,"Q4")</f>
        <v>Q3</v>
      </c>
      <c r="D252" s="448">
        <f t="shared" si="15"/>
        <v>45577</v>
      </c>
      <c r="E252" s="448">
        <f t="shared" si="14"/>
        <v>45583</v>
      </c>
      <c r="F252" s="690">
        <v>202438</v>
      </c>
      <c r="G252" s="694">
        <f t="shared" si="16"/>
        <v>0.5477293817597414</v>
      </c>
      <c r="H252" s="755">
        <v>0.56697008155683992</v>
      </c>
      <c r="I252" s="755">
        <v>0.53185001483638716</v>
      </c>
      <c r="J252" s="692">
        <f>'Glass Metrics'!AB252</f>
        <v>65963</v>
      </c>
      <c r="K252" s="693">
        <f>'Glass Metrics'!AA252</f>
        <v>79926</v>
      </c>
    </row>
    <row r="253" spans="1:11" ht="15.75" customHeight="1">
      <c r="A253" s="175">
        <f t="shared" si="12"/>
        <v>2025</v>
      </c>
      <c r="B253" s="454" t="str">
        <f t="shared" si="13"/>
        <v>39</v>
      </c>
      <c r="C253" s="454" t="str">
        <f t="array" ref="C253">_xlfn.IFS(_xlfn.NUMBERVALUE(B253)&lt;=13,"Q1",AND(_xlfn.NUMBERVALUE(B253)&gt;13,_xlfn.NUMBERVALUE(B253)&lt;=26),"Q2", AND(_xlfn.NUMBERVALUE(B253)&gt;26,_xlfn.NUMBERVALUE(B253)&lt;=39),"Q3",_xlfn.NUMBERVALUE(B253)&gt;39,"Q4")</f>
        <v>Q3</v>
      </c>
      <c r="D253" s="448">
        <f t="shared" si="15"/>
        <v>45584</v>
      </c>
      <c r="E253" s="448">
        <f t="shared" si="14"/>
        <v>45590</v>
      </c>
      <c r="F253" s="690">
        <v>202439</v>
      </c>
      <c r="G253" s="694">
        <f t="shared" si="16"/>
        <v>0.28252830023727937</v>
      </c>
      <c r="H253" s="755">
        <v>5.1681937054865901E-2</v>
      </c>
      <c r="I253" s="755">
        <v>0.57800066231668623</v>
      </c>
      <c r="J253" s="692">
        <f>'Glass Metrics'!AB253</f>
        <v>83938</v>
      </c>
      <c r="K253" s="693">
        <f>'Glass Metrics'!AA253</f>
        <v>65579</v>
      </c>
    </row>
    <row r="254" spans="1:11" ht="15.75" customHeight="1">
      <c r="A254" s="175">
        <f t="shared" si="12"/>
        <v>2025</v>
      </c>
      <c r="B254" s="454" t="str">
        <f t="shared" si="13"/>
        <v>40</v>
      </c>
      <c r="C254" s="454" t="str">
        <f t="array" ref="C254">_xlfn.IFS(_xlfn.NUMBERVALUE(B254)&lt;=13,"Q1",AND(_xlfn.NUMBERVALUE(B254)&gt;13,_xlfn.NUMBERVALUE(B254)&lt;=26),"Q2", AND(_xlfn.NUMBERVALUE(B254)&gt;26,_xlfn.NUMBERVALUE(B254)&lt;=39),"Q3",_xlfn.NUMBERVALUE(B254)&gt;39,"Q4")</f>
        <v>Q4</v>
      </c>
      <c r="D254" s="448">
        <f t="shared" si="15"/>
        <v>45591</v>
      </c>
      <c r="E254" s="448">
        <f t="shared" si="14"/>
        <v>45597</v>
      </c>
      <c r="F254" s="690">
        <v>202440</v>
      </c>
      <c r="G254" s="694">
        <f t="shared" si="16"/>
        <v>0.6269770498400421</v>
      </c>
      <c r="H254" s="755">
        <v>0.41066429619893569</v>
      </c>
      <c r="I254" s="755">
        <v>0.89174759649083346</v>
      </c>
      <c r="J254" s="692">
        <f>'Glass Metrics'!AB254</f>
        <v>65764</v>
      </c>
      <c r="K254" s="693">
        <f>'Glass Metrics'!AA254</f>
        <v>53728</v>
      </c>
    </row>
    <row r="255" spans="1:11" ht="15.75" customHeight="1">
      <c r="A255" s="175">
        <f t="shared" si="12"/>
        <v>2025</v>
      </c>
      <c r="B255" s="454" t="str">
        <f t="shared" si="13"/>
        <v>41</v>
      </c>
      <c r="C255" s="454" t="str">
        <f t="array" ref="C255">_xlfn.IFS(_xlfn.NUMBERVALUE(B255)&lt;=13,"Q1",AND(_xlfn.NUMBERVALUE(B255)&gt;13,_xlfn.NUMBERVALUE(B255)&lt;=26),"Q2", AND(_xlfn.NUMBERVALUE(B255)&gt;26,_xlfn.NUMBERVALUE(B255)&lt;=39),"Q3",_xlfn.NUMBERVALUE(B255)&gt;39,"Q4")</f>
        <v>Q4</v>
      </c>
      <c r="D255" s="448">
        <f t="shared" si="15"/>
        <v>45598</v>
      </c>
      <c r="E255" s="448">
        <f t="shared" si="14"/>
        <v>45604</v>
      </c>
      <c r="F255" s="690">
        <v>202441</v>
      </c>
      <c r="G255" s="694">
        <f t="shared" si="16"/>
        <v>9.0282202382574353E-2</v>
      </c>
      <c r="H255" s="755">
        <v>0.1484140391680627</v>
      </c>
      <c r="I255" s="755">
        <v>2.3826344317112839E-2</v>
      </c>
      <c r="J255" s="692">
        <f>'Glass Metrics'!AB255</f>
        <v>81417</v>
      </c>
      <c r="K255" s="693">
        <f>'Glass Metrics'!AA255</f>
        <v>71219</v>
      </c>
    </row>
    <row r="256" spans="1:11" ht="15.75" customHeight="1">
      <c r="A256" s="175">
        <f t="shared" si="12"/>
        <v>2025</v>
      </c>
      <c r="B256" s="454" t="str">
        <f t="shared" si="13"/>
        <v>42</v>
      </c>
      <c r="C256" s="454" t="str">
        <f t="array" ref="C256">_xlfn.IFS(_xlfn.NUMBERVALUE(B256)&lt;=13,"Q1",AND(_xlfn.NUMBERVALUE(B256)&gt;13,_xlfn.NUMBERVALUE(B256)&lt;=26),"Q2", AND(_xlfn.NUMBERVALUE(B256)&gt;26,_xlfn.NUMBERVALUE(B256)&lt;=39),"Q3",_xlfn.NUMBERVALUE(B256)&gt;39,"Q4")</f>
        <v>Q4</v>
      </c>
      <c r="D256" s="448">
        <f t="shared" si="15"/>
        <v>45605</v>
      </c>
      <c r="E256" s="448">
        <f t="shared" si="14"/>
        <v>45611</v>
      </c>
      <c r="F256" s="690">
        <v>202442</v>
      </c>
      <c r="G256" s="694">
        <f t="shared" si="16"/>
        <v>0.71525952935213921</v>
      </c>
      <c r="H256" s="755">
        <v>0.40540023252037621</v>
      </c>
      <c r="I256" s="755">
        <v>0.9850919124367209</v>
      </c>
      <c r="J256" s="692">
        <f>'Glass Metrics'!AB256</f>
        <v>84785</v>
      </c>
      <c r="K256" s="693">
        <f>'Glass Metrics'!AA256</f>
        <v>97362</v>
      </c>
    </row>
    <row r="257" spans="1:18" ht="15.75" customHeight="1">
      <c r="A257" s="175">
        <f t="shared" si="12"/>
        <v>2025</v>
      </c>
      <c r="B257" s="454" t="str">
        <f t="shared" si="13"/>
        <v>43</v>
      </c>
      <c r="C257" s="454" t="str">
        <f t="array" ref="C257">_xlfn.IFS(_xlfn.NUMBERVALUE(B257)&lt;=13,"Q1",AND(_xlfn.NUMBERVALUE(B257)&gt;13,_xlfn.NUMBERVALUE(B257)&lt;=26),"Q2", AND(_xlfn.NUMBERVALUE(B257)&gt;26,_xlfn.NUMBERVALUE(B257)&lt;=39),"Q3",_xlfn.NUMBERVALUE(B257)&gt;39,"Q4")</f>
        <v>Q4</v>
      </c>
      <c r="D257" s="448">
        <f t="shared" si="15"/>
        <v>45612</v>
      </c>
      <c r="E257" s="448">
        <f t="shared" si="14"/>
        <v>45618</v>
      </c>
      <c r="F257" s="690">
        <v>202443</v>
      </c>
      <c r="G257" s="694">
        <f t="shared" si="16"/>
        <v>0.54234540991910041</v>
      </c>
      <c r="H257" s="755">
        <v>0.69043901902808047</v>
      </c>
      <c r="I257" s="755">
        <v>0.42184967336700069</v>
      </c>
      <c r="J257" s="692">
        <f>'Glass Metrics'!AB257</f>
        <v>61427</v>
      </c>
      <c r="K257" s="693">
        <f>'Glass Metrics'!AA257</f>
        <v>75496</v>
      </c>
    </row>
    <row r="258" spans="1:18" ht="15.75" customHeight="1">
      <c r="A258" s="175">
        <f t="shared" si="12"/>
        <v>2025</v>
      </c>
      <c r="B258" s="454" t="str">
        <f t="shared" si="13"/>
        <v>44</v>
      </c>
      <c r="C258" s="454" t="str">
        <f t="array" ref="C258">_xlfn.IFS(_xlfn.NUMBERVALUE(B258)&lt;=13,"Q1",AND(_xlfn.NUMBERVALUE(B258)&gt;13,_xlfn.NUMBERVALUE(B258)&lt;=26),"Q2", AND(_xlfn.NUMBERVALUE(B258)&gt;26,_xlfn.NUMBERVALUE(B258)&lt;=39),"Q3",_xlfn.NUMBERVALUE(B258)&gt;39,"Q4")</f>
        <v>Q4</v>
      </c>
      <c r="D258" s="448">
        <f t="shared" si="15"/>
        <v>45619</v>
      </c>
      <c r="E258" s="448">
        <f t="shared" si="14"/>
        <v>45625</v>
      </c>
      <c r="F258" s="690">
        <v>202444</v>
      </c>
      <c r="G258" s="694">
        <f t="shared" si="16"/>
        <v>0.81535660683522648</v>
      </c>
      <c r="H258" s="755">
        <v>0.64879578461260201</v>
      </c>
      <c r="I258" s="755">
        <v>0.96484837516270794</v>
      </c>
      <c r="J258" s="692">
        <f>'Glass Metrics'!AB258</f>
        <v>67656</v>
      </c>
      <c r="K258" s="693">
        <f>'Glass Metrics'!AA258</f>
        <v>75381</v>
      </c>
    </row>
    <row r="259" spans="1:18" ht="15.75" customHeight="1">
      <c r="A259" s="175">
        <f t="shared" si="12"/>
        <v>2025</v>
      </c>
      <c r="B259" s="454" t="str">
        <f t="shared" si="13"/>
        <v>45</v>
      </c>
      <c r="C259" s="454" t="str">
        <f t="array" ref="C259">_xlfn.IFS(_xlfn.NUMBERVALUE(B259)&lt;=13,"Q1",AND(_xlfn.NUMBERVALUE(B259)&gt;13,_xlfn.NUMBERVALUE(B259)&lt;=26),"Q2", AND(_xlfn.NUMBERVALUE(B259)&gt;26,_xlfn.NUMBERVALUE(B259)&lt;=39),"Q3",_xlfn.NUMBERVALUE(B259)&gt;39,"Q4")</f>
        <v>Q4</v>
      </c>
      <c r="D259" s="448">
        <f t="shared" si="15"/>
        <v>45626</v>
      </c>
      <c r="E259" s="448">
        <f t="shared" si="14"/>
        <v>45632</v>
      </c>
      <c r="F259" s="690">
        <v>202445</v>
      </c>
      <c r="G259" s="694">
        <f t="shared" si="16"/>
        <v>0.79518138210843359</v>
      </c>
      <c r="H259" s="755">
        <v>0.86088564144822788</v>
      </c>
      <c r="I259" s="755">
        <v>0.73167365972765241</v>
      </c>
      <c r="J259" s="692">
        <f>'Glass Metrics'!AB259</f>
        <v>91364</v>
      </c>
      <c r="K259" s="693">
        <f>'Glass Metrics'!AA259</f>
        <v>94524</v>
      </c>
    </row>
    <row r="260" spans="1:18" ht="15.75" customHeight="1">
      <c r="A260" s="175">
        <f t="shared" si="12"/>
        <v>2025</v>
      </c>
      <c r="B260" s="454" t="str">
        <f t="shared" si="13"/>
        <v>46</v>
      </c>
      <c r="C260" s="454" t="str">
        <f t="array" ref="C260">_xlfn.IFS(_xlfn.NUMBERVALUE(B260)&lt;=13,"Q1",AND(_xlfn.NUMBERVALUE(B260)&gt;13,_xlfn.NUMBERVALUE(B260)&lt;=26),"Q2", AND(_xlfn.NUMBERVALUE(B260)&gt;26,_xlfn.NUMBERVALUE(B260)&lt;=39),"Q3",_xlfn.NUMBERVALUE(B260)&gt;39,"Q4")</f>
        <v>Q4</v>
      </c>
      <c r="D260" s="448">
        <f t="shared" si="15"/>
        <v>45633</v>
      </c>
      <c r="E260" s="448">
        <f t="shared" si="14"/>
        <v>45639</v>
      </c>
      <c r="F260" s="690">
        <v>202446</v>
      </c>
      <c r="G260" s="694">
        <f t="shared" si="16"/>
        <v>0.44331161685506876</v>
      </c>
      <c r="H260" s="755">
        <v>0.39388932124746889</v>
      </c>
      <c r="I260" s="755">
        <v>0.49165693402781507</v>
      </c>
      <c r="J260" s="692">
        <f>'Glass Metrics'!AB260</f>
        <v>79006</v>
      </c>
      <c r="K260" s="693">
        <f>'Glass Metrics'!AA260</f>
        <v>80766</v>
      </c>
    </row>
    <row r="261" spans="1:18" ht="15.75" customHeight="1">
      <c r="A261" s="175">
        <f t="shared" si="12"/>
        <v>2025</v>
      </c>
      <c r="B261" s="454" t="str">
        <f t="shared" si="13"/>
        <v>47</v>
      </c>
      <c r="C261" s="454" t="str">
        <f t="array" ref="C261">_xlfn.IFS(_xlfn.NUMBERVALUE(B261)&lt;=13,"Q1",AND(_xlfn.NUMBERVALUE(B261)&gt;13,_xlfn.NUMBERVALUE(B261)&lt;=26),"Q2", AND(_xlfn.NUMBERVALUE(B261)&gt;26,_xlfn.NUMBERVALUE(B261)&lt;=39),"Q3",_xlfn.NUMBERVALUE(B261)&gt;39,"Q4")</f>
        <v>Q4</v>
      </c>
      <c r="D261" s="448">
        <f t="shared" si="15"/>
        <v>45640</v>
      </c>
      <c r="E261" s="448">
        <f t="shared" si="14"/>
        <v>45646</v>
      </c>
      <c r="F261" s="690">
        <v>202447</v>
      </c>
      <c r="G261" s="694">
        <f t="shared" si="16"/>
        <v>0.65777339565298198</v>
      </c>
      <c r="H261" s="755">
        <v>0.30419450706835088</v>
      </c>
      <c r="I261" s="755">
        <v>0.87334468201539905</v>
      </c>
      <c r="J261" s="692">
        <f>'Glass Metrics'!AB261</f>
        <v>59774</v>
      </c>
      <c r="K261" s="693">
        <f>'Glass Metrics'!AA261</f>
        <v>98041</v>
      </c>
    </row>
    <row r="262" spans="1:18" ht="15.75" customHeight="1">
      <c r="A262" s="175">
        <f t="shared" si="12"/>
        <v>2025</v>
      </c>
      <c r="B262" s="454" t="str">
        <f t="shared" si="13"/>
        <v>48</v>
      </c>
      <c r="C262" s="454" t="str">
        <f t="array" ref="C262">_xlfn.IFS(_xlfn.NUMBERVALUE(B262)&lt;=13,"Q1",AND(_xlfn.NUMBERVALUE(B262)&gt;13,_xlfn.NUMBERVALUE(B262)&lt;=26),"Q2", AND(_xlfn.NUMBERVALUE(B262)&gt;26,_xlfn.NUMBERVALUE(B262)&lt;=39),"Q3",_xlfn.NUMBERVALUE(B262)&gt;39,"Q4")</f>
        <v>Q4</v>
      </c>
      <c r="D262" s="448">
        <f t="shared" si="15"/>
        <v>45647</v>
      </c>
      <c r="E262" s="448">
        <f t="shared" si="14"/>
        <v>45653</v>
      </c>
      <c r="F262" s="690">
        <v>202448</v>
      </c>
      <c r="G262" s="694">
        <f t="shared" si="16"/>
        <v>0.49188762265290253</v>
      </c>
      <c r="H262" s="755">
        <v>0.89592327127036642</v>
      </c>
      <c r="I262" s="755">
        <v>0.1211492547328584</v>
      </c>
      <c r="J262" s="692">
        <f>'Glass Metrics'!AB262</f>
        <v>51774</v>
      </c>
      <c r="K262" s="693">
        <f>'Glass Metrics'!AA262</f>
        <v>56424</v>
      </c>
    </row>
    <row r="263" spans="1:18" ht="15.75" customHeight="1">
      <c r="A263" s="175">
        <f t="shared" ref="A263:A319" si="17">LEFT(F263,4)+1</f>
        <v>2025</v>
      </c>
      <c r="B263" s="454" t="str">
        <f t="shared" ref="B263:B319" si="18">RIGHT(F263,2)</f>
        <v>49</v>
      </c>
      <c r="C263" s="454" t="str">
        <f t="array" ref="C263">_xlfn.IFS(_xlfn.NUMBERVALUE(B263)&lt;=13,"Q1",AND(_xlfn.NUMBERVALUE(B263)&gt;13,_xlfn.NUMBERVALUE(B263)&lt;=26),"Q2", AND(_xlfn.NUMBERVALUE(B263)&gt;26,_xlfn.NUMBERVALUE(B263)&lt;=39),"Q3",_xlfn.NUMBERVALUE(B263)&gt;39,"Q4")</f>
        <v>Q4</v>
      </c>
      <c r="D263" s="448">
        <f t="shared" si="15"/>
        <v>45654</v>
      </c>
      <c r="E263" s="448">
        <f t="shared" ref="E263:E319" si="19">D263+6</f>
        <v>45660</v>
      </c>
      <c r="F263" s="690">
        <v>202449</v>
      </c>
      <c r="G263" s="694">
        <f t="shared" si="16"/>
        <v>0.41949470322195243</v>
      </c>
      <c r="H263" s="755">
        <v>0.1058954676376964</v>
      </c>
      <c r="I263" s="755">
        <v>0.72115946246278217</v>
      </c>
      <c r="J263" s="692">
        <f>'Glass Metrics'!AB263</f>
        <v>91426</v>
      </c>
      <c r="K263" s="693">
        <f>'Glass Metrics'!AA263</f>
        <v>95043</v>
      </c>
    </row>
    <row r="264" spans="1:18" ht="15.75" customHeight="1">
      <c r="A264" s="175">
        <f t="shared" si="17"/>
        <v>2025</v>
      </c>
      <c r="B264" s="454" t="str">
        <f t="shared" si="18"/>
        <v>50</v>
      </c>
      <c r="C264" s="454" t="str">
        <f t="array" ref="C264">_xlfn.IFS(_xlfn.NUMBERVALUE(B264)&lt;=13,"Q1",AND(_xlfn.NUMBERVALUE(B264)&gt;13,_xlfn.NUMBERVALUE(B264)&lt;=26),"Q2", AND(_xlfn.NUMBERVALUE(B264)&gt;26,_xlfn.NUMBERVALUE(B264)&lt;=39),"Q3",_xlfn.NUMBERVALUE(B264)&gt;39,"Q4")</f>
        <v>Q4</v>
      </c>
      <c r="D264" s="448">
        <f t="shared" ref="D264:D319" si="20">E263+1</f>
        <v>45661</v>
      </c>
      <c r="E264" s="448">
        <f t="shared" si="19"/>
        <v>45667</v>
      </c>
      <c r="F264" s="690">
        <v>202450</v>
      </c>
      <c r="G264" s="694">
        <f t="shared" si="16"/>
        <v>0.69779074027288823</v>
      </c>
      <c r="H264" s="755">
        <v>0.61468892851147883</v>
      </c>
      <c r="I264" s="755">
        <v>0.75552336966144795</v>
      </c>
      <c r="J264" s="692">
        <f>'Glass Metrics'!AB264</f>
        <v>50607</v>
      </c>
      <c r="K264" s="693">
        <f>'Glass Metrics'!AA264</f>
        <v>72845</v>
      </c>
      <c r="Q264" s="762"/>
      <c r="R264" s="762"/>
    </row>
    <row r="265" spans="1:18" ht="15.75" customHeight="1">
      <c r="A265" s="175">
        <f t="shared" si="17"/>
        <v>2025</v>
      </c>
      <c r="B265" s="454" t="str">
        <f t="shared" si="18"/>
        <v>51</v>
      </c>
      <c r="C265" s="454" t="str">
        <f t="array" ref="C265">_xlfn.IFS(_xlfn.NUMBERVALUE(B265)&lt;=13,"Q1",AND(_xlfn.NUMBERVALUE(B265)&gt;13,_xlfn.NUMBERVALUE(B265)&lt;=26),"Q2", AND(_xlfn.NUMBERVALUE(B265)&gt;26,_xlfn.NUMBERVALUE(B265)&lt;=39),"Q3",_xlfn.NUMBERVALUE(B265)&gt;39,"Q4")</f>
        <v>Q4</v>
      </c>
      <c r="D265" s="448">
        <f t="shared" si="20"/>
        <v>45668</v>
      </c>
      <c r="E265" s="448">
        <f t="shared" si="19"/>
        <v>45674</v>
      </c>
      <c r="F265" s="690">
        <v>202451</v>
      </c>
      <c r="G265" s="694">
        <f t="shared" si="16"/>
        <v>0.23628674028021635</v>
      </c>
      <c r="H265" s="755">
        <v>0.33958366211660751</v>
      </c>
      <c r="I265" s="755">
        <v>0.12954267495375471</v>
      </c>
      <c r="J265" s="692">
        <f>'Glass Metrics'!AB265</f>
        <v>81843</v>
      </c>
      <c r="K265" s="693">
        <f>'Glass Metrics'!AA265</f>
        <v>79200</v>
      </c>
      <c r="Q265" s="762"/>
      <c r="R265" s="762"/>
    </row>
    <row r="266" spans="1:18" ht="15.75" customHeight="1">
      <c r="A266" s="175">
        <f t="shared" si="17"/>
        <v>2025</v>
      </c>
      <c r="B266" s="454" t="str">
        <f t="shared" si="18"/>
        <v>52</v>
      </c>
      <c r="C266" s="454" t="str">
        <f t="array" ref="C266">_xlfn.IFS(_xlfn.NUMBERVALUE(B266)&lt;=13,"Q1",AND(_xlfn.NUMBERVALUE(B266)&gt;13,_xlfn.NUMBERVALUE(B266)&lt;=26),"Q2", AND(_xlfn.NUMBERVALUE(B266)&gt;26,_xlfn.NUMBERVALUE(B266)&lt;=39),"Q3",_xlfn.NUMBERVALUE(B266)&gt;39,"Q4")</f>
        <v>Q4</v>
      </c>
      <c r="D266" s="448">
        <f t="shared" si="20"/>
        <v>45675</v>
      </c>
      <c r="E266" s="448">
        <f t="shared" si="19"/>
        <v>45681</v>
      </c>
      <c r="F266" s="690">
        <v>202452</v>
      </c>
      <c r="G266" s="694">
        <f t="shared" si="16"/>
        <v>0.62992577631345203</v>
      </c>
      <c r="H266" s="755">
        <v>0.62314518744513536</v>
      </c>
      <c r="I266" s="755">
        <v>0.63605874938942986</v>
      </c>
      <c r="J266" s="692">
        <f>'Glass Metrics'!AB266</f>
        <v>54756</v>
      </c>
      <c r="K266" s="693">
        <f>'Glass Metrics'!AA266</f>
        <v>60538</v>
      </c>
    </row>
    <row r="267" spans="1:18" ht="16.5" customHeight="1">
      <c r="A267" s="175">
        <f t="shared" si="17"/>
        <v>2025</v>
      </c>
      <c r="B267" s="454" t="str">
        <f t="shared" si="18"/>
        <v>53</v>
      </c>
      <c r="C267" s="454" t="str">
        <f t="array" ref="C267">_xlfn.IFS(_xlfn.NUMBERVALUE(B267)&lt;=13,"Q1",AND(_xlfn.NUMBERVALUE(B267)&gt;13,_xlfn.NUMBERVALUE(B267)&lt;=26),"Q2", AND(_xlfn.NUMBERVALUE(B267)&gt;26,_xlfn.NUMBERVALUE(B267)&lt;=39),"Q3",_xlfn.NUMBERVALUE(B267)&gt;39,"Q4")</f>
        <v>Q4</v>
      </c>
      <c r="D267" s="448">
        <f t="shared" si="20"/>
        <v>45682</v>
      </c>
      <c r="E267" s="448">
        <f t="shared" si="19"/>
        <v>45688</v>
      </c>
      <c r="F267" s="690">
        <v>202453</v>
      </c>
      <c r="G267" s="694">
        <f t="shared" si="16"/>
        <v>0.44326479078182457</v>
      </c>
      <c r="H267" s="755">
        <v>0.78086760446095271</v>
      </c>
      <c r="I267" s="755">
        <v>5.2866713631290141E-2</v>
      </c>
      <c r="J267" s="692">
        <f>'Glass Metrics'!AB267</f>
        <v>94717</v>
      </c>
      <c r="K267" s="693">
        <f>'Glass Metrics'!AA267</f>
        <v>81908</v>
      </c>
    </row>
    <row r="268" spans="1:18" ht="15.75" customHeight="1">
      <c r="A268" s="175">
        <f t="shared" si="17"/>
        <v>2026</v>
      </c>
      <c r="B268" s="454" t="str">
        <f t="shared" si="18"/>
        <v>01</v>
      </c>
      <c r="C268" s="454" t="str">
        <f t="array" ref="C268">_xlfn.IFS(_xlfn.NUMBERVALUE(B268)&lt;=13,"Q1",AND(_xlfn.NUMBERVALUE(B268)&gt;13,_xlfn.NUMBERVALUE(B268)&lt;=26),"Q2", AND(_xlfn.NUMBERVALUE(B268)&gt;26,_xlfn.NUMBERVALUE(B268)&lt;=39),"Q3",_xlfn.NUMBERVALUE(B268)&gt;39,"Q4")</f>
        <v>Q1</v>
      </c>
      <c r="D268" s="448">
        <f t="shared" si="20"/>
        <v>45689</v>
      </c>
      <c r="E268" s="448">
        <f t="shared" si="19"/>
        <v>45695</v>
      </c>
      <c r="F268" s="690">
        <v>202501</v>
      </c>
      <c r="G268" s="694">
        <v>0.70699999999999996</v>
      </c>
      <c r="H268" s="755">
        <v>2.473750682316167E-2</v>
      </c>
      <c r="I268" s="755">
        <v>3.0862558483812919E-2</v>
      </c>
      <c r="J268" s="692">
        <f>'Glass Metrics'!AB268</f>
        <v>80862</v>
      </c>
      <c r="K268" s="693">
        <f>'Glass Metrics'!AA268</f>
        <v>94876</v>
      </c>
    </row>
    <row r="269" spans="1:18" ht="15.75" customHeight="1">
      <c r="A269" s="175">
        <f t="shared" si="17"/>
        <v>2026</v>
      </c>
      <c r="B269" s="454" t="str">
        <f t="shared" si="18"/>
        <v>02</v>
      </c>
      <c r="C269" s="454" t="str">
        <f t="array" ref="C269">_xlfn.IFS(_xlfn.NUMBERVALUE(B269)&lt;=13,"Q1",AND(_xlfn.NUMBERVALUE(B269)&gt;13,_xlfn.NUMBERVALUE(B269)&lt;=26),"Q2", AND(_xlfn.NUMBERVALUE(B269)&gt;26,_xlfn.NUMBERVALUE(B269)&lt;=39),"Q3",_xlfn.NUMBERVALUE(B269)&gt;39,"Q4")</f>
        <v>Q1</v>
      </c>
      <c r="D269" s="448">
        <f t="shared" si="20"/>
        <v>45696</v>
      </c>
      <c r="E269" s="448">
        <f t="shared" si="19"/>
        <v>45702</v>
      </c>
      <c r="F269" s="690">
        <v>202502</v>
      </c>
      <c r="G269" s="694">
        <f t="shared" ref="G269:G300" si="21">IFERROR((J269*H269+K269*I269)/SUM(J269:K269),0)</f>
        <v>0.56055915951619784</v>
      </c>
      <c r="H269" s="755">
        <v>0.75914173465008805</v>
      </c>
      <c r="I269" s="755">
        <v>0.3509667469585821</v>
      </c>
      <c r="J269" s="692">
        <f>'Glass Metrics'!AB269</f>
        <v>88902</v>
      </c>
      <c r="K269" s="693">
        <f>'Glass Metrics'!AA269</f>
        <v>84232</v>
      </c>
    </row>
    <row r="270" spans="1:18" ht="15.75" customHeight="1">
      <c r="A270" s="175">
        <f t="shared" si="17"/>
        <v>2026</v>
      </c>
      <c r="B270" s="454" t="str">
        <f t="shared" si="18"/>
        <v>03</v>
      </c>
      <c r="C270" s="454" t="str">
        <f t="array" ref="C270">_xlfn.IFS(_xlfn.NUMBERVALUE(B270)&lt;=13,"Q1",AND(_xlfn.NUMBERVALUE(B270)&gt;13,_xlfn.NUMBERVALUE(B270)&lt;=26),"Q2", AND(_xlfn.NUMBERVALUE(B270)&gt;26,_xlfn.NUMBERVALUE(B270)&lt;=39),"Q3",_xlfn.NUMBERVALUE(B270)&gt;39,"Q4")</f>
        <v>Q1</v>
      </c>
      <c r="D270" s="448">
        <f t="shared" si="20"/>
        <v>45703</v>
      </c>
      <c r="E270" s="448">
        <f t="shared" si="19"/>
        <v>45709</v>
      </c>
      <c r="F270" s="690">
        <v>202503</v>
      </c>
      <c r="G270" s="694">
        <f t="shared" si="21"/>
        <v>0.61516888895890132</v>
      </c>
      <c r="H270" s="755">
        <v>0.31863809683301708</v>
      </c>
      <c r="I270" s="755">
        <v>0.96664599941634255</v>
      </c>
      <c r="J270" s="692">
        <f>'Glass Metrics'!AB270</f>
        <v>99175</v>
      </c>
      <c r="K270" s="693">
        <f>'Glass Metrics'!AA270</f>
        <v>83671</v>
      </c>
    </row>
    <row r="271" spans="1:18" ht="15.75" customHeight="1">
      <c r="A271" s="175">
        <f t="shared" si="17"/>
        <v>2026</v>
      </c>
      <c r="B271" s="454" t="str">
        <f t="shared" si="18"/>
        <v>04</v>
      </c>
      <c r="C271" s="454" t="str">
        <f t="array" ref="C271">_xlfn.IFS(_xlfn.NUMBERVALUE(B271)&lt;=13,"Q1",AND(_xlfn.NUMBERVALUE(B271)&gt;13,_xlfn.NUMBERVALUE(B271)&lt;=26),"Q2", AND(_xlfn.NUMBERVALUE(B271)&gt;26,_xlfn.NUMBERVALUE(B271)&lt;=39),"Q3",_xlfn.NUMBERVALUE(B271)&gt;39,"Q4")</f>
        <v>Q1</v>
      </c>
      <c r="D271" s="448">
        <f t="shared" si="20"/>
        <v>45710</v>
      </c>
      <c r="E271" s="448">
        <f t="shared" si="19"/>
        <v>45716</v>
      </c>
      <c r="F271" s="690">
        <v>202504</v>
      </c>
      <c r="G271" s="694">
        <f t="shared" si="21"/>
        <v>0.70153145526328864</v>
      </c>
      <c r="H271" s="755">
        <v>0.95864850093056631</v>
      </c>
      <c r="I271" s="755">
        <v>0.52563056808760378</v>
      </c>
      <c r="J271" s="692">
        <f>'Glass Metrics'!AB271</f>
        <v>51718</v>
      </c>
      <c r="K271" s="693">
        <f>'Glass Metrics'!AA271</f>
        <v>75597</v>
      </c>
    </row>
    <row r="272" spans="1:18" ht="15.75" customHeight="1">
      <c r="A272" s="175">
        <f t="shared" si="17"/>
        <v>2026</v>
      </c>
      <c r="B272" s="454" t="str">
        <f t="shared" si="18"/>
        <v>05</v>
      </c>
      <c r="C272" s="454" t="str">
        <f t="array" ref="C272">_xlfn.IFS(_xlfn.NUMBERVALUE(B272)&lt;=13,"Q1",AND(_xlfn.NUMBERVALUE(B272)&gt;13,_xlfn.NUMBERVALUE(B272)&lt;=26),"Q2", AND(_xlfn.NUMBERVALUE(B272)&gt;26,_xlfn.NUMBERVALUE(B272)&lt;=39),"Q3",_xlfn.NUMBERVALUE(B272)&gt;39,"Q4")</f>
        <v>Q1</v>
      </c>
      <c r="D272" s="448">
        <f t="shared" si="20"/>
        <v>45717</v>
      </c>
      <c r="E272" s="448">
        <f t="shared" si="19"/>
        <v>45723</v>
      </c>
      <c r="F272" s="690">
        <v>202505</v>
      </c>
      <c r="G272" s="694">
        <f t="shared" si="21"/>
        <v>0.74412547104362403</v>
      </c>
      <c r="H272" s="755">
        <v>0.72317216170757859</v>
      </c>
      <c r="I272" s="755">
        <v>0.76335198170512297</v>
      </c>
      <c r="J272" s="692">
        <f>'Glass Metrics'!AB272</f>
        <v>51774</v>
      </c>
      <c r="K272" s="693">
        <f>'Glass Metrics'!AA272</f>
        <v>56424</v>
      </c>
      <c r="Q272" s="758"/>
    </row>
    <row r="273" spans="1:11" ht="15.75" customHeight="1">
      <c r="A273" s="175">
        <f t="shared" si="17"/>
        <v>2026</v>
      </c>
      <c r="B273" s="454" t="str">
        <f t="shared" si="18"/>
        <v>06</v>
      </c>
      <c r="C273" s="454" t="str">
        <f t="array" ref="C273">_xlfn.IFS(_xlfn.NUMBERVALUE(B273)&lt;=13,"Q1",AND(_xlfn.NUMBERVALUE(B273)&gt;13,_xlfn.NUMBERVALUE(B273)&lt;=26),"Q2", AND(_xlfn.NUMBERVALUE(B273)&gt;26,_xlfn.NUMBERVALUE(B273)&lt;=39),"Q3",_xlfn.NUMBERVALUE(B273)&gt;39,"Q4")</f>
        <v>Q1</v>
      </c>
      <c r="D273" s="448">
        <f t="shared" si="20"/>
        <v>45724</v>
      </c>
      <c r="E273" s="448">
        <f t="shared" si="19"/>
        <v>45730</v>
      </c>
      <c r="F273" s="690">
        <v>202506</v>
      </c>
      <c r="G273" s="694">
        <f t="shared" si="21"/>
        <v>0.79502646711539693</v>
      </c>
      <c r="H273" s="755">
        <v>0.86088564144822788</v>
      </c>
      <c r="I273" s="755">
        <v>0.73167365972765241</v>
      </c>
      <c r="J273" s="692">
        <f>'Glass Metrics'!AB273</f>
        <v>91426</v>
      </c>
      <c r="K273" s="693">
        <f>'Glass Metrics'!AA273</f>
        <v>95043</v>
      </c>
    </row>
    <row r="274" spans="1:11" ht="15.75" customHeight="1">
      <c r="A274" s="175">
        <f t="shared" si="17"/>
        <v>2026</v>
      </c>
      <c r="B274" s="454" t="str">
        <f t="shared" si="18"/>
        <v>07</v>
      </c>
      <c r="C274" s="454" t="str">
        <f t="array" ref="C274">_xlfn.IFS(_xlfn.NUMBERVALUE(B274)&lt;=13,"Q1",AND(_xlfn.NUMBERVALUE(B274)&gt;13,_xlfn.NUMBERVALUE(B274)&lt;=26),"Q2", AND(_xlfn.NUMBERVALUE(B274)&gt;26,_xlfn.NUMBERVALUE(B274)&lt;=39),"Q3",_xlfn.NUMBERVALUE(B274)&gt;39,"Q4")</f>
        <v>Q1</v>
      </c>
      <c r="D274" s="448">
        <f t="shared" si="20"/>
        <v>45731</v>
      </c>
      <c r="E274" s="448">
        <f t="shared" si="19"/>
        <v>45737</v>
      </c>
      <c r="F274" s="690">
        <v>202507</v>
      </c>
      <c r="G274" s="694">
        <f t="shared" si="21"/>
        <v>0</v>
      </c>
      <c r="H274" s="755"/>
      <c r="I274" s="755"/>
      <c r="J274" s="692">
        <f>'Glass Metrics'!AB274</f>
        <v>0</v>
      </c>
      <c r="K274" s="693">
        <f>'Glass Metrics'!AA274</f>
        <v>0</v>
      </c>
    </row>
    <row r="275" spans="1:11" ht="15.75" customHeight="1">
      <c r="A275" s="175">
        <f t="shared" si="17"/>
        <v>2026</v>
      </c>
      <c r="B275" s="454" t="str">
        <f t="shared" si="18"/>
        <v>08</v>
      </c>
      <c r="C275" s="454" t="str">
        <f t="array" ref="C275">_xlfn.IFS(_xlfn.NUMBERVALUE(B275)&lt;=13,"Q1",AND(_xlfn.NUMBERVALUE(B275)&gt;13,_xlfn.NUMBERVALUE(B275)&lt;=26),"Q2", AND(_xlfn.NUMBERVALUE(B275)&gt;26,_xlfn.NUMBERVALUE(B275)&lt;=39),"Q3",_xlfn.NUMBERVALUE(B275)&gt;39,"Q4")</f>
        <v>Q1</v>
      </c>
      <c r="D275" s="448">
        <f t="shared" si="20"/>
        <v>45738</v>
      </c>
      <c r="E275" s="448">
        <f t="shared" si="19"/>
        <v>45744</v>
      </c>
      <c r="F275" s="690">
        <v>202508</v>
      </c>
      <c r="G275" s="694">
        <f t="shared" si="21"/>
        <v>0</v>
      </c>
      <c r="H275" s="756"/>
      <c r="I275" s="756"/>
      <c r="J275" s="692">
        <f>'Glass Metrics'!AB275</f>
        <v>0</v>
      </c>
      <c r="K275" s="693">
        <f>'Glass Metrics'!AA275</f>
        <v>0</v>
      </c>
    </row>
    <row r="276" spans="1:11" ht="15.75" customHeight="1">
      <c r="A276" s="175">
        <f t="shared" si="17"/>
        <v>2026</v>
      </c>
      <c r="B276" s="454" t="str">
        <f t="shared" si="18"/>
        <v>09</v>
      </c>
      <c r="C276" s="454" t="str">
        <f t="array" ref="C276">_xlfn.IFS(_xlfn.NUMBERVALUE(B276)&lt;=13,"Q1",AND(_xlfn.NUMBERVALUE(B276)&gt;13,_xlfn.NUMBERVALUE(B276)&lt;=26),"Q2", AND(_xlfn.NUMBERVALUE(B276)&gt;26,_xlfn.NUMBERVALUE(B276)&lt;=39),"Q3",_xlfn.NUMBERVALUE(B276)&gt;39,"Q4")</f>
        <v>Q1</v>
      </c>
      <c r="D276" s="448">
        <f t="shared" si="20"/>
        <v>45745</v>
      </c>
      <c r="E276" s="448">
        <f t="shared" si="19"/>
        <v>45751</v>
      </c>
      <c r="F276" s="690">
        <v>202509</v>
      </c>
      <c r="G276" s="694">
        <f t="shared" si="21"/>
        <v>0</v>
      </c>
      <c r="H276" s="756"/>
      <c r="I276" s="756"/>
      <c r="J276" s="692">
        <f>'Glass Metrics'!AB276</f>
        <v>0</v>
      </c>
      <c r="K276" s="693">
        <f>'Glass Metrics'!AA276</f>
        <v>0</v>
      </c>
    </row>
    <row r="277" spans="1:11" ht="15.75" customHeight="1">
      <c r="A277" s="175">
        <f t="shared" si="17"/>
        <v>2026</v>
      </c>
      <c r="B277" s="454" t="str">
        <f t="shared" si="18"/>
        <v>10</v>
      </c>
      <c r="C277" s="454" t="str">
        <f t="array" ref="C277">_xlfn.IFS(_xlfn.NUMBERVALUE(B277)&lt;=13,"Q1",AND(_xlfn.NUMBERVALUE(B277)&gt;13,_xlfn.NUMBERVALUE(B277)&lt;=26),"Q2", AND(_xlfn.NUMBERVALUE(B277)&gt;26,_xlfn.NUMBERVALUE(B277)&lt;=39),"Q3",_xlfn.NUMBERVALUE(B277)&gt;39,"Q4")</f>
        <v>Q1</v>
      </c>
      <c r="D277" s="448">
        <f t="shared" si="20"/>
        <v>45752</v>
      </c>
      <c r="E277" s="448">
        <f t="shared" si="19"/>
        <v>45758</v>
      </c>
      <c r="F277" s="690">
        <v>202510</v>
      </c>
      <c r="G277" s="694">
        <f t="shared" si="21"/>
        <v>0</v>
      </c>
      <c r="H277" s="756"/>
      <c r="I277" s="756"/>
      <c r="J277" s="692">
        <f>'Glass Metrics'!AB277</f>
        <v>0</v>
      </c>
      <c r="K277" s="693">
        <f>'Glass Metrics'!AA277</f>
        <v>0</v>
      </c>
    </row>
    <row r="278" spans="1:11" ht="15.75" customHeight="1">
      <c r="A278" s="175">
        <f t="shared" si="17"/>
        <v>2026</v>
      </c>
      <c r="B278" s="454" t="str">
        <f t="shared" si="18"/>
        <v>11</v>
      </c>
      <c r="C278" s="454" t="str">
        <f t="array" ref="C278">_xlfn.IFS(_xlfn.NUMBERVALUE(B278)&lt;=13,"Q1",AND(_xlfn.NUMBERVALUE(B278)&gt;13,_xlfn.NUMBERVALUE(B278)&lt;=26),"Q2", AND(_xlfn.NUMBERVALUE(B278)&gt;26,_xlfn.NUMBERVALUE(B278)&lt;=39),"Q3",_xlfn.NUMBERVALUE(B278)&gt;39,"Q4")</f>
        <v>Q1</v>
      </c>
      <c r="D278" s="448">
        <f t="shared" si="20"/>
        <v>45759</v>
      </c>
      <c r="E278" s="448">
        <f t="shared" si="19"/>
        <v>45765</v>
      </c>
      <c r="F278" s="690">
        <v>202511</v>
      </c>
      <c r="G278" s="694">
        <f t="shared" si="21"/>
        <v>0</v>
      </c>
      <c r="H278" s="756"/>
      <c r="I278" s="756"/>
      <c r="J278" s="692">
        <f>'Glass Metrics'!AB278</f>
        <v>0</v>
      </c>
      <c r="K278" s="693">
        <f>'Glass Metrics'!AA278</f>
        <v>0</v>
      </c>
    </row>
    <row r="279" spans="1:11" ht="15.75" customHeight="1">
      <c r="A279" s="175">
        <f t="shared" si="17"/>
        <v>2026</v>
      </c>
      <c r="B279" s="454" t="str">
        <f t="shared" si="18"/>
        <v>12</v>
      </c>
      <c r="C279" s="454" t="str">
        <f t="array" ref="C279">_xlfn.IFS(_xlfn.NUMBERVALUE(B279)&lt;=13,"Q1",AND(_xlfn.NUMBERVALUE(B279)&gt;13,_xlfn.NUMBERVALUE(B279)&lt;=26),"Q2", AND(_xlfn.NUMBERVALUE(B279)&gt;26,_xlfn.NUMBERVALUE(B279)&lt;=39),"Q3",_xlfn.NUMBERVALUE(B279)&gt;39,"Q4")</f>
        <v>Q1</v>
      </c>
      <c r="D279" s="448">
        <f t="shared" si="20"/>
        <v>45766</v>
      </c>
      <c r="E279" s="448">
        <f t="shared" si="19"/>
        <v>45772</v>
      </c>
      <c r="F279" s="690">
        <v>202512</v>
      </c>
      <c r="G279" s="694">
        <f t="shared" si="21"/>
        <v>0</v>
      </c>
      <c r="H279" s="756"/>
      <c r="I279" s="756"/>
      <c r="J279" s="692">
        <f>'Glass Metrics'!AB279</f>
        <v>0</v>
      </c>
      <c r="K279" s="693">
        <f>'Glass Metrics'!AA279</f>
        <v>0</v>
      </c>
    </row>
    <row r="280" spans="1:11" ht="15.75" customHeight="1">
      <c r="A280" s="175">
        <f t="shared" si="17"/>
        <v>2026</v>
      </c>
      <c r="B280" s="454" t="str">
        <f t="shared" si="18"/>
        <v>13</v>
      </c>
      <c r="C280" s="454" t="str">
        <f t="array" ref="C280">_xlfn.IFS(_xlfn.NUMBERVALUE(B280)&lt;=13,"Q1",AND(_xlfn.NUMBERVALUE(B280)&gt;13,_xlfn.NUMBERVALUE(B280)&lt;=26),"Q2", AND(_xlfn.NUMBERVALUE(B280)&gt;26,_xlfn.NUMBERVALUE(B280)&lt;=39),"Q3",_xlfn.NUMBERVALUE(B280)&gt;39,"Q4")</f>
        <v>Q1</v>
      </c>
      <c r="D280" s="448">
        <f t="shared" si="20"/>
        <v>45773</v>
      </c>
      <c r="E280" s="448">
        <f t="shared" si="19"/>
        <v>45779</v>
      </c>
      <c r="F280" s="690">
        <v>202513</v>
      </c>
      <c r="G280" s="694">
        <f t="shared" si="21"/>
        <v>0</v>
      </c>
      <c r="H280" s="756"/>
      <c r="I280" s="756"/>
      <c r="J280" s="692">
        <f>'Glass Metrics'!AB280</f>
        <v>0</v>
      </c>
      <c r="K280" s="693">
        <f>'Glass Metrics'!AA280</f>
        <v>0</v>
      </c>
    </row>
    <row r="281" spans="1:11" ht="15.75" customHeight="1">
      <c r="A281" s="175">
        <f t="shared" si="17"/>
        <v>2026</v>
      </c>
      <c r="B281" s="454" t="str">
        <f t="shared" si="18"/>
        <v>14</v>
      </c>
      <c r="C281" s="454" t="str">
        <f t="array" ref="C281">_xlfn.IFS(_xlfn.NUMBERVALUE(B281)&lt;=13,"Q1",AND(_xlfn.NUMBERVALUE(B281)&gt;13,_xlfn.NUMBERVALUE(B281)&lt;=26),"Q2", AND(_xlfn.NUMBERVALUE(B281)&gt;26,_xlfn.NUMBERVALUE(B281)&lt;=39),"Q3",_xlfn.NUMBERVALUE(B281)&gt;39,"Q4")</f>
        <v>Q2</v>
      </c>
      <c r="D281" s="448">
        <f t="shared" si="20"/>
        <v>45780</v>
      </c>
      <c r="E281" s="448">
        <f t="shared" si="19"/>
        <v>45786</v>
      </c>
      <c r="F281" s="690">
        <v>202514</v>
      </c>
      <c r="G281" s="694">
        <f t="shared" si="21"/>
        <v>0</v>
      </c>
      <c r="H281" s="756"/>
      <c r="I281" s="756"/>
      <c r="J281" s="692">
        <f>'Glass Metrics'!AB281</f>
        <v>0</v>
      </c>
      <c r="K281" s="693">
        <f>'Glass Metrics'!AA281</f>
        <v>0</v>
      </c>
    </row>
    <row r="282" spans="1:11" ht="15.75" customHeight="1">
      <c r="A282" s="175">
        <f t="shared" si="17"/>
        <v>2026</v>
      </c>
      <c r="B282" s="454" t="str">
        <f t="shared" si="18"/>
        <v>15</v>
      </c>
      <c r="C282" s="454" t="str">
        <f t="array" ref="C282">_xlfn.IFS(_xlfn.NUMBERVALUE(B282)&lt;=13,"Q1",AND(_xlfn.NUMBERVALUE(B282)&gt;13,_xlfn.NUMBERVALUE(B282)&lt;=26),"Q2", AND(_xlfn.NUMBERVALUE(B282)&gt;26,_xlfn.NUMBERVALUE(B282)&lt;=39),"Q3",_xlfn.NUMBERVALUE(B282)&gt;39,"Q4")</f>
        <v>Q2</v>
      </c>
      <c r="D282" s="448">
        <f t="shared" si="20"/>
        <v>45787</v>
      </c>
      <c r="E282" s="448">
        <f t="shared" si="19"/>
        <v>45793</v>
      </c>
      <c r="F282" s="690">
        <v>202515</v>
      </c>
      <c r="G282" s="694">
        <f t="shared" si="21"/>
        <v>0</v>
      </c>
      <c r="H282" s="756"/>
      <c r="I282" s="756"/>
      <c r="J282" s="692">
        <f>'Glass Metrics'!AB282</f>
        <v>0</v>
      </c>
      <c r="K282" s="693">
        <f>'Glass Metrics'!AA282</f>
        <v>0</v>
      </c>
    </row>
    <row r="283" spans="1:11" ht="15.75" customHeight="1">
      <c r="A283" s="175">
        <f t="shared" si="17"/>
        <v>2026</v>
      </c>
      <c r="B283" s="454" t="str">
        <f t="shared" si="18"/>
        <v>16</v>
      </c>
      <c r="C283" s="454" t="str">
        <f t="array" ref="C283">_xlfn.IFS(_xlfn.NUMBERVALUE(B283)&lt;=13,"Q1",AND(_xlfn.NUMBERVALUE(B283)&gt;13,_xlfn.NUMBERVALUE(B283)&lt;=26),"Q2", AND(_xlfn.NUMBERVALUE(B283)&gt;26,_xlfn.NUMBERVALUE(B283)&lt;=39),"Q3",_xlfn.NUMBERVALUE(B283)&gt;39,"Q4")</f>
        <v>Q2</v>
      </c>
      <c r="D283" s="448">
        <f t="shared" si="20"/>
        <v>45794</v>
      </c>
      <c r="E283" s="448">
        <f t="shared" si="19"/>
        <v>45800</v>
      </c>
      <c r="F283" s="690">
        <v>202516</v>
      </c>
      <c r="G283" s="694">
        <f t="shared" si="21"/>
        <v>0</v>
      </c>
      <c r="H283" s="756"/>
      <c r="I283" s="756"/>
      <c r="J283" s="692">
        <f>'Glass Metrics'!AB283</f>
        <v>0</v>
      </c>
      <c r="K283" s="693">
        <f>'Glass Metrics'!AA283</f>
        <v>0</v>
      </c>
    </row>
    <row r="284" spans="1:11" ht="15.75" customHeight="1">
      <c r="A284" s="175">
        <f t="shared" si="17"/>
        <v>2026</v>
      </c>
      <c r="B284" s="454" t="str">
        <f t="shared" si="18"/>
        <v>17</v>
      </c>
      <c r="C284" s="454" t="str">
        <f t="array" ref="C284">_xlfn.IFS(_xlfn.NUMBERVALUE(B284)&lt;=13,"Q1",AND(_xlfn.NUMBERVALUE(B284)&gt;13,_xlfn.NUMBERVALUE(B284)&lt;=26),"Q2", AND(_xlfn.NUMBERVALUE(B284)&gt;26,_xlfn.NUMBERVALUE(B284)&lt;=39),"Q3",_xlfn.NUMBERVALUE(B284)&gt;39,"Q4")</f>
        <v>Q2</v>
      </c>
      <c r="D284" s="448">
        <f t="shared" si="20"/>
        <v>45801</v>
      </c>
      <c r="E284" s="448">
        <f t="shared" si="19"/>
        <v>45807</v>
      </c>
      <c r="F284" s="690">
        <v>202517</v>
      </c>
      <c r="G284" s="694">
        <f t="shared" si="21"/>
        <v>0</v>
      </c>
      <c r="H284" s="756"/>
      <c r="I284" s="756"/>
      <c r="J284" s="692">
        <f>'Glass Metrics'!AB284</f>
        <v>0</v>
      </c>
      <c r="K284" s="693">
        <f>'Glass Metrics'!AA284</f>
        <v>0</v>
      </c>
    </row>
    <row r="285" spans="1:11" ht="15.75" customHeight="1">
      <c r="A285" s="175">
        <f t="shared" si="17"/>
        <v>2026</v>
      </c>
      <c r="B285" s="454" t="str">
        <f t="shared" si="18"/>
        <v>18</v>
      </c>
      <c r="C285" s="454" t="str">
        <f t="array" ref="C285">_xlfn.IFS(_xlfn.NUMBERVALUE(B285)&lt;=13,"Q1",AND(_xlfn.NUMBERVALUE(B285)&gt;13,_xlfn.NUMBERVALUE(B285)&lt;=26),"Q2", AND(_xlfn.NUMBERVALUE(B285)&gt;26,_xlfn.NUMBERVALUE(B285)&lt;=39),"Q3",_xlfn.NUMBERVALUE(B285)&gt;39,"Q4")</f>
        <v>Q2</v>
      </c>
      <c r="D285" s="448">
        <f t="shared" si="20"/>
        <v>45808</v>
      </c>
      <c r="E285" s="448">
        <f t="shared" si="19"/>
        <v>45814</v>
      </c>
      <c r="F285" s="690">
        <v>202518</v>
      </c>
      <c r="G285" s="694">
        <f t="shared" si="21"/>
        <v>0</v>
      </c>
      <c r="H285" s="756"/>
      <c r="I285" s="756"/>
      <c r="J285" s="692">
        <f>'Glass Metrics'!AB285</f>
        <v>0</v>
      </c>
      <c r="K285" s="693">
        <f>'Glass Metrics'!AA285</f>
        <v>0</v>
      </c>
    </row>
    <row r="286" spans="1:11" ht="15.75" customHeight="1">
      <c r="A286" s="175">
        <f t="shared" si="17"/>
        <v>2026</v>
      </c>
      <c r="B286" s="454" t="str">
        <f t="shared" si="18"/>
        <v>19</v>
      </c>
      <c r="C286" s="454" t="str">
        <f t="array" ref="C286">_xlfn.IFS(_xlfn.NUMBERVALUE(B286)&lt;=13,"Q1",AND(_xlfn.NUMBERVALUE(B286)&gt;13,_xlfn.NUMBERVALUE(B286)&lt;=26),"Q2", AND(_xlfn.NUMBERVALUE(B286)&gt;26,_xlfn.NUMBERVALUE(B286)&lt;=39),"Q3",_xlfn.NUMBERVALUE(B286)&gt;39,"Q4")</f>
        <v>Q2</v>
      </c>
      <c r="D286" s="448">
        <f t="shared" si="20"/>
        <v>45815</v>
      </c>
      <c r="E286" s="448">
        <f t="shared" si="19"/>
        <v>45821</v>
      </c>
      <c r="F286" s="690">
        <v>202519</v>
      </c>
      <c r="G286" s="694">
        <f t="shared" si="21"/>
        <v>0</v>
      </c>
      <c r="H286" s="756"/>
      <c r="I286" s="756"/>
      <c r="J286" s="692">
        <f>'Glass Metrics'!AB286</f>
        <v>0</v>
      </c>
      <c r="K286" s="693">
        <f>'Glass Metrics'!AA286</f>
        <v>0</v>
      </c>
    </row>
    <row r="287" spans="1:11" ht="15.75" customHeight="1">
      <c r="A287" s="175">
        <f t="shared" si="17"/>
        <v>2026</v>
      </c>
      <c r="B287" s="454" t="str">
        <f t="shared" si="18"/>
        <v>20</v>
      </c>
      <c r="C287" s="454" t="str">
        <f t="array" ref="C287">_xlfn.IFS(_xlfn.NUMBERVALUE(B287)&lt;=13,"Q1",AND(_xlfn.NUMBERVALUE(B287)&gt;13,_xlfn.NUMBERVALUE(B287)&lt;=26),"Q2", AND(_xlfn.NUMBERVALUE(B287)&gt;26,_xlfn.NUMBERVALUE(B287)&lt;=39),"Q3",_xlfn.NUMBERVALUE(B287)&gt;39,"Q4")</f>
        <v>Q2</v>
      </c>
      <c r="D287" s="448">
        <f t="shared" si="20"/>
        <v>45822</v>
      </c>
      <c r="E287" s="448">
        <f t="shared" si="19"/>
        <v>45828</v>
      </c>
      <c r="F287" s="690">
        <v>202520</v>
      </c>
      <c r="G287" s="694">
        <f t="shared" si="21"/>
        <v>0</v>
      </c>
      <c r="H287" s="756"/>
      <c r="I287" s="756"/>
      <c r="J287" s="692">
        <f>'Glass Metrics'!AB287</f>
        <v>0</v>
      </c>
      <c r="K287" s="693">
        <f>'Glass Metrics'!AA287</f>
        <v>0</v>
      </c>
    </row>
    <row r="288" spans="1:11" ht="15.75" customHeight="1">
      <c r="A288" s="175">
        <f t="shared" si="17"/>
        <v>2026</v>
      </c>
      <c r="B288" s="454" t="str">
        <f t="shared" si="18"/>
        <v>21</v>
      </c>
      <c r="C288" s="454" t="str">
        <f t="array" ref="C288">_xlfn.IFS(_xlfn.NUMBERVALUE(B288)&lt;=13,"Q1",AND(_xlfn.NUMBERVALUE(B288)&gt;13,_xlfn.NUMBERVALUE(B288)&lt;=26),"Q2", AND(_xlfn.NUMBERVALUE(B288)&gt;26,_xlfn.NUMBERVALUE(B288)&lt;=39),"Q3",_xlfn.NUMBERVALUE(B288)&gt;39,"Q4")</f>
        <v>Q2</v>
      </c>
      <c r="D288" s="448">
        <f t="shared" si="20"/>
        <v>45829</v>
      </c>
      <c r="E288" s="448">
        <f t="shared" si="19"/>
        <v>45835</v>
      </c>
      <c r="F288" s="690">
        <v>202521</v>
      </c>
      <c r="G288" s="694">
        <f t="shared" si="21"/>
        <v>0</v>
      </c>
      <c r="H288" s="756"/>
      <c r="I288" s="756"/>
      <c r="J288" s="692">
        <f>'Glass Metrics'!AB288</f>
        <v>0</v>
      </c>
      <c r="K288" s="693">
        <f>'Glass Metrics'!AA288</f>
        <v>0</v>
      </c>
    </row>
    <row r="289" spans="1:11" ht="15.75" customHeight="1">
      <c r="A289" s="175">
        <f t="shared" si="17"/>
        <v>2026</v>
      </c>
      <c r="B289" s="454" t="str">
        <f t="shared" si="18"/>
        <v>22</v>
      </c>
      <c r="C289" s="454" t="str">
        <f t="array" ref="C289">_xlfn.IFS(_xlfn.NUMBERVALUE(B289)&lt;=13,"Q1",AND(_xlfn.NUMBERVALUE(B289)&gt;13,_xlfn.NUMBERVALUE(B289)&lt;=26),"Q2", AND(_xlfn.NUMBERVALUE(B289)&gt;26,_xlfn.NUMBERVALUE(B289)&lt;=39),"Q3",_xlfn.NUMBERVALUE(B289)&gt;39,"Q4")</f>
        <v>Q2</v>
      </c>
      <c r="D289" s="448">
        <f t="shared" si="20"/>
        <v>45836</v>
      </c>
      <c r="E289" s="448">
        <f t="shared" si="19"/>
        <v>45842</v>
      </c>
      <c r="F289" s="690">
        <v>202522</v>
      </c>
      <c r="G289" s="694">
        <f t="shared" si="21"/>
        <v>0</v>
      </c>
      <c r="H289" s="756"/>
      <c r="I289" s="756"/>
      <c r="J289" s="692">
        <f>'Glass Metrics'!AB289</f>
        <v>0</v>
      </c>
      <c r="K289" s="693">
        <f>'Glass Metrics'!AA289</f>
        <v>0</v>
      </c>
    </row>
    <row r="290" spans="1:11" ht="15.75" customHeight="1">
      <c r="A290" s="175">
        <f t="shared" si="17"/>
        <v>2026</v>
      </c>
      <c r="B290" s="454" t="str">
        <f t="shared" si="18"/>
        <v>23</v>
      </c>
      <c r="C290" s="454" t="str">
        <f t="array" ref="C290">_xlfn.IFS(_xlfn.NUMBERVALUE(B290)&lt;=13,"Q1",AND(_xlfn.NUMBERVALUE(B290)&gt;13,_xlfn.NUMBERVALUE(B290)&lt;=26),"Q2", AND(_xlfn.NUMBERVALUE(B290)&gt;26,_xlfn.NUMBERVALUE(B290)&lt;=39),"Q3",_xlfn.NUMBERVALUE(B290)&gt;39,"Q4")</f>
        <v>Q2</v>
      </c>
      <c r="D290" s="448">
        <f t="shared" si="20"/>
        <v>45843</v>
      </c>
      <c r="E290" s="448">
        <f t="shared" si="19"/>
        <v>45849</v>
      </c>
      <c r="F290" s="690">
        <v>202523</v>
      </c>
      <c r="G290" s="694">
        <f t="shared" si="21"/>
        <v>0</v>
      </c>
      <c r="H290" s="756"/>
      <c r="I290" s="756"/>
      <c r="J290" s="692">
        <f>'Glass Metrics'!AB290</f>
        <v>0</v>
      </c>
      <c r="K290" s="693">
        <f>'Glass Metrics'!AA290</f>
        <v>0</v>
      </c>
    </row>
    <row r="291" spans="1:11" ht="15.75" customHeight="1">
      <c r="A291" s="175">
        <f t="shared" si="17"/>
        <v>2026</v>
      </c>
      <c r="B291" s="454" t="str">
        <f t="shared" si="18"/>
        <v>24</v>
      </c>
      <c r="C291" s="454" t="str">
        <f t="array" ref="C291">_xlfn.IFS(_xlfn.NUMBERVALUE(B291)&lt;=13,"Q1",AND(_xlfn.NUMBERVALUE(B291)&gt;13,_xlfn.NUMBERVALUE(B291)&lt;=26),"Q2", AND(_xlfn.NUMBERVALUE(B291)&gt;26,_xlfn.NUMBERVALUE(B291)&lt;=39),"Q3",_xlfn.NUMBERVALUE(B291)&gt;39,"Q4")</f>
        <v>Q2</v>
      </c>
      <c r="D291" s="448">
        <f t="shared" si="20"/>
        <v>45850</v>
      </c>
      <c r="E291" s="448">
        <f t="shared" si="19"/>
        <v>45856</v>
      </c>
      <c r="F291" s="690">
        <v>202524</v>
      </c>
      <c r="G291" s="694">
        <f t="shared" si="21"/>
        <v>0</v>
      </c>
      <c r="H291" s="756"/>
      <c r="I291" s="756"/>
      <c r="J291" s="692">
        <f>'Glass Metrics'!AB291</f>
        <v>0</v>
      </c>
      <c r="K291" s="693">
        <f>'Glass Metrics'!AA291</f>
        <v>0</v>
      </c>
    </row>
    <row r="292" spans="1:11" ht="15.75" customHeight="1">
      <c r="A292" s="175">
        <f t="shared" si="17"/>
        <v>2026</v>
      </c>
      <c r="B292" s="454" t="str">
        <f t="shared" si="18"/>
        <v>25</v>
      </c>
      <c r="C292" s="454" t="str">
        <f t="array" ref="C292">_xlfn.IFS(_xlfn.NUMBERVALUE(B292)&lt;=13,"Q1",AND(_xlfn.NUMBERVALUE(B292)&gt;13,_xlfn.NUMBERVALUE(B292)&lt;=26),"Q2", AND(_xlfn.NUMBERVALUE(B292)&gt;26,_xlfn.NUMBERVALUE(B292)&lt;=39),"Q3",_xlfn.NUMBERVALUE(B292)&gt;39,"Q4")</f>
        <v>Q2</v>
      </c>
      <c r="D292" s="448">
        <f t="shared" si="20"/>
        <v>45857</v>
      </c>
      <c r="E292" s="448">
        <f t="shared" si="19"/>
        <v>45863</v>
      </c>
      <c r="F292" s="690">
        <v>202525</v>
      </c>
      <c r="G292" s="694">
        <f t="shared" si="21"/>
        <v>0</v>
      </c>
      <c r="H292" s="756"/>
      <c r="I292" s="756"/>
      <c r="J292" s="692">
        <f>'Glass Metrics'!AB292</f>
        <v>0</v>
      </c>
      <c r="K292" s="693">
        <f>'Glass Metrics'!AA292</f>
        <v>0</v>
      </c>
    </row>
    <row r="293" spans="1:11" ht="15.75" customHeight="1">
      <c r="A293" s="175">
        <f t="shared" si="17"/>
        <v>2026</v>
      </c>
      <c r="B293" s="454" t="str">
        <f t="shared" si="18"/>
        <v>26</v>
      </c>
      <c r="C293" s="454" t="str">
        <f t="array" ref="C293">_xlfn.IFS(_xlfn.NUMBERVALUE(B293)&lt;=13,"Q1",AND(_xlfn.NUMBERVALUE(B293)&gt;13,_xlfn.NUMBERVALUE(B293)&lt;=26),"Q2", AND(_xlfn.NUMBERVALUE(B293)&gt;26,_xlfn.NUMBERVALUE(B293)&lt;=39),"Q3",_xlfn.NUMBERVALUE(B293)&gt;39,"Q4")</f>
        <v>Q2</v>
      </c>
      <c r="D293" s="448">
        <f t="shared" si="20"/>
        <v>45864</v>
      </c>
      <c r="E293" s="448">
        <f t="shared" si="19"/>
        <v>45870</v>
      </c>
      <c r="F293" s="690">
        <v>202526</v>
      </c>
      <c r="G293" s="694">
        <f t="shared" si="21"/>
        <v>0</v>
      </c>
      <c r="H293" s="756"/>
      <c r="I293" s="756"/>
      <c r="J293" s="692">
        <f>'Glass Metrics'!AB293</f>
        <v>0</v>
      </c>
      <c r="K293" s="693">
        <f>'Glass Metrics'!AA293</f>
        <v>0</v>
      </c>
    </row>
    <row r="294" spans="1:11" ht="15.75" customHeight="1">
      <c r="A294" s="175">
        <f t="shared" si="17"/>
        <v>2026</v>
      </c>
      <c r="B294" s="454" t="str">
        <f t="shared" si="18"/>
        <v>27</v>
      </c>
      <c r="C294" s="454" t="str">
        <f t="array" ref="C294">_xlfn.IFS(_xlfn.NUMBERVALUE(B294)&lt;=13,"Q1",AND(_xlfn.NUMBERVALUE(B294)&gt;13,_xlfn.NUMBERVALUE(B294)&lt;=26),"Q2", AND(_xlfn.NUMBERVALUE(B294)&gt;26,_xlfn.NUMBERVALUE(B294)&lt;=39),"Q3",_xlfn.NUMBERVALUE(B294)&gt;39,"Q4")</f>
        <v>Q3</v>
      </c>
      <c r="D294" s="448">
        <f t="shared" si="20"/>
        <v>45871</v>
      </c>
      <c r="E294" s="448">
        <f t="shared" si="19"/>
        <v>45877</v>
      </c>
      <c r="F294" s="690">
        <v>202527</v>
      </c>
      <c r="G294" s="694">
        <f t="shared" si="21"/>
        <v>0</v>
      </c>
      <c r="H294" s="756"/>
      <c r="I294" s="756"/>
      <c r="J294" s="692">
        <f>'Glass Metrics'!AB294</f>
        <v>0</v>
      </c>
      <c r="K294" s="693">
        <f>'Glass Metrics'!AA294</f>
        <v>0</v>
      </c>
    </row>
    <row r="295" spans="1:11" ht="15.75" customHeight="1">
      <c r="A295" s="175">
        <f t="shared" si="17"/>
        <v>2026</v>
      </c>
      <c r="B295" s="454" t="str">
        <f t="shared" si="18"/>
        <v>28</v>
      </c>
      <c r="C295" s="454" t="str">
        <f t="array" ref="C295">_xlfn.IFS(_xlfn.NUMBERVALUE(B295)&lt;=13,"Q1",AND(_xlfn.NUMBERVALUE(B295)&gt;13,_xlfn.NUMBERVALUE(B295)&lt;=26),"Q2", AND(_xlfn.NUMBERVALUE(B295)&gt;26,_xlfn.NUMBERVALUE(B295)&lt;=39),"Q3",_xlfn.NUMBERVALUE(B295)&gt;39,"Q4")</f>
        <v>Q3</v>
      </c>
      <c r="D295" s="448">
        <f t="shared" si="20"/>
        <v>45878</v>
      </c>
      <c r="E295" s="448">
        <f t="shared" si="19"/>
        <v>45884</v>
      </c>
      <c r="F295" s="690">
        <v>202528</v>
      </c>
      <c r="G295" s="694">
        <f t="shared" si="21"/>
        <v>0</v>
      </c>
      <c r="H295" s="756"/>
      <c r="I295" s="756"/>
      <c r="J295" s="692">
        <f>'Glass Metrics'!AB295</f>
        <v>0</v>
      </c>
      <c r="K295" s="693">
        <f>'Glass Metrics'!AA295</f>
        <v>0</v>
      </c>
    </row>
    <row r="296" spans="1:11" ht="15.75" customHeight="1">
      <c r="A296" s="175">
        <f t="shared" si="17"/>
        <v>2026</v>
      </c>
      <c r="B296" s="454" t="str">
        <f t="shared" si="18"/>
        <v>29</v>
      </c>
      <c r="C296" s="454" t="str">
        <f t="array" ref="C296">_xlfn.IFS(_xlfn.NUMBERVALUE(B296)&lt;=13,"Q1",AND(_xlfn.NUMBERVALUE(B296)&gt;13,_xlfn.NUMBERVALUE(B296)&lt;=26),"Q2", AND(_xlfn.NUMBERVALUE(B296)&gt;26,_xlfn.NUMBERVALUE(B296)&lt;=39),"Q3",_xlfn.NUMBERVALUE(B296)&gt;39,"Q4")</f>
        <v>Q3</v>
      </c>
      <c r="D296" s="448">
        <f t="shared" si="20"/>
        <v>45885</v>
      </c>
      <c r="E296" s="448">
        <f t="shared" si="19"/>
        <v>45891</v>
      </c>
      <c r="F296" s="690">
        <v>202529</v>
      </c>
      <c r="G296" s="694">
        <f t="shared" si="21"/>
        <v>0</v>
      </c>
      <c r="H296" s="756"/>
      <c r="I296" s="756"/>
      <c r="J296" s="692">
        <f>'Glass Metrics'!AB296</f>
        <v>0</v>
      </c>
      <c r="K296" s="693">
        <f>'Glass Metrics'!AA296</f>
        <v>0</v>
      </c>
    </row>
    <row r="297" spans="1:11" ht="15.75" customHeight="1">
      <c r="A297" s="175">
        <f t="shared" si="17"/>
        <v>2026</v>
      </c>
      <c r="B297" s="454" t="str">
        <f t="shared" si="18"/>
        <v>30</v>
      </c>
      <c r="C297" s="454" t="str">
        <f t="array" ref="C297">_xlfn.IFS(_xlfn.NUMBERVALUE(B297)&lt;=13,"Q1",AND(_xlfn.NUMBERVALUE(B297)&gt;13,_xlfn.NUMBERVALUE(B297)&lt;=26),"Q2", AND(_xlfn.NUMBERVALUE(B297)&gt;26,_xlfn.NUMBERVALUE(B297)&lt;=39),"Q3",_xlfn.NUMBERVALUE(B297)&gt;39,"Q4")</f>
        <v>Q3</v>
      </c>
      <c r="D297" s="448">
        <f t="shared" si="20"/>
        <v>45892</v>
      </c>
      <c r="E297" s="448">
        <f t="shared" si="19"/>
        <v>45898</v>
      </c>
      <c r="F297" s="690">
        <v>202530</v>
      </c>
      <c r="G297" s="694">
        <f t="shared" si="21"/>
        <v>0</v>
      </c>
      <c r="H297" s="756"/>
      <c r="I297" s="756"/>
      <c r="J297" s="692">
        <f>'Glass Metrics'!AB297</f>
        <v>0</v>
      </c>
      <c r="K297" s="693">
        <f>'Glass Metrics'!AA297</f>
        <v>0</v>
      </c>
    </row>
    <row r="298" spans="1:11" ht="15.75" customHeight="1">
      <c r="A298" s="175">
        <f t="shared" si="17"/>
        <v>2026</v>
      </c>
      <c r="B298" s="454" t="str">
        <f t="shared" si="18"/>
        <v>31</v>
      </c>
      <c r="C298" s="454" t="str">
        <f t="array" ref="C298">_xlfn.IFS(_xlfn.NUMBERVALUE(B298)&lt;=13,"Q1",AND(_xlfn.NUMBERVALUE(B298)&gt;13,_xlfn.NUMBERVALUE(B298)&lt;=26),"Q2", AND(_xlfn.NUMBERVALUE(B298)&gt;26,_xlfn.NUMBERVALUE(B298)&lt;=39),"Q3",_xlfn.NUMBERVALUE(B298)&gt;39,"Q4")</f>
        <v>Q3</v>
      </c>
      <c r="D298" s="448">
        <f t="shared" si="20"/>
        <v>45899</v>
      </c>
      <c r="E298" s="448">
        <f t="shared" si="19"/>
        <v>45905</v>
      </c>
      <c r="F298" s="690">
        <v>202531</v>
      </c>
      <c r="G298" s="694">
        <f t="shared" si="21"/>
        <v>0</v>
      </c>
      <c r="H298" s="756"/>
      <c r="I298" s="756"/>
      <c r="J298" s="692">
        <f>'Glass Metrics'!AB298</f>
        <v>0</v>
      </c>
      <c r="K298" s="693">
        <f>'Glass Metrics'!AA298</f>
        <v>0</v>
      </c>
    </row>
    <row r="299" spans="1:11" ht="15.75" customHeight="1">
      <c r="A299" s="175">
        <f t="shared" si="17"/>
        <v>2026</v>
      </c>
      <c r="B299" s="454" t="str">
        <f t="shared" si="18"/>
        <v>32</v>
      </c>
      <c r="C299" s="454" t="str">
        <f t="array" ref="C299">_xlfn.IFS(_xlfn.NUMBERVALUE(B299)&lt;=13,"Q1",AND(_xlfn.NUMBERVALUE(B299)&gt;13,_xlfn.NUMBERVALUE(B299)&lt;=26),"Q2", AND(_xlfn.NUMBERVALUE(B299)&gt;26,_xlfn.NUMBERVALUE(B299)&lt;=39),"Q3",_xlfn.NUMBERVALUE(B299)&gt;39,"Q4")</f>
        <v>Q3</v>
      </c>
      <c r="D299" s="448">
        <f t="shared" si="20"/>
        <v>45906</v>
      </c>
      <c r="E299" s="448">
        <f t="shared" si="19"/>
        <v>45912</v>
      </c>
      <c r="F299" s="690">
        <v>202532</v>
      </c>
      <c r="G299" s="694">
        <f t="shared" si="21"/>
        <v>0</v>
      </c>
      <c r="H299" s="756"/>
      <c r="I299" s="756"/>
      <c r="J299" s="692">
        <f>'Glass Metrics'!AB299</f>
        <v>0</v>
      </c>
      <c r="K299" s="693">
        <f>'Glass Metrics'!AA299</f>
        <v>0</v>
      </c>
    </row>
    <row r="300" spans="1:11" ht="15.75" customHeight="1">
      <c r="A300" s="175">
        <f t="shared" si="17"/>
        <v>2026</v>
      </c>
      <c r="B300" s="454" t="str">
        <f t="shared" si="18"/>
        <v>33</v>
      </c>
      <c r="C300" s="454" t="str">
        <f t="array" ref="C300">_xlfn.IFS(_xlfn.NUMBERVALUE(B300)&lt;=13,"Q1",AND(_xlfn.NUMBERVALUE(B300)&gt;13,_xlfn.NUMBERVALUE(B300)&lt;=26),"Q2", AND(_xlfn.NUMBERVALUE(B300)&gt;26,_xlfn.NUMBERVALUE(B300)&lt;=39),"Q3",_xlfn.NUMBERVALUE(B300)&gt;39,"Q4")</f>
        <v>Q3</v>
      </c>
      <c r="D300" s="448">
        <f t="shared" si="20"/>
        <v>45913</v>
      </c>
      <c r="E300" s="448">
        <f t="shared" si="19"/>
        <v>45919</v>
      </c>
      <c r="F300" s="690">
        <v>202533</v>
      </c>
      <c r="G300" s="694">
        <f t="shared" si="21"/>
        <v>0</v>
      </c>
      <c r="H300" s="756"/>
      <c r="I300" s="756"/>
      <c r="J300" s="692">
        <f>'Glass Metrics'!AB300</f>
        <v>0</v>
      </c>
      <c r="K300" s="693">
        <f>'Glass Metrics'!AA300</f>
        <v>0</v>
      </c>
    </row>
    <row r="301" spans="1:11" ht="15.75" customHeight="1">
      <c r="A301" s="175">
        <f t="shared" si="17"/>
        <v>2026</v>
      </c>
      <c r="B301" s="454" t="str">
        <f t="shared" si="18"/>
        <v>34</v>
      </c>
      <c r="C301" s="454" t="str">
        <f t="array" ref="C301">_xlfn.IFS(_xlfn.NUMBERVALUE(B301)&lt;=13,"Q1",AND(_xlfn.NUMBERVALUE(B301)&gt;13,_xlfn.NUMBERVALUE(B301)&lt;=26),"Q2", AND(_xlfn.NUMBERVALUE(B301)&gt;26,_xlfn.NUMBERVALUE(B301)&lt;=39),"Q3",_xlfn.NUMBERVALUE(B301)&gt;39,"Q4")</f>
        <v>Q3</v>
      </c>
      <c r="D301" s="448">
        <f t="shared" si="20"/>
        <v>45920</v>
      </c>
      <c r="E301" s="448">
        <f t="shared" si="19"/>
        <v>45926</v>
      </c>
      <c r="F301" s="690">
        <v>202534</v>
      </c>
      <c r="G301" s="694">
        <f t="shared" ref="G301:G319" si="22">IFERROR((J301*H301+K301*I301)/SUM(J301:K301),0)</f>
        <v>0</v>
      </c>
      <c r="H301" s="756"/>
      <c r="I301" s="756"/>
      <c r="J301" s="692">
        <f>'Glass Metrics'!AB301</f>
        <v>0</v>
      </c>
      <c r="K301" s="693">
        <f>'Glass Metrics'!AA301</f>
        <v>0</v>
      </c>
    </row>
    <row r="302" spans="1:11" ht="15.75" customHeight="1">
      <c r="A302" s="175">
        <f t="shared" si="17"/>
        <v>2026</v>
      </c>
      <c r="B302" s="454" t="str">
        <f t="shared" si="18"/>
        <v>35</v>
      </c>
      <c r="C302" s="454" t="str">
        <f t="array" ref="C302">_xlfn.IFS(_xlfn.NUMBERVALUE(B302)&lt;=13,"Q1",AND(_xlfn.NUMBERVALUE(B302)&gt;13,_xlfn.NUMBERVALUE(B302)&lt;=26),"Q2", AND(_xlfn.NUMBERVALUE(B302)&gt;26,_xlfn.NUMBERVALUE(B302)&lt;=39),"Q3",_xlfn.NUMBERVALUE(B302)&gt;39,"Q4")</f>
        <v>Q3</v>
      </c>
      <c r="D302" s="448">
        <f t="shared" si="20"/>
        <v>45927</v>
      </c>
      <c r="E302" s="448">
        <f t="shared" si="19"/>
        <v>45933</v>
      </c>
      <c r="F302" s="690">
        <v>202535</v>
      </c>
      <c r="G302" s="694">
        <f t="shared" si="22"/>
        <v>0</v>
      </c>
      <c r="H302" s="756"/>
      <c r="I302" s="756"/>
      <c r="J302" s="692">
        <f>'Glass Metrics'!AB302</f>
        <v>0</v>
      </c>
      <c r="K302" s="693">
        <f>'Glass Metrics'!AA302</f>
        <v>0</v>
      </c>
    </row>
    <row r="303" spans="1:11" ht="15.75" customHeight="1">
      <c r="A303" s="175">
        <f t="shared" si="17"/>
        <v>2026</v>
      </c>
      <c r="B303" s="454" t="str">
        <f t="shared" si="18"/>
        <v>36</v>
      </c>
      <c r="C303" s="454" t="str">
        <f t="array" ref="C303">_xlfn.IFS(_xlfn.NUMBERVALUE(B303)&lt;=13,"Q1",AND(_xlfn.NUMBERVALUE(B303)&gt;13,_xlfn.NUMBERVALUE(B303)&lt;=26),"Q2", AND(_xlfn.NUMBERVALUE(B303)&gt;26,_xlfn.NUMBERVALUE(B303)&lt;=39),"Q3",_xlfn.NUMBERVALUE(B303)&gt;39,"Q4")</f>
        <v>Q3</v>
      </c>
      <c r="D303" s="448">
        <f t="shared" si="20"/>
        <v>45934</v>
      </c>
      <c r="E303" s="448">
        <f t="shared" si="19"/>
        <v>45940</v>
      </c>
      <c r="F303" s="690">
        <v>202536</v>
      </c>
      <c r="G303" s="694">
        <f t="shared" si="22"/>
        <v>0</v>
      </c>
      <c r="H303" s="756"/>
      <c r="I303" s="756"/>
      <c r="J303" s="692">
        <f>'Glass Metrics'!AB303</f>
        <v>0</v>
      </c>
      <c r="K303" s="693">
        <f>'Glass Metrics'!AA303</f>
        <v>0</v>
      </c>
    </row>
    <row r="304" spans="1:11" ht="15.75" customHeight="1">
      <c r="A304" s="175">
        <f t="shared" si="17"/>
        <v>2026</v>
      </c>
      <c r="B304" s="454" t="str">
        <f t="shared" si="18"/>
        <v>37</v>
      </c>
      <c r="C304" s="454" t="str">
        <f t="array" ref="C304">_xlfn.IFS(_xlfn.NUMBERVALUE(B304)&lt;=13,"Q1",AND(_xlfn.NUMBERVALUE(B304)&gt;13,_xlfn.NUMBERVALUE(B304)&lt;=26),"Q2", AND(_xlfn.NUMBERVALUE(B304)&gt;26,_xlfn.NUMBERVALUE(B304)&lt;=39),"Q3",_xlfn.NUMBERVALUE(B304)&gt;39,"Q4")</f>
        <v>Q3</v>
      </c>
      <c r="D304" s="448">
        <f t="shared" si="20"/>
        <v>45941</v>
      </c>
      <c r="E304" s="448">
        <f t="shared" si="19"/>
        <v>45947</v>
      </c>
      <c r="F304" s="690">
        <v>202537</v>
      </c>
      <c r="G304" s="694">
        <f t="shared" si="22"/>
        <v>0</v>
      </c>
      <c r="H304" s="756"/>
      <c r="I304" s="756"/>
      <c r="J304" s="692">
        <f>'Glass Metrics'!AB304</f>
        <v>0</v>
      </c>
      <c r="K304" s="693">
        <f>'Glass Metrics'!AA304</f>
        <v>0</v>
      </c>
    </row>
    <row r="305" spans="1:11" ht="15.75" customHeight="1">
      <c r="A305" s="175">
        <f t="shared" si="17"/>
        <v>2026</v>
      </c>
      <c r="B305" s="454" t="str">
        <f t="shared" si="18"/>
        <v>38</v>
      </c>
      <c r="C305" s="454" t="str">
        <f t="array" ref="C305">_xlfn.IFS(_xlfn.NUMBERVALUE(B305)&lt;=13,"Q1",AND(_xlfn.NUMBERVALUE(B305)&gt;13,_xlfn.NUMBERVALUE(B305)&lt;=26),"Q2", AND(_xlfn.NUMBERVALUE(B305)&gt;26,_xlfn.NUMBERVALUE(B305)&lt;=39),"Q3",_xlfn.NUMBERVALUE(B305)&gt;39,"Q4")</f>
        <v>Q3</v>
      </c>
      <c r="D305" s="448">
        <f t="shared" si="20"/>
        <v>45948</v>
      </c>
      <c r="E305" s="448">
        <f t="shared" si="19"/>
        <v>45954</v>
      </c>
      <c r="F305" s="690">
        <v>202538</v>
      </c>
      <c r="G305" s="694">
        <f t="shared" si="22"/>
        <v>0</v>
      </c>
      <c r="H305" s="756"/>
      <c r="I305" s="756"/>
      <c r="J305" s="692">
        <f>'Glass Metrics'!AB305</f>
        <v>0</v>
      </c>
      <c r="K305" s="693">
        <f>'Glass Metrics'!AA305</f>
        <v>0</v>
      </c>
    </row>
    <row r="306" spans="1:11" ht="15.75" customHeight="1">
      <c r="A306" s="175">
        <f t="shared" si="17"/>
        <v>2026</v>
      </c>
      <c r="B306" s="454" t="str">
        <f t="shared" si="18"/>
        <v>39</v>
      </c>
      <c r="C306" s="454" t="str">
        <f t="array" ref="C306">_xlfn.IFS(_xlfn.NUMBERVALUE(B306)&lt;=13,"Q1",AND(_xlfn.NUMBERVALUE(B306)&gt;13,_xlfn.NUMBERVALUE(B306)&lt;=26),"Q2", AND(_xlfn.NUMBERVALUE(B306)&gt;26,_xlfn.NUMBERVALUE(B306)&lt;=39),"Q3",_xlfn.NUMBERVALUE(B306)&gt;39,"Q4")</f>
        <v>Q3</v>
      </c>
      <c r="D306" s="448">
        <f t="shared" si="20"/>
        <v>45955</v>
      </c>
      <c r="E306" s="448">
        <f t="shared" si="19"/>
        <v>45961</v>
      </c>
      <c r="F306" s="690">
        <v>202539</v>
      </c>
      <c r="G306" s="694">
        <f t="shared" si="22"/>
        <v>0</v>
      </c>
      <c r="H306" s="756"/>
      <c r="I306" s="756"/>
      <c r="J306" s="692">
        <f>'Glass Metrics'!AB306</f>
        <v>0</v>
      </c>
      <c r="K306" s="693">
        <f>'Glass Metrics'!AA306</f>
        <v>0</v>
      </c>
    </row>
    <row r="307" spans="1:11" ht="15.75" customHeight="1">
      <c r="A307" s="175">
        <f t="shared" si="17"/>
        <v>2026</v>
      </c>
      <c r="B307" s="454" t="str">
        <f t="shared" si="18"/>
        <v>40</v>
      </c>
      <c r="C307" s="454" t="str">
        <f t="array" ref="C307">_xlfn.IFS(_xlfn.NUMBERVALUE(B307)&lt;=13,"Q1",AND(_xlfn.NUMBERVALUE(B307)&gt;13,_xlfn.NUMBERVALUE(B307)&lt;=26),"Q2", AND(_xlfn.NUMBERVALUE(B307)&gt;26,_xlfn.NUMBERVALUE(B307)&lt;=39),"Q3",_xlfn.NUMBERVALUE(B307)&gt;39,"Q4")</f>
        <v>Q4</v>
      </c>
      <c r="D307" s="448">
        <f t="shared" si="20"/>
        <v>45962</v>
      </c>
      <c r="E307" s="448">
        <f t="shared" si="19"/>
        <v>45968</v>
      </c>
      <c r="F307" s="690">
        <v>202540</v>
      </c>
      <c r="G307" s="694">
        <f t="shared" si="22"/>
        <v>0</v>
      </c>
      <c r="H307" s="756"/>
      <c r="I307" s="756"/>
      <c r="J307" s="692">
        <f>'Glass Metrics'!AB307</f>
        <v>0</v>
      </c>
      <c r="K307" s="693">
        <f>'Glass Metrics'!AA307</f>
        <v>0</v>
      </c>
    </row>
    <row r="308" spans="1:11" ht="15.75" customHeight="1">
      <c r="A308" s="175">
        <f t="shared" si="17"/>
        <v>2026</v>
      </c>
      <c r="B308" s="454" t="str">
        <f t="shared" si="18"/>
        <v>41</v>
      </c>
      <c r="C308" s="454" t="str">
        <f t="array" ref="C308">_xlfn.IFS(_xlfn.NUMBERVALUE(B308)&lt;=13,"Q1",AND(_xlfn.NUMBERVALUE(B308)&gt;13,_xlfn.NUMBERVALUE(B308)&lt;=26),"Q2", AND(_xlfn.NUMBERVALUE(B308)&gt;26,_xlfn.NUMBERVALUE(B308)&lt;=39),"Q3",_xlfn.NUMBERVALUE(B308)&gt;39,"Q4")</f>
        <v>Q4</v>
      </c>
      <c r="D308" s="448">
        <f t="shared" si="20"/>
        <v>45969</v>
      </c>
      <c r="E308" s="448">
        <f t="shared" si="19"/>
        <v>45975</v>
      </c>
      <c r="F308" s="690">
        <v>202541</v>
      </c>
      <c r="G308" s="694">
        <f t="shared" si="22"/>
        <v>0</v>
      </c>
      <c r="H308" s="756"/>
      <c r="I308" s="756"/>
      <c r="J308" s="692">
        <f>'Glass Metrics'!AB308</f>
        <v>0</v>
      </c>
      <c r="K308" s="693">
        <f>'Glass Metrics'!AA308</f>
        <v>0</v>
      </c>
    </row>
    <row r="309" spans="1:11" ht="15.75" customHeight="1">
      <c r="A309" s="175">
        <f t="shared" si="17"/>
        <v>2026</v>
      </c>
      <c r="B309" s="454" t="str">
        <f t="shared" si="18"/>
        <v>42</v>
      </c>
      <c r="C309" s="454" t="str">
        <f t="array" ref="C309">_xlfn.IFS(_xlfn.NUMBERVALUE(B309)&lt;=13,"Q1",AND(_xlfn.NUMBERVALUE(B309)&gt;13,_xlfn.NUMBERVALUE(B309)&lt;=26),"Q2", AND(_xlfn.NUMBERVALUE(B309)&gt;26,_xlfn.NUMBERVALUE(B309)&lt;=39),"Q3",_xlfn.NUMBERVALUE(B309)&gt;39,"Q4")</f>
        <v>Q4</v>
      </c>
      <c r="D309" s="448">
        <f t="shared" si="20"/>
        <v>45976</v>
      </c>
      <c r="E309" s="448">
        <f t="shared" si="19"/>
        <v>45982</v>
      </c>
      <c r="F309" s="690">
        <v>202542</v>
      </c>
      <c r="G309" s="694">
        <f t="shared" si="22"/>
        <v>0</v>
      </c>
      <c r="H309" s="756"/>
      <c r="I309" s="756"/>
      <c r="J309" s="692">
        <f>'Glass Metrics'!AB309</f>
        <v>0</v>
      </c>
      <c r="K309" s="693">
        <f>'Glass Metrics'!AA309</f>
        <v>0</v>
      </c>
    </row>
    <row r="310" spans="1:11" ht="15.75" customHeight="1">
      <c r="A310" s="175">
        <f t="shared" si="17"/>
        <v>2026</v>
      </c>
      <c r="B310" s="454" t="str">
        <f t="shared" si="18"/>
        <v>43</v>
      </c>
      <c r="C310" s="454" t="str">
        <f t="array" ref="C310">_xlfn.IFS(_xlfn.NUMBERVALUE(B310)&lt;=13,"Q1",AND(_xlfn.NUMBERVALUE(B310)&gt;13,_xlfn.NUMBERVALUE(B310)&lt;=26),"Q2", AND(_xlfn.NUMBERVALUE(B310)&gt;26,_xlfn.NUMBERVALUE(B310)&lt;=39),"Q3",_xlfn.NUMBERVALUE(B310)&gt;39,"Q4")</f>
        <v>Q4</v>
      </c>
      <c r="D310" s="448">
        <f t="shared" si="20"/>
        <v>45983</v>
      </c>
      <c r="E310" s="448">
        <f t="shared" si="19"/>
        <v>45989</v>
      </c>
      <c r="F310" s="690">
        <v>202543</v>
      </c>
      <c r="G310" s="694">
        <f t="shared" si="22"/>
        <v>0</v>
      </c>
      <c r="H310" s="756"/>
      <c r="I310" s="756"/>
      <c r="J310" s="692">
        <f>'Glass Metrics'!AB310</f>
        <v>0</v>
      </c>
      <c r="K310" s="693">
        <f>'Glass Metrics'!AA310</f>
        <v>0</v>
      </c>
    </row>
    <row r="311" spans="1:11" ht="15.75" customHeight="1">
      <c r="A311" s="175">
        <f t="shared" si="17"/>
        <v>2026</v>
      </c>
      <c r="B311" s="454" t="str">
        <f t="shared" si="18"/>
        <v>44</v>
      </c>
      <c r="C311" s="454" t="str">
        <f t="array" ref="C311">_xlfn.IFS(_xlfn.NUMBERVALUE(B311)&lt;=13,"Q1",AND(_xlfn.NUMBERVALUE(B311)&gt;13,_xlfn.NUMBERVALUE(B311)&lt;=26),"Q2", AND(_xlfn.NUMBERVALUE(B311)&gt;26,_xlfn.NUMBERVALUE(B311)&lt;=39),"Q3",_xlfn.NUMBERVALUE(B311)&gt;39,"Q4")</f>
        <v>Q4</v>
      </c>
      <c r="D311" s="448">
        <f t="shared" si="20"/>
        <v>45990</v>
      </c>
      <c r="E311" s="448">
        <f t="shared" si="19"/>
        <v>45996</v>
      </c>
      <c r="F311" s="690">
        <v>202544</v>
      </c>
      <c r="G311" s="694">
        <f t="shared" si="22"/>
        <v>0</v>
      </c>
      <c r="H311" s="756"/>
      <c r="I311" s="756"/>
      <c r="J311" s="692">
        <f>'Glass Metrics'!AB311</f>
        <v>0</v>
      </c>
      <c r="K311" s="693">
        <f>'Glass Metrics'!AA311</f>
        <v>0</v>
      </c>
    </row>
    <row r="312" spans="1:11" ht="15.75" customHeight="1">
      <c r="A312" s="175">
        <f t="shared" si="17"/>
        <v>2026</v>
      </c>
      <c r="B312" s="454" t="str">
        <f t="shared" si="18"/>
        <v>45</v>
      </c>
      <c r="C312" s="454" t="str">
        <f t="array" ref="C312">_xlfn.IFS(_xlfn.NUMBERVALUE(B312)&lt;=13,"Q1",AND(_xlfn.NUMBERVALUE(B312)&gt;13,_xlfn.NUMBERVALUE(B312)&lt;=26),"Q2", AND(_xlfn.NUMBERVALUE(B312)&gt;26,_xlfn.NUMBERVALUE(B312)&lt;=39),"Q3",_xlfn.NUMBERVALUE(B312)&gt;39,"Q4")</f>
        <v>Q4</v>
      </c>
      <c r="D312" s="448">
        <f t="shared" si="20"/>
        <v>45997</v>
      </c>
      <c r="E312" s="448">
        <f t="shared" si="19"/>
        <v>46003</v>
      </c>
      <c r="F312" s="690">
        <v>202545</v>
      </c>
      <c r="G312" s="694">
        <f t="shared" si="22"/>
        <v>0</v>
      </c>
      <c r="H312" s="756"/>
      <c r="I312" s="756"/>
      <c r="J312" s="692">
        <f>'Glass Metrics'!AB312</f>
        <v>0</v>
      </c>
      <c r="K312" s="693">
        <f>'Glass Metrics'!AA312</f>
        <v>0</v>
      </c>
    </row>
    <row r="313" spans="1:11" ht="15.75" customHeight="1">
      <c r="A313" s="175">
        <f t="shared" si="17"/>
        <v>2026</v>
      </c>
      <c r="B313" s="454" t="str">
        <f t="shared" si="18"/>
        <v>46</v>
      </c>
      <c r="C313" s="454" t="str">
        <f t="array" ref="C313">_xlfn.IFS(_xlfn.NUMBERVALUE(B313)&lt;=13,"Q1",AND(_xlfn.NUMBERVALUE(B313)&gt;13,_xlfn.NUMBERVALUE(B313)&lt;=26),"Q2", AND(_xlfn.NUMBERVALUE(B313)&gt;26,_xlfn.NUMBERVALUE(B313)&lt;=39),"Q3",_xlfn.NUMBERVALUE(B313)&gt;39,"Q4")</f>
        <v>Q4</v>
      </c>
      <c r="D313" s="448">
        <f t="shared" si="20"/>
        <v>46004</v>
      </c>
      <c r="E313" s="448">
        <f t="shared" si="19"/>
        <v>46010</v>
      </c>
      <c r="F313" s="690">
        <v>202546</v>
      </c>
      <c r="G313" s="694">
        <f t="shared" si="22"/>
        <v>0</v>
      </c>
      <c r="H313" s="756"/>
      <c r="I313" s="756"/>
      <c r="J313" s="692">
        <f>'Glass Metrics'!AB313</f>
        <v>0</v>
      </c>
      <c r="K313" s="693">
        <f>'Glass Metrics'!AA313</f>
        <v>0</v>
      </c>
    </row>
    <row r="314" spans="1:11" ht="15.75" customHeight="1">
      <c r="A314" s="175">
        <f t="shared" si="17"/>
        <v>2026</v>
      </c>
      <c r="B314" s="454" t="str">
        <f t="shared" si="18"/>
        <v>47</v>
      </c>
      <c r="C314" s="454" t="str">
        <f t="array" ref="C314">_xlfn.IFS(_xlfn.NUMBERVALUE(B314)&lt;=13,"Q1",AND(_xlfn.NUMBERVALUE(B314)&gt;13,_xlfn.NUMBERVALUE(B314)&lt;=26),"Q2", AND(_xlfn.NUMBERVALUE(B314)&gt;26,_xlfn.NUMBERVALUE(B314)&lt;=39),"Q3",_xlfn.NUMBERVALUE(B314)&gt;39,"Q4")</f>
        <v>Q4</v>
      </c>
      <c r="D314" s="448">
        <f t="shared" si="20"/>
        <v>46011</v>
      </c>
      <c r="E314" s="448">
        <f t="shared" si="19"/>
        <v>46017</v>
      </c>
      <c r="F314" s="690">
        <v>202547</v>
      </c>
      <c r="G314" s="694">
        <f t="shared" si="22"/>
        <v>0</v>
      </c>
      <c r="H314" s="756"/>
      <c r="I314" s="756"/>
      <c r="J314" s="692">
        <f>'Glass Metrics'!AB314</f>
        <v>0</v>
      </c>
      <c r="K314" s="693">
        <f>'Glass Metrics'!AA314</f>
        <v>0</v>
      </c>
    </row>
    <row r="315" spans="1:11" ht="15.75" customHeight="1">
      <c r="A315" s="175">
        <f t="shared" si="17"/>
        <v>2026</v>
      </c>
      <c r="B315" s="454" t="str">
        <f t="shared" si="18"/>
        <v>48</v>
      </c>
      <c r="C315" s="454" t="str">
        <f t="array" ref="C315">_xlfn.IFS(_xlfn.NUMBERVALUE(B315)&lt;=13,"Q1",AND(_xlfn.NUMBERVALUE(B315)&gt;13,_xlfn.NUMBERVALUE(B315)&lt;=26),"Q2", AND(_xlfn.NUMBERVALUE(B315)&gt;26,_xlfn.NUMBERVALUE(B315)&lt;=39),"Q3",_xlfn.NUMBERVALUE(B315)&gt;39,"Q4")</f>
        <v>Q4</v>
      </c>
      <c r="D315" s="448">
        <f t="shared" si="20"/>
        <v>46018</v>
      </c>
      <c r="E315" s="448">
        <f t="shared" si="19"/>
        <v>46024</v>
      </c>
      <c r="F315" s="690">
        <v>202548</v>
      </c>
      <c r="G315" s="694">
        <f t="shared" si="22"/>
        <v>0</v>
      </c>
      <c r="H315" s="756"/>
      <c r="I315" s="756"/>
      <c r="J315" s="692">
        <f>'Glass Metrics'!AB315</f>
        <v>0</v>
      </c>
      <c r="K315" s="693">
        <f>'Glass Metrics'!AA315</f>
        <v>0</v>
      </c>
    </row>
    <row r="316" spans="1:11" ht="15.75" customHeight="1">
      <c r="A316" s="175">
        <f t="shared" si="17"/>
        <v>2026</v>
      </c>
      <c r="B316" s="454" t="str">
        <f t="shared" si="18"/>
        <v>49</v>
      </c>
      <c r="C316" s="454" t="str">
        <f t="array" ref="C316">_xlfn.IFS(_xlfn.NUMBERVALUE(B316)&lt;=13,"Q1",AND(_xlfn.NUMBERVALUE(B316)&gt;13,_xlfn.NUMBERVALUE(B316)&lt;=26),"Q2", AND(_xlfn.NUMBERVALUE(B316)&gt;26,_xlfn.NUMBERVALUE(B316)&lt;=39),"Q3",_xlfn.NUMBERVALUE(B316)&gt;39,"Q4")</f>
        <v>Q4</v>
      </c>
      <c r="D316" s="448">
        <f t="shared" si="20"/>
        <v>46025</v>
      </c>
      <c r="E316" s="448">
        <f t="shared" si="19"/>
        <v>46031</v>
      </c>
      <c r="F316" s="690">
        <v>202549</v>
      </c>
      <c r="G316" s="694">
        <f t="shared" si="22"/>
        <v>0</v>
      </c>
      <c r="H316" s="756"/>
      <c r="I316" s="756"/>
      <c r="J316" s="692">
        <f>'Glass Metrics'!AB316</f>
        <v>0</v>
      </c>
      <c r="K316" s="693">
        <f>'Glass Metrics'!AA316</f>
        <v>0</v>
      </c>
    </row>
    <row r="317" spans="1:11" ht="15.75" customHeight="1">
      <c r="A317" s="175">
        <f t="shared" si="17"/>
        <v>2026</v>
      </c>
      <c r="B317" s="454" t="str">
        <f t="shared" si="18"/>
        <v>50</v>
      </c>
      <c r="C317" s="454" t="str">
        <f t="array" ref="C317">_xlfn.IFS(_xlfn.NUMBERVALUE(B317)&lt;=13,"Q1",AND(_xlfn.NUMBERVALUE(B317)&gt;13,_xlfn.NUMBERVALUE(B317)&lt;=26),"Q2", AND(_xlfn.NUMBERVALUE(B317)&gt;26,_xlfn.NUMBERVALUE(B317)&lt;=39),"Q3",_xlfn.NUMBERVALUE(B317)&gt;39,"Q4")</f>
        <v>Q4</v>
      </c>
      <c r="D317" s="448">
        <f t="shared" si="20"/>
        <v>46032</v>
      </c>
      <c r="E317" s="448">
        <f t="shared" si="19"/>
        <v>46038</v>
      </c>
      <c r="F317" s="690">
        <v>202550</v>
      </c>
      <c r="G317" s="694">
        <f t="shared" si="22"/>
        <v>0</v>
      </c>
      <c r="H317" s="756"/>
      <c r="I317" s="756"/>
      <c r="J317" s="692">
        <f>'Glass Metrics'!AB317</f>
        <v>0</v>
      </c>
      <c r="K317" s="693">
        <f>'Glass Metrics'!AA317</f>
        <v>0</v>
      </c>
    </row>
    <row r="318" spans="1:11" ht="15.75" customHeight="1">
      <c r="A318" s="175">
        <f t="shared" si="17"/>
        <v>2026</v>
      </c>
      <c r="B318" s="454" t="str">
        <f t="shared" si="18"/>
        <v>51</v>
      </c>
      <c r="C318" s="454" t="str">
        <f t="array" ref="C318">_xlfn.IFS(_xlfn.NUMBERVALUE(B318)&lt;=13,"Q1",AND(_xlfn.NUMBERVALUE(B318)&gt;13,_xlfn.NUMBERVALUE(B318)&lt;=26),"Q2", AND(_xlfn.NUMBERVALUE(B318)&gt;26,_xlfn.NUMBERVALUE(B318)&lt;=39),"Q3",_xlfn.NUMBERVALUE(B318)&gt;39,"Q4")</f>
        <v>Q4</v>
      </c>
      <c r="D318" s="448">
        <f t="shared" si="20"/>
        <v>46039</v>
      </c>
      <c r="E318" s="448">
        <f t="shared" si="19"/>
        <v>46045</v>
      </c>
      <c r="F318" s="690">
        <v>202551</v>
      </c>
      <c r="G318" s="694">
        <f t="shared" si="22"/>
        <v>0</v>
      </c>
      <c r="H318" s="756"/>
      <c r="I318" s="756"/>
      <c r="J318" s="692">
        <f>'Glass Metrics'!AB318</f>
        <v>0</v>
      </c>
      <c r="K318" s="693">
        <f>'Glass Metrics'!AA318</f>
        <v>0</v>
      </c>
    </row>
    <row r="319" spans="1:11" ht="16.5" customHeight="1" thickBot="1">
      <c r="A319" s="176">
        <f t="shared" si="17"/>
        <v>2026</v>
      </c>
      <c r="B319" s="177" t="str">
        <f t="shared" si="18"/>
        <v>52</v>
      </c>
      <c r="C319" s="177" t="str">
        <f t="array" ref="C319">_xlfn.IFS(_xlfn.NUMBERVALUE(B319)&lt;=13,"Q1",AND(_xlfn.NUMBERVALUE(B319)&gt;13,_xlfn.NUMBERVALUE(B319)&lt;=26),"Q2", AND(_xlfn.NUMBERVALUE(B319)&gt;26,_xlfn.NUMBERVALUE(B319)&lt;=39),"Q3",_xlfn.NUMBERVALUE(B319)&gt;39,"Q4")</f>
        <v>Q4</v>
      </c>
      <c r="D319" s="178">
        <f t="shared" si="20"/>
        <v>46046</v>
      </c>
      <c r="E319" s="178">
        <f t="shared" si="19"/>
        <v>46052</v>
      </c>
      <c r="F319" s="691">
        <v>202552</v>
      </c>
      <c r="G319" s="757">
        <f t="shared" si="22"/>
        <v>0</v>
      </c>
      <c r="H319" s="766"/>
      <c r="I319" s="766"/>
      <c r="J319" s="751">
        <f>'Glass Metrics'!AB319</f>
        <v>0</v>
      </c>
      <c r="K319" s="752">
        <f>'Glass Metrics'!AA319</f>
        <v>0</v>
      </c>
    </row>
  </sheetData>
  <mergeCells count="3">
    <mergeCell ref="D1:D4"/>
    <mergeCell ref="A1:C4"/>
    <mergeCell ref="E1:E4"/>
  </mergeCells>
  <conditionalFormatting sqref="G1:K2">
    <cfRule type="cellIs" dxfId="67" priority="1" operator="between">
      <formula>-0.1</formula>
      <formula>0</formula>
    </cfRule>
    <cfRule type="cellIs" dxfId="66" priority="2" operator="between">
      <formula>0</formula>
      <formula>0.1</formula>
    </cfRule>
    <cfRule type="cellIs" dxfId="65" priority="3" operator="lessThanOrEqual">
      <formula>-0.1</formula>
    </cfRule>
    <cfRule type="cellIs" dxfId="64" priority="4" operator="greaterThanOrEqual">
      <formula>0.1</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A1:BG315"/>
  <sheetViews>
    <sheetView showGridLines="0" zoomScale="80" zoomScaleNormal="80" workbookViewId="0">
      <pane xSplit="6" ySplit="1" topLeftCell="AQ252" activePane="bottomRight" state="frozen"/>
      <selection pane="topRight" activeCell="W230" sqref="W230:AA230"/>
      <selection pane="bottomLeft" activeCell="W230" sqref="W230:AA230"/>
      <selection pane="bottomRight" activeCell="AZ224" sqref="AZ224"/>
    </sheetView>
  </sheetViews>
  <sheetFormatPr defaultColWidth="9.42578125" defaultRowHeight="15"/>
  <cols>
    <col min="1" max="1" width="6.5703125" bestFit="1" customWidth="1"/>
    <col min="2" max="2" width="7.42578125" bestFit="1" customWidth="1"/>
    <col min="3" max="3" width="8" bestFit="1" customWidth="1"/>
    <col min="4" max="4" width="12.42578125" bestFit="1" customWidth="1"/>
    <col min="5" max="5" width="11" bestFit="1" customWidth="1"/>
    <col min="6" max="6" width="10.42578125" style="78" bestFit="1" customWidth="1"/>
    <col min="7" max="7" width="15.5703125" style="78" bestFit="1" customWidth="1"/>
    <col min="8" max="8" width="15.42578125" style="78" bestFit="1" customWidth="1"/>
    <col min="9" max="9" width="12.5703125" style="78" bestFit="1" customWidth="1"/>
    <col min="10" max="10" width="11.5703125" customWidth="1"/>
    <col min="11" max="11" width="16.42578125" style="78" customWidth="1"/>
    <col min="12" max="12" width="15.42578125" style="78" customWidth="1"/>
    <col min="13" max="13" width="12.42578125" style="78" customWidth="1"/>
    <col min="14" max="15" width="11.42578125" bestFit="1" customWidth="1"/>
    <col min="16" max="16" width="10.5703125" bestFit="1" customWidth="1"/>
    <col min="17" max="17" width="10.42578125" bestFit="1" customWidth="1"/>
    <col min="18" max="18" width="11.42578125" bestFit="1" customWidth="1"/>
    <col min="19" max="19" width="15.42578125" customWidth="1"/>
    <col min="20" max="20" width="14.5703125" bestFit="1" customWidth="1"/>
    <col min="21" max="21" width="13.5703125" customWidth="1"/>
    <col min="22" max="22" width="19.42578125" bestFit="1" customWidth="1"/>
    <col min="23" max="23" width="18.5703125" bestFit="1" customWidth="1"/>
    <col min="24" max="24" width="19.42578125" customWidth="1"/>
    <col min="25" max="25" width="18.5703125" customWidth="1"/>
    <col min="26" max="26" width="18" customWidth="1"/>
    <col min="27" max="27" width="18.5703125" customWidth="1"/>
    <col min="28" max="28" width="17.5703125" customWidth="1"/>
    <col min="29" max="31" width="17.5703125" bestFit="1" customWidth="1"/>
    <col min="32" max="35" width="18.42578125" customWidth="1"/>
    <col min="36" max="36" width="15.5703125" bestFit="1" customWidth="1"/>
    <col min="37" max="37" width="15.42578125" bestFit="1" customWidth="1"/>
    <col min="38" max="38" width="14" customWidth="1"/>
    <col min="39" max="39" width="16.42578125" customWidth="1"/>
    <col min="40" max="40" width="15.42578125" customWidth="1"/>
    <col min="41" max="41" width="14.5703125" customWidth="1"/>
    <col min="42" max="42" width="12.42578125" style="78" bestFit="1" customWidth="1"/>
    <col min="44" max="44" width="12.42578125" bestFit="1" customWidth="1"/>
    <col min="45" max="45" width="13.5703125" bestFit="1" customWidth="1"/>
    <col min="46" max="46" width="14.5703125" bestFit="1" customWidth="1"/>
    <col min="47" max="47" width="13.5703125" style="78" customWidth="1"/>
    <col min="48" max="48" width="10.42578125" bestFit="1" customWidth="1"/>
    <col min="49" max="49" width="13.5703125" customWidth="1"/>
    <col min="50" max="50" width="13.5703125" bestFit="1" customWidth="1"/>
    <col min="51" max="51" width="14.5703125" bestFit="1" customWidth="1"/>
    <col min="52" max="52" width="13" style="78" bestFit="1" customWidth="1"/>
    <col min="53" max="53" width="13.42578125" customWidth="1"/>
    <col min="54" max="54" width="10.42578125" customWidth="1"/>
    <col min="55" max="55" width="14" customWidth="1"/>
    <col min="56" max="56" width="14.5703125" bestFit="1" customWidth="1"/>
    <col min="57" max="57" width="12.42578125" style="78" customWidth="1"/>
    <col min="58" max="58" width="9.42578125" style="78" customWidth="1"/>
    <col min="59" max="59" width="13" style="78" customWidth="1"/>
    <col min="60" max="126" width="9.42578125" style="78" customWidth="1"/>
    <col min="127" max="16384" width="9.42578125" style="78"/>
  </cols>
  <sheetData>
    <row r="1" spans="1:56" s="235" customFormat="1" ht="45.75" customHeight="1" thickBot="1">
      <c r="A1" s="329" t="s">
        <v>41</v>
      </c>
      <c r="B1" s="330" t="s">
        <v>44</v>
      </c>
      <c r="C1" s="330" t="s">
        <v>177</v>
      </c>
      <c r="D1" s="330" t="s">
        <v>323</v>
      </c>
      <c r="E1" s="330" t="s">
        <v>48</v>
      </c>
      <c r="F1" s="82" t="s">
        <v>178</v>
      </c>
      <c r="G1" s="129" t="s">
        <v>417</v>
      </c>
      <c r="H1" s="127" t="s">
        <v>418</v>
      </c>
      <c r="I1" s="127" t="s">
        <v>419</v>
      </c>
      <c r="J1" s="817" t="s">
        <v>188</v>
      </c>
      <c r="K1" s="82" t="s">
        <v>420</v>
      </c>
      <c r="L1" s="82" t="s">
        <v>421</v>
      </c>
      <c r="M1" s="82" t="s">
        <v>422</v>
      </c>
      <c r="N1" s="333" t="s">
        <v>189</v>
      </c>
      <c r="O1" s="330" t="s">
        <v>183</v>
      </c>
      <c r="P1" s="330" t="s">
        <v>184</v>
      </c>
      <c r="Q1" s="330" t="s">
        <v>254</v>
      </c>
      <c r="R1" s="330" t="s">
        <v>50</v>
      </c>
      <c r="S1" s="329" t="s">
        <v>423</v>
      </c>
      <c r="T1" s="330" t="s">
        <v>191</v>
      </c>
      <c r="U1" s="330" t="s">
        <v>424</v>
      </c>
      <c r="V1" s="330" t="s">
        <v>425</v>
      </c>
      <c r="W1" s="330" t="s">
        <v>426</v>
      </c>
      <c r="X1" s="330" t="s">
        <v>427</v>
      </c>
      <c r="Y1" s="330" t="s">
        <v>428</v>
      </c>
      <c r="Z1" s="333" t="s">
        <v>429</v>
      </c>
      <c r="AA1" s="333" t="s">
        <v>430</v>
      </c>
      <c r="AB1" s="329" t="s">
        <v>431</v>
      </c>
      <c r="AC1" s="330" t="s">
        <v>432</v>
      </c>
      <c r="AD1" s="330" t="s">
        <v>433</v>
      </c>
      <c r="AE1" s="333" t="s">
        <v>434</v>
      </c>
      <c r="AF1" s="329" t="s">
        <v>435</v>
      </c>
      <c r="AG1" s="330" t="s">
        <v>436</v>
      </c>
      <c r="AH1" s="330" t="s">
        <v>437</v>
      </c>
      <c r="AI1" s="333" t="s">
        <v>438</v>
      </c>
      <c r="AJ1" s="330" t="s">
        <v>439</v>
      </c>
      <c r="AK1" s="330" t="s">
        <v>440</v>
      </c>
      <c r="AL1" s="330" t="s">
        <v>441</v>
      </c>
      <c r="AM1" s="330" t="s">
        <v>442</v>
      </c>
      <c r="AN1" s="330" t="s">
        <v>443</v>
      </c>
      <c r="AO1" s="330" t="s">
        <v>444</v>
      </c>
      <c r="AP1" s="81" t="s">
        <v>445</v>
      </c>
      <c r="AQ1" s="330" t="s">
        <v>203</v>
      </c>
      <c r="AR1" s="330" t="s">
        <v>446</v>
      </c>
      <c r="AS1" s="330" t="s">
        <v>447</v>
      </c>
      <c r="AT1" s="333" t="s">
        <v>448</v>
      </c>
      <c r="AU1" s="82" t="s">
        <v>449</v>
      </c>
      <c r="AV1" s="330" t="s">
        <v>209</v>
      </c>
      <c r="AW1" s="330" t="s">
        <v>450</v>
      </c>
      <c r="AX1" s="330" t="s">
        <v>451</v>
      </c>
      <c r="AY1" s="330" t="s">
        <v>452</v>
      </c>
      <c r="AZ1" s="81" t="s">
        <v>453</v>
      </c>
      <c r="BA1" s="330" t="s">
        <v>454</v>
      </c>
      <c r="BB1" s="330" t="s">
        <v>455</v>
      </c>
      <c r="BC1" s="330" t="s">
        <v>456</v>
      </c>
      <c r="BD1" s="333" t="s">
        <v>457</v>
      </c>
    </row>
    <row r="2" spans="1:56" ht="15.75" customHeight="1">
      <c r="A2" s="188">
        <f t="shared" ref="A2:A65" si="0">LEFT(F2,4)+1</f>
        <v>2021</v>
      </c>
      <c r="B2" s="331" t="str">
        <f t="shared" ref="B2:B65" si="1">RIGHT(F2,2)</f>
        <v>01</v>
      </c>
      <c r="C2" s="331" t="str">
        <f t="array" ref="C2">_xlfn.IFS(_xlfn.NUMBERVALUE(B2)&lt;=13,"Q1",AND(_xlfn.NUMBERVALUE(B2)&gt;13,_xlfn.NUMBERVALUE(B2)&lt;=26),"Q2", AND(_xlfn.NUMBERVALUE(B2)&gt;26,_xlfn.NUMBERVALUE(B2)&lt;=39),"Q3",_xlfn.NUMBERVALUE(B2)&gt;39,"Q4")</f>
        <v>Q1</v>
      </c>
      <c r="D2" s="173">
        <v>43862</v>
      </c>
      <c r="E2" s="174">
        <f t="shared" ref="E2:E65" si="2">D2+6</f>
        <v>43868</v>
      </c>
      <c r="F2" s="85">
        <v>202001</v>
      </c>
      <c r="G2" s="103"/>
      <c r="H2" s="429"/>
      <c r="I2" s="429"/>
      <c r="J2" s="214">
        <f t="shared" ref="J2:J65" si="3">SUM(G2:I2)</f>
        <v>0</v>
      </c>
      <c r="K2" s="100"/>
      <c r="L2" s="100"/>
      <c r="M2" s="100"/>
      <c r="N2" s="213">
        <f t="shared" ref="N2:N65" si="4">SUM(K2:M2)</f>
        <v>0</v>
      </c>
      <c r="O2" s="212">
        <f>'Overall Metrics'!L7</f>
        <v>0</v>
      </c>
      <c r="P2" s="212">
        <f>'Overall Metrics'!M7</f>
        <v>0</v>
      </c>
      <c r="Q2" s="212">
        <f>'Overall Metrics'!N7</f>
        <v>0</v>
      </c>
      <c r="R2" s="212">
        <f t="shared" ref="R2:R65" si="5">SUM(O2:Q2)</f>
        <v>0</v>
      </c>
      <c r="S2" s="179">
        <f t="shared" ref="S2:S65" si="6">IF(OR(RIGHT(F2,2) = "01",R2 = 0),R2,S1+R2)</f>
        <v>0</v>
      </c>
      <c r="T2" s="212">
        <f t="shared" ref="T2:T65" si="7">IF(RIGHT(F2,2) = "01",J2,T1+J2)</f>
        <v>0</v>
      </c>
      <c r="U2" s="212">
        <f t="shared" ref="U2:U65" si="8">IF(RIGHT(F2,2) = "01",N2,U1+N2)</f>
        <v>0</v>
      </c>
      <c r="V2" s="263" t="str">
        <f t="shared" ref="V2:V65" si="9">IF(S2=0,"",S2/T2-1)</f>
        <v/>
      </c>
      <c r="W2" s="263" t="str">
        <f>IF(R2=0,"-",SUMIFS($R$2:R2,$A$2:A2,A2,$C$2:C2,C2)/SUMIFS($J$2:J2,$A$2:A2,A2,$C$2:C2,C2)-1)</f>
        <v>-</v>
      </c>
      <c r="X2" s="263" t="str">
        <f t="shared" ref="X2:X65" si="10">IFERROR(IF(S2=0,"",S2/U2-1),"")</f>
        <v/>
      </c>
      <c r="Y2" s="263" t="str">
        <f>IFERROR(IF(R2=0,"-",SUMIFS($R$2:R2,$A$2:A2,A2,$C$2:C2,C2)/SUMIFS($N$2:N2,$A$2:A2,A2,$C$2:C2,C2)-1),"")</f>
        <v>-</v>
      </c>
      <c r="Z2" s="264" t="str">
        <f>IF(R2=0,"",(S2/VLOOKUP(_xlfn.NUMBERVALUE(_xlfn.CONCAT(LEFT(F2,4),52)),$F$2:T209,COLUMNS($F$2:T209),FALSE)))</f>
        <v/>
      </c>
      <c r="AA2" s="264" t="str">
        <f>IFERROR(IF(R2=0,"",(S2/VLOOKUP(_xlfn.NUMBERVALUE(_xlfn.CONCAT(LEFT(F2,4),52)),$F$2:U209,COLUMNS($F$2:U209),FALSE))),"")</f>
        <v/>
      </c>
      <c r="AB2" s="262" t="str">
        <f t="shared" ref="AB2:AB65" si="11">IF($R2=0,"",O2/G2-1)</f>
        <v/>
      </c>
      <c r="AC2" s="263" t="str">
        <f t="shared" ref="AC2:AC65" si="12">IF($R2=0,"",P2/H2-1)</f>
        <v/>
      </c>
      <c r="AD2" s="263" t="str">
        <f t="shared" ref="AD2:AD65" si="13">IF($R2=0,"",Q2/I2-1)</f>
        <v/>
      </c>
      <c r="AE2" s="264" t="str">
        <f t="shared" ref="AE2:AE65" si="14">IF($R2=0,"",R2/J2-1)</f>
        <v/>
      </c>
      <c r="AF2" s="262" t="str">
        <f t="shared" ref="AF2:AF65" si="15">IFERROR(IF($R2=0,"",O2/K2-1),"")</f>
        <v/>
      </c>
      <c r="AG2" s="263" t="str">
        <f t="shared" ref="AG2:AG65" si="16">IFERROR(IF($R2=0,"",P2/L2-1),"")</f>
        <v/>
      </c>
      <c r="AH2" s="263" t="str">
        <f t="shared" ref="AH2:AH65" si="17">IFERROR(IF($R2=0,"",Q2/M2-1),"")</f>
        <v/>
      </c>
      <c r="AI2" s="264" t="str">
        <f t="shared" ref="AI2:AI65" si="18">IFERROR(IF($R2=0,"",R2/N2-1),"")</f>
        <v/>
      </c>
      <c r="AJ2" s="263" t="str">
        <f>IF(O2=0,"-",SUMIFS($O$2:O2,$A$2:A2,$A2,$F$2:F2,"&lt;="&amp;$F2)/SUMIFS($G$2:G2,$A$2:A2,$A2,$F$2:F2,"&lt;="&amp;$F2)-1)</f>
        <v>-</v>
      </c>
      <c r="AK2" s="263" t="str">
        <f>IF(P2=0,"-",SUMIFS($P$2:P2,$A$2:A2,$A2,$F$2:F2,"&lt;="&amp;$F2)/SUMIFS($H$2:H2,$A$2:A2,$A2,$F$2:F2,"&lt;="&amp;$F2)-1)</f>
        <v>-</v>
      </c>
      <c r="AL2" s="263" t="str">
        <f>IF(Q2=0,"-",SUMIFS($Q$2:Q2,$A$2:A2,$A2,$F$2:F2,"&lt;="&amp;$F2)/SUMIFS($I$2:I2,$A$2:A2,$A2,$F$2:F2,"&lt;="&amp;$F2)-1)</f>
        <v>-</v>
      </c>
      <c r="AM2" s="263" t="str">
        <f>IFERROR(IF(O2=0,"-",SUMIFS($O$2:O2,$A$2:A2,$A2,$F$2:F2,"&lt;="&amp;$F2)/SUMIFS($K$2:K2,$A$2:A2,$A2,$F$2:F2,"&lt;="&amp;$F2)-1),"")</f>
        <v>-</v>
      </c>
      <c r="AN2" s="263" t="str">
        <f>IFERROR(IF(P2=0,"-",SUMIFS($P$2:P2,$A$2:A2,$A2,$F$2:F2,"&lt;="&amp;$F2)/SUMIFS($L$2:L2,$A$2:A2,$A2,$F$2:F2,"&lt;="&amp;$F2)-1),"")</f>
        <v>-</v>
      </c>
      <c r="AO2" s="263" t="str">
        <f>IFERROR(IF(Q2=0,"-",SUMIFS($Q$2:Q2,$A$2:A2,$A2,$F$2:F2,"&lt;="&amp;$F2)/SUMIFS($M$2:M2,$A$2:A2,$A2,$F$2:F2,"&lt;="&amp;$F2)-1),"")</f>
        <v>-</v>
      </c>
      <c r="AP2" s="84"/>
      <c r="AQ2" s="334">
        <f>'Overall Metrics'!AO7</f>
        <v>0</v>
      </c>
      <c r="AR2" s="263">
        <f t="shared" ref="AR2:AR65" si="19">IFERROR(AQ2-AP2,"")</f>
        <v>0</v>
      </c>
      <c r="AS2" s="335" t="str">
        <f>IFERROR(IF(R3=0,"-",AVERAGEIFS($AQ$2:AQ2,$A$2:A2,$A2,$F$2:F2,"&lt;="&amp;$F2)-AVERAGEIFS($AP$2:AP2,$A$2:A2,$A2,$F$2:F2,"&lt;="&amp;$F2)),"")</f>
        <v>-</v>
      </c>
      <c r="AT2" s="336" t="str">
        <f>IFERROR(IF(R3=0,"-",AVERAGEIFS($AQ$2:AQ2,$A$2:A2,A2,$C$2:C2,C2)-AVERAGEIFS($AP$2:AP2,$A$2:A2,A2,$C$2:C2,C2)),"")</f>
        <v>-</v>
      </c>
      <c r="AU2" s="85"/>
      <c r="AV2" s="334">
        <f>'Overall Metrics'!AS7</f>
        <v>0</v>
      </c>
      <c r="AW2" s="263" t="str">
        <f t="shared" ref="AW2:AW65" si="20">IFERROR(IF(AV2=0%,"",AV2-AU2),"")</f>
        <v/>
      </c>
      <c r="AX2" s="335" t="str">
        <f>IFERROR(IF(R6=0,"-",AVERAGEIFS($AV$2:AV2,$A$2:A2,$A2,$F$2:F2,"&lt;="&amp;$F2)-AVERAGEIFS($AU$2:AU2,$A$2:A2,$A2,$F$2:F2,"&lt;="&amp;$F2)),"")</f>
        <v>-</v>
      </c>
      <c r="AY2" s="335" t="str">
        <f>IFERROR(IF(R6=0,"-",AVERAGEIFS($AV$2:AV2,$A$2:A2,A2,$C$2:C2,C2)-AVERAGEIFS($AU$2:AU2,$A$2:A2,A2,$C$2:C2,C2)),"")</f>
        <v>-</v>
      </c>
      <c r="AZ2" s="99"/>
      <c r="BA2" s="212">
        <f>'Glass Metrics'!AC7</f>
        <v>0</v>
      </c>
      <c r="BB2" s="263" t="str">
        <f t="shared" ref="BB2:BB65" si="21">IFERROR(IF(BA2=0,"",BA2/AZ2-1),"")</f>
        <v/>
      </c>
      <c r="BC2" s="172" t="str">
        <f>IFERROR(IF(R2=0,"-",AVERAGEIFS($BA$2:BA2,$A$2:A2,$A2,$F$2:F2,"&lt;="&amp;$F2)/AVERAGEIFS($AZ$2:AZ2,$A$2:A2,$A2,$F$2:F2,"&lt;="&amp;$F2)-1),"")</f>
        <v>-</v>
      </c>
      <c r="BD2" s="337" t="str">
        <f>IFERROR(IF(R2=0,"-",AVERAGEIFS($BA$2:BA2,$A$2:A2,A2,$C$2:C2,C2)/AVERAGEIFS($AZ$2:AZ2,$A$2:A2,A2,$C$2:C2,C2)-1),"")</f>
        <v>-</v>
      </c>
    </row>
    <row r="3" spans="1:56" ht="16.350000000000001" customHeight="1">
      <c r="A3" s="175">
        <f t="shared" si="0"/>
        <v>2021</v>
      </c>
      <c r="B3" s="447" t="str">
        <f t="shared" si="1"/>
        <v>02</v>
      </c>
      <c r="C3" s="447" t="str">
        <f t="array" ref="C3">_xlfn.IFS(_xlfn.NUMBERVALUE(B3)&lt;=13,"Q1",AND(_xlfn.NUMBERVALUE(B3)&gt;13,_xlfn.NUMBERVALUE(B3)&lt;=26),"Q2", AND(_xlfn.NUMBERVALUE(B3)&gt;26,_xlfn.NUMBERVALUE(B3)&lt;=39),"Q3",_xlfn.NUMBERVALUE(B3)&gt;39,"Q4")</f>
        <v>Q1</v>
      </c>
      <c r="D3" s="448">
        <f t="shared" ref="D3:D66" si="22">E2+1</f>
        <v>43869</v>
      </c>
      <c r="E3" s="448">
        <f t="shared" si="2"/>
        <v>43875</v>
      </c>
      <c r="F3" s="79">
        <v>202002</v>
      </c>
      <c r="G3" s="103"/>
      <c r="H3" s="429"/>
      <c r="I3" s="429"/>
      <c r="J3" s="214">
        <f t="shared" si="3"/>
        <v>0</v>
      </c>
      <c r="K3" s="429"/>
      <c r="L3" s="429"/>
      <c r="M3" s="429"/>
      <c r="N3" s="214">
        <f t="shared" si="4"/>
        <v>0</v>
      </c>
      <c r="O3" s="449">
        <f>'Overall Metrics'!L8</f>
        <v>0</v>
      </c>
      <c r="P3" s="449">
        <f>'Overall Metrics'!M8</f>
        <v>0</v>
      </c>
      <c r="Q3" s="449">
        <f>'Overall Metrics'!N8</f>
        <v>0</v>
      </c>
      <c r="R3" s="449">
        <f t="shared" si="5"/>
        <v>0</v>
      </c>
      <c r="S3" s="180">
        <f t="shared" si="6"/>
        <v>0</v>
      </c>
      <c r="T3" s="449">
        <f t="shared" si="7"/>
        <v>0</v>
      </c>
      <c r="U3" s="449">
        <f t="shared" si="8"/>
        <v>0</v>
      </c>
      <c r="V3" s="450" t="str">
        <f t="shared" si="9"/>
        <v/>
      </c>
      <c r="W3" s="450" t="str">
        <f>IF(R3=0,"-",SUMIFS($R$2:R3,$A$2:A3,A3,$C$2:C3,C3)/SUMIFS($J$2:J3,$A$2:A3,A3,$C$2:C3,C3)-1)</f>
        <v>-</v>
      </c>
      <c r="X3" s="450" t="str">
        <f t="shared" si="10"/>
        <v/>
      </c>
      <c r="Y3" s="450" t="str">
        <f>IFERROR(IF(R3=0,"-",SUMIFS($R$2:R3,$A$2:A3,A3,$C$2:C3,C3)/SUMIFS($N$2:N3,$A$2:A3,A3,$C$2:C3,C3)-1),"")</f>
        <v>-</v>
      </c>
      <c r="Z3" s="269" t="str">
        <f>IF(R3=0,"",(S3/VLOOKUP(_xlfn.NUMBERVALUE(_xlfn.CONCAT(LEFT(F3,4),52)),$F$2:T210,COLUMNS($F$2:T210),FALSE)))</f>
        <v/>
      </c>
      <c r="AA3" s="269" t="str">
        <f>IFERROR(IF(R3=0,"",(S3/VLOOKUP(_xlfn.NUMBERVALUE(_xlfn.CONCAT(LEFT(F3,4),52)),$F$2:U210,COLUMNS($F$2:U210),FALSE))),"")</f>
        <v/>
      </c>
      <c r="AB3" s="268" t="str">
        <f t="shared" si="11"/>
        <v/>
      </c>
      <c r="AC3" s="450" t="str">
        <f t="shared" si="12"/>
        <v/>
      </c>
      <c r="AD3" s="450" t="str">
        <f t="shared" si="13"/>
        <v/>
      </c>
      <c r="AE3" s="269" t="str">
        <f t="shared" si="14"/>
        <v/>
      </c>
      <c r="AF3" s="268" t="str">
        <f t="shared" si="15"/>
        <v/>
      </c>
      <c r="AG3" s="450" t="str">
        <f t="shared" si="16"/>
        <v/>
      </c>
      <c r="AH3" s="450" t="str">
        <f t="shared" si="17"/>
        <v/>
      </c>
      <c r="AI3" s="269" t="str">
        <f t="shared" si="18"/>
        <v/>
      </c>
      <c r="AJ3" s="450" t="str">
        <f>IF(O3=0,"-",SUMIFS($O$2:O3,$A$2:A3,$A3,$F$2:F3,"&lt;="&amp;$F3)/SUMIFS($G$2:G3,$A$2:A3,$A3,$F$2:F3,"&lt;="&amp;$F3)-1)</f>
        <v>-</v>
      </c>
      <c r="AK3" s="450" t="str">
        <f>IF(P3=0,"-",SUMIFS($P$2:P3,$A$2:A3,$A3,$F$2:F3,"&lt;="&amp;$F3)/SUMIFS($H$2:H3,$A$2:A3,$A3,$F$2:F3,"&lt;="&amp;$F3)-1)</f>
        <v>-</v>
      </c>
      <c r="AL3" s="450" t="str">
        <f>IF(Q3=0,"-",SUMIFS($Q$2:Q3,$A$2:A3,$A3,$F$2:F3,"&lt;="&amp;$F3)/SUMIFS($I$2:I3,$A$2:A3,$A3,$F$2:F3,"&lt;="&amp;$F3)-1)</f>
        <v>-</v>
      </c>
      <c r="AM3" s="450" t="str">
        <f>IFERROR(IF(O3=0,"-",SUMIFS($O$2:O3,$A$2:A3,$A3,$F$2:F3,"&lt;="&amp;$F3)/SUMIFS($K$2:K3,$A$2:A3,$A3,$F$2:F3,"&lt;="&amp;$F3)-1),"")</f>
        <v>-</v>
      </c>
      <c r="AN3" s="450" t="str">
        <f>IFERROR(IF(P3=0,"-",SUMIFS($P$2:P3,$A$2:A3,$A3,$F$2:F3,"&lt;="&amp;$F3)/SUMIFS($L$2:L3,$A$2:A3,$A3,$F$2:F3,"&lt;="&amp;$F3)-1),"")</f>
        <v>-</v>
      </c>
      <c r="AO3" s="450" t="str">
        <f>IFERROR(IF(Q3=0,"-",SUMIFS($Q$2:Q3,$A$2:A3,$A3,$F$2:F3,"&lt;="&amp;$F3)/SUMIFS($M$2:M3,$A$2:A3,$A3,$F$2:F3,"&lt;="&amp;$F3)-1),"")</f>
        <v>-</v>
      </c>
      <c r="AP3" s="86"/>
      <c r="AQ3" s="452">
        <f>'Overall Metrics'!AO8</f>
        <v>0</v>
      </c>
      <c r="AR3" s="450">
        <f t="shared" si="19"/>
        <v>0</v>
      </c>
      <c r="AS3" s="453" t="str">
        <f>IFERROR(IF(R4=0,"-",AVERAGEIFS($AQ$2:AQ3,$A$2:A3,$A3,$F$2:F3,"&lt;="&amp;$F3)-AVERAGEIFS($AP$2:AP3,$A$2:A3,$A3,$F$2:F3,"&lt;="&amp;$F3)),"")</f>
        <v>-</v>
      </c>
      <c r="AT3" s="390" t="str">
        <f>IFERROR(IF(R4=0,"-",AVERAGEIFS($AQ$2:AQ3,$A$2:A3,A3,$C$2:C3,C3)-AVERAGEIFS($AP$2:AP3,$A$2:A3,A3,$C$2:C3,C3)),"")</f>
        <v>-</v>
      </c>
      <c r="AU3" s="79"/>
      <c r="AV3" s="452">
        <f>'Overall Metrics'!AS8</f>
        <v>0</v>
      </c>
      <c r="AW3" s="450" t="str">
        <f t="shared" si="20"/>
        <v/>
      </c>
      <c r="AX3" s="453" t="str">
        <f>IFERROR(IF(R7=0,"-",AVERAGEIFS($AV$2:AV3,$A$2:A3,$A3,$F$2:F3,"&lt;="&amp;$F3)-AVERAGEIFS($AU$2:AU3,$A$2:A3,$A3,$F$2:F3,"&lt;="&amp;$F3)),"")</f>
        <v>-</v>
      </c>
      <c r="AY3" s="453" t="str">
        <f>IFERROR(IF(R7=0,"-",AVERAGEIFS($AV$2:AV3,$A$2:A3,A3,$C$2:C3,C3)-AVERAGEIFS($AU$2:AU3,$A$2:A3,A3,$C$2:C3,C3)),"")</f>
        <v>-</v>
      </c>
      <c r="AZ3" s="103"/>
      <c r="BA3" s="449">
        <f>'Glass Metrics'!AC8</f>
        <v>0</v>
      </c>
      <c r="BB3" s="450" t="str">
        <f t="shared" si="21"/>
        <v/>
      </c>
      <c r="BC3" s="450" t="str">
        <f>IFERROR(IF(R3=0,"-",AVERAGEIFS($BA$2:BA3,$A$2:A3,$A3,$F$2:F3,"&lt;="&amp;$F3)/AVERAGEIFS($AZ$2:AZ3,$A$2:A3,$A3,$F$2:F3,"&lt;="&amp;$F3)-1),"")</f>
        <v>-</v>
      </c>
      <c r="BD3" s="269" t="str">
        <f>IFERROR(IF(R3=0,"-",AVERAGEIFS($BA$2:BA3,$A$2:A3,A3,$C$2:C3,C3)/AVERAGEIFS($AZ$2:AZ3,$A$2:A3,A3,$C$2:C3,C3)-1),"")</f>
        <v>-</v>
      </c>
    </row>
    <row r="4" spans="1:56" ht="16.350000000000001" customHeight="1">
      <c r="A4" s="175">
        <f t="shared" si="0"/>
        <v>2021</v>
      </c>
      <c r="B4" s="447" t="str">
        <f t="shared" si="1"/>
        <v>03</v>
      </c>
      <c r="C4" s="447" t="str">
        <f t="array" ref="C4">_xlfn.IFS(_xlfn.NUMBERVALUE(B4)&lt;=13,"Q1",AND(_xlfn.NUMBERVALUE(B4)&gt;13,_xlfn.NUMBERVALUE(B4)&lt;=26),"Q2", AND(_xlfn.NUMBERVALUE(B4)&gt;26,_xlfn.NUMBERVALUE(B4)&lt;=39),"Q3",_xlfn.NUMBERVALUE(B4)&gt;39,"Q4")</f>
        <v>Q1</v>
      </c>
      <c r="D4" s="448">
        <f t="shared" si="22"/>
        <v>43876</v>
      </c>
      <c r="E4" s="448">
        <f t="shared" si="2"/>
        <v>43882</v>
      </c>
      <c r="F4" s="79">
        <v>202003</v>
      </c>
      <c r="G4" s="103"/>
      <c r="H4" s="429"/>
      <c r="I4" s="429"/>
      <c r="J4" s="214">
        <f t="shared" si="3"/>
        <v>0</v>
      </c>
      <c r="K4" s="429"/>
      <c r="L4" s="429"/>
      <c r="M4" s="429"/>
      <c r="N4" s="214">
        <f t="shared" si="4"/>
        <v>0</v>
      </c>
      <c r="O4" s="449">
        <f>'Overall Metrics'!L9</f>
        <v>0</v>
      </c>
      <c r="P4" s="449">
        <f>'Overall Metrics'!M9</f>
        <v>0</v>
      </c>
      <c r="Q4" s="449">
        <f>'Overall Metrics'!N9</f>
        <v>0</v>
      </c>
      <c r="R4" s="449">
        <f t="shared" si="5"/>
        <v>0</v>
      </c>
      <c r="S4" s="180">
        <f t="shared" si="6"/>
        <v>0</v>
      </c>
      <c r="T4" s="449">
        <f t="shared" si="7"/>
        <v>0</v>
      </c>
      <c r="U4" s="449">
        <f t="shared" si="8"/>
        <v>0</v>
      </c>
      <c r="V4" s="450" t="str">
        <f t="shared" si="9"/>
        <v/>
      </c>
      <c r="W4" s="450" t="str">
        <f>IF(R4=0,"-",SUMIFS($R$2:R4,$A$2:A4,A4,$C$2:C4,C4)/SUMIFS($J$2:J4,$A$2:A4,A4,$C$2:C4,C4)-1)</f>
        <v>-</v>
      </c>
      <c r="X4" s="450" t="str">
        <f t="shared" si="10"/>
        <v/>
      </c>
      <c r="Y4" s="450" t="str">
        <f>IFERROR(IF(R4=0,"-",SUMIFS($R$2:R4,$A$2:A4,A4,$C$2:C4,C4)/SUMIFS($N$2:N4,$A$2:A4,A4,$C$2:C4,C4)-1),"")</f>
        <v>-</v>
      </c>
      <c r="Z4" s="269" t="str">
        <f>IF(R4=0,"",(S4/VLOOKUP(_xlfn.NUMBERVALUE(_xlfn.CONCAT(LEFT(F4,4),52)),$F$2:T211,COLUMNS($F$2:T211),FALSE)))</f>
        <v/>
      </c>
      <c r="AA4" s="269" t="str">
        <f>IFERROR(IF(R4=0,"",(S4/VLOOKUP(_xlfn.NUMBERVALUE(_xlfn.CONCAT(LEFT(F4,4),52)),$F$2:U211,COLUMNS($F$2:U211),FALSE))),"")</f>
        <v/>
      </c>
      <c r="AB4" s="268" t="str">
        <f t="shared" si="11"/>
        <v/>
      </c>
      <c r="AC4" s="450" t="str">
        <f t="shared" si="12"/>
        <v/>
      </c>
      <c r="AD4" s="450" t="str">
        <f t="shared" si="13"/>
        <v/>
      </c>
      <c r="AE4" s="269" t="str">
        <f t="shared" si="14"/>
        <v/>
      </c>
      <c r="AF4" s="268" t="str">
        <f t="shared" si="15"/>
        <v/>
      </c>
      <c r="AG4" s="450" t="str">
        <f t="shared" si="16"/>
        <v/>
      </c>
      <c r="AH4" s="450" t="str">
        <f t="shared" si="17"/>
        <v/>
      </c>
      <c r="AI4" s="269" t="str">
        <f t="shared" si="18"/>
        <v/>
      </c>
      <c r="AJ4" s="450" t="str">
        <f>IF(O4=0,"-",SUMIFS($O$2:O4,$A$2:A4,$A4,$F$2:F4,"&lt;="&amp;$F4)/SUMIFS($G$2:G4,$A$2:A4,$A4,$F$2:F4,"&lt;="&amp;$F4)-1)</f>
        <v>-</v>
      </c>
      <c r="AK4" s="450" t="str">
        <f>IF(P4=0,"-",SUMIFS($P$2:P4,$A$2:A4,$A4,$F$2:F4,"&lt;="&amp;$F4)/SUMIFS($H$2:H4,$A$2:A4,$A4,$F$2:F4,"&lt;="&amp;$F4)-1)</f>
        <v>-</v>
      </c>
      <c r="AL4" s="450" t="str">
        <f>IF(Q4=0,"-",SUMIFS($Q$2:Q4,$A$2:A4,$A4,$F$2:F4,"&lt;="&amp;$F4)/SUMIFS($I$2:I4,$A$2:A4,$A4,$F$2:F4,"&lt;="&amp;$F4)-1)</f>
        <v>-</v>
      </c>
      <c r="AM4" s="450" t="str">
        <f>IFERROR(IF(O4=0,"-",SUMIFS($O$2:O4,$A$2:A4,$A4,$F$2:F4,"&lt;="&amp;$F4)/SUMIFS($K$2:K4,$A$2:A4,$A4,$F$2:F4,"&lt;="&amp;$F4)-1),"")</f>
        <v>-</v>
      </c>
      <c r="AN4" s="450" t="str">
        <f>IFERROR(IF(P4=0,"-",SUMIFS($P$2:P4,$A$2:A4,$A4,$F$2:F4,"&lt;="&amp;$F4)/SUMIFS($L$2:L4,$A$2:A4,$A4,$F$2:F4,"&lt;="&amp;$F4)-1),"")</f>
        <v>-</v>
      </c>
      <c r="AO4" s="450" t="str">
        <f>IFERROR(IF(Q4=0,"-",SUMIFS($Q$2:Q4,$A$2:A4,$A4,$F$2:F4,"&lt;="&amp;$F4)/SUMIFS($M$2:M4,$A$2:A4,$A4,$F$2:F4,"&lt;="&amp;$F4)-1),"")</f>
        <v>-</v>
      </c>
      <c r="AP4" s="86"/>
      <c r="AQ4" s="452">
        <f>'Overall Metrics'!AO9</f>
        <v>0</v>
      </c>
      <c r="AR4" s="450">
        <f t="shared" si="19"/>
        <v>0</v>
      </c>
      <c r="AS4" s="453" t="str">
        <f>IFERROR(IF(R5=0,"-",AVERAGEIFS($AQ$2:AQ4,$A$2:A4,$A4,$F$2:F4,"&lt;="&amp;$F4)-AVERAGEIFS($AP$2:AP4,$A$2:A4,$A4,$F$2:F4,"&lt;="&amp;$F4)),"")</f>
        <v>-</v>
      </c>
      <c r="AT4" s="390" t="str">
        <f>IFERROR(IF(R5=0,"-",AVERAGEIFS($AQ$2:AQ4,$A$2:A4,A4,$C$2:C4,C4)-AVERAGEIFS($AP$2:AP4,$A$2:A4,A4,$C$2:C4,C4)),"")</f>
        <v>-</v>
      </c>
      <c r="AU4" s="79"/>
      <c r="AV4" s="452">
        <f>'Overall Metrics'!AS9</f>
        <v>0</v>
      </c>
      <c r="AW4" s="450" t="str">
        <f t="shared" si="20"/>
        <v/>
      </c>
      <c r="AX4" s="453" t="str">
        <f>IFERROR(IF(R8=0,"-",AVERAGEIFS($AV$2:AV4,$A$2:A4,$A4,$F$2:F4,"&lt;="&amp;$F4)-AVERAGEIFS($AU$2:AU4,$A$2:A4,$A4,$F$2:F4,"&lt;="&amp;$F4)),"")</f>
        <v>-</v>
      </c>
      <c r="AY4" s="453" t="str">
        <f>IFERROR(IF(R8=0,"-",AVERAGEIFS($AV$2:AV4,$A$2:A4,A4,$C$2:C4,C4)-AVERAGEIFS($AU$2:AU4,$A$2:A4,A4,$C$2:C4,C4)),"")</f>
        <v>-</v>
      </c>
      <c r="AZ4" s="103"/>
      <c r="BA4" s="449">
        <f>'Glass Metrics'!AC9</f>
        <v>0</v>
      </c>
      <c r="BB4" s="450" t="str">
        <f t="shared" si="21"/>
        <v/>
      </c>
      <c r="BC4" s="450" t="str">
        <f>IFERROR(IF(R4=0,"-",AVERAGEIFS($BA$2:BA4,$A$2:A4,$A4,$F$2:F4,"&lt;="&amp;$F4)/AVERAGEIFS($AZ$2:AZ4,$A$2:A4,$A4,$F$2:F4,"&lt;="&amp;$F4)-1),"")</f>
        <v>-</v>
      </c>
      <c r="BD4" s="269" t="str">
        <f>IFERROR(IF(R4=0,"-",AVERAGEIFS($BA$2:BA4,$A$2:A4,A4,$C$2:C4,C4)/AVERAGEIFS($AZ$2:AZ4,$A$2:A4,A4,$C$2:C4,C4)-1),"")</f>
        <v>-</v>
      </c>
    </row>
    <row r="5" spans="1:56" ht="16.350000000000001" customHeight="1">
      <c r="A5" s="175">
        <f t="shared" si="0"/>
        <v>2021</v>
      </c>
      <c r="B5" s="447" t="str">
        <f t="shared" si="1"/>
        <v>04</v>
      </c>
      <c r="C5" s="447" t="str">
        <f t="array" ref="C5">_xlfn.IFS(_xlfn.NUMBERVALUE(B5)&lt;=13,"Q1",AND(_xlfn.NUMBERVALUE(B5)&gt;13,_xlfn.NUMBERVALUE(B5)&lt;=26),"Q2", AND(_xlfn.NUMBERVALUE(B5)&gt;26,_xlfn.NUMBERVALUE(B5)&lt;=39),"Q3",_xlfn.NUMBERVALUE(B5)&gt;39,"Q4")</f>
        <v>Q1</v>
      </c>
      <c r="D5" s="448">
        <f t="shared" si="22"/>
        <v>43883</v>
      </c>
      <c r="E5" s="448">
        <f t="shared" si="2"/>
        <v>43889</v>
      </c>
      <c r="F5" s="79">
        <v>202004</v>
      </c>
      <c r="G5" s="103"/>
      <c r="H5" s="429"/>
      <c r="I5" s="429"/>
      <c r="J5" s="214">
        <f t="shared" si="3"/>
        <v>0</v>
      </c>
      <c r="K5" s="429"/>
      <c r="L5" s="429"/>
      <c r="M5" s="429"/>
      <c r="N5" s="214">
        <f t="shared" si="4"/>
        <v>0</v>
      </c>
      <c r="O5" s="449">
        <f>'Overall Metrics'!L10</f>
        <v>0</v>
      </c>
      <c r="P5" s="449">
        <f>'Overall Metrics'!M10</f>
        <v>0</v>
      </c>
      <c r="Q5" s="449">
        <f>'Overall Metrics'!N10</f>
        <v>0</v>
      </c>
      <c r="R5" s="449">
        <f t="shared" si="5"/>
        <v>0</v>
      </c>
      <c r="S5" s="180">
        <f t="shared" si="6"/>
        <v>0</v>
      </c>
      <c r="T5" s="449">
        <f t="shared" si="7"/>
        <v>0</v>
      </c>
      <c r="U5" s="449">
        <f t="shared" si="8"/>
        <v>0</v>
      </c>
      <c r="V5" s="450" t="str">
        <f t="shared" si="9"/>
        <v/>
      </c>
      <c r="W5" s="450" t="str">
        <f>IF(R5=0,"-",SUMIFS($R$2:R5,$A$2:A5,A5,$C$2:C5,C5)/SUMIFS($J$2:J5,$A$2:A5,A5,$C$2:C5,C5)-1)</f>
        <v>-</v>
      </c>
      <c r="X5" s="450" t="str">
        <f t="shared" si="10"/>
        <v/>
      </c>
      <c r="Y5" s="450" t="str">
        <f>IFERROR(IF(R5=0,"-",SUMIFS($R$2:R5,$A$2:A5,A5,$C$2:C5,C5)/SUMIFS($N$2:N5,$A$2:A5,A5,$C$2:C5,C5)-1),"")</f>
        <v>-</v>
      </c>
      <c r="Z5" s="269" t="str">
        <f>IF(R5=0,"",(S5/VLOOKUP(_xlfn.NUMBERVALUE(_xlfn.CONCAT(LEFT(F5,4),52)),$F$2:T212,COLUMNS($F$2:T212),FALSE)))</f>
        <v/>
      </c>
      <c r="AA5" s="269" t="str">
        <f>IFERROR(IF(R5=0,"",(S5/VLOOKUP(_xlfn.NUMBERVALUE(_xlfn.CONCAT(LEFT(F5,4),52)),$F$2:U212,COLUMNS($F$2:U212),FALSE))),"")</f>
        <v/>
      </c>
      <c r="AB5" s="268" t="str">
        <f t="shared" si="11"/>
        <v/>
      </c>
      <c r="AC5" s="450" t="str">
        <f t="shared" si="12"/>
        <v/>
      </c>
      <c r="AD5" s="450" t="str">
        <f t="shared" si="13"/>
        <v/>
      </c>
      <c r="AE5" s="269" t="str">
        <f t="shared" si="14"/>
        <v/>
      </c>
      <c r="AF5" s="268" t="str">
        <f t="shared" si="15"/>
        <v/>
      </c>
      <c r="AG5" s="450" t="str">
        <f t="shared" si="16"/>
        <v/>
      </c>
      <c r="AH5" s="450" t="str">
        <f t="shared" si="17"/>
        <v/>
      </c>
      <c r="AI5" s="269" t="str">
        <f t="shared" si="18"/>
        <v/>
      </c>
      <c r="AJ5" s="450" t="str">
        <f>IF(O5=0,"-",SUMIFS($O$2:O5,$A$2:A5,$A5,$F$2:F5,"&lt;="&amp;$F5)/SUMIFS($G$2:G5,$A$2:A5,$A5,$F$2:F5,"&lt;="&amp;$F5)-1)</f>
        <v>-</v>
      </c>
      <c r="AK5" s="450" t="str">
        <f>IF(P5=0,"-",SUMIFS($P$2:P5,$A$2:A5,$A5,$F$2:F5,"&lt;="&amp;$F5)/SUMIFS($H$2:H5,$A$2:A5,$A5,$F$2:F5,"&lt;="&amp;$F5)-1)</f>
        <v>-</v>
      </c>
      <c r="AL5" s="450" t="str">
        <f>IF(Q5=0,"-",SUMIFS($Q$2:Q5,$A$2:A5,$A5,$F$2:F5,"&lt;="&amp;$F5)/SUMIFS($I$2:I5,$A$2:A5,$A5,$F$2:F5,"&lt;="&amp;$F5)-1)</f>
        <v>-</v>
      </c>
      <c r="AM5" s="450" t="str">
        <f>IFERROR(IF(O5=0,"-",SUMIFS($O$2:O5,$A$2:A5,$A5,$F$2:F5,"&lt;="&amp;$F5)/SUMIFS($K$2:K5,$A$2:A5,$A5,$F$2:F5,"&lt;="&amp;$F5)-1),"")</f>
        <v>-</v>
      </c>
      <c r="AN5" s="450" t="str">
        <f>IFERROR(IF(P5=0,"-",SUMIFS($P$2:P5,$A$2:A5,$A5,$F$2:F5,"&lt;="&amp;$F5)/SUMIFS($L$2:L5,$A$2:A5,$A5,$F$2:F5,"&lt;="&amp;$F5)-1),"")</f>
        <v>-</v>
      </c>
      <c r="AO5" s="450" t="str">
        <f>IFERROR(IF(Q5=0,"-",SUMIFS($Q$2:Q5,$A$2:A5,$A5,$F$2:F5,"&lt;="&amp;$F5)/SUMIFS($M$2:M5,$A$2:A5,$A5,$F$2:F5,"&lt;="&amp;$F5)-1),"")</f>
        <v>-</v>
      </c>
      <c r="AP5" s="86"/>
      <c r="AQ5" s="452">
        <f>'Overall Metrics'!AO10</f>
        <v>0</v>
      </c>
      <c r="AR5" s="450">
        <f t="shared" si="19"/>
        <v>0</v>
      </c>
      <c r="AS5" s="453" t="str">
        <f>IFERROR(IF(R6=0,"-",AVERAGEIFS($AQ$2:AQ5,$A$2:A5,$A5,$F$2:F5,"&lt;="&amp;$F5)-AVERAGEIFS($AP$2:AP5,$A$2:A5,$A5,$F$2:F5,"&lt;="&amp;$F5)),"")</f>
        <v>-</v>
      </c>
      <c r="AT5" s="390" t="str">
        <f>IFERROR(IF(R6=0,"-",AVERAGEIFS($AQ$2:AQ5,$A$2:A5,A5,$C$2:C5,C5)-AVERAGEIFS($AP$2:AP5,$A$2:A5,A5,$C$2:C5,C5)),"")</f>
        <v>-</v>
      </c>
      <c r="AU5" s="79"/>
      <c r="AV5" s="452">
        <f>'Overall Metrics'!AS10</f>
        <v>0</v>
      </c>
      <c r="AW5" s="450" t="str">
        <f t="shared" si="20"/>
        <v/>
      </c>
      <c r="AX5" s="453" t="str">
        <f>IFERROR(IF(R9=0,"-",AVERAGEIFS($AV$2:AV5,$A$2:A5,$A5,$F$2:F5,"&lt;="&amp;$F5)-AVERAGEIFS($AU$2:AU5,$A$2:A5,$A5,$F$2:F5,"&lt;="&amp;$F5)),"")</f>
        <v>-</v>
      </c>
      <c r="AY5" s="453" t="str">
        <f>IFERROR(IF(R9=0,"-",AVERAGEIFS($AV$2:AV5,$A$2:A5,A5,$C$2:C5,C5)-AVERAGEIFS($AU$2:AU5,$A$2:A5,A5,$C$2:C5,C5)),"")</f>
        <v>-</v>
      </c>
      <c r="AZ5" s="103"/>
      <c r="BA5" s="449">
        <f>'Glass Metrics'!AC10</f>
        <v>0</v>
      </c>
      <c r="BB5" s="450" t="str">
        <f t="shared" si="21"/>
        <v/>
      </c>
      <c r="BC5" s="450" t="str">
        <f>IFERROR(IF(R5=0,"-",AVERAGEIFS($BA$2:BA5,$A$2:A5,$A5,$F$2:F5,"&lt;="&amp;$F5)/AVERAGEIFS($AZ$2:AZ5,$A$2:A5,$A5,$F$2:F5,"&lt;="&amp;$F5)-1),"")</f>
        <v>-</v>
      </c>
      <c r="BD5" s="269" t="str">
        <f>IFERROR(IF(R5=0,"-",AVERAGEIFS($BA$2:BA5,$A$2:A5,A5,$C$2:C5,C5)/AVERAGEIFS($AZ$2:AZ5,$A$2:A5,A5,$C$2:C5,C5)-1),"")</f>
        <v>-</v>
      </c>
    </row>
    <row r="6" spans="1:56" ht="16.350000000000001" customHeight="1">
      <c r="A6" s="175">
        <f t="shared" si="0"/>
        <v>2021</v>
      </c>
      <c r="B6" s="447" t="str">
        <f t="shared" si="1"/>
        <v>05</v>
      </c>
      <c r="C6" s="447" t="str">
        <f t="array" ref="C6">_xlfn.IFS(_xlfn.NUMBERVALUE(B6)&lt;=13,"Q1",AND(_xlfn.NUMBERVALUE(B6)&gt;13,_xlfn.NUMBERVALUE(B6)&lt;=26),"Q2", AND(_xlfn.NUMBERVALUE(B6)&gt;26,_xlfn.NUMBERVALUE(B6)&lt;=39),"Q3",_xlfn.NUMBERVALUE(B6)&gt;39,"Q4")</f>
        <v>Q1</v>
      </c>
      <c r="D6" s="448">
        <f t="shared" si="22"/>
        <v>43890</v>
      </c>
      <c r="E6" s="448">
        <f t="shared" si="2"/>
        <v>43896</v>
      </c>
      <c r="F6" s="79">
        <v>202005</v>
      </c>
      <c r="G6" s="103"/>
      <c r="H6" s="429"/>
      <c r="I6" s="429"/>
      <c r="J6" s="214">
        <f t="shared" si="3"/>
        <v>0</v>
      </c>
      <c r="K6" s="429"/>
      <c r="L6" s="429"/>
      <c r="M6" s="429"/>
      <c r="N6" s="214">
        <f t="shared" si="4"/>
        <v>0</v>
      </c>
      <c r="O6" s="449">
        <f>'Overall Metrics'!L11</f>
        <v>0</v>
      </c>
      <c r="P6" s="449">
        <f>'Overall Metrics'!M11</f>
        <v>0</v>
      </c>
      <c r="Q6" s="449">
        <f>'Overall Metrics'!N11</f>
        <v>0</v>
      </c>
      <c r="R6" s="449">
        <f t="shared" si="5"/>
        <v>0</v>
      </c>
      <c r="S6" s="180">
        <f t="shared" si="6"/>
        <v>0</v>
      </c>
      <c r="T6" s="449">
        <f t="shared" si="7"/>
        <v>0</v>
      </c>
      <c r="U6" s="449">
        <f t="shared" si="8"/>
        <v>0</v>
      </c>
      <c r="V6" s="450" t="str">
        <f t="shared" si="9"/>
        <v/>
      </c>
      <c r="W6" s="450" t="str">
        <f>IF(R6=0,"-",SUMIFS($R$2:R6,$A$2:A6,A6,$C$2:C6,C6)/SUMIFS($J$2:J6,$A$2:A6,A6,$C$2:C6,C6)-1)</f>
        <v>-</v>
      </c>
      <c r="X6" s="450" t="str">
        <f t="shared" si="10"/>
        <v/>
      </c>
      <c r="Y6" s="450" t="str">
        <f>IFERROR(IF(R6=0,"-",SUMIFS($R$2:R6,$A$2:A6,A6,$C$2:C6,C6)/SUMIFS($N$2:N6,$A$2:A6,A6,$C$2:C6,C6)-1),"")</f>
        <v>-</v>
      </c>
      <c r="Z6" s="269" t="str">
        <f>IF(R6=0,"",(S6/VLOOKUP(_xlfn.NUMBERVALUE(_xlfn.CONCAT(LEFT(F6,4),52)),$F$2:T213,COLUMNS($F$2:T213),FALSE)))</f>
        <v/>
      </c>
      <c r="AA6" s="269" t="str">
        <f>IFERROR(IF(R6=0,"",(S6/VLOOKUP(_xlfn.NUMBERVALUE(_xlfn.CONCAT(LEFT(F6,4),52)),$F$2:U213,COLUMNS($F$2:U213),FALSE))),"")</f>
        <v/>
      </c>
      <c r="AB6" s="268" t="str">
        <f t="shared" si="11"/>
        <v/>
      </c>
      <c r="AC6" s="450" t="str">
        <f t="shared" si="12"/>
        <v/>
      </c>
      <c r="AD6" s="450" t="str">
        <f t="shared" si="13"/>
        <v/>
      </c>
      <c r="AE6" s="269" t="str">
        <f t="shared" si="14"/>
        <v/>
      </c>
      <c r="AF6" s="268" t="str">
        <f t="shared" si="15"/>
        <v/>
      </c>
      <c r="AG6" s="450" t="str">
        <f t="shared" si="16"/>
        <v/>
      </c>
      <c r="AH6" s="450" t="str">
        <f t="shared" si="17"/>
        <v/>
      </c>
      <c r="AI6" s="269" t="str">
        <f t="shared" si="18"/>
        <v/>
      </c>
      <c r="AJ6" s="450" t="str">
        <f>IF(O6=0,"-",SUMIFS($O$2:O6,$A$2:A6,$A6,$F$2:F6,"&lt;="&amp;$F6)/SUMIFS($G$2:G6,$A$2:A6,$A6,$F$2:F6,"&lt;="&amp;$F6)-1)</f>
        <v>-</v>
      </c>
      <c r="AK6" s="450" t="str">
        <f>IF(P6=0,"-",SUMIFS($P$2:P6,$A$2:A6,$A6,$F$2:F6,"&lt;="&amp;$F6)/SUMIFS($H$2:H6,$A$2:A6,$A6,$F$2:F6,"&lt;="&amp;$F6)-1)</f>
        <v>-</v>
      </c>
      <c r="AL6" s="450" t="str">
        <f>IF(Q6=0,"-",SUMIFS($Q$2:Q6,$A$2:A6,$A6,$F$2:F6,"&lt;="&amp;$F6)/SUMIFS($I$2:I6,$A$2:A6,$A6,$F$2:F6,"&lt;="&amp;$F6)-1)</f>
        <v>-</v>
      </c>
      <c r="AM6" s="450" t="str">
        <f>IFERROR(IF(O6=0,"-",SUMIFS($O$2:O6,$A$2:A6,$A6,$F$2:F6,"&lt;="&amp;$F6)/SUMIFS($K$2:K6,$A$2:A6,$A6,$F$2:F6,"&lt;="&amp;$F6)-1),"")</f>
        <v>-</v>
      </c>
      <c r="AN6" s="450" t="str">
        <f>IFERROR(IF(P6=0,"-",SUMIFS($P$2:P6,$A$2:A6,$A6,$F$2:F6,"&lt;="&amp;$F6)/SUMIFS($L$2:L6,$A$2:A6,$A6,$F$2:F6,"&lt;="&amp;$F6)-1),"")</f>
        <v>-</v>
      </c>
      <c r="AO6" s="450" t="str">
        <f>IFERROR(IF(Q6=0,"-",SUMIFS($Q$2:Q6,$A$2:A6,$A6,$F$2:F6,"&lt;="&amp;$F6)/SUMIFS($M$2:M6,$A$2:A6,$A6,$F$2:F6,"&lt;="&amp;$F6)-1),"")</f>
        <v>-</v>
      </c>
      <c r="AP6" s="86"/>
      <c r="AQ6" s="452">
        <f>'Overall Metrics'!AO11</f>
        <v>0</v>
      </c>
      <c r="AR6" s="450">
        <f t="shared" si="19"/>
        <v>0</v>
      </c>
      <c r="AS6" s="453" t="str">
        <f>IFERROR(IF(R7=0,"-",AVERAGEIFS($AQ$2:AQ6,$A$2:A6,$A6,$F$2:F6,"&lt;="&amp;$F6)-AVERAGEIFS($AP$2:AP6,$A$2:A6,$A6,$F$2:F6,"&lt;="&amp;$F6)),"")</f>
        <v>-</v>
      </c>
      <c r="AT6" s="390" t="str">
        <f>IFERROR(IF(R7=0,"-",AVERAGEIFS($AQ$2:AQ6,$A$2:A6,A6,$C$2:C6,C6)-AVERAGEIFS($AP$2:AP6,$A$2:A6,A6,$C$2:C6,C6)),"")</f>
        <v>-</v>
      </c>
      <c r="AU6" s="79"/>
      <c r="AV6" s="452">
        <f>'Overall Metrics'!AS11</f>
        <v>0</v>
      </c>
      <c r="AW6" s="450" t="str">
        <f t="shared" si="20"/>
        <v/>
      </c>
      <c r="AX6" s="453" t="str">
        <f>IFERROR(IF(R10=0,"-",AVERAGEIFS($AV$2:AV6,$A$2:A6,$A6,$F$2:F6,"&lt;="&amp;$F6)-AVERAGEIFS($AU$2:AU6,$A$2:A6,$A6,$F$2:F6,"&lt;="&amp;$F6)),"")</f>
        <v>-</v>
      </c>
      <c r="AY6" s="453" t="str">
        <f>IFERROR(IF(R10=0,"-",AVERAGEIFS($AV$2:AV6,$A$2:A6,A6,$C$2:C6,C6)-AVERAGEIFS($AU$2:AU6,$A$2:A6,A6,$C$2:C6,C6)),"")</f>
        <v>-</v>
      </c>
      <c r="AZ6" s="103"/>
      <c r="BA6" s="449">
        <f>'Glass Metrics'!AC11</f>
        <v>0</v>
      </c>
      <c r="BB6" s="450" t="str">
        <f t="shared" si="21"/>
        <v/>
      </c>
      <c r="BC6" s="450" t="str">
        <f>IFERROR(IF(R6=0,"-",AVERAGEIFS($BA$2:BA6,$A$2:A6,$A6,$F$2:F6,"&lt;="&amp;$F6)/AVERAGEIFS($AZ$2:AZ6,$A$2:A6,$A6,$F$2:F6,"&lt;="&amp;$F6)-1),"")</f>
        <v>-</v>
      </c>
      <c r="BD6" s="269" t="str">
        <f>IFERROR(IF(R6=0,"-",AVERAGEIFS($BA$2:BA6,$A$2:A6,A6,$C$2:C6,C6)/AVERAGEIFS($AZ$2:AZ6,$A$2:A6,A6,$C$2:C6,C6)-1),"")</f>
        <v>-</v>
      </c>
    </row>
    <row r="7" spans="1:56" ht="16.350000000000001" customHeight="1">
      <c r="A7" s="175">
        <f t="shared" si="0"/>
        <v>2021</v>
      </c>
      <c r="B7" s="447" t="str">
        <f t="shared" si="1"/>
        <v>06</v>
      </c>
      <c r="C7" s="447" t="str">
        <f t="array" ref="C7">_xlfn.IFS(_xlfn.NUMBERVALUE(B7)&lt;=13,"Q1",AND(_xlfn.NUMBERVALUE(B7)&gt;13,_xlfn.NUMBERVALUE(B7)&lt;=26),"Q2", AND(_xlfn.NUMBERVALUE(B7)&gt;26,_xlfn.NUMBERVALUE(B7)&lt;=39),"Q3",_xlfn.NUMBERVALUE(B7)&gt;39,"Q4")</f>
        <v>Q1</v>
      </c>
      <c r="D7" s="448">
        <f t="shared" si="22"/>
        <v>43897</v>
      </c>
      <c r="E7" s="448">
        <f t="shared" si="2"/>
        <v>43903</v>
      </c>
      <c r="F7" s="79">
        <v>202006</v>
      </c>
      <c r="G7" s="103"/>
      <c r="H7" s="429"/>
      <c r="I7" s="429"/>
      <c r="J7" s="214">
        <f t="shared" si="3"/>
        <v>0</v>
      </c>
      <c r="K7" s="429"/>
      <c r="L7" s="429"/>
      <c r="M7" s="429"/>
      <c r="N7" s="214">
        <f t="shared" si="4"/>
        <v>0</v>
      </c>
      <c r="O7" s="449">
        <f>'Overall Metrics'!L12</f>
        <v>0</v>
      </c>
      <c r="P7" s="449">
        <f>'Overall Metrics'!M12</f>
        <v>0</v>
      </c>
      <c r="Q7" s="449">
        <f>'Overall Metrics'!N12</f>
        <v>0</v>
      </c>
      <c r="R7" s="449">
        <f t="shared" si="5"/>
        <v>0</v>
      </c>
      <c r="S7" s="180">
        <f t="shared" si="6"/>
        <v>0</v>
      </c>
      <c r="T7" s="449">
        <f t="shared" si="7"/>
        <v>0</v>
      </c>
      <c r="U7" s="449">
        <f t="shared" si="8"/>
        <v>0</v>
      </c>
      <c r="V7" s="450" t="str">
        <f t="shared" si="9"/>
        <v/>
      </c>
      <c r="W7" s="450" t="str">
        <f>IF(R7=0,"-",SUMIFS($R$2:R7,$A$2:A7,A7,$C$2:C7,C7)/SUMIFS($J$2:J7,$A$2:A7,A7,$C$2:C7,C7)-1)</f>
        <v>-</v>
      </c>
      <c r="X7" s="450" t="str">
        <f t="shared" si="10"/>
        <v/>
      </c>
      <c r="Y7" s="450" t="str">
        <f>IFERROR(IF(R7=0,"-",SUMIFS($R$2:R7,$A$2:A7,A7,$C$2:C7,C7)/SUMIFS($N$2:N7,$A$2:A7,A7,$C$2:C7,C7)-1),"")</f>
        <v>-</v>
      </c>
      <c r="Z7" s="269" t="str">
        <f>IF(R7=0,"",(S7/VLOOKUP(_xlfn.NUMBERVALUE(_xlfn.CONCAT(LEFT(F7,4),52)),$F$2:T214,COLUMNS($F$2:T214),FALSE)))</f>
        <v/>
      </c>
      <c r="AA7" s="269" t="str">
        <f>IFERROR(IF(R7=0,"",(S7/VLOOKUP(_xlfn.NUMBERVALUE(_xlfn.CONCAT(LEFT(F7,4),52)),$F$2:U214,COLUMNS($F$2:U214),FALSE))),"")</f>
        <v/>
      </c>
      <c r="AB7" s="268" t="str">
        <f t="shared" si="11"/>
        <v/>
      </c>
      <c r="AC7" s="450" t="str">
        <f t="shared" si="12"/>
        <v/>
      </c>
      <c r="AD7" s="450" t="str">
        <f t="shared" si="13"/>
        <v/>
      </c>
      <c r="AE7" s="269" t="str">
        <f t="shared" si="14"/>
        <v/>
      </c>
      <c r="AF7" s="268" t="str">
        <f t="shared" si="15"/>
        <v/>
      </c>
      <c r="AG7" s="450" t="str">
        <f t="shared" si="16"/>
        <v/>
      </c>
      <c r="AH7" s="450" t="str">
        <f t="shared" si="17"/>
        <v/>
      </c>
      <c r="AI7" s="269" t="str">
        <f t="shared" si="18"/>
        <v/>
      </c>
      <c r="AJ7" s="450" t="str">
        <f>IF(O7=0,"-",SUMIFS($O$2:O7,$A$2:A7,$A7,$F$2:F7,"&lt;="&amp;$F7)/SUMIFS($G$2:G7,$A$2:A7,$A7,$F$2:F7,"&lt;="&amp;$F7)-1)</f>
        <v>-</v>
      </c>
      <c r="AK7" s="450" t="str">
        <f>IF(P7=0,"-",SUMIFS($P$2:P7,$A$2:A7,$A7,$F$2:F7,"&lt;="&amp;$F7)/SUMIFS($H$2:H7,$A$2:A7,$A7,$F$2:F7,"&lt;="&amp;$F7)-1)</f>
        <v>-</v>
      </c>
      <c r="AL7" s="450" t="str">
        <f>IF(Q7=0,"-",SUMIFS($Q$2:Q7,$A$2:A7,$A7,$F$2:F7,"&lt;="&amp;$F7)/SUMIFS($I$2:I7,$A$2:A7,$A7,$F$2:F7,"&lt;="&amp;$F7)-1)</f>
        <v>-</v>
      </c>
      <c r="AM7" s="450" t="str">
        <f>IFERROR(IF(O7=0,"-",SUMIFS($O$2:O7,$A$2:A7,$A7,$F$2:F7,"&lt;="&amp;$F7)/SUMIFS($K$2:K7,$A$2:A7,$A7,$F$2:F7,"&lt;="&amp;$F7)-1),"")</f>
        <v>-</v>
      </c>
      <c r="AN7" s="450" t="str">
        <f>IFERROR(IF(P7=0,"-",SUMIFS($P$2:P7,$A$2:A7,$A7,$F$2:F7,"&lt;="&amp;$F7)/SUMIFS($L$2:L7,$A$2:A7,$A7,$F$2:F7,"&lt;="&amp;$F7)-1),"")</f>
        <v>-</v>
      </c>
      <c r="AO7" s="450" t="str">
        <f>IFERROR(IF(Q7=0,"-",SUMIFS($Q$2:Q7,$A$2:A7,$A7,$F$2:F7,"&lt;="&amp;$F7)/SUMIFS($M$2:M7,$A$2:A7,$A7,$F$2:F7,"&lt;="&amp;$F7)-1),"")</f>
        <v>-</v>
      </c>
      <c r="AP7" s="86"/>
      <c r="AQ7" s="452">
        <f>'Overall Metrics'!AO12</f>
        <v>0</v>
      </c>
      <c r="AR7" s="450">
        <f t="shared" si="19"/>
        <v>0</v>
      </c>
      <c r="AS7" s="453" t="str">
        <f>IFERROR(IF(R8=0,"-",AVERAGEIFS($AQ$2:AQ7,$A$2:A7,$A7,$F$2:F7,"&lt;="&amp;$F7)-AVERAGEIFS($AP$2:AP7,$A$2:A7,$A7,$F$2:F7,"&lt;="&amp;$F7)),"")</f>
        <v>-</v>
      </c>
      <c r="AT7" s="390" t="str">
        <f>IFERROR(IF(R8=0,"-",AVERAGEIFS($AQ$2:AQ7,$A$2:A7,A7,$C$2:C7,C7)-AVERAGEIFS($AP$2:AP7,$A$2:A7,A7,$C$2:C7,C7)),"")</f>
        <v>-</v>
      </c>
      <c r="AU7" s="79"/>
      <c r="AV7" s="452">
        <f>'Overall Metrics'!AS12</f>
        <v>0</v>
      </c>
      <c r="AW7" s="450" t="str">
        <f t="shared" si="20"/>
        <v/>
      </c>
      <c r="AX7" s="453" t="str">
        <f>IFERROR(IF(R11=0,"-",AVERAGEIFS($AV$2:AV7,$A$2:A7,$A7,$F$2:F7,"&lt;="&amp;$F7)-AVERAGEIFS($AU$2:AU7,$A$2:A7,$A7,$F$2:F7,"&lt;="&amp;$F7)),"")</f>
        <v>-</v>
      </c>
      <c r="AY7" s="453" t="str">
        <f>IFERROR(IF(R11=0,"-",AVERAGEIFS($AV$2:AV7,$A$2:A7,A7,$C$2:C7,C7)-AVERAGEIFS($AU$2:AU7,$A$2:A7,A7,$C$2:C7,C7)),"")</f>
        <v>-</v>
      </c>
      <c r="AZ7" s="103"/>
      <c r="BA7" s="449">
        <f>'Glass Metrics'!AC12</f>
        <v>0</v>
      </c>
      <c r="BB7" s="450" t="str">
        <f t="shared" si="21"/>
        <v/>
      </c>
      <c r="BC7" s="450" t="str">
        <f>IFERROR(IF(R7=0,"-",AVERAGEIFS($BA$2:BA7,$A$2:A7,$A7,$F$2:F7,"&lt;="&amp;$F7)/AVERAGEIFS($AZ$2:AZ7,$A$2:A7,$A7,$F$2:F7,"&lt;="&amp;$F7)-1),"")</f>
        <v>-</v>
      </c>
      <c r="BD7" s="269" t="str">
        <f>IFERROR(IF(R7=0,"-",AVERAGEIFS($BA$2:BA7,$A$2:A7,A7,$C$2:C7,C7)/AVERAGEIFS($AZ$2:AZ7,$A$2:A7,A7,$C$2:C7,C7)-1),"")</f>
        <v>-</v>
      </c>
    </row>
    <row r="8" spans="1:56" ht="16.350000000000001" customHeight="1">
      <c r="A8" s="175">
        <f t="shared" si="0"/>
        <v>2021</v>
      </c>
      <c r="B8" s="447" t="str">
        <f t="shared" si="1"/>
        <v>07</v>
      </c>
      <c r="C8" s="447" t="str">
        <f t="array" ref="C8">_xlfn.IFS(_xlfn.NUMBERVALUE(B8)&lt;=13,"Q1",AND(_xlfn.NUMBERVALUE(B8)&gt;13,_xlfn.NUMBERVALUE(B8)&lt;=26),"Q2", AND(_xlfn.NUMBERVALUE(B8)&gt;26,_xlfn.NUMBERVALUE(B8)&lt;=39),"Q3",_xlfn.NUMBERVALUE(B8)&gt;39,"Q4")</f>
        <v>Q1</v>
      </c>
      <c r="D8" s="448">
        <f t="shared" si="22"/>
        <v>43904</v>
      </c>
      <c r="E8" s="448">
        <f t="shared" si="2"/>
        <v>43910</v>
      </c>
      <c r="F8" s="79">
        <v>202007</v>
      </c>
      <c r="G8" s="103"/>
      <c r="H8" s="429"/>
      <c r="I8" s="429"/>
      <c r="J8" s="214">
        <f t="shared" si="3"/>
        <v>0</v>
      </c>
      <c r="K8" s="429"/>
      <c r="L8" s="429"/>
      <c r="M8" s="429"/>
      <c r="N8" s="214">
        <f t="shared" si="4"/>
        <v>0</v>
      </c>
      <c r="O8" s="449">
        <f>'Overall Metrics'!L13</f>
        <v>0</v>
      </c>
      <c r="P8" s="449">
        <f>'Overall Metrics'!M13</f>
        <v>0</v>
      </c>
      <c r="Q8" s="449">
        <f>'Overall Metrics'!N13</f>
        <v>0</v>
      </c>
      <c r="R8" s="449">
        <f t="shared" si="5"/>
        <v>0</v>
      </c>
      <c r="S8" s="180">
        <f t="shared" si="6"/>
        <v>0</v>
      </c>
      <c r="T8" s="449">
        <f t="shared" si="7"/>
        <v>0</v>
      </c>
      <c r="U8" s="449">
        <f t="shared" si="8"/>
        <v>0</v>
      </c>
      <c r="V8" s="450" t="str">
        <f t="shared" si="9"/>
        <v/>
      </c>
      <c r="W8" s="450" t="str">
        <f>IF(R8=0,"-",SUMIFS($R$2:R8,$A$2:A8,A8,$C$2:C8,C8)/SUMIFS($J$2:J8,$A$2:A8,A8,$C$2:C8,C8)-1)</f>
        <v>-</v>
      </c>
      <c r="X8" s="450" t="str">
        <f t="shared" si="10"/>
        <v/>
      </c>
      <c r="Y8" s="450" t="str">
        <f>IFERROR(IF(R8=0,"-",SUMIFS($R$2:R8,$A$2:A8,A8,$C$2:C8,C8)/SUMIFS($N$2:N8,$A$2:A8,A8,$C$2:C8,C8)-1),"")</f>
        <v>-</v>
      </c>
      <c r="Z8" s="269" t="str">
        <f>IF(R8=0,"",(S8/VLOOKUP(_xlfn.NUMBERVALUE(_xlfn.CONCAT(LEFT(F8,4),52)),$F$2:T215,COLUMNS($F$2:T215),FALSE)))</f>
        <v/>
      </c>
      <c r="AA8" s="269" t="str">
        <f>IFERROR(IF(R8=0,"",(S8/VLOOKUP(_xlfn.NUMBERVALUE(_xlfn.CONCAT(LEFT(F8,4),52)),$F$2:U215,COLUMNS($F$2:U215),FALSE))),"")</f>
        <v/>
      </c>
      <c r="AB8" s="268" t="str">
        <f t="shared" si="11"/>
        <v/>
      </c>
      <c r="AC8" s="450" t="str">
        <f t="shared" si="12"/>
        <v/>
      </c>
      <c r="AD8" s="450" t="str">
        <f t="shared" si="13"/>
        <v/>
      </c>
      <c r="AE8" s="269" t="str">
        <f t="shared" si="14"/>
        <v/>
      </c>
      <c r="AF8" s="268" t="str">
        <f t="shared" si="15"/>
        <v/>
      </c>
      <c r="AG8" s="450" t="str">
        <f t="shared" si="16"/>
        <v/>
      </c>
      <c r="AH8" s="450" t="str">
        <f t="shared" si="17"/>
        <v/>
      </c>
      <c r="AI8" s="269" t="str">
        <f t="shared" si="18"/>
        <v/>
      </c>
      <c r="AJ8" s="450" t="str">
        <f>IF(O8=0,"-",SUMIFS($O$2:O8,$A$2:A8,$A8,$F$2:F8,"&lt;="&amp;$F8)/SUMIFS($G$2:G8,$A$2:A8,$A8,$F$2:F8,"&lt;="&amp;$F8)-1)</f>
        <v>-</v>
      </c>
      <c r="AK8" s="450" t="str">
        <f>IF(P8=0,"-",SUMIFS($P$2:P8,$A$2:A8,$A8,$F$2:F8,"&lt;="&amp;$F8)/SUMIFS($H$2:H8,$A$2:A8,$A8,$F$2:F8,"&lt;="&amp;$F8)-1)</f>
        <v>-</v>
      </c>
      <c r="AL8" s="450" t="str">
        <f>IF(Q8=0,"-",SUMIFS($Q$2:Q8,$A$2:A8,$A8,$F$2:F8,"&lt;="&amp;$F8)/SUMIFS($I$2:I8,$A$2:A8,$A8,$F$2:F8,"&lt;="&amp;$F8)-1)</f>
        <v>-</v>
      </c>
      <c r="AM8" s="450" t="str">
        <f>IFERROR(IF(O8=0,"-",SUMIFS($O$2:O8,$A$2:A8,$A8,$F$2:F8,"&lt;="&amp;$F8)/SUMIFS($K$2:K8,$A$2:A8,$A8,$F$2:F8,"&lt;="&amp;$F8)-1),"")</f>
        <v>-</v>
      </c>
      <c r="AN8" s="450" t="str">
        <f>IFERROR(IF(P8=0,"-",SUMIFS($P$2:P8,$A$2:A8,$A8,$F$2:F8,"&lt;="&amp;$F8)/SUMIFS($L$2:L8,$A$2:A8,$A8,$F$2:F8,"&lt;="&amp;$F8)-1),"")</f>
        <v>-</v>
      </c>
      <c r="AO8" s="450" t="str">
        <f>IFERROR(IF(Q8=0,"-",SUMIFS($Q$2:Q8,$A$2:A8,$A8,$F$2:F8,"&lt;="&amp;$F8)/SUMIFS($M$2:M8,$A$2:A8,$A8,$F$2:F8,"&lt;="&amp;$F8)-1),"")</f>
        <v>-</v>
      </c>
      <c r="AP8" s="86"/>
      <c r="AQ8" s="452">
        <f>'Overall Metrics'!AO13</f>
        <v>0</v>
      </c>
      <c r="AR8" s="450">
        <f t="shared" si="19"/>
        <v>0</v>
      </c>
      <c r="AS8" s="453" t="str">
        <f>IFERROR(IF(R9=0,"-",AVERAGEIFS($AQ$2:AQ8,$A$2:A8,$A8,$F$2:F8,"&lt;="&amp;$F8)-AVERAGEIFS($AP$2:AP8,$A$2:A8,$A8,$F$2:F8,"&lt;="&amp;$F8)),"")</f>
        <v>-</v>
      </c>
      <c r="AT8" s="390" t="str">
        <f>IFERROR(IF(R9=0,"-",AVERAGEIFS($AQ$2:AQ8,$A$2:A8,A8,$C$2:C8,C8)-AVERAGEIFS($AP$2:AP8,$A$2:A8,A8,$C$2:C8,C8)),"")</f>
        <v>-</v>
      </c>
      <c r="AU8" s="79"/>
      <c r="AV8" s="452">
        <f>'Overall Metrics'!AS13</f>
        <v>0</v>
      </c>
      <c r="AW8" s="450" t="str">
        <f t="shared" si="20"/>
        <v/>
      </c>
      <c r="AX8" s="453" t="str">
        <f>IFERROR(IF(R12=0,"-",AVERAGEIFS($AV$2:AV8,$A$2:A8,$A8,$F$2:F8,"&lt;="&amp;$F8)-AVERAGEIFS($AU$2:AU8,$A$2:A8,$A8,$F$2:F8,"&lt;="&amp;$F8)),"")</f>
        <v>-</v>
      </c>
      <c r="AY8" s="453" t="str">
        <f>IFERROR(IF(R12=0,"-",AVERAGEIFS($AV$2:AV8,$A$2:A8,A8,$C$2:C8,C8)-AVERAGEIFS($AU$2:AU8,$A$2:A8,A8,$C$2:C8,C8)),"")</f>
        <v>-</v>
      </c>
      <c r="AZ8" s="103"/>
      <c r="BA8" s="449">
        <f>'Glass Metrics'!AC13</f>
        <v>0</v>
      </c>
      <c r="BB8" s="450" t="str">
        <f t="shared" si="21"/>
        <v/>
      </c>
      <c r="BC8" s="450" t="str">
        <f>IFERROR(IF(R8=0,"-",AVERAGEIFS($BA$2:BA8,$A$2:A8,$A8,$F$2:F8,"&lt;="&amp;$F8)/AVERAGEIFS($AZ$2:AZ8,$A$2:A8,$A8,$F$2:F8,"&lt;="&amp;$F8)-1),"")</f>
        <v>-</v>
      </c>
      <c r="BD8" s="269" t="str">
        <f>IFERROR(IF(R8=0,"-",AVERAGEIFS($BA$2:BA8,$A$2:A8,A8,$C$2:C8,C8)/AVERAGEIFS($AZ$2:AZ8,$A$2:A8,A8,$C$2:C8,C8)-1),"")</f>
        <v>-</v>
      </c>
    </row>
    <row r="9" spans="1:56" ht="16.350000000000001" customHeight="1">
      <c r="A9" s="175">
        <f t="shared" si="0"/>
        <v>2021</v>
      </c>
      <c r="B9" s="447" t="str">
        <f t="shared" si="1"/>
        <v>08</v>
      </c>
      <c r="C9" s="447" t="str">
        <f t="array" ref="C9">_xlfn.IFS(_xlfn.NUMBERVALUE(B9)&lt;=13,"Q1",AND(_xlfn.NUMBERVALUE(B9)&gt;13,_xlfn.NUMBERVALUE(B9)&lt;=26),"Q2", AND(_xlfn.NUMBERVALUE(B9)&gt;26,_xlfn.NUMBERVALUE(B9)&lt;=39),"Q3",_xlfn.NUMBERVALUE(B9)&gt;39,"Q4")</f>
        <v>Q1</v>
      </c>
      <c r="D9" s="448">
        <f t="shared" si="22"/>
        <v>43911</v>
      </c>
      <c r="E9" s="448">
        <f t="shared" si="2"/>
        <v>43917</v>
      </c>
      <c r="F9" s="79">
        <v>202008</v>
      </c>
      <c r="G9" s="103"/>
      <c r="H9" s="429"/>
      <c r="I9" s="429"/>
      <c r="J9" s="214">
        <f t="shared" si="3"/>
        <v>0</v>
      </c>
      <c r="K9" s="429"/>
      <c r="L9" s="429"/>
      <c r="M9" s="429"/>
      <c r="N9" s="214">
        <f t="shared" si="4"/>
        <v>0</v>
      </c>
      <c r="O9" s="449">
        <f>'Overall Metrics'!L14</f>
        <v>0</v>
      </c>
      <c r="P9" s="449">
        <f>'Overall Metrics'!M14</f>
        <v>0</v>
      </c>
      <c r="Q9" s="449">
        <f>'Overall Metrics'!N14</f>
        <v>0</v>
      </c>
      <c r="R9" s="449">
        <f t="shared" si="5"/>
        <v>0</v>
      </c>
      <c r="S9" s="180">
        <f t="shared" si="6"/>
        <v>0</v>
      </c>
      <c r="T9" s="449">
        <f t="shared" si="7"/>
        <v>0</v>
      </c>
      <c r="U9" s="449">
        <f t="shared" si="8"/>
        <v>0</v>
      </c>
      <c r="V9" s="450" t="str">
        <f t="shared" si="9"/>
        <v/>
      </c>
      <c r="W9" s="450" t="str">
        <f>IF(R9=0,"-",SUMIFS($R$2:R9,$A$2:A9,A9,$C$2:C9,C9)/SUMIFS($J$2:J9,$A$2:A9,A9,$C$2:C9,C9)-1)</f>
        <v>-</v>
      </c>
      <c r="X9" s="450" t="str">
        <f t="shared" si="10"/>
        <v/>
      </c>
      <c r="Y9" s="450" t="str">
        <f>IFERROR(IF(R9=0,"-",SUMIFS($R$2:R9,$A$2:A9,A9,$C$2:C9,C9)/SUMIFS($N$2:N9,$A$2:A9,A9,$C$2:C9,C9)-1),"")</f>
        <v>-</v>
      </c>
      <c r="Z9" s="269" t="str">
        <f>IF(R9=0,"",(S9/VLOOKUP(_xlfn.NUMBERVALUE(_xlfn.CONCAT(LEFT(F9,4),52)),$F$2:T216,COLUMNS($F$2:T216),FALSE)))</f>
        <v/>
      </c>
      <c r="AA9" s="269" t="str">
        <f>IFERROR(IF(R9=0,"",(S9/VLOOKUP(_xlfn.NUMBERVALUE(_xlfn.CONCAT(LEFT(F9,4),52)),$F$2:U216,COLUMNS($F$2:U216),FALSE))),"")</f>
        <v/>
      </c>
      <c r="AB9" s="268" t="str">
        <f t="shared" si="11"/>
        <v/>
      </c>
      <c r="AC9" s="450" t="str">
        <f t="shared" si="12"/>
        <v/>
      </c>
      <c r="AD9" s="450" t="str">
        <f t="shared" si="13"/>
        <v/>
      </c>
      <c r="AE9" s="269" t="str">
        <f t="shared" si="14"/>
        <v/>
      </c>
      <c r="AF9" s="268" t="str">
        <f t="shared" si="15"/>
        <v/>
      </c>
      <c r="AG9" s="450" t="str">
        <f t="shared" si="16"/>
        <v/>
      </c>
      <c r="AH9" s="450" t="str">
        <f t="shared" si="17"/>
        <v/>
      </c>
      <c r="AI9" s="269" t="str">
        <f t="shared" si="18"/>
        <v/>
      </c>
      <c r="AJ9" s="450" t="str">
        <f>IF(O9=0,"-",SUMIFS($O$2:O9,$A$2:A9,$A9,$F$2:F9,"&lt;="&amp;$F9)/SUMIFS($G$2:G9,$A$2:A9,$A9,$F$2:F9,"&lt;="&amp;$F9)-1)</f>
        <v>-</v>
      </c>
      <c r="AK9" s="450" t="str">
        <f>IF(P9=0,"-",SUMIFS($P$2:P9,$A$2:A9,$A9,$F$2:F9,"&lt;="&amp;$F9)/SUMIFS($H$2:H9,$A$2:A9,$A9,$F$2:F9,"&lt;="&amp;$F9)-1)</f>
        <v>-</v>
      </c>
      <c r="AL9" s="450" t="str">
        <f>IF(Q9=0,"-",SUMIFS($Q$2:Q9,$A$2:A9,$A9,$F$2:F9,"&lt;="&amp;$F9)/SUMIFS($I$2:I9,$A$2:A9,$A9,$F$2:F9,"&lt;="&amp;$F9)-1)</f>
        <v>-</v>
      </c>
      <c r="AM9" s="450" t="str">
        <f>IFERROR(IF(O9=0,"-",SUMIFS($O$2:O9,$A$2:A9,$A9,$F$2:F9,"&lt;="&amp;$F9)/SUMIFS($K$2:K9,$A$2:A9,$A9,$F$2:F9,"&lt;="&amp;$F9)-1),"")</f>
        <v>-</v>
      </c>
      <c r="AN9" s="450" t="str">
        <f>IFERROR(IF(P9=0,"-",SUMIFS($P$2:P9,$A$2:A9,$A9,$F$2:F9,"&lt;="&amp;$F9)/SUMIFS($L$2:L9,$A$2:A9,$A9,$F$2:F9,"&lt;="&amp;$F9)-1),"")</f>
        <v>-</v>
      </c>
      <c r="AO9" s="450" t="str">
        <f>IFERROR(IF(Q9=0,"-",SUMIFS($Q$2:Q9,$A$2:A9,$A9,$F$2:F9,"&lt;="&amp;$F9)/SUMIFS($M$2:M9,$A$2:A9,$A9,$F$2:F9,"&lt;="&amp;$F9)-1),"")</f>
        <v>-</v>
      </c>
      <c r="AP9" s="86"/>
      <c r="AQ9" s="452">
        <f>'Overall Metrics'!AO14</f>
        <v>0</v>
      </c>
      <c r="AR9" s="450">
        <f t="shared" si="19"/>
        <v>0</v>
      </c>
      <c r="AS9" s="453" t="str">
        <f>IFERROR(IF(R10=0,"-",AVERAGEIFS($AQ$2:AQ9,$A$2:A9,$A9,$F$2:F9,"&lt;="&amp;$F9)-AVERAGEIFS($AP$2:AP9,$A$2:A9,$A9,$F$2:F9,"&lt;="&amp;$F9)),"")</f>
        <v>-</v>
      </c>
      <c r="AT9" s="390" t="str">
        <f>IFERROR(IF(R10=0,"-",AVERAGEIFS($AQ$2:AQ9,$A$2:A9,A9,$C$2:C9,C9)-AVERAGEIFS($AP$2:AP9,$A$2:A9,A9,$C$2:C9,C9)),"")</f>
        <v>-</v>
      </c>
      <c r="AU9" s="79"/>
      <c r="AV9" s="452">
        <f>'Overall Metrics'!AS14</f>
        <v>0</v>
      </c>
      <c r="AW9" s="450" t="str">
        <f t="shared" si="20"/>
        <v/>
      </c>
      <c r="AX9" s="453" t="str">
        <f>IFERROR(IF(R13=0,"-",AVERAGEIFS($AV$2:AV9,$A$2:A9,$A9,$F$2:F9,"&lt;="&amp;$F9)-AVERAGEIFS($AU$2:AU9,$A$2:A9,$A9,$F$2:F9,"&lt;="&amp;$F9)),"")</f>
        <v>-</v>
      </c>
      <c r="AY9" s="453" t="str">
        <f>IFERROR(IF(R13=0,"-",AVERAGEIFS($AV$2:AV9,$A$2:A9,A9,$C$2:C9,C9)-AVERAGEIFS($AU$2:AU9,$A$2:A9,A9,$C$2:C9,C9)),"")</f>
        <v>-</v>
      </c>
      <c r="AZ9" s="103"/>
      <c r="BA9" s="449">
        <f>'Glass Metrics'!AC14</f>
        <v>0</v>
      </c>
      <c r="BB9" s="450" t="str">
        <f t="shared" si="21"/>
        <v/>
      </c>
      <c r="BC9" s="450" t="str">
        <f>IFERROR(IF(R9=0,"-",AVERAGEIFS($BA$2:BA9,$A$2:A9,$A9,$F$2:F9,"&lt;="&amp;$F9)/AVERAGEIFS($AZ$2:AZ9,$A$2:A9,$A9,$F$2:F9,"&lt;="&amp;$F9)-1),"")</f>
        <v>-</v>
      </c>
      <c r="BD9" s="269" t="str">
        <f>IFERROR(IF(R9=0,"-",AVERAGEIFS($BA$2:BA9,$A$2:A9,A9,$C$2:C9,C9)/AVERAGEIFS($AZ$2:AZ9,$A$2:A9,A9,$C$2:C9,C9)-1),"")</f>
        <v>-</v>
      </c>
    </row>
    <row r="10" spans="1:56" ht="16.350000000000001" customHeight="1">
      <c r="A10" s="175">
        <f t="shared" si="0"/>
        <v>2021</v>
      </c>
      <c r="B10" s="447" t="str">
        <f t="shared" si="1"/>
        <v>09</v>
      </c>
      <c r="C10" s="447" t="str">
        <f t="array" ref="C10">_xlfn.IFS(_xlfn.NUMBERVALUE(B10)&lt;=13,"Q1",AND(_xlfn.NUMBERVALUE(B10)&gt;13,_xlfn.NUMBERVALUE(B10)&lt;=26),"Q2", AND(_xlfn.NUMBERVALUE(B10)&gt;26,_xlfn.NUMBERVALUE(B10)&lt;=39),"Q3",_xlfn.NUMBERVALUE(B10)&gt;39,"Q4")</f>
        <v>Q1</v>
      </c>
      <c r="D10" s="448">
        <f t="shared" si="22"/>
        <v>43918</v>
      </c>
      <c r="E10" s="448">
        <f t="shared" si="2"/>
        <v>43924</v>
      </c>
      <c r="F10" s="79">
        <v>202009</v>
      </c>
      <c r="G10" s="103"/>
      <c r="H10" s="429"/>
      <c r="I10" s="429"/>
      <c r="J10" s="214">
        <f t="shared" si="3"/>
        <v>0</v>
      </c>
      <c r="K10" s="429"/>
      <c r="L10" s="429"/>
      <c r="M10" s="429"/>
      <c r="N10" s="214">
        <f t="shared" si="4"/>
        <v>0</v>
      </c>
      <c r="O10" s="449">
        <f>'Overall Metrics'!L15</f>
        <v>0</v>
      </c>
      <c r="P10" s="449">
        <f>'Overall Metrics'!M15</f>
        <v>0</v>
      </c>
      <c r="Q10" s="449">
        <f>'Overall Metrics'!N15</f>
        <v>0</v>
      </c>
      <c r="R10" s="449">
        <f t="shared" si="5"/>
        <v>0</v>
      </c>
      <c r="S10" s="180">
        <f t="shared" si="6"/>
        <v>0</v>
      </c>
      <c r="T10" s="449">
        <f t="shared" si="7"/>
        <v>0</v>
      </c>
      <c r="U10" s="449">
        <f t="shared" si="8"/>
        <v>0</v>
      </c>
      <c r="V10" s="450" t="str">
        <f t="shared" si="9"/>
        <v/>
      </c>
      <c r="W10" s="450" t="str">
        <f>IF(R10=0,"-",SUMIFS($R$2:R10,$A$2:A10,A10,$C$2:C10,C10)/SUMIFS($J$2:J10,$A$2:A10,A10,$C$2:C10,C10)-1)</f>
        <v>-</v>
      </c>
      <c r="X10" s="450" t="str">
        <f t="shared" si="10"/>
        <v/>
      </c>
      <c r="Y10" s="450" t="str">
        <f>IFERROR(IF(R10=0,"-",SUMIFS($R$2:R10,$A$2:A10,A10,$C$2:C10,C10)/SUMIFS($N$2:N10,$A$2:A10,A10,$C$2:C10,C10)-1),"")</f>
        <v>-</v>
      </c>
      <c r="Z10" s="269" t="str">
        <f>IF(R10=0,"",(S10/VLOOKUP(_xlfn.NUMBERVALUE(_xlfn.CONCAT(LEFT(F10,4),52)),$F$2:T217,COLUMNS($F$2:T217),FALSE)))</f>
        <v/>
      </c>
      <c r="AA10" s="269" t="str">
        <f>IFERROR(IF(R10=0,"",(S10/VLOOKUP(_xlfn.NUMBERVALUE(_xlfn.CONCAT(LEFT(F10,4),52)),$F$2:U217,COLUMNS($F$2:U217),FALSE))),"")</f>
        <v/>
      </c>
      <c r="AB10" s="268" t="str">
        <f t="shared" si="11"/>
        <v/>
      </c>
      <c r="AC10" s="450" t="str">
        <f t="shared" si="12"/>
        <v/>
      </c>
      <c r="AD10" s="450" t="str">
        <f t="shared" si="13"/>
        <v/>
      </c>
      <c r="AE10" s="269" t="str">
        <f t="shared" si="14"/>
        <v/>
      </c>
      <c r="AF10" s="268" t="str">
        <f t="shared" si="15"/>
        <v/>
      </c>
      <c r="AG10" s="450" t="str">
        <f t="shared" si="16"/>
        <v/>
      </c>
      <c r="AH10" s="450" t="str">
        <f t="shared" si="17"/>
        <v/>
      </c>
      <c r="AI10" s="269" t="str">
        <f t="shared" si="18"/>
        <v/>
      </c>
      <c r="AJ10" s="450" t="str">
        <f>IF(O10=0,"-",SUMIFS($O$2:O10,$A$2:A10,$A10,$F$2:F10,"&lt;="&amp;$F10)/SUMIFS($G$2:G10,$A$2:A10,$A10,$F$2:F10,"&lt;="&amp;$F10)-1)</f>
        <v>-</v>
      </c>
      <c r="AK10" s="450" t="str">
        <f>IF(P10=0,"-",SUMIFS($P$2:P10,$A$2:A10,$A10,$F$2:F10,"&lt;="&amp;$F10)/SUMIFS($H$2:H10,$A$2:A10,$A10,$F$2:F10,"&lt;="&amp;$F10)-1)</f>
        <v>-</v>
      </c>
      <c r="AL10" s="450" t="str">
        <f>IF(Q10=0,"-",SUMIFS($Q$2:Q10,$A$2:A10,$A10,$F$2:F10,"&lt;="&amp;$F10)/SUMIFS($I$2:I10,$A$2:A10,$A10,$F$2:F10,"&lt;="&amp;$F10)-1)</f>
        <v>-</v>
      </c>
      <c r="AM10" s="450" t="str">
        <f>IFERROR(IF(O10=0,"-",SUMIFS($O$2:O10,$A$2:A10,$A10,$F$2:F10,"&lt;="&amp;$F10)/SUMIFS($K$2:K10,$A$2:A10,$A10,$F$2:F10,"&lt;="&amp;$F10)-1),"")</f>
        <v>-</v>
      </c>
      <c r="AN10" s="450" t="str">
        <f>IFERROR(IF(P10=0,"-",SUMIFS($P$2:P10,$A$2:A10,$A10,$F$2:F10,"&lt;="&amp;$F10)/SUMIFS($L$2:L10,$A$2:A10,$A10,$F$2:F10,"&lt;="&amp;$F10)-1),"")</f>
        <v>-</v>
      </c>
      <c r="AO10" s="450" t="str">
        <f>IFERROR(IF(Q10=0,"-",SUMIFS($Q$2:Q10,$A$2:A10,$A10,$F$2:F10,"&lt;="&amp;$F10)/SUMIFS($M$2:M10,$A$2:A10,$A10,$F$2:F10,"&lt;="&amp;$F10)-1),"")</f>
        <v>-</v>
      </c>
      <c r="AP10" s="86"/>
      <c r="AQ10" s="452">
        <f>'Overall Metrics'!AO15</f>
        <v>0</v>
      </c>
      <c r="AR10" s="450">
        <f t="shared" si="19"/>
        <v>0</v>
      </c>
      <c r="AS10" s="453" t="str">
        <f>IFERROR(IF(R11=0,"-",AVERAGEIFS($AQ$2:AQ10,$A$2:A10,$A10,$F$2:F10,"&lt;="&amp;$F10)-AVERAGEIFS($AP$2:AP10,$A$2:A10,$A10,$F$2:F10,"&lt;="&amp;$F10)),"")</f>
        <v>-</v>
      </c>
      <c r="AT10" s="390" t="str">
        <f>IFERROR(IF(R11=0,"-",AVERAGEIFS($AQ$2:AQ10,$A$2:A10,A10,$C$2:C10,C10)-AVERAGEIFS($AP$2:AP10,$A$2:A10,A10,$C$2:C10,C10)),"")</f>
        <v>-</v>
      </c>
      <c r="AU10" s="79"/>
      <c r="AV10" s="452">
        <f>'Overall Metrics'!AS15</f>
        <v>0</v>
      </c>
      <c r="AW10" s="450" t="str">
        <f t="shared" si="20"/>
        <v/>
      </c>
      <c r="AX10" s="453" t="str">
        <f>IFERROR(IF(R14=0,"-",AVERAGEIFS($AV$2:AV10,$A$2:A10,$A10,$F$2:F10,"&lt;="&amp;$F10)-AVERAGEIFS($AU$2:AU10,$A$2:A10,$A10,$F$2:F10,"&lt;="&amp;$F10)),"")</f>
        <v>-</v>
      </c>
      <c r="AY10" s="453" t="str">
        <f>IFERROR(IF(R14=0,"-",AVERAGEIFS($AV$2:AV10,$A$2:A10,A10,$C$2:C10,C10)-AVERAGEIFS($AU$2:AU10,$A$2:A10,A10,$C$2:C10,C10)),"")</f>
        <v>-</v>
      </c>
      <c r="AZ10" s="103"/>
      <c r="BA10" s="449">
        <f>'Glass Metrics'!AC15</f>
        <v>0</v>
      </c>
      <c r="BB10" s="450" t="str">
        <f t="shared" si="21"/>
        <v/>
      </c>
      <c r="BC10" s="450" t="str">
        <f>IFERROR(IF(R10=0,"-",AVERAGEIFS($BA$2:BA10,$A$2:A10,$A10,$F$2:F10,"&lt;="&amp;$F10)/AVERAGEIFS($AZ$2:AZ10,$A$2:A10,$A10,$F$2:F10,"&lt;="&amp;$F10)-1),"")</f>
        <v>-</v>
      </c>
      <c r="BD10" s="269" t="str">
        <f>IFERROR(IF(R10=0,"-",AVERAGEIFS($BA$2:BA10,$A$2:A10,A10,$C$2:C10,C10)/AVERAGEIFS($AZ$2:AZ10,$A$2:A10,A10,$C$2:C10,C10)-1),"")</f>
        <v>-</v>
      </c>
    </row>
    <row r="11" spans="1:56" ht="16.350000000000001" customHeight="1">
      <c r="A11" s="175">
        <f t="shared" si="0"/>
        <v>2021</v>
      </c>
      <c r="B11" s="447" t="str">
        <f t="shared" si="1"/>
        <v>10</v>
      </c>
      <c r="C11" s="447" t="str">
        <f t="array" ref="C11">_xlfn.IFS(_xlfn.NUMBERVALUE(B11)&lt;=13,"Q1",AND(_xlfn.NUMBERVALUE(B11)&gt;13,_xlfn.NUMBERVALUE(B11)&lt;=26),"Q2", AND(_xlfn.NUMBERVALUE(B11)&gt;26,_xlfn.NUMBERVALUE(B11)&lt;=39),"Q3",_xlfn.NUMBERVALUE(B11)&gt;39,"Q4")</f>
        <v>Q1</v>
      </c>
      <c r="D11" s="448">
        <f t="shared" si="22"/>
        <v>43925</v>
      </c>
      <c r="E11" s="448">
        <f t="shared" si="2"/>
        <v>43931</v>
      </c>
      <c r="F11" s="79">
        <v>202010</v>
      </c>
      <c r="G11" s="103"/>
      <c r="H11" s="429"/>
      <c r="I11" s="429"/>
      <c r="J11" s="214">
        <f t="shared" si="3"/>
        <v>0</v>
      </c>
      <c r="K11" s="429"/>
      <c r="L11" s="429"/>
      <c r="M11" s="429"/>
      <c r="N11" s="214">
        <f t="shared" si="4"/>
        <v>0</v>
      </c>
      <c r="O11" s="449">
        <f>'Overall Metrics'!L16</f>
        <v>0</v>
      </c>
      <c r="P11" s="449">
        <f>'Overall Metrics'!M16</f>
        <v>0</v>
      </c>
      <c r="Q11" s="449">
        <f>'Overall Metrics'!N16</f>
        <v>0</v>
      </c>
      <c r="R11" s="449">
        <f t="shared" si="5"/>
        <v>0</v>
      </c>
      <c r="S11" s="180">
        <f t="shared" si="6"/>
        <v>0</v>
      </c>
      <c r="T11" s="449">
        <f t="shared" si="7"/>
        <v>0</v>
      </c>
      <c r="U11" s="449">
        <f t="shared" si="8"/>
        <v>0</v>
      </c>
      <c r="V11" s="450" t="str">
        <f t="shared" si="9"/>
        <v/>
      </c>
      <c r="W11" s="450" t="str">
        <f>IF(R11=0,"-",SUMIFS($R$2:R11,$A$2:A11,A11,$C$2:C11,C11)/SUMIFS($J$2:J11,$A$2:A11,A11,$C$2:C11,C11)-1)</f>
        <v>-</v>
      </c>
      <c r="X11" s="450" t="str">
        <f t="shared" si="10"/>
        <v/>
      </c>
      <c r="Y11" s="450" t="str">
        <f>IFERROR(IF(R11=0,"-",SUMIFS($R$2:R11,$A$2:A11,A11,$C$2:C11,C11)/SUMIFS($N$2:N11,$A$2:A11,A11,$C$2:C11,C11)-1),"")</f>
        <v>-</v>
      </c>
      <c r="Z11" s="269" t="str">
        <f>IF(R11=0,"",(S11/VLOOKUP(_xlfn.NUMBERVALUE(_xlfn.CONCAT(LEFT(F11,4),52)),$F$2:T218,COLUMNS($F$2:T218),FALSE)))</f>
        <v/>
      </c>
      <c r="AA11" s="269" t="str">
        <f>IFERROR(IF(R11=0,"",(S11/VLOOKUP(_xlfn.NUMBERVALUE(_xlfn.CONCAT(LEFT(F11,4),52)),$F$2:U218,COLUMNS($F$2:U218),FALSE))),"")</f>
        <v/>
      </c>
      <c r="AB11" s="268" t="str">
        <f t="shared" si="11"/>
        <v/>
      </c>
      <c r="AC11" s="450" t="str">
        <f t="shared" si="12"/>
        <v/>
      </c>
      <c r="AD11" s="450" t="str">
        <f t="shared" si="13"/>
        <v/>
      </c>
      <c r="AE11" s="269" t="str">
        <f t="shared" si="14"/>
        <v/>
      </c>
      <c r="AF11" s="268" t="str">
        <f t="shared" si="15"/>
        <v/>
      </c>
      <c r="AG11" s="450" t="str">
        <f t="shared" si="16"/>
        <v/>
      </c>
      <c r="AH11" s="450" t="str">
        <f t="shared" si="17"/>
        <v/>
      </c>
      <c r="AI11" s="269" t="str">
        <f t="shared" si="18"/>
        <v/>
      </c>
      <c r="AJ11" s="450" t="str">
        <f>IF(O11=0,"-",SUMIFS($O$2:O11,$A$2:A11,$A11,$F$2:F11,"&lt;="&amp;$F11)/SUMIFS($G$2:G11,$A$2:A11,$A11,$F$2:F11,"&lt;="&amp;$F11)-1)</f>
        <v>-</v>
      </c>
      <c r="AK11" s="450" t="str">
        <f>IF(P11=0,"-",SUMIFS($P$2:P11,$A$2:A11,$A11,$F$2:F11,"&lt;="&amp;$F11)/SUMIFS($H$2:H11,$A$2:A11,$A11,$F$2:F11,"&lt;="&amp;$F11)-1)</f>
        <v>-</v>
      </c>
      <c r="AL11" s="450" t="str">
        <f>IF(Q11=0,"-",SUMIFS($Q$2:Q11,$A$2:A11,$A11,$F$2:F11,"&lt;="&amp;$F11)/SUMIFS($I$2:I11,$A$2:A11,$A11,$F$2:F11,"&lt;="&amp;$F11)-1)</f>
        <v>-</v>
      </c>
      <c r="AM11" s="450" t="str">
        <f>IFERROR(IF(O11=0,"-",SUMIFS($O$2:O11,$A$2:A11,$A11,$F$2:F11,"&lt;="&amp;$F11)/SUMIFS($K$2:K11,$A$2:A11,$A11,$F$2:F11,"&lt;="&amp;$F11)-1),"")</f>
        <v>-</v>
      </c>
      <c r="AN11" s="450" t="str">
        <f>IFERROR(IF(P11=0,"-",SUMIFS($P$2:P11,$A$2:A11,$A11,$F$2:F11,"&lt;="&amp;$F11)/SUMIFS($L$2:L11,$A$2:A11,$A11,$F$2:F11,"&lt;="&amp;$F11)-1),"")</f>
        <v>-</v>
      </c>
      <c r="AO11" s="450" t="str">
        <f>IFERROR(IF(Q11=0,"-",SUMIFS($Q$2:Q11,$A$2:A11,$A11,$F$2:F11,"&lt;="&amp;$F11)/SUMIFS($M$2:M11,$A$2:A11,$A11,$F$2:F11,"&lt;="&amp;$F11)-1),"")</f>
        <v>-</v>
      </c>
      <c r="AP11" s="86"/>
      <c r="AQ11" s="452">
        <f>'Overall Metrics'!AO16</f>
        <v>0</v>
      </c>
      <c r="AR11" s="450">
        <f t="shared" si="19"/>
        <v>0</v>
      </c>
      <c r="AS11" s="453" t="str">
        <f>IFERROR(IF(R12=0,"-",AVERAGEIFS($AQ$2:AQ11,$A$2:A11,$A11,$F$2:F11,"&lt;="&amp;$F11)-AVERAGEIFS($AP$2:AP11,$A$2:A11,$A11,$F$2:F11,"&lt;="&amp;$F11)),"")</f>
        <v>-</v>
      </c>
      <c r="AT11" s="390" t="str">
        <f>IFERROR(IF(R12=0,"-",AVERAGEIFS($AQ$2:AQ11,$A$2:A11,A11,$C$2:C11,C11)-AVERAGEIFS($AP$2:AP11,$A$2:A11,A11,$C$2:C11,C11)),"")</f>
        <v>-</v>
      </c>
      <c r="AU11" s="79"/>
      <c r="AV11" s="452">
        <f>'Overall Metrics'!AS16</f>
        <v>0</v>
      </c>
      <c r="AW11" s="450" t="str">
        <f t="shared" si="20"/>
        <v/>
      </c>
      <c r="AX11" s="453" t="str">
        <f>IFERROR(IF(R15=0,"-",AVERAGEIFS($AV$2:AV11,$A$2:A11,$A11,$F$2:F11,"&lt;="&amp;$F11)-AVERAGEIFS($AU$2:AU11,$A$2:A11,$A11,$F$2:F11,"&lt;="&amp;$F11)),"")</f>
        <v>-</v>
      </c>
      <c r="AY11" s="453" t="str">
        <f>IFERROR(IF(R15=0,"-",AVERAGEIFS($AV$2:AV11,$A$2:A11,A11,$C$2:C11,C11)-AVERAGEIFS($AU$2:AU11,$A$2:A11,A11,$C$2:C11,C11)),"")</f>
        <v>-</v>
      </c>
      <c r="AZ11" s="103"/>
      <c r="BA11" s="449">
        <f>'Glass Metrics'!AC16</f>
        <v>0</v>
      </c>
      <c r="BB11" s="450" t="str">
        <f t="shared" si="21"/>
        <v/>
      </c>
      <c r="BC11" s="450" t="str">
        <f>IFERROR(IF(R11=0,"-",AVERAGEIFS($BA$2:BA11,$A$2:A11,$A11,$F$2:F11,"&lt;="&amp;$F11)/AVERAGEIFS($AZ$2:AZ11,$A$2:A11,$A11,$F$2:F11,"&lt;="&amp;$F11)-1),"")</f>
        <v>-</v>
      </c>
      <c r="BD11" s="269" t="str">
        <f>IFERROR(IF(R11=0,"-",AVERAGEIFS($BA$2:BA11,$A$2:A11,A11,$C$2:C11,C11)/AVERAGEIFS($AZ$2:AZ11,$A$2:A11,A11,$C$2:C11,C11)-1),"")</f>
        <v>-</v>
      </c>
    </row>
    <row r="12" spans="1:56" ht="16.350000000000001" customHeight="1">
      <c r="A12" s="175">
        <f t="shared" si="0"/>
        <v>2021</v>
      </c>
      <c r="B12" s="447" t="str">
        <f t="shared" si="1"/>
        <v>11</v>
      </c>
      <c r="C12" s="447" t="str">
        <f t="array" ref="C12">_xlfn.IFS(_xlfn.NUMBERVALUE(B12)&lt;=13,"Q1",AND(_xlfn.NUMBERVALUE(B12)&gt;13,_xlfn.NUMBERVALUE(B12)&lt;=26),"Q2", AND(_xlfn.NUMBERVALUE(B12)&gt;26,_xlfn.NUMBERVALUE(B12)&lt;=39),"Q3",_xlfn.NUMBERVALUE(B12)&gt;39,"Q4")</f>
        <v>Q1</v>
      </c>
      <c r="D12" s="448">
        <f t="shared" si="22"/>
        <v>43932</v>
      </c>
      <c r="E12" s="448">
        <f t="shared" si="2"/>
        <v>43938</v>
      </c>
      <c r="F12" s="79">
        <v>202011</v>
      </c>
      <c r="G12" s="103"/>
      <c r="H12" s="429"/>
      <c r="I12" s="429"/>
      <c r="J12" s="214">
        <f t="shared" si="3"/>
        <v>0</v>
      </c>
      <c r="K12" s="429"/>
      <c r="L12" s="429"/>
      <c r="M12" s="429"/>
      <c r="N12" s="214">
        <f t="shared" si="4"/>
        <v>0</v>
      </c>
      <c r="O12" s="449">
        <f>'Overall Metrics'!L17</f>
        <v>0</v>
      </c>
      <c r="P12" s="449">
        <f>'Overall Metrics'!M17</f>
        <v>0</v>
      </c>
      <c r="Q12" s="449">
        <f>'Overall Metrics'!N17</f>
        <v>0</v>
      </c>
      <c r="R12" s="449">
        <f t="shared" si="5"/>
        <v>0</v>
      </c>
      <c r="S12" s="180">
        <f t="shared" si="6"/>
        <v>0</v>
      </c>
      <c r="T12" s="449">
        <f t="shared" si="7"/>
        <v>0</v>
      </c>
      <c r="U12" s="449">
        <f t="shared" si="8"/>
        <v>0</v>
      </c>
      <c r="V12" s="450" t="str">
        <f t="shared" si="9"/>
        <v/>
      </c>
      <c r="W12" s="450" t="str">
        <f>IF(R12=0,"-",SUMIFS($R$2:R12,$A$2:A12,A12,$C$2:C12,C12)/SUMIFS($J$2:J12,$A$2:A12,A12,$C$2:C12,C12)-1)</f>
        <v>-</v>
      </c>
      <c r="X12" s="450" t="str">
        <f t="shared" si="10"/>
        <v/>
      </c>
      <c r="Y12" s="450" t="str">
        <f>IFERROR(IF(R12=0,"-",SUMIFS($R$2:R12,$A$2:A12,A12,$C$2:C12,C12)/SUMIFS($N$2:N12,$A$2:A12,A12,$C$2:C12,C12)-1),"")</f>
        <v>-</v>
      </c>
      <c r="Z12" s="269" t="str">
        <f>IF(R12=0,"",(S12/VLOOKUP(_xlfn.NUMBERVALUE(_xlfn.CONCAT(LEFT(F12,4),52)),$F$2:T219,COLUMNS($F$2:T219),FALSE)))</f>
        <v/>
      </c>
      <c r="AA12" s="269" t="str">
        <f>IFERROR(IF(R12=0,"",(S12/VLOOKUP(_xlfn.NUMBERVALUE(_xlfn.CONCAT(LEFT(F12,4),52)),$F$2:U219,COLUMNS($F$2:U219),FALSE))),"")</f>
        <v/>
      </c>
      <c r="AB12" s="268" t="str">
        <f t="shared" si="11"/>
        <v/>
      </c>
      <c r="AC12" s="450" t="str">
        <f t="shared" si="12"/>
        <v/>
      </c>
      <c r="AD12" s="450" t="str">
        <f t="shared" si="13"/>
        <v/>
      </c>
      <c r="AE12" s="269" t="str">
        <f t="shared" si="14"/>
        <v/>
      </c>
      <c r="AF12" s="268" t="str">
        <f t="shared" si="15"/>
        <v/>
      </c>
      <c r="AG12" s="450" t="str">
        <f t="shared" si="16"/>
        <v/>
      </c>
      <c r="AH12" s="450" t="str">
        <f t="shared" si="17"/>
        <v/>
      </c>
      <c r="AI12" s="269" t="str">
        <f t="shared" si="18"/>
        <v/>
      </c>
      <c r="AJ12" s="450" t="str">
        <f>IF(O12=0,"-",SUMIFS($O$2:O12,$A$2:A12,$A12,$F$2:F12,"&lt;="&amp;$F12)/SUMIFS($G$2:G12,$A$2:A12,$A12,$F$2:F12,"&lt;="&amp;$F12)-1)</f>
        <v>-</v>
      </c>
      <c r="AK12" s="450" t="str">
        <f>IF(P12=0,"-",SUMIFS($P$2:P12,$A$2:A12,$A12,$F$2:F12,"&lt;="&amp;$F12)/SUMIFS($H$2:H12,$A$2:A12,$A12,$F$2:F12,"&lt;="&amp;$F12)-1)</f>
        <v>-</v>
      </c>
      <c r="AL12" s="450" t="str">
        <f>IF(Q12=0,"-",SUMIFS($Q$2:Q12,$A$2:A12,$A12,$F$2:F12,"&lt;="&amp;$F12)/SUMIFS($I$2:I12,$A$2:A12,$A12,$F$2:F12,"&lt;="&amp;$F12)-1)</f>
        <v>-</v>
      </c>
      <c r="AM12" s="450" t="str">
        <f>IFERROR(IF(O12=0,"-",SUMIFS($O$2:O12,$A$2:A12,$A12,$F$2:F12,"&lt;="&amp;$F12)/SUMIFS($K$2:K12,$A$2:A12,$A12,$F$2:F12,"&lt;="&amp;$F12)-1),"")</f>
        <v>-</v>
      </c>
      <c r="AN12" s="450" t="str">
        <f>IFERROR(IF(P12=0,"-",SUMIFS($P$2:P12,$A$2:A12,$A12,$F$2:F12,"&lt;="&amp;$F12)/SUMIFS($L$2:L12,$A$2:A12,$A12,$F$2:F12,"&lt;="&amp;$F12)-1),"")</f>
        <v>-</v>
      </c>
      <c r="AO12" s="450" t="str">
        <f>IFERROR(IF(Q12=0,"-",SUMIFS($Q$2:Q12,$A$2:A12,$A12,$F$2:F12,"&lt;="&amp;$F12)/SUMIFS($M$2:M12,$A$2:A12,$A12,$F$2:F12,"&lt;="&amp;$F12)-1),"")</f>
        <v>-</v>
      </c>
      <c r="AP12" s="86"/>
      <c r="AQ12" s="452">
        <f>'Overall Metrics'!AO17</f>
        <v>0</v>
      </c>
      <c r="AR12" s="450">
        <f t="shared" si="19"/>
        <v>0</v>
      </c>
      <c r="AS12" s="453" t="str">
        <f>IFERROR(IF(R13=0,"-",AVERAGEIFS($AQ$2:AQ12,$A$2:A12,$A12,$F$2:F12,"&lt;="&amp;$F12)-AVERAGEIFS($AP$2:AP12,$A$2:A12,$A12,$F$2:F12,"&lt;="&amp;$F12)),"")</f>
        <v>-</v>
      </c>
      <c r="AT12" s="390" t="str">
        <f>IFERROR(IF(R13=0,"-",AVERAGEIFS($AQ$2:AQ12,$A$2:A12,A12,$C$2:C12,C12)-AVERAGEIFS($AP$2:AP12,$A$2:A12,A12,$C$2:C12,C12)),"")</f>
        <v>-</v>
      </c>
      <c r="AU12" s="79"/>
      <c r="AV12" s="452">
        <f>'Overall Metrics'!AS17</f>
        <v>0</v>
      </c>
      <c r="AW12" s="450" t="str">
        <f t="shared" si="20"/>
        <v/>
      </c>
      <c r="AX12" s="453" t="str">
        <f>IFERROR(IF(R16=0,"-",AVERAGEIFS($AV$2:AV12,$A$2:A12,$A12,$F$2:F12,"&lt;="&amp;$F12)-AVERAGEIFS($AU$2:AU12,$A$2:A12,$A12,$F$2:F12,"&lt;="&amp;$F12)),"")</f>
        <v>-</v>
      </c>
      <c r="AY12" s="453" t="str">
        <f>IFERROR(IF(R16=0,"-",AVERAGEIFS($AV$2:AV12,$A$2:A12,A12,$C$2:C12,C12)-AVERAGEIFS($AU$2:AU12,$A$2:A12,A12,$C$2:C12,C12)),"")</f>
        <v>-</v>
      </c>
      <c r="AZ12" s="103"/>
      <c r="BA12" s="449">
        <f>'Glass Metrics'!AC17</f>
        <v>0</v>
      </c>
      <c r="BB12" s="450" t="str">
        <f t="shared" si="21"/>
        <v/>
      </c>
      <c r="BC12" s="450" t="str">
        <f>IFERROR(IF(R12=0,"-",AVERAGEIFS($BA$2:BA12,$A$2:A12,$A12,$F$2:F12,"&lt;="&amp;$F12)/AVERAGEIFS($AZ$2:AZ12,$A$2:A12,$A12,$F$2:F12,"&lt;="&amp;$F12)-1),"")</f>
        <v>-</v>
      </c>
      <c r="BD12" s="269" t="str">
        <f>IFERROR(IF(R12=0,"-",AVERAGEIFS($BA$2:BA12,$A$2:A12,A12,$C$2:C12,C12)/AVERAGEIFS($AZ$2:AZ12,$A$2:A12,A12,$C$2:C12,C12)-1),"")</f>
        <v>-</v>
      </c>
    </row>
    <row r="13" spans="1:56" ht="16.350000000000001" customHeight="1">
      <c r="A13" s="175">
        <f t="shared" si="0"/>
        <v>2021</v>
      </c>
      <c r="B13" s="447" t="str">
        <f t="shared" si="1"/>
        <v>12</v>
      </c>
      <c r="C13" s="447" t="str">
        <f t="array" ref="C13">_xlfn.IFS(_xlfn.NUMBERVALUE(B13)&lt;=13,"Q1",AND(_xlfn.NUMBERVALUE(B13)&gt;13,_xlfn.NUMBERVALUE(B13)&lt;=26),"Q2", AND(_xlfn.NUMBERVALUE(B13)&gt;26,_xlfn.NUMBERVALUE(B13)&lt;=39),"Q3",_xlfn.NUMBERVALUE(B13)&gt;39,"Q4")</f>
        <v>Q1</v>
      </c>
      <c r="D13" s="448">
        <f t="shared" si="22"/>
        <v>43939</v>
      </c>
      <c r="E13" s="448">
        <f t="shared" si="2"/>
        <v>43945</v>
      </c>
      <c r="F13" s="79">
        <v>202012</v>
      </c>
      <c r="G13" s="103"/>
      <c r="H13" s="429"/>
      <c r="I13" s="429"/>
      <c r="J13" s="214">
        <f t="shared" si="3"/>
        <v>0</v>
      </c>
      <c r="K13" s="429"/>
      <c r="L13" s="429"/>
      <c r="M13" s="429"/>
      <c r="N13" s="214">
        <f t="shared" si="4"/>
        <v>0</v>
      </c>
      <c r="O13" s="449">
        <f>'Overall Metrics'!L18</f>
        <v>0</v>
      </c>
      <c r="P13" s="449">
        <f>'Overall Metrics'!M18</f>
        <v>0</v>
      </c>
      <c r="Q13" s="449">
        <f>'Overall Metrics'!N18</f>
        <v>0</v>
      </c>
      <c r="R13" s="449">
        <f t="shared" si="5"/>
        <v>0</v>
      </c>
      <c r="S13" s="180">
        <f t="shared" si="6"/>
        <v>0</v>
      </c>
      <c r="T13" s="449">
        <f t="shared" si="7"/>
        <v>0</v>
      </c>
      <c r="U13" s="449">
        <f t="shared" si="8"/>
        <v>0</v>
      </c>
      <c r="V13" s="450" t="str">
        <f t="shared" si="9"/>
        <v/>
      </c>
      <c r="W13" s="450" t="str">
        <f>IF(R13=0,"-",SUMIFS($R$2:R13,$A$2:A13,A13,$C$2:C13,C13)/SUMIFS($J$2:J13,$A$2:A13,A13,$C$2:C13,C13)-1)</f>
        <v>-</v>
      </c>
      <c r="X13" s="450" t="str">
        <f t="shared" si="10"/>
        <v/>
      </c>
      <c r="Y13" s="450" t="str">
        <f>IFERROR(IF(R13=0,"-",SUMIFS($R$2:R13,$A$2:A13,A13,$C$2:C13,C13)/SUMIFS($N$2:N13,$A$2:A13,A13,$C$2:C13,C13)-1),"")</f>
        <v>-</v>
      </c>
      <c r="Z13" s="269" t="str">
        <f>IF(R13=0,"",(S13/VLOOKUP(_xlfn.NUMBERVALUE(_xlfn.CONCAT(LEFT(F13,4),52)),$F$2:T220,COLUMNS($F$2:T220),FALSE)))</f>
        <v/>
      </c>
      <c r="AA13" s="269" t="str">
        <f>IFERROR(IF(R13=0,"",(S13/VLOOKUP(_xlfn.NUMBERVALUE(_xlfn.CONCAT(LEFT(F13,4),52)),$F$2:U220,COLUMNS($F$2:U220),FALSE))),"")</f>
        <v/>
      </c>
      <c r="AB13" s="268" t="str">
        <f t="shared" si="11"/>
        <v/>
      </c>
      <c r="AC13" s="450" t="str">
        <f t="shared" si="12"/>
        <v/>
      </c>
      <c r="AD13" s="450" t="str">
        <f t="shared" si="13"/>
        <v/>
      </c>
      <c r="AE13" s="269" t="str">
        <f t="shared" si="14"/>
        <v/>
      </c>
      <c r="AF13" s="268" t="str">
        <f t="shared" si="15"/>
        <v/>
      </c>
      <c r="AG13" s="450" t="str">
        <f t="shared" si="16"/>
        <v/>
      </c>
      <c r="AH13" s="450" t="str">
        <f t="shared" si="17"/>
        <v/>
      </c>
      <c r="AI13" s="269" t="str">
        <f t="shared" si="18"/>
        <v/>
      </c>
      <c r="AJ13" s="450" t="str">
        <f>IF(O13=0,"-",SUMIFS($O$2:O13,$A$2:A13,$A13,$F$2:F13,"&lt;="&amp;$F13)/SUMIFS($G$2:G13,$A$2:A13,$A13,$F$2:F13,"&lt;="&amp;$F13)-1)</f>
        <v>-</v>
      </c>
      <c r="AK13" s="450" t="str">
        <f>IF(P13=0,"-",SUMIFS($P$2:P13,$A$2:A13,$A13,$F$2:F13,"&lt;="&amp;$F13)/SUMIFS($H$2:H13,$A$2:A13,$A13,$F$2:F13,"&lt;="&amp;$F13)-1)</f>
        <v>-</v>
      </c>
      <c r="AL13" s="450" t="str">
        <f>IF(Q13=0,"-",SUMIFS($Q$2:Q13,$A$2:A13,$A13,$F$2:F13,"&lt;="&amp;$F13)/SUMIFS($I$2:I13,$A$2:A13,$A13,$F$2:F13,"&lt;="&amp;$F13)-1)</f>
        <v>-</v>
      </c>
      <c r="AM13" s="450" t="str">
        <f>IFERROR(IF(O13=0,"-",SUMIFS($O$2:O13,$A$2:A13,$A13,$F$2:F13,"&lt;="&amp;$F13)/SUMIFS($K$2:K13,$A$2:A13,$A13,$F$2:F13,"&lt;="&amp;$F13)-1),"")</f>
        <v>-</v>
      </c>
      <c r="AN13" s="450" t="str">
        <f>IFERROR(IF(P13=0,"-",SUMIFS($P$2:P13,$A$2:A13,$A13,$F$2:F13,"&lt;="&amp;$F13)/SUMIFS($L$2:L13,$A$2:A13,$A13,$F$2:F13,"&lt;="&amp;$F13)-1),"")</f>
        <v>-</v>
      </c>
      <c r="AO13" s="450" t="str">
        <f>IFERROR(IF(Q13=0,"-",SUMIFS($Q$2:Q13,$A$2:A13,$A13,$F$2:F13,"&lt;="&amp;$F13)/SUMIFS($M$2:M13,$A$2:A13,$A13,$F$2:F13,"&lt;="&amp;$F13)-1),"")</f>
        <v>-</v>
      </c>
      <c r="AP13" s="86"/>
      <c r="AQ13" s="452">
        <f>'Overall Metrics'!AO18</f>
        <v>0</v>
      </c>
      <c r="AR13" s="450">
        <f t="shared" si="19"/>
        <v>0</v>
      </c>
      <c r="AS13" s="453" t="str">
        <f>IFERROR(IF(R14=0,"-",AVERAGEIFS($AQ$2:AQ13,$A$2:A13,$A13,$F$2:F13,"&lt;="&amp;$F13)-AVERAGEIFS($AP$2:AP13,$A$2:A13,$A13,$F$2:F13,"&lt;="&amp;$F13)),"")</f>
        <v>-</v>
      </c>
      <c r="AT13" s="390" t="str">
        <f>IFERROR(IF(R14=0,"-",AVERAGEIFS($AQ$2:AQ13,$A$2:A13,A13,$C$2:C13,C13)-AVERAGEIFS($AP$2:AP13,$A$2:A13,A13,$C$2:C13,C13)),"")</f>
        <v>-</v>
      </c>
      <c r="AU13" s="79"/>
      <c r="AV13" s="452">
        <f>'Overall Metrics'!AS18</f>
        <v>0</v>
      </c>
      <c r="AW13" s="450" t="str">
        <f t="shared" si="20"/>
        <v/>
      </c>
      <c r="AX13" s="453" t="str">
        <f>IFERROR(IF(R17=0,"-",AVERAGEIFS($AV$2:AV13,$A$2:A13,$A13,$F$2:F13,"&lt;="&amp;$F13)-AVERAGEIFS($AU$2:AU13,$A$2:A13,$A13,$F$2:F13,"&lt;="&amp;$F13)),"")</f>
        <v>-</v>
      </c>
      <c r="AY13" s="453" t="str">
        <f>IFERROR(IF(R17=0,"-",AVERAGEIFS($AV$2:AV13,$A$2:A13,A13,$C$2:C13,C13)-AVERAGEIFS($AU$2:AU13,$A$2:A13,A13,$C$2:C13,C13)),"")</f>
        <v>-</v>
      </c>
      <c r="AZ13" s="103"/>
      <c r="BA13" s="449">
        <f>'Glass Metrics'!AC18</f>
        <v>0</v>
      </c>
      <c r="BB13" s="450" t="str">
        <f t="shared" si="21"/>
        <v/>
      </c>
      <c r="BC13" s="450" t="str">
        <f>IFERROR(IF(R13=0,"-",AVERAGEIFS($BA$2:BA13,$A$2:A13,$A13,$F$2:F13,"&lt;="&amp;$F13)/AVERAGEIFS($AZ$2:AZ13,$A$2:A13,$A13,$F$2:F13,"&lt;="&amp;$F13)-1),"")</f>
        <v>-</v>
      </c>
      <c r="BD13" s="269" t="str">
        <f>IFERROR(IF(R13=0,"-",AVERAGEIFS($BA$2:BA13,$A$2:A13,A13,$C$2:C13,C13)/AVERAGEIFS($AZ$2:AZ13,$A$2:A13,A13,$C$2:C13,C13)-1),"")</f>
        <v>-</v>
      </c>
    </row>
    <row r="14" spans="1:56" ht="16.350000000000001" customHeight="1">
      <c r="A14" s="175">
        <f t="shared" si="0"/>
        <v>2021</v>
      </c>
      <c r="B14" s="447" t="str">
        <f t="shared" si="1"/>
        <v>13</v>
      </c>
      <c r="C14" s="447" t="str">
        <f t="array" ref="C14">_xlfn.IFS(_xlfn.NUMBERVALUE(B14)&lt;=13,"Q1",AND(_xlfn.NUMBERVALUE(B14)&gt;13,_xlfn.NUMBERVALUE(B14)&lt;=26),"Q2", AND(_xlfn.NUMBERVALUE(B14)&gt;26,_xlfn.NUMBERVALUE(B14)&lt;=39),"Q3",_xlfn.NUMBERVALUE(B14)&gt;39,"Q4")</f>
        <v>Q1</v>
      </c>
      <c r="D14" s="448">
        <f t="shared" si="22"/>
        <v>43946</v>
      </c>
      <c r="E14" s="448">
        <f t="shared" si="2"/>
        <v>43952</v>
      </c>
      <c r="F14" s="79">
        <v>202013</v>
      </c>
      <c r="G14" s="103"/>
      <c r="H14" s="429"/>
      <c r="I14" s="429"/>
      <c r="J14" s="214">
        <f t="shared" si="3"/>
        <v>0</v>
      </c>
      <c r="K14" s="429"/>
      <c r="L14" s="429"/>
      <c r="M14" s="429"/>
      <c r="N14" s="214">
        <f t="shared" si="4"/>
        <v>0</v>
      </c>
      <c r="O14" s="449">
        <f>'Overall Metrics'!L19</f>
        <v>0</v>
      </c>
      <c r="P14" s="449">
        <f>'Overall Metrics'!M19</f>
        <v>0</v>
      </c>
      <c r="Q14" s="449">
        <f>'Overall Metrics'!N19</f>
        <v>0</v>
      </c>
      <c r="R14" s="449">
        <f t="shared" si="5"/>
        <v>0</v>
      </c>
      <c r="S14" s="180">
        <f t="shared" si="6"/>
        <v>0</v>
      </c>
      <c r="T14" s="449">
        <f t="shared" si="7"/>
        <v>0</v>
      </c>
      <c r="U14" s="449">
        <f t="shared" si="8"/>
        <v>0</v>
      </c>
      <c r="V14" s="450" t="str">
        <f t="shared" si="9"/>
        <v/>
      </c>
      <c r="W14" s="450" t="str">
        <f>IF(R14=0,"-",SUMIFS($R$2:R14,$A$2:A14,A14,$C$2:C14,C14)/SUMIFS($J$2:J14,$A$2:A14,A14,$C$2:C14,C14)-1)</f>
        <v>-</v>
      </c>
      <c r="X14" s="450" t="str">
        <f t="shared" si="10"/>
        <v/>
      </c>
      <c r="Y14" s="450" t="str">
        <f>IFERROR(IF(R14=0,"-",SUMIFS($R$2:R14,$A$2:A14,A14,$C$2:C14,C14)/SUMIFS($N$2:N14,$A$2:A14,A14,$C$2:C14,C14)-1),"")</f>
        <v>-</v>
      </c>
      <c r="Z14" s="269" t="str">
        <f>IF(R14=0,"",(S14/VLOOKUP(_xlfn.NUMBERVALUE(_xlfn.CONCAT(LEFT(F14,4),52)),$F$2:T221,COLUMNS($F$2:T221),FALSE)))</f>
        <v/>
      </c>
      <c r="AA14" s="269" t="str">
        <f>IFERROR(IF(R14=0,"",(S14/VLOOKUP(_xlfn.NUMBERVALUE(_xlfn.CONCAT(LEFT(F14,4),52)),$F$2:U221,COLUMNS($F$2:U221),FALSE))),"")</f>
        <v/>
      </c>
      <c r="AB14" s="268" t="str">
        <f t="shared" si="11"/>
        <v/>
      </c>
      <c r="AC14" s="450" t="str">
        <f t="shared" si="12"/>
        <v/>
      </c>
      <c r="AD14" s="450" t="str">
        <f t="shared" si="13"/>
        <v/>
      </c>
      <c r="AE14" s="269" t="str">
        <f t="shared" si="14"/>
        <v/>
      </c>
      <c r="AF14" s="268" t="str">
        <f t="shared" si="15"/>
        <v/>
      </c>
      <c r="AG14" s="450" t="str">
        <f t="shared" si="16"/>
        <v/>
      </c>
      <c r="AH14" s="450" t="str">
        <f t="shared" si="17"/>
        <v/>
      </c>
      <c r="AI14" s="269" t="str">
        <f t="shared" si="18"/>
        <v/>
      </c>
      <c r="AJ14" s="450" t="str">
        <f>IF(O14=0,"-",SUMIFS($O$2:O14,$A$2:A14,$A14,$F$2:F14,"&lt;="&amp;$F14)/SUMIFS($G$2:G14,$A$2:A14,$A14,$F$2:F14,"&lt;="&amp;$F14)-1)</f>
        <v>-</v>
      </c>
      <c r="AK14" s="450" t="str">
        <f>IF(P14=0,"-",SUMIFS($P$2:P14,$A$2:A14,$A14,$F$2:F14,"&lt;="&amp;$F14)/SUMIFS($H$2:H14,$A$2:A14,$A14,$F$2:F14,"&lt;="&amp;$F14)-1)</f>
        <v>-</v>
      </c>
      <c r="AL14" s="450" t="str">
        <f>IF(Q14=0,"-",SUMIFS($Q$2:Q14,$A$2:A14,$A14,$F$2:F14,"&lt;="&amp;$F14)/SUMIFS($I$2:I14,$A$2:A14,$A14,$F$2:F14,"&lt;="&amp;$F14)-1)</f>
        <v>-</v>
      </c>
      <c r="AM14" s="450" t="str">
        <f>IFERROR(IF(O14=0,"-",SUMIFS($O$2:O14,$A$2:A14,$A14,$F$2:F14,"&lt;="&amp;$F14)/SUMIFS($K$2:K14,$A$2:A14,$A14,$F$2:F14,"&lt;="&amp;$F14)-1),"")</f>
        <v>-</v>
      </c>
      <c r="AN14" s="450" t="str">
        <f>IFERROR(IF(P14=0,"-",SUMIFS($P$2:P14,$A$2:A14,$A14,$F$2:F14,"&lt;="&amp;$F14)/SUMIFS($L$2:L14,$A$2:A14,$A14,$F$2:F14,"&lt;="&amp;$F14)-1),"")</f>
        <v>-</v>
      </c>
      <c r="AO14" s="450" t="str">
        <f>IFERROR(IF(Q14=0,"-",SUMIFS($Q$2:Q14,$A$2:A14,$A14,$F$2:F14,"&lt;="&amp;$F14)/SUMIFS($M$2:M14,$A$2:A14,$A14,$F$2:F14,"&lt;="&amp;$F14)-1),"")</f>
        <v>-</v>
      </c>
      <c r="AP14" s="86"/>
      <c r="AQ14" s="452">
        <f>'Overall Metrics'!AO19</f>
        <v>0</v>
      </c>
      <c r="AR14" s="450">
        <f t="shared" si="19"/>
        <v>0</v>
      </c>
      <c r="AS14" s="453" t="str">
        <f>IFERROR(IF(R15=0,"-",AVERAGEIFS($AQ$2:AQ14,$A$2:A14,$A14,$F$2:F14,"&lt;="&amp;$F14)-AVERAGEIFS($AP$2:AP14,$A$2:A14,$A14,$F$2:F14,"&lt;="&amp;$F14)),"")</f>
        <v>-</v>
      </c>
      <c r="AT14" s="390" t="str">
        <f>IFERROR(IF(R15=0,"-",AVERAGEIFS($AQ$2:AQ14,$A$2:A14,A14,$C$2:C14,C14)-AVERAGEIFS($AP$2:AP14,$A$2:A14,A14,$C$2:C14,C14)),"")</f>
        <v>-</v>
      </c>
      <c r="AU14" s="79"/>
      <c r="AV14" s="452">
        <f>'Overall Metrics'!AS19</f>
        <v>0</v>
      </c>
      <c r="AW14" s="450" t="str">
        <f t="shared" si="20"/>
        <v/>
      </c>
      <c r="AX14" s="453" t="str">
        <f>IFERROR(IF(R18=0,"-",AVERAGEIFS($AV$2:AV14,$A$2:A14,$A14,$F$2:F14,"&lt;="&amp;$F14)-AVERAGEIFS($AU$2:AU14,$A$2:A14,$A14,$F$2:F14,"&lt;="&amp;$F14)),"")</f>
        <v>-</v>
      </c>
      <c r="AY14" s="453" t="str">
        <f>IFERROR(IF(R18=0,"-",AVERAGEIFS($AV$2:AV14,$A$2:A14,A14,$C$2:C14,C14)-AVERAGEIFS($AU$2:AU14,$A$2:A14,A14,$C$2:C14,C14)),"")</f>
        <v>-</v>
      </c>
      <c r="AZ14" s="103"/>
      <c r="BA14" s="449">
        <f>'Glass Metrics'!AC19</f>
        <v>0</v>
      </c>
      <c r="BB14" s="450" t="str">
        <f t="shared" si="21"/>
        <v/>
      </c>
      <c r="BC14" s="450" t="str">
        <f>IFERROR(IF(R14=0,"-",AVERAGEIFS($BA$2:BA14,$A$2:A14,$A14,$F$2:F14,"&lt;="&amp;$F14)/AVERAGEIFS($AZ$2:AZ14,$A$2:A14,$A14,$F$2:F14,"&lt;="&amp;$F14)-1),"")</f>
        <v>-</v>
      </c>
      <c r="BD14" s="269" t="str">
        <f>IFERROR(IF(R14=0,"-",AVERAGEIFS($BA$2:BA14,$A$2:A14,A14,$C$2:C14,C14)/AVERAGEIFS($AZ$2:AZ14,$A$2:A14,A14,$C$2:C14,C14)-1),"")</f>
        <v>-</v>
      </c>
    </row>
    <row r="15" spans="1:56" ht="16.350000000000001" customHeight="1">
      <c r="A15" s="175">
        <f t="shared" si="0"/>
        <v>2021</v>
      </c>
      <c r="B15" s="447" t="str">
        <f t="shared" si="1"/>
        <v>14</v>
      </c>
      <c r="C15" s="447" t="str">
        <f t="array" ref="C15">_xlfn.IFS(_xlfn.NUMBERVALUE(B15)&lt;=13,"Q1",AND(_xlfn.NUMBERVALUE(B15)&gt;13,_xlfn.NUMBERVALUE(B15)&lt;=26),"Q2", AND(_xlfn.NUMBERVALUE(B15)&gt;26,_xlfn.NUMBERVALUE(B15)&lt;=39),"Q3",_xlfn.NUMBERVALUE(B15)&gt;39,"Q4")</f>
        <v>Q2</v>
      </c>
      <c r="D15" s="448">
        <f t="shared" si="22"/>
        <v>43953</v>
      </c>
      <c r="E15" s="448">
        <f t="shared" si="2"/>
        <v>43959</v>
      </c>
      <c r="F15" s="79">
        <v>202014</v>
      </c>
      <c r="G15" s="103"/>
      <c r="H15" s="429"/>
      <c r="I15" s="429"/>
      <c r="J15" s="214">
        <f t="shared" si="3"/>
        <v>0</v>
      </c>
      <c r="K15" s="429"/>
      <c r="L15" s="429"/>
      <c r="M15" s="429"/>
      <c r="N15" s="214">
        <f t="shared" si="4"/>
        <v>0</v>
      </c>
      <c r="O15" s="449">
        <f>'Overall Metrics'!L20</f>
        <v>0</v>
      </c>
      <c r="P15" s="449">
        <f>'Overall Metrics'!M20</f>
        <v>0</v>
      </c>
      <c r="Q15" s="449">
        <f>'Overall Metrics'!N20</f>
        <v>0</v>
      </c>
      <c r="R15" s="449">
        <f t="shared" si="5"/>
        <v>0</v>
      </c>
      <c r="S15" s="180">
        <f t="shared" si="6"/>
        <v>0</v>
      </c>
      <c r="T15" s="449">
        <f t="shared" si="7"/>
        <v>0</v>
      </c>
      <c r="U15" s="449">
        <f t="shared" si="8"/>
        <v>0</v>
      </c>
      <c r="V15" s="450" t="str">
        <f t="shared" si="9"/>
        <v/>
      </c>
      <c r="W15" s="450" t="str">
        <f>IF(R15=0,"-",SUMIFS($R$2:R15,$A$2:A15,A15,$C$2:C15,C15)/SUMIFS($J$2:J15,$A$2:A15,A15,$C$2:C15,C15)-1)</f>
        <v>-</v>
      </c>
      <c r="X15" s="450" t="str">
        <f t="shared" si="10"/>
        <v/>
      </c>
      <c r="Y15" s="450" t="str">
        <f>IFERROR(IF(R15=0,"-",SUMIFS($R$2:R15,$A$2:A15,A15,$C$2:C15,C15)/SUMIFS($N$2:N15,$A$2:A15,A15,$C$2:C15,C15)-1),"")</f>
        <v>-</v>
      </c>
      <c r="Z15" s="269" t="str">
        <f>IF(R15=0,"",(S15/VLOOKUP(_xlfn.NUMBERVALUE(_xlfn.CONCAT(LEFT(F15,4),52)),$F$2:T222,COLUMNS($F$2:T222),FALSE)))</f>
        <v/>
      </c>
      <c r="AA15" s="269" t="str">
        <f>IFERROR(IF(R15=0,"",(S15/VLOOKUP(_xlfn.NUMBERVALUE(_xlfn.CONCAT(LEFT(F15,4),52)),$F$2:U222,COLUMNS($F$2:U222),FALSE))),"")</f>
        <v/>
      </c>
      <c r="AB15" s="268" t="str">
        <f t="shared" si="11"/>
        <v/>
      </c>
      <c r="AC15" s="450" t="str">
        <f t="shared" si="12"/>
        <v/>
      </c>
      <c r="AD15" s="450" t="str">
        <f t="shared" si="13"/>
        <v/>
      </c>
      <c r="AE15" s="269" t="str">
        <f t="shared" si="14"/>
        <v/>
      </c>
      <c r="AF15" s="268" t="str">
        <f t="shared" si="15"/>
        <v/>
      </c>
      <c r="AG15" s="450" t="str">
        <f t="shared" si="16"/>
        <v/>
      </c>
      <c r="AH15" s="450" t="str">
        <f t="shared" si="17"/>
        <v/>
      </c>
      <c r="AI15" s="269" t="str">
        <f t="shared" si="18"/>
        <v/>
      </c>
      <c r="AJ15" s="450" t="str">
        <f>IF(O15=0,"-",SUMIFS($O$2:O15,$A$2:A15,$A15,$F$2:F15,"&lt;="&amp;$F15)/SUMIFS($G$2:G15,$A$2:A15,$A15,$F$2:F15,"&lt;="&amp;$F15)-1)</f>
        <v>-</v>
      </c>
      <c r="AK15" s="450" t="str">
        <f>IF(P15=0,"-",SUMIFS($P$2:P15,$A$2:A15,$A15,$F$2:F15,"&lt;="&amp;$F15)/SUMIFS($H$2:H15,$A$2:A15,$A15,$F$2:F15,"&lt;="&amp;$F15)-1)</f>
        <v>-</v>
      </c>
      <c r="AL15" s="450" t="str">
        <f>IF(Q15=0,"-",SUMIFS($Q$2:Q15,$A$2:A15,$A15,$F$2:F15,"&lt;="&amp;$F15)/SUMIFS($I$2:I15,$A$2:A15,$A15,$F$2:F15,"&lt;="&amp;$F15)-1)</f>
        <v>-</v>
      </c>
      <c r="AM15" s="450" t="str">
        <f>IFERROR(IF(O15=0,"-",SUMIFS($O$2:O15,$A$2:A15,$A15,$F$2:F15,"&lt;="&amp;$F15)/SUMIFS($K$2:K15,$A$2:A15,$A15,$F$2:F15,"&lt;="&amp;$F15)-1),"")</f>
        <v>-</v>
      </c>
      <c r="AN15" s="450" t="str">
        <f>IFERROR(IF(P15=0,"-",SUMIFS($P$2:P15,$A$2:A15,$A15,$F$2:F15,"&lt;="&amp;$F15)/SUMIFS($L$2:L15,$A$2:A15,$A15,$F$2:F15,"&lt;="&amp;$F15)-1),"")</f>
        <v>-</v>
      </c>
      <c r="AO15" s="450" t="str">
        <f>IFERROR(IF(Q15=0,"-",SUMIFS($Q$2:Q15,$A$2:A15,$A15,$F$2:F15,"&lt;="&amp;$F15)/SUMIFS($M$2:M15,$A$2:A15,$A15,$F$2:F15,"&lt;="&amp;$F15)-1),"")</f>
        <v>-</v>
      </c>
      <c r="AP15" s="86"/>
      <c r="AQ15" s="452">
        <f>'Overall Metrics'!AO20</f>
        <v>0</v>
      </c>
      <c r="AR15" s="450">
        <f t="shared" si="19"/>
        <v>0</v>
      </c>
      <c r="AS15" s="453" t="str">
        <f>IFERROR(IF(R16=0,"-",AVERAGEIFS($AQ$2:AQ15,$A$2:A15,$A15,$F$2:F15,"&lt;="&amp;$F15)-AVERAGEIFS($AP$2:AP15,$A$2:A15,$A15,$F$2:F15,"&lt;="&amp;$F15)),"")</f>
        <v>-</v>
      </c>
      <c r="AT15" s="390" t="str">
        <f>IFERROR(IF(R16=0,"-",AVERAGEIFS($AQ$2:AQ15,$A$2:A15,A15,$C$2:C15,C15)-AVERAGEIFS($AP$2:AP15,$A$2:A15,A15,$C$2:C15,C15)),"")</f>
        <v>-</v>
      </c>
      <c r="AU15" s="79"/>
      <c r="AV15" s="452">
        <f>'Overall Metrics'!AS20</f>
        <v>0</v>
      </c>
      <c r="AW15" s="450" t="str">
        <f t="shared" si="20"/>
        <v/>
      </c>
      <c r="AX15" s="453" t="str">
        <f>IFERROR(IF(R19=0,"-",AVERAGEIFS($AV$2:AV15,$A$2:A15,$A15,$F$2:F15,"&lt;="&amp;$F15)-AVERAGEIFS($AU$2:AU15,$A$2:A15,$A15,$F$2:F15,"&lt;="&amp;$F15)),"")</f>
        <v>-</v>
      </c>
      <c r="AY15" s="453" t="str">
        <f>IFERROR(IF(R19=0,"-",AVERAGEIFS($AV$2:AV15,$A$2:A15,A15,$C$2:C15,C15)-AVERAGEIFS($AU$2:AU15,$A$2:A15,A15,$C$2:C15,C15)),"")</f>
        <v>-</v>
      </c>
      <c r="AZ15" s="103"/>
      <c r="BA15" s="449">
        <f>'Glass Metrics'!AC20</f>
        <v>0</v>
      </c>
      <c r="BB15" s="450" t="str">
        <f t="shared" si="21"/>
        <v/>
      </c>
      <c r="BC15" s="450" t="str">
        <f>IFERROR(IF(R15=0,"-",AVERAGEIFS($BA$2:BA15,$A$2:A15,$A15,$F$2:F15,"&lt;="&amp;$F15)/AVERAGEIFS($AZ$2:AZ15,$A$2:A15,$A15,$F$2:F15,"&lt;="&amp;$F15)-1),"")</f>
        <v>-</v>
      </c>
      <c r="BD15" s="269" t="str">
        <f>IFERROR(IF(R15=0,"-",AVERAGEIFS($BA$2:BA15,$A$2:A15,A15,$C$2:C15,C15)/AVERAGEIFS($AZ$2:AZ15,$A$2:A15,A15,$C$2:C15,C15)-1),"")</f>
        <v>-</v>
      </c>
    </row>
    <row r="16" spans="1:56" ht="16.350000000000001" customHeight="1">
      <c r="A16" s="175">
        <f t="shared" si="0"/>
        <v>2021</v>
      </c>
      <c r="B16" s="447" t="str">
        <f t="shared" si="1"/>
        <v>15</v>
      </c>
      <c r="C16" s="447" t="str">
        <f t="array" ref="C16">_xlfn.IFS(_xlfn.NUMBERVALUE(B16)&lt;=13,"Q1",AND(_xlfn.NUMBERVALUE(B16)&gt;13,_xlfn.NUMBERVALUE(B16)&lt;=26),"Q2", AND(_xlfn.NUMBERVALUE(B16)&gt;26,_xlfn.NUMBERVALUE(B16)&lt;=39),"Q3",_xlfn.NUMBERVALUE(B16)&gt;39,"Q4")</f>
        <v>Q2</v>
      </c>
      <c r="D16" s="448">
        <f t="shared" si="22"/>
        <v>43960</v>
      </c>
      <c r="E16" s="448">
        <f t="shared" si="2"/>
        <v>43966</v>
      </c>
      <c r="F16" s="79">
        <v>202015</v>
      </c>
      <c r="G16" s="103"/>
      <c r="H16" s="429"/>
      <c r="I16" s="429"/>
      <c r="J16" s="214">
        <f t="shared" si="3"/>
        <v>0</v>
      </c>
      <c r="K16" s="429"/>
      <c r="L16" s="429"/>
      <c r="M16" s="429"/>
      <c r="N16" s="214">
        <f t="shared" si="4"/>
        <v>0</v>
      </c>
      <c r="O16" s="449">
        <f>'Overall Metrics'!L21</f>
        <v>0</v>
      </c>
      <c r="P16" s="449">
        <f>'Overall Metrics'!M21</f>
        <v>0</v>
      </c>
      <c r="Q16" s="449">
        <f>'Overall Metrics'!N21</f>
        <v>0</v>
      </c>
      <c r="R16" s="449">
        <f t="shared" si="5"/>
        <v>0</v>
      </c>
      <c r="S16" s="180">
        <f t="shared" si="6"/>
        <v>0</v>
      </c>
      <c r="T16" s="449">
        <f t="shared" si="7"/>
        <v>0</v>
      </c>
      <c r="U16" s="449">
        <f t="shared" si="8"/>
        <v>0</v>
      </c>
      <c r="V16" s="450" t="str">
        <f t="shared" si="9"/>
        <v/>
      </c>
      <c r="W16" s="450" t="str">
        <f>IF(R16=0,"-",SUMIFS($R$2:R16,$A$2:A16,A16,$C$2:C16,C16)/SUMIFS($J$2:J16,$A$2:A16,A16,$C$2:C16,C16)-1)</f>
        <v>-</v>
      </c>
      <c r="X16" s="450" t="str">
        <f t="shared" si="10"/>
        <v/>
      </c>
      <c r="Y16" s="450" t="str">
        <f>IFERROR(IF(R16=0,"-",SUMIFS($R$2:R16,$A$2:A16,A16,$C$2:C16,C16)/SUMIFS($N$2:N16,$A$2:A16,A16,$C$2:C16,C16)-1),"")</f>
        <v>-</v>
      </c>
      <c r="Z16" s="269" t="str">
        <f>IF(R16=0,"",(S16/VLOOKUP(_xlfn.NUMBERVALUE(_xlfn.CONCAT(LEFT(F16,4),52)),$F$2:T223,COLUMNS($F$2:T223),FALSE)))</f>
        <v/>
      </c>
      <c r="AA16" s="269" t="str">
        <f>IFERROR(IF(R16=0,"",(S16/VLOOKUP(_xlfn.NUMBERVALUE(_xlfn.CONCAT(LEFT(F16,4),52)),$F$2:U223,COLUMNS($F$2:U223),FALSE))),"")</f>
        <v/>
      </c>
      <c r="AB16" s="268" t="str">
        <f t="shared" si="11"/>
        <v/>
      </c>
      <c r="AC16" s="450" t="str">
        <f t="shared" si="12"/>
        <v/>
      </c>
      <c r="AD16" s="450" t="str">
        <f t="shared" si="13"/>
        <v/>
      </c>
      <c r="AE16" s="269" t="str">
        <f t="shared" si="14"/>
        <v/>
      </c>
      <c r="AF16" s="268" t="str">
        <f t="shared" si="15"/>
        <v/>
      </c>
      <c r="AG16" s="450" t="str">
        <f t="shared" si="16"/>
        <v/>
      </c>
      <c r="AH16" s="450" t="str">
        <f t="shared" si="17"/>
        <v/>
      </c>
      <c r="AI16" s="269" t="str">
        <f t="shared" si="18"/>
        <v/>
      </c>
      <c r="AJ16" s="450" t="str">
        <f>IF(O16=0,"-",SUMIFS($O$2:O16,$A$2:A16,$A16,$F$2:F16,"&lt;="&amp;$F16)/SUMIFS($G$2:G16,$A$2:A16,$A16,$F$2:F16,"&lt;="&amp;$F16)-1)</f>
        <v>-</v>
      </c>
      <c r="AK16" s="450" t="str">
        <f>IF(P16=0,"-",SUMIFS($P$2:P16,$A$2:A16,$A16,$F$2:F16,"&lt;="&amp;$F16)/SUMIFS($H$2:H16,$A$2:A16,$A16,$F$2:F16,"&lt;="&amp;$F16)-1)</f>
        <v>-</v>
      </c>
      <c r="AL16" s="450" t="str">
        <f>IF(Q16=0,"-",SUMIFS($Q$2:Q16,$A$2:A16,$A16,$F$2:F16,"&lt;="&amp;$F16)/SUMIFS($I$2:I16,$A$2:A16,$A16,$F$2:F16,"&lt;="&amp;$F16)-1)</f>
        <v>-</v>
      </c>
      <c r="AM16" s="450" t="str">
        <f>IFERROR(IF(O16=0,"-",SUMIFS($O$2:O16,$A$2:A16,$A16,$F$2:F16,"&lt;="&amp;$F16)/SUMIFS($K$2:K16,$A$2:A16,$A16,$F$2:F16,"&lt;="&amp;$F16)-1),"")</f>
        <v>-</v>
      </c>
      <c r="AN16" s="450" t="str">
        <f>IFERROR(IF(P16=0,"-",SUMIFS($P$2:P16,$A$2:A16,$A16,$F$2:F16,"&lt;="&amp;$F16)/SUMIFS($L$2:L16,$A$2:A16,$A16,$F$2:F16,"&lt;="&amp;$F16)-1),"")</f>
        <v>-</v>
      </c>
      <c r="AO16" s="450" t="str">
        <f>IFERROR(IF(Q16=0,"-",SUMIFS($Q$2:Q16,$A$2:A16,$A16,$F$2:F16,"&lt;="&amp;$F16)/SUMIFS($M$2:M16,$A$2:A16,$A16,$F$2:F16,"&lt;="&amp;$F16)-1),"")</f>
        <v>-</v>
      </c>
      <c r="AP16" s="86"/>
      <c r="AQ16" s="452">
        <f>'Overall Metrics'!AO21</f>
        <v>0</v>
      </c>
      <c r="AR16" s="450">
        <f t="shared" si="19"/>
        <v>0</v>
      </c>
      <c r="AS16" s="453" t="str">
        <f>IFERROR(IF(R17=0,"-",AVERAGEIFS($AQ$2:AQ16,$A$2:A16,$A16,$F$2:F16,"&lt;="&amp;$F16)-AVERAGEIFS($AP$2:AP16,$A$2:A16,$A16,$F$2:F16,"&lt;="&amp;$F16)),"")</f>
        <v>-</v>
      </c>
      <c r="AT16" s="390" t="str">
        <f>IFERROR(IF(R17=0,"-",AVERAGEIFS($AQ$2:AQ16,$A$2:A16,A16,$C$2:C16,C16)-AVERAGEIFS($AP$2:AP16,$A$2:A16,A16,$C$2:C16,C16)),"")</f>
        <v>-</v>
      </c>
      <c r="AU16" s="79"/>
      <c r="AV16" s="452">
        <f>'Overall Metrics'!AS21</f>
        <v>0</v>
      </c>
      <c r="AW16" s="450" t="str">
        <f t="shared" si="20"/>
        <v/>
      </c>
      <c r="AX16" s="453" t="str">
        <f>IFERROR(IF(R20=0,"-",AVERAGEIFS($AV$2:AV16,$A$2:A16,$A16,$F$2:F16,"&lt;="&amp;$F16)-AVERAGEIFS($AU$2:AU16,$A$2:A16,$A16,$F$2:F16,"&lt;="&amp;$F16)),"")</f>
        <v>-</v>
      </c>
      <c r="AY16" s="453" t="str">
        <f>IFERROR(IF(R20=0,"-",AVERAGEIFS($AV$2:AV16,$A$2:A16,A16,$C$2:C16,C16)-AVERAGEIFS($AU$2:AU16,$A$2:A16,A16,$C$2:C16,C16)),"")</f>
        <v>-</v>
      </c>
      <c r="AZ16" s="103"/>
      <c r="BA16" s="449">
        <f>'Glass Metrics'!AC21</f>
        <v>0</v>
      </c>
      <c r="BB16" s="450" t="str">
        <f t="shared" si="21"/>
        <v/>
      </c>
      <c r="BC16" s="450" t="str">
        <f>IFERROR(IF(R16=0,"-",AVERAGEIFS($BA$2:BA16,$A$2:A16,$A16,$F$2:F16,"&lt;="&amp;$F16)/AVERAGEIFS($AZ$2:AZ16,$A$2:A16,$A16,$F$2:F16,"&lt;="&amp;$F16)-1),"")</f>
        <v>-</v>
      </c>
      <c r="BD16" s="269" t="str">
        <f>IFERROR(IF(R16=0,"-",AVERAGEIFS($BA$2:BA16,$A$2:A16,A16,$C$2:C16,C16)/AVERAGEIFS($AZ$2:AZ16,$A$2:A16,A16,$C$2:C16,C16)-1),"")</f>
        <v>-</v>
      </c>
    </row>
    <row r="17" spans="1:56" ht="16.350000000000001" customHeight="1">
      <c r="A17" s="175">
        <f t="shared" si="0"/>
        <v>2021</v>
      </c>
      <c r="B17" s="447" t="str">
        <f t="shared" si="1"/>
        <v>16</v>
      </c>
      <c r="C17" s="447" t="str">
        <f t="array" ref="C17">_xlfn.IFS(_xlfn.NUMBERVALUE(B17)&lt;=13,"Q1",AND(_xlfn.NUMBERVALUE(B17)&gt;13,_xlfn.NUMBERVALUE(B17)&lt;=26),"Q2", AND(_xlfn.NUMBERVALUE(B17)&gt;26,_xlfn.NUMBERVALUE(B17)&lt;=39),"Q3",_xlfn.NUMBERVALUE(B17)&gt;39,"Q4")</f>
        <v>Q2</v>
      </c>
      <c r="D17" s="448">
        <f t="shared" si="22"/>
        <v>43967</v>
      </c>
      <c r="E17" s="448">
        <f t="shared" si="2"/>
        <v>43973</v>
      </c>
      <c r="F17" s="79">
        <v>202016</v>
      </c>
      <c r="G17" s="103"/>
      <c r="H17" s="429"/>
      <c r="I17" s="429"/>
      <c r="J17" s="214">
        <f t="shared" si="3"/>
        <v>0</v>
      </c>
      <c r="K17" s="429"/>
      <c r="L17" s="429"/>
      <c r="M17" s="429"/>
      <c r="N17" s="214">
        <f t="shared" si="4"/>
        <v>0</v>
      </c>
      <c r="O17" s="449">
        <f>'Overall Metrics'!L22</f>
        <v>0</v>
      </c>
      <c r="P17" s="449">
        <f>'Overall Metrics'!M22</f>
        <v>0</v>
      </c>
      <c r="Q17" s="449">
        <f>'Overall Metrics'!N22</f>
        <v>0</v>
      </c>
      <c r="R17" s="449">
        <f t="shared" si="5"/>
        <v>0</v>
      </c>
      <c r="S17" s="180">
        <f t="shared" si="6"/>
        <v>0</v>
      </c>
      <c r="T17" s="449">
        <f t="shared" si="7"/>
        <v>0</v>
      </c>
      <c r="U17" s="449">
        <f t="shared" si="8"/>
        <v>0</v>
      </c>
      <c r="V17" s="450" t="str">
        <f t="shared" si="9"/>
        <v/>
      </c>
      <c r="W17" s="450" t="str">
        <f>IF(R17=0,"-",SUMIFS($R$2:R17,$A$2:A17,A17,$C$2:C17,C17)/SUMIFS($J$2:J17,$A$2:A17,A17,$C$2:C17,C17)-1)</f>
        <v>-</v>
      </c>
      <c r="X17" s="450" t="str">
        <f t="shared" si="10"/>
        <v/>
      </c>
      <c r="Y17" s="450" t="str">
        <f>IFERROR(IF(R17=0,"-",SUMIFS($R$2:R17,$A$2:A17,A17,$C$2:C17,C17)/SUMIFS($N$2:N17,$A$2:A17,A17,$C$2:C17,C17)-1),"")</f>
        <v>-</v>
      </c>
      <c r="Z17" s="269" t="str">
        <f>IF(R17=0,"",(S17/VLOOKUP(_xlfn.NUMBERVALUE(_xlfn.CONCAT(LEFT(F17,4),52)),$F$2:T224,COLUMNS($F$2:T224),FALSE)))</f>
        <v/>
      </c>
      <c r="AA17" s="269" t="str">
        <f>IFERROR(IF(R17=0,"",(S17/VLOOKUP(_xlfn.NUMBERVALUE(_xlfn.CONCAT(LEFT(F17,4),52)),$F$2:U224,COLUMNS($F$2:U224),FALSE))),"")</f>
        <v/>
      </c>
      <c r="AB17" s="268" t="str">
        <f t="shared" si="11"/>
        <v/>
      </c>
      <c r="AC17" s="450" t="str">
        <f t="shared" si="12"/>
        <v/>
      </c>
      <c r="AD17" s="450" t="str">
        <f t="shared" si="13"/>
        <v/>
      </c>
      <c r="AE17" s="269" t="str">
        <f t="shared" si="14"/>
        <v/>
      </c>
      <c r="AF17" s="268" t="str">
        <f t="shared" si="15"/>
        <v/>
      </c>
      <c r="AG17" s="450" t="str">
        <f t="shared" si="16"/>
        <v/>
      </c>
      <c r="AH17" s="450" t="str">
        <f t="shared" si="17"/>
        <v/>
      </c>
      <c r="AI17" s="269" t="str">
        <f t="shared" si="18"/>
        <v/>
      </c>
      <c r="AJ17" s="450" t="str">
        <f>IF(O17=0,"-",SUMIFS($O$2:O17,$A$2:A17,$A17,$F$2:F17,"&lt;="&amp;$F17)/SUMIFS($G$2:G17,$A$2:A17,$A17,$F$2:F17,"&lt;="&amp;$F17)-1)</f>
        <v>-</v>
      </c>
      <c r="AK17" s="450" t="str">
        <f>IF(P17=0,"-",SUMIFS($P$2:P17,$A$2:A17,$A17,$F$2:F17,"&lt;="&amp;$F17)/SUMIFS($H$2:H17,$A$2:A17,$A17,$F$2:F17,"&lt;="&amp;$F17)-1)</f>
        <v>-</v>
      </c>
      <c r="AL17" s="450" t="str">
        <f>IF(Q17=0,"-",SUMIFS($Q$2:Q17,$A$2:A17,$A17,$F$2:F17,"&lt;="&amp;$F17)/SUMIFS($I$2:I17,$A$2:A17,$A17,$F$2:F17,"&lt;="&amp;$F17)-1)</f>
        <v>-</v>
      </c>
      <c r="AM17" s="450" t="str">
        <f>IFERROR(IF(O17=0,"-",SUMIFS($O$2:O17,$A$2:A17,$A17,$F$2:F17,"&lt;="&amp;$F17)/SUMIFS($K$2:K17,$A$2:A17,$A17,$F$2:F17,"&lt;="&amp;$F17)-1),"")</f>
        <v>-</v>
      </c>
      <c r="AN17" s="450" t="str">
        <f>IFERROR(IF(P17=0,"-",SUMIFS($P$2:P17,$A$2:A17,$A17,$F$2:F17,"&lt;="&amp;$F17)/SUMIFS($L$2:L17,$A$2:A17,$A17,$F$2:F17,"&lt;="&amp;$F17)-1),"")</f>
        <v>-</v>
      </c>
      <c r="AO17" s="450" t="str">
        <f>IFERROR(IF(Q17=0,"-",SUMIFS($Q$2:Q17,$A$2:A17,$A17,$F$2:F17,"&lt;="&amp;$F17)/SUMIFS($M$2:M17,$A$2:A17,$A17,$F$2:F17,"&lt;="&amp;$F17)-1),"")</f>
        <v>-</v>
      </c>
      <c r="AP17" s="86"/>
      <c r="AQ17" s="452">
        <f>'Overall Metrics'!AO22</f>
        <v>0</v>
      </c>
      <c r="AR17" s="450">
        <f t="shared" si="19"/>
        <v>0</v>
      </c>
      <c r="AS17" s="453" t="str">
        <f>IFERROR(IF(R18=0,"-",AVERAGEIFS($AQ$2:AQ17,$A$2:A17,$A17,$F$2:F17,"&lt;="&amp;$F17)-AVERAGEIFS($AP$2:AP17,$A$2:A17,$A17,$F$2:F17,"&lt;="&amp;$F17)),"")</f>
        <v>-</v>
      </c>
      <c r="AT17" s="390" t="str">
        <f>IFERROR(IF(R18=0,"-",AVERAGEIFS($AQ$2:AQ17,$A$2:A17,A17,$C$2:C17,C17)-AVERAGEIFS($AP$2:AP17,$A$2:A17,A17,$C$2:C17,C17)),"")</f>
        <v>-</v>
      </c>
      <c r="AU17" s="79"/>
      <c r="AV17" s="452">
        <f>'Overall Metrics'!AS22</f>
        <v>0</v>
      </c>
      <c r="AW17" s="450" t="str">
        <f t="shared" si="20"/>
        <v/>
      </c>
      <c r="AX17" s="453" t="str">
        <f>IFERROR(IF(R21=0,"-",AVERAGEIFS($AV$2:AV17,$A$2:A17,$A17,$F$2:F17,"&lt;="&amp;$F17)-AVERAGEIFS($AU$2:AU17,$A$2:A17,$A17,$F$2:F17,"&lt;="&amp;$F17)),"")</f>
        <v>-</v>
      </c>
      <c r="AY17" s="453" t="str">
        <f>IFERROR(IF(R21=0,"-",AVERAGEIFS($AV$2:AV17,$A$2:A17,A17,$C$2:C17,C17)-AVERAGEIFS($AU$2:AU17,$A$2:A17,A17,$C$2:C17,C17)),"")</f>
        <v>-</v>
      </c>
      <c r="AZ17" s="86"/>
      <c r="BA17" s="449">
        <f>'Glass Metrics'!AC22</f>
        <v>0</v>
      </c>
      <c r="BB17" s="450" t="str">
        <f t="shared" si="21"/>
        <v/>
      </c>
      <c r="BC17" s="450" t="str">
        <f>IFERROR(IF(R17=0,"-",AVERAGEIFS($BA$2:BA17,$A$2:A17,$A17,$F$2:F17,"&lt;="&amp;$F17)/AVERAGEIFS($AZ$2:AZ17,$A$2:A17,$A17,$F$2:F17,"&lt;="&amp;$F17)-1),"")</f>
        <v>-</v>
      </c>
      <c r="BD17" s="269" t="str">
        <f>IFERROR(IF(R17=0,"-",AVERAGEIFS($BA$2:BA17,$A$2:A17,A17,$C$2:C17,C17)/AVERAGEIFS($AZ$2:AZ17,$A$2:A17,A17,$C$2:C17,C17)-1),"")</f>
        <v>-</v>
      </c>
    </row>
    <row r="18" spans="1:56" ht="16.350000000000001" customHeight="1">
      <c r="A18" s="175">
        <f t="shared" si="0"/>
        <v>2021</v>
      </c>
      <c r="B18" s="447" t="str">
        <f t="shared" si="1"/>
        <v>17</v>
      </c>
      <c r="C18" s="447" t="str">
        <f t="array" ref="C18">_xlfn.IFS(_xlfn.NUMBERVALUE(B18)&lt;=13,"Q1",AND(_xlfn.NUMBERVALUE(B18)&gt;13,_xlfn.NUMBERVALUE(B18)&lt;=26),"Q2", AND(_xlfn.NUMBERVALUE(B18)&gt;26,_xlfn.NUMBERVALUE(B18)&lt;=39),"Q3",_xlfn.NUMBERVALUE(B18)&gt;39,"Q4")</f>
        <v>Q2</v>
      </c>
      <c r="D18" s="448">
        <f t="shared" si="22"/>
        <v>43974</v>
      </c>
      <c r="E18" s="448">
        <f t="shared" si="2"/>
        <v>43980</v>
      </c>
      <c r="F18" s="79">
        <v>202017</v>
      </c>
      <c r="G18" s="103"/>
      <c r="H18" s="429"/>
      <c r="I18" s="429"/>
      <c r="J18" s="214">
        <f t="shared" si="3"/>
        <v>0</v>
      </c>
      <c r="K18" s="429"/>
      <c r="L18" s="429"/>
      <c r="M18" s="429"/>
      <c r="N18" s="214">
        <f t="shared" si="4"/>
        <v>0</v>
      </c>
      <c r="O18" s="449">
        <f>'Overall Metrics'!L23</f>
        <v>0</v>
      </c>
      <c r="P18" s="449">
        <f>'Overall Metrics'!M23</f>
        <v>0</v>
      </c>
      <c r="Q18" s="449">
        <f>'Overall Metrics'!N23</f>
        <v>0</v>
      </c>
      <c r="R18" s="449">
        <f t="shared" si="5"/>
        <v>0</v>
      </c>
      <c r="S18" s="180">
        <f t="shared" si="6"/>
        <v>0</v>
      </c>
      <c r="T18" s="449">
        <f t="shared" si="7"/>
        <v>0</v>
      </c>
      <c r="U18" s="449">
        <f t="shared" si="8"/>
        <v>0</v>
      </c>
      <c r="V18" s="450" t="str">
        <f t="shared" si="9"/>
        <v/>
      </c>
      <c r="W18" s="450" t="str">
        <f>IF(R18=0,"-",SUMIFS($R$2:R18,$A$2:A18,A18,$C$2:C18,C18)/SUMIFS($J$2:J18,$A$2:A18,A18,$C$2:C18,C18)-1)</f>
        <v>-</v>
      </c>
      <c r="X18" s="450" t="str">
        <f t="shared" si="10"/>
        <v/>
      </c>
      <c r="Y18" s="450" t="str">
        <f>IFERROR(IF(R18=0,"-",SUMIFS($R$2:R18,$A$2:A18,A18,$C$2:C18,C18)/SUMIFS($N$2:N18,$A$2:A18,A18,$C$2:C18,C18)-1),"")</f>
        <v>-</v>
      </c>
      <c r="Z18" s="269" t="str">
        <f>IF(R18=0,"",(S18/VLOOKUP(_xlfn.NUMBERVALUE(_xlfn.CONCAT(LEFT(F18,4),52)),$F$2:T225,COLUMNS($F$2:T225),FALSE)))</f>
        <v/>
      </c>
      <c r="AA18" s="269" t="str">
        <f>IFERROR(IF(R18=0,"",(S18/VLOOKUP(_xlfn.NUMBERVALUE(_xlfn.CONCAT(LEFT(F18,4),52)),$F$2:U225,COLUMNS($F$2:U225),FALSE))),"")</f>
        <v/>
      </c>
      <c r="AB18" s="268" t="str">
        <f t="shared" si="11"/>
        <v/>
      </c>
      <c r="AC18" s="450" t="str">
        <f t="shared" si="12"/>
        <v/>
      </c>
      <c r="AD18" s="450" t="str">
        <f t="shared" si="13"/>
        <v/>
      </c>
      <c r="AE18" s="269" t="str">
        <f t="shared" si="14"/>
        <v/>
      </c>
      <c r="AF18" s="268" t="str">
        <f t="shared" si="15"/>
        <v/>
      </c>
      <c r="AG18" s="450" t="str">
        <f t="shared" si="16"/>
        <v/>
      </c>
      <c r="AH18" s="450" t="str">
        <f t="shared" si="17"/>
        <v/>
      </c>
      <c r="AI18" s="269" t="str">
        <f t="shared" si="18"/>
        <v/>
      </c>
      <c r="AJ18" s="450" t="str">
        <f>IF(O18=0,"-",SUMIFS($O$2:O18,$A$2:A18,$A18,$F$2:F18,"&lt;="&amp;$F18)/SUMIFS($G$2:G18,$A$2:A18,$A18,$F$2:F18,"&lt;="&amp;$F18)-1)</f>
        <v>-</v>
      </c>
      <c r="AK18" s="450" t="str">
        <f>IF(P18=0,"-",SUMIFS($P$2:P18,$A$2:A18,$A18,$F$2:F18,"&lt;="&amp;$F18)/SUMIFS($H$2:H18,$A$2:A18,$A18,$F$2:F18,"&lt;="&amp;$F18)-1)</f>
        <v>-</v>
      </c>
      <c r="AL18" s="450" t="str">
        <f>IF(Q18=0,"-",SUMIFS($Q$2:Q18,$A$2:A18,$A18,$F$2:F18,"&lt;="&amp;$F18)/SUMIFS($I$2:I18,$A$2:A18,$A18,$F$2:F18,"&lt;="&amp;$F18)-1)</f>
        <v>-</v>
      </c>
      <c r="AM18" s="450" t="str">
        <f>IFERROR(IF(O18=0,"-",SUMIFS($O$2:O18,$A$2:A18,$A18,$F$2:F18,"&lt;="&amp;$F18)/SUMIFS($K$2:K18,$A$2:A18,$A18,$F$2:F18,"&lt;="&amp;$F18)-1),"")</f>
        <v>-</v>
      </c>
      <c r="AN18" s="450" t="str">
        <f>IFERROR(IF(P18=0,"-",SUMIFS($P$2:P18,$A$2:A18,$A18,$F$2:F18,"&lt;="&amp;$F18)/SUMIFS($L$2:L18,$A$2:A18,$A18,$F$2:F18,"&lt;="&amp;$F18)-1),"")</f>
        <v>-</v>
      </c>
      <c r="AO18" s="450" t="str">
        <f>IFERROR(IF(Q18=0,"-",SUMIFS($Q$2:Q18,$A$2:A18,$A18,$F$2:F18,"&lt;="&amp;$F18)/SUMIFS($M$2:M18,$A$2:A18,$A18,$F$2:F18,"&lt;="&amp;$F18)-1),"")</f>
        <v>-</v>
      </c>
      <c r="AP18" s="86"/>
      <c r="AQ18" s="452">
        <f>'Overall Metrics'!AO23</f>
        <v>0</v>
      </c>
      <c r="AR18" s="450">
        <f t="shared" si="19"/>
        <v>0</v>
      </c>
      <c r="AS18" s="453" t="str">
        <f>IFERROR(IF(R19=0,"-",AVERAGEIFS($AQ$2:AQ18,$A$2:A18,$A18,$F$2:F18,"&lt;="&amp;$F18)-AVERAGEIFS($AP$2:AP18,$A$2:A18,$A18,$F$2:F18,"&lt;="&amp;$F18)),"")</f>
        <v>-</v>
      </c>
      <c r="AT18" s="390" t="str">
        <f>IFERROR(IF(R19=0,"-",AVERAGEIFS($AQ$2:AQ18,$A$2:A18,A18,$C$2:C18,C18)-AVERAGEIFS($AP$2:AP18,$A$2:A18,A18,$C$2:C18,C18)),"")</f>
        <v>-</v>
      </c>
      <c r="AU18" s="79"/>
      <c r="AV18" s="452">
        <f>'Overall Metrics'!AS23</f>
        <v>0</v>
      </c>
      <c r="AW18" s="450" t="str">
        <f t="shared" si="20"/>
        <v/>
      </c>
      <c r="AX18" s="453" t="str">
        <f>IFERROR(IF(R22=0,"-",AVERAGEIFS($AV$2:AV18,$A$2:A18,$A18,$F$2:F18,"&lt;="&amp;$F18)-AVERAGEIFS($AU$2:AU18,$A$2:A18,$A18,$F$2:F18,"&lt;="&amp;$F18)),"")</f>
        <v>-</v>
      </c>
      <c r="AY18" s="453" t="str">
        <f>IFERROR(IF(R22=0,"-",AVERAGEIFS($AV$2:AV18,$A$2:A18,A18,$C$2:C18,C18)-AVERAGEIFS($AU$2:AU18,$A$2:A18,A18,$C$2:C18,C18)),"")</f>
        <v>-</v>
      </c>
      <c r="AZ18" s="86"/>
      <c r="BA18" s="449">
        <f>'Glass Metrics'!AC23</f>
        <v>0</v>
      </c>
      <c r="BB18" s="450" t="str">
        <f t="shared" si="21"/>
        <v/>
      </c>
      <c r="BC18" s="450" t="str">
        <f>IFERROR(IF(R18=0,"-",AVERAGEIFS($BA$2:BA18,$A$2:A18,$A18,$F$2:F18,"&lt;="&amp;$F18)/AVERAGEIFS($AZ$2:AZ18,$A$2:A18,$A18,$F$2:F18,"&lt;="&amp;$F18)-1),"")</f>
        <v>-</v>
      </c>
      <c r="BD18" s="269" t="str">
        <f>IFERROR(IF(R18=0,"-",AVERAGEIFS($BA$2:BA18,$A$2:A18,A18,$C$2:C18,C18)/AVERAGEIFS($AZ$2:AZ18,$A$2:A18,A18,$C$2:C18,C18)-1),"")</f>
        <v>-</v>
      </c>
    </row>
    <row r="19" spans="1:56" ht="16.350000000000001" customHeight="1">
      <c r="A19" s="175">
        <f t="shared" si="0"/>
        <v>2021</v>
      </c>
      <c r="B19" s="447" t="str">
        <f t="shared" si="1"/>
        <v>18</v>
      </c>
      <c r="C19" s="447" t="str">
        <f t="array" ref="C19">_xlfn.IFS(_xlfn.NUMBERVALUE(B19)&lt;=13,"Q1",AND(_xlfn.NUMBERVALUE(B19)&gt;13,_xlfn.NUMBERVALUE(B19)&lt;=26),"Q2", AND(_xlfn.NUMBERVALUE(B19)&gt;26,_xlfn.NUMBERVALUE(B19)&lt;=39),"Q3",_xlfn.NUMBERVALUE(B19)&gt;39,"Q4")</f>
        <v>Q2</v>
      </c>
      <c r="D19" s="448">
        <f t="shared" si="22"/>
        <v>43981</v>
      </c>
      <c r="E19" s="448">
        <f t="shared" si="2"/>
        <v>43987</v>
      </c>
      <c r="F19" s="79">
        <v>202018</v>
      </c>
      <c r="G19" s="103"/>
      <c r="H19" s="429"/>
      <c r="I19" s="429"/>
      <c r="J19" s="214">
        <f t="shared" si="3"/>
        <v>0</v>
      </c>
      <c r="K19" s="429"/>
      <c r="L19" s="429"/>
      <c r="M19" s="429"/>
      <c r="N19" s="214">
        <f t="shared" si="4"/>
        <v>0</v>
      </c>
      <c r="O19" s="449">
        <f>'Overall Metrics'!L24</f>
        <v>0</v>
      </c>
      <c r="P19" s="449">
        <f>'Overall Metrics'!M24</f>
        <v>0</v>
      </c>
      <c r="Q19" s="449">
        <f>'Overall Metrics'!N24</f>
        <v>0</v>
      </c>
      <c r="R19" s="449">
        <f t="shared" si="5"/>
        <v>0</v>
      </c>
      <c r="S19" s="180">
        <f t="shared" si="6"/>
        <v>0</v>
      </c>
      <c r="T19" s="449">
        <f t="shared" si="7"/>
        <v>0</v>
      </c>
      <c r="U19" s="449">
        <f t="shared" si="8"/>
        <v>0</v>
      </c>
      <c r="V19" s="450" t="str">
        <f t="shared" si="9"/>
        <v/>
      </c>
      <c r="W19" s="450" t="str">
        <f>IF(R19=0,"-",SUMIFS($R$2:R19,$A$2:A19,A19,$C$2:C19,C19)/SUMIFS($J$2:J19,$A$2:A19,A19,$C$2:C19,C19)-1)</f>
        <v>-</v>
      </c>
      <c r="X19" s="450" t="str">
        <f t="shared" si="10"/>
        <v/>
      </c>
      <c r="Y19" s="450" t="str">
        <f>IFERROR(IF(R19=0,"-",SUMIFS($R$2:R19,$A$2:A19,A19,$C$2:C19,C19)/SUMIFS($N$2:N19,$A$2:A19,A19,$C$2:C19,C19)-1),"")</f>
        <v>-</v>
      </c>
      <c r="Z19" s="269" t="str">
        <f>IF(R19=0,"",(S19/VLOOKUP(_xlfn.NUMBERVALUE(_xlfn.CONCAT(LEFT(F19,4),52)),$F$2:T226,COLUMNS($F$2:T226),FALSE)))</f>
        <v/>
      </c>
      <c r="AA19" s="269" t="str">
        <f>IFERROR(IF(R19=0,"",(S19/VLOOKUP(_xlfn.NUMBERVALUE(_xlfn.CONCAT(LEFT(F19,4),52)),$F$2:U226,COLUMNS($F$2:U226),FALSE))),"")</f>
        <v/>
      </c>
      <c r="AB19" s="268" t="str">
        <f t="shared" si="11"/>
        <v/>
      </c>
      <c r="AC19" s="450" t="str">
        <f t="shared" si="12"/>
        <v/>
      </c>
      <c r="AD19" s="450" t="str">
        <f t="shared" si="13"/>
        <v/>
      </c>
      <c r="AE19" s="269" t="str">
        <f t="shared" si="14"/>
        <v/>
      </c>
      <c r="AF19" s="268" t="str">
        <f t="shared" si="15"/>
        <v/>
      </c>
      <c r="AG19" s="450" t="str">
        <f t="shared" si="16"/>
        <v/>
      </c>
      <c r="AH19" s="450" t="str">
        <f t="shared" si="17"/>
        <v/>
      </c>
      <c r="AI19" s="269" t="str">
        <f t="shared" si="18"/>
        <v/>
      </c>
      <c r="AJ19" s="450" t="str">
        <f>IF(O19=0,"-",SUMIFS($O$2:O19,$A$2:A19,$A19,$F$2:F19,"&lt;="&amp;$F19)/SUMIFS($G$2:G19,$A$2:A19,$A19,$F$2:F19,"&lt;="&amp;$F19)-1)</f>
        <v>-</v>
      </c>
      <c r="AK19" s="450" t="str">
        <f>IF(P19=0,"-",SUMIFS($P$2:P19,$A$2:A19,$A19,$F$2:F19,"&lt;="&amp;$F19)/SUMIFS($H$2:H19,$A$2:A19,$A19,$F$2:F19,"&lt;="&amp;$F19)-1)</f>
        <v>-</v>
      </c>
      <c r="AL19" s="450" t="str">
        <f>IF(Q19=0,"-",SUMIFS($Q$2:Q19,$A$2:A19,$A19,$F$2:F19,"&lt;="&amp;$F19)/SUMIFS($I$2:I19,$A$2:A19,$A19,$F$2:F19,"&lt;="&amp;$F19)-1)</f>
        <v>-</v>
      </c>
      <c r="AM19" s="450" t="str">
        <f>IFERROR(IF(O19=0,"-",SUMIFS($O$2:O19,$A$2:A19,$A19,$F$2:F19,"&lt;="&amp;$F19)/SUMIFS($K$2:K19,$A$2:A19,$A19,$F$2:F19,"&lt;="&amp;$F19)-1),"")</f>
        <v>-</v>
      </c>
      <c r="AN19" s="450" t="str">
        <f>IFERROR(IF(P19=0,"-",SUMIFS($P$2:P19,$A$2:A19,$A19,$F$2:F19,"&lt;="&amp;$F19)/SUMIFS($L$2:L19,$A$2:A19,$A19,$F$2:F19,"&lt;="&amp;$F19)-1),"")</f>
        <v>-</v>
      </c>
      <c r="AO19" s="450" t="str">
        <f>IFERROR(IF(Q19=0,"-",SUMIFS($Q$2:Q19,$A$2:A19,$A19,$F$2:F19,"&lt;="&amp;$F19)/SUMIFS($M$2:M19,$A$2:A19,$A19,$F$2:F19,"&lt;="&amp;$F19)-1),"")</f>
        <v>-</v>
      </c>
      <c r="AP19" s="86"/>
      <c r="AQ19" s="452">
        <f>'Overall Metrics'!AO24</f>
        <v>0</v>
      </c>
      <c r="AR19" s="450">
        <f t="shared" si="19"/>
        <v>0</v>
      </c>
      <c r="AS19" s="453" t="str">
        <f>IFERROR(IF(R20=0,"-",AVERAGEIFS($AQ$2:AQ19,$A$2:A19,$A19,$F$2:F19,"&lt;="&amp;$F19)-AVERAGEIFS($AP$2:AP19,$A$2:A19,$A19,$F$2:F19,"&lt;="&amp;$F19)),"")</f>
        <v>-</v>
      </c>
      <c r="AT19" s="390" t="str">
        <f>IFERROR(IF(R20=0,"-",AVERAGEIFS($AQ$2:AQ19,$A$2:A19,A19,$C$2:C19,C19)-AVERAGEIFS($AP$2:AP19,$A$2:A19,A19,$C$2:C19,C19)),"")</f>
        <v>-</v>
      </c>
      <c r="AU19" s="79"/>
      <c r="AV19" s="452">
        <f>'Overall Metrics'!AS24</f>
        <v>0</v>
      </c>
      <c r="AW19" s="450" t="str">
        <f t="shared" si="20"/>
        <v/>
      </c>
      <c r="AX19" s="453" t="str">
        <f>IFERROR(IF(R23=0,"-",AVERAGEIFS($AV$2:AV19,$A$2:A19,$A19,$F$2:F19,"&lt;="&amp;$F19)-AVERAGEIFS($AU$2:AU19,$A$2:A19,$A19,$F$2:F19,"&lt;="&amp;$F19)),"")</f>
        <v>-</v>
      </c>
      <c r="AY19" s="453" t="str">
        <f>IFERROR(IF(R23=0,"-",AVERAGEIFS($AV$2:AV19,$A$2:A19,A19,$C$2:C19,C19)-AVERAGEIFS($AU$2:AU19,$A$2:A19,A19,$C$2:C19,C19)),"")</f>
        <v>-</v>
      </c>
      <c r="AZ19" s="86"/>
      <c r="BA19" s="449">
        <f>'Glass Metrics'!AC24</f>
        <v>0</v>
      </c>
      <c r="BB19" s="450" t="str">
        <f t="shared" si="21"/>
        <v/>
      </c>
      <c r="BC19" s="450" t="str">
        <f>IFERROR(IF(R19=0,"-",AVERAGEIFS($BA$2:BA19,$A$2:A19,$A19,$F$2:F19,"&lt;="&amp;$F19)/AVERAGEIFS($AZ$2:AZ19,$A$2:A19,$A19,$F$2:F19,"&lt;="&amp;$F19)-1),"")</f>
        <v>-</v>
      </c>
      <c r="BD19" s="269" t="str">
        <f>IFERROR(IF(R19=0,"-",AVERAGEIFS($BA$2:BA19,$A$2:A19,A19,$C$2:C19,C19)/AVERAGEIFS($AZ$2:AZ19,$A$2:A19,A19,$C$2:C19,C19)-1),"")</f>
        <v>-</v>
      </c>
    </row>
    <row r="20" spans="1:56" ht="16.350000000000001" customHeight="1">
      <c r="A20" s="175">
        <f t="shared" si="0"/>
        <v>2021</v>
      </c>
      <c r="B20" s="447" t="str">
        <f t="shared" si="1"/>
        <v>19</v>
      </c>
      <c r="C20" s="447" t="str">
        <f t="array" ref="C20">_xlfn.IFS(_xlfn.NUMBERVALUE(B20)&lt;=13,"Q1",AND(_xlfn.NUMBERVALUE(B20)&gt;13,_xlfn.NUMBERVALUE(B20)&lt;=26),"Q2", AND(_xlfn.NUMBERVALUE(B20)&gt;26,_xlfn.NUMBERVALUE(B20)&lt;=39),"Q3",_xlfn.NUMBERVALUE(B20)&gt;39,"Q4")</f>
        <v>Q2</v>
      </c>
      <c r="D20" s="448">
        <f t="shared" si="22"/>
        <v>43988</v>
      </c>
      <c r="E20" s="448">
        <f t="shared" si="2"/>
        <v>43994</v>
      </c>
      <c r="F20" s="79">
        <v>202019</v>
      </c>
      <c r="G20" s="103"/>
      <c r="H20" s="429"/>
      <c r="I20" s="429"/>
      <c r="J20" s="214">
        <f t="shared" si="3"/>
        <v>0</v>
      </c>
      <c r="K20" s="429"/>
      <c r="L20" s="429"/>
      <c r="M20" s="429"/>
      <c r="N20" s="214">
        <f t="shared" si="4"/>
        <v>0</v>
      </c>
      <c r="O20" s="449">
        <f>'Overall Metrics'!L25</f>
        <v>0</v>
      </c>
      <c r="P20" s="449">
        <f>'Overall Metrics'!M25</f>
        <v>0</v>
      </c>
      <c r="Q20" s="449">
        <f>'Overall Metrics'!N25</f>
        <v>0</v>
      </c>
      <c r="R20" s="449">
        <f t="shared" si="5"/>
        <v>0</v>
      </c>
      <c r="S20" s="180">
        <f t="shared" si="6"/>
        <v>0</v>
      </c>
      <c r="T20" s="449">
        <f t="shared" si="7"/>
        <v>0</v>
      </c>
      <c r="U20" s="449">
        <f t="shared" si="8"/>
        <v>0</v>
      </c>
      <c r="V20" s="450" t="str">
        <f t="shared" si="9"/>
        <v/>
      </c>
      <c r="W20" s="450" t="str">
        <f>IF(R20=0,"-",SUMIFS($R$2:R20,$A$2:A20,A20,$C$2:C20,C20)/SUMIFS($J$2:J20,$A$2:A20,A20,$C$2:C20,C20)-1)</f>
        <v>-</v>
      </c>
      <c r="X20" s="450" t="str">
        <f t="shared" si="10"/>
        <v/>
      </c>
      <c r="Y20" s="450" t="str">
        <f>IFERROR(IF(R20=0,"-",SUMIFS($R$2:R20,$A$2:A20,A20,$C$2:C20,C20)/SUMIFS($N$2:N20,$A$2:A20,A20,$C$2:C20,C20)-1),"")</f>
        <v>-</v>
      </c>
      <c r="Z20" s="269" t="str">
        <f>IF(R20=0,"",(S20/VLOOKUP(_xlfn.NUMBERVALUE(_xlfn.CONCAT(LEFT(F20,4),52)),$F$2:T227,COLUMNS($F$2:T227),FALSE)))</f>
        <v/>
      </c>
      <c r="AA20" s="269" t="str">
        <f>IFERROR(IF(R20=0,"",(S20/VLOOKUP(_xlfn.NUMBERVALUE(_xlfn.CONCAT(LEFT(F20,4),52)),$F$2:U227,COLUMNS($F$2:U227),FALSE))),"")</f>
        <v/>
      </c>
      <c r="AB20" s="268" t="str">
        <f t="shared" si="11"/>
        <v/>
      </c>
      <c r="AC20" s="450" t="str">
        <f t="shared" si="12"/>
        <v/>
      </c>
      <c r="AD20" s="450" t="str">
        <f t="shared" si="13"/>
        <v/>
      </c>
      <c r="AE20" s="269" t="str">
        <f t="shared" si="14"/>
        <v/>
      </c>
      <c r="AF20" s="268" t="str">
        <f t="shared" si="15"/>
        <v/>
      </c>
      <c r="AG20" s="450" t="str">
        <f t="shared" si="16"/>
        <v/>
      </c>
      <c r="AH20" s="450" t="str">
        <f t="shared" si="17"/>
        <v/>
      </c>
      <c r="AI20" s="269" t="str">
        <f t="shared" si="18"/>
        <v/>
      </c>
      <c r="AJ20" s="450" t="str">
        <f>IF(O20=0,"-",SUMIFS($O$2:O20,$A$2:A20,$A20,$F$2:F20,"&lt;="&amp;$F20)/SUMIFS($G$2:G20,$A$2:A20,$A20,$F$2:F20,"&lt;="&amp;$F20)-1)</f>
        <v>-</v>
      </c>
      <c r="AK20" s="450" t="str">
        <f>IF(P20=0,"-",SUMIFS($P$2:P20,$A$2:A20,$A20,$F$2:F20,"&lt;="&amp;$F20)/SUMIFS($H$2:H20,$A$2:A20,$A20,$F$2:F20,"&lt;="&amp;$F20)-1)</f>
        <v>-</v>
      </c>
      <c r="AL20" s="450" t="str">
        <f>IF(Q20=0,"-",SUMIFS($Q$2:Q20,$A$2:A20,$A20,$F$2:F20,"&lt;="&amp;$F20)/SUMIFS($I$2:I20,$A$2:A20,$A20,$F$2:F20,"&lt;="&amp;$F20)-1)</f>
        <v>-</v>
      </c>
      <c r="AM20" s="450" t="str">
        <f>IFERROR(IF(O20=0,"-",SUMIFS($O$2:O20,$A$2:A20,$A20,$F$2:F20,"&lt;="&amp;$F20)/SUMIFS($K$2:K20,$A$2:A20,$A20,$F$2:F20,"&lt;="&amp;$F20)-1),"")</f>
        <v>-</v>
      </c>
      <c r="AN20" s="450" t="str">
        <f>IFERROR(IF(P20=0,"-",SUMIFS($P$2:P20,$A$2:A20,$A20,$F$2:F20,"&lt;="&amp;$F20)/SUMIFS($L$2:L20,$A$2:A20,$A20,$F$2:F20,"&lt;="&amp;$F20)-1),"")</f>
        <v>-</v>
      </c>
      <c r="AO20" s="450" t="str">
        <f>IFERROR(IF(Q20=0,"-",SUMIFS($Q$2:Q20,$A$2:A20,$A20,$F$2:F20,"&lt;="&amp;$F20)/SUMIFS($M$2:M20,$A$2:A20,$A20,$F$2:F20,"&lt;="&amp;$F20)-1),"")</f>
        <v>-</v>
      </c>
      <c r="AP20" s="86"/>
      <c r="AQ20" s="452">
        <f>'Overall Metrics'!AO25</f>
        <v>0</v>
      </c>
      <c r="AR20" s="450">
        <f t="shared" si="19"/>
        <v>0</v>
      </c>
      <c r="AS20" s="453" t="str">
        <f>IFERROR(IF(R21=0,"-",AVERAGEIFS($AQ$2:AQ20,$A$2:A20,$A20,$F$2:F20,"&lt;="&amp;$F20)-AVERAGEIFS($AP$2:AP20,$A$2:A20,$A20,$F$2:F20,"&lt;="&amp;$F20)),"")</f>
        <v>-</v>
      </c>
      <c r="AT20" s="390" t="str">
        <f>IFERROR(IF(R21=0,"-",AVERAGEIFS($AQ$2:AQ20,$A$2:A20,A20,$C$2:C20,C20)-AVERAGEIFS($AP$2:AP20,$A$2:A20,A20,$C$2:C20,C20)),"")</f>
        <v>-</v>
      </c>
      <c r="AU20" s="79"/>
      <c r="AV20" s="452">
        <f>'Overall Metrics'!AS25</f>
        <v>0</v>
      </c>
      <c r="AW20" s="450" t="str">
        <f t="shared" si="20"/>
        <v/>
      </c>
      <c r="AX20" s="453" t="str">
        <f>IFERROR(IF(R24=0,"-",AVERAGEIFS($AV$2:AV20,$A$2:A20,$A20,$F$2:F20,"&lt;="&amp;$F20)-AVERAGEIFS($AU$2:AU20,$A$2:A20,$A20,$F$2:F20,"&lt;="&amp;$F20)),"")</f>
        <v>-</v>
      </c>
      <c r="AY20" s="453" t="str">
        <f>IFERROR(IF(R24=0,"-",AVERAGEIFS($AV$2:AV20,$A$2:A20,A20,$C$2:C20,C20)-AVERAGEIFS($AU$2:AU20,$A$2:A20,A20,$C$2:C20,C20)),"")</f>
        <v>-</v>
      </c>
      <c r="AZ20" s="86"/>
      <c r="BA20" s="449">
        <f>'Glass Metrics'!AC25</f>
        <v>0</v>
      </c>
      <c r="BB20" s="450" t="str">
        <f t="shared" si="21"/>
        <v/>
      </c>
      <c r="BC20" s="450" t="str">
        <f>IFERROR(IF(R20=0,"-",AVERAGEIFS($BA$2:BA20,$A$2:A20,$A20,$F$2:F20,"&lt;="&amp;$F20)/AVERAGEIFS($AZ$2:AZ20,$A$2:A20,$A20,$F$2:F20,"&lt;="&amp;$F20)-1),"")</f>
        <v>-</v>
      </c>
      <c r="BD20" s="269" t="str">
        <f>IFERROR(IF(R20=0,"-",AVERAGEIFS($BA$2:BA20,$A$2:A20,A20,$C$2:C20,C20)/AVERAGEIFS($AZ$2:AZ20,$A$2:A20,A20,$C$2:C20,C20)-1),"")</f>
        <v>-</v>
      </c>
    </row>
    <row r="21" spans="1:56" ht="16.350000000000001" customHeight="1">
      <c r="A21" s="175">
        <f t="shared" si="0"/>
        <v>2021</v>
      </c>
      <c r="B21" s="447" t="str">
        <f t="shared" si="1"/>
        <v>20</v>
      </c>
      <c r="C21" s="447" t="str">
        <f t="array" ref="C21">_xlfn.IFS(_xlfn.NUMBERVALUE(B21)&lt;=13,"Q1",AND(_xlfn.NUMBERVALUE(B21)&gt;13,_xlfn.NUMBERVALUE(B21)&lt;=26),"Q2", AND(_xlfn.NUMBERVALUE(B21)&gt;26,_xlfn.NUMBERVALUE(B21)&lt;=39),"Q3",_xlfn.NUMBERVALUE(B21)&gt;39,"Q4")</f>
        <v>Q2</v>
      </c>
      <c r="D21" s="448">
        <f t="shared" si="22"/>
        <v>43995</v>
      </c>
      <c r="E21" s="448">
        <f t="shared" si="2"/>
        <v>44001</v>
      </c>
      <c r="F21" s="79">
        <v>202020</v>
      </c>
      <c r="G21" s="103"/>
      <c r="H21" s="429"/>
      <c r="I21" s="429"/>
      <c r="J21" s="214">
        <f t="shared" si="3"/>
        <v>0</v>
      </c>
      <c r="K21" s="429"/>
      <c r="L21" s="429"/>
      <c r="M21" s="429"/>
      <c r="N21" s="214">
        <f t="shared" si="4"/>
        <v>0</v>
      </c>
      <c r="O21" s="449">
        <f>'Overall Metrics'!L26</f>
        <v>0</v>
      </c>
      <c r="P21" s="449">
        <f>'Overall Metrics'!M26</f>
        <v>0</v>
      </c>
      <c r="Q21" s="449">
        <f>'Overall Metrics'!N26</f>
        <v>0</v>
      </c>
      <c r="R21" s="449">
        <f t="shared" si="5"/>
        <v>0</v>
      </c>
      <c r="S21" s="180">
        <f t="shared" si="6"/>
        <v>0</v>
      </c>
      <c r="T21" s="449">
        <f t="shared" si="7"/>
        <v>0</v>
      </c>
      <c r="U21" s="449">
        <f t="shared" si="8"/>
        <v>0</v>
      </c>
      <c r="V21" s="450" t="str">
        <f t="shared" si="9"/>
        <v/>
      </c>
      <c r="W21" s="450" t="str">
        <f>IF(R21=0,"-",SUMIFS($R$2:R21,$A$2:A21,A21,$C$2:C21,C21)/SUMIFS($J$2:J21,$A$2:A21,A21,$C$2:C21,C21)-1)</f>
        <v>-</v>
      </c>
      <c r="X21" s="450" t="str">
        <f t="shared" si="10"/>
        <v/>
      </c>
      <c r="Y21" s="450" t="str">
        <f>IFERROR(IF(R21=0,"-",SUMIFS($R$2:R21,$A$2:A21,A21,$C$2:C21,C21)/SUMIFS($N$2:N21,$A$2:A21,A21,$C$2:C21,C21)-1),"")</f>
        <v>-</v>
      </c>
      <c r="Z21" s="269" t="str">
        <f>IF(R21=0,"",(S21/VLOOKUP(_xlfn.NUMBERVALUE(_xlfn.CONCAT(LEFT(F21,4),52)),$F$2:T228,COLUMNS($F$2:T228),FALSE)))</f>
        <v/>
      </c>
      <c r="AA21" s="269" t="str">
        <f>IFERROR(IF(R21=0,"",(S21/VLOOKUP(_xlfn.NUMBERVALUE(_xlfn.CONCAT(LEFT(F21,4),52)),$F$2:U228,COLUMNS($F$2:U228),FALSE))),"")</f>
        <v/>
      </c>
      <c r="AB21" s="268" t="str">
        <f t="shared" si="11"/>
        <v/>
      </c>
      <c r="AC21" s="450" t="str">
        <f t="shared" si="12"/>
        <v/>
      </c>
      <c r="AD21" s="450" t="str">
        <f t="shared" si="13"/>
        <v/>
      </c>
      <c r="AE21" s="269" t="str">
        <f t="shared" si="14"/>
        <v/>
      </c>
      <c r="AF21" s="268" t="str">
        <f t="shared" si="15"/>
        <v/>
      </c>
      <c r="AG21" s="450" t="str">
        <f t="shared" si="16"/>
        <v/>
      </c>
      <c r="AH21" s="450" t="str">
        <f t="shared" si="17"/>
        <v/>
      </c>
      <c r="AI21" s="269" t="str">
        <f t="shared" si="18"/>
        <v/>
      </c>
      <c r="AJ21" s="450" t="str">
        <f>IF(O21=0,"-",SUMIFS($O$2:O21,$A$2:A21,$A21,$F$2:F21,"&lt;="&amp;$F21)/SUMIFS($G$2:G21,$A$2:A21,$A21,$F$2:F21,"&lt;="&amp;$F21)-1)</f>
        <v>-</v>
      </c>
      <c r="AK21" s="450" t="str">
        <f>IF(P21=0,"-",SUMIFS($P$2:P21,$A$2:A21,$A21,$F$2:F21,"&lt;="&amp;$F21)/SUMIFS($H$2:H21,$A$2:A21,$A21,$F$2:F21,"&lt;="&amp;$F21)-1)</f>
        <v>-</v>
      </c>
      <c r="AL21" s="450" t="str">
        <f>IF(Q21=0,"-",SUMIFS($Q$2:Q21,$A$2:A21,$A21,$F$2:F21,"&lt;="&amp;$F21)/SUMIFS($I$2:I21,$A$2:A21,$A21,$F$2:F21,"&lt;="&amp;$F21)-1)</f>
        <v>-</v>
      </c>
      <c r="AM21" s="450" t="str">
        <f>IFERROR(IF(O21=0,"-",SUMIFS($O$2:O21,$A$2:A21,$A21,$F$2:F21,"&lt;="&amp;$F21)/SUMIFS($K$2:K21,$A$2:A21,$A21,$F$2:F21,"&lt;="&amp;$F21)-1),"")</f>
        <v>-</v>
      </c>
      <c r="AN21" s="450" t="str">
        <f>IFERROR(IF(P21=0,"-",SUMIFS($P$2:P21,$A$2:A21,$A21,$F$2:F21,"&lt;="&amp;$F21)/SUMIFS($L$2:L21,$A$2:A21,$A21,$F$2:F21,"&lt;="&amp;$F21)-1),"")</f>
        <v>-</v>
      </c>
      <c r="AO21" s="450" t="str">
        <f>IFERROR(IF(Q21=0,"-",SUMIFS($Q$2:Q21,$A$2:A21,$A21,$F$2:F21,"&lt;="&amp;$F21)/SUMIFS($M$2:M21,$A$2:A21,$A21,$F$2:F21,"&lt;="&amp;$F21)-1),"")</f>
        <v>-</v>
      </c>
      <c r="AP21" s="86"/>
      <c r="AQ21" s="452">
        <f>'Overall Metrics'!AO26</f>
        <v>0</v>
      </c>
      <c r="AR21" s="450">
        <f t="shared" si="19"/>
        <v>0</v>
      </c>
      <c r="AS21" s="453" t="str">
        <f>IFERROR(IF(R22=0,"-",AVERAGEIFS($AQ$2:AQ21,$A$2:A21,$A21,$F$2:F21,"&lt;="&amp;$F21)-AVERAGEIFS($AP$2:AP21,$A$2:A21,$A21,$F$2:F21,"&lt;="&amp;$F21)),"")</f>
        <v>-</v>
      </c>
      <c r="AT21" s="390" t="str">
        <f>IFERROR(IF(R22=0,"-",AVERAGEIFS($AQ$2:AQ21,$A$2:A21,A21,$C$2:C21,C21)-AVERAGEIFS($AP$2:AP21,$A$2:A21,A21,$C$2:C21,C21)),"")</f>
        <v>-</v>
      </c>
      <c r="AU21" s="79"/>
      <c r="AV21" s="452">
        <f>'Overall Metrics'!AS26</f>
        <v>0</v>
      </c>
      <c r="AW21" s="450" t="str">
        <f t="shared" si="20"/>
        <v/>
      </c>
      <c r="AX21" s="453" t="str">
        <f>IFERROR(IF(R25=0,"-",AVERAGEIFS($AV$2:AV21,$A$2:A21,$A21,$F$2:F21,"&lt;="&amp;$F21)-AVERAGEIFS($AU$2:AU21,$A$2:A21,$A21,$F$2:F21,"&lt;="&amp;$F21)),"")</f>
        <v>-</v>
      </c>
      <c r="AY21" s="453" t="str">
        <f>IFERROR(IF(R25=0,"-",AVERAGEIFS($AV$2:AV21,$A$2:A21,A21,$C$2:C21,C21)-AVERAGEIFS($AU$2:AU21,$A$2:A21,A21,$C$2:C21,C21)),"")</f>
        <v>-</v>
      </c>
      <c r="AZ21" s="86"/>
      <c r="BA21" s="449">
        <f>'Glass Metrics'!AC26</f>
        <v>0</v>
      </c>
      <c r="BB21" s="450" t="str">
        <f t="shared" si="21"/>
        <v/>
      </c>
      <c r="BC21" s="450" t="str">
        <f>IFERROR(IF(R21=0,"-",AVERAGEIFS($BA$2:BA21,$A$2:A21,$A21,$F$2:F21,"&lt;="&amp;$F21)/AVERAGEIFS($AZ$2:AZ21,$A$2:A21,$A21,$F$2:F21,"&lt;="&amp;$F21)-1),"")</f>
        <v>-</v>
      </c>
      <c r="BD21" s="269" t="str">
        <f>IFERROR(IF(R21=0,"-",AVERAGEIFS($BA$2:BA21,$A$2:A21,A21,$C$2:C21,C21)/AVERAGEIFS($AZ$2:AZ21,$A$2:A21,A21,$C$2:C21,C21)-1),"")</f>
        <v>-</v>
      </c>
    </row>
    <row r="22" spans="1:56" ht="16.350000000000001" customHeight="1">
      <c r="A22" s="175">
        <f t="shared" si="0"/>
        <v>2021</v>
      </c>
      <c r="B22" s="447" t="str">
        <f t="shared" si="1"/>
        <v>21</v>
      </c>
      <c r="C22" s="447" t="str">
        <f t="array" ref="C22">_xlfn.IFS(_xlfn.NUMBERVALUE(B22)&lt;=13,"Q1",AND(_xlfn.NUMBERVALUE(B22)&gt;13,_xlfn.NUMBERVALUE(B22)&lt;=26),"Q2", AND(_xlfn.NUMBERVALUE(B22)&gt;26,_xlfn.NUMBERVALUE(B22)&lt;=39),"Q3",_xlfn.NUMBERVALUE(B22)&gt;39,"Q4")</f>
        <v>Q2</v>
      </c>
      <c r="D22" s="448">
        <f t="shared" si="22"/>
        <v>44002</v>
      </c>
      <c r="E22" s="448">
        <f t="shared" si="2"/>
        <v>44008</v>
      </c>
      <c r="F22" s="79">
        <v>202021</v>
      </c>
      <c r="G22" s="103"/>
      <c r="H22" s="429"/>
      <c r="I22" s="429"/>
      <c r="J22" s="214">
        <f t="shared" si="3"/>
        <v>0</v>
      </c>
      <c r="K22" s="429"/>
      <c r="L22" s="429"/>
      <c r="M22" s="429"/>
      <c r="N22" s="214">
        <f t="shared" si="4"/>
        <v>0</v>
      </c>
      <c r="O22" s="449">
        <f>'Overall Metrics'!L27</f>
        <v>0</v>
      </c>
      <c r="P22" s="449">
        <f>'Overall Metrics'!M27</f>
        <v>0</v>
      </c>
      <c r="Q22" s="449">
        <f>'Overall Metrics'!N27</f>
        <v>0</v>
      </c>
      <c r="R22" s="449">
        <f t="shared" si="5"/>
        <v>0</v>
      </c>
      <c r="S22" s="180">
        <f t="shared" si="6"/>
        <v>0</v>
      </c>
      <c r="T22" s="449">
        <f t="shared" si="7"/>
        <v>0</v>
      </c>
      <c r="U22" s="449">
        <f t="shared" si="8"/>
        <v>0</v>
      </c>
      <c r="V22" s="450" t="str">
        <f t="shared" si="9"/>
        <v/>
      </c>
      <c r="W22" s="450" t="str">
        <f>IF(R22=0,"-",SUMIFS($R$2:R22,$A$2:A22,A22,$C$2:C22,C22)/SUMIFS($J$2:J22,$A$2:A22,A22,$C$2:C22,C22)-1)</f>
        <v>-</v>
      </c>
      <c r="X22" s="450" t="str">
        <f t="shared" si="10"/>
        <v/>
      </c>
      <c r="Y22" s="450" t="str">
        <f>IFERROR(IF(R22=0,"-",SUMIFS($R$2:R22,$A$2:A22,A22,$C$2:C22,C22)/SUMIFS($N$2:N22,$A$2:A22,A22,$C$2:C22,C22)-1),"")</f>
        <v>-</v>
      </c>
      <c r="Z22" s="269" t="str">
        <f>IF(R22=0,"",(S22/VLOOKUP(_xlfn.NUMBERVALUE(_xlfn.CONCAT(LEFT(F22,4),52)),$F$2:T229,COLUMNS($F$2:T229),FALSE)))</f>
        <v/>
      </c>
      <c r="AA22" s="269" t="str">
        <f>IFERROR(IF(R22=0,"",(S22/VLOOKUP(_xlfn.NUMBERVALUE(_xlfn.CONCAT(LEFT(F22,4),52)),$F$2:U229,COLUMNS($F$2:U229),FALSE))),"")</f>
        <v/>
      </c>
      <c r="AB22" s="268" t="str">
        <f t="shared" si="11"/>
        <v/>
      </c>
      <c r="AC22" s="450" t="str">
        <f t="shared" si="12"/>
        <v/>
      </c>
      <c r="AD22" s="450" t="str">
        <f t="shared" si="13"/>
        <v/>
      </c>
      <c r="AE22" s="269" t="str">
        <f t="shared" si="14"/>
        <v/>
      </c>
      <c r="AF22" s="268" t="str">
        <f t="shared" si="15"/>
        <v/>
      </c>
      <c r="AG22" s="450" t="str">
        <f t="shared" si="16"/>
        <v/>
      </c>
      <c r="AH22" s="450" t="str">
        <f t="shared" si="17"/>
        <v/>
      </c>
      <c r="AI22" s="269" t="str">
        <f t="shared" si="18"/>
        <v/>
      </c>
      <c r="AJ22" s="450" t="str">
        <f>IF(O22=0,"-",SUMIFS($O$2:O22,$A$2:A22,$A22,$F$2:F22,"&lt;="&amp;$F22)/SUMIFS($G$2:G22,$A$2:A22,$A22,$F$2:F22,"&lt;="&amp;$F22)-1)</f>
        <v>-</v>
      </c>
      <c r="AK22" s="450" t="str">
        <f>IF(P22=0,"-",SUMIFS($P$2:P22,$A$2:A22,$A22,$F$2:F22,"&lt;="&amp;$F22)/SUMIFS($H$2:H22,$A$2:A22,$A22,$F$2:F22,"&lt;="&amp;$F22)-1)</f>
        <v>-</v>
      </c>
      <c r="AL22" s="450" t="str">
        <f>IF(Q22=0,"-",SUMIFS($Q$2:Q22,$A$2:A22,$A22,$F$2:F22,"&lt;="&amp;$F22)/SUMIFS($I$2:I22,$A$2:A22,$A22,$F$2:F22,"&lt;="&amp;$F22)-1)</f>
        <v>-</v>
      </c>
      <c r="AM22" s="450" t="str">
        <f>IFERROR(IF(O22=0,"-",SUMIFS($O$2:O22,$A$2:A22,$A22,$F$2:F22,"&lt;="&amp;$F22)/SUMIFS($K$2:K22,$A$2:A22,$A22,$F$2:F22,"&lt;="&amp;$F22)-1),"")</f>
        <v>-</v>
      </c>
      <c r="AN22" s="450" t="str">
        <f>IFERROR(IF(P22=0,"-",SUMIFS($P$2:P22,$A$2:A22,$A22,$F$2:F22,"&lt;="&amp;$F22)/SUMIFS($L$2:L22,$A$2:A22,$A22,$F$2:F22,"&lt;="&amp;$F22)-1),"")</f>
        <v>-</v>
      </c>
      <c r="AO22" s="450" t="str">
        <f>IFERROR(IF(Q22=0,"-",SUMIFS($Q$2:Q22,$A$2:A22,$A22,$F$2:F22,"&lt;="&amp;$F22)/SUMIFS($M$2:M22,$A$2:A22,$A22,$F$2:F22,"&lt;="&amp;$F22)-1),"")</f>
        <v>-</v>
      </c>
      <c r="AP22" s="86"/>
      <c r="AQ22" s="452">
        <f>'Overall Metrics'!AO27</f>
        <v>0</v>
      </c>
      <c r="AR22" s="450">
        <f t="shared" si="19"/>
        <v>0</v>
      </c>
      <c r="AS22" s="453" t="str">
        <f>IFERROR(IF(R23=0,"-",AVERAGEIFS($AQ$2:AQ22,$A$2:A22,$A22,$F$2:F22,"&lt;="&amp;$F22)-AVERAGEIFS($AP$2:AP22,$A$2:A22,$A22,$F$2:F22,"&lt;="&amp;$F22)),"")</f>
        <v>-</v>
      </c>
      <c r="AT22" s="390" t="str">
        <f>IFERROR(IF(R23=0,"-",AVERAGEIFS($AQ$2:AQ22,$A$2:A22,A22,$C$2:C22,C22)-AVERAGEIFS($AP$2:AP22,$A$2:A22,A22,$C$2:C22,C22)),"")</f>
        <v>-</v>
      </c>
      <c r="AU22" s="79"/>
      <c r="AV22" s="452">
        <f>'Overall Metrics'!AS27</f>
        <v>0</v>
      </c>
      <c r="AW22" s="450" t="str">
        <f t="shared" si="20"/>
        <v/>
      </c>
      <c r="AX22" s="453" t="str">
        <f>IFERROR(IF(R26=0,"-",AVERAGEIFS($AV$2:AV22,$A$2:A22,$A22,$F$2:F22,"&lt;="&amp;$F22)-AVERAGEIFS($AU$2:AU22,$A$2:A22,$A22,$F$2:F22,"&lt;="&amp;$F22)),"")</f>
        <v>-</v>
      </c>
      <c r="AY22" s="453" t="str">
        <f>IFERROR(IF(R26=0,"-",AVERAGEIFS($AV$2:AV22,$A$2:A22,A22,$C$2:C22,C22)-AVERAGEIFS($AU$2:AU22,$A$2:A22,A22,$C$2:C22,C22)),"")</f>
        <v>-</v>
      </c>
      <c r="AZ22" s="86"/>
      <c r="BA22" s="449">
        <f>'Glass Metrics'!AC27</f>
        <v>0</v>
      </c>
      <c r="BB22" s="450" t="str">
        <f t="shared" si="21"/>
        <v/>
      </c>
      <c r="BC22" s="450" t="str">
        <f>IFERROR(IF(R22=0,"-",AVERAGEIFS($BA$2:BA22,$A$2:A22,$A22,$F$2:F22,"&lt;="&amp;$F22)/AVERAGEIFS($AZ$2:AZ22,$A$2:A22,$A22,$F$2:F22,"&lt;="&amp;$F22)-1),"")</f>
        <v>-</v>
      </c>
      <c r="BD22" s="269" t="str">
        <f>IFERROR(IF(R22=0,"-",AVERAGEIFS($BA$2:BA22,$A$2:A22,A22,$C$2:C22,C22)/AVERAGEIFS($AZ$2:AZ22,$A$2:A22,A22,$C$2:C22,C22)-1),"")</f>
        <v>-</v>
      </c>
    </row>
    <row r="23" spans="1:56" ht="16.350000000000001" customHeight="1">
      <c r="A23" s="175">
        <f t="shared" si="0"/>
        <v>2021</v>
      </c>
      <c r="B23" s="447" t="str">
        <f t="shared" si="1"/>
        <v>22</v>
      </c>
      <c r="C23" s="447" t="str">
        <f t="array" ref="C23">_xlfn.IFS(_xlfn.NUMBERVALUE(B23)&lt;=13,"Q1",AND(_xlfn.NUMBERVALUE(B23)&gt;13,_xlfn.NUMBERVALUE(B23)&lt;=26),"Q2", AND(_xlfn.NUMBERVALUE(B23)&gt;26,_xlfn.NUMBERVALUE(B23)&lt;=39),"Q3",_xlfn.NUMBERVALUE(B23)&gt;39,"Q4")</f>
        <v>Q2</v>
      </c>
      <c r="D23" s="448">
        <f t="shared" si="22"/>
        <v>44009</v>
      </c>
      <c r="E23" s="448">
        <f t="shared" si="2"/>
        <v>44015</v>
      </c>
      <c r="F23" s="79">
        <v>202022</v>
      </c>
      <c r="G23" s="103"/>
      <c r="H23" s="429"/>
      <c r="I23" s="429"/>
      <c r="J23" s="214">
        <f t="shared" si="3"/>
        <v>0</v>
      </c>
      <c r="K23" s="429"/>
      <c r="L23" s="429"/>
      <c r="M23" s="429"/>
      <c r="N23" s="214">
        <f t="shared" si="4"/>
        <v>0</v>
      </c>
      <c r="O23" s="449">
        <f>'Overall Metrics'!L28</f>
        <v>0</v>
      </c>
      <c r="P23" s="449">
        <f>'Overall Metrics'!M28</f>
        <v>0</v>
      </c>
      <c r="Q23" s="449">
        <f>'Overall Metrics'!N28</f>
        <v>0</v>
      </c>
      <c r="R23" s="449">
        <f t="shared" si="5"/>
        <v>0</v>
      </c>
      <c r="S23" s="180">
        <f t="shared" si="6"/>
        <v>0</v>
      </c>
      <c r="T23" s="449">
        <f t="shared" si="7"/>
        <v>0</v>
      </c>
      <c r="U23" s="449">
        <f t="shared" si="8"/>
        <v>0</v>
      </c>
      <c r="V23" s="450" t="str">
        <f t="shared" si="9"/>
        <v/>
      </c>
      <c r="W23" s="450" t="str">
        <f>IF(R23=0,"-",SUMIFS($R$2:R23,$A$2:A23,A23,$C$2:C23,C23)/SUMIFS($J$2:J23,$A$2:A23,A23,$C$2:C23,C23)-1)</f>
        <v>-</v>
      </c>
      <c r="X23" s="450" t="str">
        <f t="shared" si="10"/>
        <v/>
      </c>
      <c r="Y23" s="450" t="str">
        <f>IFERROR(IF(R23=0,"-",SUMIFS($R$2:R23,$A$2:A23,A23,$C$2:C23,C23)/SUMIFS($N$2:N23,$A$2:A23,A23,$C$2:C23,C23)-1),"")</f>
        <v>-</v>
      </c>
      <c r="Z23" s="269" t="str">
        <f>IF(R23=0,"",(S23/VLOOKUP(_xlfn.NUMBERVALUE(_xlfn.CONCAT(LEFT(F23,4),52)),$F$2:T230,COLUMNS($F$2:T230),FALSE)))</f>
        <v/>
      </c>
      <c r="AA23" s="269" t="str">
        <f>IFERROR(IF(R23=0,"",(S23/VLOOKUP(_xlfn.NUMBERVALUE(_xlfn.CONCAT(LEFT(F23,4),52)),$F$2:U230,COLUMNS($F$2:U230),FALSE))),"")</f>
        <v/>
      </c>
      <c r="AB23" s="268" t="str">
        <f t="shared" si="11"/>
        <v/>
      </c>
      <c r="AC23" s="450" t="str">
        <f t="shared" si="12"/>
        <v/>
      </c>
      <c r="AD23" s="450" t="str">
        <f t="shared" si="13"/>
        <v/>
      </c>
      <c r="AE23" s="269" t="str">
        <f t="shared" si="14"/>
        <v/>
      </c>
      <c r="AF23" s="268" t="str">
        <f t="shared" si="15"/>
        <v/>
      </c>
      <c r="AG23" s="450" t="str">
        <f t="shared" si="16"/>
        <v/>
      </c>
      <c r="AH23" s="450" t="str">
        <f t="shared" si="17"/>
        <v/>
      </c>
      <c r="AI23" s="269" t="str">
        <f t="shared" si="18"/>
        <v/>
      </c>
      <c r="AJ23" s="450" t="str">
        <f>IF(O23=0,"-",SUMIFS($O$2:O23,$A$2:A23,$A23,$F$2:F23,"&lt;="&amp;$F23)/SUMIFS($G$2:G23,$A$2:A23,$A23,$F$2:F23,"&lt;="&amp;$F23)-1)</f>
        <v>-</v>
      </c>
      <c r="AK23" s="450" t="str">
        <f>IF(P23=0,"-",SUMIFS($P$2:P23,$A$2:A23,$A23,$F$2:F23,"&lt;="&amp;$F23)/SUMIFS($H$2:H23,$A$2:A23,$A23,$F$2:F23,"&lt;="&amp;$F23)-1)</f>
        <v>-</v>
      </c>
      <c r="AL23" s="450" t="str">
        <f>IF(Q23=0,"-",SUMIFS($Q$2:Q23,$A$2:A23,$A23,$F$2:F23,"&lt;="&amp;$F23)/SUMIFS($I$2:I23,$A$2:A23,$A23,$F$2:F23,"&lt;="&amp;$F23)-1)</f>
        <v>-</v>
      </c>
      <c r="AM23" s="450" t="str">
        <f>IFERROR(IF(O23=0,"-",SUMIFS($O$2:O23,$A$2:A23,$A23,$F$2:F23,"&lt;="&amp;$F23)/SUMIFS($K$2:K23,$A$2:A23,$A23,$F$2:F23,"&lt;="&amp;$F23)-1),"")</f>
        <v>-</v>
      </c>
      <c r="AN23" s="450" t="str">
        <f>IFERROR(IF(P23=0,"-",SUMIFS($P$2:P23,$A$2:A23,$A23,$F$2:F23,"&lt;="&amp;$F23)/SUMIFS($L$2:L23,$A$2:A23,$A23,$F$2:F23,"&lt;="&amp;$F23)-1),"")</f>
        <v>-</v>
      </c>
      <c r="AO23" s="450" t="str">
        <f>IFERROR(IF(Q23=0,"-",SUMIFS($Q$2:Q23,$A$2:A23,$A23,$F$2:F23,"&lt;="&amp;$F23)/SUMIFS($M$2:M23,$A$2:A23,$A23,$F$2:F23,"&lt;="&amp;$F23)-1),"")</f>
        <v>-</v>
      </c>
      <c r="AP23" s="86"/>
      <c r="AQ23" s="452">
        <f>'Overall Metrics'!AO28</f>
        <v>0</v>
      </c>
      <c r="AR23" s="450">
        <f t="shared" si="19"/>
        <v>0</v>
      </c>
      <c r="AS23" s="453" t="str">
        <f>IFERROR(IF(R24=0,"-",AVERAGEIFS($AQ$2:AQ23,$A$2:A23,$A23,$F$2:F23,"&lt;="&amp;$F23)-AVERAGEIFS($AP$2:AP23,$A$2:A23,$A23,$F$2:F23,"&lt;="&amp;$F23)),"")</f>
        <v>-</v>
      </c>
      <c r="AT23" s="390" t="str">
        <f>IFERROR(IF(R24=0,"-",AVERAGEIFS($AQ$2:AQ23,$A$2:A23,A23,$C$2:C23,C23)-AVERAGEIFS($AP$2:AP23,$A$2:A23,A23,$C$2:C23,C23)),"")</f>
        <v>-</v>
      </c>
      <c r="AU23" s="79"/>
      <c r="AV23" s="452">
        <f>'Overall Metrics'!AS28</f>
        <v>0</v>
      </c>
      <c r="AW23" s="450" t="str">
        <f t="shared" si="20"/>
        <v/>
      </c>
      <c r="AX23" s="453" t="str">
        <f>IFERROR(IF(R27=0,"-",AVERAGEIFS($AV$2:AV23,$A$2:A23,$A23,$F$2:F23,"&lt;="&amp;$F23)-AVERAGEIFS($AU$2:AU23,$A$2:A23,$A23,$F$2:F23,"&lt;="&amp;$F23)),"")</f>
        <v>-</v>
      </c>
      <c r="AY23" s="453" t="str">
        <f>IFERROR(IF(R27=0,"-",AVERAGEIFS($AV$2:AV23,$A$2:A23,A23,$C$2:C23,C23)-AVERAGEIFS($AU$2:AU23,$A$2:A23,A23,$C$2:C23,C23)),"")</f>
        <v>-</v>
      </c>
      <c r="AZ23" s="86"/>
      <c r="BA23" s="449">
        <f>'Glass Metrics'!AC28</f>
        <v>0</v>
      </c>
      <c r="BB23" s="450" t="str">
        <f t="shared" si="21"/>
        <v/>
      </c>
      <c r="BC23" s="450" t="str">
        <f>IFERROR(IF(R23=0,"-",AVERAGEIFS($BA$2:BA23,$A$2:A23,$A23,$F$2:F23,"&lt;="&amp;$F23)/AVERAGEIFS($AZ$2:AZ23,$A$2:A23,$A23,$F$2:F23,"&lt;="&amp;$F23)-1),"")</f>
        <v>-</v>
      </c>
      <c r="BD23" s="269" t="str">
        <f>IFERROR(IF(R23=0,"-",AVERAGEIFS($BA$2:BA23,$A$2:A23,A23,$C$2:C23,C23)/AVERAGEIFS($AZ$2:AZ23,$A$2:A23,A23,$C$2:C23,C23)-1),"")</f>
        <v>-</v>
      </c>
    </row>
    <row r="24" spans="1:56" ht="16.350000000000001" customHeight="1">
      <c r="A24" s="175">
        <f t="shared" si="0"/>
        <v>2021</v>
      </c>
      <c r="B24" s="447" t="str">
        <f t="shared" si="1"/>
        <v>23</v>
      </c>
      <c r="C24" s="447" t="str">
        <f t="array" ref="C24">_xlfn.IFS(_xlfn.NUMBERVALUE(B24)&lt;=13,"Q1",AND(_xlfn.NUMBERVALUE(B24)&gt;13,_xlfn.NUMBERVALUE(B24)&lt;=26),"Q2", AND(_xlfn.NUMBERVALUE(B24)&gt;26,_xlfn.NUMBERVALUE(B24)&lt;=39),"Q3",_xlfn.NUMBERVALUE(B24)&gt;39,"Q4")</f>
        <v>Q2</v>
      </c>
      <c r="D24" s="448">
        <f t="shared" si="22"/>
        <v>44016</v>
      </c>
      <c r="E24" s="448">
        <f t="shared" si="2"/>
        <v>44022</v>
      </c>
      <c r="F24" s="79">
        <v>202023</v>
      </c>
      <c r="G24" s="103"/>
      <c r="H24" s="429"/>
      <c r="I24" s="429"/>
      <c r="J24" s="214">
        <f t="shared" si="3"/>
        <v>0</v>
      </c>
      <c r="K24" s="429"/>
      <c r="L24" s="429"/>
      <c r="M24" s="429"/>
      <c r="N24" s="214">
        <f t="shared" si="4"/>
        <v>0</v>
      </c>
      <c r="O24" s="449">
        <f>'Overall Metrics'!L29</f>
        <v>0</v>
      </c>
      <c r="P24" s="449">
        <f>'Overall Metrics'!M29</f>
        <v>0</v>
      </c>
      <c r="Q24" s="449">
        <f>'Overall Metrics'!N29</f>
        <v>0</v>
      </c>
      <c r="R24" s="449">
        <f t="shared" si="5"/>
        <v>0</v>
      </c>
      <c r="S24" s="180">
        <f t="shared" si="6"/>
        <v>0</v>
      </c>
      <c r="T24" s="449">
        <f t="shared" si="7"/>
        <v>0</v>
      </c>
      <c r="U24" s="449">
        <f t="shared" si="8"/>
        <v>0</v>
      </c>
      <c r="V24" s="450" t="str">
        <f t="shared" si="9"/>
        <v/>
      </c>
      <c r="W24" s="450" t="str">
        <f>IF(R24=0,"-",SUMIFS($R$2:R24,$A$2:A24,A24,$C$2:C24,C24)/SUMIFS($J$2:J24,$A$2:A24,A24,$C$2:C24,C24)-1)</f>
        <v>-</v>
      </c>
      <c r="X24" s="450" t="str">
        <f t="shared" si="10"/>
        <v/>
      </c>
      <c r="Y24" s="450" t="str">
        <f>IFERROR(IF(R24=0,"-",SUMIFS($R$2:R24,$A$2:A24,A24,$C$2:C24,C24)/SUMIFS($N$2:N24,$A$2:A24,A24,$C$2:C24,C24)-1),"")</f>
        <v>-</v>
      </c>
      <c r="Z24" s="269" t="str">
        <f>IF(R24=0,"",(S24/VLOOKUP(_xlfn.NUMBERVALUE(_xlfn.CONCAT(LEFT(F24,4),52)),$F$2:T231,COLUMNS($F$2:T231),FALSE)))</f>
        <v/>
      </c>
      <c r="AA24" s="269" t="str">
        <f>IFERROR(IF(R24=0,"",(S24/VLOOKUP(_xlfn.NUMBERVALUE(_xlfn.CONCAT(LEFT(F24,4),52)),$F$2:U231,COLUMNS($F$2:U231),FALSE))),"")</f>
        <v/>
      </c>
      <c r="AB24" s="268" t="str">
        <f t="shared" si="11"/>
        <v/>
      </c>
      <c r="AC24" s="450" t="str">
        <f t="shared" si="12"/>
        <v/>
      </c>
      <c r="AD24" s="450" t="str">
        <f t="shared" si="13"/>
        <v/>
      </c>
      <c r="AE24" s="269" t="str">
        <f t="shared" si="14"/>
        <v/>
      </c>
      <c r="AF24" s="268" t="str">
        <f t="shared" si="15"/>
        <v/>
      </c>
      <c r="AG24" s="450" t="str">
        <f t="shared" si="16"/>
        <v/>
      </c>
      <c r="AH24" s="450" t="str">
        <f t="shared" si="17"/>
        <v/>
      </c>
      <c r="AI24" s="269" t="str">
        <f t="shared" si="18"/>
        <v/>
      </c>
      <c r="AJ24" s="450" t="str">
        <f>IF(O24=0,"-",SUMIFS($O$2:O24,$A$2:A24,$A24,$F$2:F24,"&lt;="&amp;$F24)/SUMIFS($G$2:G24,$A$2:A24,$A24,$F$2:F24,"&lt;="&amp;$F24)-1)</f>
        <v>-</v>
      </c>
      <c r="AK24" s="450" t="str">
        <f>IF(P24=0,"-",SUMIFS($P$2:P24,$A$2:A24,$A24,$F$2:F24,"&lt;="&amp;$F24)/SUMIFS($H$2:H24,$A$2:A24,$A24,$F$2:F24,"&lt;="&amp;$F24)-1)</f>
        <v>-</v>
      </c>
      <c r="AL24" s="450" t="str">
        <f>IF(Q24=0,"-",SUMIFS($Q$2:Q24,$A$2:A24,$A24,$F$2:F24,"&lt;="&amp;$F24)/SUMIFS($I$2:I24,$A$2:A24,$A24,$F$2:F24,"&lt;="&amp;$F24)-1)</f>
        <v>-</v>
      </c>
      <c r="AM24" s="450" t="str">
        <f>IFERROR(IF(O24=0,"-",SUMIFS($O$2:O24,$A$2:A24,$A24,$F$2:F24,"&lt;="&amp;$F24)/SUMIFS($K$2:K24,$A$2:A24,$A24,$F$2:F24,"&lt;="&amp;$F24)-1),"")</f>
        <v>-</v>
      </c>
      <c r="AN24" s="450" t="str">
        <f>IFERROR(IF(P24=0,"-",SUMIFS($P$2:P24,$A$2:A24,$A24,$F$2:F24,"&lt;="&amp;$F24)/SUMIFS($L$2:L24,$A$2:A24,$A24,$F$2:F24,"&lt;="&amp;$F24)-1),"")</f>
        <v>-</v>
      </c>
      <c r="AO24" s="450" t="str">
        <f>IFERROR(IF(Q24=0,"-",SUMIFS($Q$2:Q24,$A$2:A24,$A24,$F$2:F24,"&lt;="&amp;$F24)/SUMIFS($M$2:M24,$A$2:A24,$A24,$F$2:F24,"&lt;="&amp;$F24)-1),"")</f>
        <v>-</v>
      </c>
      <c r="AP24" s="86"/>
      <c r="AQ24" s="452">
        <f>'Overall Metrics'!AO29</f>
        <v>0</v>
      </c>
      <c r="AR24" s="450">
        <f t="shared" si="19"/>
        <v>0</v>
      </c>
      <c r="AS24" s="453" t="str">
        <f>IFERROR(IF(R25=0,"-",AVERAGEIFS($AQ$2:AQ24,$A$2:A24,$A24,$F$2:F24,"&lt;="&amp;$F24)-AVERAGEIFS($AP$2:AP24,$A$2:A24,$A24,$F$2:F24,"&lt;="&amp;$F24)),"")</f>
        <v>-</v>
      </c>
      <c r="AT24" s="390" t="str">
        <f>IFERROR(IF(R25=0,"-",AVERAGEIFS($AQ$2:AQ24,$A$2:A24,A24,$C$2:C24,C24)-AVERAGEIFS($AP$2:AP24,$A$2:A24,A24,$C$2:C24,C24)),"")</f>
        <v>-</v>
      </c>
      <c r="AU24" s="79"/>
      <c r="AV24" s="452">
        <f>'Overall Metrics'!AS29</f>
        <v>0</v>
      </c>
      <c r="AW24" s="450" t="str">
        <f t="shared" si="20"/>
        <v/>
      </c>
      <c r="AX24" s="453" t="str">
        <f>IFERROR(IF(R28=0,"-",AVERAGEIFS($AV$2:AV24,$A$2:A24,$A24,$F$2:F24,"&lt;="&amp;$F24)-AVERAGEIFS($AU$2:AU24,$A$2:A24,$A24,$F$2:F24,"&lt;="&amp;$F24)),"")</f>
        <v>-</v>
      </c>
      <c r="AY24" s="453" t="str">
        <f>IFERROR(IF(R28=0,"-",AVERAGEIFS($AV$2:AV24,$A$2:A24,A24,$C$2:C24,C24)-AVERAGEIFS($AU$2:AU24,$A$2:A24,A24,$C$2:C24,C24)),"")</f>
        <v>-</v>
      </c>
      <c r="AZ24" s="86"/>
      <c r="BA24" s="449">
        <f>'Glass Metrics'!AC29</f>
        <v>0</v>
      </c>
      <c r="BB24" s="450" t="str">
        <f t="shared" si="21"/>
        <v/>
      </c>
      <c r="BC24" s="450" t="str">
        <f>IFERROR(IF(R24=0,"-",AVERAGEIFS($BA$2:BA24,$A$2:A24,$A24,$F$2:F24,"&lt;="&amp;$F24)/AVERAGEIFS($AZ$2:AZ24,$A$2:A24,$A24,$F$2:F24,"&lt;="&amp;$F24)-1),"")</f>
        <v>-</v>
      </c>
      <c r="BD24" s="269" t="str">
        <f>IFERROR(IF(R24=0,"-",AVERAGEIFS($BA$2:BA24,$A$2:A24,A24,$C$2:C24,C24)/AVERAGEIFS($AZ$2:AZ24,$A$2:A24,A24,$C$2:C24,C24)-1),"")</f>
        <v>-</v>
      </c>
    </row>
    <row r="25" spans="1:56" ht="16.350000000000001" customHeight="1">
      <c r="A25" s="175">
        <f t="shared" si="0"/>
        <v>2021</v>
      </c>
      <c r="B25" s="447" t="str">
        <f t="shared" si="1"/>
        <v>24</v>
      </c>
      <c r="C25" s="447" t="str">
        <f t="array" ref="C25">_xlfn.IFS(_xlfn.NUMBERVALUE(B25)&lt;=13,"Q1",AND(_xlfn.NUMBERVALUE(B25)&gt;13,_xlfn.NUMBERVALUE(B25)&lt;=26),"Q2", AND(_xlfn.NUMBERVALUE(B25)&gt;26,_xlfn.NUMBERVALUE(B25)&lt;=39),"Q3",_xlfn.NUMBERVALUE(B25)&gt;39,"Q4")</f>
        <v>Q2</v>
      </c>
      <c r="D25" s="448">
        <f t="shared" si="22"/>
        <v>44023</v>
      </c>
      <c r="E25" s="448">
        <f t="shared" si="2"/>
        <v>44029</v>
      </c>
      <c r="F25" s="79">
        <v>202024</v>
      </c>
      <c r="G25" s="103"/>
      <c r="H25" s="429"/>
      <c r="I25" s="429"/>
      <c r="J25" s="214">
        <f t="shared" si="3"/>
        <v>0</v>
      </c>
      <c r="K25" s="429"/>
      <c r="L25" s="429"/>
      <c r="M25" s="429"/>
      <c r="N25" s="214">
        <f t="shared" si="4"/>
        <v>0</v>
      </c>
      <c r="O25" s="449">
        <f>'Overall Metrics'!L30</f>
        <v>0</v>
      </c>
      <c r="P25" s="449">
        <f>'Overall Metrics'!M30</f>
        <v>0</v>
      </c>
      <c r="Q25" s="449">
        <f>'Overall Metrics'!N30</f>
        <v>0</v>
      </c>
      <c r="R25" s="449">
        <f t="shared" si="5"/>
        <v>0</v>
      </c>
      <c r="S25" s="180">
        <f t="shared" si="6"/>
        <v>0</v>
      </c>
      <c r="T25" s="449">
        <f t="shared" si="7"/>
        <v>0</v>
      </c>
      <c r="U25" s="449">
        <f t="shared" si="8"/>
        <v>0</v>
      </c>
      <c r="V25" s="450" t="str">
        <f t="shared" si="9"/>
        <v/>
      </c>
      <c r="W25" s="450" t="str">
        <f>IF(R25=0,"-",SUMIFS($R$2:R25,$A$2:A25,A25,$C$2:C25,C25)/SUMIFS($J$2:J25,$A$2:A25,A25,$C$2:C25,C25)-1)</f>
        <v>-</v>
      </c>
      <c r="X25" s="450" t="str">
        <f t="shared" si="10"/>
        <v/>
      </c>
      <c r="Y25" s="450" t="str">
        <f>IFERROR(IF(R25=0,"-",SUMIFS($R$2:R25,$A$2:A25,A25,$C$2:C25,C25)/SUMIFS($N$2:N25,$A$2:A25,A25,$C$2:C25,C25)-1),"")</f>
        <v>-</v>
      </c>
      <c r="Z25" s="269" t="str">
        <f>IF(R25=0,"",(S25/VLOOKUP(_xlfn.NUMBERVALUE(_xlfn.CONCAT(LEFT(F25,4),52)),$F$2:T232,COLUMNS($F$2:T232),FALSE)))</f>
        <v/>
      </c>
      <c r="AA25" s="269" t="str">
        <f>IFERROR(IF(R25=0,"",(S25/VLOOKUP(_xlfn.NUMBERVALUE(_xlfn.CONCAT(LEFT(F25,4),52)),$F$2:U232,COLUMNS($F$2:U232),FALSE))),"")</f>
        <v/>
      </c>
      <c r="AB25" s="268" t="str">
        <f t="shared" si="11"/>
        <v/>
      </c>
      <c r="AC25" s="450" t="str">
        <f t="shared" si="12"/>
        <v/>
      </c>
      <c r="AD25" s="450" t="str">
        <f t="shared" si="13"/>
        <v/>
      </c>
      <c r="AE25" s="269" t="str">
        <f t="shared" si="14"/>
        <v/>
      </c>
      <c r="AF25" s="268" t="str">
        <f t="shared" si="15"/>
        <v/>
      </c>
      <c r="AG25" s="450" t="str">
        <f t="shared" si="16"/>
        <v/>
      </c>
      <c r="AH25" s="450" t="str">
        <f t="shared" si="17"/>
        <v/>
      </c>
      <c r="AI25" s="269" t="str">
        <f t="shared" si="18"/>
        <v/>
      </c>
      <c r="AJ25" s="450" t="str">
        <f>IF(O25=0,"-",SUMIFS($O$2:O25,$A$2:A25,$A25,$F$2:F25,"&lt;="&amp;$F25)/SUMIFS($G$2:G25,$A$2:A25,$A25,$F$2:F25,"&lt;="&amp;$F25)-1)</f>
        <v>-</v>
      </c>
      <c r="AK25" s="450" t="str">
        <f>IF(P25=0,"-",SUMIFS($P$2:P25,$A$2:A25,$A25,$F$2:F25,"&lt;="&amp;$F25)/SUMIFS($H$2:H25,$A$2:A25,$A25,$F$2:F25,"&lt;="&amp;$F25)-1)</f>
        <v>-</v>
      </c>
      <c r="AL25" s="450" t="str">
        <f>IF(Q25=0,"-",SUMIFS($Q$2:Q25,$A$2:A25,$A25,$F$2:F25,"&lt;="&amp;$F25)/SUMIFS($I$2:I25,$A$2:A25,$A25,$F$2:F25,"&lt;="&amp;$F25)-1)</f>
        <v>-</v>
      </c>
      <c r="AM25" s="450" t="str">
        <f>IFERROR(IF(O25=0,"-",SUMIFS($O$2:O25,$A$2:A25,$A25,$F$2:F25,"&lt;="&amp;$F25)/SUMIFS($K$2:K25,$A$2:A25,$A25,$F$2:F25,"&lt;="&amp;$F25)-1),"")</f>
        <v>-</v>
      </c>
      <c r="AN25" s="450" t="str">
        <f>IFERROR(IF(P25=0,"-",SUMIFS($P$2:P25,$A$2:A25,$A25,$F$2:F25,"&lt;="&amp;$F25)/SUMIFS($L$2:L25,$A$2:A25,$A25,$F$2:F25,"&lt;="&amp;$F25)-1),"")</f>
        <v>-</v>
      </c>
      <c r="AO25" s="450" t="str">
        <f>IFERROR(IF(Q25=0,"-",SUMIFS($Q$2:Q25,$A$2:A25,$A25,$F$2:F25,"&lt;="&amp;$F25)/SUMIFS($M$2:M25,$A$2:A25,$A25,$F$2:F25,"&lt;="&amp;$F25)-1),"")</f>
        <v>-</v>
      </c>
      <c r="AP25" s="86"/>
      <c r="AQ25" s="452">
        <f>'Overall Metrics'!AO30</f>
        <v>0</v>
      </c>
      <c r="AR25" s="450">
        <f t="shared" si="19"/>
        <v>0</v>
      </c>
      <c r="AS25" s="453" t="str">
        <f>IFERROR(IF(R26=0,"-",AVERAGEIFS($AQ$2:AQ25,$A$2:A25,$A25,$F$2:F25,"&lt;="&amp;$F25)-AVERAGEIFS($AP$2:AP25,$A$2:A25,$A25,$F$2:F25,"&lt;="&amp;$F25)),"")</f>
        <v>-</v>
      </c>
      <c r="AT25" s="390" t="str">
        <f>IFERROR(IF(R26=0,"-",AVERAGEIFS($AQ$2:AQ25,$A$2:A25,A25,$C$2:C25,C25)-AVERAGEIFS($AP$2:AP25,$A$2:A25,A25,$C$2:C25,C25)),"")</f>
        <v>-</v>
      </c>
      <c r="AU25" s="79"/>
      <c r="AV25" s="452">
        <f>'Overall Metrics'!AS30</f>
        <v>0</v>
      </c>
      <c r="AW25" s="450" t="str">
        <f t="shared" si="20"/>
        <v/>
      </c>
      <c r="AX25" s="453" t="str">
        <f>IFERROR(IF(R29=0,"-",AVERAGEIFS($AV$2:AV25,$A$2:A25,$A25,$F$2:F25,"&lt;="&amp;$F25)-AVERAGEIFS($AU$2:AU25,$A$2:A25,$A25,$F$2:F25,"&lt;="&amp;$F25)),"")</f>
        <v>-</v>
      </c>
      <c r="AY25" s="453" t="str">
        <f>IFERROR(IF(R29=0,"-",AVERAGEIFS($AV$2:AV25,$A$2:A25,A25,$C$2:C25,C25)-AVERAGEIFS($AU$2:AU25,$A$2:A25,A25,$C$2:C25,C25)),"")</f>
        <v>-</v>
      </c>
      <c r="AZ25" s="86"/>
      <c r="BA25" s="449">
        <f>'Glass Metrics'!AC30</f>
        <v>0</v>
      </c>
      <c r="BB25" s="450" t="str">
        <f t="shared" si="21"/>
        <v/>
      </c>
      <c r="BC25" s="450" t="str">
        <f>IFERROR(IF(R25=0,"-",AVERAGEIFS($BA$2:BA25,$A$2:A25,$A25,$F$2:F25,"&lt;="&amp;$F25)/AVERAGEIFS($AZ$2:AZ25,$A$2:A25,$A25,$F$2:F25,"&lt;="&amp;$F25)-1),"")</f>
        <v>-</v>
      </c>
      <c r="BD25" s="269" t="str">
        <f>IFERROR(IF(R25=0,"-",AVERAGEIFS($BA$2:BA25,$A$2:A25,A25,$C$2:C25,C25)/AVERAGEIFS($AZ$2:AZ25,$A$2:A25,A25,$C$2:C25,C25)-1),"")</f>
        <v>-</v>
      </c>
    </row>
    <row r="26" spans="1:56" ht="16.350000000000001" customHeight="1">
      <c r="A26" s="175">
        <f t="shared" si="0"/>
        <v>2021</v>
      </c>
      <c r="B26" s="447" t="str">
        <f t="shared" si="1"/>
        <v>25</v>
      </c>
      <c r="C26" s="447" t="str">
        <f t="array" ref="C26">_xlfn.IFS(_xlfn.NUMBERVALUE(B26)&lt;=13,"Q1",AND(_xlfn.NUMBERVALUE(B26)&gt;13,_xlfn.NUMBERVALUE(B26)&lt;=26),"Q2", AND(_xlfn.NUMBERVALUE(B26)&gt;26,_xlfn.NUMBERVALUE(B26)&lt;=39),"Q3",_xlfn.NUMBERVALUE(B26)&gt;39,"Q4")</f>
        <v>Q2</v>
      </c>
      <c r="D26" s="448">
        <f t="shared" si="22"/>
        <v>44030</v>
      </c>
      <c r="E26" s="448">
        <f t="shared" si="2"/>
        <v>44036</v>
      </c>
      <c r="F26" s="79">
        <v>202025</v>
      </c>
      <c r="G26" s="103"/>
      <c r="H26" s="429"/>
      <c r="I26" s="429"/>
      <c r="J26" s="214">
        <f t="shared" si="3"/>
        <v>0</v>
      </c>
      <c r="K26" s="429"/>
      <c r="L26" s="429"/>
      <c r="M26" s="429"/>
      <c r="N26" s="214">
        <f t="shared" si="4"/>
        <v>0</v>
      </c>
      <c r="O26" s="449">
        <f>'Overall Metrics'!L31</f>
        <v>0</v>
      </c>
      <c r="P26" s="449">
        <f>'Overall Metrics'!M31</f>
        <v>0</v>
      </c>
      <c r="Q26" s="449">
        <f>'Overall Metrics'!N31</f>
        <v>0</v>
      </c>
      <c r="R26" s="449">
        <f t="shared" si="5"/>
        <v>0</v>
      </c>
      <c r="S26" s="180">
        <f t="shared" si="6"/>
        <v>0</v>
      </c>
      <c r="T26" s="449">
        <f t="shared" si="7"/>
        <v>0</v>
      </c>
      <c r="U26" s="449">
        <f t="shared" si="8"/>
        <v>0</v>
      </c>
      <c r="V26" s="450" t="str">
        <f t="shared" si="9"/>
        <v/>
      </c>
      <c r="W26" s="450" t="str">
        <f>IF(R26=0,"-",SUMIFS($R$2:R26,$A$2:A26,A26,$C$2:C26,C26)/SUMIFS($J$2:J26,$A$2:A26,A26,$C$2:C26,C26)-1)</f>
        <v>-</v>
      </c>
      <c r="X26" s="450" t="str">
        <f t="shared" si="10"/>
        <v/>
      </c>
      <c r="Y26" s="450" t="str">
        <f>IFERROR(IF(R26=0,"-",SUMIFS($R$2:R26,$A$2:A26,A26,$C$2:C26,C26)/SUMIFS($N$2:N26,$A$2:A26,A26,$C$2:C26,C26)-1),"")</f>
        <v>-</v>
      </c>
      <c r="Z26" s="269" t="str">
        <f>IF(R26=0,"",(S26/VLOOKUP(_xlfn.NUMBERVALUE(_xlfn.CONCAT(LEFT(F26,4),52)),$F$2:T233,COLUMNS($F$2:T233),FALSE)))</f>
        <v/>
      </c>
      <c r="AA26" s="269" t="str">
        <f>IFERROR(IF(R26=0,"",(S26/VLOOKUP(_xlfn.NUMBERVALUE(_xlfn.CONCAT(LEFT(F26,4),52)),$F$2:U233,COLUMNS($F$2:U233),FALSE))),"")</f>
        <v/>
      </c>
      <c r="AB26" s="268" t="str">
        <f t="shared" si="11"/>
        <v/>
      </c>
      <c r="AC26" s="450" t="str">
        <f t="shared" si="12"/>
        <v/>
      </c>
      <c r="AD26" s="450" t="str">
        <f t="shared" si="13"/>
        <v/>
      </c>
      <c r="AE26" s="269" t="str">
        <f t="shared" si="14"/>
        <v/>
      </c>
      <c r="AF26" s="268" t="str">
        <f t="shared" si="15"/>
        <v/>
      </c>
      <c r="AG26" s="450" t="str">
        <f t="shared" si="16"/>
        <v/>
      </c>
      <c r="AH26" s="450" t="str">
        <f t="shared" si="17"/>
        <v/>
      </c>
      <c r="AI26" s="269" t="str">
        <f t="shared" si="18"/>
        <v/>
      </c>
      <c r="AJ26" s="450" t="str">
        <f>IF(O26=0,"-",SUMIFS($O$2:O26,$A$2:A26,$A26,$F$2:F26,"&lt;="&amp;$F26)/SUMIFS($G$2:G26,$A$2:A26,$A26,$F$2:F26,"&lt;="&amp;$F26)-1)</f>
        <v>-</v>
      </c>
      <c r="AK26" s="450" t="str">
        <f>IF(P26=0,"-",SUMIFS($P$2:P26,$A$2:A26,$A26,$F$2:F26,"&lt;="&amp;$F26)/SUMIFS($H$2:H26,$A$2:A26,$A26,$F$2:F26,"&lt;="&amp;$F26)-1)</f>
        <v>-</v>
      </c>
      <c r="AL26" s="450" t="str">
        <f>IF(Q26=0,"-",SUMIFS($Q$2:Q26,$A$2:A26,$A26,$F$2:F26,"&lt;="&amp;$F26)/SUMIFS($I$2:I26,$A$2:A26,$A26,$F$2:F26,"&lt;="&amp;$F26)-1)</f>
        <v>-</v>
      </c>
      <c r="AM26" s="450" t="str">
        <f>IFERROR(IF(O26=0,"-",SUMIFS($O$2:O26,$A$2:A26,$A26,$F$2:F26,"&lt;="&amp;$F26)/SUMIFS($K$2:K26,$A$2:A26,$A26,$F$2:F26,"&lt;="&amp;$F26)-1),"")</f>
        <v>-</v>
      </c>
      <c r="AN26" s="450" t="str">
        <f>IFERROR(IF(P26=0,"-",SUMIFS($P$2:P26,$A$2:A26,$A26,$F$2:F26,"&lt;="&amp;$F26)/SUMIFS($L$2:L26,$A$2:A26,$A26,$F$2:F26,"&lt;="&amp;$F26)-1),"")</f>
        <v>-</v>
      </c>
      <c r="AO26" s="450" t="str">
        <f>IFERROR(IF(Q26=0,"-",SUMIFS($Q$2:Q26,$A$2:A26,$A26,$F$2:F26,"&lt;="&amp;$F26)/SUMIFS($M$2:M26,$A$2:A26,$A26,$F$2:F26,"&lt;="&amp;$F26)-1),"")</f>
        <v>-</v>
      </c>
      <c r="AP26" s="86"/>
      <c r="AQ26" s="452">
        <f>'Overall Metrics'!AO31</f>
        <v>0</v>
      </c>
      <c r="AR26" s="450">
        <f t="shared" si="19"/>
        <v>0</v>
      </c>
      <c r="AS26" s="453" t="str">
        <f>IFERROR(IF(R27=0,"-",AVERAGEIFS($AQ$2:AQ26,$A$2:A26,$A26,$F$2:F26,"&lt;="&amp;$F26)-AVERAGEIFS($AP$2:AP26,$A$2:A26,$A26,$F$2:F26,"&lt;="&amp;$F26)),"")</f>
        <v>-</v>
      </c>
      <c r="AT26" s="390" t="str">
        <f>IFERROR(IF(R27=0,"-",AVERAGEIFS($AQ$2:AQ26,$A$2:A26,A26,$C$2:C26,C26)-AVERAGEIFS($AP$2:AP26,$A$2:A26,A26,$C$2:C26,C26)),"")</f>
        <v>-</v>
      </c>
      <c r="AU26" s="79"/>
      <c r="AV26" s="452">
        <f>'Overall Metrics'!AS31</f>
        <v>0</v>
      </c>
      <c r="AW26" s="450" t="str">
        <f t="shared" si="20"/>
        <v/>
      </c>
      <c r="AX26" s="453" t="str">
        <f>IFERROR(IF(R30=0,"-",AVERAGEIFS($AV$2:AV26,$A$2:A26,$A26,$F$2:F26,"&lt;="&amp;$F26)-AVERAGEIFS($AU$2:AU26,$A$2:A26,$A26,$F$2:F26,"&lt;="&amp;$F26)),"")</f>
        <v>-</v>
      </c>
      <c r="AY26" s="453" t="str">
        <f>IFERROR(IF(R30=0,"-",AVERAGEIFS($AV$2:AV26,$A$2:A26,A26,$C$2:C26,C26)-AVERAGEIFS($AU$2:AU26,$A$2:A26,A26,$C$2:C26,C26)),"")</f>
        <v>-</v>
      </c>
      <c r="AZ26" s="86"/>
      <c r="BA26" s="449">
        <f>'Glass Metrics'!AC31</f>
        <v>0</v>
      </c>
      <c r="BB26" s="450" t="str">
        <f t="shared" si="21"/>
        <v/>
      </c>
      <c r="BC26" s="450" t="str">
        <f>IFERROR(IF(R26=0,"-",AVERAGEIFS($BA$2:BA26,$A$2:A26,$A26,$F$2:F26,"&lt;="&amp;$F26)/AVERAGEIFS($AZ$2:AZ26,$A$2:A26,$A26,$F$2:F26,"&lt;="&amp;$F26)-1),"")</f>
        <v>-</v>
      </c>
      <c r="BD26" s="269" t="str">
        <f>IFERROR(IF(R26=0,"-",AVERAGEIFS($BA$2:BA26,$A$2:A26,A26,$C$2:C26,C26)/AVERAGEIFS($AZ$2:AZ26,$A$2:A26,A26,$C$2:C26,C26)-1),"")</f>
        <v>-</v>
      </c>
    </row>
    <row r="27" spans="1:56" ht="16.350000000000001" customHeight="1">
      <c r="A27" s="175">
        <f t="shared" si="0"/>
        <v>2021</v>
      </c>
      <c r="B27" s="447" t="str">
        <f t="shared" si="1"/>
        <v>26</v>
      </c>
      <c r="C27" s="447" t="str">
        <f t="array" ref="C27">_xlfn.IFS(_xlfn.NUMBERVALUE(B27)&lt;=13,"Q1",AND(_xlfn.NUMBERVALUE(B27)&gt;13,_xlfn.NUMBERVALUE(B27)&lt;=26),"Q2", AND(_xlfn.NUMBERVALUE(B27)&gt;26,_xlfn.NUMBERVALUE(B27)&lt;=39),"Q3",_xlfn.NUMBERVALUE(B27)&gt;39,"Q4")</f>
        <v>Q2</v>
      </c>
      <c r="D27" s="448">
        <f t="shared" si="22"/>
        <v>44037</v>
      </c>
      <c r="E27" s="448">
        <f t="shared" si="2"/>
        <v>44043</v>
      </c>
      <c r="F27" s="79">
        <v>202026</v>
      </c>
      <c r="G27" s="103"/>
      <c r="H27" s="429"/>
      <c r="I27" s="429"/>
      <c r="J27" s="214">
        <f t="shared" si="3"/>
        <v>0</v>
      </c>
      <c r="K27" s="429"/>
      <c r="L27" s="429"/>
      <c r="M27" s="429"/>
      <c r="N27" s="214">
        <f t="shared" si="4"/>
        <v>0</v>
      </c>
      <c r="O27" s="449">
        <f>'Overall Metrics'!L32</f>
        <v>0</v>
      </c>
      <c r="P27" s="449">
        <f>'Overall Metrics'!M32</f>
        <v>0</v>
      </c>
      <c r="Q27" s="449">
        <f>'Overall Metrics'!N32</f>
        <v>0</v>
      </c>
      <c r="R27" s="449">
        <f t="shared" si="5"/>
        <v>0</v>
      </c>
      <c r="S27" s="180">
        <f t="shared" si="6"/>
        <v>0</v>
      </c>
      <c r="T27" s="449">
        <f t="shared" si="7"/>
        <v>0</v>
      </c>
      <c r="U27" s="449">
        <f t="shared" si="8"/>
        <v>0</v>
      </c>
      <c r="V27" s="450" t="str">
        <f t="shared" si="9"/>
        <v/>
      </c>
      <c r="W27" s="450" t="str">
        <f>IF(R27=0,"-",SUMIFS($R$2:R27,$A$2:A27,A27,$C$2:C27,C27)/SUMIFS($J$2:J27,$A$2:A27,A27,$C$2:C27,C27)-1)</f>
        <v>-</v>
      </c>
      <c r="X27" s="450" t="str">
        <f t="shared" si="10"/>
        <v/>
      </c>
      <c r="Y27" s="450" t="str">
        <f>IFERROR(IF(R27=0,"-",SUMIFS($R$2:R27,$A$2:A27,A27,$C$2:C27,C27)/SUMIFS($N$2:N27,$A$2:A27,A27,$C$2:C27,C27)-1),"")</f>
        <v>-</v>
      </c>
      <c r="Z27" s="269" t="str">
        <f>IF(R27=0,"",(S27/VLOOKUP(_xlfn.NUMBERVALUE(_xlfn.CONCAT(LEFT(F27,4),52)),$F$2:T234,COLUMNS($F$2:T234),FALSE)))</f>
        <v/>
      </c>
      <c r="AA27" s="269" t="str">
        <f>IFERROR(IF(R27=0,"",(S27/VLOOKUP(_xlfn.NUMBERVALUE(_xlfn.CONCAT(LEFT(F27,4),52)),$F$2:U234,COLUMNS($F$2:U234),FALSE))),"")</f>
        <v/>
      </c>
      <c r="AB27" s="268" t="str">
        <f t="shared" si="11"/>
        <v/>
      </c>
      <c r="AC27" s="450" t="str">
        <f t="shared" si="12"/>
        <v/>
      </c>
      <c r="AD27" s="450" t="str">
        <f t="shared" si="13"/>
        <v/>
      </c>
      <c r="AE27" s="269" t="str">
        <f t="shared" si="14"/>
        <v/>
      </c>
      <c r="AF27" s="268" t="str">
        <f t="shared" si="15"/>
        <v/>
      </c>
      <c r="AG27" s="450" t="str">
        <f t="shared" si="16"/>
        <v/>
      </c>
      <c r="AH27" s="450" t="str">
        <f t="shared" si="17"/>
        <v/>
      </c>
      <c r="AI27" s="269" t="str">
        <f t="shared" si="18"/>
        <v/>
      </c>
      <c r="AJ27" s="450" t="str">
        <f>IF(O27=0,"-",SUMIFS($O$2:O27,$A$2:A27,$A27,$F$2:F27,"&lt;="&amp;$F27)/SUMIFS($G$2:G27,$A$2:A27,$A27,$F$2:F27,"&lt;="&amp;$F27)-1)</f>
        <v>-</v>
      </c>
      <c r="AK27" s="450" t="str">
        <f>IF(P27=0,"-",SUMIFS($P$2:P27,$A$2:A27,$A27,$F$2:F27,"&lt;="&amp;$F27)/SUMIFS($H$2:H27,$A$2:A27,$A27,$F$2:F27,"&lt;="&amp;$F27)-1)</f>
        <v>-</v>
      </c>
      <c r="AL27" s="450" t="str">
        <f>IF(Q27=0,"-",SUMIFS($Q$2:Q27,$A$2:A27,$A27,$F$2:F27,"&lt;="&amp;$F27)/SUMIFS($I$2:I27,$A$2:A27,$A27,$F$2:F27,"&lt;="&amp;$F27)-1)</f>
        <v>-</v>
      </c>
      <c r="AM27" s="450" t="str">
        <f>IFERROR(IF(O27=0,"-",SUMIFS($O$2:O27,$A$2:A27,$A27,$F$2:F27,"&lt;="&amp;$F27)/SUMIFS($K$2:K27,$A$2:A27,$A27,$F$2:F27,"&lt;="&amp;$F27)-1),"")</f>
        <v>-</v>
      </c>
      <c r="AN27" s="450" t="str">
        <f>IFERROR(IF(P27=0,"-",SUMIFS($P$2:P27,$A$2:A27,$A27,$F$2:F27,"&lt;="&amp;$F27)/SUMIFS($L$2:L27,$A$2:A27,$A27,$F$2:F27,"&lt;="&amp;$F27)-1),"")</f>
        <v>-</v>
      </c>
      <c r="AO27" s="450" t="str">
        <f>IFERROR(IF(Q27=0,"-",SUMIFS($Q$2:Q27,$A$2:A27,$A27,$F$2:F27,"&lt;="&amp;$F27)/SUMIFS($M$2:M27,$A$2:A27,$A27,$F$2:F27,"&lt;="&amp;$F27)-1),"")</f>
        <v>-</v>
      </c>
      <c r="AP27" s="86"/>
      <c r="AQ27" s="452">
        <f>'Overall Metrics'!AO32</f>
        <v>0</v>
      </c>
      <c r="AR27" s="450">
        <f t="shared" si="19"/>
        <v>0</v>
      </c>
      <c r="AS27" s="453" t="str">
        <f>IFERROR(IF(R28=0,"-",AVERAGEIFS($AQ$2:AQ27,$A$2:A27,$A27,$F$2:F27,"&lt;="&amp;$F27)-AVERAGEIFS($AP$2:AP27,$A$2:A27,$A27,$F$2:F27,"&lt;="&amp;$F27)),"")</f>
        <v>-</v>
      </c>
      <c r="AT27" s="390" t="str">
        <f>IFERROR(IF(R28=0,"-",AVERAGEIFS($AQ$2:AQ27,$A$2:A27,A27,$C$2:C27,C27)-AVERAGEIFS($AP$2:AP27,$A$2:A27,A27,$C$2:C27,C27)),"")</f>
        <v>-</v>
      </c>
      <c r="AU27" s="79"/>
      <c r="AV27" s="452">
        <f>'Overall Metrics'!AS32</f>
        <v>0</v>
      </c>
      <c r="AW27" s="450" t="str">
        <f t="shared" si="20"/>
        <v/>
      </c>
      <c r="AX27" s="453" t="str">
        <f>IFERROR(IF(R31=0,"-",AVERAGEIFS($AV$2:AV27,$A$2:A27,$A27,$F$2:F27,"&lt;="&amp;$F27)-AVERAGEIFS($AU$2:AU27,$A$2:A27,$A27,$F$2:F27,"&lt;="&amp;$F27)),"")</f>
        <v>-</v>
      </c>
      <c r="AY27" s="453" t="str">
        <f>IFERROR(IF(R31=0,"-",AVERAGEIFS($AV$2:AV27,$A$2:A27,A27,$C$2:C27,C27)-AVERAGEIFS($AU$2:AU27,$A$2:A27,A27,$C$2:C27,C27)),"")</f>
        <v>-</v>
      </c>
      <c r="AZ27" s="86"/>
      <c r="BA27" s="449">
        <f>'Glass Metrics'!AC32</f>
        <v>0</v>
      </c>
      <c r="BB27" s="450" t="str">
        <f t="shared" si="21"/>
        <v/>
      </c>
      <c r="BC27" s="450" t="str">
        <f>IFERROR(IF(R27=0,"-",AVERAGEIFS($BA$2:BA27,$A$2:A27,$A27,$F$2:F27,"&lt;="&amp;$F27)/AVERAGEIFS($AZ$2:AZ27,$A$2:A27,$A27,$F$2:F27,"&lt;="&amp;$F27)-1),"")</f>
        <v>-</v>
      </c>
      <c r="BD27" s="269" t="str">
        <f>IFERROR(IF(R27=0,"-",AVERAGEIFS($BA$2:BA27,$A$2:A27,A27,$C$2:C27,C27)/AVERAGEIFS($AZ$2:AZ27,$A$2:A27,A27,$C$2:C27,C27)-1),"")</f>
        <v>-</v>
      </c>
    </row>
    <row r="28" spans="1:56" ht="16.350000000000001" customHeight="1">
      <c r="A28" s="175">
        <f t="shared" si="0"/>
        <v>2021</v>
      </c>
      <c r="B28" s="447" t="str">
        <f t="shared" si="1"/>
        <v>27</v>
      </c>
      <c r="C28" s="447" t="str">
        <f t="array" ref="C28">_xlfn.IFS(_xlfn.NUMBERVALUE(B28)&lt;=13,"Q1",AND(_xlfn.NUMBERVALUE(B28)&gt;13,_xlfn.NUMBERVALUE(B28)&lt;=26),"Q2", AND(_xlfn.NUMBERVALUE(B28)&gt;26,_xlfn.NUMBERVALUE(B28)&lt;=39),"Q3",_xlfn.NUMBERVALUE(B28)&gt;39,"Q4")</f>
        <v>Q3</v>
      </c>
      <c r="D28" s="448">
        <f t="shared" si="22"/>
        <v>44044</v>
      </c>
      <c r="E28" s="448">
        <f t="shared" si="2"/>
        <v>44050</v>
      </c>
      <c r="F28" s="79">
        <v>202027</v>
      </c>
      <c r="G28" s="103"/>
      <c r="H28" s="429"/>
      <c r="I28" s="429"/>
      <c r="J28" s="214">
        <f t="shared" si="3"/>
        <v>0</v>
      </c>
      <c r="K28" s="429"/>
      <c r="L28" s="429"/>
      <c r="M28" s="429"/>
      <c r="N28" s="214">
        <f t="shared" si="4"/>
        <v>0</v>
      </c>
      <c r="O28" s="449">
        <f>'Overall Metrics'!L33</f>
        <v>0</v>
      </c>
      <c r="P28" s="449">
        <f>'Overall Metrics'!M33</f>
        <v>0</v>
      </c>
      <c r="Q28" s="449">
        <f>'Overall Metrics'!N33</f>
        <v>0</v>
      </c>
      <c r="R28" s="449">
        <f t="shared" si="5"/>
        <v>0</v>
      </c>
      <c r="S28" s="180">
        <f t="shared" si="6"/>
        <v>0</v>
      </c>
      <c r="T28" s="449">
        <f t="shared" si="7"/>
        <v>0</v>
      </c>
      <c r="U28" s="449">
        <f t="shared" si="8"/>
        <v>0</v>
      </c>
      <c r="V28" s="450" t="str">
        <f t="shared" si="9"/>
        <v/>
      </c>
      <c r="W28" s="450" t="str">
        <f>IF(R28=0,"-",SUMIFS($R$2:R28,$A$2:A28,A28,$C$2:C28,C28)/SUMIFS($J$2:J28,$A$2:A28,A28,$C$2:C28,C28)-1)</f>
        <v>-</v>
      </c>
      <c r="X28" s="450" t="str">
        <f t="shared" si="10"/>
        <v/>
      </c>
      <c r="Y28" s="450" t="str">
        <f>IFERROR(IF(R28=0,"-",SUMIFS($R$2:R28,$A$2:A28,A28,$C$2:C28,C28)/SUMIFS($N$2:N28,$A$2:A28,A28,$C$2:C28,C28)-1),"")</f>
        <v>-</v>
      </c>
      <c r="Z28" s="269" t="str">
        <f>IF(R28=0,"",(S28/VLOOKUP(_xlfn.NUMBERVALUE(_xlfn.CONCAT(LEFT(F28,4),52)),$F$2:T235,COLUMNS($F$2:T235),FALSE)))</f>
        <v/>
      </c>
      <c r="AA28" s="269" t="str">
        <f>IFERROR(IF(R28=0,"",(S28/VLOOKUP(_xlfn.NUMBERVALUE(_xlfn.CONCAT(LEFT(F28,4),52)),$F$2:U235,COLUMNS($F$2:U235),FALSE))),"")</f>
        <v/>
      </c>
      <c r="AB28" s="268" t="str">
        <f t="shared" si="11"/>
        <v/>
      </c>
      <c r="AC28" s="450" t="str">
        <f t="shared" si="12"/>
        <v/>
      </c>
      <c r="AD28" s="450" t="str">
        <f t="shared" si="13"/>
        <v/>
      </c>
      <c r="AE28" s="269" t="str">
        <f t="shared" si="14"/>
        <v/>
      </c>
      <c r="AF28" s="268" t="str">
        <f t="shared" si="15"/>
        <v/>
      </c>
      <c r="AG28" s="450" t="str">
        <f t="shared" si="16"/>
        <v/>
      </c>
      <c r="AH28" s="450" t="str">
        <f t="shared" si="17"/>
        <v/>
      </c>
      <c r="AI28" s="269" t="str">
        <f t="shared" si="18"/>
        <v/>
      </c>
      <c r="AJ28" s="450" t="str">
        <f>IF(O28=0,"-",SUMIFS($O$2:O28,$A$2:A28,$A28,$F$2:F28,"&lt;="&amp;$F28)/SUMIFS($G$2:G28,$A$2:A28,$A28,$F$2:F28,"&lt;="&amp;$F28)-1)</f>
        <v>-</v>
      </c>
      <c r="AK28" s="450" t="str">
        <f>IF(P28=0,"-",SUMIFS($P$2:P28,$A$2:A28,$A28,$F$2:F28,"&lt;="&amp;$F28)/SUMIFS($H$2:H28,$A$2:A28,$A28,$F$2:F28,"&lt;="&amp;$F28)-1)</f>
        <v>-</v>
      </c>
      <c r="AL28" s="450" t="str">
        <f>IF(Q28=0,"-",SUMIFS($Q$2:Q28,$A$2:A28,$A28,$F$2:F28,"&lt;="&amp;$F28)/SUMIFS($I$2:I28,$A$2:A28,$A28,$F$2:F28,"&lt;="&amp;$F28)-1)</f>
        <v>-</v>
      </c>
      <c r="AM28" s="450" t="str">
        <f>IFERROR(IF(O28=0,"-",SUMIFS($O$2:O28,$A$2:A28,$A28,$F$2:F28,"&lt;="&amp;$F28)/SUMIFS($K$2:K28,$A$2:A28,$A28,$F$2:F28,"&lt;="&amp;$F28)-1),"")</f>
        <v>-</v>
      </c>
      <c r="AN28" s="450" t="str">
        <f>IFERROR(IF(P28=0,"-",SUMIFS($P$2:P28,$A$2:A28,$A28,$F$2:F28,"&lt;="&amp;$F28)/SUMIFS($L$2:L28,$A$2:A28,$A28,$F$2:F28,"&lt;="&amp;$F28)-1),"")</f>
        <v>-</v>
      </c>
      <c r="AO28" s="450" t="str">
        <f>IFERROR(IF(Q28=0,"-",SUMIFS($Q$2:Q28,$A$2:A28,$A28,$F$2:F28,"&lt;="&amp;$F28)/SUMIFS($M$2:M28,$A$2:A28,$A28,$F$2:F28,"&lt;="&amp;$F28)-1),"")</f>
        <v>-</v>
      </c>
      <c r="AP28" s="86"/>
      <c r="AQ28" s="452">
        <f>'Overall Metrics'!AO33</f>
        <v>0</v>
      </c>
      <c r="AR28" s="450">
        <f t="shared" si="19"/>
        <v>0</v>
      </c>
      <c r="AS28" s="453" t="str">
        <f>IFERROR(IF(R29=0,"-",AVERAGEIFS($AQ$2:AQ28,$A$2:A28,$A28,$F$2:F28,"&lt;="&amp;$F28)-AVERAGEIFS($AP$2:AP28,$A$2:A28,$A28,$F$2:F28,"&lt;="&amp;$F28)),"")</f>
        <v>-</v>
      </c>
      <c r="AT28" s="390" t="str">
        <f>IFERROR(IF(R29=0,"-",AVERAGEIFS($AQ$2:AQ28,$A$2:A28,A28,$C$2:C28,C28)-AVERAGEIFS($AP$2:AP28,$A$2:A28,A28,$C$2:C28,C28)),"")</f>
        <v>-</v>
      </c>
      <c r="AU28" s="79"/>
      <c r="AV28" s="452">
        <f>'Overall Metrics'!AS33</f>
        <v>0</v>
      </c>
      <c r="AW28" s="450" t="str">
        <f t="shared" si="20"/>
        <v/>
      </c>
      <c r="AX28" s="453" t="str">
        <f>IFERROR(IF(R32=0,"-",AVERAGEIFS($AV$2:AV28,$A$2:A28,$A28,$F$2:F28,"&lt;="&amp;$F28)-AVERAGEIFS($AU$2:AU28,$A$2:A28,$A28,$F$2:F28,"&lt;="&amp;$F28)),"")</f>
        <v>-</v>
      </c>
      <c r="AY28" s="453" t="str">
        <f>IFERROR(IF(R32=0,"-",AVERAGEIFS($AV$2:AV28,$A$2:A28,A28,$C$2:C28,C28)-AVERAGEIFS($AU$2:AU28,$A$2:A28,A28,$C$2:C28,C28)),"")</f>
        <v>-</v>
      </c>
      <c r="AZ28" s="86"/>
      <c r="BA28" s="449">
        <f>'Glass Metrics'!AC33</f>
        <v>0</v>
      </c>
      <c r="BB28" s="450" t="str">
        <f t="shared" si="21"/>
        <v/>
      </c>
      <c r="BC28" s="450" t="str">
        <f>IFERROR(IF(R28=0,"-",AVERAGEIFS($BA$2:BA28,$A$2:A28,$A28,$F$2:F28,"&lt;="&amp;$F28)/AVERAGEIFS($AZ$2:AZ28,$A$2:A28,$A28,$F$2:F28,"&lt;="&amp;$F28)-1),"")</f>
        <v>-</v>
      </c>
      <c r="BD28" s="269" t="str">
        <f>IFERROR(IF(R28=0,"-",AVERAGEIFS($BA$2:BA28,$A$2:A28,A28,$C$2:C28,C28)/AVERAGEIFS($AZ$2:AZ28,$A$2:A28,A28,$C$2:C28,C28)-1),"")</f>
        <v>-</v>
      </c>
    </row>
    <row r="29" spans="1:56" ht="16.350000000000001" customHeight="1">
      <c r="A29" s="175">
        <f t="shared" si="0"/>
        <v>2021</v>
      </c>
      <c r="B29" s="447" t="str">
        <f t="shared" si="1"/>
        <v>28</v>
      </c>
      <c r="C29" s="447" t="str">
        <f t="array" ref="C29">_xlfn.IFS(_xlfn.NUMBERVALUE(B29)&lt;=13,"Q1",AND(_xlfn.NUMBERVALUE(B29)&gt;13,_xlfn.NUMBERVALUE(B29)&lt;=26),"Q2", AND(_xlfn.NUMBERVALUE(B29)&gt;26,_xlfn.NUMBERVALUE(B29)&lt;=39),"Q3",_xlfn.NUMBERVALUE(B29)&gt;39,"Q4")</f>
        <v>Q3</v>
      </c>
      <c r="D29" s="448">
        <f t="shared" si="22"/>
        <v>44051</v>
      </c>
      <c r="E29" s="448">
        <f t="shared" si="2"/>
        <v>44057</v>
      </c>
      <c r="F29" s="79">
        <v>202028</v>
      </c>
      <c r="G29" s="103"/>
      <c r="H29" s="429"/>
      <c r="I29" s="429"/>
      <c r="J29" s="214">
        <f t="shared" si="3"/>
        <v>0</v>
      </c>
      <c r="K29" s="429"/>
      <c r="L29" s="429"/>
      <c r="M29" s="429"/>
      <c r="N29" s="214">
        <f t="shared" si="4"/>
        <v>0</v>
      </c>
      <c r="O29" s="449">
        <f>'Overall Metrics'!L34</f>
        <v>0</v>
      </c>
      <c r="P29" s="449">
        <f>'Overall Metrics'!M34</f>
        <v>0</v>
      </c>
      <c r="Q29" s="449">
        <f>'Overall Metrics'!N34</f>
        <v>0</v>
      </c>
      <c r="R29" s="449">
        <f t="shared" si="5"/>
        <v>0</v>
      </c>
      <c r="S29" s="180">
        <f t="shared" si="6"/>
        <v>0</v>
      </c>
      <c r="T29" s="449">
        <f t="shared" si="7"/>
        <v>0</v>
      </c>
      <c r="U29" s="449">
        <f t="shared" si="8"/>
        <v>0</v>
      </c>
      <c r="V29" s="450" t="str">
        <f t="shared" si="9"/>
        <v/>
      </c>
      <c r="W29" s="450" t="str">
        <f>IF(R29=0,"-",SUMIFS($R$2:R29,$A$2:A29,A29,$C$2:C29,C29)/SUMIFS($J$2:J29,$A$2:A29,A29,$C$2:C29,C29)-1)</f>
        <v>-</v>
      </c>
      <c r="X29" s="450" t="str">
        <f t="shared" si="10"/>
        <v/>
      </c>
      <c r="Y29" s="450" t="str">
        <f>IFERROR(IF(R29=0,"-",SUMIFS($R$2:R29,$A$2:A29,A29,$C$2:C29,C29)/SUMIFS($N$2:N29,$A$2:A29,A29,$C$2:C29,C29)-1),"")</f>
        <v>-</v>
      </c>
      <c r="Z29" s="269" t="str">
        <f>IF(R29=0,"",(S29/VLOOKUP(_xlfn.NUMBERVALUE(_xlfn.CONCAT(LEFT(F29,4),52)),$F$2:T236,COLUMNS($F$2:T236),FALSE)))</f>
        <v/>
      </c>
      <c r="AA29" s="269" t="str">
        <f>IFERROR(IF(R29=0,"",(S29/VLOOKUP(_xlfn.NUMBERVALUE(_xlfn.CONCAT(LEFT(F29,4),52)),$F$2:U236,COLUMNS($F$2:U236),FALSE))),"")</f>
        <v/>
      </c>
      <c r="AB29" s="268" t="str">
        <f t="shared" si="11"/>
        <v/>
      </c>
      <c r="AC29" s="450" t="str">
        <f t="shared" si="12"/>
        <v/>
      </c>
      <c r="AD29" s="450" t="str">
        <f t="shared" si="13"/>
        <v/>
      </c>
      <c r="AE29" s="269" t="str">
        <f t="shared" si="14"/>
        <v/>
      </c>
      <c r="AF29" s="268" t="str">
        <f t="shared" si="15"/>
        <v/>
      </c>
      <c r="AG29" s="450" t="str">
        <f t="shared" si="16"/>
        <v/>
      </c>
      <c r="AH29" s="450" t="str">
        <f t="shared" si="17"/>
        <v/>
      </c>
      <c r="AI29" s="269" t="str">
        <f t="shared" si="18"/>
        <v/>
      </c>
      <c r="AJ29" s="450" t="str">
        <f>IF(O29=0,"-",SUMIFS($O$2:O29,$A$2:A29,$A29,$F$2:F29,"&lt;="&amp;$F29)/SUMIFS($G$2:G29,$A$2:A29,$A29,$F$2:F29,"&lt;="&amp;$F29)-1)</f>
        <v>-</v>
      </c>
      <c r="AK29" s="450" t="str">
        <f>IF(P29=0,"-",SUMIFS($P$2:P29,$A$2:A29,$A29,$F$2:F29,"&lt;="&amp;$F29)/SUMIFS($H$2:H29,$A$2:A29,$A29,$F$2:F29,"&lt;="&amp;$F29)-1)</f>
        <v>-</v>
      </c>
      <c r="AL29" s="450" t="str">
        <f>IF(Q29=0,"-",SUMIFS($Q$2:Q29,$A$2:A29,$A29,$F$2:F29,"&lt;="&amp;$F29)/SUMIFS($I$2:I29,$A$2:A29,$A29,$F$2:F29,"&lt;="&amp;$F29)-1)</f>
        <v>-</v>
      </c>
      <c r="AM29" s="450" t="str">
        <f>IFERROR(IF(O29=0,"-",SUMIFS($O$2:O29,$A$2:A29,$A29,$F$2:F29,"&lt;="&amp;$F29)/SUMIFS($K$2:K29,$A$2:A29,$A29,$F$2:F29,"&lt;="&amp;$F29)-1),"")</f>
        <v>-</v>
      </c>
      <c r="AN29" s="450" t="str">
        <f>IFERROR(IF(P29=0,"-",SUMIFS($P$2:P29,$A$2:A29,$A29,$F$2:F29,"&lt;="&amp;$F29)/SUMIFS($L$2:L29,$A$2:A29,$A29,$F$2:F29,"&lt;="&amp;$F29)-1),"")</f>
        <v>-</v>
      </c>
      <c r="AO29" s="450" t="str">
        <f>IFERROR(IF(Q29=0,"-",SUMIFS($Q$2:Q29,$A$2:A29,$A29,$F$2:F29,"&lt;="&amp;$F29)/SUMIFS($M$2:M29,$A$2:A29,$A29,$F$2:F29,"&lt;="&amp;$F29)-1),"")</f>
        <v>-</v>
      </c>
      <c r="AP29" s="86"/>
      <c r="AQ29" s="452">
        <f>'Overall Metrics'!AO34</f>
        <v>0</v>
      </c>
      <c r="AR29" s="450">
        <f t="shared" si="19"/>
        <v>0</v>
      </c>
      <c r="AS29" s="453" t="str">
        <f>IFERROR(IF(R30=0,"-",AVERAGEIFS($AQ$2:AQ29,$A$2:A29,$A29,$F$2:F29,"&lt;="&amp;$F29)-AVERAGEIFS($AP$2:AP29,$A$2:A29,$A29,$F$2:F29,"&lt;="&amp;$F29)),"")</f>
        <v>-</v>
      </c>
      <c r="AT29" s="390" t="str">
        <f>IFERROR(IF(R30=0,"-",AVERAGEIFS($AQ$2:AQ29,$A$2:A29,A29,$C$2:C29,C29)-AVERAGEIFS($AP$2:AP29,$A$2:A29,A29,$C$2:C29,C29)),"")</f>
        <v>-</v>
      </c>
      <c r="AU29" s="79"/>
      <c r="AV29" s="452">
        <f>'Overall Metrics'!AS34</f>
        <v>0</v>
      </c>
      <c r="AW29" s="450" t="str">
        <f t="shared" si="20"/>
        <v/>
      </c>
      <c r="AX29" s="453" t="str">
        <f>IFERROR(IF(R33=0,"-",AVERAGEIFS($AV$2:AV29,$A$2:A29,$A29,$F$2:F29,"&lt;="&amp;$F29)-AVERAGEIFS($AU$2:AU29,$A$2:A29,$A29,$F$2:F29,"&lt;="&amp;$F29)),"")</f>
        <v>-</v>
      </c>
      <c r="AY29" s="453" t="str">
        <f>IFERROR(IF(R33=0,"-",AVERAGEIFS($AV$2:AV29,$A$2:A29,A29,$C$2:C29,C29)-AVERAGEIFS($AU$2:AU29,$A$2:A29,A29,$C$2:C29,C29)),"")</f>
        <v>-</v>
      </c>
      <c r="AZ29" s="86"/>
      <c r="BA29" s="449">
        <f>'Glass Metrics'!AC34</f>
        <v>0</v>
      </c>
      <c r="BB29" s="450" t="str">
        <f t="shared" si="21"/>
        <v/>
      </c>
      <c r="BC29" s="450" t="str">
        <f>IFERROR(IF(R29=0,"-",AVERAGEIFS($BA$2:BA29,$A$2:A29,$A29,$F$2:F29,"&lt;="&amp;$F29)/AVERAGEIFS($AZ$2:AZ29,$A$2:A29,$A29,$F$2:F29,"&lt;="&amp;$F29)-1),"")</f>
        <v>-</v>
      </c>
      <c r="BD29" s="269" t="str">
        <f>IFERROR(IF(R29=0,"-",AVERAGEIFS($BA$2:BA29,$A$2:A29,A29,$C$2:C29,C29)/AVERAGEIFS($AZ$2:AZ29,$A$2:A29,A29,$C$2:C29,C29)-1),"")</f>
        <v>-</v>
      </c>
    </row>
    <row r="30" spans="1:56" ht="16.350000000000001" customHeight="1">
      <c r="A30" s="175">
        <f t="shared" si="0"/>
        <v>2021</v>
      </c>
      <c r="B30" s="447" t="str">
        <f t="shared" si="1"/>
        <v>29</v>
      </c>
      <c r="C30" s="447" t="str">
        <f t="array" ref="C30">_xlfn.IFS(_xlfn.NUMBERVALUE(B30)&lt;=13,"Q1",AND(_xlfn.NUMBERVALUE(B30)&gt;13,_xlfn.NUMBERVALUE(B30)&lt;=26),"Q2", AND(_xlfn.NUMBERVALUE(B30)&gt;26,_xlfn.NUMBERVALUE(B30)&lt;=39),"Q3",_xlfn.NUMBERVALUE(B30)&gt;39,"Q4")</f>
        <v>Q3</v>
      </c>
      <c r="D30" s="448">
        <f t="shared" si="22"/>
        <v>44058</v>
      </c>
      <c r="E30" s="448">
        <f t="shared" si="2"/>
        <v>44064</v>
      </c>
      <c r="F30" s="79">
        <v>202029</v>
      </c>
      <c r="G30" s="103"/>
      <c r="H30" s="429"/>
      <c r="I30" s="429"/>
      <c r="J30" s="214">
        <f t="shared" si="3"/>
        <v>0</v>
      </c>
      <c r="K30" s="429"/>
      <c r="L30" s="429"/>
      <c r="M30" s="429"/>
      <c r="N30" s="214">
        <f t="shared" si="4"/>
        <v>0</v>
      </c>
      <c r="O30" s="449">
        <f>'Overall Metrics'!L35</f>
        <v>0</v>
      </c>
      <c r="P30" s="449">
        <f>'Overall Metrics'!M35</f>
        <v>0</v>
      </c>
      <c r="Q30" s="449">
        <f>'Overall Metrics'!N35</f>
        <v>0</v>
      </c>
      <c r="R30" s="449">
        <f t="shared" si="5"/>
        <v>0</v>
      </c>
      <c r="S30" s="180">
        <f t="shared" si="6"/>
        <v>0</v>
      </c>
      <c r="T30" s="449">
        <f t="shared" si="7"/>
        <v>0</v>
      </c>
      <c r="U30" s="449">
        <f t="shared" si="8"/>
        <v>0</v>
      </c>
      <c r="V30" s="450" t="str">
        <f t="shared" si="9"/>
        <v/>
      </c>
      <c r="W30" s="450" t="str">
        <f>IF(R30=0,"-",SUMIFS($R$2:R30,$A$2:A30,A30,$C$2:C30,C30)/SUMIFS($J$2:J30,$A$2:A30,A30,$C$2:C30,C30)-1)</f>
        <v>-</v>
      </c>
      <c r="X30" s="450" t="str">
        <f t="shared" si="10"/>
        <v/>
      </c>
      <c r="Y30" s="450" t="str">
        <f>IFERROR(IF(R30=0,"-",SUMIFS($R$2:R30,$A$2:A30,A30,$C$2:C30,C30)/SUMIFS($N$2:N30,$A$2:A30,A30,$C$2:C30,C30)-1),"")</f>
        <v>-</v>
      </c>
      <c r="Z30" s="269" t="str">
        <f>IF(R30=0,"",(S30/VLOOKUP(_xlfn.NUMBERVALUE(_xlfn.CONCAT(LEFT(F30,4),52)),$F$2:T237,COLUMNS($F$2:T237),FALSE)))</f>
        <v/>
      </c>
      <c r="AA30" s="269" t="str">
        <f>IFERROR(IF(R30=0,"",(S30/VLOOKUP(_xlfn.NUMBERVALUE(_xlfn.CONCAT(LEFT(F30,4),52)),$F$2:U237,COLUMNS($F$2:U237),FALSE))),"")</f>
        <v/>
      </c>
      <c r="AB30" s="268" t="str">
        <f t="shared" si="11"/>
        <v/>
      </c>
      <c r="AC30" s="450" t="str">
        <f t="shared" si="12"/>
        <v/>
      </c>
      <c r="AD30" s="450" t="str">
        <f t="shared" si="13"/>
        <v/>
      </c>
      <c r="AE30" s="269" t="str">
        <f t="shared" si="14"/>
        <v/>
      </c>
      <c r="AF30" s="268" t="str">
        <f t="shared" si="15"/>
        <v/>
      </c>
      <c r="AG30" s="450" t="str">
        <f t="shared" si="16"/>
        <v/>
      </c>
      <c r="AH30" s="450" t="str">
        <f t="shared" si="17"/>
        <v/>
      </c>
      <c r="AI30" s="269" t="str">
        <f t="shared" si="18"/>
        <v/>
      </c>
      <c r="AJ30" s="450" t="str">
        <f>IF(O30=0,"-",SUMIFS($O$2:O30,$A$2:A30,$A30,$F$2:F30,"&lt;="&amp;$F30)/SUMIFS($G$2:G30,$A$2:A30,$A30,$F$2:F30,"&lt;="&amp;$F30)-1)</f>
        <v>-</v>
      </c>
      <c r="AK30" s="450" t="str">
        <f>IF(P30=0,"-",SUMIFS($P$2:P30,$A$2:A30,$A30,$F$2:F30,"&lt;="&amp;$F30)/SUMIFS($H$2:H30,$A$2:A30,$A30,$F$2:F30,"&lt;="&amp;$F30)-1)</f>
        <v>-</v>
      </c>
      <c r="AL30" s="450" t="str">
        <f>IF(Q30=0,"-",SUMIFS($Q$2:Q30,$A$2:A30,$A30,$F$2:F30,"&lt;="&amp;$F30)/SUMIFS($I$2:I30,$A$2:A30,$A30,$F$2:F30,"&lt;="&amp;$F30)-1)</f>
        <v>-</v>
      </c>
      <c r="AM30" s="450" t="str">
        <f>IFERROR(IF(O30=0,"-",SUMIFS($O$2:O30,$A$2:A30,$A30,$F$2:F30,"&lt;="&amp;$F30)/SUMIFS($K$2:K30,$A$2:A30,$A30,$F$2:F30,"&lt;="&amp;$F30)-1),"")</f>
        <v>-</v>
      </c>
      <c r="AN30" s="450" t="str">
        <f>IFERROR(IF(P30=0,"-",SUMIFS($P$2:P30,$A$2:A30,$A30,$F$2:F30,"&lt;="&amp;$F30)/SUMIFS($L$2:L30,$A$2:A30,$A30,$F$2:F30,"&lt;="&amp;$F30)-1),"")</f>
        <v>-</v>
      </c>
      <c r="AO30" s="450" t="str">
        <f>IFERROR(IF(Q30=0,"-",SUMIFS($Q$2:Q30,$A$2:A30,$A30,$F$2:F30,"&lt;="&amp;$F30)/SUMIFS($M$2:M30,$A$2:A30,$A30,$F$2:F30,"&lt;="&amp;$F30)-1),"")</f>
        <v>-</v>
      </c>
      <c r="AP30" s="86"/>
      <c r="AQ30" s="452">
        <f>'Overall Metrics'!AO35</f>
        <v>0</v>
      </c>
      <c r="AR30" s="450">
        <f t="shared" si="19"/>
        <v>0</v>
      </c>
      <c r="AS30" s="453" t="str">
        <f>IFERROR(IF(R31=0,"-",AVERAGEIFS($AQ$2:AQ30,$A$2:A30,$A30,$F$2:F30,"&lt;="&amp;$F30)-AVERAGEIFS($AP$2:AP30,$A$2:A30,$A30,$F$2:F30,"&lt;="&amp;$F30)),"")</f>
        <v>-</v>
      </c>
      <c r="AT30" s="390" t="str">
        <f>IFERROR(IF(R31=0,"-",AVERAGEIFS($AQ$2:AQ30,$A$2:A30,A30,$C$2:C30,C30)-AVERAGEIFS($AP$2:AP30,$A$2:A30,A30,$C$2:C30,C30)),"")</f>
        <v>-</v>
      </c>
      <c r="AU30" s="79"/>
      <c r="AV30" s="452">
        <f>'Overall Metrics'!AS35</f>
        <v>0</v>
      </c>
      <c r="AW30" s="450" t="str">
        <f t="shared" si="20"/>
        <v/>
      </c>
      <c r="AX30" s="453" t="str">
        <f>IFERROR(IF(R34=0,"-",AVERAGEIFS($AV$2:AV30,$A$2:A30,$A30,$F$2:F30,"&lt;="&amp;$F30)-AVERAGEIFS($AU$2:AU30,$A$2:A30,$A30,$F$2:F30,"&lt;="&amp;$F30)),"")</f>
        <v>-</v>
      </c>
      <c r="AY30" s="453" t="str">
        <f>IFERROR(IF(R34=0,"-",AVERAGEIFS($AV$2:AV30,$A$2:A30,A30,$C$2:C30,C30)-AVERAGEIFS($AU$2:AU30,$A$2:A30,A30,$C$2:C30,C30)),"")</f>
        <v>-</v>
      </c>
      <c r="AZ30" s="86"/>
      <c r="BA30" s="449">
        <f>'Glass Metrics'!AC35</f>
        <v>0</v>
      </c>
      <c r="BB30" s="450" t="str">
        <f t="shared" si="21"/>
        <v/>
      </c>
      <c r="BC30" s="450" t="str">
        <f>IFERROR(IF(R30=0,"-",AVERAGEIFS($BA$2:BA30,$A$2:A30,$A30,$F$2:F30,"&lt;="&amp;$F30)/AVERAGEIFS($AZ$2:AZ30,$A$2:A30,$A30,$F$2:F30,"&lt;="&amp;$F30)-1),"")</f>
        <v>-</v>
      </c>
      <c r="BD30" s="269" t="str">
        <f>IFERROR(IF(R30=0,"-",AVERAGEIFS($BA$2:BA30,$A$2:A30,A30,$C$2:C30,C30)/AVERAGEIFS($AZ$2:AZ30,$A$2:A30,A30,$C$2:C30,C30)-1),"")</f>
        <v>-</v>
      </c>
    </row>
    <row r="31" spans="1:56" ht="16.350000000000001" customHeight="1">
      <c r="A31" s="175">
        <f t="shared" si="0"/>
        <v>2021</v>
      </c>
      <c r="B31" s="447" t="str">
        <f t="shared" si="1"/>
        <v>30</v>
      </c>
      <c r="C31" s="447" t="str">
        <f t="array" ref="C31">_xlfn.IFS(_xlfn.NUMBERVALUE(B31)&lt;=13,"Q1",AND(_xlfn.NUMBERVALUE(B31)&gt;13,_xlfn.NUMBERVALUE(B31)&lt;=26),"Q2", AND(_xlfn.NUMBERVALUE(B31)&gt;26,_xlfn.NUMBERVALUE(B31)&lt;=39),"Q3",_xlfn.NUMBERVALUE(B31)&gt;39,"Q4")</f>
        <v>Q3</v>
      </c>
      <c r="D31" s="448">
        <f t="shared" si="22"/>
        <v>44065</v>
      </c>
      <c r="E31" s="448">
        <f t="shared" si="2"/>
        <v>44071</v>
      </c>
      <c r="F31" s="79">
        <v>202030</v>
      </c>
      <c r="G31" s="103"/>
      <c r="H31" s="429"/>
      <c r="I31" s="429"/>
      <c r="J31" s="214">
        <f t="shared" si="3"/>
        <v>0</v>
      </c>
      <c r="K31" s="429"/>
      <c r="L31" s="429"/>
      <c r="M31" s="429"/>
      <c r="N31" s="214">
        <f t="shared" si="4"/>
        <v>0</v>
      </c>
      <c r="O31" s="449">
        <f>'Overall Metrics'!L36</f>
        <v>0</v>
      </c>
      <c r="P31" s="449">
        <f>'Overall Metrics'!M36</f>
        <v>0</v>
      </c>
      <c r="Q31" s="449">
        <f>'Overall Metrics'!N36</f>
        <v>0</v>
      </c>
      <c r="R31" s="449">
        <f t="shared" si="5"/>
        <v>0</v>
      </c>
      <c r="S31" s="180">
        <f t="shared" si="6"/>
        <v>0</v>
      </c>
      <c r="T31" s="449">
        <f t="shared" si="7"/>
        <v>0</v>
      </c>
      <c r="U31" s="449">
        <f t="shared" si="8"/>
        <v>0</v>
      </c>
      <c r="V31" s="450" t="str">
        <f t="shared" si="9"/>
        <v/>
      </c>
      <c r="W31" s="450" t="str">
        <f>IF(R31=0,"-",SUMIFS($R$2:R31,$A$2:A31,A31,$C$2:C31,C31)/SUMIFS($J$2:J31,$A$2:A31,A31,$C$2:C31,C31)-1)</f>
        <v>-</v>
      </c>
      <c r="X31" s="450" t="str">
        <f t="shared" si="10"/>
        <v/>
      </c>
      <c r="Y31" s="450" t="str">
        <f>IFERROR(IF(R31=0,"-",SUMIFS($R$2:R31,$A$2:A31,A31,$C$2:C31,C31)/SUMIFS($N$2:N31,$A$2:A31,A31,$C$2:C31,C31)-1),"")</f>
        <v>-</v>
      </c>
      <c r="Z31" s="269" t="str">
        <f>IF(R31=0,"",(S31/VLOOKUP(_xlfn.NUMBERVALUE(_xlfn.CONCAT(LEFT(F31,4),52)),$F$2:T238,COLUMNS($F$2:T238),FALSE)))</f>
        <v/>
      </c>
      <c r="AA31" s="269" t="str">
        <f>IFERROR(IF(R31=0,"",(S31/VLOOKUP(_xlfn.NUMBERVALUE(_xlfn.CONCAT(LEFT(F31,4),52)),$F$2:U238,COLUMNS($F$2:U238),FALSE))),"")</f>
        <v/>
      </c>
      <c r="AB31" s="268" t="str">
        <f t="shared" si="11"/>
        <v/>
      </c>
      <c r="AC31" s="450" t="str">
        <f t="shared" si="12"/>
        <v/>
      </c>
      <c r="AD31" s="450" t="str">
        <f t="shared" si="13"/>
        <v/>
      </c>
      <c r="AE31" s="269" t="str">
        <f t="shared" si="14"/>
        <v/>
      </c>
      <c r="AF31" s="268" t="str">
        <f t="shared" si="15"/>
        <v/>
      </c>
      <c r="AG31" s="450" t="str">
        <f t="shared" si="16"/>
        <v/>
      </c>
      <c r="AH31" s="450" t="str">
        <f t="shared" si="17"/>
        <v/>
      </c>
      <c r="AI31" s="269" t="str">
        <f t="shared" si="18"/>
        <v/>
      </c>
      <c r="AJ31" s="450" t="str">
        <f>IF(O31=0,"-",SUMIFS($O$2:O31,$A$2:A31,$A31,$F$2:F31,"&lt;="&amp;$F31)/SUMIFS($G$2:G31,$A$2:A31,$A31,$F$2:F31,"&lt;="&amp;$F31)-1)</f>
        <v>-</v>
      </c>
      <c r="AK31" s="450" t="str">
        <f>IF(P31=0,"-",SUMIFS($P$2:P31,$A$2:A31,$A31,$F$2:F31,"&lt;="&amp;$F31)/SUMIFS($H$2:H31,$A$2:A31,$A31,$F$2:F31,"&lt;="&amp;$F31)-1)</f>
        <v>-</v>
      </c>
      <c r="AL31" s="450" t="str">
        <f>IF(Q31=0,"-",SUMIFS($Q$2:Q31,$A$2:A31,$A31,$F$2:F31,"&lt;="&amp;$F31)/SUMIFS($I$2:I31,$A$2:A31,$A31,$F$2:F31,"&lt;="&amp;$F31)-1)</f>
        <v>-</v>
      </c>
      <c r="AM31" s="450" t="str">
        <f>IFERROR(IF(O31=0,"-",SUMIFS($O$2:O31,$A$2:A31,$A31,$F$2:F31,"&lt;="&amp;$F31)/SUMIFS($K$2:K31,$A$2:A31,$A31,$F$2:F31,"&lt;="&amp;$F31)-1),"")</f>
        <v>-</v>
      </c>
      <c r="AN31" s="450" t="str">
        <f>IFERROR(IF(P31=0,"-",SUMIFS($P$2:P31,$A$2:A31,$A31,$F$2:F31,"&lt;="&amp;$F31)/SUMIFS($L$2:L31,$A$2:A31,$A31,$F$2:F31,"&lt;="&amp;$F31)-1),"")</f>
        <v>-</v>
      </c>
      <c r="AO31" s="450" t="str">
        <f>IFERROR(IF(Q31=0,"-",SUMIFS($Q$2:Q31,$A$2:A31,$A31,$F$2:F31,"&lt;="&amp;$F31)/SUMIFS($M$2:M31,$A$2:A31,$A31,$F$2:F31,"&lt;="&amp;$F31)-1),"")</f>
        <v>-</v>
      </c>
      <c r="AP31" s="86"/>
      <c r="AQ31" s="452">
        <f>'Overall Metrics'!AO36</f>
        <v>0</v>
      </c>
      <c r="AR31" s="450">
        <f t="shared" si="19"/>
        <v>0</v>
      </c>
      <c r="AS31" s="453" t="str">
        <f>IFERROR(IF(R32=0,"-",AVERAGEIFS($AQ$2:AQ31,$A$2:A31,$A31,$F$2:F31,"&lt;="&amp;$F31)-AVERAGEIFS($AP$2:AP31,$A$2:A31,$A31,$F$2:F31,"&lt;="&amp;$F31)),"")</f>
        <v>-</v>
      </c>
      <c r="AT31" s="390" t="str">
        <f>IFERROR(IF(R32=0,"-",AVERAGEIFS($AQ$2:AQ31,$A$2:A31,A31,$C$2:C31,C31)-AVERAGEIFS($AP$2:AP31,$A$2:A31,A31,$C$2:C31,C31)),"")</f>
        <v>-</v>
      </c>
      <c r="AU31" s="79"/>
      <c r="AV31" s="452">
        <f>'Overall Metrics'!AS36</f>
        <v>0</v>
      </c>
      <c r="AW31" s="450" t="str">
        <f t="shared" si="20"/>
        <v/>
      </c>
      <c r="AX31" s="453" t="str">
        <f>IFERROR(IF(R35=0,"-",AVERAGEIFS($AV$2:AV31,$A$2:A31,$A31,$F$2:F31,"&lt;="&amp;$F31)-AVERAGEIFS($AU$2:AU31,$A$2:A31,$A31,$F$2:F31,"&lt;="&amp;$F31)),"")</f>
        <v>-</v>
      </c>
      <c r="AY31" s="453" t="str">
        <f>IFERROR(IF(R35=0,"-",AVERAGEIFS($AV$2:AV31,$A$2:A31,A31,$C$2:C31,C31)-AVERAGEIFS($AU$2:AU31,$A$2:A31,A31,$C$2:C31,C31)),"")</f>
        <v>-</v>
      </c>
      <c r="AZ31" s="86"/>
      <c r="BA31" s="449">
        <f>'Glass Metrics'!AC36</f>
        <v>0</v>
      </c>
      <c r="BB31" s="450" t="str">
        <f t="shared" si="21"/>
        <v/>
      </c>
      <c r="BC31" s="450" t="str">
        <f>IFERROR(IF(R31=0,"-",AVERAGEIFS($BA$2:BA31,$A$2:A31,$A31,$F$2:F31,"&lt;="&amp;$F31)/AVERAGEIFS($AZ$2:AZ31,$A$2:A31,$A31,$F$2:F31,"&lt;="&amp;$F31)-1),"")</f>
        <v>-</v>
      </c>
      <c r="BD31" s="269" t="str">
        <f>IFERROR(IF(R31=0,"-",AVERAGEIFS($BA$2:BA31,$A$2:A31,A31,$C$2:C31,C31)/AVERAGEIFS($AZ$2:AZ31,$A$2:A31,A31,$C$2:C31,C31)-1),"")</f>
        <v>-</v>
      </c>
    </row>
    <row r="32" spans="1:56" ht="16.350000000000001" customHeight="1">
      <c r="A32" s="175">
        <f t="shared" si="0"/>
        <v>2021</v>
      </c>
      <c r="B32" s="447" t="str">
        <f t="shared" si="1"/>
        <v>31</v>
      </c>
      <c r="C32" s="447" t="str">
        <f t="array" ref="C32">_xlfn.IFS(_xlfn.NUMBERVALUE(B32)&lt;=13,"Q1",AND(_xlfn.NUMBERVALUE(B32)&gt;13,_xlfn.NUMBERVALUE(B32)&lt;=26),"Q2", AND(_xlfn.NUMBERVALUE(B32)&gt;26,_xlfn.NUMBERVALUE(B32)&lt;=39),"Q3",_xlfn.NUMBERVALUE(B32)&gt;39,"Q4")</f>
        <v>Q3</v>
      </c>
      <c r="D32" s="448">
        <f t="shared" si="22"/>
        <v>44072</v>
      </c>
      <c r="E32" s="448">
        <f t="shared" si="2"/>
        <v>44078</v>
      </c>
      <c r="F32" s="79">
        <v>202031</v>
      </c>
      <c r="G32" s="103"/>
      <c r="H32" s="429"/>
      <c r="I32" s="429"/>
      <c r="J32" s="214">
        <f t="shared" si="3"/>
        <v>0</v>
      </c>
      <c r="K32" s="429"/>
      <c r="L32" s="429"/>
      <c r="M32" s="429"/>
      <c r="N32" s="214">
        <f t="shared" si="4"/>
        <v>0</v>
      </c>
      <c r="O32" s="449">
        <f>'Overall Metrics'!L37</f>
        <v>0</v>
      </c>
      <c r="P32" s="449">
        <f>'Overall Metrics'!M37</f>
        <v>0</v>
      </c>
      <c r="Q32" s="449">
        <f>'Overall Metrics'!N37</f>
        <v>0</v>
      </c>
      <c r="R32" s="449">
        <f t="shared" si="5"/>
        <v>0</v>
      </c>
      <c r="S32" s="180">
        <f t="shared" si="6"/>
        <v>0</v>
      </c>
      <c r="T32" s="449">
        <f t="shared" si="7"/>
        <v>0</v>
      </c>
      <c r="U32" s="449">
        <f t="shared" si="8"/>
        <v>0</v>
      </c>
      <c r="V32" s="450" t="str">
        <f t="shared" si="9"/>
        <v/>
      </c>
      <c r="W32" s="450" t="str">
        <f>IF(R32=0,"-",SUMIFS($R$2:R32,$A$2:A32,A32,$C$2:C32,C32)/SUMIFS($J$2:J32,$A$2:A32,A32,$C$2:C32,C32)-1)</f>
        <v>-</v>
      </c>
      <c r="X32" s="450" t="str">
        <f t="shared" si="10"/>
        <v/>
      </c>
      <c r="Y32" s="450" t="str">
        <f>IFERROR(IF(R32=0,"-",SUMIFS($R$2:R32,$A$2:A32,A32,$C$2:C32,C32)/SUMIFS($N$2:N32,$A$2:A32,A32,$C$2:C32,C32)-1),"")</f>
        <v>-</v>
      </c>
      <c r="Z32" s="269" t="str">
        <f>IF(R32=0,"",(S32/VLOOKUP(_xlfn.NUMBERVALUE(_xlfn.CONCAT(LEFT(F32,4),52)),$F$2:T239,COLUMNS($F$2:T239),FALSE)))</f>
        <v/>
      </c>
      <c r="AA32" s="269" t="str">
        <f>IFERROR(IF(R32=0,"",(S32/VLOOKUP(_xlfn.NUMBERVALUE(_xlfn.CONCAT(LEFT(F32,4),52)),$F$2:U239,COLUMNS($F$2:U239),FALSE))),"")</f>
        <v/>
      </c>
      <c r="AB32" s="268" t="str">
        <f t="shared" si="11"/>
        <v/>
      </c>
      <c r="AC32" s="450" t="str">
        <f t="shared" si="12"/>
        <v/>
      </c>
      <c r="AD32" s="450" t="str">
        <f t="shared" si="13"/>
        <v/>
      </c>
      <c r="AE32" s="269" t="str">
        <f t="shared" si="14"/>
        <v/>
      </c>
      <c r="AF32" s="268" t="str">
        <f t="shared" si="15"/>
        <v/>
      </c>
      <c r="AG32" s="450" t="str">
        <f t="shared" si="16"/>
        <v/>
      </c>
      <c r="AH32" s="450" t="str">
        <f t="shared" si="17"/>
        <v/>
      </c>
      <c r="AI32" s="269" t="str">
        <f t="shared" si="18"/>
        <v/>
      </c>
      <c r="AJ32" s="450" t="str">
        <f>IF(O32=0,"-",SUMIFS($O$2:O32,$A$2:A32,$A32,$F$2:F32,"&lt;="&amp;$F32)/SUMIFS($G$2:G32,$A$2:A32,$A32,$F$2:F32,"&lt;="&amp;$F32)-1)</f>
        <v>-</v>
      </c>
      <c r="AK32" s="450" t="str">
        <f>IF(P32=0,"-",SUMIFS($P$2:P32,$A$2:A32,$A32,$F$2:F32,"&lt;="&amp;$F32)/SUMIFS($H$2:H32,$A$2:A32,$A32,$F$2:F32,"&lt;="&amp;$F32)-1)</f>
        <v>-</v>
      </c>
      <c r="AL32" s="450" t="str">
        <f>IF(Q32=0,"-",SUMIFS($Q$2:Q32,$A$2:A32,$A32,$F$2:F32,"&lt;="&amp;$F32)/SUMIFS($I$2:I32,$A$2:A32,$A32,$F$2:F32,"&lt;="&amp;$F32)-1)</f>
        <v>-</v>
      </c>
      <c r="AM32" s="450" t="str">
        <f>IFERROR(IF(O32=0,"-",SUMIFS($O$2:O32,$A$2:A32,$A32,$F$2:F32,"&lt;="&amp;$F32)/SUMIFS($K$2:K32,$A$2:A32,$A32,$F$2:F32,"&lt;="&amp;$F32)-1),"")</f>
        <v>-</v>
      </c>
      <c r="AN32" s="450" t="str">
        <f>IFERROR(IF(P32=0,"-",SUMIFS($P$2:P32,$A$2:A32,$A32,$F$2:F32,"&lt;="&amp;$F32)/SUMIFS($L$2:L32,$A$2:A32,$A32,$F$2:F32,"&lt;="&amp;$F32)-1),"")</f>
        <v>-</v>
      </c>
      <c r="AO32" s="450" t="str">
        <f>IFERROR(IF(Q32=0,"-",SUMIFS($Q$2:Q32,$A$2:A32,$A32,$F$2:F32,"&lt;="&amp;$F32)/SUMIFS($M$2:M32,$A$2:A32,$A32,$F$2:F32,"&lt;="&amp;$F32)-1),"")</f>
        <v>-</v>
      </c>
      <c r="AP32" s="86"/>
      <c r="AQ32" s="452">
        <f>'Overall Metrics'!AO37</f>
        <v>0</v>
      </c>
      <c r="AR32" s="450">
        <f t="shared" si="19"/>
        <v>0</v>
      </c>
      <c r="AS32" s="453" t="str">
        <f>IFERROR(IF(R33=0,"-",AVERAGEIFS($AQ$2:AQ32,$A$2:A32,$A32,$F$2:F32,"&lt;="&amp;$F32)-AVERAGEIFS($AP$2:AP32,$A$2:A32,$A32,$F$2:F32,"&lt;="&amp;$F32)),"")</f>
        <v>-</v>
      </c>
      <c r="AT32" s="390" t="str">
        <f>IFERROR(IF(R33=0,"-",AVERAGEIFS($AQ$2:AQ32,$A$2:A32,A32,$C$2:C32,C32)-AVERAGEIFS($AP$2:AP32,$A$2:A32,A32,$C$2:C32,C32)),"")</f>
        <v>-</v>
      </c>
      <c r="AU32" s="79"/>
      <c r="AV32" s="452">
        <f>'Overall Metrics'!AS37</f>
        <v>0</v>
      </c>
      <c r="AW32" s="450" t="str">
        <f t="shared" si="20"/>
        <v/>
      </c>
      <c r="AX32" s="453" t="str">
        <f>IFERROR(IF(R36=0,"-",AVERAGEIFS($AV$2:AV32,$A$2:A32,$A32,$F$2:F32,"&lt;="&amp;$F32)-AVERAGEIFS($AU$2:AU32,$A$2:A32,$A32,$F$2:F32,"&lt;="&amp;$F32)),"")</f>
        <v>-</v>
      </c>
      <c r="AY32" s="453" t="str">
        <f>IFERROR(IF(R36=0,"-",AVERAGEIFS($AV$2:AV32,$A$2:A32,A32,$C$2:C32,C32)-AVERAGEIFS($AU$2:AU32,$A$2:A32,A32,$C$2:C32,C32)),"")</f>
        <v>-</v>
      </c>
      <c r="AZ32" s="86"/>
      <c r="BA32" s="449">
        <f>'Glass Metrics'!AC37</f>
        <v>0</v>
      </c>
      <c r="BB32" s="450" t="str">
        <f t="shared" si="21"/>
        <v/>
      </c>
      <c r="BC32" s="450" t="str">
        <f>IFERROR(IF(R32=0,"-",AVERAGEIFS($BA$2:BA32,$A$2:A32,$A32,$F$2:F32,"&lt;="&amp;$F32)/AVERAGEIFS($AZ$2:AZ32,$A$2:A32,$A32,$F$2:F32,"&lt;="&amp;$F32)-1),"")</f>
        <v>-</v>
      </c>
      <c r="BD32" s="269" t="str">
        <f>IFERROR(IF(R32=0,"-",AVERAGEIFS($BA$2:BA32,$A$2:A32,A32,$C$2:C32,C32)/AVERAGEIFS($AZ$2:AZ32,$A$2:A32,A32,$C$2:C32,C32)-1),"")</f>
        <v>-</v>
      </c>
    </row>
    <row r="33" spans="1:56" ht="16.350000000000001" customHeight="1">
      <c r="A33" s="175">
        <f t="shared" si="0"/>
        <v>2021</v>
      </c>
      <c r="B33" s="447" t="str">
        <f t="shared" si="1"/>
        <v>32</v>
      </c>
      <c r="C33" s="447" t="str">
        <f t="array" ref="C33">_xlfn.IFS(_xlfn.NUMBERVALUE(B33)&lt;=13,"Q1",AND(_xlfn.NUMBERVALUE(B33)&gt;13,_xlfn.NUMBERVALUE(B33)&lt;=26),"Q2", AND(_xlfn.NUMBERVALUE(B33)&gt;26,_xlfn.NUMBERVALUE(B33)&lt;=39),"Q3",_xlfn.NUMBERVALUE(B33)&gt;39,"Q4")</f>
        <v>Q3</v>
      </c>
      <c r="D33" s="448">
        <f t="shared" si="22"/>
        <v>44079</v>
      </c>
      <c r="E33" s="448">
        <f t="shared" si="2"/>
        <v>44085</v>
      </c>
      <c r="F33" s="79">
        <v>202032</v>
      </c>
      <c r="G33" s="103"/>
      <c r="H33" s="429"/>
      <c r="I33" s="429"/>
      <c r="J33" s="214">
        <f t="shared" si="3"/>
        <v>0</v>
      </c>
      <c r="K33" s="429"/>
      <c r="L33" s="429"/>
      <c r="M33" s="429"/>
      <c r="N33" s="214">
        <f t="shared" si="4"/>
        <v>0</v>
      </c>
      <c r="O33" s="449">
        <f>'Overall Metrics'!L38</f>
        <v>0</v>
      </c>
      <c r="P33" s="449">
        <f>'Overall Metrics'!M38</f>
        <v>0</v>
      </c>
      <c r="Q33" s="449">
        <f>'Overall Metrics'!N38</f>
        <v>0</v>
      </c>
      <c r="R33" s="449">
        <f t="shared" si="5"/>
        <v>0</v>
      </c>
      <c r="S33" s="180">
        <f t="shared" si="6"/>
        <v>0</v>
      </c>
      <c r="T33" s="449">
        <f t="shared" si="7"/>
        <v>0</v>
      </c>
      <c r="U33" s="449">
        <f t="shared" si="8"/>
        <v>0</v>
      </c>
      <c r="V33" s="450" t="str">
        <f t="shared" si="9"/>
        <v/>
      </c>
      <c r="W33" s="450" t="str">
        <f>IF(R33=0,"-",SUMIFS($R$2:R33,$A$2:A33,A33,$C$2:C33,C33)/SUMIFS($J$2:J33,$A$2:A33,A33,$C$2:C33,C33)-1)</f>
        <v>-</v>
      </c>
      <c r="X33" s="450" t="str">
        <f t="shared" si="10"/>
        <v/>
      </c>
      <c r="Y33" s="450" t="str">
        <f>IFERROR(IF(R33=0,"-",SUMIFS($R$2:R33,$A$2:A33,A33,$C$2:C33,C33)/SUMIFS($N$2:N33,$A$2:A33,A33,$C$2:C33,C33)-1),"")</f>
        <v>-</v>
      </c>
      <c r="Z33" s="269" t="str">
        <f>IF(R33=0,"",(S33/VLOOKUP(_xlfn.NUMBERVALUE(_xlfn.CONCAT(LEFT(F33,4),52)),$F$2:T240,COLUMNS($F$2:T240),FALSE)))</f>
        <v/>
      </c>
      <c r="AA33" s="269" t="str">
        <f>IFERROR(IF(R33=0,"",(S33/VLOOKUP(_xlfn.NUMBERVALUE(_xlfn.CONCAT(LEFT(F33,4),52)),$F$2:U240,COLUMNS($F$2:U240),FALSE))),"")</f>
        <v/>
      </c>
      <c r="AB33" s="268" t="str">
        <f t="shared" si="11"/>
        <v/>
      </c>
      <c r="AC33" s="450" t="str">
        <f t="shared" si="12"/>
        <v/>
      </c>
      <c r="AD33" s="450" t="str">
        <f t="shared" si="13"/>
        <v/>
      </c>
      <c r="AE33" s="269" t="str">
        <f t="shared" si="14"/>
        <v/>
      </c>
      <c r="AF33" s="268" t="str">
        <f t="shared" si="15"/>
        <v/>
      </c>
      <c r="AG33" s="450" t="str">
        <f t="shared" si="16"/>
        <v/>
      </c>
      <c r="AH33" s="450" t="str">
        <f t="shared" si="17"/>
        <v/>
      </c>
      <c r="AI33" s="269" t="str">
        <f t="shared" si="18"/>
        <v/>
      </c>
      <c r="AJ33" s="450" t="str">
        <f>IF(O33=0,"-",SUMIFS($O$2:O33,$A$2:A33,$A33,$F$2:F33,"&lt;="&amp;$F33)/SUMIFS($G$2:G33,$A$2:A33,$A33,$F$2:F33,"&lt;="&amp;$F33)-1)</f>
        <v>-</v>
      </c>
      <c r="AK33" s="450" t="str">
        <f>IF(P33=0,"-",SUMIFS($P$2:P33,$A$2:A33,$A33,$F$2:F33,"&lt;="&amp;$F33)/SUMIFS($H$2:H33,$A$2:A33,$A33,$F$2:F33,"&lt;="&amp;$F33)-1)</f>
        <v>-</v>
      </c>
      <c r="AL33" s="450" t="str">
        <f>IF(Q33=0,"-",SUMIFS($Q$2:Q33,$A$2:A33,$A33,$F$2:F33,"&lt;="&amp;$F33)/SUMIFS($I$2:I33,$A$2:A33,$A33,$F$2:F33,"&lt;="&amp;$F33)-1)</f>
        <v>-</v>
      </c>
      <c r="AM33" s="450" t="str">
        <f>IFERROR(IF(O33=0,"-",SUMIFS($O$2:O33,$A$2:A33,$A33,$F$2:F33,"&lt;="&amp;$F33)/SUMIFS($K$2:K33,$A$2:A33,$A33,$F$2:F33,"&lt;="&amp;$F33)-1),"")</f>
        <v>-</v>
      </c>
      <c r="AN33" s="450" t="str">
        <f>IFERROR(IF(P33=0,"-",SUMIFS($P$2:P33,$A$2:A33,$A33,$F$2:F33,"&lt;="&amp;$F33)/SUMIFS($L$2:L33,$A$2:A33,$A33,$F$2:F33,"&lt;="&amp;$F33)-1),"")</f>
        <v>-</v>
      </c>
      <c r="AO33" s="450" t="str">
        <f>IFERROR(IF(Q33=0,"-",SUMIFS($Q$2:Q33,$A$2:A33,$A33,$F$2:F33,"&lt;="&amp;$F33)/SUMIFS($M$2:M33,$A$2:A33,$A33,$F$2:F33,"&lt;="&amp;$F33)-1),"")</f>
        <v>-</v>
      </c>
      <c r="AP33" s="86"/>
      <c r="AQ33" s="452">
        <f>'Overall Metrics'!AO38</f>
        <v>0</v>
      </c>
      <c r="AR33" s="450">
        <f t="shared" si="19"/>
        <v>0</v>
      </c>
      <c r="AS33" s="453" t="str">
        <f>IFERROR(IF(R34=0,"-",AVERAGEIFS($AQ$2:AQ33,$A$2:A33,$A33,$F$2:F33,"&lt;="&amp;$F33)-AVERAGEIFS($AP$2:AP33,$A$2:A33,$A33,$F$2:F33,"&lt;="&amp;$F33)),"")</f>
        <v>-</v>
      </c>
      <c r="AT33" s="390" t="str">
        <f>IFERROR(IF(R34=0,"-",AVERAGEIFS($AQ$2:AQ33,$A$2:A33,A33,$C$2:C33,C33)-AVERAGEIFS($AP$2:AP33,$A$2:A33,A33,$C$2:C33,C33)),"")</f>
        <v>-</v>
      </c>
      <c r="AU33" s="79"/>
      <c r="AV33" s="452">
        <f>'Overall Metrics'!AS38</f>
        <v>0</v>
      </c>
      <c r="AW33" s="450" t="str">
        <f t="shared" si="20"/>
        <v/>
      </c>
      <c r="AX33" s="453" t="str">
        <f>IFERROR(IF(R37=0,"-",AVERAGEIFS($AV$2:AV33,$A$2:A33,$A33,$F$2:F33,"&lt;="&amp;$F33)-AVERAGEIFS($AU$2:AU33,$A$2:A33,$A33,$F$2:F33,"&lt;="&amp;$F33)),"")</f>
        <v>-</v>
      </c>
      <c r="AY33" s="453" t="str">
        <f>IFERROR(IF(R37=0,"-",AVERAGEIFS($AV$2:AV33,$A$2:A33,A33,$C$2:C33,C33)-AVERAGEIFS($AU$2:AU33,$A$2:A33,A33,$C$2:C33,C33)),"")</f>
        <v>-</v>
      </c>
      <c r="AZ33" s="86"/>
      <c r="BA33" s="449">
        <f>'Glass Metrics'!AC38</f>
        <v>0</v>
      </c>
      <c r="BB33" s="450" t="str">
        <f t="shared" si="21"/>
        <v/>
      </c>
      <c r="BC33" s="450" t="str">
        <f>IFERROR(IF(R33=0,"-",AVERAGEIFS($BA$2:BA33,$A$2:A33,$A33,$F$2:F33,"&lt;="&amp;$F33)/AVERAGEIFS($AZ$2:AZ33,$A$2:A33,$A33,$F$2:F33,"&lt;="&amp;$F33)-1),"")</f>
        <v>-</v>
      </c>
      <c r="BD33" s="269" t="str">
        <f>IFERROR(IF(R33=0,"-",AVERAGEIFS($BA$2:BA33,$A$2:A33,A33,$C$2:C33,C33)/AVERAGEIFS($AZ$2:AZ33,$A$2:A33,A33,$C$2:C33,C33)-1),"")</f>
        <v>-</v>
      </c>
    </row>
    <row r="34" spans="1:56" ht="16.350000000000001" customHeight="1">
      <c r="A34" s="175">
        <f t="shared" si="0"/>
        <v>2021</v>
      </c>
      <c r="B34" s="447" t="str">
        <f t="shared" si="1"/>
        <v>33</v>
      </c>
      <c r="C34" s="447" t="str">
        <f t="array" ref="C34">_xlfn.IFS(_xlfn.NUMBERVALUE(B34)&lt;=13,"Q1",AND(_xlfn.NUMBERVALUE(B34)&gt;13,_xlfn.NUMBERVALUE(B34)&lt;=26),"Q2", AND(_xlfn.NUMBERVALUE(B34)&gt;26,_xlfn.NUMBERVALUE(B34)&lt;=39),"Q3",_xlfn.NUMBERVALUE(B34)&gt;39,"Q4")</f>
        <v>Q3</v>
      </c>
      <c r="D34" s="448">
        <f t="shared" si="22"/>
        <v>44086</v>
      </c>
      <c r="E34" s="448">
        <f t="shared" si="2"/>
        <v>44092</v>
      </c>
      <c r="F34" s="79">
        <v>202033</v>
      </c>
      <c r="G34" s="103"/>
      <c r="H34" s="429"/>
      <c r="I34" s="429"/>
      <c r="J34" s="214">
        <f t="shared" si="3"/>
        <v>0</v>
      </c>
      <c r="K34" s="429"/>
      <c r="L34" s="429"/>
      <c r="M34" s="429"/>
      <c r="N34" s="214">
        <f t="shared" si="4"/>
        <v>0</v>
      </c>
      <c r="O34" s="449">
        <f>'Overall Metrics'!L39</f>
        <v>0</v>
      </c>
      <c r="P34" s="449">
        <f>'Overall Metrics'!M39</f>
        <v>0</v>
      </c>
      <c r="Q34" s="449">
        <f>'Overall Metrics'!N39</f>
        <v>0</v>
      </c>
      <c r="R34" s="449">
        <f t="shared" si="5"/>
        <v>0</v>
      </c>
      <c r="S34" s="180">
        <f t="shared" si="6"/>
        <v>0</v>
      </c>
      <c r="T34" s="449">
        <f t="shared" si="7"/>
        <v>0</v>
      </c>
      <c r="U34" s="449">
        <f t="shared" si="8"/>
        <v>0</v>
      </c>
      <c r="V34" s="450" t="str">
        <f t="shared" si="9"/>
        <v/>
      </c>
      <c r="W34" s="450" t="str">
        <f>IF(R34=0,"-",SUMIFS($R$2:R34,$A$2:A34,A34,$C$2:C34,C34)/SUMIFS($J$2:J34,$A$2:A34,A34,$C$2:C34,C34)-1)</f>
        <v>-</v>
      </c>
      <c r="X34" s="450" t="str">
        <f t="shared" si="10"/>
        <v/>
      </c>
      <c r="Y34" s="450" t="str">
        <f>IFERROR(IF(R34=0,"-",SUMIFS($R$2:R34,$A$2:A34,A34,$C$2:C34,C34)/SUMIFS($N$2:N34,$A$2:A34,A34,$C$2:C34,C34)-1),"")</f>
        <v>-</v>
      </c>
      <c r="Z34" s="269" t="str">
        <f>IF(R34=0,"",(S34/VLOOKUP(_xlfn.NUMBERVALUE(_xlfn.CONCAT(LEFT(F34,4),52)),$F$2:T241,COLUMNS($F$2:T241),FALSE)))</f>
        <v/>
      </c>
      <c r="AA34" s="269" t="str">
        <f>IFERROR(IF(R34=0,"",(S34/VLOOKUP(_xlfn.NUMBERVALUE(_xlfn.CONCAT(LEFT(F34,4),52)),$F$2:U241,COLUMNS($F$2:U241),FALSE))),"")</f>
        <v/>
      </c>
      <c r="AB34" s="268" t="str">
        <f t="shared" si="11"/>
        <v/>
      </c>
      <c r="AC34" s="450" t="str">
        <f t="shared" si="12"/>
        <v/>
      </c>
      <c r="AD34" s="450" t="str">
        <f t="shared" si="13"/>
        <v/>
      </c>
      <c r="AE34" s="269" t="str">
        <f t="shared" si="14"/>
        <v/>
      </c>
      <c r="AF34" s="268" t="str">
        <f t="shared" si="15"/>
        <v/>
      </c>
      <c r="AG34" s="450" t="str">
        <f t="shared" si="16"/>
        <v/>
      </c>
      <c r="AH34" s="450" t="str">
        <f t="shared" si="17"/>
        <v/>
      </c>
      <c r="AI34" s="269" t="str">
        <f t="shared" si="18"/>
        <v/>
      </c>
      <c r="AJ34" s="450" t="str">
        <f>IF(O34=0,"-",SUMIFS($O$2:O34,$A$2:A34,$A34,$F$2:F34,"&lt;="&amp;$F34)/SUMIFS($G$2:G34,$A$2:A34,$A34,$F$2:F34,"&lt;="&amp;$F34)-1)</f>
        <v>-</v>
      </c>
      <c r="AK34" s="450" t="str">
        <f>IF(P34=0,"-",SUMIFS($P$2:P34,$A$2:A34,$A34,$F$2:F34,"&lt;="&amp;$F34)/SUMIFS($H$2:H34,$A$2:A34,$A34,$F$2:F34,"&lt;="&amp;$F34)-1)</f>
        <v>-</v>
      </c>
      <c r="AL34" s="450" t="str">
        <f>IF(Q34=0,"-",SUMIFS($Q$2:Q34,$A$2:A34,$A34,$F$2:F34,"&lt;="&amp;$F34)/SUMIFS($I$2:I34,$A$2:A34,$A34,$F$2:F34,"&lt;="&amp;$F34)-1)</f>
        <v>-</v>
      </c>
      <c r="AM34" s="450" t="str">
        <f>IFERROR(IF(O34=0,"-",SUMIFS($O$2:O34,$A$2:A34,$A34,$F$2:F34,"&lt;="&amp;$F34)/SUMIFS($K$2:K34,$A$2:A34,$A34,$F$2:F34,"&lt;="&amp;$F34)-1),"")</f>
        <v>-</v>
      </c>
      <c r="AN34" s="450" t="str">
        <f>IFERROR(IF(P34=0,"-",SUMIFS($P$2:P34,$A$2:A34,$A34,$F$2:F34,"&lt;="&amp;$F34)/SUMIFS($L$2:L34,$A$2:A34,$A34,$F$2:F34,"&lt;="&amp;$F34)-1),"")</f>
        <v>-</v>
      </c>
      <c r="AO34" s="450" t="str">
        <f>IFERROR(IF(Q34=0,"-",SUMIFS($Q$2:Q34,$A$2:A34,$A34,$F$2:F34,"&lt;="&amp;$F34)/SUMIFS($M$2:M34,$A$2:A34,$A34,$F$2:F34,"&lt;="&amp;$F34)-1),"")</f>
        <v>-</v>
      </c>
      <c r="AP34" s="86"/>
      <c r="AQ34" s="452">
        <f>'Overall Metrics'!AO39</f>
        <v>0</v>
      </c>
      <c r="AR34" s="450">
        <f t="shared" si="19"/>
        <v>0</v>
      </c>
      <c r="AS34" s="453" t="str">
        <f>IFERROR(IF(R35=0,"-",AVERAGEIFS($AQ$2:AQ34,$A$2:A34,$A34,$F$2:F34,"&lt;="&amp;$F34)-AVERAGEIFS($AP$2:AP34,$A$2:A34,$A34,$F$2:F34,"&lt;="&amp;$F34)),"")</f>
        <v>-</v>
      </c>
      <c r="AT34" s="390" t="str">
        <f>IFERROR(IF(R35=0,"-",AVERAGEIFS($AQ$2:AQ34,$A$2:A34,A34,$C$2:C34,C34)-AVERAGEIFS($AP$2:AP34,$A$2:A34,A34,$C$2:C34,C34)),"")</f>
        <v>-</v>
      </c>
      <c r="AU34" s="79"/>
      <c r="AV34" s="452">
        <f>'Overall Metrics'!AS39</f>
        <v>0</v>
      </c>
      <c r="AW34" s="450" t="str">
        <f t="shared" si="20"/>
        <v/>
      </c>
      <c r="AX34" s="453" t="str">
        <f>IFERROR(IF(R38=0,"-",AVERAGEIFS($AV$2:AV34,$A$2:A34,$A34,$F$2:F34,"&lt;="&amp;$F34)-AVERAGEIFS($AU$2:AU34,$A$2:A34,$A34,$F$2:F34,"&lt;="&amp;$F34)),"")</f>
        <v>-</v>
      </c>
      <c r="AY34" s="453" t="str">
        <f>IFERROR(IF(R38=0,"-",AVERAGEIFS($AV$2:AV34,$A$2:A34,A34,$C$2:C34,C34)-AVERAGEIFS($AU$2:AU34,$A$2:A34,A34,$C$2:C34,C34)),"")</f>
        <v>-</v>
      </c>
      <c r="AZ34" s="86"/>
      <c r="BA34" s="449">
        <f>'Glass Metrics'!AC39</f>
        <v>0</v>
      </c>
      <c r="BB34" s="450" t="str">
        <f t="shared" si="21"/>
        <v/>
      </c>
      <c r="BC34" s="450" t="str">
        <f>IFERROR(IF(R34=0,"-",AVERAGEIFS($BA$2:BA34,$A$2:A34,$A34,$F$2:F34,"&lt;="&amp;$F34)/AVERAGEIFS($AZ$2:AZ34,$A$2:A34,$A34,$F$2:F34,"&lt;="&amp;$F34)-1),"")</f>
        <v>-</v>
      </c>
      <c r="BD34" s="269" t="str">
        <f>IFERROR(IF(R34=0,"-",AVERAGEIFS($BA$2:BA34,$A$2:A34,A34,$C$2:C34,C34)/AVERAGEIFS($AZ$2:AZ34,$A$2:A34,A34,$C$2:C34,C34)-1),"")</f>
        <v>-</v>
      </c>
    </row>
    <row r="35" spans="1:56" ht="16.350000000000001" customHeight="1">
      <c r="A35" s="175">
        <f t="shared" si="0"/>
        <v>2021</v>
      </c>
      <c r="B35" s="447" t="str">
        <f t="shared" si="1"/>
        <v>34</v>
      </c>
      <c r="C35" s="447" t="str">
        <f t="array" ref="C35">_xlfn.IFS(_xlfn.NUMBERVALUE(B35)&lt;=13,"Q1",AND(_xlfn.NUMBERVALUE(B35)&gt;13,_xlfn.NUMBERVALUE(B35)&lt;=26),"Q2", AND(_xlfn.NUMBERVALUE(B35)&gt;26,_xlfn.NUMBERVALUE(B35)&lt;=39),"Q3",_xlfn.NUMBERVALUE(B35)&gt;39,"Q4")</f>
        <v>Q3</v>
      </c>
      <c r="D35" s="448">
        <f t="shared" si="22"/>
        <v>44093</v>
      </c>
      <c r="E35" s="448">
        <f t="shared" si="2"/>
        <v>44099</v>
      </c>
      <c r="F35" s="79">
        <v>202034</v>
      </c>
      <c r="G35" s="103"/>
      <c r="H35" s="429"/>
      <c r="I35" s="429"/>
      <c r="J35" s="214">
        <f t="shared" si="3"/>
        <v>0</v>
      </c>
      <c r="K35" s="429"/>
      <c r="L35" s="429"/>
      <c r="M35" s="429"/>
      <c r="N35" s="214">
        <f t="shared" si="4"/>
        <v>0</v>
      </c>
      <c r="O35" s="449">
        <f>'Overall Metrics'!L40</f>
        <v>0</v>
      </c>
      <c r="P35" s="449">
        <f>'Overall Metrics'!M40</f>
        <v>0</v>
      </c>
      <c r="Q35" s="449">
        <f>'Overall Metrics'!N40</f>
        <v>0</v>
      </c>
      <c r="R35" s="449">
        <f t="shared" si="5"/>
        <v>0</v>
      </c>
      <c r="S35" s="180">
        <f t="shared" si="6"/>
        <v>0</v>
      </c>
      <c r="T35" s="449">
        <f t="shared" si="7"/>
        <v>0</v>
      </c>
      <c r="U35" s="449">
        <f t="shared" si="8"/>
        <v>0</v>
      </c>
      <c r="V35" s="450" t="str">
        <f t="shared" si="9"/>
        <v/>
      </c>
      <c r="W35" s="450" t="str">
        <f>IF(R35=0,"-",SUMIFS($R$2:R35,$A$2:A35,A35,$C$2:C35,C35)/SUMIFS($J$2:J35,$A$2:A35,A35,$C$2:C35,C35)-1)</f>
        <v>-</v>
      </c>
      <c r="X35" s="450" t="str">
        <f t="shared" si="10"/>
        <v/>
      </c>
      <c r="Y35" s="450" t="str">
        <f>IFERROR(IF(R35=0,"-",SUMIFS($R$2:R35,$A$2:A35,A35,$C$2:C35,C35)/SUMIFS($N$2:N35,$A$2:A35,A35,$C$2:C35,C35)-1),"")</f>
        <v>-</v>
      </c>
      <c r="Z35" s="269" t="str">
        <f>IF(R35=0,"",(S35/VLOOKUP(_xlfn.NUMBERVALUE(_xlfn.CONCAT(LEFT(F35,4),52)),$F$2:T242,COLUMNS($F$2:T242),FALSE)))</f>
        <v/>
      </c>
      <c r="AA35" s="269" t="str">
        <f>IFERROR(IF(R35=0,"",(S35/VLOOKUP(_xlfn.NUMBERVALUE(_xlfn.CONCAT(LEFT(F35,4),52)),$F$2:U242,COLUMNS($F$2:U242),FALSE))),"")</f>
        <v/>
      </c>
      <c r="AB35" s="268" t="str">
        <f t="shared" si="11"/>
        <v/>
      </c>
      <c r="AC35" s="450" t="str">
        <f t="shared" si="12"/>
        <v/>
      </c>
      <c r="AD35" s="450" t="str">
        <f t="shared" si="13"/>
        <v/>
      </c>
      <c r="AE35" s="269" t="str">
        <f t="shared" si="14"/>
        <v/>
      </c>
      <c r="AF35" s="268" t="str">
        <f t="shared" si="15"/>
        <v/>
      </c>
      <c r="AG35" s="450" t="str">
        <f t="shared" si="16"/>
        <v/>
      </c>
      <c r="AH35" s="450" t="str">
        <f t="shared" si="17"/>
        <v/>
      </c>
      <c r="AI35" s="269" t="str">
        <f t="shared" si="18"/>
        <v/>
      </c>
      <c r="AJ35" s="450" t="str">
        <f>IF(O35=0,"-",SUMIFS($O$2:O35,$A$2:A35,$A35,$F$2:F35,"&lt;="&amp;$F35)/SUMIFS($G$2:G35,$A$2:A35,$A35,$F$2:F35,"&lt;="&amp;$F35)-1)</f>
        <v>-</v>
      </c>
      <c r="AK35" s="450" t="str">
        <f>IF(P35=0,"-",SUMIFS($P$2:P35,$A$2:A35,$A35,$F$2:F35,"&lt;="&amp;$F35)/SUMIFS($H$2:H35,$A$2:A35,$A35,$F$2:F35,"&lt;="&amp;$F35)-1)</f>
        <v>-</v>
      </c>
      <c r="AL35" s="450" t="str">
        <f>IF(Q35=0,"-",SUMIFS($Q$2:Q35,$A$2:A35,$A35,$F$2:F35,"&lt;="&amp;$F35)/SUMIFS($I$2:I35,$A$2:A35,$A35,$F$2:F35,"&lt;="&amp;$F35)-1)</f>
        <v>-</v>
      </c>
      <c r="AM35" s="450" t="str">
        <f>IFERROR(IF(O35=0,"-",SUMIFS($O$2:O35,$A$2:A35,$A35,$F$2:F35,"&lt;="&amp;$F35)/SUMIFS($K$2:K35,$A$2:A35,$A35,$F$2:F35,"&lt;="&amp;$F35)-1),"")</f>
        <v>-</v>
      </c>
      <c r="AN35" s="450" t="str">
        <f>IFERROR(IF(P35=0,"-",SUMIFS($P$2:P35,$A$2:A35,$A35,$F$2:F35,"&lt;="&amp;$F35)/SUMIFS($L$2:L35,$A$2:A35,$A35,$F$2:F35,"&lt;="&amp;$F35)-1),"")</f>
        <v>-</v>
      </c>
      <c r="AO35" s="450" t="str">
        <f>IFERROR(IF(Q35=0,"-",SUMIFS($Q$2:Q35,$A$2:A35,$A35,$F$2:F35,"&lt;="&amp;$F35)/SUMIFS($M$2:M35,$A$2:A35,$A35,$F$2:F35,"&lt;="&amp;$F35)-1),"")</f>
        <v>-</v>
      </c>
      <c r="AP35" s="86"/>
      <c r="AQ35" s="452">
        <f>'Overall Metrics'!AO40</f>
        <v>0</v>
      </c>
      <c r="AR35" s="450">
        <f t="shared" si="19"/>
        <v>0</v>
      </c>
      <c r="AS35" s="453" t="str">
        <f>IFERROR(IF(R36=0,"-",AVERAGEIFS($AQ$2:AQ35,$A$2:A35,$A35,$F$2:F35,"&lt;="&amp;$F35)-AVERAGEIFS($AP$2:AP35,$A$2:A35,$A35,$F$2:F35,"&lt;="&amp;$F35)),"")</f>
        <v>-</v>
      </c>
      <c r="AT35" s="390" t="str">
        <f>IFERROR(IF(R36=0,"-",AVERAGEIFS($AQ$2:AQ35,$A$2:A35,A35,$C$2:C35,C35)-AVERAGEIFS($AP$2:AP35,$A$2:A35,A35,$C$2:C35,C35)),"")</f>
        <v>-</v>
      </c>
      <c r="AU35" s="79"/>
      <c r="AV35" s="452">
        <f>'Overall Metrics'!AS40</f>
        <v>0</v>
      </c>
      <c r="AW35" s="450" t="str">
        <f t="shared" si="20"/>
        <v/>
      </c>
      <c r="AX35" s="453" t="str">
        <f>IFERROR(IF(R39=0,"-",AVERAGEIFS($AV$2:AV35,$A$2:A35,$A35,$F$2:F35,"&lt;="&amp;$F35)-AVERAGEIFS($AU$2:AU35,$A$2:A35,$A35,$F$2:F35,"&lt;="&amp;$F35)),"")</f>
        <v>-</v>
      </c>
      <c r="AY35" s="453" t="str">
        <f>IFERROR(IF(R39=0,"-",AVERAGEIFS($AV$2:AV35,$A$2:A35,A35,$C$2:C35,C35)-AVERAGEIFS($AU$2:AU35,$A$2:A35,A35,$C$2:C35,C35)),"")</f>
        <v>-</v>
      </c>
      <c r="AZ35" s="86"/>
      <c r="BA35" s="449">
        <f>'Glass Metrics'!AC40</f>
        <v>0</v>
      </c>
      <c r="BB35" s="450" t="str">
        <f t="shared" si="21"/>
        <v/>
      </c>
      <c r="BC35" s="450" t="str">
        <f>IFERROR(IF(R35=0,"-",AVERAGEIFS($BA$2:BA35,$A$2:A35,$A35,$F$2:F35,"&lt;="&amp;$F35)/AVERAGEIFS($AZ$2:AZ35,$A$2:A35,$A35,$F$2:F35,"&lt;="&amp;$F35)-1),"")</f>
        <v>-</v>
      </c>
      <c r="BD35" s="269" t="str">
        <f>IFERROR(IF(R35=0,"-",AVERAGEIFS($BA$2:BA35,$A$2:A35,A35,$C$2:C35,C35)/AVERAGEIFS($AZ$2:AZ35,$A$2:A35,A35,$C$2:C35,C35)-1),"")</f>
        <v>-</v>
      </c>
    </row>
    <row r="36" spans="1:56" ht="16.350000000000001" customHeight="1">
      <c r="A36" s="175">
        <f t="shared" si="0"/>
        <v>2021</v>
      </c>
      <c r="B36" s="447" t="str">
        <f t="shared" si="1"/>
        <v>35</v>
      </c>
      <c r="C36" s="447" t="str">
        <f t="array" ref="C36">_xlfn.IFS(_xlfn.NUMBERVALUE(B36)&lt;=13,"Q1",AND(_xlfn.NUMBERVALUE(B36)&gt;13,_xlfn.NUMBERVALUE(B36)&lt;=26),"Q2", AND(_xlfn.NUMBERVALUE(B36)&gt;26,_xlfn.NUMBERVALUE(B36)&lt;=39),"Q3",_xlfn.NUMBERVALUE(B36)&gt;39,"Q4")</f>
        <v>Q3</v>
      </c>
      <c r="D36" s="448">
        <f t="shared" si="22"/>
        <v>44100</v>
      </c>
      <c r="E36" s="448">
        <f t="shared" si="2"/>
        <v>44106</v>
      </c>
      <c r="F36" s="79">
        <v>202035</v>
      </c>
      <c r="G36" s="103"/>
      <c r="H36" s="429"/>
      <c r="I36" s="429"/>
      <c r="J36" s="214">
        <f t="shared" si="3"/>
        <v>0</v>
      </c>
      <c r="K36" s="429"/>
      <c r="L36" s="429"/>
      <c r="M36" s="429"/>
      <c r="N36" s="214">
        <f t="shared" si="4"/>
        <v>0</v>
      </c>
      <c r="O36" s="449">
        <f>'Overall Metrics'!L41</f>
        <v>0</v>
      </c>
      <c r="P36" s="449">
        <f>'Overall Metrics'!M41</f>
        <v>0</v>
      </c>
      <c r="Q36" s="449">
        <f>'Overall Metrics'!N41</f>
        <v>0</v>
      </c>
      <c r="R36" s="449">
        <f t="shared" si="5"/>
        <v>0</v>
      </c>
      <c r="S36" s="180">
        <f t="shared" si="6"/>
        <v>0</v>
      </c>
      <c r="T36" s="449">
        <f t="shared" si="7"/>
        <v>0</v>
      </c>
      <c r="U36" s="449">
        <f t="shared" si="8"/>
        <v>0</v>
      </c>
      <c r="V36" s="450" t="str">
        <f t="shared" si="9"/>
        <v/>
      </c>
      <c r="W36" s="450" t="str">
        <f>IF(R36=0,"-",SUMIFS($R$2:R36,$A$2:A36,A36,$C$2:C36,C36)/SUMIFS($J$2:J36,$A$2:A36,A36,$C$2:C36,C36)-1)</f>
        <v>-</v>
      </c>
      <c r="X36" s="450" t="str">
        <f t="shared" si="10"/>
        <v/>
      </c>
      <c r="Y36" s="450" t="str">
        <f>IFERROR(IF(R36=0,"-",SUMIFS($R$2:R36,$A$2:A36,A36,$C$2:C36,C36)/SUMIFS($N$2:N36,$A$2:A36,A36,$C$2:C36,C36)-1),"")</f>
        <v>-</v>
      </c>
      <c r="Z36" s="269" t="str">
        <f>IF(R36=0,"",(S36/VLOOKUP(_xlfn.NUMBERVALUE(_xlfn.CONCAT(LEFT(F36,4),52)),$F$2:T243,COLUMNS($F$2:T243),FALSE)))</f>
        <v/>
      </c>
      <c r="AA36" s="269" t="str">
        <f>IFERROR(IF(R36=0,"",(S36/VLOOKUP(_xlfn.NUMBERVALUE(_xlfn.CONCAT(LEFT(F36,4),52)),$F$2:U243,COLUMNS($F$2:U243),FALSE))),"")</f>
        <v/>
      </c>
      <c r="AB36" s="268" t="str">
        <f t="shared" si="11"/>
        <v/>
      </c>
      <c r="AC36" s="450" t="str">
        <f t="shared" si="12"/>
        <v/>
      </c>
      <c r="AD36" s="450" t="str">
        <f t="shared" si="13"/>
        <v/>
      </c>
      <c r="AE36" s="269" t="str">
        <f t="shared" si="14"/>
        <v/>
      </c>
      <c r="AF36" s="268" t="str">
        <f t="shared" si="15"/>
        <v/>
      </c>
      <c r="AG36" s="450" t="str">
        <f t="shared" si="16"/>
        <v/>
      </c>
      <c r="AH36" s="450" t="str">
        <f t="shared" si="17"/>
        <v/>
      </c>
      <c r="AI36" s="269" t="str">
        <f t="shared" si="18"/>
        <v/>
      </c>
      <c r="AJ36" s="450" t="str">
        <f>IF(O36=0,"-",SUMIFS($O$2:O36,$A$2:A36,$A36,$F$2:F36,"&lt;="&amp;$F36)/SUMIFS($G$2:G36,$A$2:A36,$A36,$F$2:F36,"&lt;="&amp;$F36)-1)</f>
        <v>-</v>
      </c>
      <c r="AK36" s="450" t="str">
        <f>IF(P36=0,"-",SUMIFS($P$2:P36,$A$2:A36,$A36,$F$2:F36,"&lt;="&amp;$F36)/SUMIFS($H$2:H36,$A$2:A36,$A36,$F$2:F36,"&lt;="&amp;$F36)-1)</f>
        <v>-</v>
      </c>
      <c r="AL36" s="450" t="str">
        <f>IF(Q36=0,"-",SUMIFS($Q$2:Q36,$A$2:A36,$A36,$F$2:F36,"&lt;="&amp;$F36)/SUMIFS($I$2:I36,$A$2:A36,$A36,$F$2:F36,"&lt;="&amp;$F36)-1)</f>
        <v>-</v>
      </c>
      <c r="AM36" s="450" t="str">
        <f>IFERROR(IF(O36=0,"-",SUMIFS($O$2:O36,$A$2:A36,$A36,$F$2:F36,"&lt;="&amp;$F36)/SUMIFS($K$2:K36,$A$2:A36,$A36,$F$2:F36,"&lt;="&amp;$F36)-1),"")</f>
        <v>-</v>
      </c>
      <c r="AN36" s="450" t="str">
        <f>IFERROR(IF(P36=0,"-",SUMIFS($P$2:P36,$A$2:A36,$A36,$F$2:F36,"&lt;="&amp;$F36)/SUMIFS($L$2:L36,$A$2:A36,$A36,$F$2:F36,"&lt;="&amp;$F36)-1),"")</f>
        <v>-</v>
      </c>
      <c r="AO36" s="450" t="str">
        <f>IFERROR(IF(Q36=0,"-",SUMIFS($Q$2:Q36,$A$2:A36,$A36,$F$2:F36,"&lt;="&amp;$F36)/SUMIFS($M$2:M36,$A$2:A36,$A36,$F$2:F36,"&lt;="&amp;$F36)-1),"")</f>
        <v>-</v>
      </c>
      <c r="AP36" s="86"/>
      <c r="AQ36" s="452">
        <f>'Overall Metrics'!AO41</f>
        <v>0</v>
      </c>
      <c r="AR36" s="450">
        <f t="shared" si="19"/>
        <v>0</v>
      </c>
      <c r="AS36" s="453" t="str">
        <f>IFERROR(IF(R37=0,"-",AVERAGEIFS($AQ$2:AQ36,$A$2:A36,$A36,$F$2:F36,"&lt;="&amp;$F36)-AVERAGEIFS($AP$2:AP36,$A$2:A36,$A36,$F$2:F36,"&lt;="&amp;$F36)),"")</f>
        <v>-</v>
      </c>
      <c r="AT36" s="390" t="str">
        <f>IFERROR(IF(R37=0,"-",AVERAGEIFS($AQ$2:AQ36,$A$2:A36,A36,$C$2:C36,C36)-AVERAGEIFS($AP$2:AP36,$A$2:A36,A36,$C$2:C36,C36)),"")</f>
        <v>-</v>
      </c>
      <c r="AU36" s="79"/>
      <c r="AV36" s="452">
        <f>'Overall Metrics'!AS41</f>
        <v>0</v>
      </c>
      <c r="AW36" s="450" t="str">
        <f t="shared" si="20"/>
        <v/>
      </c>
      <c r="AX36" s="453" t="str">
        <f>IFERROR(IF(R40=0,"-",AVERAGEIFS($AV$2:AV36,$A$2:A36,$A36,$F$2:F36,"&lt;="&amp;$F36)-AVERAGEIFS($AU$2:AU36,$A$2:A36,$A36,$F$2:F36,"&lt;="&amp;$F36)),"")</f>
        <v>-</v>
      </c>
      <c r="AY36" s="453" t="str">
        <f>IFERROR(IF(R40=0,"-",AVERAGEIFS($AV$2:AV36,$A$2:A36,A36,$C$2:C36,C36)-AVERAGEIFS($AU$2:AU36,$A$2:A36,A36,$C$2:C36,C36)),"")</f>
        <v>-</v>
      </c>
      <c r="AZ36" s="86"/>
      <c r="BA36" s="449">
        <f>'Glass Metrics'!AC41</f>
        <v>0</v>
      </c>
      <c r="BB36" s="450" t="str">
        <f t="shared" si="21"/>
        <v/>
      </c>
      <c r="BC36" s="450" t="str">
        <f>IFERROR(IF(R36=0,"-",AVERAGEIFS($BA$2:BA36,$A$2:A36,$A36,$F$2:F36,"&lt;="&amp;$F36)/AVERAGEIFS($AZ$2:AZ36,$A$2:A36,$A36,$F$2:F36,"&lt;="&amp;$F36)-1),"")</f>
        <v>-</v>
      </c>
      <c r="BD36" s="269" t="str">
        <f>IFERROR(IF(R36=0,"-",AVERAGEIFS($BA$2:BA36,$A$2:A36,A36,$C$2:C36,C36)/AVERAGEIFS($AZ$2:AZ36,$A$2:A36,A36,$C$2:C36,C36)-1),"")</f>
        <v>-</v>
      </c>
    </row>
    <row r="37" spans="1:56" ht="16.350000000000001" customHeight="1">
      <c r="A37" s="175">
        <f t="shared" si="0"/>
        <v>2021</v>
      </c>
      <c r="B37" s="447" t="str">
        <f t="shared" si="1"/>
        <v>36</v>
      </c>
      <c r="C37" s="447" t="str">
        <f t="array" ref="C37">_xlfn.IFS(_xlfn.NUMBERVALUE(B37)&lt;=13,"Q1",AND(_xlfn.NUMBERVALUE(B37)&gt;13,_xlfn.NUMBERVALUE(B37)&lt;=26),"Q2", AND(_xlfn.NUMBERVALUE(B37)&gt;26,_xlfn.NUMBERVALUE(B37)&lt;=39),"Q3",_xlfn.NUMBERVALUE(B37)&gt;39,"Q4")</f>
        <v>Q3</v>
      </c>
      <c r="D37" s="448">
        <f t="shared" si="22"/>
        <v>44107</v>
      </c>
      <c r="E37" s="448">
        <f t="shared" si="2"/>
        <v>44113</v>
      </c>
      <c r="F37" s="79">
        <v>202036</v>
      </c>
      <c r="G37" s="103"/>
      <c r="H37" s="429"/>
      <c r="I37" s="429"/>
      <c r="J37" s="214">
        <f t="shared" si="3"/>
        <v>0</v>
      </c>
      <c r="K37" s="429"/>
      <c r="L37" s="429"/>
      <c r="M37" s="429"/>
      <c r="N37" s="214">
        <f t="shared" si="4"/>
        <v>0</v>
      </c>
      <c r="O37" s="449">
        <f>'Overall Metrics'!L42</f>
        <v>0</v>
      </c>
      <c r="P37" s="449">
        <f>'Overall Metrics'!M42</f>
        <v>0</v>
      </c>
      <c r="Q37" s="449">
        <f>'Overall Metrics'!N42</f>
        <v>0</v>
      </c>
      <c r="R37" s="449">
        <f t="shared" si="5"/>
        <v>0</v>
      </c>
      <c r="S37" s="180">
        <f t="shared" si="6"/>
        <v>0</v>
      </c>
      <c r="T37" s="449">
        <f t="shared" si="7"/>
        <v>0</v>
      </c>
      <c r="U37" s="449">
        <f t="shared" si="8"/>
        <v>0</v>
      </c>
      <c r="V37" s="450" t="str">
        <f t="shared" si="9"/>
        <v/>
      </c>
      <c r="W37" s="450" t="str">
        <f>IF(R37=0,"-",SUMIFS($R$2:R37,$A$2:A37,A37,$C$2:C37,C37)/SUMIFS($J$2:J37,$A$2:A37,A37,$C$2:C37,C37)-1)</f>
        <v>-</v>
      </c>
      <c r="X37" s="450" t="str">
        <f t="shared" si="10"/>
        <v/>
      </c>
      <c r="Y37" s="450" t="str">
        <f>IFERROR(IF(R37=0,"-",SUMIFS($R$2:R37,$A$2:A37,A37,$C$2:C37,C37)/SUMIFS($N$2:N37,$A$2:A37,A37,$C$2:C37,C37)-1),"")</f>
        <v>-</v>
      </c>
      <c r="Z37" s="269" t="str">
        <f>IF(R37=0,"",(S37/VLOOKUP(_xlfn.NUMBERVALUE(_xlfn.CONCAT(LEFT(F37,4),52)),$F$2:T244,COLUMNS($F$2:T244),FALSE)))</f>
        <v/>
      </c>
      <c r="AA37" s="269" t="str">
        <f>IFERROR(IF(R37=0,"",(S37/VLOOKUP(_xlfn.NUMBERVALUE(_xlfn.CONCAT(LEFT(F37,4),52)),$F$2:U244,COLUMNS($F$2:U244),FALSE))),"")</f>
        <v/>
      </c>
      <c r="AB37" s="268" t="str">
        <f t="shared" si="11"/>
        <v/>
      </c>
      <c r="AC37" s="450" t="str">
        <f t="shared" si="12"/>
        <v/>
      </c>
      <c r="AD37" s="450" t="str">
        <f t="shared" si="13"/>
        <v/>
      </c>
      <c r="AE37" s="269" t="str">
        <f t="shared" si="14"/>
        <v/>
      </c>
      <c r="AF37" s="268" t="str">
        <f t="shared" si="15"/>
        <v/>
      </c>
      <c r="AG37" s="450" t="str">
        <f t="shared" si="16"/>
        <v/>
      </c>
      <c r="AH37" s="450" t="str">
        <f t="shared" si="17"/>
        <v/>
      </c>
      <c r="AI37" s="269" t="str">
        <f t="shared" si="18"/>
        <v/>
      </c>
      <c r="AJ37" s="450" t="str">
        <f>IF(O37=0,"-",SUMIFS($O$2:O37,$A$2:A37,$A37,$F$2:F37,"&lt;="&amp;$F37)/SUMIFS($G$2:G37,$A$2:A37,$A37,$F$2:F37,"&lt;="&amp;$F37)-1)</f>
        <v>-</v>
      </c>
      <c r="AK37" s="450" t="str">
        <f>IF(P37=0,"-",SUMIFS($P$2:P37,$A$2:A37,$A37,$F$2:F37,"&lt;="&amp;$F37)/SUMIFS($H$2:H37,$A$2:A37,$A37,$F$2:F37,"&lt;="&amp;$F37)-1)</f>
        <v>-</v>
      </c>
      <c r="AL37" s="450" t="str">
        <f>IF(Q37=0,"-",SUMIFS($Q$2:Q37,$A$2:A37,$A37,$F$2:F37,"&lt;="&amp;$F37)/SUMIFS($I$2:I37,$A$2:A37,$A37,$F$2:F37,"&lt;="&amp;$F37)-1)</f>
        <v>-</v>
      </c>
      <c r="AM37" s="450" t="str">
        <f>IFERROR(IF(O37=0,"-",SUMIFS($O$2:O37,$A$2:A37,$A37,$F$2:F37,"&lt;="&amp;$F37)/SUMIFS($K$2:K37,$A$2:A37,$A37,$F$2:F37,"&lt;="&amp;$F37)-1),"")</f>
        <v>-</v>
      </c>
      <c r="AN37" s="450" t="str">
        <f>IFERROR(IF(P37=0,"-",SUMIFS($P$2:P37,$A$2:A37,$A37,$F$2:F37,"&lt;="&amp;$F37)/SUMIFS($L$2:L37,$A$2:A37,$A37,$F$2:F37,"&lt;="&amp;$F37)-1),"")</f>
        <v>-</v>
      </c>
      <c r="AO37" s="450" t="str">
        <f>IFERROR(IF(Q37=0,"-",SUMIFS($Q$2:Q37,$A$2:A37,$A37,$F$2:F37,"&lt;="&amp;$F37)/SUMIFS($M$2:M37,$A$2:A37,$A37,$F$2:F37,"&lt;="&amp;$F37)-1),"")</f>
        <v>-</v>
      </c>
      <c r="AP37" s="86"/>
      <c r="AQ37" s="452">
        <f>'Overall Metrics'!AO42</f>
        <v>0</v>
      </c>
      <c r="AR37" s="450">
        <f t="shared" si="19"/>
        <v>0</v>
      </c>
      <c r="AS37" s="453" t="str">
        <f>IFERROR(IF(R38=0,"-",AVERAGEIFS($AQ$2:AQ37,$A$2:A37,$A37,$F$2:F37,"&lt;="&amp;$F37)-AVERAGEIFS($AP$2:AP37,$A$2:A37,$A37,$F$2:F37,"&lt;="&amp;$F37)),"")</f>
        <v>-</v>
      </c>
      <c r="AT37" s="390" t="str">
        <f>IFERROR(IF(R38=0,"-",AVERAGEIFS($AQ$2:AQ37,$A$2:A37,A37,$C$2:C37,C37)-AVERAGEIFS($AP$2:AP37,$A$2:A37,A37,$C$2:C37,C37)),"")</f>
        <v>-</v>
      </c>
      <c r="AU37" s="79"/>
      <c r="AV37" s="452">
        <f>'Overall Metrics'!AS42</f>
        <v>0</v>
      </c>
      <c r="AW37" s="450" t="str">
        <f t="shared" si="20"/>
        <v/>
      </c>
      <c r="AX37" s="453" t="str">
        <f>IFERROR(IF(R41=0,"-",AVERAGEIFS($AV$2:AV37,$A$2:A37,$A37,$F$2:F37,"&lt;="&amp;$F37)-AVERAGEIFS($AU$2:AU37,$A$2:A37,$A37,$F$2:F37,"&lt;="&amp;$F37)),"")</f>
        <v>-</v>
      </c>
      <c r="AY37" s="453" t="str">
        <f>IFERROR(IF(R41=0,"-",AVERAGEIFS($AV$2:AV37,$A$2:A37,A37,$C$2:C37,C37)-AVERAGEIFS($AU$2:AU37,$A$2:A37,A37,$C$2:C37,C37)),"")</f>
        <v>-</v>
      </c>
      <c r="AZ37" s="86"/>
      <c r="BA37" s="449">
        <f>'Glass Metrics'!AC42</f>
        <v>0</v>
      </c>
      <c r="BB37" s="450" t="str">
        <f t="shared" si="21"/>
        <v/>
      </c>
      <c r="BC37" s="450" t="str">
        <f>IFERROR(IF(R37=0,"-",AVERAGEIFS($BA$2:BA37,$A$2:A37,$A37,$F$2:F37,"&lt;="&amp;$F37)/AVERAGEIFS($AZ$2:AZ37,$A$2:A37,$A37,$F$2:F37,"&lt;="&amp;$F37)-1),"")</f>
        <v>-</v>
      </c>
      <c r="BD37" s="269" t="str">
        <f>IFERROR(IF(R37=0,"-",AVERAGEIFS($BA$2:BA37,$A$2:A37,A37,$C$2:C37,C37)/AVERAGEIFS($AZ$2:AZ37,$A$2:A37,A37,$C$2:C37,C37)-1),"")</f>
        <v>-</v>
      </c>
    </row>
    <row r="38" spans="1:56" ht="16.350000000000001" customHeight="1">
      <c r="A38" s="175">
        <f t="shared" si="0"/>
        <v>2021</v>
      </c>
      <c r="B38" s="447" t="str">
        <f t="shared" si="1"/>
        <v>37</v>
      </c>
      <c r="C38" s="447" t="str">
        <f t="array" ref="C38">_xlfn.IFS(_xlfn.NUMBERVALUE(B38)&lt;=13,"Q1",AND(_xlfn.NUMBERVALUE(B38)&gt;13,_xlfn.NUMBERVALUE(B38)&lt;=26),"Q2", AND(_xlfn.NUMBERVALUE(B38)&gt;26,_xlfn.NUMBERVALUE(B38)&lt;=39),"Q3",_xlfn.NUMBERVALUE(B38)&gt;39,"Q4")</f>
        <v>Q3</v>
      </c>
      <c r="D38" s="448">
        <f t="shared" si="22"/>
        <v>44114</v>
      </c>
      <c r="E38" s="448">
        <f t="shared" si="2"/>
        <v>44120</v>
      </c>
      <c r="F38" s="79">
        <v>202037</v>
      </c>
      <c r="G38" s="103"/>
      <c r="H38" s="429"/>
      <c r="I38" s="429"/>
      <c r="J38" s="214">
        <f t="shared" si="3"/>
        <v>0</v>
      </c>
      <c r="K38" s="429"/>
      <c r="L38" s="429"/>
      <c r="M38" s="429"/>
      <c r="N38" s="214">
        <f t="shared" si="4"/>
        <v>0</v>
      </c>
      <c r="O38" s="449">
        <f>'Overall Metrics'!L43</f>
        <v>0</v>
      </c>
      <c r="P38" s="449">
        <f>'Overall Metrics'!M43</f>
        <v>0</v>
      </c>
      <c r="Q38" s="449">
        <f>'Overall Metrics'!N43</f>
        <v>0</v>
      </c>
      <c r="R38" s="449">
        <f t="shared" si="5"/>
        <v>0</v>
      </c>
      <c r="S38" s="180">
        <f t="shared" si="6"/>
        <v>0</v>
      </c>
      <c r="T38" s="449">
        <f t="shared" si="7"/>
        <v>0</v>
      </c>
      <c r="U38" s="449">
        <f t="shared" si="8"/>
        <v>0</v>
      </c>
      <c r="V38" s="450" t="str">
        <f t="shared" si="9"/>
        <v/>
      </c>
      <c r="W38" s="450" t="str">
        <f>IF(R38=0,"-",SUMIFS($R$2:R38,$A$2:A38,A38,$C$2:C38,C38)/SUMIFS($J$2:J38,$A$2:A38,A38,$C$2:C38,C38)-1)</f>
        <v>-</v>
      </c>
      <c r="X38" s="450" t="str">
        <f t="shared" si="10"/>
        <v/>
      </c>
      <c r="Y38" s="450" t="str">
        <f>IFERROR(IF(R38=0,"-",SUMIFS($R$2:R38,$A$2:A38,A38,$C$2:C38,C38)/SUMIFS($N$2:N38,$A$2:A38,A38,$C$2:C38,C38)-1),"")</f>
        <v>-</v>
      </c>
      <c r="Z38" s="269" t="str">
        <f>IF(R38=0,"",(S38/VLOOKUP(_xlfn.NUMBERVALUE(_xlfn.CONCAT(LEFT(F38,4),52)),$F$2:T245,COLUMNS($F$2:T245),FALSE)))</f>
        <v/>
      </c>
      <c r="AA38" s="269" t="str">
        <f>IFERROR(IF(R38=0,"",(S38/VLOOKUP(_xlfn.NUMBERVALUE(_xlfn.CONCAT(LEFT(F38,4),52)),$F$2:U245,COLUMNS($F$2:U245),FALSE))),"")</f>
        <v/>
      </c>
      <c r="AB38" s="268" t="str">
        <f t="shared" si="11"/>
        <v/>
      </c>
      <c r="AC38" s="450" t="str">
        <f t="shared" si="12"/>
        <v/>
      </c>
      <c r="AD38" s="450" t="str">
        <f t="shared" si="13"/>
        <v/>
      </c>
      <c r="AE38" s="269" t="str">
        <f t="shared" si="14"/>
        <v/>
      </c>
      <c r="AF38" s="268" t="str">
        <f t="shared" si="15"/>
        <v/>
      </c>
      <c r="AG38" s="450" t="str">
        <f t="shared" si="16"/>
        <v/>
      </c>
      <c r="AH38" s="450" t="str">
        <f t="shared" si="17"/>
        <v/>
      </c>
      <c r="AI38" s="269" t="str">
        <f t="shared" si="18"/>
        <v/>
      </c>
      <c r="AJ38" s="450" t="str">
        <f>IF(O38=0,"-",SUMIFS($O$2:O38,$A$2:A38,$A38,$F$2:F38,"&lt;="&amp;$F38)/SUMIFS($G$2:G38,$A$2:A38,$A38,$F$2:F38,"&lt;="&amp;$F38)-1)</f>
        <v>-</v>
      </c>
      <c r="AK38" s="450" t="str">
        <f>IF(P38=0,"-",SUMIFS($P$2:P38,$A$2:A38,$A38,$F$2:F38,"&lt;="&amp;$F38)/SUMIFS($H$2:H38,$A$2:A38,$A38,$F$2:F38,"&lt;="&amp;$F38)-1)</f>
        <v>-</v>
      </c>
      <c r="AL38" s="450" t="str">
        <f>IF(Q38=0,"-",SUMIFS($Q$2:Q38,$A$2:A38,$A38,$F$2:F38,"&lt;="&amp;$F38)/SUMIFS($I$2:I38,$A$2:A38,$A38,$F$2:F38,"&lt;="&amp;$F38)-1)</f>
        <v>-</v>
      </c>
      <c r="AM38" s="450" t="str">
        <f>IFERROR(IF(O38=0,"-",SUMIFS($O$2:O38,$A$2:A38,$A38,$F$2:F38,"&lt;="&amp;$F38)/SUMIFS($K$2:K38,$A$2:A38,$A38,$F$2:F38,"&lt;="&amp;$F38)-1),"")</f>
        <v>-</v>
      </c>
      <c r="AN38" s="450" t="str">
        <f>IFERROR(IF(P38=0,"-",SUMIFS($P$2:P38,$A$2:A38,$A38,$F$2:F38,"&lt;="&amp;$F38)/SUMIFS($L$2:L38,$A$2:A38,$A38,$F$2:F38,"&lt;="&amp;$F38)-1),"")</f>
        <v>-</v>
      </c>
      <c r="AO38" s="450" t="str">
        <f>IFERROR(IF(Q38=0,"-",SUMIFS($Q$2:Q38,$A$2:A38,$A38,$F$2:F38,"&lt;="&amp;$F38)/SUMIFS($M$2:M38,$A$2:A38,$A38,$F$2:F38,"&lt;="&amp;$F38)-1),"")</f>
        <v>-</v>
      </c>
      <c r="AP38" s="86"/>
      <c r="AQ38" s="452">
        <f>'Overall Metrics'!AO43</f>
        <v>0</v>
      </c>
      <c r="AR38" s="450">
        <f t="shared" si="19"/>
        <v>0</v>
      </c>
      <c r="AS38" s="453" t="str">
        <f>IFERROR(IF(R39=0,"-",AVERAGEIFS($AQ$2:AQ38,$A$2:A38,$A38,$F$2:F38,"&lt;="&amp;$F38)-AVERAGEIFS($AP$2:AP38,$A$2:A38,$A38,$F$2:F38,"&lt;="&amp;$F38)),"")</f>
        <v>-</v>
      </c>
      <c r="AT38" s="390" t="str">
        <f>IFERROR(IF(R39=0,"-",AVERAGEIFS($AQ$2:AQ38,$A$2:A38,A38,$C$2:C38,C38)-AVERAGEIFS($AP$2:AP38,$A$2:A38,A38,$C$2:C38,C38)),"")</f>
        <v>-</v>
      </c>
      <c r="AU38" s="79"/>
      <c r="AV38" s="452">
        <f>'Overall Metrics'!AS43</f>
        <v>0</v>
      </c>
      <c r="AW38" s="450" t="str">
        <f t="shared" si="20"/>
        <v/>
      </c>
      <c r="AX38" s="453" t="str">
        <f>IFERROR(IF(R42=0,"-",AVERAGEIFS($AV$2:AV38,$A$2:A38,$A38,$F$2:F38,"&lt;="&amp;$F38)-AVERAGEIFS($AU$2:AU38,$A$2:A38,$A38,$F$2:F38,"&lt;="&amp;$F38)),"")</f>
        <v>-</v>
      </c>
      <c r="AY38" s="453" t="str">
        <f>IFERROR(IF(R42=0,"-",AVERAGEIFS($AV$2:AV38,$A$2:A38,A38,$C$2:C38,C38)-AVERAGEIFS($AU$2:AU38,$A$2:A38,A38,$C$2:C38,C38)),"")</f>
        <v>-</v>
      </c>
      <c r="AZ38" s="86"/>
      <c r="BA38" s="449">
        <f>'Glass Metrics'!AC43</f>
        <v>0</v>
      </c>
      <c r="BB38" s="450" t="str">
        <f t="shared" si="21"/>
        <v/>
      </c>
      <c r="BC38" s="450" t="str">
        <f>IFERROR(IF(R38=0,"-",AVERAGEIFS($BA$2:BA38,$A$2:A38,$A38,$F$2:F38,"&lt;="&amp;$F38)/AVERAGEIFS($AZ$2:AZ38,$A$2:A38,$A38,$F$2:F38,"&lt;="&amp;$F38)-1),"")</f>
        <v>-</v>
      </c>
      <c r="BD38" s="269" t="str">
        <f>IFERROR(IF(R38=0,"-",AVERAGEIFS($BA$2:BA38,$A$2:A38,A38,$C$2:C38,C38)/AVERAGEIFS($AZ$2:AZ38,$A$2:A38,A38,$C$2:C38,C38)-1),"")</f>
        <v>-</v>
      </c>
    </row>
    <row r="39" spans="1:56" ht="16.350000000000001" customHeight="1">
      <c r="A39" s="175">
        <f t="shared" si="0"/>
        <v>2021</v>
      </c>
      <c r="B39" s="447" t="str">
        <f t="shared" si="1"/>
        <v>38</v>
      </c>
      <c r="C39" s="447" t="str">
        <f t="array" ref="C39">_xlfn.IFS(_xlfn.NUMBERVALUE(B39)&lt;=13,"Q1",AND(_xlfn.NUMBERVALUE(B39)&gt;13,_xlfn.NUMBERVALUE(B39)&lt;=26),"Q2", AND(_xlfn.NUMBERVALUE(B39)&gt;26,_xlfn.NUMBERVALUE(B39)&lt;=39),"Q3",_xlfn.NUMBERVALUE(B39)&gt;39,"Q4")</f>
        <v>Q3</v>
      </c>
      <c r="D39" s="448">
        <f t="shared" si="22"/>
        <v>44121</v>
      </c>
      <c r="E39" s="448">
        <f t="shared" si="2"/>
        <v>44127</v>
      </c>
      <c r="F39" s="79">
        <v>202038</v>
      </c>
      <c r="G39" s="103"/>
      <c r="H39" s="429"/>
      <c r="I39" s="429"/>
      <c r="J39" s="214">
        <f t="shared" si="3"/>
        <v>0</v>
      </c>
      <c r="K39" s="429"/>
      <c r="L39" s="429"/>
      <c r="M39" s="429"/>
      <c r="N39" s="214">
        <f t="shared" si="4"/>
        <v>0</v>
      </c>
      <c r="O39" s="449">
        <f>'Overall Metrics'!L44</f>
        <v>0</v>
      </c>
      <c r="P39" s="449">
        <f>'Overall Metrics'!M44</f>
        <v>0</v>
      </c>
      <c r="Q39" s="449">
        <f>'Overall Metrics'!N44</f>
        <v>0</v>
      </c>
      <c r="R39" s="449">
        <f t="shared" si="5"/>
        <v>0</v>
      </c>
      <c r="S39" s="180">
        <f t="shared" si="6"/>
        <v>0</v>
      </c>
      <c r="T39" s="449">
        <f t="shared" si="7"/>
        <v>0</v>
      </c>
      <c r="U39" s="449">
        <f t="shared" si="8"/>
        <v>0</v>
      </c>
      <c r="V39" s="450" t="str">
        <f t="shared" si="9"/>
        <v/>
      </c>
      <c r="W39" s="450" t="str">
        <f>IF(R39=0,"-",SUMIFS($R$2:R39,$A$2:A39,A39,$C$2:C39,C39)/SUMIFS($J$2:J39,$A$2:A39,A39,$C$2:C39,C39)-1)</f>
        <v>-</v>
      </c>
      <c r="X39" s="450" t="str">
        <f t="shared" si="10"/>
        <v/>
      </c>
      <c r="Y39" s="450" t="str">
        <f>IFERROR(IF(R39=0,"-",SUMIFS($R$2:R39,$A$2:A39,A39,$C$2:C39,C39)/SUMIFS($N$2:N39,$A$2:A39,A39,$C$2:C39,C39)-1),"")</f>
        <v>-</v>
      </c>
      <c r="Z39" s="269" t="str">
        <f>IF(R39=0,"",(S39/VLOOKUP(_xlfn.NUMBERVALUE(_xlfn.CONCAT(LEFT(F39,4),52)),$F$2:T246,COLUMNS($F$2:T246),FALSE)))</f>
        <v/>
      </c>
      <c r="AA39" s="269" t="str">
        <f>IFERROR(IF(R39=0,"",(S39/VLOOKUP(_xlfn.NUMBERVALUE(_xlfn.CONCAT(LEFT(F39,4),52)),$F$2:U246,COLUMNS($F$2:U246),FALSE))),"")</f>
        <v/>
      </c>
      <c r="AB39" s="268" t="str">
        <f t="shared" si="11"/>
        <v/>
      </c>
      <c r="AC39" s="450" t="str">
        <f t="shared" si="12"/>
        <v/>
      </c>
      <c r="AD39" s="450" t="str">
        <f t="shared" si="13"/>
        <v/>
      </c>
      <c r="AE39" s="269" t="str">
        <f t="shared" si="14"/>
        <v/>
      </c>
      <c r="AF39" s="268" t="str">
        <f t="shared" si="15"/>
        <v/>
      </c>
      <c r="AG39" s="450" t="str">
        <f t="shared" si="16"/>
        <v/>
      </c>
      <c r="AH39" s="450" t="str">
        <f t="shared" si="17"/>
        <v/>
      </c>
      <c r="AI39" s="269" t="str">
        <f t="shared" si="18"/>
        <v/>
      </c>
      <c r="AJ39" s="450" t="str">
        <f>IF(O39=0,"-",SUMIFS($O$2:O39,$A$2:A39,$A39,$F$2:F39,"&lt;="&amp;$F39)/SUMIFS($G$2:G39,$A$2:A39,$A39,$F$2:F39,"&lt;="&amp;$F39)-1)</f>
        <v>-</v>
      </c>
      <c r="AK39" s="450" t="str">
        <f>IF(P39=0,"-",SUMIFS($P$2:P39,$A$2:A39,$A39,$F$2:F39,"&lt;="&amp;$F39)/SUMIFS($H$2:H39,$A$2:A39,$A39,$F$2:F39,"&lt;="&amp;$F39)-1)</f>
        <v>-</v>
      </c>
      <c r="AL39" s="450" t="str">
        <f>IF(Q39=0,"-",SUMIFS($Q$2:Q39,$A$2:A39,$A39,$F$2:F39,"&lt;="&amp;$F39)/SUMIFS($I$2:I39,$A$2:A39,$A39,$F$2:F39,"&lt;="&amp;$F39)-1)</f>
        <v>-</v>
      </c>
      <c r="AM39" s="450" t="str">
        <f>IFERROR(IF(O39=0,"-",SUMIFS($O$2:O39,$A$2:A39,$A39,$F$2:F39,"&lt;="&amp;$F39)/SUMIFS($K$2:K39,$A$2:A39,$A39,$F$2:F39,"&lt;="&amp;$F39)-1),"")</f>
        <v>-</v>
      </c>
      <c r="AN39" s="450" t="str">
        <f>IFERROR(IF(P39=0,"-",SUMIFS($P$2:P39,$A$2:A39,$A39,$F$2:F39,"&lt;="&amp;$F39)/SUMIFS($L$2:L39,$A$2:A39,$A39,$F$2:F39,"&lt;="&amp;$F39)-1),"")</f>
        <v>-</v>
      </c>
      <c r="AO39" s="450" t="str">
        <f>IFERROR(IF(Q39=0,"-",SUMIFS($Q$2:Q39,$A$2:A39,$A39,$F$2:F39,"&lt;="&amp;$F39)/SUMIFS($M$2:M39,$A$2:A39,$A39,$F$2:F39,"&lt;="&amp;$F39)-1),"")</f>
        <v>-</v>
      </c>
      <c r="AP39" s="86"/>
      <c r="AQ39" s="452">
        <f>'Overall Metrics'!AO44</f>
        <v>0</v>
      </c>
      <c r="AR39" s="450">
        <f t="shared" si="19"/>
        <v>0</v>
      </c>
      <c r="AS39" s="453" t="str">
        <f>IFERROR(IF(R40=0,"-",AVERAGEIFS($AQ$2:AQ39,$A$2:A39,$A39,$F$2:F39,"&lt;="&amp;$F39)-AVERAGEIFS($AP$2:AP39,$A$2:A39,$A39,$F$2:F39,"&lt;="&amp;$F39)),"")</f>
        <v>-</v>
      </c>
      <c r="AT39" s="390" t="str">
        <f>IFERROR(IF(R40=0,"-",AVERAGEIFS($AQ$2:AQ39,$A$2:A39,A39,$C$2:C39,C39)-AVERAGEIFS($AP$2:AP39,$A$2:A39,A39,$C$2:C39,C39)),"")</f>
        <v>-</v>
      </c>
      <c r="AU39" s="79"/>
      <c r="AV39" s="452">
        <f>'Overall Metrics'!AS44</f>
        <v>0</v>
      </c>
      <c r="AW39" s="450" t="str">
        <f t="shared" si="20"/>
        <v/>
      </c>
      <c r="AX39" s="453" t="str">
        <f>IFERROR(IF(R43=0,"-",AVERAGEIFS($AV$2:AV39,$A$2:A39,$A39,$F$2:F39,"&lt;="&amp;$F39)-AVERAGEIFS($AU$2:AU39,$A$2:A39,$A39,$F$2:F39,"&lt;="&amp;$F39)),"")</f>
        <v>-</v>
      </c>
      <c r="AY39" s="453" t="str">
        <f>IFERROR(IF(R43=0,"-",AVERAGEIFS($AV$2:AV39,$A$2:A39,A39,$C$2:C39,C39)-AVERAGEIFS($AU$2:AU39,$A$2:A39,A39,$C$2:C39,C39)),"")</f>
        <v>-</v>
      </c>
      <c r="AZ39" s="86"/>
      <c r="BA39" s="449">
        <f>'Glass Metrics'!AC44</f>
        <v>0</v>
      </c>
      <c r="BB39" s="450" t="str">
        <f t="shared" si="21"/>
        <v/>
      </c>
      <c r="BC39" s="450" t="str">
        <f>IFERROR(IF(R39=0,"-",AVERAGEIFS($BA$2:BA39,$A$2:A39,$A39,$F$2:F39,"&lt;="&amp;$F39)/AVERAGEIFS($AZ$2:AZ39,$A$2:A39,$A39,$F$2:F39,"&lt;="&amp;$F39)-1),"")</f>
        <v>-</v>
      </c>
      <c r="BD39" s="269" t="str">
        <f>IFERROR(IF(R39=0,"-",AVERAGEIFS($BA$2:BA39,$A$2:A39,A39,$C$2:C39,C39)/AVERAGEIFS($AZ$2:AZ39,$A$2:A39,A39,$C$2:C39,C39)-1),"")</f>
        <v>-</v>
      </c>
    </row>
    <row r="40" spans="1:56" ht="16.350000000000001" customHeight="1">
      <c r="A40" s="175">
        <f t="shared" si="0"/>
        <v>2021</v>
      </c>
      <c r="B40" s="447" t="str">
        <f t="shared" si="1"/>
        <v>39</v>
      </c>
      <c r="C40" s="447" t="str">
        <f t="array" ref="C40">_xlfn.IFS(_xlfn.NUMBERVALUE(B40)&lt;=13,"Q1",AND(_xlfn.NUMBERVALUE(B40)&gt;13,_xlfn.NUMBERVALUE(B40)&lt;=26),"Q2", AND(_xlfn.NUMBERVALUE(B40)&gt;26,_xlfn.NUMBERVALUE(B40)&lt;=39),"Q3",_xlfn.NUMBERVALUE(B40)&gt;39,"Q4")</f>
        <v>Q3</v>
      </c>
      <c r="D40" s="448">
        <f t="shared" si="22"/>
        <v>44128</v>
      </c>
      <c r="E40" s="448">
        <f t="shared" si="2"/>
        <v>44134</v>
      </c>
      <c r="F40" s="79">
        <v>202039</v>
      </c>
      <c r="G40" s="103"/>
      <c r="H40" s="429"/>
      <c r="I40" s="429"/>
      <c r="J40" s="214">
        <f t="shared" si="3"/>
        <v>0</v>
      </c>
      <c r="K40" s="429"/>
      <c r="L40" s="429"/>
      <c r="M40" s="429"/>
      <c r="N40" s="214">
        <f t="shared" si="4"/>
        <v>0</v>
      </c>
      <c r="O40" s="449">
        <f>'Overall Metrics'!L45</f>
        <v>0</v>
      </c>
      <c r="P40" s="449">
        <f>'Overall Metrics'!M45</f>
        <v>0</v>
      </c>
      <c r="Q40" s="449">
        <f>'Overall Metrics'!N45</f>
        <v>0</v>
      </c>
      <c r="R40" s="449">
        <f t="shared" si="5"/>
        <v>0</v>
      </c>
      <c r="S40" s="180">
        <f t="shared" si="6"/>
        <v>0</v>
      </c>
      <c r="T40" s="449">
        <f t="shared" si="7"/>
        <v>0</v>
      </c>
      <c r="U40" s="449">
        <f t="shared" si="8"/>
        <v>0</v>
      </c>
      <c r="V40" s="450" t="str">
        <f t="shared" si="9"/>
        <v/>
      </c>
      <c r="W40" s="450" t="str">
        <f>IF(R40=0,"-",SUMIFS($R$2:R40,$A$2:A40,A40,$C$2:C40,C40)/SUMIFS($J$2:J40,$A$2:A40,A40,$C$2:C40,C40)-1)</f>
        <v>-</v>
      </c>
      <c r="X40" s="450" t="str">
        <f t="shared" si="10"/>
        <v/>
      </c>
      <c r="Y40" s="450" t="str">
        <f>IFERROR(IF(R40=0,"-",SUMIFS($R$2:R40,$A$2:A40,A40,$C$2:C40,C40)/SUMIFS($N$2:N40,$A$2:A40,A40,$C$2:C40,C40)-1),"")</f>
        <v>-</v>
      </c>
      <c r="Z40" s="269" t="str">
        <f>IF(R40=0,"",(S40/VLOOKUP(_xlfn.NUMBERVALUE(_xlfn.CONCAT(LEFT(F40,4),52)),$F$2:T247,COLUMNS($F$2:T247),FALSE)))</f>
        <v/>
      </c>
      <c r="AA40" s="269" t="str">
        <f>IFERROR(IF(R40=0,"",(S40/VLOOKUP(_xlfn.NUMBERVALUE(_xlfn.CONCAT(LEFT(F40,4),52)),$F$2:U247,COLUMNS($F$2:U247),FALSE))),"")</f>
        <v/>
      </c>
      <c r="AB40" s="268" t="str">
        <f t="shared" si="11"/>
        <v/>
      </c>
      <c r="AC40" s="450" t="str">
        <f t="shared" si="12"/>
        <v/>
      </c>
      <c r="AD40" s="450" t="str">
        <f t="shared" si="13"/>
        <v/>
      </c>
      <c r="AE40" s="269" t="str">
        <f t="shared" si="14"/>
        <v/>
      </c>
      <c r="AF40" s="268" t="str">
        <f t="shared" si="15"/>
        <v/>
      </c>
      <c r="AG40" s="450" t="str">
        <f t="shared" si="16"/>
        <v/>
      </c>
      <c r="AH40" s="450" t="str">
        <f t="shared" si="17"/>
        <v/>
      </c>
      <c r="AI40" s="269" t="str">
        <f t="shared" si="18"/>
        <v/>
      </c>
      <c r="AJ40" s="450" t="str">
        <f>IF(O40=0,"-",SUMIFS($O$2:O40,$A$2:A40,$A40,$F$2:F40,"&lt;="&amp;$F40)/SUMIFS($G$2:G40,$A$2:A40,$A40,$F$2:F40,"&lt;="&amp;$F40)-1)</f>
        <v>-</v>
      </c>
      <c r="AK40" s="450" t="str">
        <f>IF(P40=0,"-",SUMIFS($P$2:P40,$A$2:A40,$A40,$F$2:F40,"&lt;="&amp;$F40)/SUMIFS($H$2:H40,$A$2:A40,$A40,$F$2:F40,"&lt;="&amp;$F40)-1)</f>
        <v>-</v>
      </c>
      <c r="AL40" s="450" t="str">
        <f>IF(Q40=0,"-",SUMIFS($Q$2:Q40,$A$2:A40,$A40,$F$2:F40,"&lt;="&amp;$F40)/SUMIFS($I$2:I40,$A$2:A40,$A40,$F$2:F40,"&lt;="&amp;$F40)-1)</f>
        <v>-</v>
      </c>
      <c r="AM40" s="450" t="str">
        <f>IFERROR(IF(O40=0,"-",SUMIFS($O$2:O40,$A$2:A40,$A40,$F$2:F40,"&lt;="&amp;$F40)/SUMIFS($K$2:K40,$A$2:A40,$A40,$F$2:F40,"&lt;="&amp;$F40)-1),"")</f>
        <v>-</v>
      </c>
      <c r="AN40" s="450" t="str">
        <f>IFERROR(IF(P40=0,"-",SUMIFS($P$2:P40,$A$2:A40,$A40,$F$2:F40,"&lt;="&amp;$F40)/SUMIFS($L$2:L40,$A$2:A40,$A40,$F$2:F40,"&lt;="&amp;$F40)-1),"")</f>
        <v>-</v>
      </c>
      <c r="AO40" s="450" t="str">
        <f>IFERROR(IF(Q40=0,"-",SUMIFS($Q$2:Q40,$A$2:A40,$A40,$F$2:F40,"&lt;="&amp;$F40)/SUMIFS($M$2:M40,$A$2:A40,$A40,$F$2:F40,"&lt;="&amp;$F40)-1),"")</f>
        <v>-</v>
      </c>
      <c r="AP40" s="86"/>
      <c r="AQ40" s="452">
        <f>'Overall Metrics'!AO45</f>
        <v>0</v>
      </c>
      <c r="AR40" s="450">
        <f t="shared" si="19"/>
        <v>0</v>
      </c>
      <c r="AS40" s="453" t="str">
        <f>IFERROR(IF(R41=0,"-",AVERAGEIFS($AQ$2:AQ40,$A$2:A40,$A40,$F$2:F40,"&lt;="&amp;$F40)-AVERAGEIFS($AP$2:AP40,$A$2:A40,$A40,$F$2:F40,"&lt;="&amp;$F40)),"")</f>
        <v>-</v>
      </c>
      <c r="AT40" s="390" t="str">
        <f>IFERROR(IF(R41=0,"-",AVERAGEIFS($AQ$2:AQ40,$A$2:A40,A40,$C$2:C40,C40)-AVERAGEIFS($AP$2:AP40,$A$2:A40,A40,$C$2:C40,C40)),"")</f>
        <v>-</v>
      </c>
      <c r="AU40" s="79"/>
      <c r="AV40" s="452">
        <f>'Overall Metrics'!AS45</f>
        <v>0</v>
      </c>
      <c r="AW40" s="450" t="str">
        <f t="shared" si="20"/>
        <v/>
      </c>
      <c r="AX40" s="453" t="str">
        <f>IFERROR(IF(R44=0,"-",AVERAGEIFS($AV$2:AV40,$A$2:A40,$A40,$F$2:F40,"&lt;="&amp;$F40)-AVERAGEIFS($AU$2:AU40,$A$2:A40,$A40,$F$2:F40,"&lt;="&amp;$F40)),"")</f>
        <v>-</v>
      </c>
      <c r="AY40" s="453" t="str">
        <f>IFERROR(IF(R44=0,"-",AVERAGEIFS($AV$2:AV40,$A$2:A40,A40,$C$2:C40,C40)-AVERAGEIFS($AU$2:AU40,$A$2:A40,A40,$C$2:C40,C40)),"")</f>
        <v>-</v>
      </c>
      <c r="AZ40" s="86"/>
      <c r="BA40" s="449">
        <f>'Glass Metrics'!AC45</f>
        <v>0</v>
      </c>
      <c r="BB40" s="450" t="str">
        <f t="shared" si="21"/>
        <v/>
      </c>
      <c r="BC40" s="450" t="str">
        <f>IFERROR(IF(R40=0,"-",AVERAGEIFS($BA$2:BA40,$A$2:A40,$A40,$F$2:F40,"&lt;="&amp;$F40)/AVERAGEIFS($AZ$2:AZ40,$A$2:A40,$A40,$F$2:F40,"&lt;="&amp;$F40)-1),"")</f>
        <v>-</v>
      </c>
      <c r="BD40" s="269" t="str">
        <f>IFERROR(IF(R40=0,"-",AVERAGEIFS($BA$2:BA40,$A$2:A40,A40,$C$2:C40,C40)/AVERAGEIFS($AZ$2:AZ40,$A$2:A40,A40,$C$2:C40,C40)-1),"")</f>
        <v>-</v>
      </c>
    </row>
    <row r="41" spans="1:56" ht="16.350000000000001" customHeight="1">
      <c r="A41" s="175">
        <f t="shared" si="0"/>
        <v>2021</v>
      </c>
      <c r="B41" s="447" t="str">
        <f t="shared" si="1"/>
        <v>40</v>
      </c>
      <c r="C41" s="447" t="str">
        <f t="array" ref="C41">_xlfn.IFS(_xlfn.NUMBERVALUE(B41)&lt;=13,"Q1",AND(_xlfn.NUMBERVALUE(B41)&gt;13,_xlfn.NUMBERVALUE(B41)&lt;=26),"Q2", AND(_xlfn.NUMBERVALUE(B41)&gt;26,_xlfn.NUMBERVALUE(B41)&lt;=39),"Q3",_xlfn.NUMBERVALUE(B41)&gt;39,"Q4")</f>
        <v>Q4</v>
      </c>
      <c r="D41" s="448">
        <f t="shared" si="22"/>
        <v>44135</v>
      </c>
      <c r="E41" s="448">
        <f t="shared" si="2"/>
        <v>44141</v>
      </c>
      <c r="F41" s="79">
        <v>202040</v>
      </c>
      <c r="G41" s="103"/>
      <c r="H41" s="429"/>
      <c r="I41" s="429"/>
      <c r="J41" s="214">
        <f t="shared" si="3"/>
        <v>0</v>
      </c>
      <c r="K41" s="429"/>
      <c r="L41" s="429"/>
      <c r="M41" s="429"/>
      <c r="N41" s="214">
        <f t="shared" si="4"/>
        <v>0</v>
      </c>
      <c r="O41" s="449">
        <f>'Overall Metrics'!L46</f>
        <v>0</v>
      </c>
      <c r="P41" s="449">
        <f>'Overall Metrics'!M46</f>
        <v>0</v>
      </c>
      <c r="Q41" s="449">
        <f>'Overall Metrics'!N46</f>
        <v>0</v>
      </c>
      <c r="R41" s="449">
        <f t="shared" si="5"/>
        <v>0</v>
      </c>
      <c r="S41" s="180">
        <f t="shared" si="6"/>
        <v>0</v>
      </c>
      <c r="T41" s="449">
        <f t="shared" si="7"/>
        <v>0</v>
      </c>
      <c r="U41" s="449">
        <f t="shared" si="8"/>
        <v>0</v>
      </c>
      <c r="V41" s="450" t="str">
        <f t="shared" si="9"/>
        <v/>
      </c>
      <c r="W41" s="450" t="str">
        <f>IF(R41=0,"-",SUMIFS($R$2:R41,$A$2:A41,A41,$C$2:C41,C41)/SUMIFS($J$2:J41,$A$2:A41,A41,$C$2:C41,C41)-1)</f>
        <v>-</v>
      </c>
      <c r="X41" s="450" t="str">
        <f t="shared" si="10"/>
        <v/>
      </c>
      <c r="Y41" s="450" t="str">
        <f>IFERROR(IF(R41=0,"-",SUMIFS($R$2:R41,$A$2:A41,A41,$C$2:C41,C41)/SUMIFS($N$2:N41,$A$2:A41,A41,$C$2:C41,C41)-1),"")</f>
        <v>-</v>
      </c>
      <c r="Z41" s="269" t="str">
        <f>IF(R41=0,"",(S41/VLOOKUP(_xlfn.NUMBERVALUE(_xlfn.CONCAT(LEFT(F41,4),52)),$F$2:T248,COLUMNS($F$2:T248),FALSE)))</f>
        <v/>
      </c>
      <c r="AA41" s="269" t="str">
        <f>IFERROR(IF(R41=0,"",(S41/VLOOKUP(_xlfn.NUMBERVALUE(_xlfn.CONCAT(LEFT(F41,4),52)),$F$2:U248,COLUMNS($F$2:U248),FALSE))),"")</f>
        <v/>
      </c>
      <c r="AB41" s="268" t="str">
        <f t="shared" si="11"/>
        <v/>
      </c>
      <c r="AC41" s="450" t="str">
        <f t="shared" si="12"/>
        <v/>
      </c>
      <c r="AD41" s="450" t="str">
        <f t="shared" si="13"/>
        <v/>
      </c>
      <c r="AE41" s="269" t="str">
        <f t="shared" si="14"/>
        <v/>
      </c>
      <c r="AF41" s="268" t="str">
        <f t="shared" si="15"/>
        <v/>
      </c>
      <c r="AG41" s="450" t="str">
        <f t="shared" si="16"/>
        <v/>
      </c>
      <c r="AH41" s="450" t="str">
        <f t="shared" si="17"/>
        <v/>
      </c>
      <c r="AI41" s="269" t="str">
        <f t="shared" si="18"/>
        <v/>
      </c>
      <c r="AJ41" s="450" t="str">
        <f>IF(O41=0,"-",SUMIFS($O$2:O41,$A$2:A41,$A41,$F$2:F41,"&lt;="&amp;$F41)/SUMIFS($G$2:G41,$A$2:A41,$A41,$F$2:F41,"&lt;="&amp;$F41)-1)</f>
        <v>-</v>
      </c>
      <c r="AK41" s="450" t="str">
        <f>IF(P41=0,"-",SUMIFS($P$2:P41,$A$2:A41,$A41,$F$2:F41,"&lt;="&amp;$F41)/SUMIFS($H$2:H41,$A$2:A41,$A41,$F$2:F41,"&lt;="&amp;$F41)-1)</f>
        <v>-</v>
      </c>
      <c r="AL41" s="450" t="str">
        <f>IF(Q41=0,"-",SUMIFS($Q$2:Q41,$A$2:A41,$A41,$F$2:F41,"&lt;="&amp;$F41)/SUMIFS($I$2:I41,$A$2:A41,$A41,$F$2:F41,"&lt;="&amp;$F41)-1)</f>
        <v>-</v>
      </c>
      <c r="AM41" s="450" t="str">
        <f>IFERROR(IF(O41=0,"-",SUMIFS($O$2:O41,$A$2:A41,$A41,$F$2:F41,"&lt;="&amp;$F41)/SUMIFS($K$2:K41,$A$2:A41,$A41,$F$2:F41,"&lt;="&amp;$F41)-1),"")</f>
        <v>-</v>
      </c>
      <c r="AN41" s="450" t="str">
        <f>IFERROR(IF(P41=0,"-",SUMIFS($P$2:P41,$A$2:A41,$A41,$F$2:F41,"&lt;="&amp;$F41)/SUMIFS($L$2:L41,$A$2:A41,$A41,$F$2:F41,"&lt;="&amp;$F41)-1),"")</f>
        <v>-</v>
      </c>
      <c r="AO41" s="450" t="str">
        <f>IFERROR(IF(Q41=0,"-",SUMIFS($Q$2:Q41,$A$2:A41,$A41,$F$2:F41,"&lt;="&amp;$F41)/SUMIFS($M$2:M41,$A$2:A41,$A41,$F$2:F41,"&lt;="&amp;$F41)-1),"")</f>
        <v>-</v>
      </c>
      <c r="AP41" s="86"/>
      <c r="AQ41" s="452">
        <f>'Overall Metrics'!AO46</f>
        <v>0</v>
      </c>
      <c r="AR41" s="450">
        <f t="shared" si="19"/>
        <v>0</v>
      </c>
      <c r="AS41" s="453" t="str">
        <f>IFERROR(IF(R42=0,"-",AVERAGEIFS($AQ$2:AQ41,$A$2:A41,$A41,$F$2:F41,"&lt;="&amp;$F41)-AVERAGEIFS($AP$2:AP41,$A$2:A41,$A41,$F$2:F41,"&lt;="&amp;$F41)),"")</f>
        <v>-</v>
      </c>
      <c r="AT41" s="390" t="str">
        <f>IFERROR(IF(R42=0,"-",AVERAGEIFS($AQ$2:AQ41,$A$2:A41,A41,$C$2:C41,C41)-AVERAGEIFS($AP$2:AP41,$A$2:A41,A41,$C$2:C41,C41)),"")</f>
        <v>-</v>
      </c>
      <c r="AU41" s="79"/>
      <c r="AV41" s="452">
        <f>'Overall Metrics'!AS46</f>
        <v>0</v>
      </c>
      <c r="AW41" s="450" t="str">
        <f t="shared" si="20"/>
        <v/>
      </c>
      <c r="AX41" s="453" t="str">
        <f>IFERROR(IF(R45=0,"-",AVERAGEIFS($AV$2:AV41,$A$2:A41,$A41,$F$2:F41,"&lt;="&amp;$F41)-AVERAGEIFS($AU$2:AU41,$A$2:A41,$A41,$F$2:F41,"&lt;="&amp;$F41)),"")</f>
        <v>-</v>
      </c>
      <c r="AY41" s="453" t="str">
        <f>IFERROR(IF(R45=0,"-",AVERAGEIFS($AV$2:AV41,$A$2:A41,A41,$C$2:C41,C41)-AVERAGEIFS($AU$2:AU41,$A$2:A41,A41,$C$2:C41,C41)),"")</f>
        <v>-</v>
      </c>
      <c r="AZ41" s="86"/>
      <c r="BA41" s="449">
        <f>'Glass Metrics'!AC46</f>
        <v>0</v>
      </c>
      <c r="BB41" s="450" t="str">
        <f t="shared" si="21"/>
        <v/>
      </c>
      <c r="BC41" s="450" t="str">
        <f>IFERROR(IF(R41=0,"-",AVERAGEIFS($BA$2:BA41,$A$2:A41,$A41,$F$2:F41,"&lt;="&amp;$F41)/AVERAGEIFS($AZ$2:AZ41,$A$2:A41,$A41,$F$2:F41,"&lt;="&amp;$F41)-1),"")</f>
        <v>-</v>
      </c>
      <c r="BD41" s="269" t="str">
        <f>IFERROR(IF(R41=0,"-",AVERAGEIFS($BA$2:BA41,$A$2:A41,A41,$C$2:C41,C41)/AVERAGEIFS($AZ$2:AZ41,$A$2:A41,A41,$C$2:C41,C41)-1),"")</f>
        <v>-</v>
      </c>
    </row>
    <row r="42" spans="1:56" ht="16.350000000000001" customHeight="1">
      <c r="A42" s="175">
        <f t="shared" si="0"/>
        <v>2021</v>
      </c>
      <c r="B42" s="447" t="str">
        <f t="shared" si="1"/>
        <v>41</v>
      </c>
      <c r="C42" s="447" t="str">
        <f t="array" ref="C42">_xlfn.IFS(_xlfn.NUMBERVALUE(B42)&lt;=13,"Q1",AND(_xlfn.NUMBERVALUE(B42)&gt;13,_xlfn.NUMBERVALUE(B42)&lt;=26),"Q2", AND(_xlfn.NUMBERVALUE(B42)&gt;26,_xlfn.NUMBERVALUE(B42)&lt;=39),"Q3",_xlfn.NUMBERVALUE(B42)&gt;39,"Q4")</f>
        <v>Q4</v>
      </c>
      <c r="D42" s="448">
        <f t="shared" si="22"/>
        <v>44142</v>
      </c>
      <c r="E42" s="448">
        <f t="shared" si="2"/>
        <v>44148</v>
      </c>
      <c r="F42" s="79">
        <v>202041</v>
      </c>
      <c r="G42" s="103"/>
      <c r="H42" s="429"/>
      <c r="I42" s="429"/>
      <c r="J42" s="214">
        <f t="shared" si="3"/>
        <v>0</v>
      </c>
      <c r="K42" s="429"/>
      <c r="L42" s="429"/>
      <c r="M42" s="429"/>
      <c r="N42" s="214">
        <f t="shared" si="4"/>
        <v>0</v>
      </c>
      <c r="O42" s="449">
        <f>'Overall Metrics'!L47</f>
        <v>0</v>
      </c>
      <c r="P42" s="449">
        <f>'Overall Metrics'!M47</f>
        <v>0</v>
      </c>
      <c r="Q42" s="449">
        <f>'Overall Metrics'!N47</f>
        <v>0</v>
      </c>
      <c r="R42" s="449">
        <f t="shared" si="5"/>
        <v>0</v>
      </c>
      <c r="S42" s="180">
        <f t="shared" si="6"/>
        <v>0</v>
      </c>
      <c r="T42" s="449">
        <f t="shared" si="7"/>
        <v>0</v>
      </c>
      <c r="U42" s="449">
        <f t="shared" si="8"/>
        <v>0</v>
      </c>
      <c r="V42" s="450" t="str">
        <f t="shared" si="9"/>
        <v/>
      </c>
      <c r="W42" s="450" t="str">
        <f>IF(R42=0,"-",SUMIFS($R$2:R42,$A$2:A42,A42,$C$2:C42,C42)/SUMIFS($J$2:J42,$A$2:A42,A42,$C$2:C42,C42)-1)</f>
        <v>-</v>
      </c>
      <c r="X42" s="450" t="str">
        <f t="shared" si="10"/>
        <v/>
      </c>
      <c r="Y42" s="450" t="str">
        <f>IFERROR(IF(R42=0,"-",SUMIFS($R$2:R42,$A$2:A42,A42,$C$2:C42,C42)/SUMIFS($N$2:N42,$A$2:A42,A42,$C$2:C42,C42)-1),"")</f>
        <v>-</v>
      </c>
      <c r="Z42" s="269" t="str">
        <f>IF(R42=0,"",(S42/VLOOKUP(_xlfn.NUMBERVALUE(_xlfn.CONCAT(LEFT(F42,4),52)),$F$2:T249,COLUMNS($F$2:T249),FALSE)))</f>
        <v/>
      </c>
      <c r="AA42" s="269" t="str">
        <f>IFERROR(IF(R42=0,"",(S42/VLOOKUP(_xlfn.NUMBERVALUE(_xlfn.CONCAT(LEFT(F42,4),52)),$F$2:U249,COLUMNS($F$2:U249),FALSE))),"")</f>
        <v/>
      </c>
      <c r="AB42" s="268" t="str">
        <f t="shared" si="11"/>
        <v/>
      </c>
      <c r="AC42" s="450" t="str">
        <f t="shared" si="12"/>
        <v/>
      </c>
      <c r="AD42" s="450" t="str">
        <f t="shared" si="13"/>
        <v/>
      </c>
      <c r="AE42" s="269" t="str">
        <f t="shared" si="14"/>
        <v/>
      </c>
      <c r="AF42" s="268" t="str">
        <f t="shared" si="15"/>
        <v/>
      </c>
      <c r="AG42" s="450" t="str">
        <f t="shared" si="16"/>
        <v/>
      </c>
      <c r="AH42" s="450" t="str">
        <f t="shared" si="17"/>
        <v/>
      </c>
      <c r="AI42" s="269" t="str">
        <f t="shared" si="18"/>
        <v/>
      </c>
      <c r="AJ42" s="450" t="str">
        <f>IF(O42=0,"-",SUMIFS($O$2:O42,$A$2:A42,$A42,$F$2:F42,"&lt;="&amp;$F42)/SUMIFS($G$2:G42,$A$2:A42,$A42,$F$2:F42,"&lt;="&amp;$F42)-1)</f>
        <v>-</v>
      </c>
      <c r="AK42" s="450" t="str">
        <f>IF(P42=0,"-",SUMIFS($P$2:P42,$A$2:A42,$A42,$F$2:F42,"&lt;="&amp;$F42)/SUMIFS($H$2:H42,$A$2:A42,$A42,$F$2:F42,"&lt;="&amp;$F42)-1)</f>
        <v>-</v>
      </c>
      <c r="AL42" s="450" t="str">
        <f>IF(Q42=0,"-",SUMIFS($Q$2:Q42,$A$2:A42,$A42,$F$2:F42,"&lt;="&amp;$F42)/SUMIFS($I$2:I42,$A$2:A42,$A42,$F$2:F42,"&lt;="&amp;$F42)-1)</f>
        <v>-</v>
      </c>
      <c r="AM42" s="450" t="str">
        <f>IFERROR(IF(O42=0,"-",SUMIFS($O$2:O42,$A$2:A42,$A42,$F$2:F42,"&lt;="&amp;$F42)/SUMIFS($K$2:K42,$A$2:A42,$A42,$F$2:F42,"&lt;="&amp;$F42)-1),"")</f>
        <v>-</v>
      </c>
      <c r="AN42" s="450" t="str">
        <f>IFERROR(IF(P42=0,"-",SUMIFS($P$2:P42,$A$2:A42,$A42,$F$2:F42,"&lt;="&amp;$F42)/SUMIFS($L$2:L42,$A$2:A42,$A42,$F$2:F42,"&lt;="&amp;$F42)-1),"")</f>
        <v>-</v>
      </c>
      <c r="AO42" s="450" t="str">
        <f>IFERROR(IF(Q42=0,"-",SUMIFS($Q$2:Q42,$A$2:A42,$A42,$F$2:F42,"&lt;="&amp;$F42)/SUMIFS($M$2:M42,$A$2:A42,$A42,$F$2:F42,"&lt;="&amp;$F42)-1),"")</f>
        <v>-</v>
      </c>
      <c r="AP42" s="86"/>
      <c r="AQ42" s="452">
        <f>'Overall Metrics'!AO47</f>
        <v>0</v>
      </c>
      <c r="AR42" s="450">
        <f t="shared" si="19"/>
        <v>0</v>
      </c>
      <c r="AS42" s="453" t="str">
        <f>IFERROR(IF(R43=0,"-",AVERAGEIFS($AQ$2:AQ42,$A$2:A42,$A42,$F$2:F42,"&lt;="&amp;$F42)-AVERAGEIFS($AP$2:AP42,$A$2:A42,$A42,$F$2:F42,"&lt;="&amp;$F42)),"")</f>
        <v>-</v>
      </c>
      <c r="AT42" s="390" t="str">
        <f>IFERROR(IF(R43=0,"-",AVERAGEIFS($AQ$2:AQ42,$A$2:A42,A42,$C$2:C42,C42)-AVERAGEIFS($AP$2:AP42,$A$2:A42,A42,$C$2:C42,C42)),"")</f>
        <v>-</v>
      </c>
      <c r="AU42" s="79"/>
      <c r="AV42" s="452">
        <f>'Overall Metrics'!AS47</f>
        <v>0</v>
      </c>
      <c r="AW42" s="450" t="str">
        <f t="shared" si="20"/>
        <v/>
      </c>
      <c r="AX42" s="453" t="str">
        <f>IFERROR(IF(R46=0,"-",AVERAGEIFS($AV$2:AV42,$A$2:A42,$A42,$F$2:F42,"&lt;="&amp;$F42)-AVERAGEIFS($AU$2:AU42,$A$2:A42,$A42,$F$2:F42,"&lt;="&amp;$F42)),"")</f>
        <v>-</v>
      </c>
      <c r="AY42" s="453" t="str">
        <f>IFERROR(IF(R46=0,"-",AVERAGEIFS($AV$2:AV42,$A$2:A42,A42,$C$2:C42,C42)-AVERAGEIFS($AU$2:AU42,$A$2:A42,A42,$C$2:C42,C42)),"")</f>
        <v>-</v>
      </c>
      <c r="AZ42" s="86"/>
      <c r="BA42" s="449">
        <f>'Glass Metrics'!AC47</f>
        <v>0</v>
      </c>
      <c r="BB42" s="450" t="str">
        <f t="shared" si="21"/>
        <v/>
      </c>
      <c r="BC42" s="450" t="str">
        <f>IFERROR(IF(R42=0,"-",AVERAGEIFS($BA$2:BA42,$A$2:A42,$A42,$F$2:F42,"&lt;="&amp;$F42)/AVERAGEIFS($AZ$2:AZ42,$A$2:A42,$A42,$F$2:F42,"&lt;="&amp;$F42)-1),"")</f>
        <v>-</v>
      </c>
      <c r="BD42" s="269" t="str">
        <f>IFERROR(IF(R42=0,"-",AVERAGEIFS($BA$2:BA42,$A$2:A42,A42,$C$2:C42,C42)/AVERAGEIFS($AZ$2:AZ42,$A$2:A42,A42,$C$2:C42,C42)-1),"")</f>
        <v>-</v>
      </c>
    </row>
    <row r="43" spans="1:56" ht="16.350000000000001" customHeight="1">
      <c r="A43" s="175">
        <f t="shared" si="0"/>
        <v>2021</v>
      </c>
      <c r="B43" s="447" t="str">
        <f t="shared" si="1"/>
        <v>42</v>
      </c>
      <c r="C43" s="447" t="str">
        <f t="array" ref="C43">_xlfn.IFS(_xlfn.NUMBERVALUE(B43)&lt;=13,"Q1",AND(_xlfn.NUMBERVALUE(B43)&gt;13,_xlfn.NUMBERVALUE(B43)&lt;=26),"Q2", AND(_xlfn.NUMBERVALUE(B43)&gt;26,_xlfn.NUMBERVALUE(B43)&lt;=39),"Q3",_xlfn.NUMBERVALUE(B43)&gt;39,"Q4")</f>
        <v>Q4</v>
      </c>
      <c r="D43" s="448">
        <f t="shared" si="22"/>
        <v>44149</v>
      </c>
      <c r="E43" s="448">
        <f t="shared" si="2"/>
        <v>44155</v>
      </c>
      <c r="F43" s="79">
        <v>202042</v>
      </c>
      <c r="G43" s="103"/>
      <c r="H43" s="429"/>
      <c r="I43" s="429"/>
      <c r="J43" s="214">
        <f t="shared" si="3"/>
        <v>0</v>
      </c>
      <c r="K43" s="429"/>
      <c r="L43" s="429"/>
      <c r="M43" s="429"/>
      <c r="N43" s="214">
        <f t="shared" si="4"/>
        <v>0</v>
      </c>
      <c r="O43" s="449">
        <f>'Overall Metrics'!L48</f>
        <v>0</v>
      </c>
      <c r="P43" s="449">
        <f>'Overall Metrics'!M48</f>
        <v>0</v>
      </c>
      <c r="Q43" s="449">
        <f>'Overall Metrics'!N48</f>
        <v>0</v>
      </c>
      <c r="R43" s="449">
        <f t="shared" si="5"/>
        <v>0</v>
      </c>
      <c r="S43" s="180">
        <f t="shared" si="6"/>
        <v>0</v>
      </c>
      <c r="T43" s="449">
        <f t="shared" si="7"/>
        <v>0</v>
      </c>
      <c r="U43" s="449">
        <f t="shared" si="8"/>
        <v>0</v>
      </c>
      <c r="V43" s="450" t="str">
        <f t="shared" si="9"/>
        <v/>
      </c>
      <c r="W43" s="450" t="str">
        <f>IF(R43=0,"-",SUMIFS($R$2:R43,$A$2:A43,A43,$C$2:C43,C43)/SUMIFS($J$2:J43,$A$2:A43,A43,$C$2:C43,C43)-1)</f>
        <v>-</v>
      </c>
      <c r="X43" s="450" t="str">
        <f t="shared" si="10"/>
        <v/>
      </c>
      <c r="Y43" s="450" t="str">
        <f>IFERROR(IF(R43=0,"-",SUMIFS($R$2:R43,$A$2:A43,A43,$C$2:C43,C43)/SUMIFS($N$2:N43,$A$2:A43,A43,$C$2:C43,C43)-1),"")</f>
        <v>-</v>
      </c>
      <c r="Z43" s="269" t="str">
        <f>IF(R43=0,"",(S43/VLOOKUP(_xlfn.NUMBERVALUE(_xlfn.CONCAT(LEFT(F43,4),52)),$F$2:T250,COLUMNS($F$2:T250),FALSE)))</f>
        <v/>
      </c>
      <c r="AA43" s="269" t="str">
        <f>IFERROR(IF(R43=0,"",(S43/VLOOKUP(_xlfn.NUMBERVALUE(_xlfn.CONCAT(LEFT(F43,4),52)),$F$2:U250,COLUMNS($F$2:U250),FALSE))),"")</f>
        <v/>
      </c>
      <c r="AB43" s="268" t="str">
        <f t="shared" si="11"/>
        <v/>
      </c>
      <c r="AC43" s="450" t="str">
        <f t="shared" si="12"/>
        <v/>
      </c>
      <c r="AD43" s="450" t="str">
        <f t="shared" si="13"/>
        <v/>
      </c>
      <c r="AE43" s="269" t="str">
        <f t="shared" si="14"/>
        <v/>
      </c>
      <c r="AF43" s="268" t="str">
        <f t="shared" si="15"/>
        <v/>
      </c>
      <c r="AG43" s="450" t="str">
        <f t="shared" si="16"/>
        <v/>
      </c>
      <c r="AH43" s="450" t="str">
        <f t="shared" si="17"/>
        <v/>
      </c>
      <c r="AI43" s="269" t="str">
        <f t="shared" si="18"/>
        <v/>
      </c>
      <c r="AJ43" s="450" t="str">
        <f>IF(O43=0,"-",SUMIFS($O$2:O43,$A$2:A43,$A43,$F$2:F43,"&lt;="&amp;$F43)/SUMIFS($G$2:G43,$A$2:A43,$A43,$F$2:F43,"&lt;="&amp;$F43)-1)</f>
        <v>-</v>
      </c>
      <c r="AK43" s="450" t="str">
        <f>IF(P43=0,"-",SUMIFS($P$2:P43,$A$2:A43,$A43,$F$2:F43,"&lt;="&amp;$F43)/SUMIFS($H$2:H43,$A$2:A43,$A43,$F$2:F43,"&lt;="&amp;$F43)-1)</f>
        <v>-</v>
      </c>
      <c r="AL43" s="450" t="str">
        <f>IF(Q43=0,"-",SUMIFS($Q$2:Q43,$A$2:A43,$A43,$F$2:F43,"&lt;="&amp;$F43)/SUMIFS($I$2:I43,$A$2:A43,$A43,$F$2:F43,"&lt;="&amp;$F43)-1)</f>
        <v>-</v>
      </c>
      <c r="AM43" s="450" t="str">
        <f>IFERROR(IF(O43=0,"-",SUMIFS($O$2:O43,$A$2:A43,$A43,$F$2:F43,"&lt;="&amp;$F43)/SUMIFS($K$2:K43,$A$2:A43,$A43,$F$2:F43,"&lt;="&amp;$F43)-1),"")</f>
        <v>-</v>
      </c>
      <c r="AN43" s="450" t="str">
        <f>IFERROR(IF(P43=0,"-",SUMIFS($P$2:P43,$A$2:A43,$A43,$F$2:F43,"&lt;="&amp;$F43)/SUMIFS($L$2:L43,$A$2:A43,$A43,$F$2:F43,"&lt;="&amp;$F43)-1),"")</f>
        <v>-</v>
      </c>
      <c r="AO43" s="450" t="str">
        <f>IFERROR(IF(Q43=0,"-",SUMIFS($Q$2:Q43,$A$2:A43,$A43,$F$2:F43,"&lt;="&amp;$F43)/SUMIFS($M$2:M43,$A$2:A43,$A43,$F$2:F43,"&lt;="&amp;$F43)-1),"")</f>
        <v>-</v>
      </c>
      <c r="AP43" s="86"/>
      <c r="AQ43" s="452">
        <f>'Overall Metrics'!AO48</f>
        <v>0</v>
      </c>
      <c r="AR43" s="450">
        <f t="shared" si="19"/>
        <v>0</v>
      </c>
      <c r="AS43" s="453" t="str">
        <f>IFERROR(IF(R44=0,"-",AVERAGEIFS($AQ$2:AQ43,$A$2:A43,$A43,$F$2:F43,"&lt;="&amp;$F43)-AVERAGEIFS($AP$2:AP43,$A$2:A43,$A43,$F$2:F43,"&lt;="&amp;$F43)),"")</f>
        <v>-</v>
      </c>
      <c r="AT43" s="390" t="str">
        <f>IFERROR(IF(R44=0,"-",AVERAGEIFS($AQ$2:AQ43,$A$2:A43,A43,$C$2:C43,C43)-AVERAGEIFS($AP$2:AP43,$A$2:A43,A43,$C$2:C43,C43)),"")</f>
        <v>-</v>
      </c>
      <c r="AU43" s="79"/>
      <c r="AV43" s="452">
        <f>'Overall Metrics'!AS48</f>
        <v>0</v>
      </c>
      <c r="AW43" s="450" t="str">
        <f t="shared" si="20"/>
        <v/>
      </c>
      <c r="AX43" s="453" t="str">
        <f>IFERROR(IF(R47=0,"-",AVERAGEIFS($AV$2:AV43,$A$2:A43,$A43,$F$2:F43,"&lt;="&amp;$F43)-AVERAGEIFS($AU$2:AU43,$A$2:A43,$A43,$F$2:F43,"&lt;="&amp;$F43)),"")</f>
        <v>-</v>
      </c>
      <c r="AY43" s="453" t="str">
        <f>IFERROR(IF(R47=0,"-",AVERAGEIFS($AV$2:AV43,$A$2:A43,A43,$C$2:C43,C43)-AVERAGEIFS($AU$2:AU43,$A$2:A43,A43,$C$2:C43,C43)),"")</f>
        <v>-</v>
      </c>
      <c r="AZ43" s="86"/>
      <c r="BA43" s="449">
        <f>'Glass Metrics'!AC48</f>
        <v>0</v>
      </c>
      <c r="BB43" s="450" t="str">
        <f t="shared" si="21"/>
        <v/>
      </c>
      <c r="BC43" s="450" t="str">
        <f>IFERROR(IF(R43=0,"-",AVERAGEIFS($BA$2:BA43,$A$2:A43,$A43,$F$2:F43,"&lt;="&amp;$F43)/AVERAGEIFS($AZ$2:AZ43,$A$2:A43,$A43,$F$2:F43,"&lt;="&amp;$F43)-1),"")</f>
        <v>-</v>
      </c>
      <c r="BD43" s="269" t="str">
        <f>IFERROR(IF(R43=0,"-",AVERAGEIFS($BA$2:BA43,$A$2:A43,A43,$C$2:C43,C43)/AVERAGEIFS($AZ$2:AZ43,$A$2:A43,A43,$C$2:C43,C43)-1),"")</f>
        <v>-</v>
      </c>
    </row>
    <row r="44" spans="1:56" ht="16.350000000000001" customHeight="1">
      <c r="A44" s="175">
        <f t="shared" si="0"/>
        <v>2021</v>
      </c>
      <c r="B44" s="447" t="str">
        <f t="shared" si="1"/>
        <v>43</v>
      </c>
      <c r="C44" s="447" t="str">
        <f t="array" ref="C44">_xlfn.IFS(_xlfn.NUMBERVALUE(B44)&lt;=13,"Q1",AND(_xlfn.NUMBERVALUE(B44)&gt;13,_xlfn.NUMBERVALUE(B44)&lt;=26),"Q2", AND(_xlfn.NUMBERVALUE(B44)&gt;26,_xlfn.NUMBERVALUE(B44)&lt;=39),"Q3",_xlfn.NUMBERVALUE(B44)&gt;39,"Q4")</f>
        <v>Q4</v>
      </c>
      <c r="D44" s="448">
        <f t="shared" si="22"/>
        <v>44156</v>
      </c>
      <c r="E44" s="448">
        <f t="shared" si="2"/>
        <v>44162</v>
      </c>
      <c r="F44" s="79">
        <v>202043</v>
      </c>
      <c r="G44" s="103"/>
      <c r="H44" s="429"/>
      <c r="I44" s="429"/>
      <c r="J44" s="214">
        <f t="shared" si="3"/>
        <v>0</v>
      </c>
      <c r="K44" s="429"/>
      <c r="L44" s="429"/>
      <c r="M44" s="429"/>
      <c r="N44" s="214">
        <f t="shared" si="4"/>
        <v>0</v>
      </c>
      <c r="O44" s="449">
        <f>'Overall Metrics'!L49</f>
        <v>0</v>
      </c>
      <c r="P44" s="449">
        <f>'Overall Metrics'!M49</f>
        <v>0</v>
      </c>
      <c r="Q44" s="449">
        <f>'Overall Metrics'!N49</f>
        <v>0</v>
      </c>
      <c r="R44" s="449">
        <f t="shared" si="5"/>
        <v>0</v>
      </c>
      <c r="S44" s="180">
        <f t="shared" si="6"/>
        <v>0</v>
      </c>
      <c r="T44" s="449">
        <f t="shared" si="7"/>
        <v>0</v>
      </c>
      <c r="U44" s="449">
        <f t="shared" si="8"/>
        <v>0</v>
      </c>
      <c r="V44" s="450" t="str">
        <f t="shared" si="9"/>
        <v/>
      </c>
      <c r="W44" s="450" t="str">
        <f>IF(R44=0,"-",SUMIFS($R$2:R44,$A$2:A44,A44,$C$2:C44,C44)/SUMIFS($J$2:J44,$A$2:A44,A44,$C$2:C44,C44)-1)</f>
        <v>-</v>
      </c>
      <c r="X44" s="450" t="str">
        <f t="shared" si="10"/>
        <v/>
      </c>
      <c r="Y44" s="450" t="str">
        <f>IFERROR(IF(R44=0,"-",SUMIFS($R$2:R44,$A$2:A44,A44,$C$2:C44,C44)/SUMIFS($N$2:N44,$A$2:A44,A44,$C$2:C44,C44)-1),"")</f>
        <v>-</v>
      </c>
      <c r="Z44" s="269" t="str">
        <f>IF(R44=0,"",(S44/VLOOKUP(_xlfn.NUMBERVALUE(_xlfn.CONCAT(LEFT(F44,4),52)),$F$2:T251,COLUMNS($F$2:T251),FALSE)))</f>
        <v/>
      </c>
      <c r="AA44" s="269" t="str">
        <f>IFERROR(IF(R44=0,"",(S44/VLOOKUP(_xlfn.NUMBERVALUE(_xlfn.CONCAT(LEFT(F44,4),52)),$F$2:U251,COLUMNS($F$2:U251),FALSE))),"")</f>
        <v/>
      </c>
      <c r="AB44" s="268" t="str">
        <f t="shared" si="11"/>
        <v/>
      </c>
      <c r="AC44" s="450" t="str">
        <f t="shared" si="12"/>
        <v/>
      </c>
      <c r="AD44" s="450" t="str">
        <f t="shared" si="13"/>
        <v/>
      </c>
      <c r="AE44" s="269" t="str">
        <f t="shared" si="14"/>
        <v/>
      </c>
      <c r="AF44" s="268" t="str">
        <f t="shared" si="15"/>
        <v/>
      </c>
      <c r="AG44" s="450" t="str">
        <f t="shared" si="16"/>
        <v/>
      </c>
      <c r="AH44" s="450" t="str">
        <f t="shared" si="17"/>
        <v/>
      </c>
      <c r="AI44" s="269" t="str">
        <f t="shared" si="18"/>
        <v/>
      </c>
      <c r="AJ44" s="450" t="str">
        <f>IF(O44=0,"-",SUMIFS($O$2:O44,$A$2:A44,$A44,$F$2:F44,"&lt;="&amp;$F44)/SUMIFS($G$2:G44,$A$2:A44,$A44,$F$2:F44,"&lt;="&amp;$F44)-1)</f>
        <v>-</v>
      </c>
      <c r="AK44" s="450" t="str">
        <f>IF(P44=0,"-",SUMIFS($P$2:P44,$A$2:A44,$A44,$F$2:F44,"&lt;="&amp;$F44)/SUMIFS($H$2:H44,$A$2:A44,$A44,$F$2:F44,"&lt;="&amp;$F44)-1)</f>
        <v>-</v>
      </c>
      <c r="AL44" s="450" t="str">
        <f>IF(Q44=0,"-",SUMIFS($Q$2:Q44,$A$2:A44,$A44,$F$2:F44,"&lt;="&amp;$F44)/SUMIFS($I$2:I44,$A$2:A44,$A44,$F$2:F44,"&lt;="&amp;$F44)-1)</f>
        <v>-</v>
      </c>
      <c r="AM44" s="450" t="str">
        <f>IFERROR(IF(O44=0,"-",SUMIFS($O$2:O44,$A$2:A44,$A44,$F$2:F44,"&lt;="&amp;$F44)/SUMIFS($K$2:K44,$A$2:A44,$A44,$F$2:F44,"&lt;="&amp;$F44)-1),"")</f>
        <v>-</v>
      </c>
      <c r="AN44" s="450" t="str">
        <f>IFERROR(IF(P44=0,"-",SUMIFS($P$2:P44,$A$2:A44,$A44,$F$2:F44,"&lt;="&amp;$F44)/SUMIFS($L$2:L44,$A$2:A44,$A44,$F$2:F44,"&lt;="&amp;$F44)-1),"")</f>
        <v>-</v>
      </c>
      <c r="AO44" s="450" t="str">
        <f>IFERROR(IF(Q44=0,"-",SUMIFS($Q$2:Q44,$A$2:A44,$A44,$F$2:F44,"&lt;="&amp;$F44)/SUMIFS($M$2:M44,$A$2:A44,$A44,$F$2:F44,"&lt;="&amp;$F44)-1),"")</f>
        <v>-</v>
      </c>
      <c r="AP44" s="86"/>
      <c r="AQ44" s="452">
        <f>'Overall Metrics'!AO49</f>
        <v>0</v>
      </c>
      <c r="AR44" s="450">
        <f t="shared" si="19"/>
        <v>0</v>
      </c>
      <c r="AS44" s="453" t="str">
        <f>IFERROR(IF(R45=0,"-",AVERAGEIFS($AQ$2:AQ44,$A$2:A44,$A44,$F$2:F44,"&lt;="&amp;$F44)-AVERAGEIFS($AP$2:AP44,$A$2:A44,$A44,$F$2:F44,"&lt;="&amp;$F44)),"")</f>
        <v>-</v>
      </c>
      <c r="AT44" s="390" t="str">
        <f>IFERROR(IF(R45=0,"-",AVERAGEIFS($AQ$2:AQ44,$A$2:A44,A44,$C$2:C44,C44)-AVERAGEIFS($AP$2:AP44,$A$2:A44,A44,$C$2:C44,C44)),"")</f>
        <v>-</v>
      </c>
      <c r="AU44" s="79"/>
      <c r="AV44" s="452">
        <f>'Overall Metrics'!AS49</f>
        <v>0</v>
      </c>
      <c r="AW44" s="450" t="str">
        <f t="shared" si="20"/>
        <v/>
      </c>
      <c r="AX44" s="453" t="str">
        <f>IFERROR(IF(R48=0,"-",AVERAGEIFS($AV$2:AV44,$A$2:A44,$A44,$F$2:F44,"&lt;="&amp;$F44)-AVERAGEIFS($AU$2:AU44,$A$2:A44,$A44,$F$2:F44,"&lt;="&amp;$F44)),"")</f>
        <v>-</v>
      </c>
      <c r="AY44" s="453" t="str">
        <f>IFERROR(IF(R48=0,"-",AVERAGEIFS($AV$2:AV44,$A$2:A44,A44,$C$2:C44,C44)-AVERAGEIFS($AU$2:AU44,$A$2:A44,A44,$C$2:C44,C44)),"")</f>
        <v>-</v>
      </c>
      <c r="AZ44" s="86"/>
      <c r="BA44" s="449">
        <f>'Glass Metrics'!AC49</f>
        <v>0</v>
      </c>
      <c r="BB44" s="450" t="str">
        <f t="shared" si="21"/>
        <v/>
      </c>
      <c r="BC44" s="450" t="str">
        <f>IFERROR(IF(R44=0,"-",AVERAGEIFS($BA$2:BA44,$A$2:A44,$A44,$F$2:F44,"&lt;="&amp;$F44)/AVERAGEIFS($AZ$2:AZ44,$A$2:A44,$A44,$F$2:F44,"&lt;="&amp;$F44)-1),"")</f>
        <v>-</v>
      </c>
      <c r="BD44" s="269" t="str">
        <f>IFERROR(IF(R44=0,"-",AVERAGEIFS($BA$2:BA44,$A$2:A44,A44,$C$2:C44,C44)/AVERAGEIFS($AZ$2:AZ44,$A$2:A44,A44,$C$2:C44,C44)-1),"")</f>
        <v>-</v>
      </c>
    </row>
    <row r="45" spans="1:56" ht="16.350000000000001" customHeight="1">
      <c r="A45" s="175">
        <f t="shared" si="0"/>
        <v>2021</v>
      </c>
      <c r="B45" s="447" t="str">
        <f t="shared" si="1"/>
        <v>44</v>
      </c>
      <c r="C45" s="447" t="str">
        <f t="array" ref="C45">_xlfn.IFS(_xlfn.NUMBERVALUE(B45)&lt;=13,"Q1",AND(_xlfn.NUMBERVALUE(B45)&gt;13,_xlfn.NUMBERVALUE(B45)&lt;=26),"Q2", AND(_xlfn.NUMBERVALUE(B45)&gt;26,_xlfn.NUMBERVALUE(B45)&lt;=39),"Q3",_xlfn.NUMBERVALUE(B45)&gt;39,"Q4")</f>
        <v>Q4</v>
      </c>
      <c r="D45" s="448">
        <f t="shared" si="22"/>
        <v>44163</v>
      </c>
      <c r="E45" s="448">
        <f t="shared" si="2"/>
        <v>44169</v>
      </c>
      <c r="F45" s="79">
        <v>202044</v>
      </c>
      <c r="G45" s="103"/>
      <c r="H45" s="429"/>
      <c r="I45" s="429"/>
      <c r="J45" s="214">
        <f t="shared" si="3"/>
        <v>0</v>
      </c>
      <c r="K45" s="429"/>
      <c r="L45" s="429"/>
      <c r="M45" s="429"/>
      <c r="N45" s="214">
        <f t="shared" si="4"/>
        <v>0</v>
      </c>
      <c r="O45" s="449">
        <f>'Overall Metrics'!L50</f>
        <v>0</v>
      </c>
      <c r="P45" s="449">
        <f>'Overall Metrics'!M50</f>
        <v>0</v>
      </c>
      <c r="Q45" s="449">
        <f>'Overall Metrics'!N50</f>
        <v>0</v>
      </c>
      <c r="R45" s="449">
        <f t="shared" si="5"/>
        <v>0</v>
      </c>
      <c r="S45" s="180">
        <f t="shared" si="6"/>
        <v>0</v>
      </c>
      <c r="T45" s="449">
        <f t="shared" si="7"/>
        <v>0</v>
      </c>
      <c r="U45" s="449">
        <f t="shared" si="8"/>
        <v>0</v>
      </c>
      <c r="V45" s="450" t="str">
        <f t="shared" si="9"/>
        <v/>
      </c>
      <c r="W45" s="450" t="str">
        <f>IF(R45=0,"-",SUMIFS($R$2:R45,$A$2:A45,A45,$C$2:C45,C45)/SUMIFS($J$2:J45,$A$2:A45,A45,$C$2:C45,C45)-1)</f>
        <v>-</v>
      </c>
      <c r="X45" s="450" t="str">
        <f t="shared" si="10"/>
        <v/>
      </c>
      <c r="Y45" s="450" t="str">
        <f>IFERROR(IF(R45=0,"-",SUMIFS($R$2:R45,$A$2:A45,A45,$C$2:C45,C45)/SUMIFS($N$2:N45,$A$2:A45,A45,$C$2:C45,C45)-1),"")</f>
        <v>-</v>
      </c>
      <c r="Z45" s="269" t="str">
        <f>IF(R45=0,"",(S45/VLOOKUP(_xlfn.NUMBERVALUE(_xlfn.CONCAT(LEFT(F45,4),52)),$F$2:T252,COLUMNS($F$2:T252),FALSE)))</f>
        <v/>
      </c>
      <c r="AA45" s="269" t="str">
        <f>IFERROR(IF(R45=0,"",(S45/VLOOKUP(_xlfn.NUMBERVALUE(_xlfn.CONCAT(LEFT(F45,4),52)),$F$2:U252,COLUMNS($F$2:U252),FALSE))),"")</f>
        <v/>
      </c>
      <c r="AB45" s="268" t="str">
        <f t="shared" si="11"/>
        <v/>
      </c>
      <c r="AC45" s="450" t="str">
        <f t="shared" si="12"/>
        <v/>
      </c>
      <c r="AD45" s="450" t="str">
        <f t="shared" si="13"/>
        <v/>
      </c>
      <c r="AE45" s="269" t="str">
        <f t="shared" si="14"/>
        <v/>
      </c>
      <c r="AF45" s="268" t="str">
        <f t="shared" si="15"/>
        <v/>
      </c>
      <c r="AG45" s="450" t="str">
        <f t="shared" si="16"/>
        <v/>
      </c>
      <c r="AH45" s="450" t="str">
        <f t="shared" si="17"/>
        <v/>
      </c>
      <c r="AI45" s="269" t="str">
        <f t="shared" si="18"/>
        <v/>
      </c>
      <c r="AJ45" s="450" t="str">
        <f>IF(O45=0,"-",SUMIFS($O$2:O45,$A$2:A45,$A45,$F$2:F45,"&lt;="&amp;$F45)/SUMIFS($G$2:G45,$A$2:A45,$A45,$F$2:F45,"&lt;="&amp;$F45)-1)</f>
        <v>-</v>
      </c>
      <c r="AK45" s="450" t="str">
        <f>IF(P45=0,"-",SUMIFS($P$2:P45,$A$2:A45,$A45,$F$2:F45,"&lt;="&amp;$F45)/SUMIFS($H$2:H45,$A$2:A45,$A45,$F$2:F45,"&lt;="&amp;$F45)-1)</f>
        <v>-</v>
      </c>
      <c r="AL45" s="450" t="str">
        <f>IF(Q45=0,"-",SUMIFS($Q$2:Q45,$A$2:A45,$A45,$F$2:F45,"&lt;="&amp;$F45)/SUMIFS($I$2:I45,$A$2:A45,$A45,$F$2:F45,"&lt;="&amp;$F45)-1)</f>
        <v>-</v>
      </c>
      <c r="AM45" s="450" t="str">
        <f>IFERROR(IF(O45=0,"-",SUMIFS($O$2:O45,$A$2:A45,$A45,$F$2:F45,"&lt;="&amp;$F45)/SUMIFS($K$2:K45,$A$2:A45,$A45,$F$2:F45,"&lt;="&amp;$F45)-1),"")</f>
        <v>-</v>
      </c>
      <c r="AN45" s="450" t="str">
        <f>IFERROR(IF(P45=0,"-",SUMIFS($P$2:P45,$A$2:A45,$A45,$F$2:F45,"&lt;="&amp;$F45)/SUMIFS($L$2:L45,$A$2:A45,$A45,$F$2:F45,"&lt;="&amp;$F45)-1),"")</f>
        <v>-</v>
      </c>
      <c r="AO45" s="450" t="str">
        <f>IFERROR(IF(Q45=0,"-",SUMIFS($Q$2:Q45,$A$2:A45,$A45,$F$2:F45,"&lt;="&amp;$F45)/SUMIFS($M$2:M45,$A$2:A45,$A45,$F$2:F45,"&lt;="&amp;$F45)-1),"")</f>
        <v>-</v>
      </c>
      <c r="AP45" s="86"/>
      <c r="AQ45" s="452">
        <f>'Overall Metrics'!AO50</f>
        <v>0</v>
      </c>
      <c r="AR45" s="450">
        <f t="shared" si="19"/>
        <v>0</v>
      </c>
      <c r="AS45" s="453" t="str">
        <f>IFERROR(IF(R46=0,"-",AVERAGEIFS($AQ$2:AQ45,$A$2:A45,$A45,$F$2:F45,"&lt;="&amp;$F45)-AVERAGEIFS($AP$2:AP45,$A$2:A45,$A45,$F$2:F45,"&lt;="&amp;$F45)),"")</f>
        <v>-</v>
      </c>
      <c r="AT45" s="390" t="str">
        <f>IFERROR(IF(R46=0,"-",AVERAGEIFS($AQ$2:AQ45,$A$2:A45,A45,$C$2:C45,C45)-AVERAGEIFS($AP$2:AP45,$A$2:A45,A45,$C$2:C45,C45)),"")</f>
        <v>-</v>
      </c>
      <c r="AU45" s="79"/>
      <c r="AV45" s="452">
        <f>'Overall Metrics'!AS50</f>
        <v>0</v>
      </c>
      <c r="AW45" s="450" t="str">
        <f t="shared" si="20"/>
        <v/>
      </c>
      <c r="AX45" s="453" t="str">
        <f>IFERROR(IF(R49=0,"-",AVERAGEIFS($AV$2:AV45,$A$2:A45,$A45,$F$2:F45,"&lt;="&amp;$F45)-AVERAGEIFS($AU$2:AU45,$A$2:A45,$A45,$F$2:F45,"&lt;="&amp;$F45)),"")</f>
        <v>-</v>
      </c>
      <c r="AY45" s="453" t="str">
        <f>IFERROR(IF(R49=0,"-",AVERAGEIFS($AV$2:AV45,$A$2:A45,A45,$C$2:C45,C45)-AVERAGEIFS($AU$2:AU45,$A$2:A45,A45,$C$2:C45,C45)),"")</f>
        <v>-</v>
      </c>
      <c r="AZ45" s="86"/>
      <c r="BA45" s="449">
        <f>'Glass Metrics'!AC50</f>
        <v>0</v>
      </c>
      <c r="BB45" s="450" t="str">
        <f t="shared" si="21"/>
        <v/>
      </c>
      <c r="BC45" s="450" t="str">
        <f>IFERROR(IF(R45=0,"-",AVERAGEIFS($BA$2:BA45,$A$2:A45,$A45,$F$2:F45,"&lt;="&amp;$F45)/AVERAGEIFS($AZ$2:AZ45,$A$2:A45,$A45,$F$2:F45,"&lt;="&amp;$F45)-1),"")</f>
        <v>-</v>
      </c>
      <c r="BD45" s="269" t="str">
        <f>IFERROR(IF(R45=0,"-",AVERAGEIFS($BA$2:BA45,$A$2:A45,A45,$C$2:C45,C45)/AVERAGEIFS($AZ$2:AZ45,$A$2:A45,A45,$C$2:C45,C45)-1),"")</f>
        <v>-</v>
      </c>
    </row>
    <row r="46" spans="1:56" ht="16.350000000000001" customHeight="1">
      <c r="A46" s="175">
        <f t="shared" si="0"/>
        <v>2021</v>
      </c>
      <c r="B46" s="447" t="str">
        <f t="shared" si="1"/>
        <v>45</v>
      </c>
      <c r="C46" s="447" t="str">
        <f t="array" ref="C46">_xlfn.IFS(_xlfn.NUMBERVALUE(B46)&lt;=13,"Q1",AND(_xlfn.NUMBERVALUE(B46)&gt;13,_xlfn.NUMBERVALUE(B46)&lt;=26),"Q2", AND(_xlfn.NUMBERVALUE(B46)&gt;26,_xlfn.NUMBERVALUE(B46)&lt;=39),"Q3",_xlfn.NUMBERVALUE(B46)&gt;39,"Q4")</f>
        <v>Q4</v>
      </c>
      <c r="D46" s="448">
        <f t="shared" si="22"/>
        <v>44170</v>
      </c>
      <c r="E46" s="448">
        <f t="shared" si="2"/>
        <v>44176</v>
      </c>
      <c r="F46" s="79">
        <v>202045</v>
      </c>
      <c r="G46" s="103"/>
      <c r="H46" s="429"/>
      <c r="I46" s="429"/>
      <c r="J46" s="214">
        <f t="shared" si="3"/>
        <v>0</v>
      </c>
      <c r="K46" s="429"/>
      <c r="L46" s="429"/>
      <c r="M46" s="429"/>
      <c r="N46" s="214">
        <f t="shared" si="4"/>
        <v>0</v>
      </c>
      <c r="O46" s="449">
        <f>'Overall Metrics'!L51</f>
        <v>0</v>
      </c>
      <c r="P46" s="449">
        <f>'Overall Metrics'!M51</f>
        <v>0</v>
      </c>
      <c r="Q46" s="449">
        <f>'Overall Metrics'!N51</f>
        <v>0</v>
      </c>
      <c r="R46" s="449">
        <f t="shared" si="5"/>
        <v>0</v>
      </c>
      <c r="S46" s="180">
        <f t="shared" si="6"/>
        <v>0</v>
      </c>
      <c r="T46" s="449">
        <f t="shared" si="7"/>
        <v>0</v>
      </c>
      <c r="U46" s="449">
        <f t="shared" si="8"/>
        <v>0</v>
      </c>
      <c r="V46" s="450" t="str">
        <f t="shared" si="9"/>
        <v/>
      </c>
      <c r="W46" s="450" t="str">
        <f>IF(R46=0,"-",SUMIFS($R$2:R46,$A$2:A46,A46,$C$2:C46,C46)/SUMIFS($J$2:J46,$A$2:A46,A46,$C$2:C46,C46)-1)</f>
        <v>-</v>
      </c>
      <c r="X46" s="450" t="str">
        <f t="shared" si="10"/>
        <v/>
      </c>
      <c r="Y46" s="450" t="str">
        <f>IFERROR(IF(R46=0,"-",SUMIFS($R$2:R46,$A$2:A46,A46,$C$2:C46,C46)/SUMIFS($N$2:N46,$A$2:A46,A46,$C$2:C46,C46)-1),"")</f>
        <v>-</v>
      </c>
      <c r="Z46" s="269" t="str">
        <f>IF(R46=0,"",(S46/VLOOKUP(_xlfn.NUMBERVALUE(_xlfn.CONCAT(LEFT(F46,4),52)),$F$2:T253,COLUMNS($F$2:T253),FALSE)))</f>
        <v/>
      </c>
      <c r="AA46" s="269" t="str">
        <f>IFERROR(IF(R46=0,"",(S46/VLOOKUP(_xlfn.NUMBERVALUE(_xlfn.CONCAT(LEFT(F46,4),52)),$F$2:U253,COLUMNS($F$2:U253),FALSE))),"")</f>
        <v/>
      </c>
      <c r="AB46" s="268" t="str">
        <f t="shared" si="11"/>
        <v/>
      </c>
      <c r="AC46" s="450" t="str">
        <f t="shared" si="12"/>
        <v/>
      </c>
      <c r="AD46" s="450" t="str">
        <f t="shared" si="13"/>
        <v/>
      </c>
      <c r="AE46" s="269" t="str">
        <f t="shared" si="14"/>
        <v/>
      </c>
      <c r="AF46" s="268" t="str">
        <f t="shared" si="15"/>
        <v/>
      </c>
      <c r="AG46" s="450" t="str">
        <f t="shared" si="16"/>
        <v/>
      </c>
      <c r="AH46" s="450" t="str">
        <f t="shared" si="17"/>
        <v/>
      </c>
      <c r="AI46" s="269" t="str">
        <f t="shared" si="18"/>
        <v/>
      </c>
      <c r="AJ46" s="450" t="str">
        <f>IF(O46=0,"-",SUMIFS($O$2:O46,$A$2:A46,$A46,$F$2:F46,"&lt;="&amp;$F46)/SUMIFS($G$2:G46,$A$2:A46,$A46,$F$2:F46,"&lt;="&amp;$F46)-1)</f>
        <v>-</v>
      </c>
      <c r="AK46" s="450" t="str">
        <f>IF(P46=0,"-",SUMIFS($P$2:P46,$A$2:A46,$A46,$F$2:F46,"&lt;="&amp;$F46)/SUMIFS($H$2:H46,$A$2:A46,$A46,$F$2:F46,"&lt;="&amp;$F46)-1)</f>
        <v>-</v>
      </c>
      <c r="AL46" s="450" t="str">
        <f>IF(Q46=0,"-",SUMIFS($Q$2:Q46,$A$2:A46,$A46,$F$2:F46,"&lt;="&amp;$F46)/SUMIFS($I$2:I46,$A$2:A46,$A46,$F$2:F46,"&lt;="&amp;$F46)-1)</f>
        <v>-</v>
      </c>
      <c r="AM46" s="450" t="str">
        <f>IFERROR(IF(O46=0,"-",SUMIFS($O$2:O46,$A$2:A46,$A46,$F$2:F46,"&lt;="&amp;$F46)/SUMIFS($K$2:K46,$A$2:A46,$A46,$F$2:F46,"&lt;="&amp;$F46)-1),"")</f>
        <v>-</v>
      </c>
      <c r="AN46" s="450" t="str">
        <f>IFERROR(IF(P46=0,"-",SUMIFS($P$2:P46,$A$2:A46,$A46,$F$2:F46,"&lt;="&amp;$F46)/SUMIFS($L$2:L46,$A$2:A46,$A46,$F$2:F46,"&lt;="&amp;$F46)-1),"")</f>
        <v>-</v>
      </c>
      <c r="AO46" s="450" t="str">
        <f>IFERROR(IF(Q46=0,"-",SUMIFS($Q$2:Q46,$A$2:A46,$A46,$F$2:F46,"&lt;="&amp;$F46)/SUMIFS($M$2:M46,$A$2:A46,$A46,$F$2:F46,"&lt;="&amp;$F46)-1),"")</f>
        <v>-</v>
      </c>
      <c r="AP46" s="86"/>
      <c r="AQ46" s="452">
        <f>'Overall Metrics'!AO51</f>
        <v>0</v>
      </c>
      <c r="AR46" s="450">
        <f t="shared" si="19"/>
        <v>0</v>
      </c>
      <c r="AS46" s="453" t="str">
        <f>IFERROR(IF(R47=0,"-",AVERAGEIFS($AQ$2:AQ46,$A$2:A46,$A46,$F$2:F46,"&lt;="&amp;$F46)-AVERAGEIFS($AP$2:AP46,$A$2:A46,$A46,$F$2:F46,"&lt;="&amp;$F46)),"")</f>
        <v>-</v>
      </c>
      <c r="AT46" s="390" t="str">
        <f>IFERROR(IF(R47=0,"-",AVERAGEIFS($AQ$2:AQ46,$A$2:A46,A46,$C$2:C46,C46)-AVERAGEIFS($AP$2:AP46,$A$2:A46,A46,$C$2:C46,C46)),"")</f>
        <v>-</v>
      </c>
      <c r="AU46" s="79"/>
      <c r="AV46" s="452">
        <f>'Overall Metrics'!AS51</f>
        <v>0</v>
      </c>
      <c r="AW46" s="450" t="str">
        <f t="shared" si="20"/>
        <v/>
      </c>
      <c r="AX46" s="453" t="str">
        <f>IFERROR(IF(R50=0,"-",AVERAGEIFS($AV$2:AV46,$A$2:A46,$A46,$F$2:F46,"&lt;="&amp;$F46)-AVERAGEIFS($AU$2:AU46,$A$2:A46,$A46,$F$2:F46,"&lt;="&amp;$F46)),"")</f>
        <v>-</v>
      </c>
      <c r="AY46" s="453" t="str">
        <f>IFERROR(IF(R50=0,"-",AVERAGEIFS($AV$2:AV46,$A$2:A46,A46,$C$2:C46,C46)-AVERAGEIFS($AU$2:AU46,$A$2:A46,A46,$C$2:C46,C46)),"")</f>
        <v>-</v>
      </c>
      <c r="AZ46" s="86"/>
      <c r="BA46" s="449">
        <f>'Glass Metrics'!AC51</f>
        <v>0</v>
      </c>
      <c r="BB46" s="450" t="str">
        <f t="shared" si="21"/>
        <v/>
      </c>
      <c r="BC46" s="450" t="str">
        <f>IFERROR(IF(R46=0,"-",AVERAGEIFS($BA$2:BA46,$A$2:A46,$A46,$F$2:F46,"&lt;="&amp;$F46)/AVERAGEIFS($AZ$2:AZ46,$A$2:A46,$A46,$F$2:F46,"&lt;="&amp;$F46)-1),"")</f>
        <v>-</v>
      </c>
      <c r="BD46" s="269" t="str">
        <f>IFERROR(IF(R46=0,"-",AVERAGEIFS($BA$2:BA46,$A$2:A46,A46,$C$2:C46,C46)/AVERAGEIFS($AZ$2:AZ46,$A$2:A46,A46,$C$2:C46,C46)-1),"")</f>
        <v>-</v>
      </c>
    </row>
    <row r="47" spans="1:56" ht="16.350000000000001" customHeight="1">
      <c r="A47" s="175">
        <f t="shared" si="0"/>
        <v>2021</v>
      </c>
      <c r="B47" s="447" t="str">
        <f t="shared" si="1"/>
        <v>46</v>
      </c>
      <c r="C47" s="447" t="str">
        <f t="array" ref="C47">_xlfn.IFS(_xlfn.NUMBERVALUE(B47)&lt;=13,"Q1",AND(_xlfn.NUMBERVALUE(B47)&gt;13,_xlfn.NUMBERVALUE(B47)&lt;=26),"Q2", AND(_xlfn.NUMBERVALUE(B47)&gt;26,_xlfn.NUMBERVALUE(B47)&lt;=39),"Q3",_xlfn.NUMBERVALUE(B47)&gt;39,"Q4")</f>
        <v>Q4</v>
      </c>
      <c r="D47" s="448">
        <f t="shared" si="22"/>
        <v>44177</v>
      </c>
      <c r="E47" s="448">
        <f t="shared" si="2"/>
        <v>44183</v>
      </c>
      <c r="F47" s="79">
        <v>202046</v>
      </c>
      <c r="G47" s="103"/>
      <c r="H47" s="429"/>
      <c r="I47" s="429"/>
      <c r="J47" s="214">
        <f t="shared" si="3"/>
        <v>0</v>
      </c>
      <c r="K47" s="429"/>
      <c r="L47" s="429"/>
      <c r="M47" s="429"/>
      <c r="N47" s="214">
        <f t="shared" si="4"/>
        <v>0</v>
      </c>
      <c r="O47" s="449">
        <f>'Overall Metrics'!L52</f>
        <v>0</v>
      </c>
      <c r="P47" s="449">
        <f>'Overall Metrics'!M52</f>
        <v>0</v>
      </c>
      <c r="Q47" s="449">
        <f>'Overall Metrics'!N52</f>
        <v>0</v>
      </c>
      <c r="R47" s="449">
        <f t="shared" si="5"/>
        <v>0</v>
      </c>
      <c r="S47" s="180">
        <f t="shared" si="6"/>
        <v>0</v>
      </c>
      <c r="T47" s="449">
        <f t="shared" si="7"/>
        <v>0</v>
      </c>
      <c r="U47" s="449">
        <f t="shared" si="8"/>
        <v>0</v>
      </c>
      <c r="V47" s="450" t="str">
        <f t="shared" si="9"/>
        <v/>
      </c>
      <c r="W47" s="450" t="str">
        <f>IF(R47=0,"-",SUMIFS($R$2:R47,$A$2:A47,A47,$C$2:C47,C47)/SUMIFS($J$2:J47,$A$2:A47,A47,$C$2:C47,C47)-1)</f>
        <v>-</v>
      </c>
      <c r="X47" s="450" t="str">
        <f t="shared" si="10"/>
        <v/>
      </c>
      <c r="Y47" s="450" t="str">
        <f>IFERROR(IF(R47=0,"-",SUMIFS($R$2:R47,$A$2:A47,A47,$C$2:C47,C47)/SUMIFS($N$2:N47,$A$2:A47,A47,$C$2:C47,C47)-1),"")</f>
        <v>-</v>
      </c>
      <c r="Z47" s="269" t="str">
        <f>IF(R47=0,"",(S47/VLOOKUP(_xlfn.NUMBERVALUE(_xlfn.CONCAT(LEFT(F47,4),52)),$F$2:T254,COLUMNS($F$2:T254),FALSE)))</f>
        <v/>
      </c>
      <c r="AA47" s="269" t="str">
        <f>IFERROR(IF(R47=0,"",(S47/VLOOKUP(_xlfn.NUMBERVALUE(_xlfn.CONCAT(LEFT(F47,4),52)),$F$2:U254,COLUMNS($F$2:U254),FALSE))),"")</f>
        <v/>
      </c>
      <c r="AB47" s="268" t="str">
        <f t="shared" si="11"/>
        <v/>
      </c>
      <c r="AC47" s="450" t="str">
        <f t="shared" si="12"/>
        <v/>
      </c>
      <c r="AD47" s="450" t="str">
        <f t="shared" si="13"/>
        <v/>
      </c>
      <c r="AE47" s="269" t="str">
        <f t="shared" si="14"/>
        <v/>
      </c>
      <c r="AF47" s="268" t="str">
        <f t="shared" si="15"/>
        <v/>
      </c>
      <c r="AG47" s="450" t="str">
        <f t="shared" si="16"/>
        <v/>
      </c>
      <c r="AH47" s="450" t="str">
        <f t="shared" si="17"/>
        <v/>
      </c>
      <c r="AI47" s="269" t="str">
        <f t="shared" si="18"/>
        <v/>
      </c>
      <c r="AJ47" s="450" t="str">
        <f>IF(O47=0,"-",SUMIFS($O$2:O47,$A$2:A47,$A47,$F$2:F47,"&lt;="&amp;$F47)/SUMIFS($G$2:G47,$A$2:A47,$A47,$F$2:F47,"&lt;="&amp;$F47)-1)</f>
        <v>-</v>
      </c>
      <c r="AK47" s="450" t="str">
        <f>IF(P47=0,"-",SUMIFS($P$2:P47,$A$2:A47,$A47,$F$2:F47,"&lt;="&amp;$F47)/SUMIFS($H$2:H47,$A$2:A47,$A47,$F$2:F47,"&lt;="&amp;$F47)-1)</f>
        <v>-</v>
      </c>
      <c r="AL47" s="450" t="str">
        <f>IF(Q47=0,"-",SUMIFS($Q$2:Q47,$A$2:A47,$A47,$F$2:F47,"&lt;="&amp;$F47)/SUMIFS($I$2:I47,$A$2:A47,$A47,$F$2:F47,"&lt;="&amp;$F47)-1)</f>
        <v>-</v>
      </c>
      <c r="AM47" s="450" t="str">
        <f>IFERROR(IF(O47=0,"-",SUMIFS($O$2:O47,$A$2:A47,$A47,$F$2:F47,"&lt;="&amp;$F47)/SUMIFS($K$2:K47,$A$2:A47,$A47,$F$2:F47,"&lt;="&amp;$F47)-1),"")</f>
        <v>-</v>
      </c>
      <c r="AN47" s="450" t="str">
        <f>IFERROR(IF(P47=0,"-",SUMIFS($P$2:P47,$A$2:A47,$A47,$F$2:F47,"&lt;="&amp;$F47)/SUMIFS($L$2:L47,$A$2:A47,$A47,$F$2:F47,"&lt;="&amp;$F47)-1),"")</f>
        <v>-</v>
      </c>
      <c r="AO47" s="450" t="str">
        <f>IFERROR(IF(Q47=0,"-",SUMIFS($Q$2:Q47,$A$2:A47,$A47,$F$2:F47,"&lt;="&amp;$F47)/SUMIFS($M$2:M47,$A$2:A47,$A47,$F$2:F47,"&lt;="&amp;$F47)-1),"")</f>
        <v>-</v>
      </c>
      <c r="AP47" s="86"/>
      <c r="AQ47" s="452">
        <f>'Overall Metrics'!AO52</f>
        <v>0</v>
      </c>
      <c r="AR47" s="450">
        <f t="shared" si="19"/>
        <v>0</v>
      </c>
      <c r="AS47" s="453" t="str">
        <f>IFERROR(IF(R48=0,"-",AVERAGEIFS($AQ$2:AQ47,$A$2:A47,$A47,$F$2:F47,"&lt;="&amp;$F47)-AVERAGEIFS($AP$2:AP47,$A$2:A47,$A47,$F$2:F47,"&lt;="&amp;$F47)),"")</f>
        <v>-</v>
      </c>
      <c r="AT47" s="390" t="str">
        <f>IFERROR(IF(R48=0,"-",AVERAGEIFS($AQ$2:AQ47,$A$2:A47,A47,$C$2:C47,C47)-AVERAGEIFS($AP$2:AP47,$A$2:A47,A47,$C$2:C47,C47)),"")</f>
        <v>-</v>
      </c>
      <c r="AU47" s="79"/>
      <c r="AV47" s="452">
        <f>'Overall Metrics'!AS52</f>
        <v>0</v>
      </c>
      <c r="AW47" s="450" t="str">
        <f t="shared" si="20"/>
        <v/>
      </c>
      <c r="AX47" s="453" t="str">
        <f>IFERROR(IF(R51=0,"-",AVERAGEIFS($AV$2:AV47,$A$2:A47,$A47,$F$2:F47,"&lt;="&amp;$F47)-AVERAGEIFS($AU$2:AU47,$A$2:A47,$A47,$F$2:F47,"&lt;="&amp;$F47)),"")</f>
        <v>-</v>
      </c>
      <c r="AY47" s="453" t="str">
        <f>IFERROR(IF(R51=0,"-",AVERAGEIFS($AV$2:AV47,$A$2:A47,A47,$C$2:C47,C47)-AVERAGEIFS($AU$2:AU47,$A$2:A47,A47,$C$2:C47,C47)),"")</f>
        <v>-</v>
      </c>
      <c r="AZ47" s="86"/>
      <c r="BA47" s="449">
        <f>'Glass Metrics'!AC52</f>
        <v>0</v>
      </c>
      <c r="BB47" s="450" t="str">
        <f t="shared" si="21"/>
        <v/>
      </c>
      <c r="BC47" s="450" t="str">
        <f>IFERROR(IF(R47=0,"-",AVERAGEIFS($BA$2:BA47,$A$2:A47,$A47,$F$2:F47,"&lt;="&amp;$F47)/AVERAGEIFS($AZ$2:AZ47,$A$2:A47,$A47,$F$2:F47,"&lt;="&amp;$F47)-1),"")</f>
        <v>-</v>
      </c>
      <c r="BD47" s="269" t="str">
        <f>IFERROR(IF(R47=0,"-",AVERAGEIFS($BA$2:BA47,$A$2:A47,A47,$C$2:C47,C47)/AVERAGEIFS($AZ$2:AZ47,$A$2:A47,A47,$C$2:C47,C47)-1),"")</f>
        <v>-</v>
      </c>
    </row>
    <row r="48" spans="1:56" ht="16.350000000000001" customHeight="1">
      <c r="A48" s="175">
        <f t="shared" si="0"/>
        <v>2021</v>
      </c>
      <c r="B48" s="447" t="str">
        <f t="shared" si="1"/>
        <v>47</v>
      </c>
      <c r="C48" s="447" t="str">
        <f t="array" ref="C48">_xlfn.IFS(_xlfn.NUMBERVALUE(B48)&lt;=13,"Q1",AND(_xlfn.NUMBERVALUE(B48)&gt;13,_xlfn.NUMBERVALUE(B48)&lt;=26),"Q2", AND(_xlfn.NUMBERVALUE(B48)&gt;26,_xlfn.NUMBERVALUE(B48)&lt;=39),"Q3",_xlfn.NUMBERVALUE(B48)&gt;39,"Q4")</f>
        <v>Q4</v>
      </c>
      <c r="D48" s="448">
        <f t="shared" si="22"/>
        <v>44184</v>
      </c>
      <c r="E48" s="448">
        <f t="shared" si="2"/>
        <v>44190</v>
      </c>
      <c r="F48" s="79">
        <v>202047</v>
      </c>
      <c r="G48" s="103"/>
      <c r="H48" s="429"/>
      <c r="I48" s="429"/>
      <c r="J48" s="214">
        <f t="shared" si="3"/>
        <v>0</v>
      </c>
      <c r="K48" s="429"/>
      <c r="L48" s="429"/>
      <c r="M48" s="429"/>
      <c r="N48" s="214">
        <f t="shared" si="4"/>
        <v>0</v>
      </c>
      <c r="O48" s="449">
        <f>'Overall Metrics'!L53</f>
        <v>0</v>
      </c>
      <c r="P48" s="449">
        <f>'Overall Metrics'!M53</f>
        <v>0</v>
      </c>
      <c r="Q48" s="449">
        <f>'Overall Metrics'!N53</f>
        <v>0</v>
      </c>
      <c r="R48" s="449">
        <f t="shared" si="5"/>
        <v>0</v>
      </c>
      <c r="S48" s="180">
        <f t="shared" si="6"/>
        <v>0</v>
      </c>
      <c r="T48" s="449">
        <f t="shared" si="7"/>
        <v>0</v>
      </c>
      <c r="U48" s="449">
        <f t="shared" si="8"/>
        <v>0</v>
      </c>
      <c r="V48" s="450" t="str">
        <f t="shared" si="9"/>
        <v/>
      </c>
      <c r="W48" s="450" t="str">
        <f>IF(R48=0,"-",SUMIFS($R$2:R48,$A$2:A48,A48,$C$2:C48,C48)/SUMIFS($J$2:J48,$A$2:A48,A48,$C$2:C48,C48)-1)</f>
        <v>-</v>
      </c>
      <c r="X48" s="450" t="str">
        <f t="shared" si="10"/>
        <v/>
      </c>
      <c r="Y48" s="450" t="str">
        <f>IFERROR(IF(R48=0,"-",SUMIFS($R$2:R48,$A$2:A48,A48,$C$2:C48,C48)/SUMIFS($N$2:N48,$A$2:A48,A48,$C$2:C48,C48)-1),"")</f>
        <v>-</v>
      </c>
      <c r="Z48" s="269" t="str">
        <f>IF(R48=0,"",(S48/VLOOKUP(_xlfn.NUMBERVALUE(_xlfn.CONCAT(LEFT(F48,4),52)),$F$2:T255,COLUMNS($F$2:T255),FALSE)))</f>
        <v/>
      </c>
      <c r="AA48" s="269" t="str">
        <f>IFERROR(IF(R48=0,"",(S48/VLOOKUP(_xlfn.NUMBERVALUE(_xlfn.CONCAT(LEFT(F48,4),52)),$F$2:U255,COLUMNS($F$2:U255),FALSE))),"")</f>
        <v/>
      </c>
      <c r="AB48" s="268" t="str">
        <f t="shared" si="11"/>
        <v/>
      </c>
      <c r="AC48" s="450" t="str">
        <f t="shared" si="12"/>
        <v/>
      </c>
      <c r="AD48" s="450" t="str">
        <f t="shared" si="13"/>
        <v/>
      </c>
      <c r="AE48" s="269" t="str">
        <f t="shared" si="14"/>
        <v/>
      </c>
      <c r="AF48" s="268" t="str">
        <f t="shared" si="15"/>
        <v/>
      </c>
      <c r="AG48" s="450" t="str">
        <f t="shared" si="16"/>
        <v/>
      </c>
      <c r="AH48" s="450" t="str">
        <f t="shared" si="17"/>
        <v/>
      </c>
      <c r="AI48" s="269" t="str">
        <f t="shared" si="18"/>
        <v/>
      </c>
      <c r="AJ48" s="450" t="str">
        <f>IF(O48=0,"-",SUMIFS($O$2:O48,$A$2:A48,$A48,$F$2:F48,"&lt;="&amp;$F48)/SUMIFS($G$2:G48,$A$2:A48,$A48,$F$2:F48,"&lt;="&amp;$F48)-1)</f>
        <v>-</v>
      </c>
      <c r="AK48" s="450" t="str">
        <f>IF(P48=0,"-",SUMIFS($P$2:P48,$A$2:A48,$A48,$F$2:F48,"&lt;="&amp;$F48)/SUMIFS($H$2:H48,$A$2:A48,$A48,$F$2:F48,"&lt;="&amp;$F48)-1)</f>
        <v>-</v>
      </c>
      <c r="AL48" s="450" t="str">
        <f>IF(Q48=0,"-",SUMIFS($Q$2:Q48,$A$2:A48,$A48,$F$2:F48,"&lt;="&amp;$F48)/SUMIFS($I$2:I48,$A$2:A48,$A48,$F$2:F48,"&lt;="&amp;$F48)-1)</f>
        <v>-</v>
      </c>
      <c r="AM48" s="450" t="str">
        <f>IFERROR(IF(O48=0,"-",SUMIFS($O$2:O48,$A$2:A48,$A48,$F$2:F48,"&lt;="&amp;$F48)/SUMIFS($K$2:K48,$A$2:A48,$A48,$F$2:F48,"&lt;="&amp;$F48)-1),"")</f>
        <v>-</v>
      </c>
      <c r="AN48" s="450" t="str">
        <f>IFERROR(IF(P48=0,"-",SUMIFS($P$2:P48,$A$2:A48,$A48,$F$2:F48,"&lt;="&amp;$F48)/SUMIFS($L$2:L48,$A$2:A48,$A48,$F$2:F48,"&lt;="&amp;$F48)-1),"")</f>
        <v>-</v>
      </c>
      <c r="AO48" s="450" t="str">
        <f>IFERROR(IF(Q48=0,"-",SUMIFS($Q$2:Q48,$A$2:A48,$A48,$F$2:F48,"&lt;="&amp;$F48)/SUMIFS($M$2:M48,$A$2:A48,$A48,$F$2:F48,"&lt;="&amp;$F48)-1),"")</f>
        <v>-</v>
      </c>
      <c r="AP48" s="86"/>
      <c r="AQ48" s="452">
        <f>'Overall Metrics'!AO53</f>
        <v>0</v>
      </c>
      <c r="AR48" s="450">
        <f t="shared" si="19"/>
        <v>0</v>
      </c>
      <c r="AS48" s="453" t="str">
        <f>IFERROR(IF(R49=0,"-",AVERAGEIFS($AQ$2:AQ48,$A$2:A48,$A48,$F$2:F48,"&lt;="&amp;$F48)-AVERAGEIFS($AP$2:AP48,$A$2:A48,$A48,$F$2:F48,"&lt;="&amp;$F48)),"")</f>
        <v>-</v>
      </c>
      <c r="AT48" s="390" t="str">
        <f>IFERROR(IF(R49=0,"-",AVERAGEIFS($AQ$2:AQ48,$A$2:A48,A48,$C$2:C48,C48)-AVERAGEIFS($AP$2:AP48,$A$2:A48,A48,$C$2:C48,C48)),"")</f>
        <v>-</v>
      </c>
      <c r="AU48" s="79"/>
      <c r="AV48" s="452">
        <f>'Overall Metrics'!AS53</f>
        <v>0</v>
      </c>
      <c r="AW48" s="450" t="str">
        <f t="shared" si="20"/>
        <v/>
      </c>
      <c r="AX48" s="453" t="str">
        <f>IFERROR(IF(R52=0,"-",AVERAGEIFS($AV$2:AV48,$A$2:A48,$A48,$F$2:F48,"&lt;="&amp;$F48)-AVERAGEIFS($AU$2:AU48,$A$2:A48,$A48,$F$2:F48,"&lt;="&amp;$F48)),"")</f>
        <v>-</v>
      </c>
      <c r="AY48" s="453" t="str">
        <f>IFERROR(IF(R52=0,"-",AVERAGEIFS($AV$2:AV48,$A$2:A48,A48,$C$2:C48,C48)-AVERAGEIFS($AU$2:AU48,$A$2:A48,A48,$C$2:C48,C48)),"")</f>
        <v>-</v>
      </c>
      <c r="AZ48" s="86"/>
      <c r="BA48" s="449">
        <f>'Glass Metrics'!AC53</f>
        <v>0</v>
      </c>
      <c r="BB48" s="450" t="str">
        <f t="shared" si="21"/>
        <v/>
      </c>
      <c r="BC48" s="450" t="str">
        <f>IFERROR(IF(R48=0,"-",AVERAGEIFS($BA$2:BA48,$A$2:A48,$A48,$F$2:F48,"&lt;="&amp;$F48)/AVERAGEIFS($AZ$2:AZ48,$A$2:A48,$A48,$F$2:F48,"&lt;="&amp;$F48)-1),"")</f>
        <v>-</v>
      </c>
      <c r="BD48" s="269" t="str">
        <f>IFERROR(IF(R48=0,"-",AVERAGEIFS($BA$2:BA48,$A$2:A48,A48,$C$2:C48,C48)/AVERAGEIFS($AZ$2:AZ48,$A$2:A48,A48,$C$2:C48,C48)-1),"")</f>
        <v>-</v>
      </c>
    </row>
    <row r="49" spans="1:56" ht="16.350000000000001" customHeight="1">
      <c r="A49" s="175">
        <f t="shared" si="0"/>
        <v>2021</v>
      </c>
      <c r="B49" s="447" t="str">
        <f t="shared" si="1"/>
        <v>48</v>
      </c>
      <c r="C49" s="447" t="str">
        <f t="array" ref="C49">_xlfn.IFS(_xlfn.NUMBERVALUE(B49)&lt;=13,"Q1",AND(_xlfn.NUMBERVALUE(B49)&gt;13,_xlfn.NUMBERVALUE(B49)&lt;=26),"Q2", AND(_xlfn.NUMBERVALUE(B49)&gt;26,_xlfn.NUMBERVALUE(B49)&lt;=39),"Q3",_xlfn.NUMBERVALUE(B49)&gt;39,"Q4")</f>
        <v>Q4</v>
      </c>
      <c r="D49" s="448">
        <f t="shared" si="22"/>
        <v>44191</v>
      </c>
      <c r="E49" s="448">
        <f t="shared" si="2"/>
        <v>44197</v>
      </c>
      <c r="F49" s="79">
        <v>202048</v>
      </c>
      <c r="G49" s="103"/>
      <c r="H49" s="429"/>
      <c r="I49" s="429"/>
      <c r="J49" s="214">
        <f t="shared" si="3"/>
        <v>0</v>
      </c>
      <c r="K49" s="429"/>
      <c r="L49" s="429"/>
      <c r="M49" s="429"/>
      <c r="N49" s="214">
        <f t="shared" si="4"/>
        <v>0</v>
      </c>
      <c r="O49" s="449">
        <f>'Overall Metrics'!L54</f>
        <v>0</v>
      </c>
      <c r="P49" s="449">
        <f>'Overall Metrics'!M54</f>
        <v>0</v>
      </c>
      <c r="Q49" s="449">
        <f>'Overall Metrics'!N54</f>
        <v>0</v>
      </c>
      <c r="R49" s="449">
        <f t="shared" si="5"/>
        <v>0</v>
      </c>
      <c r="S49" s="180">
        <f t="shared" si="6"/>
        <v>0</v>
      </c>
      <c r="T49" s="449">
        <f t="shared" si="7"/>
        <v>0</v>
      </c>
      <c r="U49" s="449">
        <f t="shared" si="8"/>
        <v>0</v>
      </c>
      <c r="V49" s="450" t="str">
        <f t="shared" si="9"/>
        <v/>
      </c>
      <c r="W49" s="450" t="str">
        <f>IF(R49=0,"-",SUMIFS($R$2:R49,$A$2:A49,A49,$C$2:C49,C49)/SUMIFS($J$2:J49,$A$2:A49,A49,$C$2:C49,C49)-1)</f>
        <v>-</v>
      </c>
      <c r="X49" s="450" t="str">
        <f t="shared" si="10"/>
        <v/>
      </c>
      <c r="Y49" s="450" t="str">
        <f>IFERROR(IF(R49=0,"-",SUMIFS($R$2:R49,$A$2:A49,A49,$C$2:C49,C49)/SUMIFS($N$2:N49,$A$2:A49,A49,$C$2:C49,C49)-1),"")</f>
        <v>-</v>
      </c>
      <c r="Z49" s="269" t="str">
        <f>IF(R49=0,"",(S49/VLOOKUP(_xlfn.NUMBERVALUE(_xlfn.CONCAT(LEFT(F49,4),52)),$F$2:T256,COLUMNS($F$2:T256),FALSE)))</f>
        <v/>
      </c>
      <c r="AA49" s="269" t="str">
        <f>IFERROR(IF(R49=0,"",(S49/VLOOKUP(_xlfn.NUMBERVALUE(_xlfn.CONCAT(LEFT(F49,4),52)),$F$2:U256,COLUMNS($F$2:U256),FALSE))),"")</f>
        <v/>
      </c>
      <c r="AB49" s="268" t="str">
        <f t="shared" si="11"/>
        <v/>
      </c>
      <c r="AC49" s="450" t="str">
        <f t="shared" si="12"/>
        <v/>
      </c>
      <c r="AD49" s="450" t="str">
        <f t="shared" si="13"/>
        <v/>
      </c>
      <c r="AE49" s="269" t="str">
        <f t="shared" si="14"/>
        <v/>
      </c>
      <c r="AF49" s="268" t="str">
        <f t="shared" si="15"/>
        <v/>
      </c>
      <c r="AG49" s="450" t="str">
        <f t="shared" si="16"/>
        <v/>
      </c>
      <c r="AH49" s="450" t="str">
        <f t="shared" si="17"/>
        <v/>
      </c>
      <c r="AI49" s="269" t="str">
        <f t="shared" si="18"/>
        <v/>
      </c>
      <c r="AJ49" s="450" t="str">
        <f>IF(O49=0,"-",SUMIFS($O$2:O49,$A$2:A49,$A49,$F$2:F49,"&lt;="&amp;$F49)/SUMIFS($G$2:G49,$A$2:A49,$A49,$F$2:F49,"&lt;="&amp;$F49)-1)</f>
        <v>-</v>
      </c>
      <c r="AK49" s="450" t="str">
        <f>IF(P49=0,"-",SUMIFS($P$2:P49,$A$2:A49,$A49,$F$2:F49,"&lt;="&amp;$F49)/SUMIFS($H$2:H49,$A$2:A49,$A49,$F$2:F49,"&lt;="&amp;$F49)-1)</f>
        <v>-</v>
      </c>
      <c r="AL49" s="450" t="str">
        <f>IF(Q49=0,"-",SUMIFS($Q$2:Q49,$A$2:A49,$A49,$F$2:F49,"&lt;="&amp;$F49)/SUMIFS($I$2:I49,$A$2:A49,$A49,$F$2:F49,"&lt;="&amp;$F49)-1)</f>
        <v>-</v>
      </c>
      <c r="AM49" s="450" t="str">
        <f>IFERROR(IF(O49=0,"-",SUMIFS($O$2:O49,$A$2:A49,$A49,$F$2:F49,"&lt;="&amp;$F49)/SUMIFS($K$2:K49,$A$2:A49,$A49,$F$2:F49,"&lt;="&amp;$F49)-1),"")</f>
        <v>-</v>
      </c>
      <c r="AN49" s="450" t="str">
        <f>IFERROR(IF(P49=0,"-",SUMIFS($P$2:P49,$A$2:A49,$A49,$F$2:F49,"&lt;="&amp;$F49)/SUMIFS($L$2:L49,$A$2:A49,$A49,$F$2:F49,"&lt;="&amp;$F49)-1),"")</f>
        <v>-</v>
      </c>
      <c r="AO49" s="450" t="str">
        <f>IFERROR(IF(Q49=0,"-",SUMIFS($Q$2:Q49,$A$2:A49,$A49,$F$2:F49,"&lt;="&amp;$F49)/SUMIFS($M$2:M49,$A$2:A49,$A49,$F$2:F49,"&lt;="&amp;$F49)-1),"")</f>
        <v>-</v>
      </c>
      <c r="AP49" s="86"/>
      <c r="AQ49" s="452">
        <f>'Overall Metrics'!AO54</f>
        <v>0</v>
      </c>
      <c r="AR49" s="450">
        <f t="shared" si="19"/>
        <v>0</v>
      </c>
      <c r="AS49" s="453" t="str">
        <f>IFERROR(IF(R50=0,"-",AVERAGEIFS($AQ$2:AQ49,$A$2:A49,$A49,$F$2:F49,"&lt;="&amp;$F49)-AVERAGEIFS($AP$2:AP49,$A$2:A49,$A49,$F$2:F49,"&lt;="&amp;$F49)),"")</f>
        <v>-</v>
      </c>
      <c r="AT49" s="390" t="str">
        <f>IFERROR(IF(R50=0,"-",AVERAGEIFS($AQ$2:AQ49,$A$2:A49,A49,$C$2:C49,C49)-AVERAGEIFS($AP$2:AP49,$A$2:A49,A49,$C$2:C49,C49)),"")</f>
        <v>-</v>
      </c>
      <c r="AU49" s="79"/>
      <c r="AV49" s="452">
        <f>'Overall Metrics'!AS54</f>
        <v>0</v>
      </c>
      <c r="AW49" s="450" t="str">
        <f t="shared" si="20"/>
        <v/>
      </c>
      <c r="AX49" s="453" t="str">
        <f>IFERROR(IF(R53=0,"-",AVERAGEIFS($AV$2:AV49,$A$2:A49,$A49,$F$2:F49,"&lt;="&amp;$F49)-AVERAGEIFS($AU$2:AU49,$A$2:A49,$A49,$F$2:F49,"&lt;="&amp;$F49)),"")</f>
        <v>-</v>
      </c>
      <c r="AY49" s="453" t="str">
        <f>IFERROR(IF(R53=0,"-",AVERAGEIFS($AV$2:AV49,$A$2:A49,A49,$C$2:C49,C49)-AVERAGEIFS($AU$2:AU49,$A$2:A49,A49,$C$2:C49,C49)),"")</f>
        <v>-</v>
      </c>
      <c r="AZ49" s="86"/>
      <c r="BA49" s="449">
        <f>'Glass Metrics'!AC54</f>
        <v>0</v>
      </c>
      <c r="BB49" s="450" t="str">
        <f t="shared" si="21"/>
        <v/>
      </c>
      <c r="BC49" s="450" t="str">
        <f>IFERROR(IF(R49=0,"-",AVERAGEIFS($BA$2:BA49,$A$2:A49,$A49,$F$2:F49,"&lt;="&amp;$F49)/AVERAGEIFS($AZ$2:AZ49,$A$2:A49,$A49,$F$2:F49,"&lt;="&amp;$F49)-1),"")</f>
        <v>-</v>
      </c>
      <c r="BD49" s="269" t="str">
        <f>IFERROR(IF(R49=0,"-",AVERAGEIFS($BA$2:BA49,$A$2:A49,A49,$C$2:C49,C49)/AVERAGEIFS($AZ$2:AZ49,$A$2:A49,A49,$C$2:C49,C49)-1),"")</f>
        <v>-</v>
      </c>
    </row>
    <row r="50" spans="1:56" ht="16.350000000000001" customHeight="1">
      <c r="A50" s="175">
        <f t="shared" si="0"/>
        <v>2021</v>
      </c>
      <c r="B50" s="447" t="str">
        <f t="shared" si="1"/>
        <v>49</v>
      </c>
      <c r="C50" s="447" t="str">
        <f t="array" ref="C50">_xlfn.IFS(_xlfn.NUMBERVALUE(B50)&lt;=13,"Q1",AND(_xlfn.NUMBERVALUE(B50)&gt;13,_xlfn.NUMBERVALUE(B50)&lt;=26),"Q2", AND(_xlfn.NUMBERVALUE(B50)&gt;26,_xlfn.NUMBERVALUE(B50)&lt;=39),"Q3",_xlfn.NUMBERVALUE(B50)&gt;39,"Q4")</f>
        <v>Q4</v>
      </c>
      <c r="D50" s="448">
        <f t="shared" si="22"/>
        <v>44198</v>
      </c>
      <c r="E50" s="448">
        <f t="shared" si="2"/>
        <v>44204</v>
      </c>
      <c r="F50" s="79">
        <v>202049</v>
      </c>
      <c r="G50" s="103"/>
      <c r="H50" s="429"/>
      <c r="I50" s="429"/>
      <c r="J50" s="214">
        <f t="shared" si="3"/>
        <v>0</v>
      </c>
      <c r="K50" s="429"/>
      <c r="L50" s="429"/>
      <c r="M50" s="429"/>
      <c r="N50" s="214">
        <f t="shared" si="4"/>
        <v>0</v>
      </c>
      <c r="O50" s="449">
        <f>'Overall Metrics'!L55</f>
        <v>0</v>
      </c>
      <c r="P50" s="449">
        <f>'Overall Metrics'!M55</f>
        <v>0</v>
      </c>
      <c r="Q50" s="449">
        <f>'Overall Metrics'!N55</f>
        <v>0</v>
      </c>
      <c r="R50" s="449">
        <f t="shared" si="5"/>
        <v>0</v>
      </c>
      <c r="S50" s="180">
        <f t="shared" si="6"/>
        <v>0</v>
      </c>
      <c r="T50" s="449">
        <f t="shared" si="7"/>
        <v>0</v>
      </c>
      <c r="U50" s="449">
        <f t="shared" si="8"/>
        <v>0</v>
      </c>
      <c r="V50" s="450" t="str">
        <f t="shared" si="9"/>
        <v/>
      </c>
      <c r="W50" s="450" t="str">
        <f>IF(R50=0,"-",SUMIFS($R$2:R50,$A$2:A50,A50,$C$2:C50,C50)/SUMIFS($J$2:J50,$A$2:A50,A50,$C$2:C50,C50)-1)</f>
        <v>-</v>
      </c>
      <c r="X50" s="450" t="str">
        <f t="shared" si="10"/>
        <v/>
      </c>
      <c r="Y50" s="450" t="str">
        <f>IFERROR(IF(R50=0,"-",SUMIFS($R$2:R50,$A$2:A50,A50,$C$2:C50,C50)/SUMIFS($N$2:N50,$A$2:A50,A50,$C$2:C50,C50)-1),"")</f>
        <v>-</v>
      </c>
      <c r="Z50" s="269" t="str">
        <f>IF(R50=0,"",(S50/VLOOKUP(_xlfn.NUMBERVALUE(_xlfn.CONCAT(LEFT(F50,4),52)),$F$2:T257,COLUMNS($F$2:T257),FALSE)))</f>
        <v/>
      </c>
      <c r="AA50" s="269" t="str">
        <f>IFERROR(IF(R50=0,"",(S50/VLOOKUP(_xlfn.NUMBERVALUE(_xlfn.CONCAT(LEFT(F50,4),52)),$F$2:U257,COLUMNS($F$2:U257),FALSE))),"")</f>
        <v/>
      </c>
      <c r="AB50" s="268" t="str">
        <f t="shared" si="11"/>
        <v/>
      </c>
      <c r="AC50" s="450" t="str">
        <f t="shared" si="12"/>
        <v/>
      </c>
      <c r="AD50" s="450" t="str">
        <f t="shared" si="13"/>
        <v/>
      </c>
      <c r="AE50" s="269" t="str">
        <f t="shared" si="14"/>
        <v/>
      </c>
      <c r="AF50" s="268" t="str">
        <f t="shared" si="15"/>
        <v/>
      </c>
      <c r="AG50" s="450" t="str">
        <f t="shared" si="16"/>
        <v/>
      </c>
      <c r="AH50" s="450" t="str">
        <f t="shared" si="17"/>
        <v/>
      </c>
      <c r="AI50" s="269" t="str">
        <f t="shared" si="18"/>
        <v/>
      </c>
      <c r="AJ50" s="450" t="str">
        <f>IF(O50=0,"-",SUMIFS($O$2:O50,$A$2:A50,$A50,$F$2:F50,"&lt;="&amp;$F50)/SUMIFS($G$2:G50,$A$2:A50,$A50,$F$2:F50,"&lt;="&amp;$F50)-1)</f>
        <v>-</v>
      </c>
      <c r="AK50" s="450" t="str">
        <f>IF(P50=0,"-",SUMIFS($P$2:P50,$A$2:A50,$A50,$F$2:F50,"&lt;="&amp;$F50)/SUMIFS($H$2:H50,$A$2:A50,$A50,$F$2:F50,"&lt;="&amp;$F50)-1)</f>
        <v>-</v>
      </c>
      <c r="AL50" s="450" t="str">
        <f>IF(Q50=0,"-",SUMIFS($Q$2:Q50,$A$2:A50,$A50,$F$2:F50,"&lt;="&amp;$F50)/SUMIFS($I$2:I50,$A$2:A50,$A50,$F$2:F50,"&lt;="&amp;$F50)-1)</f>
        <v>-</v>
      </c>
      <c r="AM50" s="450" t="str">
        <f>IFERROR(IF(O50=0,"-",SUMIFS($O$2:O50,$A$2:A50,$A50,$F$2:F50,"&lt;="&amp;$F50)/SUMIFS($K$2:K50,$A$2:A50,$A50,$F$2:F50,"&lt;="&amp;$F50)-1),"")</f>
        <v>-</v>
      </c>
      <c r="AN50" s="450" t="str">
        <f>IFERROR(IF(P50=0,"-",SUMIFS($P$2:P50,$A$2:A50,$A50,$F$2:F50,"&lt;="&amp;$F50)/SUMIFS($L$2:L50,$A$2:A50,$A50,$F$2:F50,"&lt;="&amp;$F50)-1),"")</f>
        <v>-</v>
      </c>
      <c r="AO50" s="450" t="str">
        <f>IFERROR(IF(Q50=0,"-",SUMIFS($Q$2:Q50,$A$2:A50,$A50,$F$2:F50,"&lt;="&amp;$F50)/SUMIFS($M$2:M50,$A$2:A50,$A50,$F$2:F50,"&lt;="&amp;$F50)-1),"")</f>
        <v>-</v>
      </c>
      <c r="AP50" s="86"/>
      <c r="AQ50" s="452">
        <f>'Overall Metrics'!AO55</f>
        <v>0</v>
      </c>
      <c r="AR50" s="450">
        <f t="shared" si="19"/>
        <v>0</v>
      </c>
      <c r="AS50" s="453" t="str">
        <f>IFERROR(IF(R51=0,"-",AVERAGEIFS($AQ$2:AQ50,$A$2:A50,$A50,$F$2:F50,"&lt;="&amp;$F50)-AVERAGEIFS($AP$2:AP50,$A$2:A50,$A50,$F$2:F50,"&lt;="&amp;$F50)),"")</f>
        <v>-</v>
      </c>
      <c r="AT50" s="390" t="str">
        <f>IFERROR(IF(R51=0,"-",AVERAGEIFS($AQ$2:AQ50,$A$2:A50,A50,$C$2:C50,C50)-AVERAGEIFS($AP$2:AP50,$A$2:A50,A50,$C$2:C50,C50)),"")</f>
        <v>-</v>
      </c>
      <c r="AU50" s="79"/>
      <c r="AV50" s="452">
        <f>'Overall Metrics'!AS55</f>
        <v>0</v>
      </c>
      <c r="AW50" s="450" t="str">
        <f t="shared" si="20"/>
        <v/>
      </c>
      <c r="AX50" s="453" t="str">
        <f>IFERROR(IF(R54=0,"-",AVERAGEIFS($AV$2:AV50,$A$2:A50,$A50,$F$2:F50,"&lt;="&amp;$F50)-AVERAGEIFS($AU$2:AU50,$A$2:A50,$A50,$F$2:F50,"&lt;="&amp;$F50)),"")</f>
        <v>-</v>
      </c>
      <c r="AY50" s="453" t="str">
        <f>IFERROR(IF(R54=0,"-",AVERAGEIFS($AV$2:AV50,$A$2:A50,A50,$C$2:C50,C50)-AVERAGEIFS($AU$2:AU50,$A$2:A50,A50,$C$2:C50,C50)),"")</f>
        <v>-</v>
      </c>
      <c r="AZ50" s="86"/>
      <c r="BA50" s="449">
        <f>'Glass Metrics'!AC55</f>
        <v>0</v>
      </c>
      <c r="BB50" s="450" t="str">
        <f t="shared" si="21"/>
        <v/>
      </c>
      <c r="BC50" s="450" t="str">
        <f>IFERROR(IF(R50=0,"-",AVERAGEIFS($BA$2:BA50,$A$2:A50,$A50,$F$2:F50,"&lt;="&amp;$F50)/AVERAGEIFS($AZ$2:AZ50,$A$2:A50,$A50,$F$2:F50,"&lt;="&amp;$F50)-1),"")</f>
        <v>-</v>
      </c>
      <c r="BD50" s="269" t="str">
        <f>IFERROR(IF(R50=0,"-",AVERAGEIFS($BA$2:BA50,$A$2:A50,A50,$C$2:C50,C50)/AVERAGEIFS($AZ$2:AZ50,$A$2:A50,A50,$C$2:C50,C50)-1),"")</f>
        <v>-</v>
      </c>
    </row>
    <row r="51" spans="1:56" ht="16.350000000000001" customHeight="1">
      <c r="A51" s="175">
        <f t="shared" si="0"/>
        <v>2021</v>
      </c>
      <c r="B51" s="447" t="str">
        <f t="shared" si="1"/>
        <v>50</v>
      </c>
      <c r="C51" s="447" t="str">
        <f t="array" ref="C51">_xlfn.IFS(_xlfn.NUMBERVALUE(B51)&lt;=13,"Q1",AND(_xlfn.NUMBERVALUE(B51)&gt;13,_xlfn.NUMBERVALUE(B51)&lt;=26),"Q2", AND(_xlfn.NUMBERVALUE(B51)&gt;26,_xlfn.NUMBERVALUE(B51)&lt;=39),"Q3",_xlfn.NUMBERVALUE(B51)&gt;39,"Q4")</f>
        <v>Q4</v>
      </c>
      <c r="D51" s="448">
        <f t="shared" si="22"/>
        <v>44205</v>
      </c>
      <c r="E51" s="448">
        <f t="shared" si="2"/>
        <v>44211</v>
      </c>
      <c r="F51" s="79">
        <v>202050</v>
      </c>
      <c r="G51" s="103"/>
      <c r="H51" s="429"/>
      <c r="I51" s="429"/>
      <c r="J51" s="214">
        <f t="shared" si="3"/>
        <v>0</v>
      </c>
      <c r="K51" s="429"/>
      <c r="L51" s="429"/>
      <c r="M51" s="429"/>
      <c r="N51" s="214">
        <f t="shared" si="4"/>
        <v>0</v>
      </c>
      <c r="O51" s="449">
        <f>'Overall Metrics'!L56</f>
        <v>0</v>
      </c>
      <c r="P51" s="449">
        <f>'Overall Metrics'!M56</f>
        <v>0</v>
      </c>
      <c r="Q51" s="449">
        <f>'Overall Metrics'!N56</f>
        <v>0</v>
      </c>
      <c r="R51" s="449">
        <f t="shared" si="5"/>
        <v>0</v>
      </c>
      <c r="S51" s="180">
        <f t="shared" si="6"/>
        <v>0</v>
      </c>
      <c r="T51" s="449">
        <f t="shared" si="7"/>
        <v>0</v>
      </c>
      <c r="U51" s="449">
        <f t="shared" si="8"/>
        <v>0</v>
      </c>
      <c r="V51" s="450" t="str">
        <f t="shared" si="9"/>
        <v/>
      </c>
      <c r="W51" s="450" t="str">
        <f>IF(R51=0,"-",SUMIFS($R$2:R51,$A$2:A51,A51,$C$2:C51,C51)/SUMIFS($J$2:J51,$A$2:A51,A51,$C$2:C51,C51)-1)</f>
        <v>-</v>
      </c>
      <c r="X51" s="450" t="str">
        <f t="shared" si="10"/>
        <v/>
      </c>
      <c r="Y51" s="450" t="str">
        <f>IFERROR(IF(R51=0,"-",SUMIFS($R$2:R51,$A$2:A51,A51,$C$2:C51,C51)/SUMIFS($N$2:N51,$A$2:A51,A51,$C$2:C51,C51)-1),"")</f>
        <v>-</v>
      </c>
      <c r="Z51" s="269" t="str">
        <f>IF(R51=0,"",(S51/VLOOKUP(_xlfn.NUMBERVALUE(_xlfn.CONCAT(LEFT(F51,4),52)),$F$2:T258,COLUMNS($F$2:T258),FALSE)))</f>
        <v/>
      </c>
      <c r="AA51" s="269" t="str">
        <f>IFERROR(IF(R51=0,"",(S51/VLOOKUP(_xlfn.NUMBERVALUE(_xlfn.CONCAT(LEFT(F51,4),52)),$F$2:U258,COLUMNS($F$2:U258),FALSE))),"")</f>
        <v/>
      </c>
      <c r="AB51" s="268" t="str">
        <f t="shared" si="11"/>
        <v/>
      </c>
      <c r="AC51" s="450" t="str">
        <f t="shared" si="12"/>
        <v/>
      </c>
      <c r="AD51" s="450" t="str">
        <f t="shared" si="13"/>
        <v/>
      </c>
      <c r="AE51" s="269" t="str">
        <f t="shared" si="14"/>
        <v/>
      </c>
      <c r="AF51" s="268" t="str">
        <f t="shared" si="15"/>
        <v/>
      </c>
      <c r="AG51" s="450" t="str">
        <f t="shared" si="16"/>
        <v/>
      </c>
      <c r="AH51" s="450" t="str">
        <f t="shared" si="17"/>
        <v/>
      </c>
      <c r="AI51" s="269" t="str">
        <f t="shared" si="18"/>
        <v/>
      </c>
      <c r="AJ51" s="450" t="str">
        <f>IF(O51=0,"-",SUMIFS($O$2:O51,$A$2:A51,$A51,$F$2:F51,"&lt;="&amp;$F51)/SUMIFS($G$2:G51,$A$2:A51,$A51,$F$2:F51,"&lt;="&amp;$F51)-1)</f>
        <v>-</v>
      </c>
      <c r="AK51" s="450" t="str">
        <f>IF(P51=0,"-",SUMIFS($P$2:P51,$A$2:A51,$A51,$F$2:F51,"&lt;="&amp;$F51)/SUMIFS($H$2:H51,$A$2:A51,$A51,$F$2:F51,"&lt;="&amp;$F51)-1)</f>
        <v>-</v>
      </c>
      <c r="AL51" s="450" t="str">
        <f>IF(Q51=0,"-",SUMIFS($Q$2:Q51,$A$2:A51,$A51,$F$2:F51,"&lt;="&amp;$F51)/SUMIFS($I$2:I51,$A$2:A51,$A51,$F$2:F51,"&lt;="&amp;$F51)-1)</f>
        <v>-</v>
      </c>
      <c r="AM51" s="450" t="str">
        <f>IFERROR(IF(O51=0,"-",SUMIFS($O$2:O51,$A$2:A51,$A51,$F$2:F51,"&lt;="&amp;$F51)/SUMIFS($K$2:K51,$A$2:A51,$A51,$F$2:F51,"&lt;="&amp;$F51)-1),"")</f>
        <v>-</v>
      </c>
      <c r="AN51" s="450" t="str">
        <f>IFERROR(IF(P51=0,"-",SUMIFS($P$2:P51,$A$2:A51,$A51,$F$2:F51,"&lt;="&amp;$F51)/SUMIFS($L$2:L51,$A$2:A51,$A51,$F$2:F51,"&lt;="&amp;$F51)-1),"")</f>
        <v>-</v>
      </c>
      <c r="AO51" s="450" t="str">
        <f>IFERROR(IF(Q51=0,"-",SUMIFS($Q$2:Q51,$A$2:A51,$A51,$F$2:F51,"&lt;="&amp;$F51)/SUMIFS($M$2:M51,$A$2:A51,$A51,$F$2:F51,"&lt;="&amp;$F51)-1),"")</f>
        <v>-</v>
      </c>
      <c r="AP51" s="86"/>
      <c r="AQ51" s="452">
        <f>'Overall Metrics'!AO56</f>
        <v>0</v>
      </c>
      <c r="AR51" s="450">
        <f t="shared" si="19"/>
        <v>0</v>
      </c>
      <c r="AS51" s="453" t="str">
        <f>IFERROR(IF(R52=0,"-",AVERAGEIFS($AQ$2:AQ51,$A$2:A51,$A51,$F$2:F51,"&lt;="&amp;$F51)-AVERAGEIFS($AP$2:AP51,$A$2:A51,$A51,$F$2:F51,"&lt;="&amp;$F51)),"")</f>
        <v>-</v>
      </c>
      <c r="AT51" s="390" t="str">
        <f>IFERROR(IF(R52=0,"-",AVERAGEIFS($AQ$2:AQ51,$A$2:A51,A51,$C$2:C51,C51)-AVERAGEIFS($AP$2:AP51,$A$2:A51,A51,$C$2:C51,C51)),"")</f>
        <v>-</v>
      </c>
      <c r="AU51" s="79"/>
      <c r="AV51" s="452">
        <f>'Overall Metrics'!AS56</f>
        <v>0</v>
      </c>
      <c r="AW51" s="450" t="str">
        <f t="shared" si="20"/>
        <v/>
      </c>
      <c r="AX51" s="453" t="str">
        <f>IFERROR(IF(R55=0,"-",AVERAGEIFS($AV$2:AV51,$A$2:A51,$A51,$F$2:F51,"&lt;="&amp;$F51)-AVERAGEIFS($AU$2:AU51,$A$2:A51,$A51,$F$2:F51,"&lt;="&amp;$F51)),"")</f>
        <v>-</v>
      </c>
      <c r="AY51" s="453" t="str">
        <f>IFERROR(IF(R55=0,"-",AVERAGEIFS($AV$2:AV51,$A$2:A51,A51,$C$2:C51,C51)-AVERAGEIFS($AU$2:AU51,$A$2:A51,A51,$C$2:C51,C51)),"")</f>
        <v>-</v>
      </c>
      <c r="AZ51" s="86"/>
      <c r="BA51" s="449">
        <f>'Glass Metrics'!AC56</f>
        <v>0</v>
      </c>
      <c r="BB51" s="450" t="str">
        <f t="shared" si="21"/>
        <v/>
      </c>
      <c r="BC51" s="450" t="str">
        <f>IFERROR(IF(R51=0,"-",AVERAGEIFS($BA$2:BA51,$A$2:A51,$A51,$F$2:F51,"&lt;="&amp;$F51)/AVERAGEIFS($AZ$2:AZ51,$A$2:A51,$A51,$F$2:F51,"&lt;="&amp;$F51)-1),"")</f>
        <v>-</v>
      </c>
      <c r="BD51" s="269" t="str">
        <f>IFERROR(IF(R51=0,"-",AVERAGEIFS($BA$2:BA51,$A$2:A51,A51,$C$2:C51,C51)/AVERAGEIFS($AZ$2:AZ51,$A$2:A51,A51,$C$2:C51,C51)-1),"")</f>
        <v>-</v>
      </c>
    </row>
    <row r="52" spans="1:56" ht="16.350000000000001" customHeight="1">
      <c r="A52" s="175">
        <f t="shared" si="0"/>
        <v>2021</v>
      </c>
      <c r="B52" s="447" t="str">
        <f t="shared" si="1"/>
        <v>51</v>
      </c>
      <c r="C52" s="447" t="str">
        <f t="array" ref="C52">_xlfn.IFS(_xlfn.NUMBERVALUE(B52)&lt;=13,"Q1",AND(_xlfn.NUMBERVALUE(B52)&gt;13,_xlfn.NUMBERVALUE(B52)&lt;=26),"Q2", AND(_xlfn.NUMBERVALUE(B52)&gt;26,_xlfn.NUMBERVALUE(B52)&lt;=39),"Q3",_xlfn.NUMBERVALUE(B52)&gt;39,"Q4")</f>
        <v>Q4</v>
      </c>
      <c r="D52" s="448">
        <f t="shared" si="22"/>
        <v>44212</v>
      </c>
      <c r="E52" s="448">
        <f t="shared" si="2"/>
        <v>44218</v>
      </c>
      <c r="F52" s="79">
        <v>202051</v>
      </c>
      <c r="G52" s="103"/>
      <c r="H52" s="429"/>
      <c r="I52" s="429"/>
      <c r="J52" s="214">
        <f t="shared" si="3"/>
        <v>0</v>
      </c>
      <c r="K52" s="429"/>
      <c r="L52" s="429"/>
      <c r="M52" s="429"/>
      <c r="N52" s="214">
        <f t="shared" si="4"/>
        <v>0</v>
      </c>
      <c r="O52" s="449">
        <f>'Overall Metrics'!L57</f>
        <v>0</v>
      </c>
      <c r="P52" s="449">
        <f>'Overall Metrics'!M57</f>
        <v>0</v>
      </c>
      <c r="Q52" s="449">
        <f>'Overall Metrics'!N57</f>
        <v>0</v>
      </c>
      <c r="R52" s="449">
        <f t="shared" si="5"/>
        <v>0</v>
      </c>
      <c r="S52" s="180">
        <f t="shared" si="6"/>
        <v>0</v>
      </c>
      <c r="T52" s="449">
        <f t="shared" si="7"/>
        <v>0</v>
      </c>
      <c r="U52" s="449">
        <f t="shared" si="8"/>
        <v>0</v>
      </c>
      <c r="V52" s="450" t="str">
        <f t="shared" si="9"/>
        <v/>
      </c>
      <c r="W52" s="450" t="str">
        <f>IF(R52=0,"-",SUMIFS($R$2:R52,$A$2:A52,A52,$C$2:C52,C52)/SUMIFS($J$2:J52,$A$2:A52,A52,$C$2:C52,C52)-1)</f>
        <v>-</v>
      </c>
      <c r="X52" s="450" t="str">
        <f t="shared" si="10"/>
        <v/>
      </c>
      <c r="Y52" s="450" t="str">
        <f>IFERROR(IF(R52=0,"-",SUMIFS($R$2:R52,$A$2:A52,A52,$C$2:C52,C52)/SUMIFS($N$2:N52,$A$2:A52,A52,$C$2:C52,C52)-1),"")</f>
        <v>-</v>
      </c>
      <c r="Z52" s="269" t="str">
        <f>IF(R52=0,"",(S52/VLOOKUP(_xlfn.NUMBERVALUE(_xlfn.CONCAT(LEFT(F52,4),52)),$F$2:T259,COLUMNS($F$2:T259),FALSE)))</f>
        <v/>
      </c>
      <c r="AA52" s="269" t="str">
        <f>IFERROR(IF(R52=0,"",(S52/VLOOKUP(_xlfn.NUMBERVALUE(_xlfn.CONCAT(LEFT(F52,4),52)),$F$2:U259,COLUMNS($F$2:U259),FALSE))),"")</f>
        <v/>
      </c>
      <c r="AB52" s="268" t="str">
        <f t="shared" si="11"/>
        <v/>
      </c>
      <c r="AC52" s="450" t="str">
        <f t="shared" si="12"/>
        <v/>
      </c>
      <c r="AD52" s="450" t="str">
        <f t="shared" si="13"/>
        <v/>
      </c>
      <c r="AE52" s="269" t="str">
        <f t="shared" si="14"/>
        <v/>
      </c>
      <c r="AF52" s="268" t="str">
        <f t="shared" si="15"/>
        <v/>
      </c>
      <c r="AG52" s="450" t="str">
        <f t="shared" si="16"/>
        <v/>
      </c>
      <c r="AH52" s="450" t="str">
        <f t="shared" si="17"/>
        <v/>
      </c>
      <c r="AI52" s="269" t="str">
        <f t="shared" si="18"/>
        <v/>
      </c>
      <c r="AJ52" s="450" t="str">
        <f>IF(O52=0,"-",SUMIFS($O$2:O52,$A$2:A52,$A52,$F$2:F52,"&lt;="&amp;$F52)/SUMIFS($G$2:G52,$A$2:A52,$A52,$F$2:F52,"&lt;="&amp;$F52)-1)</f>
        <v>-</v>
      </c>
      <c r="AK52" s="450" t="str">
        <f>IF(P52=0,"-",SUMIFS($P$2:P52,$A$2:A52,$A52,$F$2:F52,"&lt;="&amp;$F52)/SUMIFS($H$2:H52,$A$2:A52,$A52,$F$2:F52,"&lt;="&amp;$F52)-1)</f>
        <v>-</v>
      </c>
      <c r="AL52" s="450" t="str">
        <f>IF(Q52=0,"-",SUMIFS($Q$2:Q52,$A$2:A52,$A52,$F$2:F52,"&lt;="&amp;$F52)/SUMIFS($I$2:I52,$A$2:A52,$A52,$F$2:F52,"&lt;="&amp;$F52)-1)</f>
        <v>-</v>
      </c>
      <c r="AM52" s="450" t="str">
        <f>IFERROR(IF(O52=0,"-",SUMIFS($O$2:O52,$A$2:A52,$A52,$F$2:F52,"&lt;="&amp;$F52)/SUMIFS($K$2:K52,$A$2:A52,$A52,$F$2:F52,"&lt;="&amp;$F52)-1),"")</f>
        <v>-</v>
      </c>
      <c r="AN52" s="450" t="str">
        <f>IFERROR(IF(P52=0,"-",SUMIFS($P$2:P52,$A$2:A52,$A52,$F$2:F52,"&lt;="&amp;$F52)/SUMIFS($L$2:L52,$A$2:A52,$A52,$F$2:F52,"&lt;="&amp;$F52)-1),"")</f>
        <v>-</v>
      </c>
      <c r="AO52" s="450" t="str">
        <f>IFERROR(IF(Q52=0,"-",SUMIFS($Q$2:Q52,$A$2:A52,$A52,$F$2:F52,"&lt;="&amp;$F52)/SUMIFS($M$2:M52,$A$2:A52,$A52,$F$2:F52,"&lt;="&amp;$F52)-1),"")</f>
        <v>-</v>
      </c>
      <c r="AP52" s="86"/>
      <c r="AQ52" s="452">
        <f>'Overall Metrics'!AO57</f>
        <v>0</v>
      </c>
      <c r="AR52" s="450">
        <f t="shared" si="19"/>
        <v>0</v>
      </c>
      <c r="AS52" s="453" t="str">
        <f>IFERROR(IF(R53=0,"-",AVERAGEIFS($AQ$2:AQ52,$A$2:A52,$A52,$F$2:F52,"&lt;="&amp;$F52)-AVERAGEIFS($AP$2:AP52,$A$2:A52,$A52,$F$2:F52,"&lt;="&amp;$F52)),"")</f>
        <v>-</v>
      </c>
      <c r="AT52" s="390" t="str">
        <f>IFERROR(IF(R53=0,"-",AVERAGEIFS($AQ$2:AQ52,$A$2:A52,A52,$C$2:C52,C52)-AVERAGEIFS($AP$2:AP52,$A$2:A52,A52,$C$2:C52,C52)),"")</f>
        <v>-</v>
      </c>
      <c r="AU52" s="79"/>
      <c r="AV52" s="452">
        <f>'Overall Metrics'!AS57</f>
        <v>0</v>
      </c>
      <c r="AW52" s="450" t="str">
        <f t="shared" si="20"/>
        <v/>
      </c>
      <c r="AX52" s="453" t="str">
        <f>IFERROR(IF(R56=0,"-",AVERAGEIFS($AV$2:AV52,$A$2:A52,$A52,$F$2:F52,"&lt;="&amp;$F52)-AVERAGEIFS($AU$2:AU52,$A$2:A52,$A52,$F$2:F52,"&lt;="&amp;$F52)),"")</f>
        <v>-</v>
      </c>
      <c r="AY52" s="453" t="str">
        <f>IFERROR(IF(R56=0,"-",AVERAGEIFS($AV$2:AV52,$A$2:A52,A52,$C$2:C52,C52)-AVERAGEIFS($AU$2:AU52,$A$2:A52,A52,$C$2:C52,C52)),"")</f>
        <v>-</v>
      </c>
      <c r="AZ52" s="86"/>
      <c r="BA52" s="449">
        <f>'Glass Metrics'!AC57</f>
        <v>0</v>
      </c>
      <c r="BB52" s="450" t="str">
        <f t="shared" si="21"/>
        <v/>
      </c>
      <c r="BC52" s="450" t="str">
        <f>IFERROR(IF(R52=0,"-",AVERAGEIFS($BA$2:BA52,$A$2:A52,$A52,$F$2:F52,"&lt;="&amp;$F52)/AVERAGEIFS($AZ$2:AZ52,$A$2:A52,$A52,$F$2:F52,"&lt;="&amp;$F52)-1),"")</f>
        <v>-</v>
      </c>
      <c r="BD52" s="269" t="str">
        <f>IFERROR(IF(R52=0,"-",AVERAGEIFS($BA$2:BA52,$A$2:A52,A52,$C$2:C52,C52)/AVERAGEIFS($AZ$2:AZ52,$A$2:A52,A52,$C$2:C52,C52)-1),"")</f>
        <v>-</v>
      </c>
    </row>
    <row r="53" spans="1:56" ht="16.350000000000001" customHeight="1">
      <c r="A53" s="175">
        <f t="shared" si="0"/>
        <v>2021</v>
      </c>
      <c r="B53" s="447" t="str">
        <f t="shared" si="1"/>
        <v>52</v>
      </c>
      <c r="C53" s="447" t="str">
        <f t="array" ref="C53">_xlfn.IFS(_xlfn.NUMBERVALUE(B53)&lt;=13,"Q1",AND(_xlfn.NUMBERVALUE(B53)&gt;13,_xlfn.NUMBERVALUE(B53)&lt;=26),"Q2", AND(_xlfn.NUMBERVALUE(B53)&gt;26,_xlfn.NUMBERVALUE(B53)&lt;=39),"Q3",_xlfn.NUMBERVALUE(B53)&gt;39,"Q4")</f>
        <v>Q4</v>
      </c>
      <c r="D53" s="448">
        <f t="shared" si="22"/>
        <v>44219</v>
      </c>
      <c r="E53" s="448">
        <f t="shared" si="2"/>
        <v>44225</v>
      </c>
      <c r="F53" s="79">
        <v>202052</v>
      </c>
      <c r="G53" s="103"/>
      <c r="H53" s="429"/>
      <c r="I53" s="429"/>
      <c r="J53" s="214">
        <f t="shared" si="3"/>
        <v>0</v>
      </c>
      <c r="K53" s="429"/>
      <c r="L53" s="429"/>
      <c r="M53" s="429"/>
      <c r="N53" s="214">
        <f t="shared" si="4"/>
        <v>0</v>
      </c>
      <c r="O53" s="449">
        <f>'Overall Metrics'!L58</f>
        <v>0</v>
      </c>
      <c r="P53" s="449">
        <f>'Overall Metrics'!M58</f>
        <v>0</v>
      </c>
      <c r="Q53" s="449">
        <f>'Overall Metrics'!N58</f>
        <v>0</v>
      </c>
      <c r="R53" s="449">
        <f t="shared" si="5"/>
        <v>0</v>
      </c>
      <c r="S53" s="180">
        <f t="shared" si="6"/>
        <v>0</v>
      </c>
      <c r="T53" s="449">
        <f t="shared" si="7"/>
        <v>0</v>
      </c>
      <c r="U53" s="449">
        <f t="shared" si="8"/>
        <v>0</v>
      </c>
      <c r="V53" s="450" t="str">
        <f t="shared" si="9"/>
        <v/>
      </c>
      <c r="W53" s="450" t="str">
        <f>IF(R53=0,"-",SUMIFS($R$2:R53,$A$2:A53,A53,$C$2:C53,C53)/SUMIFS($J$2:J53,$A$2:A53,A53,$C$2:C53,C53)-1)</f>
        <v>-</v>
      </c>
      <c r="X53" s="450" t="str">
        <f t="shared" si="10"/>
        <v/>
      </c>
      <c r="Y53" s="450" t="str">
        <f>IFERROR(IF(R53=0,"-",SUMIFS($R$2:R53,$A$2:A53,A53,$C$2:C53,C53)/SUMIFS($N$2:N53,$A$2:A53,A53,$C$2:C53,C53)-1),"")</f>
        <v>-</v>
      </c>
      <c r="Z53" s="269" t="str">
        <f>IF(R53=0,"",(S53/VLOOKUP(_xlfn.NUMBERVALUE(_xlfn.CONCAT(LEFT(F53,4),52)),$F$2:T260,COLUMNS($F$2:T260),FALSE)))</f>
        <v/>
      </c>
      <c r="AA53" s="269" t="str">
        <f>IFERROR(IF(R53=0,"",(S53/VLOOKUP(_xlfn.NUMBERVALUE(_xlfn.CONCAT(LEFT(F53,4),52)),$F$2:U260,COLUMNS($F$2:U260),FALSE))),"")</f>
        <v/>
      </c>
      <c r="AB53" s="268" t="str">
        <f t="shared" si="11"/>
        <v/>
      </c>
      <c r="AC53" s="450" t="str">
        <f t="shared" si="12"/>
        <v/>
      </c>
      <c r="AD53" s="450" t="str">
        <f t="shared" si="13"/>
        <v/>
      </c>
      <c r="AE53" s="269" t="str">
        <f t="shared" si="14"/>
        <v/>
      </c>
      <c r="AF53" s="268" t="str">
        <f t="shared" si="15"/>
        <v/>
      </c>
      <c r="AG53" s="450" t="str">
        <f t="shared" si="16"/>
        <v/>
      </c>
      <c r="AH53" s="450" t="str">
        <f t="shared" si="17"/>
        <v/>
      </c>
      <c r="AI53" s="269" t="str">
        <f t="shared" si="18"/>
        <v/>
      </c>
      <c r="AJ53" s="450" t="str">
        <f>IF(O53=0,"-",SUMIFS($O$2:O53,$A$2:A53,$A53,$F$2:F53,"&lt;="&amp;$F53)/SUMIFS($G$2:G53,$A$2:A53,$A53,$F$2:F53,"&lt;="&amp;$F53)-1)</f>
        <v>-</v>
      </c>
      <c r="AK53" s="450" t="str">
        <f>IF(P53=0,"-",SUMIFS($P$2:P53,$A$2:A53,$A53,$F$2:F53,"&lt;="&amp;$F53)/SUMIFS($H$2:H53,$A$2:A53,$A53,$F$2:F53,"&lt;="&amp;$F53)-1)</f>
        <v>-</v>
      </c>
      <c r="AL53" s="450" t="str">
        <f>IF(Q53=0,"-",SUMIFS($Q$2:Q53,$A$2:A53,$A53,$F$2:F53,"&lt;="&amp;$F53)/SUMIFS($I$2:I53,$A$2:A53,$A53,$F$2:F53,"&lt;="&amp;$F53)-1)</f>
        <v>-</v>
      </c>
      <c r="AM53" s="450" t="str">
        <f>IFERROR(IF(O53=0,"-",SUMIFS($O$2:O53,$A$2:A53,$A53,$F$2:F53,"&lt;="&amp;$F53)/SUMIFS($K$2:K53,$A$2:A53,$A53,$F$2:F53,"&lt;="&amp;$F53)-1),"")</f>
        <v>-</v>
      </c>
      <c r="AN53" s="450" t="str">
        <f>IFERROR(IF(P53=0,"-",SUMIFS($P$2:P53,$A$2:A53,$A53,$F$2:F53,"&lt;="&amp;$F53)/SUMIFS($L$2:L53,$A$2:A53,$A53,$F$2:F53,"&lt;="&amp;$F53)-1),"")</f>
        <v>-</v>
      </c>
      <c r="AO53" s="450" t="str">
        <f>IFERROR(IF(Q53=0,"-",SUMIFS($Q$2:Q53,$A$2:A53,$A53,$F$2:F53,"&lt;="&amp;$F53)/SUMIFS($M$2:M53,$A$2:A53,$A53,$F$2:F53,"&lt;="&amp;$F53)-1),"")</f>
        <v>-</v>
      </c>
      <c r="AP53" s="86"/>
      <c r="AQ53" s="452">
        <f>'Overall Metrics'!AO58</f>
        <v>0</v>
      </c>
      <c r="AR53" s="450">
        <f t="shared" si="19"/>
        <v>0</v>
      </c>
      <c r="AS53" s="453" t="str">
        <f>IFERROR(IF(R54=0,"-",AVERAGEIFS($AQ$2:AQ53,$A$2:A53,$A53,$F$2:F53,"&lt;="&amp;$F53)-AVERAGEIFS($AP$2:AP53,$A$2:A53,$A53,$F$2:F53,"&lt;="&amp;$F53)),"")</f>
        <v>-</v>
      </c>
      <c r="AT53" s="390" t="str">
        <f>IFERROR(IF(R54=0,"-",AVERAGEIFS($AQ$2:AQ53,$A$2:A53,A53,$C$2:C53,C53)-AVERAGEIFS($AP$2:AP53,$A$2:A53,A53,$C$2:C53,C53)),"")</f>
        <v>-</v>
      </c>
      <c r="AU53" s="79"/>
      <c r="AV53" s="452">
        <f>'Overall Metrics'!AS58</f>
        <v>0</v>
      </c>
      <c r="AW53" s="450" t="str">
        <f t="shared" si="20"/>
        <v/>
      </c>
      <c r="AX53" s="453" t="str">
        <f>IFERROR(IF(R57=0,"-",AVERAGEIFS($AV$2:AV53,$A$2:A53,$A53,$F$2:F53,"&lt;="&amp;$F53)-AVERAGEIFS($AU$2:AU53,$A$2:A53,$A53,$F$2:F53,"&lt;="&amp;$F53)),"")</f>
        <v>-</v>
      </c>
      <c r="AY53" s="453" t="str">
        <f>IFERROR(IF(R57=0,"-",AVERAGEIFS($AV$2:AV53,$A$2:A53,A53,$C$2:C53,C53)-AVERAGEIFS($AU$2:AU53,$A$2:A53,A53,$C$2:C53,C53)),"")</f>
        <v>-</v>
      </c>
      <c r="AZ53" s="86"/>
      <c r="BA53" s="449">
        <f>'Glass Metrics'!AC58</f>
        <v>0</v>
      </c>
      <c r="BB53" s="450" t="str">
        <f t="shared" si="21"/>
        <v/>
      </c>
      <c r="BC53" s="450" t="str">
        <f>IFERROR(IF(R53=0,"-",AVERAGEIFS($BA$2:BA53,$A$2:A53,$A53,$F$2:F53,"&lt;="&amp;$F53)/AVERAGEIFS($AZ$2:AZ53,$A$2:A53,$A53,$F$2:F53,"&lt;="&amp;$F53)-1),"")</f>
        <v>-</v>
      </c>
      <c r="BD53" s="269" t="str">
        <f>IFERROR(IF(R53=0,"-",AVERAGEIFS($BA$2:BA53,$A$2:A53,A53,$C$2:C53,C53)/AVERAGEIFS($AZ$2:AZ53,$A$2:A53,A53,$C$2:C53,C53)-1),"")</f>
        <v>-</v>
      </c>
    </row>
    <row r="54" spans="1:56" ht="16.350000000000001" customHeight="1">
      <c r="A54" s="175">
        <f t="shared" si="0"/>
        <v>2022</v>
      </c>
      <c r="B54" s="447" t="str">
        <f t="shared" si="1"/>
        <v>01</v>
      </c>
      <c r="C54" s="447" t="str">
        <f t="array" ref="C54">_xlfn.IFS(_xlfn.NUMBERVALUE(B54)&lt;=13,"Q1",AND(_xlfn.NUMBERVALUE(B54)&gt;13,_xlfn.NUMBERVALUE(B54)&lt;=26),"Q2", AND(_xlfn.NUMBERVALUE(B54)&gt;26,_xlfn.NUMBERVALUE(B54)&lt;=39),"Q3",_xlfn.NUMBERVALUE(B54)&gt;39,"Q4")</f>
        <v>Q1</v>
      </c>
      <c r="D54" s="448">
        <f t="shared" si="22"/>
        <v>44226</v>
      </c>
      <c r="E54" s="448">
        <f t="shared" si="2"/>
        <v>44232</v>
      </c>
      <c r="F54" s="79">
        <v>202101</v>
      </c>
      <c r="G54" s="815"/>
      <c r="H54" s="816"/>
      <c r="I54" s="429"/>
      <c r="J54" s="214">
        <f t="shared" si="3"/>
        <v>0</v>
      </c>
      <c r="K54" s="429"/>
      <c r="L54" s="429"/>
      <c r="M54" s="429"/>
      <c r="N54" s="214">
        <f t="shared" si="4"/>
        <v>0</v>
      </c>
      <c r="O54" s="449">
        <f>'Overall Metrics'!L59</f>
        <v>0</v>
      </c>
      <c r="P54" s="449">
        <f>'Overall Metrics'!M59</f>
        <v>0</v>
      </c>
      <c r="Q54" s="449">
        <f>'Overall Metrics'!N59</f>
        <v>0</v>
      </c>
      <c r="R54" s="449">
        <f t="shared" si="5"/>
        <v>0</v>
      </c>
      <c r="S54" s="180">
        <f t="shared" si="6"/>
        <v>0</v>
      </c>
      <c r="T54" s="449">
        <f t="shared" si="7"/>
        <v>0</v>
      </c>
      <c r="U54" s="449">
        <f t="shared" si="8"/>
        <v>0</v>
      </c>
      <c r="V54" s="450" t="str">
        <f t="shared" si="9"/>
        <v/>
      </c>
      <c r="W54" s="450" t="str">
        <f>IF(R54=0,"-",SUMIFS($R$2:R54,$A$2:A54,A54,$C$2:C54,C54)/SUMIFS($J$2:J54,$A$2:A54,A54,$C$2:C54,C54)-1)</f>
        <v>-</v>
      </c>
      <c r="X54" s="450" t="str">
        <f t="shared" si="10"/>
        <v/>
      </c>
      <c r="Y54" s="450" t="str">
        <f>IFERROR(IF(R54=0,"-",SUMIFS($R$2:R54,$A$2:A54,A54,$C$2:C54,C54)/SUMIFS($N$2:N54,$A$2:A54,A54,$C$2:C54,C54)-1),"")</f>
        <v>-</v>
      </c>
      <c r="Z54" s="269" t="str">
        <f>IF(R54=0,"",(S54/VLOOKUP(_xlfn.NUMBERVALUE(_xlfn.CONCAT(LEFT(F54,4),52)),$F$2:T261,COLUMNS($F$2:T261),FALSE)))</f>
        <v/>
      </c>
      <c r="AA54" s="269" t="str">
        <f>IFERROR(IF(R54=0,"",(S54/VLOOKUP(_xlfn.NUMBERVALUE(_xlfn.CONCAT(LEFT(F54,4),52)),$F$2:U261,COLUMNS($F$2:U261),FALSE))),"")</f>
        <v/>
      </c>
      <c r="AB54" s="268" t="str">
        <f t="shared" si="11"/>
        <v/>
      </c>
      <c r="AC54" s="450" t="str">
        <f t="shared" si="12"/>
        <v/>
      </c>
      <c r="AD54" s="450" t="str">
        <f t="shared" si="13"/>
        <v/>
      </c>
      <c r="AE54" s="269" t="str">
        <f t="shared" si="14"/>
        <v/>
      </c>
      <c r="AF54" s="268" t="str">
        <f t="shared" si="15"/>
        <v/>
      </c>
      <c r="AG54" s="450" t="str">
        <f t="shared" si="16"/>
        <v/>
      </c>
      <c r="AH54" s="450" t="str">
        <f t="shared" si="17"/>
        <v/>
      </c>
      <c r="AI54" s="269" t="str">
        <f t="shared" si="18"/>
        <v/>
      </c>
      <c r="AJ54" s="450" t="str">
        <f>IF(O54=0,"-",SUMIFS($O$2:O54,$A$2:A54,$A54,$F$2:F54,"&lt;="&amp;$F54)/SUMIFS($G$2:G54,$A$2:A54,$A54,$F$2:F54,"&lt;="&amp;$F54)-1)</f>
        <v>-</v>
      </c>
      <c r="AK54" s="450" t="str">
        <f>IF(P54=0,"-",SUMIFS($P$2:P54,$A$2:A54,$A54,$F$2:F54,"&lt;="&amp;$F54)/SUMIFS($H$2:H54,$A$2:A54,$A54,$F$2:F54,"&lt;="&amp;$F54)-1)</f>
        <v>-</v>
      </c>
      <c r="AL54" s="450" t="str">
        <f>IF(Q54=0,"-",SUMIFS($Q$2:Q54,$A$2:A54,$A54,$F$2:F54,"&lt;="&amp;$F54)/SUMIFS($I$2:I54,$A$2:A54,$A54,$F$2:F54,"&lt;="&amp;$F54)-1)</f>
        <v>-</v>
      </c>
      <c r="AM54" s="450" t="str">
        <f>IFERROR(IF(O54=0,"-",SUMIFS($O$2:O54,$A$2:A54,$A54,$F$2:F54,"&lt;="&amp;$F54)/SUMIFS($K$2:K54,$A$2:A54,$A54,$F$2:F54,"&lt;="&amp;$F54)-1),"")</f>
        <v>-</v>
      </c>
      <c r="AN54" s="450" t="str">
        <f>IFERROR(IF(P54=0,"-",SUMIFS($P$2:P54,$A$2:A54,$A54,$F$2:F54,"&lt;="&amp;$F54)/SUMIFS($L$2:L54,$A$2:A54,$A54,$F$2:F54,"&lt;="&amp;$F54)-1),"")</f>
        <v>-</v>
      </c>
      <c r="AO54" s="450" t="str">
        <f>IFERROR(IF(Q54=0,"-",SUMIFS($Q$2:Q54,$A$2:A54,$A54,$F$2:F54,"&lt;="&amp;$F54)/SUMIFS($M$2:M54,$A$2:A54,$A54,$F$2:F54,"&lt;="&amp;$F54)-1),"")</f>
        <v>-</v>
      </c>
      <c r="AP54" s="86"/>
      <c r="AQ54" s="452" t="str">
        <f>'Overall Metrics'!AO59</f>
        <v/>
      </c>
      <c r="AR54" s="450" t="str">
        <f t="shared" si="19"/>
        <v/>
      </c>
      <c r="AS54" s="453" t="str">
        <f>IFERROR(IF(R55=0,"-",AVERAGEIFS($AQ$2:AQ54,$A$2:A54,$A54,$F$2:F54,"&lt;="&amp;$F54)-AVERAGEIFS($AP$2:AP54,$A$2:A54,$A54,$F$2:F54,"&lt;="&amp;$F54)),"")</f>
        <v>-</v>
      </c>
      <c r="AT54" s="390" t="str">
        <f>IFERROR(IF(R55=0,"-",AVERAGEIFS($AQ$2:AQ54,$A$2:A54,A54,$C$2:C54,C54)-AVERAGEIFS($AP$2:AP54,$A$2:A54,A54,$C$2:C54,C54)),"")</f>
        <v>-</v>
      </c>
      <c r="AU54" s="79"/>
      <c r="AV54" s="452" t="str">
        <f>'Overall Metrics'!AS59</f>
        <v/>
      </c>
      <c r="AW54" s="450" t="str">
        <f t="shared" si="20"/>
        <v/>
      </c>
      <c r="AX54" s="453" t="str">
        <f>IFERROR(IF(R58=0,"-",AVERAGEIFS($AV$2:AV54,$A$2:A54,$A54,$F$2:F54,"&lt;="&amp;$F54)-AVERAGEIFS($AU$2:AU54,$A$2:A54,$A54,$F$2:F54,"&lt;="&amp;$F54)),"")</f>
        <v>-</v>
      </c>
      <c r="AY54" s="453" t="str">
        <f>IFERROR(IF(R58=0,"-",AVERAGEIFS($AV$2:AV54,$A$2:A54,A54,$C$2:C54,C54)-AVERAGEIFS($AU$2:AU54,$A$2:A54,A54,$C$2:C54,C54)),"")</f>
        <v>-</v>
      </c>
      <c r="AZ54" s="86"/>
      <c r="BA54" s="449">
        <f>'Glass Metrics'!AC59</f>
        <v>0</v>
      </c>
      <c r="BB54" s="450" t="str">
        <f t="shared" si="21"/>
        <v/>
      </c>
      <c r="BC54" s="450" t="str">
        <f>IFERROR(IF(R54=0,"-",AVERAGEIFS($BA$2:BA54,$A$2:A54,$A54,$F$2:F54,"&lt;="&amp;$F54)/AVERAGEIFS($AZ$2:AZ54,$A$2:A54,$A54,$F$2:F54,"&lt;="&amp;$F54)-1),"")</f>
        <v>-</v>
      </c>
      <c r="BD54" s="269" t="str">
        <f>IFERROR(IF(R54=0,"-",AVERAGEIFS($BA$2:BA54,$A$2:A54,A54,$C$2:C54,C54)/AVERAGEIFS($AZ$2:AZ54,$A$2:A54,A54,$C$2:C54,C54)-1),"")</f>
        <v>-</v>
      </c>
    </row>
    <row r="55" spans="1:56" ht="16.350000000000001" customHeight="1">
      <c r="A55" s="175">
        <f t="shared" si="0"/>
        <v>2022</v>
      </c>
      <c r="B55" s="447" t="str">
        <f t="shared" si="1"/>
        <v>02</v>
      </c>
      <c r="C55" s="447" t="str">
        <f t="array" ref="C55">_xlfn.IFS(_xlfn.NUMBERVALUE(B55)&lt;=13,"Q1",AND(_xlfn.NUMBERVALUE(B55)&gt;13,_xlfn.NUMBERVALUE(B55)&lt;=26),"Q2", AND(_xlfn.NUMBERVALUE(B55)&gt;26,_xlfn.NUMBERVALUE(B55)&lt;=39),"Q3",_xlfn.NUMBERVALUE(B55)&gt;39,"Q4")</f>
        <v>Q1</v>
      </c>
      <c r="D55" s="448">
        <f t="shared" si="22"/>
        <v>44233</v>
      </c>
      <c r="E55" s="448">
        <f t="shared" si="2"/>
        <v>44239</v>
      </c>
      <c r="F55" s="79">
        <v>202102</v>
      </c>
      <c r="G55" s="815"/>
      <c r="H55" s="816"/>
      <c r="I55" s="429"/>
      <c r="J55" s="214">
        <f t="shared" si="3"/>
        <v>0</v>
      </c>
      <c r="K55" s="429"/>
      <c r="L55" s="429"/>
      <c r="M55" s="429"/>
      <c r="N55" s="214">
        <f t="shared" si="4"/>
        <v>0</v>
      </c>
      <c r="O55" s="449">
        <f>'Overall Metrics'!L60</f>
        <v>0</v>
      </c>
      <c r="P55" s="449">
        <f>'Overall Metrics'!M60</f>
        <v>0</v>
      </c>
      <c r="Q55" s="449">
        <f>'Overall Metrics'!N60</f>
        <v>0</v>
      </c>
      <c r="R55" s="449">
        <f t="shared" si="5"/>
        <v>0</v>
      </c>
      <c r="S55" s="180">
        <f t="shared" si="6"/>
        <v>0</v>
      </c>
      <c r="T55" s="449">
        <f t="shared" si="7"/>
        <v>0</v>
      </c>
      <c r="U55" s="449">
        <f t="shared" si="8"/>
        <v>0</v>
      </c>
      <c r="V55" s="450" t="str">
        <f t="shared" si="9"/>
        <v/>
      </c>
      <c r="W55" s="450" t="str">
        <f>IF(R55=0,"-",SUMIFS($R$2:R55,$A$2:A55,A55,$C$2:C55,C55)/SUMIFS($J$2:J55,$A$2:A55,A55,$C$2:C55,C55)-1)</f>
        <v>-</v>
      </c>
      <c r="X55" s="450" t="str">
        <f t="shared" si="10"/>
        <v/>
      </c>
      <c r="Y55" s="450" t="str">
        <f>IFERROR(IF(R55=0,"-",SUMIFS($R$2:R55,$A$2:A55,A55,$C$2:C55,C55)/SUMIFS($N$2:N55,$A$2:A55,A55,$C$2:C55,C55)-1),"")</f>
        <v>-</v>
      </c>
      <c r="Z55" s="269" t="str">
        <f>IF(R55=0,"",(S55/VLOOKUP(_xlfn.NUMBERVALUE(_xlfn.CONCAT(LEFT(F55,4),52)),$F$2:T262,COLUMNS($F$2:T262),FALSE)))</f>
        <v/>
      </c>
      <c r="AA55" s="269" t="str">
        <f>IFERROR(IF(R55=0,"",(S55/VLOOKUP(_xlfn.NUMBERVALUE(_xlfn.CONCAT(LEFT(F55,4),52)),$F$2:U262,COLUMNS($F$2:U262),FALSE))),"")</f>
        <v/>
      </c>
      <c r="AB55" s="268" t="str">
        <f t="shared" si="11"/>
        <v/>
      </c>
      <c r="AC55" s="450" t="str">
        <f t="shared" si="12"/>
        <v/>
      </c>
      <c r="AD55" s="450" t="str">
        <f t="shared" si="13"/>
        <v/>
      </c>
      <c r="AE55" s="269" t="str">
        <f t="shared" si="14"/>
        <v/>
      </c>
      <c r="AF55" s="268" t="str">
        <f t="shared" si="15"/>
        <v/>
      </c>
      <c r="AG55" s="450" t="str">
        <f t="shared" si="16"/>
        <v/>
      </c>
      <c r="AH55" s="450" t="str">
        <f t="shared" si="17"/>
        <v/>
      </c>
      <c r="AI55" s="269" t="str">
        <f t="shared" si="18"/>
        <v/>
      </c>
      <c r="AJ55" s="450" t="str">
        <f>IF(O55=0,"-",SUMIFS($O$2:O55,$A$2:A55,$A55,$F$2:F55,"&lt;="&amp;$F55)/SUMIFS($G$2:G55,$A$2:A55,$A55,$F$2:F55,"&lt;="&amp;$F55)-1)</f>
        <v>-</v>
      </c>
      <c r="AK55" s="450" t="str">
        <f>IF(P55=0,"-",SUMIFS($P$2:P55,$A$2:A55,$A55,$F$2:F55,"&lt;="&amp;$F55)/SUMIFS($H$2:H55,$A$2:A55,$A55,$F$2:F55,"&lt;="&amp;$F55)-1)</f>
        <v>-</v>
      </c>
      <c r="AL55" s="450" t="str">
        <f>IF(Q55=0,"-",SUMIFS($Q$2:Q55,$A$2:A55,$A55,$F$2:F55,"&lt;="&amp;$F55)/SUMIFS($I$2:I55,$A$2:A55,$A55,$F$2:F55,"&lt;="&amp;$F55)-1)</f>
        <v>-</v>
      </c>
      <c r="AM55" s="450" t="str">
        <f>IFERROR(IF(O55=0,"-",SUMIFS($O$2:O55,$A$2:A55,$A55,$F$2:F55,"&lt;="&amp;$F55)/SUMIFS($K$2:K55,$A$2:A55,$A55,$F$2:F55,"&lt;="&amp;$F55)-1),"")</f>
        <v>-</v>
      </c>
      <c r="AN55" s="450" t="str">
        <f>IFERROR(IF(P55=0,"-",SUMIFS($P$2:P55,$A$2:A55,$A55,$F$2:F55,"&lt;="&amp;$F55)/SUMIFS($L$2:L55,$A$2:A55,$A55,$F$2:F55,"&lt;="&amp;$F55)-1),"")</f>
        <v>-</v>
      </c>
      <c r="AO55" s="450" t="str">
        <f>IFERROR(IF(Q55=0,"-",SUMIFS($Q$2:Q55,$A$2:A55,$A55,$F$2:F55,"&lt;="&amp;$F55)/SUMIFS($M$2:M55,$A$2:A55,$A55,$F$2:F55,"&lt;="&amp;$F55)-1),"")</f>
        <v>-</v>
      </c>
      <c r="AP55" s="86"/>
      <c r="AQ55" s="452" t="str">
        <f>'Overall Metrics'!AO60</f>
        <v/>
      </c>
      <c r="AR55" s="450" t="str">
        <f t="shared" si="19"/>
        <v/>
      </c>
      <c r="AS55" s="453" t="str">
        <f>IFERROR(IF(R56=0,"-",AVERAGEIFS($AQ$2:AQ55,$A$2:A55,$A55,$F$2:F55,"&lt;="&amp;$F55)-AVERAGEIFS($AP$2:AP55,$A$2:A55,$A55,$F$2:F55,"&lt;="&amp;$F55)),"")</f>
        <v>-</v>
      </c>
      <c r="AT55" s="390" t="str">
        <f>IFERROR(IF(R56=0,"-",AVERAGEIFS($AQ$2:AQ55,$A$2:A55,A55,$C$2:C55,C55)-AVERAGEIFS($AP$2:AP55,$A$2:A55,A55,$C$2:C55,C55)),"")</f>
        <v>-</v>
      </c>
      <c r="AU55" s="79"/>
      <c r="AV55" s="452" t="str">
        <f>'Overall Metrics'!AS60</f>
        <v/>
      </c>
      <c r="AW55" s="450" t="str">
        <f t="shared" si="20"/>
        <v/>
      </c>
      <c r="AX55" s="453" t="str">
        <f>IFERROR(IF(R59=0,"-",AVERAGEIFS($AV$2:AV55,$A$2:A55,$A55,$F$2:F55,"&lt;="&amp;$F55)-AVERAGEIFS($AU$2:AU55,$A$2:A55,$A55,$F$2:F55,"&lt;="&amp;$F55)),"")</f>
        <v>-</v>
      </c>
      <c r="AY55" s="453" t="str">
        <f>IFERROR(IF(R59=0,"-",AVERAGEIFS($AV$2:AV55,$A$2:A55,A55,$C$2:C55,C55)-AVERAGEIFS($AU$2:AU55,$A$2:A55,A55,$C$2:C55,C55)),"")</f>
        <v>-</v>
      </c>
      <c r="AZ55" s="86"/>
      <c r="BA55" s="449">
        <f>'Glass Metrics'!AC60</f>
        <v>0</v>
      </c>
      <c r="BB55" s="450" t="str">
        <f t="shared" si="21"/>
        <v/>
      </c>
      <c r="BC55" s="450" t="str">
        <f>IFERROR(IF(R55=0,"-",AVERAGEIFS($BA$2:BA55,$A$2:A55,$A55,$F$2:F55,"&lt;="&amp;$F55)/AVERAGEIFS($AZ$2:AZ55,$A$2:A55,$A55,$F$2:F55,"&lt;="&amp;$F55)-1),"")</f>
        <v>-</v>
      </c>
      <c r="BD55" s="269" t="str">
        <f>IFERROR(IF(R55=0,"-",AVERAGEIFS($BA$2:BA55,$A$2:A55,A55,$C$2:C55,C55)/AVERAGEIFS($AZ$2:AZ55,$A$2:A55,A55,$C$2:C55,C55)-1),"")</f>
        <v>-</v>
      </c>
    </row>
    <row r="56" spans="1:56" ht="16.350000000000001" customHeight="1">
      <c r="A56" s="175">
        <f t="shared" si="0"/>
        <v>2022</v>
      </c>
      <c r="B56" s="447" t="str">
        <f t="shared" si="1"/>
        <v>03</v>
      </c>
      <c r="C56" s="447" t="str">
        <f t="array" ref="C56">_xlfn.IFS(_xlfn.NUMBERVALUE(B56)&lt;=13,"Q1",AND(_xlfn.NUMBERVALUE(B56)&gt;13,_xlfn.NUMBERVALUE(B56)&lt;=26),"Q2", AND(_xlfn.NUMBERVALUE(B56)&gt;26,_xlfn.NUMBERVALUE(B56)&lt;=39),"Q3",_xlfn.NUMBERVALUE(B56)&gt;39,"Q4")</f>
        <v>Q1</v>
      </c>
      <c r="D56" s="448">
        <f t="shared" si="22"/>
        <v>44240</v>
      </c>
      <c r="E56" s="448">
        <f t="shared" si="2"/>
        <v>44246</v>
      </c>
      <c r="F56" s="79">
        <v>202103</v>
      </c>
      <c r="G56" s="815"/>
      <c r="H56" s="816"/>
      <c r="I56" s="429"/>
      <c r="J56" s="214">
        <f t="shared" si="3"/>
        <v>0</v>
      </c>
      <c r="K56" s="429"/>
      <c r="L56" s="429"/>
      <c r="M56" s="429"/>
      <c r="N56" s="214">
        <f t="shared" si="4"/>
        <v>0</v>
      </c>
      <c r="O56" s="449">
        <f>'Overall Metrics'!L61</f>
        <v>0</v>
      </c>
      <c r="P56" s="449">
        <f>'Overall Metrics'!M61</f>
        <v>0</v>
      </c>
      <c r="Q56" s="449">
        <f>'Overall Metrics'!N61</f>
        <v>0</v>
      </c>
      <c r="R56" s="449">
        <f t="shared" si="5"/>
        <v>0</v>
      </c>
      <c r="S56" s="180">
        <f t="shared" si="6"/>
        <v>0</v>
      </c>
      <c r="T56" s="449">
        <f t="shared" si="7"/>
        <v>0</v>
      </c>
      <c r="U56" s="449">
        <f t="shared" si="8"/>
        <v>0</v>
      </c>
      <c r="V56" s="450" t="str">
        <f t="shared" si="9"/>
        <v/>
      </c>
      <c r="W56" s="450" t="str">
        <f>IF(R56=0,"-",SUMIFS($R$2:R56,$A$2:A56,A56,$C$2:C56,C56)/SUMIFS($J$2:J56,$A$2:A56,A56,$C$2:C56,C56)-1)</f>
        <v>-</v>
      </c>
      <c r="X56" s="450" t="str">
        <f t="shared" si="10"/>
        <v/>
      </c>
      <c r="Y56" s="450" t="str">
        <f>IFERROR(IF(R56=0,"-",SUMIFS($R$2:R56,$A$2:A56,A56,$C$2:C56,C56)/SUMIFS($N$2:N56,$A$2:A56,A56,$C$2:C56,C56)-1),"")</f>
        <v>-</v>
      </c>
      <c r="Z56" s="269" t="str">
        <f>IF(R56=0,"",(S56/VLOOKUP(_xlfn.NUMBERVALUE(_xlfn.CONCAT(LEFT(F56,4),52)),$F$2:T263,COLUMNS($F$2:T263),FALSE)))</f>
        <v/>
      </c>
      <c r="AA56" s="269" t="str">
        <f>IFERROR(IF(R56=0,"",(S56/VLOOKUP(_xlfn.NUMBERVALUE(_xlfn.CONCAT(LEFT(F56,4),52)),$F$2:U263,COLUMNS($F$2:U263),FALSE))),"")</f>
        <v/>
      </c>
      <c r="AB56" s="268" t="str">
        <f t="shared" si="11"/>
        <v/>
      </c>
      <c r="AC56" s="450" t="str">
        <f t="shared" si="12"/>
        <v/>
      </c>
      <c r="AD56" s="450" t="str">
        <f t="shared" si="13"/>
        <v/>
      </c>
      <c r="AE56" s="269" t="str">
        <f t="shared" si="14"/>
        <v/>
      </c>
      <c r="AF56" s="268" t="str">
        <f t="shared" si="15"/>
        <v/>
      </c>
      <c r="AG56" s="450" t="str">
        <f t="shared" si="16"/>
        <v/>
      </c>
      <c r="AH56" s="450" t="str">
        <f t="shared" si="17"/>
        <v/>
      </c>
      <c r="AI56" s="269" t="str">
        <f t="shared" si="18"/>
        <v/>
      </c>
      <c r="AJ56" s="450" t="str">
        <f>IF(O56=0,"-",SUMIFS($O$2:O56,$A$2:A56,$A56,$F$2:F56,"&lt;="&amp;$F56)/SUMIFS($G$2:G56,$A$2:A56,$A56,$F$2:F56,"&lt;="&amp;$F56)-1)</f>
        <v>-</v>
      </c>
      <c r="AK56" s="450" t="str">
        <f>IF(P56=0,"-",SUMIFS($P$2:P56,$A$2:A56,$A56,$F$2:F56,"&lt;="&amp;$F56)/SUMIFS($H$2:H56,$A$2:A56,$A56,$F$2:F56,"&lt;="&amp;$F56)-1)</f>
        <v>-</v>
      </c>
      <c r="AL56" s="450" t="str">
        <f>IF(Q56=0,"-",SUMIFS($Q$2:Q56,$A$2:A56,$A56,$F$2:F56,"&lt;="&amp;$F56)/SUMIFS($I$2:I56,$A$2:A56,$A56,$F$2:F56,"&lt;="&amp;$F56)-1)</f>
        <v>-</v>
      </c>
      <c r="AM56" s="450" t="str">
        <f>IFERROR(IF(O56=0,"-",SUMIFS($O$2:O56,$A$2:A56,$A56,$F$2:F56,"&lt;="&amp;$F56)/SUMIFS($K$2:K56,$A$2:A56,$A56,$F$2:F56,"&lt;="&amp;$F56)-1),"")</f>
        <v>-</v>
      </c>
      <c r="AN56" s="450" t="str">
        <f>IFERROR(IF(P56=0,"-",SUMIFS($P$2:P56,$A$2:A56,$A56,$F$2:F56,"&lt;="&amp;$F56)/SUMIFS($L$2:L56,$A$2:A56,$A56,$F$2:F56,"&lt;="&amp;$F56)-1),"")</f>
        <v>-</v>
      </c>
      <c r="AO56" s="450" t="str">
        <f>IFERROR(IF(Q56=0,"-",SUMIFS($Q$2:Q56,$A$2:A56,$A56,$F$2:F56,"&lt;="&amp;$F56)/SUMIFS($M$2:M56,$A$2:A56,$A56,$F$2:F56,"&lt;="&amp;$F56)-1),"")</f>
        <v>-</v>
      </c>
      <c r="AP56" s="86"/>
      <c r="AQ56" s="452" t="str">
        <f>'Overall Metrics'!AO61</f>
        <v/>
      </c>
      <c r="AR56" s="450" t="str">
        <f t="shared" si="19"/>
        <v/>
      </c>
      <c r="AS56" s="453" t="str">
        <f>IFERROR(IF(R57=0,"-",AVERAGEIFS($AQ$2:AQ56,$A$2:A56,$A56,$F$2:F56,"&lt;="&amp;$F56)-AVERAGEIFS($AP$2:AP56,$A$2:A56,$A56,$F$2:F56,"&lt;="&amp;$F56)),"")</f>
        <v>-</v>
      </c>
      <c r="AT56" s="390" t="str">
        <f>IFERROR(IF(R57=0,"-",AVERAGEIFS($AQ$2:AQ56,$A$2:A56,A56,$C$2:C56,C56)-AVERAGEIFS($AP$2:AP56,$A$2:A56,A56,$C$2:C56,C56)),"")</f>
        <v>-</v>
      </c>
      <c r="AU56" s="79"/>
      <c r="AV56" s="452" t="str">
        <f>'Overall Metrics'!AS61</f>
        <v/>
      </c>
      <c r="AW56" s="450" t="str">
        <f t="shared" si="20"/>
        <v/>
      </c>
      <c r="AX56" s="453" t="str">
        <f>IFERROR(IF(R60=0,"-",AVERAGEIFS($AV$2:AV56,$A$2:A56,$A56,$F$2:F56,"&lt;="&amp;$F56)-AVERAGEIFS($AU$2:AU56,$A$2:A56,$A56,$F$2:F56,"&lt;="&amp;$F56)),"")</f>
        <v>-</v>
      </c>
      <c r="AY56" s="453" t="str">
        <f>IFERROR(IF(R60=0,"-",AVERAGEIFS($AV$2:AV56,$A$2:A56,A56,$C$2:C56,C56)-AVERAGEIFS($AU$2:AU56,$A$2:A56,A56,$C$2:C56,C56)),"")</f>
        <v>-</v>
      </c>
      <c r="AZ56" s="86"/>
      <c r="BA56" s="449">
        <f>'Glass Metrics'!AC61</f>
        <v>0</v>
      </c>
      <c r="BB56" s="450" t="str">
        <f t="shared" si="21"/>
        <v/>
      </c>
      <c r="BC56" s="450" t="str">
        <f>IFERROR(IF(R56=0,"-",AVERAGEIFS($BA$2:BA56,$A$2:A56,$A56,$F$2:F56,"&lt;="&amp;$F56)/AVERAGEIFS($AZ$2:AZ56,$A$2:A56,$A56,$F$2:F56,"&lt;="&amp;$F56)-1),"")</f>
        <v>-</v>
      </c>
      <c r="BD56" s="269" t="str">
        <f>IFERROR(IF(R56=0,"-",AVERAGEIFS($BA$2:BA56,$A$2:A56,A56,$C$2:C56,C56)/AVERAGEIFS($AZ$2:AZ56,$A$2:A56,A56,$C$2:C56,C56)-1),"")</f>
        <v>-</v>
      </c>
    </row>
    <row r="57" spans="1:56" ht="16.350000000000001" customHeight="1">
      <c r="A57" s="175">
        <f t="shared" si="0"/>
        <v>2022</v>
      </c>
      <c r="B57" s="447" t="str">
        <f t="shared" si="1"/>
        <v>04</v>
      </c>
      <c r="C57" s="447" t="str">
        <f t="array" ref="C57">_xlfn.IFS(_xlfn.NUMBERVALUE(B57)&lt;=13,"Q1",AND(_xlfn.NUMBERVALUE(B57)&gt;13,_xlfn.NUMBERVALUE(B57)&lt;=26),"Q2", AND(_xlfn.NUMBERVALUE(B57)&gt;26,_xlfn.NUMBERVALUE(B57)&lt;=39),"Q3",_xlfn.NUMBERVALUE(B57)&gt;39,"Q4")</f>
        <v>Q1</v>
      </c>
      <c r="D57" s="448">
        <f t="shared" si="22"/>
        <v>44247</v>
      </c>
      <c r="E57" s="448">
        <f t="shared" si="2"/>
        <v>44253</v>
      </c>
      <c r="F57" s="79">
        <v>202104</v>
      </c>
      <c r="G57" s="815"/>
      <c r="H57" s="816"/>
      <c r="I57" s="429"/>
      <c r="J57" s="214">
        <f t="shared" si="3"/>
        <v>0</v>
      </c>
      <c r="K57" s="429"/>
      <c r="L57" s="429"/>
      <c r="M57" s="429"/>
      <c r="N57" s="214">
        <f t="shared" si="4"/>
        <v>0</v>
      </c>
      <c r="O57" s="449">
        <f>'Overall Metrics'!L62</f>
        <v>0</v>
      </c>
      <c r="P57" s="449">
        <f>'Overall Metrics'!M62</f>
        <v>0</v>
      </c>
      <c r="Q57" s="449">
        <f>'Overall Metrics'!N62</f>
        <v>0</v>
      </c>
      <c r="R57" s="449">
        <f t="shared" si="5"/>
        <v>0</v>
      </c>
      <c r="S57" s="180">
        <f t="shared" si="6"/>
        <v>0</v>
      </c>
      <c r="T57" s="449">
        <f t="shared" si="7"/>
        <v>0</v>
      </c>
      <c r="U57" s="449">
        <f t="shared" si="8"/>
        <v>0</v>
      </c>
      <c r="V57" s="450" t="str">
        <f t="shared" si="9"/>
        <v/>
      </c>
      <c r="W57" s="450" t="str">
        <f>IF(R57=0,"-",SUMIFS($R$2:R57,$A$2:A57,A57,$C$2:C57,C57)/SUMIFS($J$2:J57,$A$2:A57,A57,$C$2:C57,C57)-1)</f>
        <v>-</v>
      </c>
      <c r="X57" s="450" t="str">
        <f t="shared" si="10"/>
        <v/>
      </c>
      <c r="Y57" s="450" t="str">
        <f>IFERROR(IF(R57=0,"-",SUMIFS($R$2:R57,$A$2:A57,A57,$C$2:C57,C57)/SUMIFS($N$2:N57,$A$2:A57,A57,$C$2:C57,C57)-1),"")</f>
        <v>-</v>
      </c>
      <c r="Z57" s="269" t="str">
        <f>IF(R57=0,"",(S57/VLOOKUP(_xlfn.NUMBERVALUE(_xlfn.CONCAT(LEFT(F57,4),52)),$F$2:T264,COLUMNS($F$2:T264),FALSE)))</f>
        <v/>
      </c>
      <c r="AA57" s="269" t="str">
        <f>IFERROR(IF(R57=0,"",(S57/VLOOKUP(_xlfn.NUMBERVALUE(_xlfn.CONCAT(LEFT(F57,4),52)),$F$2:U264,COLUMNS($F$2:U264),FALSE))),"")</f>
        <v/>
      </c>
      <c r="AB57" s="268" t="str">
        <f t="shared" si="11"/>
        <v/>
      </c>
      <c r="AC57" s="450" t="str">
        <f t="shared" si="12"/>
        <v/>
      </c>
      <c r="AD57" s="450" t="str">
        <f t="shared" si="13"/>
        <v/>
      </c>
      <c r="AE57" s="269" t="str">
        <f t="shared" si="14"/>
        <v/>
      </c>
      <c r="AF57" s="268" t="str">
        <f t="shared" si="15"/>
        <v/>
      </c>
      <c r="AG57" s="450" t="str">
        <f t="shared" si="16"/>
        <v/>
      </c>
      <c r="AH57" s="450" t="str">
        <f t="shared" si="17"/>
        <v/>
      </c>
      <c r="AI57" s="269" t="str">
        <f t="shared" si="18"/>
        <v/>
      </c>
      <c r="AJ57" s="450" t="str">
        <f>IF(O57=0,"-",SUMIFS($O$2:O57,$A$2:A57,$A57,$F$2:F57,"&lt;="&amp;$F57)/SUMIFS($G$2:G57,$A$2:A57,$A57,$F$2:F57,"&lt;="&amp;$F57)-1)</f>
        <v>-</v>
      </c>
      <c r="AK57" s="450" t="str">
        <f>IF(P57=0,"-",SUMIFS($P$2:P57,$A$2:A57,$A57,$F$2:F57,"&lt;="&amp;$F57)/SUMIFS($H$2:H57,$A$2:A57,$A57,$F$2:F57,"&lt;="&amp;$F57)-1)</f>
        <v>-</v>
      </c>
      <c r="AL57" s="450" t="str">
        <f>IF(Q57=0,"-",SUMIFS($Q$2:Q57,$A$2:A57,$A57,$F$2:F57,"&lt;="&amp;$F57)/SUMIFS($I$2:I57,$A$2:A57,$A57,$F$2:F57,"&lt;="&amp;$F57)-1)</f>
        <v>-</v>
      </c>
      <c r="AM57" s="450" t="str">
        <f>IFERROR(IF(O57=0,"-",SUMIFS($O$2:O57,$A$2:A57,$A57,$F$2:F57,"&lt;="&amp;$F57)/SUMIFS($K$2:K57,$A$2:A57,$A57,$F$2:F57,"&lt;="&amp;$F57)-1),"")</f>
        <v>-</v>
      </c>
      <c r="AN57" s="450" t="str">
        <f>IFERROR(IF(P57=0,"-",SUMIFS($P$2:P57,$A$2:A57,$A57,$F$2:F57,"&lt;="&amp;$F57)/SUMIFS($L$2:L57,$A$2:A57,$A57,$F$2:F57,"&lt;="&amp;$F57)-1),"")</f>
        <v>-</v>
      </c>
      <c r="AO57" s="450" t="str">
        <f>IFERROR(IF(Q57=0,"-",SUMIFS($Q$2:Q57,$A$2:A57,$A57,$F$2:F57,"&lt;="&amp;$F57)/SUMIFS($M$2:M57,$A$2:A57,$A57,$F$2:F57,"&lt;="&amp;$F57)-1),"")</f>
        <v>-</v>
      </c>
      <c r="AP57" s="86"/>
      <c r="AQ57" s="452" t="str">
        <f>'Overall Metrics'!AO62</f>
        <v/>
      </c>
      <c r="AR57" s="450" t="str">
        <f t="shared" si="19"/>
        <v/>
      </c>
      <c r="AS57" s="453" t="str">
        <f>IFERROR(IF(R58=0,"-",AVERAGEIFS($AQ$2:AQ57,$A$2:A57,$A57,$F$2:F57,"&lt;="&amp;$F57)-AVERAGEIFS($AP$2:AP57,$A$2:A57,$A57,$F$2:F57,"&lt;="&amp;$F57)),"")</f>
        <v>-</v>
      </c>
      <c r="AT57" s="390" t="str">
        <f>IFERROR(IF(R58=0,"-",AVERAGEIFS($AQ$2:AQ57,$A$2:A57,A57,$C$2:C57,C57)-AVERAGEIFS($AP$2:AP57,$A$2:A57,A57,$C$2:C57,C57)),"")</f>
        <v>-</v>
      </c>
      <c r="AU57" s="79"/>
      <c r="AV57" s="452" t="str">
        <f>'Overall Metrics'!AS62</f>
        <v/>
      </c>
      <c r="AW57" s="450" t="str">
        <f t="shared" si="20"/>
        <v/>
      </c>
      <c r="AX57" s="453" t="str">
        <f>IFERROR(IF(R61=0,"-",AVERAGEIFS($AV$2:AV57,$A$2:A57,$A57,$F$2:F57,"&lt;="&amp;$F57)-AVERAGEIFS($AU$2:AU57,$A$2:A57,$A57,$F$2:F57,"&lt;="&amp;$F57)),"")</f>
        <v>-</v>
      </c>
      <c r="AY57" s="453" t="str">
        <f>IFERROR(IF(R61=0,"-",AVERAGEIFS($AV$2:AV57,$A$2:A57,A57,$C$2:C57,C57)-AVERAGEIFS($AU$2:AU57,$A$2:A57,A57,$C$2:C57,C57)),"")</f>
        <v>-</v>
      </c>
      <c r="AZ57" s="86"/>
      <c r="BA57" s="449">
        <f>'Glass Metrics'!AC62</f>
        <v>0</v>
      </c>
      <c r="BB57" s="450" t="str">
        <f t="shared" si="21"/>
        <v/>
      </c>
      <c r="BC57" s="450" t="str">
        <f>IFERROR(IF(R57=0,"-",AVERAGEIFS($BA$2:BA57,$A$2:A57,$A57,$F$2:F57,"&lt;="&amp;$F57)/AVERAGEIFS($AZ$2:AZ57,$A$2:A57,$A57,$F$2:F57,"&lt;="&amp;$F57)-1),"")</f>
        <v>-</v>
      </c>
      <c r="BD57" s="269" t="str">
        <f>IFERROR(IF(R57=0,"-",AVERAGEIFS($BA$2:BA57,$A$2:A57,A57,$C$2:C57,C57)/AVERAGEIFS($AZ$2:AZ57,$A$2:A57,A57,$C$2:C57,C57)-1),"")</f>
        <v>-</v>
      </c>
    </row>
    <row r="58" spans="1:56" ht="16.350000000000001" customHeight="1">
      <c r="A58" s="175">
        <f t="shared" si="0"/>
        <v>2022</v>
      </c>
      <c r="B58" s="447" t="str">
        <f t="shared" si="1"/>
        <v>05</v>
      </c>
      <c r="C58" s="447" t="str">
        <f t="array" ref="C58">_xlfn.IFS(_xlfn.NUMBERVALUE(B58)&lt;=13,"Q1",AND(_xlfn.NUMBERVALUE(B58)&gt;13,_xlfn.NUMBERVALUE(B58)&lt;=26),"Q2", AND(_xlfn.NUMBERVALUE(B58)&gt;26,_xlfn.NUMBERVALUE(B58)&lt;=39),"Q3",_xlfn.NUMBERVALUE(B58)&gt;39,"Q4")</f>
        <v>Q1</v>
      </c>
      <c r="D58" s="448">
        <f t="shared" si="22"/>
        <v>44254</v>
      </c>
      <c r="E58" s="448">
        <f t="shared" si="2"/>
        <v>44260</v>
      </c>
      <c r="F58" s="79">
        <v>202105</v>
      </c>
      <c r="G58" s="815"/>
      <c r="H58" s="816"/>
      <c r="I58" s="429"/>
      <c r="J58" s="214">
        <f t="shared" si="3"/>
        <v>0</v>
      </c>
      <c r="K58" s="429"/>
      <c r="L58" s="429"/>
      <c r="M58" s="429"/>
      <c r="N58" s="214">
        <f t="shared" si="4"/>
        <v>0</v>
      </c>
      <c r="O58" s="449">
        <f>'Overall Metrics'!L63</f>
        <v>0</v>
      </c>
      <c r="P58" s="449">
        <f>'Overall Metrics'!M63</f>
        <v>0</v>
      </c>
      <c r="Q58" s="449">
        <f>'Overall Metrics'!N63</f>
        <v>0</v>
      </c>
      <c r="R58" s="449">
        <f t="shared" si="5"/>
        <v>0</v>
      </c>
      <c r="S58" s="180">
        <f t="shared" si="6"/>
        <v>0</v>
      </c>
      <c r="T58" s="449">
        <f t="shared" si="7"/>
        <v>0</v>
      </c>
      <c r="U58" s="449">
        <f t="shared" si="8"/>
        <v>0</v>
      </c>
      <c r="V58" s="450" t="str">
        <f t="shared" si="9"/>
        <v/>
      </c>
      <c r="W58" s="450" t="str">
        <f>IF(R58=0,"-",SUMIFS($R$2:R58,$A$2:A58,A58,$C$2:C58,C58)/SUMIFS($J$2:J58,$A$2:A58,A58,$C$2:C58,C58)-1)</f>
        <v>-</v>
      </c>
      <c r="X58" s="450" t="str">
        <f t="shared" si="10"/>
        <v/>
      </c>
      <c r="Y58" s="450" t="str">
        <f>IFERROR(IF(R58=0,"-",SUMIFS($R$2:R58,$A$2:A58,A58,$C$2:C58,C58)/SUMIFS($N$2:N58,$A$2:A58,A58,$C$2:C58,C58)-1),"")</f>
        <v>-</v>
      </c>
      <c r="Z58" s="269" t="str">
        <f>IF(R58=0,"",(S58/VLOOKUP(_xlfn.NUMBERVALUE(_xlfn.CONCAT(LEFT(F58,4),52)),$F$2:T265,COLUMNS($F$2:T265),FALSE)))</f>
        <v/>
      </c>
      <c r="AA58" s="269" t="str">
        <f>IFERROR(IF(R58=0,"",(S58/VLOOKUP(_xlfn.NUMBERVALUE(_xlfn.CONCAT(LEFT(F58,4),52)),$F$2:U265,COLUMNS($F$2:U265),FALSE))),"")</f>
        <v/>
      </c>
      <c r="AB58" s="268" t="str">
        <f t="shared" si="11"/>
        <v/>
      </c>
      <c r="AC58" s="450" t="str">
        <f t="shared" si="12"/>
        <v/>
      </c>
      <c r="AD58" s="450" t="str">
        <f t="shared" si="13"/>
        <v/>
      </c>
      <c r="AE58" s="269" t="str">
        <f t="shared" si="14"/>
        <v/>
      </c>
      <c r="AF58" s="268" t="str">
        <f t="shared" si="15"/>
        <v/>
      </c>
      <c r="AG58" s="450" t="str">
        <f t="shared" si="16"/>
        <v/>
      </c>
      <c r="AH58" s="450" t="str">
        <f t="shared" si="17"/>
        <v/>
      </c>
      <c r="AI58" s="269" t="str">
        <f t="shared" si="18"/>
        <v/>
      </c>
      <c r="AJ58" s="450" t="str">
        <f>IF(O58=0,"-",SUMIFS($O$2:O58,$A$2:A58,$A58,$F$2:F58,"&lt;="&amp;$F58)/SUMIFS($G$2:G58,$A$2:A58,$A58,$F$2:F58,"&lt;="&amp;$F58)-1)</f>
        <v>-</v>
      </c>
      <c r="AK58" s="450" t="str">
        <f>IF(P58=0,"-",SUMIFS($P$2:P58,$A$2:A58,$A58,$F$2:F58,"&lt;="&amp;$F58)/SUMIFS($H$2:H58,$A$2:A58,$A58,$F$2:F58,"&lt;="&amp;$F58)-1)</f>
        <v>-</v>
      </c>
      <c r="AL58" s="450" t="str">
        <f>IF(Q58=0,"-",SUMIFS($Q$2:Q58,$A$2:A58,$A58,$F$2:F58,"&lt;="&amp;$F58)/SUMIFS($I$2:I58,$A$2:A58,$A58,$F$2:F58,"&lt;="&amp;$F58)-1)</f>
        <v>-</v>
      </c>
      <c r="AM58" s="450" t="str">
        <f>IFERROR(IF(O58=0,"-",SUMIFS($O$2:O58,$A$2:A58,$A58,$F$2:F58,"&lt;="&amp;$F58)/SUMIFS($K$2:K58,$A$2:A58,$A58,$F$2:F58,"&lt;="&amp;$F58)-1),"")</f>
        <v>-</v>
      </c>
      <c r="AN58" s="450" t="str">
        <f>IFERROR(IF(P58=0,"-",SUMIFS($P$2:P58,$A$2:A58,$A58,$F$2:F58,"&lt;="&amp;$F58)/SUMIFS($L$2:L58,$A$2:A58,$A58,$F$2:F58,"&lt;="&amp;$F58)-1),"")</f>
        <v>-</v>
      </c>
      <c r="AO58" s="450" t="str">
        <f>IFERROR(IF(Q58=0,"-",SUMIFS($Q$2:Q58,$A$2:A58,$A58,$F$2:F58,"&lt;="&amp;$F58)/SUMIFS($M$2:M58,$A$2:A58,$A58,$F$2:F58,"&lt;="&amp;$F58)-1),"")</f>
        <v>-</v>
      </c>
      <c r="AP58" s="86"/>
      <c r="AQ58" s="452" t="str">
        <f>'Overall Metrics'!AO63</f>
        <v/>
      </c>
      <c r="AR58" s="450" t="str">
        <f t="shared" si="19"/>
        <v/>
      </c>
      <c r="AS58" s="453" t="str">
        <f>IFERROR(IF(R59=0,"-",AVERAGEIFS($AQ$2:AQ58,$A$2:A58,$A58,$F$2:F58,"&lt;="&amp;$F58)-AVERAGEIFS($AP$2:AP58,$A$2:A58,$A58,$F$2:F58,"&lt;="&amp;$F58)),"")</f>
        <v>-</v>
      </c>
      <c r="AT58" s="390" t="str">
        <f>IFERROR(IF(R59=0,"-",AVERAGEIFS($AQ$2:AQ58,$A$2:A58,A58,$C$2:C58,C58)-AVERAGEIFS($AP$2:AP58,$A$2:A58,A58,$C$2:C58,C58)),"")</f>
        <v>-</v>
      </c>
      <c r="AU58" s="79"/>
      <c r="AV58" s="452" t="str">
        <f>'Overall Metrics'!AS63</f>
        <v/>
      </c>
      <c r="AW58" s="450" t="str">
        <f t="shared" si="20"/>
        <v/>
      </c>
      <c r="AX58" s="453" t="str">
        <f>IFERROR(IF(R62=0,"-",AVERAGEIFS($AV$2:AV58,$A$2:A58,$A58,$F$2:F58,"&lt;="&amp;$F58)-AVERAGEIFS($AU$2:AU58,$A$2:A58,$A58,$F$2:F58,"&lt;="&amp;$F58)),"")</f>
        <v>-</v>
      </c>
      <c r="AY58" s="453" t="str">
        <f>IFERROR(IF(R62=0,"-",AVERAGEIFS($AV$2:AV58,$A$2:A58,A58,$C$2:C58,C58)-AVERAGEIFS($AU$2:AU58,$A$2:A58,A58,$C$2:C58,C58)),"")</f>
        <v>-</v>
      </c>
      <c r="AZ58" s="86"/>
      <c r="BA58" s="449">
        <f>'Glass Metrics'!AC63</f>
        <v>0</v>
      </c>
      <c r="BB58" s="450" t="str">
        <f t="shared" si="21"/>
        <v/>
      </c>
      <c r="BC58" s="450" t="str">
        <f>IFERROR(IF(R58=0,"-",AVERAGEIFS($BA$2:BA58,$A$2:A58,$A58,$F$2:F58,"&lt;="&amp;$F58)/AVERAGEIFS($AZ$2:AZ58,$A$2:A58,$A58,$F$2:F58,"&lt;="&amp;$F58)-1),"")</f>
        <v>-</v>
      </c>
      <c r="BD58" s="269" t="str">
        <f>IFERROR(IF(R58=0,"-",AVERAGEIFS($BA$2:BA58,$A$2:A58,A58,$C$2:C58,C58)/AVERAGEIFS($AZ$2:AZ58,$A$2:A58,A58,$C$2:C58,C58)-1),"")</f>
        <v>-</v>
      </c>
    </row>
    <row r="59" spans="1:56" ht="16.350000000000001" customHeight="1">
      <c r="A59" s="175">
        <f t="shared" si="0"/>
        <v>2022</v>
      </c>
      <c r="B59" s="447" t="str">
        <f t="shared" si="1"/>
        <v>06</v>
      </c>
      <c r="C59" s="447" t="str">
        <f t="array" ref="C59">_xlfn.IFS(_xlfn.NUMBERVALUE(B59)&lt;=13,"Q1",AND(_xlfn.NUMBERVALUE(B59)&gt;13,_xlfn.NUMBERVALUE(B59)&lt;=26),"Q2", AND(_xlfn.NUMBERVALUE(B59)&gt;26,_xlfn.NUMBERVALUE(B59)&lt;=39),"Q3",_xlfn.NUMBERVALUE(B59)&gt;39,"Q4")</f>
        <v>Q1</v>
      </c>
      <c r="D59" s="448">
        <f t="shared" si="22"/>
        <v>44261</v>
      </c>
      <c r="E59" s="448">
        <f t="shared" si="2"/>
        <v>44267</v>
      </c>
      <c r="F59" s="79">
        <v>202106</v>
      </c>
      <c r="G59" s="815"/>
      <c r="H59" s="816"/>
      <c r="I59" s="429"/>
      <c r="J59" s="214">
        <f t="shared" si="3"/>
        <v>0</v>
      </c>
      <c r="K59" s="429"/>
      <c r="L59" s="429"/>
      <c r="M59" s="429"/>
      <c r="N59" s="214">
        <f t="shared" si="4"/>
        <v>0</v>
      </c>
      <c r="O59" s="449">
        <f>'Overall Metrics'!L64</f>
        <v>0</v>
      </c>
      <c r="P59" s="449">
        <f>'Overall Metrics'!M64</f>
        <v>0</v>
      </c>
      <c r="Q59" s="449">
        <f>'Overall Metrics'!N64</f>
        <v>0</v>
      </c>
      <c r="R59" s="449">
        <f t="shared" si="5"/>
        <v>0</v>
      </c>
      <c r="S59" s="180">
        <f t="shared" si="6"/>
        <v>0</v>
      </c>
      <c r="T59" s="449">
        <f t="shared" si="7"/>
        <v>0</v>
      </c>
      <c r="U59" s="449">
        <f t="shared" si="8"/>
        <v>0</v>
      </c>
      <c r="V59" s="450" t="str">
        <f t="shared" si="9"/>
        <v/>
      </c>
      <c r="W59" s="450" t="str">
        <f>IF(R59=0,"-",SUMIFS($R$2:R59,$A$2:A59,A59,$C$2:C59,C59)/SUMIFS($J$2:J59,$A$2:A59,A59,$C$2:C59,C59)-1)</f>
        <v>-</v>
      </c>
      <c r="X59" s="450" t="str">
        <f t="shared" si="10"/>
        <v/>
      </c>
      <c r="Y59" s="450" t="str">
        <f>IFERROR(IF(R59=0,"-",SUMIFS($R$2:R59,$A$2:A59,A59,$C$2:C59,C59)/SUMIFS($N$2:N59,$A$2:A59,A59,$C$2:C59,C59)-1),"")</f>
        <v>-</v>
      </c>
      <c r="Z59" s="269" t="str">
        <f>IF(R59=0,"",(S59/VLOOKUP(_xlfn.NUMBERVALUE(_xlfn.CONCAT(LEFT(F59,4),52)),$F$2:T266,COLUMNS($F$2:T266),FALSE)))</f>
        <v/>
      </c>
      <c r="AA59" s="269" t="str">
        <f>IFERROR(IF(R59=0,"",(S59/VLOOKUP(_xlfn.NUMBERVALUE(_xlfn.CONCAT(LEFT(F59,4),52)),$F$2:U266,COLUMNS($F$2:U266),FALSE))),"")</f>
        <v/>
      </c>
      <c r="AB59" s="268" t="str">
        <f t="shared" si="11"/>
        <v/>
      </c>
      <c r="AC59" s="450" t="str">
        <f t="shared" si="12"/>
        <v/>
      </c>
      <c r="AD59" s="450" t="str">
        <f t="shared" si="13"/>
        <v/>
      </c>
      <c r="AE59" s="269" t="str">
        <f t="shared" si="14"/>
        <v/>
      </c>
      <c r="AF59" s="268" t="str">
        <f t="shared" si="15"/>
        <v/>
      </c>
      <c r="AG59" s="450" t="str">
        <f t="shared" si="16"/>
        <v/>
      </c>
      <c r="AH59" s="450" t="str">
        <f t="shared" si="17"/>
        <v/>
      </c>
      <c r="AI59" s="269" t="str">
        <f t="shared" si="18"/>
        <v/>
      </c>
      <c r="AJ59" s="450" t="str">
        <f>IF(O59=0,"-",SUMIFS($O$2:O59,$A$2:A59,$A59,$F$2:F59,"&lt;="&amp;$F59)/SUMIFS($G$2:G59,$A$2:A59,$A59,$F$2:F59,"&lt;="&amp;$F59)-1)</f>
        <v>-</v>
      </c>
      <c r="AK59" s="450" t="str">
        <f>IF(P59=0,"-",SUMIFS($P$2:P59,$A$2:A59,$A59,$F$2:F59,"&lt;="&amp;$F59)/SUMIFS($H$2:H59,$A$2:A59,$A59,$F$2:F59,"&lt;="&amp;$F59)-1)</f>
        <v>-</v>
      </c>
      <c r="AL59" s="450" t="str">
        <f>IF(Q59=0,"-",SUMIFS($Q$2:Q59,$A$2:A59,$A59,$F$2:F59,"&lt;="&amp;$F59)/SUMIFS($I$2:I59,$A$2:A59,$A59,$F$2:F59,"&lt;="&amp;$F59)-1)</f>
        <v>-</v>
      </c>
      <c r="AM59" s="450" t="str">
        <f>IFERROR(IF(O59=0,"-",SUMIFS($O$2:O59,$A$2:A59,$A59,$F$2:F59,"&lt;="&amp;$F59)/SUMIFS($K$2:K59,$A$2:A59,$A59,$F$2:F59,"&lt;="&amp;$F59)-1),"")</f>
        <v>-</v>
      </c>
      <c r="AN59" s="450" t="str">
        <f>IFERROR(IF(P59=0,"-",SUMIFS($P$2:P59,$A$2:A59,$A59,$F$2:F59,"&lt;="&amp;$F59)/SUMIFS($L$2:L59,$A$2:A59,$A59,$F$2:F59,"&lt;="&amp;$F59)-1),"")</f>
        <v>-</v>
      </c>
      <c r="AO59" s="450" t="str">
        <f>IFERROR(IF(Q59=0,"-",SUMIFS($Q$2:Q59,$A$2:A59,$A59,$F$2:F59,"&lt;="&amp;$F59)/SUMIFS($M$2:M59,$A$2:A59,$A59,$F$2:F59,"&lt;="&amp;$F59)-1),"")</f>
        <v>-</v>
      </c>
      <c r="AP59" s="86"/>
      <c r="AQ59" s="452" t="str">
        <f>'Overall Metrics'!AO64</f>
        <v/>
      </c>
      <c r="AR59" s="450" t="str">
        <f t="shared" si="19"/>
        <v/>
      </c>
      <c r="AS59" s="453" t="str">
        <f>IFERROR(IF(R60=0,"-",AVERAGEIFS($AQ$2:AQ59,$A$2:A59,$A59,$F$2:F59,"&lt;="&amp;$F59)-AVERAGEIFS($AP$2:AP59,$A$2:A59,$A59,$F$2:F59,"&lt;="&amp;$F59)),"")</f>
        <v>-</v>
      </c>
      <c r="AT59" s="390" t="str">
        <f>IFERROR(IF(R60=0,"-",AVERAGEIFS($AQ$2:AQ59,$A$2:A59,A59,$C$2:C59,C59)-AVERAGEIFS($AP$2:AP59,$A$2:A59,A59,$C$2:C59,C59)),"")</f>
        <v>-</v>
      </c>
      <c r="AU59" s="79"/>
      <c r="AV59" s="452" t="str">
        <f>'Overall Metrics'!AS64</f>
        <v/>
      </c>
      <c r="AW59" s="450" t="str">
        <f t="shared" si="20"/>
        <v/>
      </c>
      <c r="AX59" s="453" t="str">
        <f>IFERROR(IF(R63=0,"-",AVERAGEIFS($AV$2:AV59,$A$2:A59,$A59,$F$2:F59,"&lt;="&amp;$F59)-AVERAGEIFS($AU$2:AU59,$A$2:A59,$A59,$F$2:F59,"&lt;="&amp;$F59)),"")</f>
        <v>-</v>
      </c>
      <c r="AY59" s="453" t="str">
        <f>IFERROR(IF(R63=0,"-",AVERAGEIFS($AV$2:AV59,$A$2:A59,A59,$C$2:C59,C59)-AVERAGEIFS($AU$2:AU59,$A$2:A59,A59,$C$2:C59,C59)),"")</f>
        <v>-</v>
      </c>
      <c r="AZ59" s="86"/>
      <c r="BA59" s="449">
        <f>'Glass Metrics'!AC64</f>
        <v>0</v>
      </c>
      <c r="BB59" s="450" t="str">
        <f t="shared" si="21"/>
        <v/>
      </c>
      <c r="BC59" s="450" t="str">
        <f>IFERROR(IF(R59=0,"-",AVERAGEIFS($BA$2:BA59,$A$2:A59,$A59,$F$2:F59,"&lt;="&amp;$F59)/AVERAGEIFS($AZ$2:AZ59,$A$2:A59,$A59,$F$2:F59,"&lt;="&amp;$F59)-1),"")</f>
        <v>-</v>
      </c>
      <c r="BD59" s="269" t="str">
        <f>IFERROR(IF(R59=0,"-",AVERAGEIFS($BA$2:BA59,$A$2:A59,A59,$C$2:C59,C59)/AVERAGEIFS($AZ$2:AZ59,$A$2:A59,A59,$C$2:C59,C59)-1),"")</f>
        <v>-</v>
      </c>
    </row>
    <row r="60" spans="1:56" ht="16.350000000000001" customHeight="1">
      <c r="A60" s="175">
        <f t="shared" si="0"/>
        <v>2022</v>
      </c>
      <c r="B60" s="447" t="str">
        <f t="shared" si="1"/>
        <v>07</v>
      </c>
      <c r="C60" s="447" t="str">
        <f t="array" ref="C60">_xlfn.IFS(_xlfn.NUMBERVALUE(B60)&lt;=13,"Q1",AND(_xlfn.NUMBERVALUE(B60)&gt;13,_xlfn.NUMBERVALUE(B60)&lt;=26),"Q2", AND(_xlfn.NUMBERVALUE(B60)&gt;26,_xlfn.NUMBERVALUE(B60)&lt;=39),"Q3",_xlfn.NUMBERVALUE(B60)&gt;39,"Q4")</f>
        <v>Q1</v>
      </c>
      <c r="D60" s="448">
        <f t="shared" si="22"/>
        <v>44268</v>
      </c>
      <c r="E60" s="448">
        <f t="shared" si="2"/>
        <v>44274</v>
      </c>
      <c r="F60" s="79">
        <v>202107</v>
      </c>
      <c r="G60" s="815"/>
      <c r="H60" s="816"/>
      <c r="I60" s="429"/>
      <c r="J60" s="214">
        <f t="shared" si="3"/>
        <v>0</v>
      </c>
      <c r="K60" s="429"/>
      <c r="L60" s="429"/>
      <c r="M60" s="429"/>
      <c r="N60" s="214">
        <f t="shared" si="4"/>
        <v>0</v>
      </c>
      <c r="O60" s="449">
        <f>'Overall Metrics'!L65</f>
        <v>0</v>
      </c>
      <c r="P60" s="449">
        <f>'Overall Metrics'!M65</f>
        <v>0</v>
      </c>
      <c r="Q60" s="449">
        <f>'Overall Metrics'!N65</f>
        <v>0</v>
      </c>
      <c r="R60" s="449">
        <f t="shared" si="5"/>
        <v>0</v>
      </c>
      <c r="S60" s="180">
        <f t="shared" si="6"/>
        <v>0</v>
      </c>
      <c r="T60" s="449">
        <f t="shared" si="7"/>
        <v>0</v>
      </c>
      <c r="U60" s="449">
        <f t="shared" si="8"/>
        <v>0</v>
      </c>
      <c r="V60" s="450" t="str">
        <f t="shared" si="9"/>
        <v/>
      </c>
      <c r="W60" s="450" t="str">
        <f>IF(R60=0,"-",SUMIFS($R$2:R60,$A$2:A60,A60,$C$2:C60,C60)/SUMIFS($J$2:J60,$A$2:A60,A60,$C$2:C60,C60)-1)</f>
        <v>-</v>
      </c>
      <c r="X60" s="450" t="str">
        <f t="shared" si="10"/>
        <v/>
      </c>
      <c r="Y60" s="450" t="str">
        <f>IFERROR(IF(R60=0,"-",SUMIFS($R$2:R60,$A$2:A60,A60,$C$2:C60,C60)/SUMIFS($N$2:N60,$A$2:A60,A60,$C$2:C60,C60)-1),"")</f>
        <v>-</v>
      </c>
      <c r="Z60" s="269" t="str">
        <f>IF(R60=0,"",(S60/VLOOKUP(_xlfn.NUMBERVALUE(_xlfn.CONCAT(LEFT(F60,4),52)),$F$2:T267,COLUMNS($F$2:T267),FALSE)))</f>
        <v/>
      </c>
      <c r="AA60" s="269" t="str">
        <f>IFERROR(IF(R60=0,"",(S60/VLOOKUP(_xlfn.NUMBERVALUE(_xlfn.CONCAT(LEFT(F60,4),52)),$F$2:U267,COLUMNS($F$2:U267),FALSE))),"")</f>
        <v/>
      </c>
      <c r="AB60" s="268" t="str">
        <f t="shared" si="11"/>
        <v/>
      </c>
      <c r="AC60" s="450" t="str">
        <f t="shared" si="12"/>
        <v/>
      </c>
      <c r="AD60" s="450" t="str">
        <f t="shared" si="13"/>
        <v/>
      </c>
      <c r="AE60" s="269" t="str">
        <f t="shared" si="14"/>
        <v/>
      </c>
      <c r="AF60" s="268" t="str">
        <f t="shared" si="15"/>
        <v/>
      </c>
      <c r="AG60" s="450" t="str">
        <f t="shared" si="16"/>
        <v/>
      </c>
      <c r="AH60" s="450" t="str">
        <f t="shared" si="17"/>
        <v/>
      </c>
      <c r="AI60" s="269" t="str">
        <f t="shared" si="18"/>
        <v/>
      </c>
      <c r="AJ60" s="450" t="str">
        <f>IF(O60=0,"-",SUMIFS($O$2:O60,$A$2:A60,$A60,$F$2:F60,"&lt;="&amp;$F60)/SUMIFS($G$2:G60,$A$2:A60,$A60,$F$2:F60,"&lt;="&amp;$F60)-1)</f>
        <v>-</v>
      </c>
      <c r="AK60" s="450" t="str">
        <f>IF(P60=0,"-",SUMIFS($P$2:P60,$A$2:A60,$A60,$F$2:F60,"&lt;="&amp;$F60)/SUMIFS($H$2:H60,$A$2:A60,$A60,$F$2:F60,"&lt;="&amp;$F60)-1)</f>
        <v>-</v>
      </c>
      <c r="AL60" s="450" t="str">
        <f>IF(Q60=0,"-",SUMIFS($Q$2:Q60,$A$2:A60,$A60,$F$2:F60,"&lt;="&amp;$F60)/SUMIFS($I$2:I60,$A$2:A60,$A60,$F$2:F60,"&lt;="&amp;$F60)-1)</f>
        <v>-</v>
      </c>
      <c r="AM60" s="450" t="str">
        <f>IFERROR(IF(O60=0,"-",SUMIFS($O$2:O60,$A$2:A60,$A60,$F$2:F60,"&lt;="&amp;$F60)/SUMIFS($K$2:K60,$A$2:A60,$A60,$F$2:F60,"&lt;="&amp;$F60)-1),"")</f>
        <v>-</v>
      </c>
      <c r="AN60" s="450" t="str">
        <f>IFERROR(IF(P60=0,"-",SUMIFS($P$2:P60,$A$2:A60,$A60,$F$2:F60,"&lt;="&amp;$F60)/SUMIFS($L$2:L60,$A$2:A60,$A60,$F$2:F60,"&lt;="&amp;$F60)-1),"")</f>
        <v>-</v>
      </c>
      <c r="AO60" s="450" t="str">
        <f>IFERROR(IF(Q60=0,"-",SUMIFS($Q$2:Q60,$A$2:A60,$A60,$F$2:F60,"&lt;="&amp;$F60)/SUMIFS($M$2:M60,$A$2:A60,$A60,$F$2:F60,"&lt;="&amp;$F60)-1),"")</f>
        <v>-</v>
      </c>
      <c r="AP60" s="86"/>
      <c r="AQ60" s="452" t="str">
        <f>'Overall Metrics'!AO65</f>
        <v/>
      </c>
      <c r="AR60" s="450" t="str">
        <f t="shared" si="19"/>
        <v/>
      </c>
      <c r="AS60" s="453" t="str">
        <f>IFERROR(IF(R61=0,"-",AVERAGEIFS($AQ$2:AQ60,$A$2:A60,$A60,$F$2:F60,"&lt;="&amp;$F60)-AVERAGEIFS($AP$2:AP60,$A$2:A60,$A60,$F$2:F60,"&lt;="&amp;$F60)),"")</f>
        <v>-</v>
      </c>
      <c r="AT60" s="390" t="str">
        <f>IFERROR(IF(R61=0,"-",AVERAGEIFS($AQ$2:AQ60,$A$2:A60,A60,$C$2:C60,C60)-AVERAGEIFS($AP$2:AP60,$A$2:A60,A60,$C$2:C60,C60)),"")</f>
        <v>-</v>
      </c>
      <c r="AU60" s="79"/>
      <c r="AV60" s="452" t="str">
        <f>'Overall Metrics'!AS65</f>
        <v/>
      </c>
      <c r="AW60" s="450" t="str">
        <f t="shared" si="20"/>
        <v/>
      </c>
      <c r="AX60" s="453" t="str">
        <f>IFERROR(IF(R64=0,"-",AVERAGEIFS($AV$2:AV60,$A$2:A60,$A60,$F$2:F60,"&lt;="&amp;$F60)-AVERAGEIFS($AU$2:AU60,$A$2:A60,$A60,$F$2:F60,"&lt;="&amp;$F60)),"")</f>
        <v>-</v>
      </c>
      <c r="AY60" s="453" t="str">
        <f>IFERROR(IF(R64=0,"-",AVERAGEIFS($AV$2:AV60,$A$2:A60,A60,$C$2:C60,C60)-AVERAGEIFS($AU$2:AU60,$A$2:A60,A60,$C$2:C60,C60)),"")</f>
        <v>-</v>
      </c>
      <c r="AZ60" s="86"/>
      <c r="BA60" s="449">
        <f>'Glass Metrics'!AC65</f>
        <v>0</v>
      </c>
      <c r="BB60" s="450" t="str">
        <f t="shared" si="21"/>
        <v/>
      </c>
      <c r="BC60" s="450" t="str">
        <f>IFERROR(IF(R60=0,"-",AVERAGEIFS($BA$2:BA60,$A$2:A60,$A60,$F$2:F60,"&lt;="&amp;$F60)/AVERAGEIFS($AZ$2:AZ60,$A$2:A60,$A60,$F$2:F60,"&lt;="&amp;$F60)-1),"")</f>
        <v>-</v>
      </c>
      <c r="BD60" s="269" t="str">
        <f>IFERROR(IF(R60=0,"-",AVERAGEIFS($BA$2:BA60,$A$2:A60,A60,$C$2:C60,C60)/AVERAGEIFS($AZ$2:AZ60,$A$2:A60,A60,$C$2:C60,C60)-1),"")</f>
        <v>-</v>
      </c>
    </row>
    <row r="61" spans="1:56" ht="16.350000000000001" customHeight="1">
      <c r="A61" s="175">
        <f t="shared" si="0"/>
        <v>2022</v>
      </c>
      <c r="B61" s="447" t="str">
        <f t="shared" si="1"/>
        <v>08</v>
      </c>
      <c r="C61" s="447" t="str">
        <f t="array" ref="C61">_xlfn.IFS(_xlfn.NUMBERVALUE(B61)&lt;=13,"Q1",AND(_xlfn.NUMBERVALUE(B61)&gt;13,_xlfn.NUMBERVALUE(B61)&lt;=26),"Q2", AND(_xlfn.NUMBERVALUE(B61)&gt;26,_xlfn.NUMBERVALUE(B61)&lt;=39),"Q3",_xlfn.NUMBERVALUE(B61)&gt;39,"Q4")</f>
        <v>Q1</v>
      </c>
      <c r="D61" s="448">
        <f t="shared" si="22"/>
        <v>44275</v>
      </c>
      <c r="E61" s="448">
        <f t="shared" si="2"/>
        <v>44281</v>
      </c>
      <c r="F61" s="79">
        <v>202108</v>
      </c>
      <c r="G61" s="815"/>
      <c r="H61" s="816"/>
      <c r="I61" s="429"/>
      <c r="J61" s="214">
        <f t="shared" si="3"/>
        <v>0</v>
      </c>
      <c r="K61" s="429"/>
      <c r="L61" s="429"/>
      <c r="M61" s="429"/>
      <c r="N61" s="214">
        <f t="shared" si="4"/>
        <v>0</v>
      </c>
      <c r="O61" s="449">
        <f>'Overall Metrics'!L66</f>
        <v>0</v>
      </c>
      <c r="P61" s="449">
        <f>'Overall Metrics'!M66</f>
        <v>0</v>
      </c>
      <c r="Q61" s="449">
        <f>'Overall Metrics'!N66</f>
        <v>0</v>
      </c>
      <c r="R61" s="449">
        <f t="shared" si="5"/>
        <v>0</v>
      </c>
      <c r="S61" s="180">
        <f t="shared" si="6"/>
        <v>0</v>
      </c>
      <c r="T61" s="449">
        <f t="shared" si="7"/>
        <v>0</v>
      </c>
      <c r="U61" s="449">
        <f t="shared" si="8"/>
        <v>0</v>
      </c>
      <c r="V61" s="450" t="str">
        <f t="shared" si="9"/>
        <v/>
      </c>
      <c r="W61" s="450" t="str">
        <f>IF(R61=0,"-",SUMIFS($R$2:R61,$A$2:A61,A61,$C$2:C61,C61)/SUMIFS($J$2:J61,$A$2:A61,A61,$C$2:C61,C61)-1)</f>
        <v>-</v>
      </c>
      <c r="X61" s="450" t="str">
        <f t="shared" si="10"/>
        <v/>
      </c>
      <c r="Y61" s="450" t="str">
        <f>IFERROR(IF(R61=0,"-",SUMIFS($R$2:R61,$A$2:A61,A61,$C$2:C61,C61)/SUMIFS($N$2:N61,$A$2:A61,A61,$C$2:C61,C61)-1),"")</f>
        <v>-</v>
      </c>
      <c r="Z61" s="269" t="str">
        <f>IF(R61=0,"",(S61/VLOOKUP(_xlfn.NUMBERVALUE(_xlfn.CONCAT(LEFT(F61,4),52)),$F$2:T268,COLUMNS($F$2:T268),FALSE)))</f>
        <v/>
      </c>
      <c r="AA61" s="269" t="str">
        <f>IFERROR(IF(R61=0,"",(S61/VLOOKUP(_xlfn.NUMBERVALUE(_xlfn.CONCAT(LEFT(F61,4),52)),$F$2:U268,COLUMNS($F$2:U268),FALSE))),"")</f>
        <v/>
      </c>
      <c r="AB61" s="268" t="str">
        <f t="shared" si="11"/>
        <v/>
      </c>
      <c r="AC61" s="450" t="str">
        <f t="shared" si="12"/>
        <v/>
      </c>
      <c r="AD61" s="450" t="str">
        <f t="shared" si="13"/>
        <v/>
      </c>
      <c r="AE61" s="269" t="str">
        <f t="shared" si="14"/>
        <v/>
      </c>
      <c r="AF61" s="268" t="str">
        <f t="shared" si="15"/>
        <v/>
      </c>
      <c r="AG61" s="450" t="str">
        <f t="shared" si="16"/>
        <v/>
      </c>
      <c r="AH61" s="450" t="str">
        <f t="shared" si="17"/>
        <v/>
      </c>
      <c r="AI61" s="269" t="str">
        <f t="shared" si="18"/>
        <v/>
      </c>
      <c r="AJ61" s="450" t="str">
        <f>IF(O61=0,"-",SUMIFS($O$2:O61,$A$2:A61,$A61,$F$2:F61,"&lt;="&amp;$F61)/SUMIFS($G$2:G61,$A$2:A61,$A61,$F$2:F61,"&lt;="&amp;$F61)-1)</f>
        <v>-</v>
      </c>
      <c r="AK61" s="450" t="str">
        <f>IF(P61=0,"-",SUMIFS($P$2:P61,$A$2:A61,$A61,$F$2:F61,"&lt;="&amp;$F61)/SUMIFS($H$2:H61,$A$2:A61,$A61,$F$2:F61,"&lt;="&amp;$F61)-1)</f>
        <v>-</v>
      </c>
      <c r="AL61" s="450" t="str">
        <f>IF(Q61=0,"-",SUMIFS($Q$2:Q61,$A$2:A61,$A61,$F$2:F61,"&lt;="&amp;$F61)/SUMIFS($I$2:I61,$A$2:A61,$A61,$F$2:F61,"&lt;="&amp;$F61)-1)</f>
        <v>-</v>
      </c>
      <c r="AM61" s="450" t="str">
        <f>IFERROR(IF(O61=0,"-",SUMIFS($O$2:O61,$A$2:A61,$A61,$F$2:F61,"&lt;="&amp;$F61)/SUMIFS($K$2:K61,$A$2:A61,$A61,$F$2:F61,"&lt;="&amp;$F61)-1),"")</f>
        <v>-</v>
      </c>
      <c r="AN61" s="450" t="str">
        <f>IFERROR(IF(P61=0,"-",SUMIFS($P$2:P61,$A$2:A61,$A61,$F$2:F61,"&lt;="&amp;$F61)/SUMIFS($L$2:L61,$A$2:A61,$A61,$F$2:F61,"&lt;="&amp;$F61)-1),"")</f>
        <v>-</v>
      </c>
      <c r="AO61" s="450" t="str">
        <f>IFERROR(IF(Q61=0,"-",SUMIFS($Q$2:Q61,$A$2:A61,$A61,$F$2:F61,"&lt;="&amp;$F61)/SUMIFS($M$2:M61,$A$2:A61,$A61,$F$2:F61,"&lt;="&amp;$F61)-1),"")</f>
        <v>-</v>
      </c>
      <c r="AP61" s="86"/>
      <c r="AQ61" s="452" t="str">
        <f>'Overall Metrics'!AO66</f>
        <v/>
      </c>
      <c r="AR61" s="450" t="str">
        <f t="shared" si="19"/>
        <v/>
      </c>
      <c r="AS61" s="453" t="str">
        <f>IFERROR(IF(R62=0,"-",AVERAGEIFS($AQ$2:AQ61,$A$2:A61,$A61,$F$2:F61,"&lt;="&amp;$F61)-AVERAGEIFS($AP$2:AP61,$A$2:A61,$A61,$F$2:F61,"&lt;="&amp;$F61)),"")</f>
        <v>-</v>
      </c>
      <c r="AT61" s="390" t="str">
        <f>IFERROR(IF(R62=0,"-",AVERAGEIFS($AQ$2:AQ61,$A$2:A61,A61,$C$2:C61,C61)-AVERAGEIFS($AP$2:AP61,$A$2:A61,A61,$C$2:C61,C61)),"")</f>
        <v>-</v>
      </c>
      <c r="AU61" s="79"/>
      <c r="AV61" s="452" t="str">
        <f>'Overall Metrics'!AS66</f>
        <v/>
      </c>
      <c r="AW61" s="450" t="str">
        <f t="shared" si="20"/>
        <v/>
      </c>
      <c r="AX61" s="453" t="str">
        <f>IFERROR(IF(R65=0,"-",AVERAGEIFS($AV$2:AV61,$A$2:A61,$A61,$F$2:F61,"&lt;="&amp;$F61)-AVERAGEIFS($AU$2:AU61,$A$2:A61,$A61,$F$2:F61,"&lt;="&amp;$F61)),"")</f>
        <v>-</v>
      </c>
      <c r="AY61" s="453" t="str">
        <f>IFERROR(IF(R65=0,"-",AVERAGEIFS($AV$2:AV61,$A$2:A61,A61,$C$2:C61,C61)-AVERAGEIFS($AU$2:AU61,$A$2:A61,A61,$C$2:C61,C61)),"")</f>
        <v>-</v>
      </c>
      <c r="AZ61" s="86"/>
      <c r="BA61" s="449">
        <f>'Glass Metrics'!AC66</f>
        <v>0</v>
      </c>
      <c r="BB61" s="450" t="str">
        <f t="shared" si="21"/>
        <v/>
      </c>
      <c r="BC61" s="450" t="str">
        <f>IFERROR(IF(R61=0,"-",AVERAGEIFS($BA$2:BA61,$A$2:A61,$A61,$F$2:F61,"&lt;="&amp;$F61)/AVERAGEIFS($AZ$2:AZ61,$A$2:A61,$A61,$F$2:F61,"&lt;="&amp;$F61)-1),"")</f>
        <v>-</v>
      </c>
      <c r="BD61" s="269" t="str">
        <f>IFERROR(IF(R61=0,"-",AVERAGEIFS($BA$2:BA61,$A$2:A61,A61,$C$2:C61,C61)/AVERAGEIFS($AZ$2:AZ61,$A$2:A61,A61,$C$2:C61,C61)-1),"")</f>
        <v>-</v>
      </c>
    </row>
    <row r="62" spans="1:56" ht="16.350000000000001" customHeight="1">
      <c r="A62" s="175">
        <f t="shared" si="0"/>
        <v>2022</v>
      </c>
      <c r="B62" s="447" t="str">
        <f t="shared" si="1"/>
        <v>09</v>
      </c>
      <c r="C62" s="447" t="str">
        <f t="array" ref="C62">_xlfn.IFS(_xlfn.NUMBERVALUE(B62)&lt;=13,"Q1",AND(_xlfn.NUMBERVALUE(B62)&gt;13,_xlfn.NUMBERVALUE(B62)&lt;=26),"Q2", AND(_xlfn.NUMBERVALUE(B62)&gt;26,_xlfn.NUMBERVALUE(B62)&lt;=39),"Q3",_xlfn.NUMBERVALUE(B62)&gt;39,"Q4")</f>
        <v>Q1</v>
      </c>
      <c r="D62" s="448">
        <f t="shared" si="22"/>
        <v>44282</v>
      </c>
      <c r="E62" s="448">
        <f t="shared" si="2"/>
        <v>44288</v>
      </c>
      <c r="F62" s="79">
        <v>202109</v>
      </c>
      <c r="G62" s="815"/>
      <c r="H62" s="816"/>
      <c r="I62" s="429"/>
      <c r="J62" s="214">
        <f t="shared" si="3"/>
        <v>0</v>
      </c>
      <c r="K62" s="429"/>
      <c r="L62" s="429"/>
      <c r="M62" s="429"/>
      <c r="N62" s="214">
        <f t="shared" si="4"/>
        <v>0</v>
      </c>
      <c r="O62" s="449">
        <f>'Overall Metrics'!L67</f>
        <v>0</v>
      </c>
      <c r="P62" s="449">
        <f>'Overall Metrics'!M67</f>
        <v>0</v>
      </c>
      <c r="Q62" s="449">
        <f>'Overall Metrics'!N67</f>
        <v>0</v>
      </c>
      <c r="R62" s="449">
        <f t="shared" si="5"/>
        <v>0</v>
      </c>
      <c r="S62" s="180">
        <f t="shared" si="6"/>
        <v>0</v>
      </c>
      <c r="T62" s="449">
        <f t="shared" si="7"/>
        <v>0</v>
      </c>
      <c r="U62" s="449">
        <f t="shared" si="8"/>
        <v>0</v>
      </c>
      <c r="V62" s="450" t="str">
        <f t="shared" si="9"/>
        <v/>
      </c>
      <c r="W62" s="450" t="str">
        <f>IF(R62=0,"-",SUMIFS($R$2:R62,$A$2:A62,A62,$C$2:C62,C62)/SUMIFS($J$2:J62,$A$2:A62,A62,$C$2:C62,C62)-1)</f>
        <v>-</v>
      </c>
      <c r="X62" s="450" t="str">
        <f t="shared" si="10"/>
        <v/>
      </c>
      <c r="Y62" s="450" t="str">
        <f>IFERROR(IF(R62=0,"-",SUMIFS($R$2:R62,$A$2:A62,A62,$C$2:C62,C62)/SUMIFS($N$2:N62,$A$2:A62,A62,$C$2:C62,C62)-1),"")</f>
        <v>-</v>
      </c>
      <c r="Z62" s="269" t="str">
        <f>IF(R62=0,"",(S62/VLOOKUP(_xlfn.NUMBERVALUE(_xlfn.CONCAT(LEFT(F62,4),52)),$F$2:T269,COLUMNS($F$2:T269),FALSE)))</f>
        <v/>
      </c>
      <c r="AA62" s="269" t="str">
        <f>IFERROR(IF(R62=0,"",(S62/VLOOKUP(_xlfn.NUMBERVALUE(_xlfn.CONCAT(LEFT(F62,4),52)),$F$2:U269,COLUMNS($F$2:U269),FALSE))),"")</f>
        <v/>
      </c>
      <c r="AB62" s="268" t="str">
        <f t="shared" si="11"/>
        <v/>
      </c>
      <c r="AC62" s="450" t="str">
        <f t="shared" si="12"/>
        <v/>
      </c>
      <c r="AD62" s="450" t="str">
        <f t="shared" si="13"/>
        <v/>
      </c>
      <c r="AE62" s="269" t="str">
        <f t="shared" si="14"/>
        <v/>
      </c>
      <c r="AF62" s="268" t="str">
        <f t="shared" si="15"/>
        <v/>
      </c>
      <c r="AG62" s="450" t="str">
        <f t="shared" si="16"/>
        <v/>
      </c>
      <c r="AH62" s="450" t="str">
        <f t="shared" si="17"/>
        <v/>
      </c>
      <c r="AI62" s="269" t="str">
        <f t="shared" si="18"/>
        <v/>
      </c>
      <c r="AJ62" s="450" t="str">
        <f>IF(O62=0,"-",SUMIFS($O$2:O62,$A$2:A62,$A62,$F$2:F62,"&lt;="&amp;$F62)/SUMIFS($G$2:G62,$A$2:A62,$A62,$F$2:F62,"&lt;="&amp;$F62)-1)</f>
        <v>-</v>
      </c>
      <c r="AK62" s="450" t="str">
        <f>IF(P62=0,"-",SUMIFS($P$2:P62,$A$2:A62,$A62,$F$2:F62,"&lt;="&amp;$F62)/SUMIFS($H$2:H62,$A$2:A62,$A62,$F$2:F62,"&lt;="&amp;$F62)-1)</f>
        <v>-</v>
      </c>
      <c r="AL62" s="450" t="str">
        <f>IF(Q62=0,"-",SUMIFS($Q$2:Q62,$A$2:A62,$A62,$F$2:F62,"&lt;="&amp;$F62)/SUMIFS($I$2:I62,$A$2:A62,$A62,$F$2:F62,"&lt;="&amp;$F62)-1)</f>
        <v>-</v>
      </c>
      <c r="AM62" s="450" t="str">
        <f>IFERROR(IF(O62=0,"-",SUMIFS($O$2:O62,$A$2:A62,$A62,$F$2:F62,"&lt;="&amp;$F62)/SUMIFS($K$2:K62,$A$2:A62,$A62,$F$2:F62,"&lt;="&amp;$F62)-1),"")</f>
        <v>-</v>
      </c>
      <c r="AN62" s="450" t="str">
        <f>IFERROR(IF(P62=0,"-",SUMIFS($P$2:P62,$A$2:A62,$A62,$F$2:F62,"&lt;="&amp;$F62)/SUMIFS($L$2:L62,$A$2:A62,$A62,$F$2:F62,"&lt;="&amp;$F62)-1),"")</f>
        <v>-</v>
      </c>
      <c r="AO62" s="450" t="str">
        <f>IFERROR(IF(Q62=0,"-",SUMIFS($Q$2:Q62,$A$2:A62,$A62,$F$2:F62,"&lt;="&amp;$F62)/SUMIFS($M$2:M62,$A$2:A62,$A62,$F$2:F62,"&lt;="&amp;$F62)-1),"")</f>
        <v>-</v>
      </c>
      <c r="AP62" s="86"/>
      <c r="AQ62" s="452" t="str">
        <f>'Overall Metrics'!AO67</f>
        <v/>
      </c>
      <c r="AR62" s="450" t="str">
        <f t="shared" si="19"/>
        <v/>
      </c>
      <c r="AS62" s="453" t="str">
        <f>IFERROR(IF(R63=0,"-",AVERAGEIFS($AQ$2:AQ62,$A$2:A62,$A62,$F$2:F62,"&lt;="&amp;$F62)-AVERAGEIFS($AP$2:AP62,$A$2:A62,$A62,$F$2:F62,"&lt;="&amp;$F62)),"")</f>
        <v>-</v>
      </c>
      <c r="AT62" s="390" t="str">
        <f>IFERROR(IF(R63=0,"-",AVERAGEIFS($AQ$2:AQ62,$A$2:A62,A62,$C$2:C62,C62)-AVERAGEIFS($AP$2:AP62,$A$2:A62,A62,$C$2:C62,C62)),"")</f>
        <v>-</v>
      </c>
      <c r="AU62" s="79"/>
      <c r="AV62" s="452" t="str">
        <f>'Overall Metrics'!AS67</f>
        <v/>
      </c>
      <c r="AW62" s="450" t="str">
        <f t="shared" si="20"/>
        <v/>
      </c>
      <c r="AX62" s="453" t="str">
        <f>IFERROR(IF(R66=0,"-",AVERAGEIFS($AV$2:AV62,$A$2:A62,$A62,$F$2:F62,"&lt;="&amp;$F62)-AVERAGEIFS($AU$2:AU62,$A$2:A62,$A62,$F$2:F62,"&lt;="&amp;$F62)),"")</f>
        <v>-</v>
      </c>
      <c r="AY62" s="453" t="str">
        <f>IFERROR(IF(R66=0,"-",AVERAGEIFS($AV$2:AV62,$A$2:A62,A62,$C$2:C62,C62)-AVERAGEIFS($AU$2:AU62,$A$2:A62,A62,$C$2:C62,C62)),"")</f>
        <v>-</v>
      </c>
      <c r="AZ62" s="86"/>
      <c r="BA62" s="449">
        <f>'Glass Metrics'!AC67</f>
        <v>0</v>
      </c>
      <c r="BB62" s="450" t="str">
        <f t="shared" si="21"/>
        <v/>
      </c>
      <c r="BC62" s="450" t="str">
        <f>IFERROR(IF(R62=0,"-",AVERAGEIFS($BA$2:BA62,$A$2:A62,$A62,$F$2:F62,"&lt;="&amp;$F62)/AVERAGEIFS($AZ$2:AZ62,$A$2:A62,$A62,$F$2:F62,"&lt;="&amp;$F62)-1),"")</f>
        <v>-</v>
      </c>
      <c r="BD62" s="269" t="str">
        <f>IFERROR(IF(R62=0,"-",AVERAGEIFS($BA$2:BA62,$A$2:A62,A62,$C$2:C62,C62)/AVERAGEIFS($AZ$2:AZ62,$A$2:A62,A62,$C$2:C62,C62)-1),"")</f>
        <v>-</v>
      </c>
    </row>
    <row r="63" spans="1:56" ht="16.350000000000001" customHeight="1">
      <c r="A63" s="175">
        <f t="shared" si="0"/>
        <v>2022</v>
      </c>
      <c r="B63" s="447" t="str">
        <f t="shared" si="1"/>
        <v>10</v>
      </c>
      <c r="C63" s="447" t="str">
        <f t="array" ref="C63">_xlfn.IFS(_xlfn.NUMBERVALUE(B63)&lt;=13,"Q1",AND(_xlfn.NUMBERVALUE(B63)&gt;13,_xlfn.NUMBERVALUE(B63)&lt;=26),"Q2", AND(_xlfn.NUMBERVALUE(B63)&gt;26,_xlfn.NUMBERVALUE(B63)&lt;=39),"Q3",_xlfn.NUMBERVALUE(B63)&gt;39,"Q4")</f>
        <v>Q1</v>
      </c>
      <c r="D63" s="448">
        <f t="shared" si="22"/>
        <v>44289</v>
      </c>
      <c r="E63" s="448">
        <f t="shared" si="2"/>
        <v>44295</v>
      </c>
      <c r="F63" s="79">
        <v>202110</v>
      </c>
      <c r="G63" s="815"/>
      <c r="H63" s="816"/>
      <c r="I63" s="429"/>
      <c r="J63" s="214">
        <f t="shared" si="3"/>
        <v>0</v>
      </c>
      <c r="K63" s="429"/>
      <c r="L63" s="429"/>
      <c r="M63" s="429"/>
      <c r="N63" s="214">
        <f t="shared" si="4"/>
        <v>0</v>
      </c>
      <c r="O63" s="449">
        <f>'Overall Metrics'!L68</f>
        <v>0</v>
      </c>
      <c r="P63" s="449">
        <f>'Overall Metrics'!M68</f>
        <v>0</v>
      </c>
      <c r="Q63" s="449">
        <f>'Overall Metrics'!N68</f>
        <v>0</v>
      </c>
      <c r="R63" s="449">
        <f t="shared" si="5"/>
        <v>0</v>
      </c>
      <c r="S63" s="180">
        <f t="shared" si="6"/>
        <v>0</v>
      </c>
      <c r="T63" s="449">
        <f t="shared" si="7"/>
        <v>0</v>
      </c>
      <c r="U63" s="449">
        <f t="shared" si="8"/>
        <v>0</v>
      </c>
      <c r="V63" s="450" t="str">
        <f t="shared" si="9"/>
        <v/>
      </c>
      <c r="W63" s="450" t="str">
        <f>IF(R63=0,"-",SUMIFS($R$2:R63,$A$2:A63,A63,$C$2:C63,C63)/SUMIFS($J$2:J63,$A$2:A63,A63,$C$2:C63,C63)-1)</f>
        <v>-</v>
      </c>
      <c r="X63" s="450" t="str">
        <f t="shared" si="10"/>
        <v/>
      </c>
      <c r="Y63" s="450" t="str">
        <f>IFERROR(IF(R63=0,"-",SUMIFS($R$2:R63,$A$2:A63,A63,$C$2:C63,C63)/SUMIFS($N$2:N63,$A$2:A63,A63,$C$2:C63,C63)-1),"")</f>
        <v>-</v>
      </c>
      <c r="Z63" s="269" t="str">
        <f>IF(R63=0,"",(S63/VLOOKUP(_xlfn.NUMBERVALUE(_xlfn.CONCAT(LEFT(F63,4),52)),$F$2:T270,COLUMNS($F$2:T270),FALSE)))</f>
        <v/>
      </c>
      <c r="AA63" s="269" t="str">
        <f>IFERROR(IF(R63=0,"",(S63/VLOOKUP(_xlfn.NUMBERVALUE(_xlfn.CONCAT(LEFT(F63,4),52)),$F$2:U270,COLUMNS($F$2:U270),FALSE))),"")</f>
        <v/>
      </c>
      <c r="AB63" s="268" t="str">
        <f t="shared" si="11"/>
        <v/>
      </c>
      <c r="AC63" s="450" t="str">
        <f t="shared" si="12"/>
        <v/>
      </c>
      <c r="AD63" s="450" t="str">
        <f t="shared" si="13"/>
        <v/>
      </c>
      <c r="AE63" s="269" t="str">
        <f t="shared" si="14"/>
        <v/>
      </c>
      <c r="AF63" s="268" t="str">
        <f t="shared" si="15"/>
        <v/>
      </c>
      <c r="AG63" s="450" t="str">
        <f t="shared" si="16"/>
        <v/>
      </c>
      <c r="AH63" s="450" t="str">
        <f t="shared" si="17"/>
        <v/>
      </c>
      <c r="AI63" s="269" t="str">
        <f t="shared" si="18"/>
        <v/>
      </c>
      <c r="AJ63" s="450" t="str">
        <f>IF(O63=0,"-",SUMIFS($O$2:O63,$A$2:A63,$A63,$F$2:F63,"&lt;="&amp;$F63)/SUMIFS($G$2:G63,$A$2:A63,$A63,$F$2:F63,"&lt;="&amp;$F63)-1)</f>
        <v>-</v>
      </c>
      <c r="AK63" s="450" t="str">
        <f>IF(P63=0,"-",SUMIFS($P$2:P63,$A$2:A63,$A63,$F$2:F63,"&lt;="&amp;$F63)/SUMIFS($H$2:H63,$A$2:A63,$A63,$F$2:F63,"&lt;="&amp;$F63)-1)</f>
        <v>-</v>
      </c>
      <c r="AL63" s="450" t="str">
        <f>IF(Q63=0,"-",SUMIFS($Q$2:Q63,$A$2:A63,$A63,$F$2:F63,"&lt;="&amp;$F63)/SUMIFS($I$2:I63,$A$2:A63,$A63,$F$2:F63,"&lt;="&amp;$F63)-1)</f>
        <v>-</v>
      </c>
      <c r="AM63" s="450" t="str">
        <f>IFERROR(IF(O63=0,"-",SUMIFS($O$2:O63,$A$2:A63,$A63,$F$2:F63,"&lt;="&amp;$F63)/SUMIFS($K$2:K63,$A$2:A63,$A63,$F$2:F63,"&lt;="&amp;$F63)-1),"")</f>
        <v>-</v>
      </c>
      <c r="AN63" s="450" t="str">
        <f>IFERROR(IF(P63=0,"-",SUMIFS($P$2:P63,$A$2:A63,$A63,$F$2:F63,"&lt;="&amp;$F63)/SUMIFS($L$2:L63,$A$2:A63,$A63,$F$2:F63,"&lt;="&amp;$F63)-1),"")</f>
        <v>-</v>
      </c>
      <c r="AO63" s="450" t="str">
        <f>IFERROR(IF(Q63=0,"-",SUMIFS($Q$2:Q63,$A$2:A63,$A63,$F$2:F63,"&lt;="&amp;$F63)/SUMIFS($M$2:M63,$A$2:A63,$A63,$F$2:F63,"&lt;="&amp;$F63)-1),"")</f>
        <v>-</v>
      </c>
      <c r="AP63" s="86"/>
      <c r="AQ63" s="452" t="str">
        <f>'Overall Metrics'!AO68</f>
        <v/>
      </c>
      <c r="AR63" s="450" t="str">
        <f t="shared" si="19"/>
        <v/>
      </c>
      <c r="AS63" s="453" t="str">
        <f>IFERROR(IF(R64=0,"-",AVERAGEIFS($AQ$2:AQ63,$A$2:A63,$A63,$F$2:F63,"&lt;="&amp;$F63)-AVERAGEIFS($AP$2:AP63,$A$2:A63,$A63,$F$2:F63,"&lt;="&amp;$F63)),"")</f>
        <v>-</v>
      </c>
      <c r="AT63" s="390" t="str">
        <f>IFERROR(IF(R64=0,"-",AVERAGEIFS($AQ$2:AQ63,$A$2:A63,A63,$C$2:C63,C63)-AVERAGEIFS($AP$2:AP63,$A$2:A63,A63,$C$2:C63,C63)),"")</f>
        <v>-</v>
      </c>
      <c r="AU63" s="79"/>
      <c r="AV63" s="452" t="str">
        <f>'Overall Metrics'!AS68</f>
        <v/>
      </c>
      <c r="AW63" s="450" t="str">
        <f t="shared" si="20"/>
        <v/>
      </c>
      <c r="AX63" s="453" t="str">
        <f>IFERROR(IF(R67=0,"-",AVERAGEIFS($AV$2:AV63,$A$2:A63,$A63,$F$2:F63,"&lt;="&amp;$F63)-AVERAGEIFS($AU$2:AU63,$A$2:A63,$A63,$F$2:F63,"&lt;="&amp;$F63)),"")</f>
        <v>-</v>
      </c>
      <c r="AY63" s="453" t="str">
        <f>IFERROR(IF(R67=0,"-",AVERAGEIFS($AV$2:AV63,$A$2:A63,A63,$C$2:C63,C63)-AVERAGEIFS($AU$2:AU63,$A$2:A63,A63,$C$2:C63,C63)),"")</f>
        <v>-</v>
      </c>
      <c r="AZ63" s="86"/>
      <c r="BA63" s="449">
        <f>'Glass Metrics'!AC68</f>
        <v>0</v>
      </c>
      <c r="BB63" s="450" t="str">
        <f t="shared" si="21"/>
        <v/>
      </c>
      <c r="BC63" s="450" t="str">
        <f>IFERROR(IF(R63=0,"-",AVERAGEIFS($BA$2:BA63,$A$2:A63,$A63,$F$2:F63,"&lt;="&amp;$F63)/AVERAGEIFS($AZ$2:AZ63,$A$2:A63,$A63,$F$2:F63,"&lt;="&amp;$F63)-1),"")</f>
        <v>-</v>
      </c>
      <c r="BD63" s="269" t="str">
        <f>IFERROR(IF(R63=0,"-",AVERAGEIFS($BA$2:BA63,$A$2:A63,A63,$C$2:C63,C63)/AVERAGEIFS($AZ$2:AZ63,$A$2:A63,A63,$C$2:C63,C63)-1),"")</f>
        <v>-</v>
      </c>
    </row>
    <row r="64" spans="1:56" ht="16.350000000000001" customHeight="1">
      <c r="A64" s="175">
        <f t="shared" si="0"/>
        <v>2022</v>
      </c>
      <c r="B64" s="447" t="str">
        <f t="shared" si="1"/>
        <v>11</v>
      </c>
      <c r="C64" s="447" t="str">
        <f t="array" ref="C64">_xlfn.IFS(_xlfn.NUMBERVALUE(B64)&lt;=13,"Q1",AND(_xlfn.NUMBERVALUE(B64)&gt;13,_xlfn.NUMBERVALUE(B64)&lt;=26),"Q2", AND(_xlfn.NUMBERVALUE(B64)&gt;26,_xlfn.NUMBERVALUE(B64)&lt;=39),"Q3",_xlfn.NUMBERVALUE(B64)&gt;39,"Q4")</f>
        <v>Q1</v>
      </c>
      <c r="D64" s="448">
        <f t="shared" si="22"/>
        <v>44296</v>
      </c>
      <c r="E64" s="448">
        <f t="shared" si="2"/>
        <v>44302</v>
      </c>
      <c r="F64" s="79">
        <v>202111</v>
      </c>
      <c r="G64" s="815"/>
      <c r="H64" s="816"/>
      <c r="I64" s="429"/>
      <c r="J64" s="214">
        <f t="shared" si="3"/>
        <v>0</v>
      </c>
      <c r="K64" s="429"/>
      <c r="L64" s="429"/>
      <c r="M64" s="429"/>
      <c r="N64" s="214">
        <f t="shared" si="4"/>
        <v>0</v>
      </c>
      <c r="O64" s="449">
        <f>'Overall Metrics'!L69</f>
        <v>0</v>
      </c>
      <c r="P64" s="449">
        <f>'Overall Metrics'!M69</f>
        <v>0</v>
      </c>
      <c r="Q64" s="449">
        <f>'Overall Metrics'!N69</f>
        <v>0</v>
      </c>
      <c r="R64" s="449">
        <f t="shared" si="5"/>
        <v>0</v>
      </c>
      <c r="S64" s="180">
        <f t="shared" si="6"/>
        <v>0</v>
      </c>
      <c r="T64" s="449">
        <f t="shared" si="7"/>
        <v>0</v>
      </c>
      <c r="U64" s="449">
        <f t="shared" si="8"/>
        <v>0</v>
      </c>
      <c r="V64" s="450" t="str">
        <f t="shared" si="9"/>
        <v/>
      </c>
      <c r="W64" s="450" t="str">
        <f>IF(R64=0,"-",SUMIFS($R$2:R64,$A$2:A64,A64,$C$2:C64,C64)/SUMIFS($J$2:J64,$A$2:A64,A64,$C$2:C64,C64)-1)</f>
        <v>-</v>
      </c>
      <c r="X64" s="450" t="str">
        <f t="shared" si="10"/>
        <v/>
      </c>
      <c r="Y64" s="450" t="str">
        <f>IFERROR(IF(R64=0,"-",SUMIFS($R$2:R64,$A$2:A64,A64,$C$2:C64,C64)/SUMIFS($N$2:N64,$A$2:A64,A64,$C$2:C64,C64)-1),"")</f>
        <v>-</v>
      </c>
      <c r="Z64" s="269" t="str">
        <f>IF(R64=0,"",(S64/VLOOKUP(_xlfn.NUMBERVALUE(_xlfn.CONCAT(LEFT(F64,4),52)),$F$2:T271,COLUMNS($F$2:T271),FALSE)))</f>
        <v/>
      </c>
      <c r="AA64" s="269" t="str">
        <f>IFERROR(IF(R64=0,"",(S64/VLOOKUP(_xlfn.NUMBERVALUE(_xlfn.CONCAT(LEFT(F64,4),52)),$F$2:U271,COLUMNS($F$2:U271),FALSE))),"")</f>
        <v/>
      </c>
      <c r="AB64" s="268" t="str">
        <f t="shared" si="11"/>
        <v/>
      </c>
      <c r="AC64" s="450" t="str">
        <f t="shared" si="12"/>
        <v/>
      </c>
      <c r="AD64" s="450" t="str">
        <f t="shared" si="13"/>
        <v/>
      </c>
      <c r="AE64" s="269" t="str">
        <f t="shared" si="14"/>
        <v/>
      </c>
      <c r="AF64" s="268" t="str">
        <f t="shared" si="15"/>
        <v/>
      </c>
      <c r="AG64" s="450" t="str">
        <f t="shared" si="16"/>
        <v/>
      </c>
      <c r="AH64" s="450" t="str">
        <f t="shared" si="17"/>
        <v/>
      </c>
      <c r="AI64" s="269" t="str">
        <f t="shared" si="18"/>
        <v/>
      </c>
      <c r="AJ64" s="450" t="str">
        <f>IF(O64=0,"-",SUMIFS($O$2:O64,$A$2:A64,$A64,$F$2:F64,"&lt;="&amp;$F64)/SUMIFS($G$2:G64,$A$2:A64,$A64,$F$2:F64,"&lt;="&amp;$F64)-1)</f>
        <v>-</v>
      </c>
      <c r="AK64" s="450" t="str">
        <f>IF(P64=0,"-",SUMIFS($P$2:P64,$A$2:A64,$A64,$F$2:F64,"&lt;="&amp;$F64)/SUMIFS($H$2:H64,$A$2:A64,$A64,$F$2:F64,"&lt;="&amp;$F64)-1)</f>
        <v>-</v>
      </c>
      <c r="AL64" s="450" t="str">
        <f>IF(Q64=0,"-",SUMIFS($Q$2:Q64,$A$2:A64,$A64,$F$2:F64,"&lt;="&amp;$F64)/SUMIFS($I$2:I64,$A$2:A64,$A64,$F$2:F64,"&lt;="&amp;$F64)-1)</f>
        <v>-</v>
      </c>
      <c r="AM64" s="450" t="str">
        <f>IFERROR(IF(O64=0,"-",SUMIFS($O$2:O64,$A$2:A64,$A64,$F$2:F64,"&lt;="&amp;$F64)/SUMIFS($K$2:K64,$A$2:A64,$A64,$F$2:F64,"&lt;="&amp;$F64)-1),"")</f>
        <v>-</v>
      </c>
      <c r="AN64" s="450" t="str">
        <f>IFERROR(IF(P64=0,"-",SUMIFS($P$2:P64,$A$2:A64,$A64,$F$2:F64,"&lt;="&amp;$F64)/SUMIFS($L$2:L64,$A$2:A64,$A64,$F$2:F64,"&lt;="&amp;$F64)-1),"")</f>
        <v>-</v>
      </c>
      <c r="AO64" s="450" t="str">
        <f>IFERROR(IF(Q64=0,"-",SUMIFS($Q$2:Q64,$A$2:A64,$A64,$F$2:F64,"&lt;="&amp;$F64)/SUMIFS($M$2:M64,$A$2:A64,$A64,$F$2:F64,"&lt;="&amp;$F64)-1),"")</f>
        <v>-</v>
      </c>
      <c r="AP64" s="86"/>
      <c r="AQ64" s="452" t="str">
        <f>'Overall Metrics'!AO69</f>
        <v/>
      </c>
      <c r="AR64" s="450" t="str">
        <f t="shared" si="19"/>
        <v/>
      </c>
      <c r="AS64" s="453" t="str">
        <f>IFERROR(IF(R65=0,"-",AVERAGEIFS($AQ$2:AQ64,$A$2:A64,$A64,$F$2:F64,"&lt;="&amp;$F64)-AVERAGEIFS($AP$2:AP64,$A$2:A64,$A64,$F$2:F64,"&lt;="&amp;$F64)),"")</f>
        <v>-</v>
      </c>
      <c r="AT64" s="390" t="str">
        <f>IFERROR(IF(R65=0,"-",AVERAGEIFS($AQ$2:AQ64,$A$2:A64,A64,$C$2:C64,C64)-AVERAGEIFS($AP$2:AP64,$A$2:A64,A64,$C$2:C64,C64)),"")</f>
        <v>-</v>
      </c>
      <c r="AU64" s="79"/>
      <c r="AV64" s="452" t="str">
        <f>'Overall Metrics'!AS69</f>
        <v/>
      </c>
      <c r="AW64" s="450" t="str">
        <f t="shared" si="20"/>
        <v/>
      </c>
      <c r="AX64" s="453" t="str">
        <f>IFERROR(IF(R68=0,"-",AVERAGEIFS($AV$2:AV64,$A$2:A64,$A64,$F$2:F64,"&lt;="&amp;$F64)-AVERAGEIFS($AU$2:AU64,$A$2:A64,$A64,$F$2:F64,"&lt;="&amp;$F64)),"")</f>
        <v>-</v>
      </c>
      <c r="AY64" s="453" t="str">
        <f>IFERROR(IF(R68=0,"-",AVERAGEIFS($AV$2:AV64,$A$2:A64,A64,$C$2:C64,C64)-AVERAGEIFS($AU$2:AU64,$A$2:A64,A64,$C$2:C64,C64)),"")</f>
        <v>-</v>
      </c>
      <c r="AZ64" s="86"/>
      <c r="BA64" s="449">
        <f>'Glass Metrics'!AC69</f>
        <v>0</v>
      </c>
      <c r="BB64" s="450" t="str">
        <f t="shared" si="21"/>
        <v/>
      </c>
      <c r="BC64" s="450" t="str">
        <f>IFERROR(IF(R64=0,"-",AVERAGEIFS($BA$2:BA64,$A$2:A64,$A64,$F$2:F64,"&lt;="&amp;$F64)/AVERAGEIFS($AZ$2:AZ64,$A$2:A64,$A64,$F$2:F64,"&lt;="&amp;$F64)-1),"")</f>
        <v>-</v>
      </c>
      <c r="BD64" s="269" t="str">
        <f>IFERROR(IF(R64=0,"-",AVERAGEIFS($BA$2:BA64,$A$2:A64,A64,$C$2:C64,C64)/AVERAGEIFS($AZ$2:AZ64,$A$2:A64,A64,$C$2:C64,C64)-1),"")</f>
        <v>-</v>
      </c>
    </row>
    <row r="65" spans="1:56" ht="16.350000000000001" customHeight="1">
      <c r="A65" s="175">
        <f t="shared" si="0"/>
        <v>2022</v>
      </c>
      <c r="B65" s="447" t="str">
        <f t="shared" si="1"/>
        <v>12</v>
      </c>
      <c r="C65" s="447" t="str">
        <f t="array" ref="C65">_xlfn.IFS(_xlfn.NUMBERVALUE(B65)&lt;=13,"Q1",AND(_xlfn.NUMBERVALUE(B65)&gt;13,_xlfn.NUMBERVALUE(B65)&lt;=26),"Q2", AND(_xlfn.NUMBERVALUE(B65)&gt;26,_xlfn.NUMBERVALUE(B65)&lt;=39),"Q3",_xlfn.NUMBERVALUE(B65)&gt;39,"Q4")</f>
        <v>Q1</v>
      </c>
      <c r="D65" s="448">
        <f t="shared" si="22"/>
        <v>44303</v>
      </c>
      <c r="E65" s="448">
        <f t="shared" si="2"/>
        <v>44309</v>
      </c>
      <c r="F65" s="79">
        <v>202112</v>
      </c>
      <c r="G65" s="815"/>
      <c r="H65" s="816"/>
      <c r="I65" s="429"/>
      <c r="J65" s="214">
        <f t="shared" si="3"/>
        <v>0</v>
      </c>
      <c r="K65" s="429"/>
      <c r="L65" s="429"/>
      <c r="M65" s="429"/>
      <c r="N65" s="214">
        <f t="shared" si="4"/>
        <v>0</v>
      </c>
      <c r="O65" s="449">
        <f>'Overall Metrics'!L70</f>
        <v>0</v>
      </c>
      <c r="P65" s="449">
        <f>'Overall Metrics'!M70</f>
        <v>0</v>
      </c>
      <c r="Q65" s="449">
        <f>'Overall Metrics'!N70</f>
        <v>0</v>
      </c>
      <c r="R65" s="449">
        <f t="shared" si="5"/>
        <v>0</v>
      </c>
      <c r="S65" s="180">
        <f t="shared" si="6"/>
        <v>0</v>
      </c>
      <c r="T65" s="449">
        <f t="shared" si="7"/>
        <v>0</v>
      </c>
      <c r="U65" s="449">
        <f t="shared" si="8"/>
        <v>0</v>
      </c>
      <c r="V65" s="450" t="str">
        <f t="shared" si="9"/>
        <v/>
      </c>
      <c r="W65" s="450" t="str">
        <f>IF(R65=0,"-",SUMIFS($R$2:R65,$A$2:A65,A65,$C$2:C65,C65)/SUMIFS($J$2:J65,$A$2:A65,A65,$C$2:C65,C65)-1)</f>
        <v>-</v>
      </c>
      <c r="X65" s="450" t="str">
        <f t="shared" si="10"/>
        <v/>
      </c>
      <c r="Y65" s="450" t="str">
        <f>IFERROR(IF(R65=0,"-",SUMIFS($R$2:R65,$A$2:A65,A65,$C$2:C65,C65)/SUMIFS($N$2:N65,$A$2:A65,A65,$C$2:C65,C65)-1),"")</f>
        <v>-</v>
      </c>
      <c r="Z65" s="269" t="str">
        <f>IF(R65=0,"",(S65/VLOOKUP(_xlfn.NUMBERVALUE(_xlfn.CONCAT(LEFT(F65,4),52)),$F$2:T272,COLUMNS($F$2:T272),FALSE)))</f>
        <v/>
      </c>
      <c r="AA65" s="269" t="str">
        <f>IFERROR(IF(R65=0,"",(S65/VLOOKUP(_xlfn.NUMBERVALUE(_xlfn.CONCAT(LEFT(F65,4),52)),$F$2:U272,COLUMNS($F$2:U272),FALSE))),"")</f>
        <v/>
      </c>
      <c r="AB65" s="268" t="str">
        <f t="shared" si="11"/>
        <v/>
      </c>
      <c r="AC65" s="450" t="str">
        <f t="shared" si="12"/>
        <v/>
      </c>
      <c r="AD65" s="450" t="str">
        <f t="shared" si="13"/>
        <v/>
      </c>
      <c r="AE65" s="269" t="str">
        <f t="shared" si="14"/>
        <v/>
      </c>
      <c r="AF65" s="268" t="str">
        <f t="shared" si="15"/>
        <v/>
      </c>
      <c r="AG65" s="450" t="str">
        <f t="shared" si="16"/>
        <v/>
      </c>
      <c r="AH65" s="450" t="str">
        <f t="shared" si="17"/>
        <v/>
      </c>
      <c r="AI65" s="269" t="str">
        <f t="shared" si="18"/>
        <v/>
      </c>
      <c r="AJ65" s="450" t="str">
        <f>IF(O65=0,"-",SUMIFS($O$2:O65,$A$2:A65,$A65,$F$2:F65,"&lt;="&amp;$F65)/SUMIFS($G$2:G65,$A$2:A65,$A65,$F$2:F65,"&lt;="&amp;$F65)-1)</f>
        <v>-</v>
      </c>
      <c r="AK65" s="450" t="str">
        <f>IF(P65=0,"-",SUMIFS($P$2:P65,$A$2:A65,$A65,$F$2:F65,"&lt;="&amp;$F65)/SUMIFS($H$2:H65,$A$2:A65,$A65,$F$2:F65,"&lt;="&amp;$F65)-1)</f>
        <v>-</v>
      </c>
      <c r="AL65" s="450" t="str">
        <f>IF(Q65=0,"-",SUMIFS($Q$2:Q65,$A$2:A65,$A65,$F$2:F65,"&lt;="&amp;$F65)/SUMIFS($I$2:I65,$A$2:A65,$A65,$F$2:F65,"&lt;="&amp;$F65)-1)</f>
        <v>-</v>
      </c>
      <c r="AM65" s="450" t="str">
        <f>IFERROR(IF(O65=0,"-",SUMIFS($O$2:O65,$A$2:A65,$A65,$F$2:F65,"&lt;="&amp;$F65)/SUMIFS($K$2:K65,$A$2:A65,$A65,$F$2:F65,"&lt;="&amp;$F65)-1),"")</f>
        <v>-</v>
      </c>
      <c r="AN65" s="450" t="str">
        <f>IFERROR(IF(P65=0,"-",SUMIFS($P$2:P65,$A$2:A65,$A65,$F$2:F65,"&lt;="&amp;$F65)/SUMIFS($L$2:L65,$A$2:A65,$A65,$F$2:F65,"&lt;="&amp;$F65)-1),"")</f>
        <v>-</v>
      </c>
      <c r="AO65" s="450" t="str">
        <f>IFERROR(IF(Q65=0,"-",SUMIFS($Q$2:Q65,$A$2:A65,$A65,$F$2:F65,"&lt;="&amp;$F65)/SUMIFS($M$2:M65,$A$2:A65,$A65,$F$2:F65,"&lt;="&amp;$F65)-1),"")</f>
        <v>-</v>
      </c>
      <c r="AP65" s="86"/>
      <c r="AQ65" s="452" t="str">
        <f>'Overall Metrics'!AO70</f>
        <v/>
      </c>
      <c r="AR65" s="450" t="str">
        <f t="shared" si="19"/>
        <v/>
      </c>
      <c r="AS65" s="453" t="str">
        <f>IFERROR(IF(R66=0,"-",AVERAGEIFS($AQ$2:AQ65,$A$2:A65,$A65,$F$2:F65,"&lt;="&amp;$F65)-AVERAGEIFS($AP$2:AP65,$A$2:A65,$A65,$F$2:F65,"&lt;="&amp;$F65)),"")</f>
        <v>-</v>
      </c>
      <c r="AT65" s="390" t="str">
        <f>IFERROR(IF(R66=0,"-",AVERAGEIFS($AQ$2:AQ65,$A$2:A65,A65,$C$2:C65,C65)-AVERAGEIFS($AP$2:AP65,$A$2:A65,A65,$C$2:C65,C65)),"")</f>
        <v>-</v>
      </c>
      <c r="AU65" s="79"/>
      <c r="AV65" s="452" t="str">
        <f>'Overall Metrics'!AS70</f>
        <v/>
      </c>
      <c r="AW65" s="450" t="str">
        <f t="shared" si="20"/>
        <v/>
      </c>
      <c r="AX65" s="453" t="str">
        <f>IFERROR(IF(R69=0,"-",AVERAGEIFS($AV$2:AV65,$A$2:A65,$A65,$F$2:F65,"&lt;="&amp;$F65)-AVERAGEIFS($AU$2:AU65,$A$2:A65,$A65,$F$2:F65,"&lt;="&amp;$F65)),"")</f>
        <v>-</v>
      </c>
      <c r="AY65" s="453" t="str">
        <f>IFERROR(IF(R69=0,"-",AVERAGEIFS($AV$2:AV65,$A$2:A65,A65,$C$2:C65,C65)-AVERAGEIFS($AU$2:AU65,$A$2:A65,A65,$C$2:C65,C65)),"")</f>
        <v>-</v>
      </c>
      <c r="AZ65" s="86"/>
      <c r="BA65" s="449">
        <f>'Glass Metrics'!AC70</f>
        <v>0</v>
      </c>
      <c r="BB65" s="450" t="str">
        <f t="shared" si="21"/>
        <v/>
      </c>
      <c r="BC65" s="450" t="str">
        <f>IFERROR(IF(R65=0,"-",AVERAGEIFS($BA$2:BA65,$A$2:A65,$A65,$F$2:F65,"&lt;="&amp;$F65)/AVERAGEIFS($AZ$2:AZ65,$A$2:A65,$A65,$F$2:F65,"&lt;="&amp;$F65)-1),"")</f>
        <v>-</v>
      </c>
      <c r="BD65" s="269" t="str">
        <f>IFERROR(IF(R65=0,"-",AVERAGEIFS($BA$2:BA65,$A$2:A65,A65,$C$2:C65,C65)/AVERAGEIFS($AZ$2:AZ65,$A$2:A65,A65,$C$2:C65,C65)-1),"")</f>
        <v>-</v>
      </c>
    </row>
    <row r="66" spans="1:56" ht="16.350000000000001" customHeight="1">
      <c r="A66" s="175">
        <f t="shared" ref="A66:A129" si="23">LEFT(F66,4)+1</f>
        <v>2022</v>
      </c>
      <c r="B66" s="447" t="str">
        <f t="shared" ref="B66:B129" si="24">RIGHT(F66,2)</f>
        <v>13</v>
      </c>
      <c r="C66" s="447" t="str">
        <f t="array" ref="C66">_xlfn.IFS(_xlfn.NUMBERVALUE(B66)&lt;=13,"Q1",AND(_xlfn.NUMBERVALUE(B66)&gt;13,_xlfn.NUMBERVALUE(B66)&lt;=26),"Q2", AND(_xlfn.NUMBERVALUE(B66)&gt;26,_xlfn.NUMBERVALUE(B66)&lt;=39),"Q3",_xlfn.NUMBERVALUE(B66)&gt;39,"Q4")</f>
        <v>Q1</v>
      </c>
      <c r="D66" s="448">
        <f t="shared" si="22"/>
        <v>44310</v>
      </c>
      <c r="E66" s="448">
        <f t="shared" ref="E66:E129" si="25">D66+6</f>
        <v>44316</v>
      </c>
      <c r="F66" s="79">
        <v>202113</v>
      </c>
      <c r="G66" s="815"/>
      <c r="H66" s="816"/>
      <c r="I66" s="429"/>
      <c r="J66" s="214">
        <f t="shared" ref="J66:J129" si="26">SUM(G66:I66)</f>
        <v>0</v>
      </c>
      <c r="K66" s="429"/>
      <c r="L66" s="429"/>
      <c r="M66" s="429"/>
      <c r="N66" s="214">
        <f t="shared" ref="N66:N129" si="27">SUM(K66:M66)</f>
        <v>0</v>
      </c>
      <c r="O66" s="449">
        <f>'Overall Metrics'!L71</f>
        <v>0</v>
      </c>
      <c r="P66" s="449">
        <f>'Overall Metrics'!M71</f>
        <v>0</v>
      </c>
      <c r="Q66" s="449">
        <f>'Overall Metrics'!N71</f>
        <v>0</v>
      </c>
      <c r="R66" s="449">
        <f t="shared" ref="R66:R129" si="28">SUM(O66:Q66)</f>
        <v>0</v>
      </c>
      <c r="S66" s="180">
        <f t="shared" ref="S66:S129" si="29">IF(OR(RIGHT(F66,2) = "01",R66 = 0),R66,S65+R66)</f>
        <v>0</v>
      </c>
      <c r="T66" s="449">
        <f t="shared" ref="T66:T129" si="30">IF(RIGHT(F66,2) = "01",J66,T65+J66)</f>
        <v>0</v>
      </c>
      <c r="U66" s="449">
        <f t="shared" ref="U66:U129" si="31">IF(RIGHT(F66,2) = "01",N66,U65+N66)</f>
        <v>0</v>
      </c>
      <c r="V66" s="450" t="str">
        <f t="shared" ref="V66:V129" si="32">IF(S66=0,"",S66/T66-1)</f>
        <v/>
      </c>
      <c r="W66" s="450" t="str">
        <f>IF(R66=0,"-",SUMIFS($R$2:R66,$A$2:A66,A66,$C$2:C66,C66)/SUMIFS($J$2:J66,$A$2:A66,A66,$C$2:C66,C66)-1)</f>
        <v>-</v>
      </c>
      <c r="X66" s="450" t="str">
        <f t="shared" ref="X66:X129" si="33">IFERROR(IF(S66=0,"",S66/U66-1),"")</f>
        <v/>
      </c>
      <c r="Y66" s="450" t="str">
        <f>IFERROR(IF(R66=0,"-",SUMIFS($R$2:R66,$A$2:A66,A66,$C$2:C66,C66)/SUMIFS($N$2:N66,$A$2:A66,A66,$C$2:C66,C66)-1),"")</f>
        <v>-</v>
      </c>
      <c r="Z66" s="269" t="str">
        <f>IF(R66=0,"",(S66/VLOOKUP(_xlfn.NUMBERVALUE(_xlfn.CONCAT(LEFT(F66,4),52)),$F$2:T273,COLUMNS($F$2:T273),FALSE)))</f>
        <v/>
      </c>
      <c r="AA66" s="269" t="str">
        <f>IFERROR(IF(R66=0,"",(S66/VLOOKUP(_xlfn.NUMBERVALUE(_xlfn.CONCAT(LEFT(F66,4),52)),$F$2:U273,COLUMNS($F$2:U273),FALSE))),"")</f>
        <v/>
      </c>
      <c r="AB66" s="268" t="str">
        <f t="shared" ref="AB66:AB129" si="34">IF($R66=0,"",O66/G66-1)</f>
        <v/>
      </c>
      <c r="AC66" s="450" t="str">
        <f t="shared" ref="AC66:AC129" si="35">IF($R66=0,"",P66/H66-1)</f>
        <v/>
      </c>
      <c r="AD66" s="450" t="str">
        <f t="shared" ref="AD66:AD129" si="36">IF($R66=0,"",Q66/I66-1)</f>
        <v/>
      </c>
      <c r="AE66" s="269" t="str">
        <f t="shared" ref="AE66:AE129" si="37">IF($R66=0,"",R66/J66-1)</f>
        <v/>
      </c>
      <c r="AF66" s="268" t="str">
        <f t="shared" ref="AF66:AF129" si="38">IFERROR(IF($R66=0,"",O66/K66-1),"")</f>
        <v/>
      </c>
      <c r="AG66" s="450" t="str">
        <f t="shared" ref="AG66:AG129" si="39">IFERROR(IF($R66=0,"",P66/L66-1),"")</f>
        <v/>
      </c>
      <c r="AH66" s="450" t="str">
        <f t="shared" ref="AH66:AH129" si="40">IFERROR(IF($R66=0,"",Q66/M66-1),"")</f>
        <v/>
      </c>
      <c r="AI66" s="269" t="str">
        <f t="shared" ref="AI66:AI129" si="41">IFERROR(IF($R66=0,"",R66/N66-1),"")</f>
        <v/>
      </c>
      <c r="AJ66" s="450" t="str">
        <f>IF(O66=0,"-",SUMIFS($O$2:O66,$A$2:A66,$A66,$F$2:F66,"&lt;="&amp;$F66)/SUMIFS($G$2:G66,$A$2:A66,$A66,$F$2:F66,"&lt;="&amp;$F66)-1)</f>
        <v>-</v>
      </c>
      <c r="AK66" s="450" t="str">
        <f>IF(P66=0,"-",SUMIFS($P$2:P66,$A$2:A66,$A66,$F$2:F66,"&lt;="&amp;$F66)/SUMIFS($H$2:H66,$A$2:A66,$A66,$F$2:F66,"&lt;="&amp;$F66)-1)</f>
        <v>-</v>
      </c>
      <c r="AL66" s="450" t="str">
        <f>IF(Q66=0,"-",SUMIFS($Q$2:Q66,$A$2:A66,$A66,$F$2:F66,"&lt;="&amp;$F66)/SUMIFS($I$2:I66,$A$2:A66,$A66,$F$2:F66,"&lt;="&amp;$F66)-1)</f>
        <v>-</v>
      </c>
      <c r="AM66" s="450" t="str">
        <f>IFERROR(IF(O66=0,"-",SUMIFS($O$2:O66,$A$2:A66,$A66,$F$2:F66,"&lt;="&amp;$F66)/SUMIFS($K$2:K66,$A$2:A66,$A66,$F$2:F66,"&lt;="&amp;$F66)-1),"")</f>
        <v>-</v>
      </c>
      <c r="AN66" s="450" t="str">
        <f>IFERROR(IF(P66=0,"-",SUMIFS($P$2:P66,$A$2:A66,$A66,$F$2:F66,"&lt;="&amp;$F66)/SUMIFS($L$2:L66,$A$2:A66,$A66,$F$2:F66,"&lt;="&amp;$F66)-1),"")</f>
        <v>-</v>
      </c>
      <c r="AO66" s="450" t="str">
        <f>IFERROR(IF(Q66=0,"-",SUMIFS($Q$2:Q66,$A$2:A66,$A66,$F$2:F66,"&lt;="&amp;$F66)/SUMIFS($M$2:M66,$A$2:A66,$A66,$F$2:F66,"&lt;="&amp;$F66)-1),"")</f>
        <v>-</v>
      </c>
      <c r="AP66" s="86"/>
      <c r="AQ66" s="452" t="str">
        <f>'Overall Metrics'!AO71</f>
        <v/>
      </c>
      <c r="AR66" s="450" t="str">
        <f t="shared" ref="AR66:AR129" si="42">IFERROR(AQ66-AP66,"")</f>
        <v/>
      </c>
      <c r="AS66" s="453" t="str">
        <f>IFERROR(IF(R67=0,"-",AVERAGEIFS($AQ$2:AQ66,$A$2:A66,$A66,$F$2:F66,"&lt;="&amp;$F66)-AVERAGEIFS($AP$2:AP66,$A$2:A66,$A66,$F$2:F66,"&lt;="&amp;$F66)),"")</f>
        <v>-</v>
      </c>
      <c r="AT66" s="390" t="str">
        <f>IFERROR(IF(R67=0,"-",AVERAGEIFS($AQ$2:AQ66,$A$2:A66,A66,$C$2:C66,C66)-AVERAGEIFS($AP$2:AP66,$A$2:A66,A66,$C$2:C66,C66)),"")</f>
        <v>-</v>
      </c>
      <c r="AU66" s="79"/>
      <c r="AV66" s="452" t="str">
        <f>'Overall Metrics'!AS71</f>
        <v/>
      </c>
      <c r="AW66" s="450" t="str">
        <f t="shared" ref="AW66:AW129" si="43">IFERROR(IF(AV66=0%,"",AV66-AU66),"")</f>
        <v/>
      </c>
      <c r="AX66" s="453" t="str">
        <f>IFERROR(IF(R70=0,"-",AVERAGEIFS($AV$2:AV66,$A$2:A66,$A66,$F$2:F66,"&lt;="&amp;$F66)-AVERAGEIFS($AU$2:AU66,$A$2:A66,$A66,$F$2:F66,"&lt;="&amp;$F66)),"")</f>
        <v>-</v>
      </c>
      <c r="AY66" s="453" t="str">
        <f>IFERROR(IF(R70=0,"-",AVERAGEIFS($AV$2:AV66,$A$2:A66,A66,$C$2:C66,C66)-AVERAGEIFS($AU$2:AU66,$A$2:A66,A66,$C$2:C66,C66)),"")</f>
        <v>-</v>
      </c>
      <c r="AZ66" s="86"/>
      <c r="BA66" s="449">
        <f>'Glass Metrics'!AC71</f>
        <v>0</v>
      </c>
      <c r="BB66" s="450" t="str">
        <f t="shared" ref="BB66:BB129" si="44">IFERROR(IF(BA66=0,"",BA66/AZ66-1),"")</f>
        <v/>
      </c>
      <c r="BC66" s="450" t="str">
        <f>IFERROR(IF(R66=0,"-",AVERAGEIFS($BA$2:BA66,$A$2:A66,$A66,$F$2:F66,"&lt;="&amp;$F66)/AVERAGEIFS($AZ$2:AZ66,$A$2:A66,$A66,$F$2:F66,"&lt;="&amp;$F66)-1),"")</f>
        <v>-</v>
      </c>
      <c r="BD66" s="269" t="str">
        <f>IFERROR(IF(R66=0,"-",AVERAGEIFS($BA$2:BA66,$A$2:A66,A66,$C$2:C66,C66)/AVERAGEIFS($AZ$2:AZ66,$A$2:A66,A66,$C$2:C66,C66)-1),"")</f>
        <v>-</v>
      </c>
    </row>
    <row r="67" spans="1:56" ht="14.1" customHeight="1">
      <c r="A67" s="175">
        <f t="shared" si="23"/>
        <v>2022</v>
      </c>
      <c r="B67" s="447" t="str">
        <f t="shared" si="24"/>
        <v>14</v>
      </c>
      <c r="C67" s="447" t="str">
        <f t="array" ref="C67">_xlfn.IFS(_xlfn.NUMBERVALUE(B67)&lt;=13,"Q1",AND(_xlfn.NUMBERVALUE(B67)&gt;13,_xlfn.NUMBERVALUE(B67)&lt;=26),"Q2", AND(_xlfn.NUMBERVALUE(B67)&gt;26,_xlfn.NUMBERVALUE(B67)&lt;=39),"Q3",_xlfn.NUMBERVALUE(B67)&gt;39,"Q4")</f>
        <v>Q2</v>
      </c>
      <c r="D67" s="448">
        <f t="shared" ref="D67:D130" si="45">E66+1</f>
        <v>44317</v>
      </c>
      <c r="E67" s="448">
        <f t="shared" si="25"/>
        <v>44323</v>
      </c>
      <c r="F67" s="79">
        <v>202114</v>
      </c>
      <c r="G67" s="815"/>
      <c r="H67" s="816"/>
      <c r="I67" s="429"/>
      <c r="J67" s="214">
        <f t="shared" si="26"/>
        <v>0</v>
      </c>
      <c r="K67" s="429"/>
      <c r="L67" s="429"/>
      <c r="M67" s="429"/>
      <c r="N67" s="214">
        <f t="shared" si="27"/>
        <v>0</v>
      </c>
      <c r="O67" s="449">
        <f>'Overall Metrics'!L72</f>
        <v>0</v>
      </c>
      <c r="P67" s="449">
        <f>'Overall Metrics'!M72</f>
        <v>0</v>
      </c>
      <c r="Q67" s="449">
        <f>'Overall Metrics'!N72</f>
        <v>0</v>
      </c>
      <c r="R67" s="449">
        <f t="shared" si="28"/>
        <v>0</v>
      </c>
      <c r="S67" s="180">
        <f t="shared" si="29"/>
        <v>0</v>
      </c>
      <c r="T67" s="449">
        <f t="shared" si="30"/>
        <v>0</v>
      </c>
      <c r="U67" s="449">
        <f t="shared" si="31"/>
        <v>0</v>
      </c>
      <c r="V67" s="450" t="str">
        <f t="shared" si="32"/>
        <v/>
      </c>
      <c r="W67" s="450" t="str">
        <f>IF(R67=0,"-",SUMIFS($R$2:R67,$A$2:A67,A67,$C$2:C67,C67)/SUMIFS($J$2:J67,$A$2:A67,A67,$C$2:C67,C67)-1)</f>
        <v>-</v>
      </c>
      <c r="X67" s="450" t="str">
        <f t="shared" si="33"/>
        <v/>
      </c>
      <c r="Y67" s="450" t="str">
        <f>IFERROR(IF(R67=0,"-",SUMIFS($R$2:R67,$A$2:A67,A67,$C$2:C67,C67)/SUMIFS($N$2:N67,$A$2:A67,A67,$C$2:C67,C67)-1),"")</f>
        <v>-</v>
      </c>
      <c r="Z67" s="269" t="str">
        <f>IF(R67=0,"",(S67/VLOOKUP(_xlfn.NUMBERVALUE(_xlfn.CONCAT(LEFT(F67,4),52)),$F$2:T274,COLUMNS($F$2:T274),FALSE)))</f>
        <v/>
      </c>
      <c r="AA67" s="269" t="str">
        <f>IFERROR(IF(R67=0,"",(S67/VLOOKUP(_xlfn.NUMBERVALUE(_xlfn.CONCAT(LEFT(F67,4),52)),$F$2:U274,COLUMNS($F$2:U274),FALSE))),"")</f>
        <v/>
      </c>
      <c r="AB67" s="268" t="str">
        <f t="shared" si="34"/>
        <v/>
      </c>
      <c r="AC67" s="450" t="str">
        <f t="shared" si="35"/>
        <v/>
      </c>
      <c r="AD67" s="450" t="str">
        <f t="shared" si="36"/>
        <v/>
      </c>
      <c r="AE67" s="269" t="str">
        <f t="shared" si="37"/>
        <v/>
      </c>
      <c r="AF67" s="268" t="str">
        <f t="shared" si="38"/>
        <v/>
      </c>
      <c r="AG67" s="450" t="str">
        <f t="shared" si="39"/>
        <v/>
      </c>
      <c r="AH67" s="450" t="str">
        <f t="shared" si="40"/>
        <v/>
      </c>
      <c r="AI67" s="269" t="str">
        <f t="shared" si="41"/>
        <v/>
      </c>
      <c r="AJ67" s="450" t="str">
        <f>IF(O67=0,"-",SUMIFS($O$2:O67,$A$2:A67,$A67,$F$2:F67,"&lt;="&amp;$F67)/SUMIFS($G$2:G67,$A$2:A67,$A67,$F$2:F67,"&lt;="&amp;$F67)-1)</f>
        <v>-</v>
      </c>
      <c r="AK67" s="450" t="str">
        <f>IF(P67=0,"-",SUMIFS($P$2:P67,$A$2:A67,$A67,$F$2:F67,"&lt;="&amp;$F67)/SUMIFS($H$2:H67,$A$2:A67,$A67,$F$2:F67,"&lt;="&amp;$F67)-1)</f>
        <v>-</v>
      </c>
      <c r="AL67" s="450" t="str">
        <f>IF(Q67=0,"-",SUMIFS($Q$2:Q67,$A$2:A67,$A67,$F$2:F67,"&lt;="&amp;$F67)/SUMIFS($I$2:I67,$A$2:A67,$A67,$F$2:F67,"&lt;="&amp;$F67)-1)</f>
        <v>-</v>
      </c>
      <c r="AM67" s="450" t="str">
        <f>IFERROR(IF(O67=0,"-",SUMIFS($O$2:O67,$A$2:A67,$A67,$F$2:F67,"&lt;="&amp;$F67)/SUMIFS($K$2:K67,$A$2:A67,$A67,$F$2:F67,"&lt;="&amp;$F67)-1),"")</f>
        <v>-</v>
      </c>
      <c r="AN67" s="450" t="str">
        <f>IFERROR(IF(P67=0,"-",SUMIFS($P$2:P67,$A$2:A67,$A67,$F$2:F67,"&lt;="&amp;$F67)/SUMIFS($L$2:L67,$A$2:A67,$A67,$F$2:F67,"&lt;="&amp;$F67)-1),"")</f>
        <v>-</v>
      </c>
      <c r="AO67" s="450" t="str">
        <f>IFERROR(IF(Q67=0,"-",SUMIFS($Q$2:Q67,$A$2:A67,$A67,$F$2:F67,"&lt;="&amp;$F67)/SUMIFS($M$2:M67,$A$2:A67,$A67,$F$2:F67,"&lt;="&amp;$F67)-1),"")</f>
        <v>-</v>
      </c>
      <c r="AP67" s="86"/>
      <c r="AQ67" s="452" t="str">
        <f>'Overall Metrics'!AO72</f>
        <v/>
      </c>
      <c r="AR67" s="450" t="str">
        <f t="shared" si="42"/>
        <v/>
      </c>
      <c r="AS67" s="453" t="str">
        <f>IFERROR(IF(R68=0,"-",AVERAGEIFS($AQ$2:AQ67,$A$2:A67,$A67,$F$2:F67,"&lt;="&amp;$F67)-AVERAGEIFS($AP$2:AP67,$A$2:A67,$A67,$F$2:F67,"&lt;="&amp;$F67)),"")</f>
        <v>-</v>
      </c>
      <c r="AT67" s="390" t="str">
        <f>IFERROR(IF(R68=0,"-",AVERAGEIFS($AQ$2:AQ67,$A$2:A67,A67,$C$2:C67,C67)-AVERAGEIFS($AP$2:AP67,$A$2:A67,A67,$C$2:C67,C67)),"")</f>
        <v>-</v>
      </c>
      <c r="AU67" s="79"/>
      <c r="AV67" s="452" t="str">
        <f>'Overall Metrics'!AS72</f>
        <v/>
      </c>
      <c r="AW67" s="450" t="str">
        <f t="shared" si="43"/>
        <v/>
      </c>
      <c r="AX67" s="453" t="str">
        <f>IFERROR(IF(R71=0,"-",AVERAGEIFS($AV$2:AV67,$A$2:A67,$A67,$F$2:F67,"&lt;="&amp;$F67)-AVERAGEIFS($AU$2:AU67,$A$2:A67,$A67,$F$2:F67,"&lt;="&amp;$F67)),"")</f>
        <v>-</v>
      </c>
      <c r="AY67" s="453" t="str">
        <f>IFERROR(IF(R71=0,"-",AVERAGEIFS($AV$2:AV67,$A$2:A67,A67,$C$2:C67,C67)-AVERAGEIFS($AU$2:AU67,$A$2:A67,A67,$C$2:C67,C67)),"")</f>
        <v>-</v>
      </c>
      <c r="AZ67" s="86"/>
      <c r="BA67" s="449">
        <f>'Glass Metrics'!AC72</f>
        <v>0</v>
      </c>
      <c r="BB67" s="450" t="str">
        <f t="shared" si="44"/>
        <v/>
      </c>
      <c r="BC67" s="450" t="str">
        <f>IFERROR(IF(R67=0,"-",AVERAGEIFS($BA$2:BA67,$A$2:A67,$A67,$F$2:F67,"&lt;="&amp;$F67)/AVERAGEIFS($AZ$2:AZ67,$A$2:A67,$A67,$F$2:F67,"&lt;="&amp;$F67)-1),"")</f>
        <v>-</v>
      </c>
      <c r="BD67" s="269" t="str">
        <f>IFERROR(IF(R67=0,"-",AVERAGEIFS($BA$2:BA67,$A$2:A67,A67,$C$2:C67,C67)/AVERAGEIFS($AZ$2:AZ67,$A$2:A67,A67,$C$2:C67,C67)-1),"")</f>
        <v>-</v>
      </c>
    </row>
    <row r="68" spans="1:56" ht="16.350000000000001" customHeight="1">
      <c r="A68" s="175">
        <f t="shared" si="23"/>
        <v>2022</v>
      </c>
      <c r="B68" s="447" t="str">
        <f t="shared" si="24"/>
        <v>15</v>
      </c>
      <c r="C68" s="447" t="str">
        <f t="array" ref="C68">_xlfn.IFS(_xlfn.NUMBERVALUE(B68)&lt;=13,"Q1",AND(_xlfn.NUMBERVALUE(B68)&gt;13,_xlfn.NUMBERVALUE(B68)&lt;=26),"Q2", AND(_xlfn.NUMBERVALUE(B68)&gt;26,_xlfn.NUMBERVALUE(B68)&lt;=39),"Q3",_xlfn.NUMBERVALUE(B68)&gt;39,"Q4")</f>
        <v>Q2</v>
      </c>
      <c r="D68" s="448">
        <f t="shared" si="45"/>
        <v>44324</v>
      </c>
      <c r="E68" s="448">
        <f t="shared" si="25"/>
        <v>44330</v>
      </c>
      <c r="F68" s="79">
        <v>202115</v>
      </c>
      <c r="G68" s="815"/>
      <c r="H68" s="816"/>
      <c r="I68" s="429"/>
      <c r="J68" s="214">
        <f t="shared" si="26"/>
        <v>0</v>
      </c>
      <c r="K68" s="429"/>
      <c r="L68" s="429"/>
      <c r="M68" s="429"/>
      <c r="N68" s="214">
        <f t="shared" si="27"/>
        <v>0</v>
      </c>
      <c r="O68" s="449">
        <f>'Overall Metrics'!L73</f>
        <v>0</v>
      </c>
      <c r="P68" s="449">
        <f>'Overall Metrics'!M73</f>
        <v>0</v>
      </c>
      <c r="Q68" s="449">
        <f>'Overall Metrics'!N73</f>
        <v>0</v>
      </c>
      <c r="R68" s="449">
        <f t="shared" si="28"/>
        <v>0</v>
      </c>
      <c r="S68" s="180">
        <f t="shared" si="29"/>
        <v>0</v>
      </c>
      <c r="T68" s="449">
        <f t="shared" si="30"/>
        <v>0</v>
      </c>
      <c r="U68" s="449">
        <f t="shared" si="31"/>
        <v>0</v>
      </c>
      <c r="V68" s="450" t="str">
        <f t="shared" si="32"/>
        <v/>
      </c>
      <c r="W68" s="450" t="str">
        <f>IF(R68=0,"-",SUMIFS($R$2:R68,$A$2:A68,A68,$C$2:C68,C68)/SUMIFS($J$2:J68,$A$2:A68,A68,$C$2:C68,C68)-1)</f>
        <v>-</v>
      </c>
      <c r="X68" s="450" t="str">
        <f t="shared" si="33"/>
        <v/>
      </c>
      <c r="Y68" s="450" t="str">
        <f>IFERROR(IF(R68=0,"-",SUMIFS($R$2:R68,$A$2:A68,A68,$C$2:C68,C68)/SUMIFS($N$2:N68,$A$2:A68,A68,$C$2:C68,C68)-1),"")</f>
        <v>-</v>
      </c>
      <c r="Z68" s="269" t="str">
        <f>IF(R68=0,"",(S68/VLOOKUP(_xlfn.NUMBERVALUE(_xlfn.CONCAT(LEFT(F68,4),52)),$F$2:T275,COLUMNS($F$2:T275),FALSE)))</f>
        <v/>
      </c>
      <c r="AA68" s="269" t="str">
        <f>IFERROR(IF(R68=0,"",(S68/VLOOKUP(_xlfn.NUMBERVALUE(_xlfn.CONCAT(LEFT(F68,4),52)),$F$2:U275,COLUMNS($F$2:U275),FALSE))),"")</f>
        <v/>
      </c>
      <c r="AB68" s="268" t="str">
        <f t="shared" si="34"/>
        <v/>
      </c>
      <c r="AC68" s="450" t="str">
        <f t="shared" si="35"/>
        <v/>
      </c>
      <c r="AD68" s="450" t="str">
        <f t="shared" si="36"/>
        <v/>
      </c>
      <c r="AE68" s="269" t="str">
        <f t="shared" si="37"/>
        <v/>
      </c>
      <c r="AF68" s="268" t="str">
        <f t="shared" si="38"/>
        <v/>
      </c>
      <c r="AG68" s="450" t="str">
        <f t="shared" si="39"/>
        <v/>
      </c>
      <c r="AH68" s="450" t="str">
        <f t="shared" si="40"/>
        <v/>
      </c>
      <c r="AI68" s="269" t="str">
        <f t="shared" si="41"/>
        <v/>
      </c>
      <c r="AJ68" s="450" t="str">
        <f>IF(O68=0,"-",SUMIFS($O$2:O68,$A$2:A68,$A68,$F$2:F68,"&lt;="&amp;$F68)/SUMIFS($G$2:G68,$A$2:A68,$A68,$F$2:F68,"&lt;="&amp;$F68)-1)</f>
        <v>-</v>
      </c>
      <c r="AK68" s="450" t="str">
        <f>IF(P68=0,"-",SUMIFS($P$2:P68,$A$2:A68,$A68,$F$2:F68,"&lt;="&amp;$F68)/SUMIFS($H$2:H68,$A$2:A68,$A68,$F$2:F68,"&lt;="&amp;$F68)-1)</f>
        <v>-</v>
      </c>
      <c r="AL68" s="450" t="str">
        <f>IF(Q68=0,"-",SUMIFS($Q$2:Q68,$A$2:A68,$A68,$F$2:F68,"&lt;="&amp;$F68)/SUMIFS($I$2:I68,$A$2:A68,$A68,$F$2:F68,"&lt;="&amp;$F68)-1)</f>
        <v>-</v>
      </c>
      <c r="AM68" s="450" t="str">
        <f>IFERROR(IF(O68=0,"-",SUMIFS($O$2:O68,$A$2:A68,$A68,$F$2:F68,"&lt;="&amp;$F68)/SUMIFS($K$2:K68,$A$2:A68,$A68,$F$2:F68,"&lt;="&amp;$F68)-1),"")</f>
        <v>-</v>
      </c>
      <c r="AN68" s="450" t="str">
        <f>IFERROR(IF(P68=0,"-",SUMIFS($P$2:P68,$A$2:A68,$A68,$F$2:F68,"&lt;="&amp;$F68)/SUMIFS($L$2:L68,$A$2:A68,$A68,$F$2:F68,"&lt;="&amp;$F68)-1),"")</f>
        <v>-</v>
      </c>
      <c r="AO68" s="450" t="str">
        <f>IFERROR(IF(Q68=0,"-",SUMIFS($Q$2:Q68,$A$2:A68,$A68,$F$2:F68,"&lt;="&amp;$F68)/SUMIFS($M$2:M68,$A$2:A68,$A68,$F$2:F68,"&lt;="&amp;$F68)-1),"")</f>
        <v>-</v>
      </c>
      <c r="AP68" s="86"/>
      <c r="AQ68" s="452" t="str">
        <f>'Overall Metrics'!AO73</f>
        <v/>
      </c>
      <c r="AR68" s="450" t="str">
        <f t="shared" si="42"/>
        <v/>
      </c>
      <c r="AS68" s="453" t="str">
        <f>IFERROR(IF(R69=0,"-",AVERAGEIFS($AQ$2:AQ68,$A$2:A68,$A68,$F$2:F68,"&lt;="&amp;$F68)-AVERAGEIFS($AP$2:AP68,$A$2:A68,$A68,$F$2:F68,"&lt;="&amp;$F68)),"")</f>
        <v>-</v>
      </c>
      <c r="AT68" s="390" t="str">
        <f>IFERROR(IF(R69=0,"-",AVERAGEIFS($AQ$2:AQ68,$A$2:A68,A68,$C$2:C68,C68)-AVERAGEIFS($AP$2:AP68,$A$2:A68,A68,$C$2:C68,C68)),"")</f>
        <v>-</v>
      </c>
      <c r="AU68" s="79"/>
      <c r="AV68" s="452" t="str">
        <f>'Overall Metrics'!AS73</f>
        <v/>
      </c>
      <c r="AW68" s="450" t="str">
        <f t="shared" si="43"/>
        <v/>
      </c>
      <c r="AX68" s="453" t="str">
        <f>IFERROR(IF(R72=0,"-",AVERAGEIFS($AV$2:AV68,$A$2:A68,$A68,$F$2:F68,"&lt;="&amp;$F68)-AVERAGEIFS($AU$2:AU68,$A$2:A68,$A68,$F$2:F68,"&lt;="&amp;$F68)),"")</f>
        <v>-</v>
      </c>
      <c r="AY68" s="453" t="str">
        <f>IFERROR(IF(R72=0,"-",AVERAGEIFS($AV$2:AV68,$A$2:A68,A68,$C$2:C68,C68)-AVERAGEIFS($AU$2:AU68,$A$2:A68,A68,$C$2:C68,C68)),"")</f>
        <v>-</v>
      </c>
      <c r="AZ68" s="86"/>
      <c r="BA68" s="449">
        <f>'Glass Metrics'!AC73</f>
        <v>0</v>
      </c>
      <c r="BB68" s="450" t="str">
        <f t="shared" si="44"/>
        <v/>
      </c>
      <c r="BC68" s="450" t="str">
        <f>IFERROR(IF(R68=0,"-",AVERAGEIFS($BA$2:BA68,$A$2:A68,$A68,$F$2:F68,"&lt;="&amp;$F68)/AVERAGEIFS($AZ$2:AZ68,$A$2:A68,$A68,$F$2:F68,"&lt;="&amp;$F68)-1),"")</f>
        <v>-</v>
      </c>
      <c r="BD68" s="269" t="str">
        <f>IFERROR(IF(R68=0,"-",AVERAGEIFS($BA$2:BA68,$A$2:A68,A68,$C$2:C68,C68)/AVERAGEIFS($AZ$2:AZ68,$A$2:A68,A68,$C$2:C68,C68)-1),"")</f>
        <v>-</v>
      </c>
    </row>
    <row r="69" spans="1:56" ht="16.350000000000001" customHeight="1">
      <c r="A69" s="175">
        <f t="shared" si="23"/>
        <v>2022</v>
      </c>
      <c r="B69" s="447" t="str">
        <f t="shared" si="24"/>
        <v>16</v>
      </c>
      <c r="C69" s="447" t="str">
        <f t="array" ref="C69">_xlfn.IFS(_xlfn.NUMBERVALUE(B69)&lt;=13,"Q1",AND(_xlfn.NUMBERVALUE(B69)&gt;13,_xlfn.NUMBERVALUE(B69)&lt;=26),"Q2", AND(_xlfn.NUMBERVALUE(B69)&gt;26,_xlfn.NUMBERVALUE(B69)&lt;=39),"Q3",_xlfn.NUMBERVALUE(B69)&gt;39,"Q4")</f>
        <v>Q2</v>
      </c>
      <c r="D69" s="448">
        <f t="shared" si="45"/>
        <v>44331</v>
      </c>
      <c r="E69" s="448">
        <f t="shared" si="25"/>
        <v>44337</v>
      </c>
      <c r="F69" s="79">
        <v>202116</v>
      </c>
      <c r="G69" s="815"/>
      <c r="H69" s="816"/>
      <c r="I69" s="429"/>
      <c r="J69" s="214">
        <f t="shared" si="26"/>
        <v>0</v>
      </c>
      <c r="K69" s="429"/>
      <c r="L69" s="429"/>
      <c r="M69" s="429"/>
      <c r="N69" s="214">
        <f t="shared" si="27"/>
        <v>0</v>
      </c>
      <c r="O69" s="449">
        <f>'Overall Metrics'!L74</f>
        <v>0</v>
      </c>
      <c r="P69" s="449">
        <f>'Overall Metrics'!M74</f>
        <v>0</v>
      </c>
      <c r="Q69" s="449">
        <f>'Overall Metrics'!N74</f>
        <v>0</v>
      </c>
      <c r="R69" s="449">
        <f t="shared" si="28"/>
        <v>0</v>
      </c>
      <c r="S69" s="180">
        <f t="shared" si="29"/>
        <v>0</v>
      </c>
      <c r="T69" s="449">
        <f t="shared" si="30"/>
        <v>0</v>
      </c>
      <c r="U69" s="449">
        <f t="shared" si="31"/>
        <v>0</v>
      </c>
      <c r="V69" s="450" t="str">
        <f t="shared" si="32"/>
        <v/>
      </c>
      <c r="W69" s="450" t="str">
        <f>IF(R69=0,"-",SUMIFS($R$2:R69,$A$2:A69,A69,$C$2:C69,C69)/SUMIFS($J$2:J69,$A$2:A69,A69,$C$2:C69,C69)-1)</f>
        <v>-</v>
      </c>
      <c r="X69" s="450" t="str">
        <f t="shared" si="33"/>
        <v/>
      </c>
      <c r="Y69" s="450" t="str">
        <f>IFERROR(IF(R69=0,"-",SUMIFS($R$2:R69,$A$2:A69,A69,$C$2:C69,C69)/SUMIFS($N$2:N69,$A$2:A69,A69,$C$2:C69,C69)-1),"")</f>
        <v>-</v>
      </c>
      <c r="Z69" s="269" t="str">
        <f>IF(R69=0,"",(S69/VLOOKUP(_xlfn.NUMBERVALUE(_xlfn.CONCAT(LEFT(F69,4),52)),$F$2:T276,COLUMNS($F$2:T276),FALSE)))</f>
        <v/>
      </c>
      <c r="AA69" s="269" t="str">
        <f>IFERROR(IF(R69=0,"",(S69/VLOOKUP(_xlfn.NUMBERVALUE(_xlfn.CONCAT(LEFT(F69,4),52)),$F$2:U276,COLUMNS($F$2:U276),FALSE))),"")</f>
        <v/>
      </c>
      <c r="AB69" s="268" t="str">
        <f t="shared" si="34"/>
        <v/>
      </c>
      <c r="AC69" s="450" t="str">
        <f t="shared" si="35"/>
        <v/>
      </c>
      <c r="AD69" s="450" t="str">
        <f t="shared" si="36"/>
        <v/>
      </c>
      <c r="AE69" s="269" t="str">
        <f t="shared" si="37"/>
        <v/>
      </c>
      <c r="AF69" s="268" t="str">
        <f t="shared" si="38"/>
        <v/>
      </c>
      <c r="AG69" s="450" t="str">
        <f t="shared" si="39"/>
        <v/>
      </c>
      <c r="AH69" s="450" t="str">
        <f t="shared" si="40"/>
        <v/>
      </c>
      <c r="AI69" s="269" t="str">
        <f t="shared" si="41"/>
        <v/>
      </c>
      <c r="AJ69" s="450" t="str">
        <f>IF(O69=0,"-",SUMIFS($O$2:O69,$A$2:A69,$A69,$F$2:F69,"&lt;="&amp;$F69)/SUMIFS($G$2:G69,$A$2:A69,$A69,$F$2:F69,"&lt;="&amp;$F69)-1)</f>
        <v>-</v>
      </c>
      <c r="AK69" s="450" t="str">
        <f>IF(P69=0,"-",SUMIFS($P$2:P69,$A$2:A69,$A69,$F$2:F69,"&lt;="&amp;$F69)/SUMIFS($H$2:H69,$A$2:A69,$A69,$F$2:F69,"&lt;="&amp;$F69)-1)</f>
        <v>-</v>
      </c>
      <c r="AL69" s="450" t="str">
        <f>IF(Q69=0,"-",SUMIFS($Q$2:Q69,$A$2:A69,$A69,$F$2:F69,"&lt;="&amp;$F69)/SUMIFS($I$2:I69,$A$2:A69,$A69,$F$2:F69,"&lt;="&amp;$F69)-1)</f>
        <v>-</v>
      </c>
      <c r="AM69" s="450" t="str">
        <f>IFERROR(IF(O69=0,"-",SUMIFS($O$2:O69,$A$2:A69,$A69,$F$2:F69,"&lt;="&amp;$F69)/SUMIFS($K$2:K69,$A$2:A69,$A69,$F$2:F69,"&lt;="&amp;$F69)-1),"")</f>
        <v>-</v>
      </c>
      <c r="AN69" s="450" t="str">
        <f>IFERROR(IF(P69=0,"-",SUMIFS($P$2:P69,$A$2:A69,$A69,$F$2:F69,"&lt;="&amp;$F69)/SUMIFS($L$2:L69,$A$2:A69,$A69,$F$2:F69,"&lt;="&amp;$F69)-1),"")</f>
        <v>-</v>
      </c>
      <c r="AO69" s="450" t="str">
        <f>IFERROR(IF(Q69=0,"-",SUMIFS($Q$2:Q69,$A$2:A69,$A69,$F$2:F69,"&lt;="&amp;$F69)/SUMIFS($M$2:M69,$A$2:A69,$A69,$F$2:F69,"&lt;="&amp;$F69)-1),"")</f>
        <v>-</v>
      </c>
      <c r="AP69" s="86"/>
      <c r="AQ69" s="452" t="str">
        <f>'Overall Metrics'!AO74</f>
        <v/>
      </c>
      <c r="AR69" s="450" t="str">
        <f t="shared" si="42"/>
        <v/>
      </c>
      <c r="AS69" s="453" t="str">
        <f>IFERROR(IF(R70=0,"-",AVERAGEIFS($AQ$2:AQ69,$A$2:A69,$A69,$F$2:F69,"&lt;="&amp;$F69)-AVERAGEIFS($AP$2:AP69,$A$2:A69,$A69,$F$2:F69,"&lt;="&amp;$F69)),"")</f>
        <v>-</v>
      </c>
      <c r="AT69" s="390" t="str">
        <f>IFERROR(IF(R70=0,"-",AVERAGEIFS($AQ$2:AQ69,$A$2:A69,A69,$C$2:C69,C69)-AVERAGEIFS($AP$2:AP69,$A$2:A69,A69,$C$2:C69,C69)),"")</f>
        <v>-</v>
      </c>
      <c r="AU69" s="79"/>
      <c r="AV69" s="452" t="str">
        <f>'Overall Metrics'!AS74</f>
        <v/>
      </c>
      <c r="AW69" s="450" t="str">
        <f t="shared" si="43"/>
        <v/>
      </c>
      <c r="AX69" s="453" t="str">
        <f>IFERROR(IF(R73=0,"-",AVERAGEIFS($AV$2:AV69,$A$2:A69,$A69,$F$2:F69,"&lt;="&amp;$F69)-AVERAGEIFS($AU$2:AU69,$A$2:A69,$A69,$F$2:F69,"&lt;="&amp;$F69)),"")</f>
        <v>-</v>
      </c>
      <c r="AY69" s="453" t="str">
        <f>IFERROR(IF(R73=0,"-",AVERAGEIFS($AV$2:AV69,$A$2:A69,A69,$C$2:C69,C69)-AVERAGEIFS($AU$2:AU69,$A$2:A69,A69,$C$2:C69,C69)),"")</f>
        <v>-</v>
      </c>
      <c r="AZ69" s="86"/>
      <c r="BA69" s="449">
        <f>'Glass Metrics'!AC74</f>
        <v>0</v>
      </c>
      <c r="BB69" s="450" t="str">
        <f t="shared" si="44"/>
        <v/>
      </c>
      <c r="BC69" s="450" t="str">
        <f>IFERROR(IF(R69=0,"-",AVERAGEIFS($BA$2:BA69,$A$2:A69,$A69,$F$2:F69,"&lt;="&amp;$F69)/AVERAGEIFS($AZ$2:AZ69,$A$2:A69,$A69,$F$2:F69,"&lt;="&amp;$F69)-1),"")</f>
        <v>-</v>
      </c>
      <c r="BD69" s="269" t="str">
        <f>IFERROR(IF(R69=0,"-",AVERAGEIFS($BA$2:BA69,$A$2:A69,A69,$C$2:C69,C69)/AVERAGEIFS($AZ$2:AZ69,$A$2:A69,A69,$C$2:C69,C69)-1),"")</f>
        <v>-</v>
      </c>
    </row>
    <row r="70" spans="1:56" ht="16.350000000000001" customHeight="1">
      <c r="A70" s="175">
        <f t="shared" si="23"/>
        <v>2022</v>
      </c>
      <c r="B70" s="447" t="str">
        <f t="shared" si="24"/>
        <v>17</v>
      </c>
      <c r="C70" s="447" t="str">
        <f t="array" ref="C70">_xlfn.IFS(_xlfn.NUMBERVALUE(B70)&lt;=13,"Q1",AND(_xlfn.NUMBERVALUE(B70)&gt;13,_xlfn.NUMBERVALUE(B70)&lt;=26),"Q2", AND(_xlfn.NUMBERVALUE(B70)&gt;26,_xlfn.NUMBERVALUE(B70)&lt;=39),"Q3",_xlfn.NUMBERVALUE(B70)&gt;39,"Q4")</f>
        <v>Q2</v>
      </c>
      <c r="D70" s="448">
        <f t="shared" si="45"/>
        <v>44338</v>
      </c>
      <c r="E70" s="448">
        <f t="shared" si="25"/>
        <v>44344</v>
      </c>
      <c r="F70" s="79">
        <v>202117</v>
      </c>
      <c r="G70" s="815"/>
      <c r="H70" s="816"/>
      <c r="I70" s="429"/>
      <c r="J70" s="214">
        <f t="shared" si="26"/>
        <v>0</v>
      </c>
      <c r="K70" s="429"/>
      <c r="L70" s="429"/>
      <c r="M70" s="429"/>
      <c r="N70" s="214">
        <f t="shared" si="27"/>
        <v>0</v>
      </c>
      <c r="O70" s="449">
        <f>'Overall Metrics'!L75</f>
        <v>0</v>
      </c>
      <c r="P70" s="449">
        <f>'Overall Metrics'!M75</f>
        <v>0</v>
      </c>
      <c r="Q70" s="449">
        <f>'Overall Metrics'!N75</f>
        <v>0</v>
      </c>
      <c r="R70" s="449">
        <f t="shared" si="28"/>
        <v>0</v>
      </c>
      <c r="S70" s="180">
        <f t="shared" si="29"/>
        <v>0</v>
      </c>
      <c r="T70" s="449">
        <f t="shared" si="30"/>
        <v>0</v>
      </c>
      <c r="U70" s="449">
        <f t="shared" si="31"/>
        <v>0</v>
      </c>
      <c r="V70" s="450" t="str">
        <f t="shared" si="32"/>
        <v/>
      </c>
      <c r="W70" s="450" t="str">
        <f>IF(R70=0,"-",SUMIFS($R$2:R70,$A$2:A70,A70,$C$2:C70,C70)/SUMIFS($J$2:J70,$A$2:A70,A70,$C$2:C70,C70)-1)</f>
        <v>-</v>
      </c>
      <c r="X70" s="450" t="str">
        <f t="shared" si="33"/>
        <v/>
      </c>
      <c r="Y70" s="450" t="str">
        <f>IFERROR(IF(R70=0,"-",SUMIFS($R$2:R70,$A$2:A70,A70,$C$2:C70,C70)/SUMIFS($N$2:N70,$A$2:A70,A70,$C$2:C70,C70)-1),"")</f>
        <v>-</v>
      </c>
      <c r="Z70" s="269" t="str">
        <f>IF(R70=0,"",(S70/VLOOKUP(_xlfn.NUMBERVALUE(_xlfn.CONCAT(LEFT(F70,4),52)),$F$2:T277,COLUMNS($F$2:T277),FALSE)))</f>
        <v/>
      </c>
      <c r="AA70" s="269" t="str">
        <f>IFERROR(IF(R70=0,"",(S70/VLOOKUP(_xlfn.NUMBERVALUE(_xlfn.CONCAT(LEFT(F70,4),52)),$F$2:U277,COLUMNS($F$2:U277),FALSE))),"")</f>
        <v/>
      </c>
      <c r="AB70" s="268" t="str">
        <f t="shared" si="34"/>
        <v/>
      </c>
      <c r="AC70" s="450" t="str">
        <f t="shared" si="35"/>
        <v/>
      </c>
      <c r="AD70" s="450" t="str">
        <f t="shared" si="36"/>
        <v/>
      </c>
      <c r="AE70" s="269" t="str">
        <f t="shared" si="37"/>
        <v/>
      </c>
      <c r="AF70" s="268" t="str">
        <f t="shared" si="38"/>
        <v/>
      </c>
      <c r="AG70" s="450" t="str">
        <f t="shared" si="39"/>
        <v/>
      </c>
      <c r="AH70" s="450" t="str">
        <f t="shared" si="40"/>
        <v/>
      </c>
      <c r="AI70" s="269" t="str">
        <f t="shared" si="41"/>
        <v/>
      </c>
      <c r="AJ70" s="450" t="str">
        <f>IF(O70=0,"-",SUMIFS($O$2:O70,$A$2:A70,$A70,$F$2:F70,"&lt;="&amp;$F70)/SUMIFS($G$2:G70,$A$2:A70,$A70,$F$2:F70,"&lt;="&amp;$F70)-1)</f>
        <v>-</v>
      </c>
      <c r="AK70" s="450" t="str">
        <f>IF(P70=0,"-",SUMIFS($P$2:P70,$A$2:A70,$A70,$F$2:F70,"&lt;="&amp;$F70)/SUMIFS($H$2:H70,$A$2:A70,$A70,$F$2:F70,"&lt;="&amp;$F70)-1)</f>
        <v>-</v>
      </c>
      <c r="AL70" s="450" t="str">
        <f>IF(Q70=0,"-",SUMIFS($Q$2:Q70,$A$2:A70,$A70,$F$2:F70,"&lt;="&amp;$F70)/SUMIFS($I$2:I70,$A$2:A70,$A70,$F$2:F70,"&lt;="&amp;$F70)-1)</f>
        <v>-</v>
      </c>
      <c r="AM70" s="450" t="str">
        <f>IFERROR(IF(O70=0,"-",SUMIFS($O$2:O70,$A$2:A70,$A70,$F$2:F70,"&lt;="&amp;$F70)/SUMIFS($K$2:K70,$A$2:A70,$A70,$F$2:F70,"&lt;="&amp;$F70)-1),"")</f>
        <v>-</v>
      </c>
      <c r="AN70" s="450" t="str">
        <f>IFERROR(IF(P70=0,"-",SUMIFS($P$2:P70,$A$2:A70,$A70,$F$2:F70,"&lt;="&amp;$F70)/SUMIFS($L$2:L70,$A$2:A70,$A70,$F$2:F70,"&lt;="&amp;$F70)-1),"")</f>
        <v>-</v>
      </c>
      <c r="AO70" s="450" t="str">
        <f>IFERROR(IF(Q70=0,"-",SUMIFS($Q$2:Q70,$A$2:A70,$A70,$F$2:F70,"&lt;="&amp;$F70)/SUMIFS($M$2:M70,$A$2:A70,$A70,$F$2:F70,"&lt;="&amp;$F70)-1),"")</f>
        <v>-</v>
      </c>
      <c r="AP70" s="86"/>
      <c r="AQ70" s="452" t="str">
        <f>'Overall Metrics'!AO75</f>
        <v/>
      </c>
      <c r="AR70" s="450" t="str">
        <f t="shared" si="42"/>
        <v/>
      </c>
      <c r="AS70" s="453" t="str">
        <f>IFERROR(IF(R71=0,"-",AVERAGEIFS($AQ$2:AQ70,$A$2:A70,$A70,$F$2:F70,"&lt;="&amp;$F70)-AVERAGEIFS($AP$2:AP70,$A$2:A70,$A70,$F$2:F70,"&lt;="&amp;$F70)),"")</f>
        <v>-</v>
      </c>
      <c r="AT70" s="390" t="str">
        <f>IFERROR(IF(R71=0,"-",AVERAGEIFS($AQ$2:AQ70,$A$2:A70,A70,$C$2:C70,C70)-AVERAGEIFS($AP$2:AP70,$A$2:A70,A70,$C$2:C70,C70)),"")</f>
        <v>-</v>
      </c>
      <c r="AU70" s="79"/>
      <c r="AV70" s="452" t="str">
        <f>'Overall Metrics'!AS75</f>
        <v/>
      </c>
      <c r="AW70" s="450" t="str">
        <f t="shared" si="43"/>
        <v/>
      </c>
      <c r="AX70" s="453" t="str">
        <f>IFERROR(IF(R74=0,"-",AVERAGEIFS($AV$2:AV70,$A$2:A70,$A70,$F$2:F70,"&lt;="&amp;$F70)-AVERAGEIFS($AU$2:AU70,$A$2:A70,$A70,$F$2:F70,"&lt;="&amp;$F70)),"")</f>
        <v>-</v>
      </c>
      <c r="AY70" s="453" t="str">
        <f>IFERROR(IF(R74=0,"-",AVERAGEIFS($AV$2:AV70,$A$2:A70,A70,$C$2:C70,C70)-AVERAGEIFS($AU$2:AU70,$A$2:A70,A70,$C$2:C70,C70)),"")</f>
        <v>-</v>
      </c>
      <c r="AZ70" s="86"/>
      <c r="BA70" s="449">
        <f>'Glass Metrics'!AC75</f>
        <v>0</v>
      </c>
      <c r="BB70" s="450" t="str">
        <f t="shared" si="44"/>
        <v/>
      </c>
      <c r="BC70" s="450" t="str">
        <f>IFERROR(IF(R70=0,"-",AVERAGEIFS($BA$2:BA70,$A$2:A70,$A70,$F$2:F70,"&lt;="&amp;$F70)/AVERAGEIFS($AZ$2:AZ70,$A$2:A70,$A70,$F$2:F70,"&lt;="&amp;$F70)-1),"")</f>
        <v>-</v>
      </c>
      <c r="BD70" s="269" t="str">
        <f>IFERROR(IF(R70=0,"-",AVERAGEIFS($BA$2:BA70,$A$2:A70,A70,$C$2:C70,C70)/AVERAGEIFS($AZ$2:AZ70,$A$2:A70,A70,$C$2:C70,C70)-1),"")</f>
        <v>-</v>
      </c>
    </row>
    <row r="71" spans="1:56" ht="16.350000000000001" customHeight="1">
      <c r="A71" s="175">
        <f t="shared" si="23"/>
        <v>2022</v>
      </c>
      <c r="B71" s="447" t="str">
        <f t="shared" si="24"/>
        <v>18</v>
      </c>
      <c r="C71" s="447" t="str">
        <f t="array" ref="C71">_xlfn.IFS(_xlfn.NUMBERVALUE(B71)&lt;=13,"Q1",AND(_xlfn.NUMBERVALUE(B71)&gt;13,_xlfn.NUMBERVALUE(B71)&lt;=26),"Q2", AND(_xlfn.NUMBERVALUE(B71)&gt;26,_xlfn.NUMBERVALUE(B71)&lt;=39),"Q3",_xlfn.NUMBERVALUE(B71)&gt;39,"Q4")</f>
        <v>Q2</v>
      </c>
      <c r="D71" s="448">
        <f t="shared" si="45"/>
        <v>44345</v>
      </c>
      <c r="E71" s="448">
        <f t="shared" si="25"/>
        <v>44351</v>
      </c>
      <c r="F71" s="79">
        <v>202118</v>
      </c>
      <c r="G71" s="815"/>
      <c r="H71" s="816"/>
      <c r="I71" s="429"/>
      <c r="J71" s="214">
        <f t="shared" si="26"/>
        <v>0</v>
      </c>
      <c r="K71" s="429"/>
      <c r="L71" s="429"/>
      <c r="M71" s="429"/>
      <c r="N71" s="214">
        <f t="shared" si="27"/>
        <v>0</v>
      </c>
      <c r="O71" s="449">
        <f>'Overall Metrics'!L76</f>
        <v>0</v>
      </c>
      <c r="P71" s="449">
        <f>'Overall Metrics'!M76</f>
        <v>0</v>
      </c>
      <c r="Q71" s="449">
        <f>'Overall Metrics'!N76</f>
        <v>0</v>
      </c>
      <c r="R71" s="449">
        <f t="shared" si="28"/>
        <v>0</v>
      </c>
      <c r="S71" s="180">
        <f t="shared" si="29"/>
        <v>0</v>
      </c>
      <c r="T71" s="449">
        <f t="shared" si="30"/>
        <v>0</v>
      </c>
      <c r="U71" s="449">
        <f t="shared" si="31"/>
        <v>0</v>
      </c>
      <c r="V71" s="450" t="str">
        <f t="shared" si="32"/>
        <v/>
      </c>
      <c r="W71" s="450" t="str">
        <f>IF(R71=0,"-",SUMIFS($R$2:R71,$A$2:A71,A71,$C$2:C71,C71)/SUMIFS($J$2:J71,$A$2:A71,A71,$C$2:C71,C71)-1)</f>
        <v>-</v>
      </c>
      <c r="X71" s="450" t="str">
        <f t="shared" si="33"/>
        <v/>
      </c>
      <c r="Y71" s="450" t="str">
        <f>IFERROR(IF(R71=0,"-",SUMIFS($R$2:R71,$A$2:A71,A71,$C$2:C71,C71)/SUMIFS($N$2:N71,$A$2:A71,A71,$C$2:C71,C71)-1),"")</f>
        <v>-</v>
      </c>
      <c r="Z71" s="269" t="str">
        <f>IF(R71=0,"",(S71/VLOOKUP(_xlfn.NUMBERVALUE(_xlfn.CONCAT(LEFT(F71,4),52)),$F$2:T278,COLUMNS($F$2:T278),FALSE)))</f>
        <v/>
      </c>
      <c r="AA71" s="269" t="str">
        <f>IFERROR(IF(R71=0,"",(S71/VLOOKUP(_xlfn.NUMBERVALUE(_xlfn.CONCAT(LEFT(F71,4),52)),$F$2:U278,COLUMNS($F$2:U278),FALSE))),"")</f>
        <v/>
      </c>
      <c r="AB71" s="268" t="str">
        <f t="shared" si="34"/>
        <v/>
      </c>
      <c r="AC71" s="450" t="str">
        <f t="shared" si="35"/>
        <v/>
      </c>
      <c r="AD71" s="450" t="str">
        <f t="shared" si="36"/>
        <v/>
      </c>
      <c r="AE71" s="269" t="str">
        <f t="shared" si="37"/>
        <v/>
      </c>
      <c r="AF71" s="268" t="str">
        <f t="shared" si="38"/>
        <v/>
      </c>
      <c r="AG71" s="450" t="str">
        <f t="shared" si="39"/>
        <v/>
      </c>
      <c r="AH71" s="450" t="str">
        <f t="shared" si="40"/>
        <v/>
      </c>
      <c r="AI71" s="269" t="str">
        <f t="shared" si="41"/>
        <v/>
      </c>
      <c r="AJ71" s="450" t="str">
        <f>IF(O71=0,"-",SUMIFS($O$2:O71,$A$2:A71,$A71,$F$2:F71,"&lt;="&amp;$F71)/SUMIFS($G$2:G71,$A$2:A71,$A71,$F$2:F71,"&lt;="&amp;$F71)-1)</f>
        <v>-</v>
      </c>
      <c r="AK71" s="450" t="str">
        <f>IF(P71=0,"-",SUMIFS($P$2:P71,$A$2:A71,$A71,$F$2:F71,"&lt;="&amp;$F71)/SUMIFS($H$2:H71,$A$2:A71,$A71,$F$2:F71,"&lt;="&amp;$F71)-1)</f>
        <v>-</v>
      </c>
      <c r="AL71" s="450" t="str">
        <f>IF(Q71=0,"-",SUMIFS($Q$2:Q71,$A$2:A71,$A71,$F$2:F71,"&lt;="&amp;$F71)/SUMIFS($I$2:I71,$A$2:A71,$A71,$F$2:F71,"&lt;="&amp;$F71)-1)</f>
        <v>-</v>
      </c>
      <c r="AM71" s="450" t="str">
        <f>IFERROR(IF(O71=0,"-",SUMIFS($O$2:O71,$A$2:A71,$A71,$F$2:F71,"&lt;="&amp;$F71)/SUMIFS($K$2:K71,$A$2:A71,$A71,$F$2:F71,"&lt;="&amp;$F71)-1),"")</f>
        <v>-</v>
      </c>
      <c r="AN71" s="450" t="str">
        <f>IFERROR(IF(P71=0,"-",SUMIFS($P$2:P71,$A$2:A71,$A71,$F$2:F71,"&lt;="&amp;$F71)/SUMIFS($L$2:L71,$A$2:A71,$A71,$F$2:F71,"&lt;="&amp;$F71)-1),"")</f>
        <v>-</v>
      </c>
      <c r="AO71" s="450" t="str">
        <f>IFERROR(IF(Q71=0,"-",SUMIFS($Q$2:Q71,$A$2:A71,$A71,$F$2:F71,"&lt;="&amp;$F71)/SUMIFS($M$2:M71,$A$2:A71,$A71,$F$2:F71,"&lt;="&amp;$F71)-1),"")</f>
        <v>-</v>
      </c>
      <c r="AP71" s="86"/>
      <c r="AQ71" s="452" t="str">
        <f>'Overall Metrics'!AO76</f>
        <v/>
      </c>
      <c r="AR71" s="450" t="str">
        <f t="shared" si="42"/>
        <v/>
      </c>
      <c r="AS71" s="453" t="str">
        <f>IFERROR(IF(R72=0,"-",AVERAGEIFS($AQ$2:AQ71,$A$2:A71,$A71,$F$2:F71,"&lt;="&amp;$F71)-AVERAGEIFS($AP$2:AP71,$A$2:A71,$A71,$F$2:F71,"&lt;="&amp;$F71)),"")</f>
        <v>-</v>
      </c>
      <c r="AT71" s="390" t="str">
        <f>IFERROR(IF(R72=0,"-",AVERAGEIFS($AQ$2:AQ71,$A$2:A71,A71,$C$2:C71,C71)-AVERAGEIFS($AP$2:AP71,$A$2:A71,A71,$C$2:C71,C71)),"")</f>
        <v>-</v>
      </c>
      <c r="AU71" s="79"/>
      <c r="AV71" s="452" t="str">
        <f>'Overall Metrics'!AS76</f>
        <v/>
      </c>
      <c r="AW71" s="450" t="str">
        <f t="shared" si="43"/>
        <v/>
      </c>
      <c r="AX71" s="453" t="str">
        <f>IFERROR(IF(R75=0,"-",AVERAGEIFS($AV$2:AV71,$A$2:A71,$A71,$F$2:F71,"&lt;="&amp;$F71)-AVERAGEIFS($AU$2:AU71,$A$2:A71,$A71,$F$2:F71,"&lt;="&amp;$F71)),"")</f>
        <v>-</v>
      </c>
      <c r="AY71" s="453" t="str">
        <f>IFERROR(IF(R75=0,"-",AVERAGEIFS($AV$2:AV71,$A$2:A71,A71,$C$2:C71,C71)-AVERAGEIFS($AU$2:AU71,$A$2:A71,A71,$C$2:C71,C71)),"")</f>
        <v>-</v>
      </c>
      <c r="AZ71" s="86"/>
      <c r="BA71" s="449">
        <f>'Glass Metrics'!AC76</f>
        <v>0</v>
      </c>
      <c r="BB71" s="450" t="str">
        <f t="shared" si="44"/>
        <v/>
      </c>
      <c r="BC71" s="450" t="str">
        <f>IFERROR(IF(R71=0,"-",AVERAGEIFS($BA$2:BA71,$A$2:A71,$A71,$F$2:F71,"&lt;="&amp;$F71)/AVERAGEIFS($AZ$2:AZ71,$A$2:A71,$A71,$F$2:F71,"&lt;="&amp;$F71)-1),"")</f>
        <v>-</v>
      </c>
      <c r="BD71" s="269" t="str">
        <f>IFERROR(IF(R71=0,"-",AVERAGEIFS($BA$2:BA71,$A$2:A71,A71,$C$2:C71,C71)/AVERAGEIFS($AZ$2:AZ71,$A$2:A71,A71,$C$2:C71,C71)-1),"")</f>
        <v>-</v>
      </c>
    </row>
    <row r="72" spans="1:56" ht="16.350000000000001" customHeight="1">
      <c r="A72" s="175">
        <f t="shared" si="23"/>
        <v>2022</v>
      </c>
      <c r="B72" s="447" t="str">
        <f t="shared" si="24"/>
        <v>19</v>
      </c>
      <c r="C72" s="447" t="str">
        <f t="array" ref="C72">_xlfn.IFS(_xlfn.NUMBERVALUE(B72)&lt;=13,"Q1",AND(_xlfn.NUMBERVALUE(B72)&gt;13,_xlfn.NUMBERVALUE(B72)&lt;=26),"Q2", AND(_xlfn.NUMBERVALUE(B72)&gt;26,_xlfn.NUMBERVALUE(B72)&lt;=39),"Q3",_xlfn.NUMBERVALUE(B72)&gt;39,"Q4")</f>
        <v>Q2</v>
      </c>
      <c r="D72" s="448">
        <f t="shared" si="45"/>
        <v>44352</v>
      </c>
      <c r="E72" s="448">
        <f t="shared" si="25"/>
        <v>44358</v>
      </c>
      <c r="F72" s="79">
        <v>202119</v>
      </c>
      <c r="G72" s="815"/>
      <c r="H72" s="816"/>
      <c r="I72" s="429"/>
      <c r="J72" s="214">
        <f t="shared" si="26"/>
        <v>0</v>
      </c>
      <c r="K72" s="429"/>
      <c r="L72" s="429"/>
      <c r="M72" s="429"/>
      <c r="N72" s="214">
        <f t="shared" si="27"/>
        <v>0</v>
      </c>
      <c r="O72" s="449">
        <f>'Overall Metrics'!L77</f>
        <v>0</v>
      </c>
      <c r="P72" s="449">
        <f>'Overall Metrics'!M77</f>
        <v>0</v>
      </c>
      <c r="Q72" s="449">
        <f>'Overall Metrics'!N77</f>
        <v>0</v>
      </c>
      <c r="R72" s="449">
        <f t="shared" si="28"/>
        <v>0</v>
      </c>
      <c r="S72" s="180">
        <f t="shared" si="29"/>
        <v>0</v>
      </c>
      <c r="T72" s="449">
        <f t="shared" si="30"/>
        <v>0</v>
      </c>
      <c r="U72" s="449">
        <f t="shared" si="31"/>
        <v>0</v>
      </c>
      <c r="V72" s="450" t="str">
        <f t="shared" si="32"/>
        <v/>
      </c>
      <c r="W72" s="450" t="str">
        <f>IF(R72=0,"-",SUMIFS($R$2:R72,$A$2:A72,A72,$C$2:C72,C72)/SUMIFS($J$2:J72,$A$2:A72,A72,$C$2:C72,C72)-1)</f>
        <v>-</v>
      </c>
      <c r="X72" s="450" t="str">
        <f t="shared" si="33"/>
        <v/>
      </c>
      <c r="Y72" s="450" t="str">
        <f>IFERROR(IF(R72=0,"-",SUMIFS($R$2:R72,$A$2:A72,A72,$C$2:C72,C72)/SUMIFS($N$2:N72,$A$2:A72,A72,$C$2:C72,C72)-1),"")</f>
        <v>-</v>
      </c>
      <c r="Z72" s="269" t="str">
        <f>IF(R72=0,"",(S72/VLOOKUP(_xlfn.NUMBERVALUE(_xlfn.CONCAT(LEFT(F72,4),52)),$F$2:T279,COLUMNS($F$2:T279),FALSE)))</f>
        <v/>
      </c>
      <c r="AA72" s="269" t="str">
        <f>IFERROR(IF(R72=0,"",(S72/VLOOKUP(_xlfn.NUMBERVALUE(_xlfn.CONCAT(LEFT(F72,4),52)),$F$2:U279,COLUMNS($F$2:U279),FALSE))),"")</f>
        <v/>
      </c>
      <c r="AB72" s="268" t="str">
        <f t="shared" si="34"/>
        <v/>
      </c>
      <c r="AC72" s="450" t="str">
        <f t="shared" si="35"/>
        <v/>
      </c>
      <c r="AD72" s="450" t="str">
        <f t="shared" si="36"/>
        <v/>
      </c>
      <c r="AE72" s="269" t="str">
        <f t="shared" si="37"/>
        <v/>
      </c>
      <c r="AF72" s="268" t="str">
        <f t="shared" si="38"/>
        <v/>
      </c>
      <c r="AG72" s="450" t="str">
        <f t="shared" si="39"/>
        <v/>
      </c>
      <c r="AH72" s="450" t="str">
        <f t="shared" si="40"/>
        <v/>
      </c>
      <c r="AI72" s="269" t="str">
        <f t="shared" si="41"/>
        <v/>
      </c>
      <c r="AJ72" s="450" t="str">
        <f>IF(O72=0,"-",SUMIFS($O$2:O72,$A$2:A72,$A72,$F$2:F72,"&lt;="&amp;$F72)/SUMIFS($G$2:G72,$A$2:A72,$A72,$F$2:F72,"&lt;="&amp;$F72)-1)</f>
        <v>-</v>
      </c>
      <c r="AK72" s="450" t="str">
        <f>IF(P72=0,"-",SUMIFS($P$2:P72,$A$2:A72,$A72,$F$2:F72,"&lt;="&amp;$F72)/SUMIFS($H$2:H72,$A$2:A72,$A72,$F$2:F72,"&lt;="&amp;$F72)-1)</f>
        <v>-</v>
      </c>
      <c r="AL72" s="450" t="str">
        <f>IF(Q72=0,"-",SUMIFS($Q$2:Q72,$A$2:A72,$A72,$F$2:F72,"&lt;="&amp;$F72)/SUMIFS($I$2:I72,$A$2:A72,$A72,$F$2:F72,"&lt;="&amp;$F72)-1)</f>
        <v>-</v>
      </c>
      <c r="AM72" s="450" t="str">
        <f>IFERROR(IF(O72=0,"-",SUMIFS($O$2:O72,$A$2:A72,$A72,$F$2:F72,"&lt;="&amp;$F72)/SUMIFS($K$2:K72,$A$2:A72,$A72,$F$2:F72,"&lt;="&amp;$F72)-1),"")</f>
        <v>-</v>
      </c>
      <c r="AN72" s="450" t="str">
        <f>IFERROR(IF(P72=0,"-",SUMIFS($P$2:P72,$A$2:A72,$A72,$F$2:F72,"&lt;="&amp;$F72)/SUMIFS($L$2:L72,$A$2:A72,$A72,$F$2:F72,"&lt;="&amp;$F72)-1),"")</f>
        <v>-</v>
      </c>
      <c r="AO72" s="450" t="str">
        <f>IFERROR(IF(Q72=0,"-",SUMIFS($Q$2:Q72,$A$2:A72,$A72,$F$2:F72,"&lt;="&amp;$F72)/SUMIFS($M$2:M72,$A$2:A72,$A72,$F$2:F72,"&lt;="&amp;$F72)-1),"")</f>
        <v>-</v>
      </c>
      <c r="AP72" s="86"/>
      <c r="AQ72" s="452" t="str">
        <f>'Overall Metrics'!AO77</f>
        <v/>
      </c>
      <c r="AR72" s="450" t="str">
        <f t="shared" si="42"/>
        <v/>
      </c>
      <c r="AS72" s="453" t="str">
        <f>IFERROR(IF(R73=0,"-",AVERAGEIFS($AQ$2:AQ72,$A$2:A72,$A72,$F$2:F72,"&lt;="&amp;$F72)-AVERAGEIFS($AP$2:AP72,$A$2:A72,$A72,$F$2:F72,"&lt;="&amp;$F72)),"")</f>
        <v>-</v>
      </c>
      <c r="AT72" s="390" t="str">
        <f>IFERROR(IF(R73=0,"-",AVERAGEIFS($AQ$2:AQ72,$A$2:A72,A72,$C$2:C72,C72)-AVERAGEIFS($AP$2:AP72,$A$2:A72,A72,$C$2:C72,C72)),"")</f>
        <v>-</v>
      </c>
      <c r="AU72" s="79"/>
      <c r="AV72" s="452" t="str">
        <f>'Overall Metrics'!AS77</f>
        <v/>
      </c>
      <c r="AW72" s="450" t="str">
        <f t="shared" si="43"/>
        <v/>
      </c>
      <c r="AX72" s="453" t="str">
        <f>IFERROR(IF(R76=0,"-",AVERAGEIFS($AV$2:AV72,$A$2:A72,$A72,$F$2:F72,"&lt;="&amp;$F72)-AVERAGEIFS($AU$2:AU72,$A$2:A72,$A72,$F$2:F72,"&lt;="&amp;$F72)),"")</f>
        <v>-</v>
      </c>
      <c r="AY72" s="453" t="str">
        <f>IFERROR(IF(R76=0,"-",AVERAGEIFS($AV$2:AV72,$A$2:A72,A72,$C$2:C72,C72)-AVERAGEIFS($AU$2:AU72,$A$2:A72,A72,$C$2:C72,C72)),"")</f>
        <v>-</v>
      </c>
      <c r="AZ72" s="86"/>
      <c r="BA72" s="449">
        <f>'Glass Metrics'!AC77</f>
        <v>0</v>
      </c>
      <c r="BB72" s="450" t="str">
        <f t="shared" si="44"/>
        <v/>
      </c>
      <c r="BC72" s="450" t="str">
        <f>IFERROR(IF(R72=0,"-",AVERAGEIFS($BA$2:BA72,$A$2:A72,$A72,$F$2:F72,"&lt;="&amp;$F72)/AVERAGEIFS($AZ$2:AZ72,$A$2:A72,$A72,$F$2:F72,"&lt;="&amp;$F72)-1),"")</f>
        <v>-</v>
      </c>
      <c r="BD72" s="269" t="str">
        <f>IFERROR(IF(R72=0,"-",AVERAGEIFS($BA$2:BA72,$A$2:A72,A72,$C$2:C72,C72)/AVERAGEIFS($AZ$2:AZ72,$A$2:A72,A72,$C$2:C72,C72)-1),"")</f>
        <v>-</v>
      </c>
    </row>
    <row r="73" spans="1:56" ht="16.350000000000001" customHeight="1">
      <c r="A73" s="175">
        <f t="shared" si="23"/>
        <v>2022</v>
      </c>
      <c r="B73" s="447" t="str">
        <f t="shared" si="24"/>
        <v>20</v>
      </c>
      <c r="C73" s="447" t="str">
        <f t="array" ref="C73">_xlfn.IFS(_xlfn.NUMBERVALUE(B73)&lt;=13,"Q1",AND(_xlfn.NUMBERVALUE(B73)&gt;13,_xlfn.NUMBERVALUE(B73)&lt;=26),"Q2", AND(_xlfn.NUMBERVALUE(B73)&gt;26,_xlfn.NUMBERVALUE(B73)&lt;=39),"Q3",_xlfn.NUMBERVALUE(B73)&gt;39,"Q4")</f>
        <v>Q2</v>
      </c>
      <c r="D73" s="448">
        <f t="shared" si="45"/>
        <v>44359</v>
      </c>
      <c r="E73" s="448">
        <f t="shared" si="25"/>
        <v>44365</v>
      </c>
      <c r="F73" s="79">
        <v>202120</v>
      </c>
      <c r="G73" s="815"/>
      <c r="H73" s="816"/>
      <c r="I73" s="429"/>
      <c r="J73" s="214">
        <f t="shared" si="26"/>
        <v>0</v>
      </c>
      <c r="K73" s="429"/>
      <c r="L73" s="429"/>
      <c r="M73" s="429"/>
      <c r="N73" s="214">
        <f t="shared" si="27"/>
        <v>0</v>
      </c>
      <c r="O73" s="449">
        <f>'Overall Metrics'!L78</f>
        <v>0</v>
      </c>
      <c r="P73" s="449">
        <f>'Overall Metrics'!M78</f>
        <v>0</v>
      </c>
      <c r="Q73" s="449">
        <f>'Overall Metrics'!N78</f>
        <v>0</v>
      </c>
      <c r="R73" s="449">
        <f t="shared" si="28"/>
        <v>0</v>
      </c>
      <c r="S73" s="180">
        <f t="shared" si="29"/>
        <v>0</v>
      </c>
      <c r="T73" s="449">
        <f t="shared" si="30"/>
        <v>0</v>
      </c>
      <c r="U73" s="449">
        <f t="shared" si="31"/>
        <v>0</v>
      </c>
      <c r="V73" s="450" t="str">
        <f t="shared" si="32"/>
        <v/>
      </c>
      <c r="W73" s="450" t="str">
        <f>IF(R73=0,"-",SUMIFS($R$2:R73,$A$2:A73,A73,$C$2:C73,C73)/SUMIFS($J$2:J73,$A$2:A73,A73,$C$2:C73,C73)-1)</f>
        <v>-</v>
      </c>
      <c r="X73" s="450" t="str">
        <f t="shared" si="33"/>
        <v/>
      </c>
      <c r="Y73" s="450" t="str">
        <f>IFERROR(IF(R73=0,"-",SUMIFS($R$2:R73,$A$2:A73,A73,$C$2:C73,C73)/SUMIFS($N$2:N73,$A$2:A73,A73,$C$2:C73,C73)-1),"")</f>
        <v>-</v>
      </c>
      <c r="Z73" s="269" t="str">
        <f>IF(R73=0,"",(S73/VLOOKUP(_xlfn.NUMBERVALUE(_xlfn.CONCAT(LEFT(F73,4),52)),$F$2:T280,COLUMNS($F$2:T280),FALSE)))</f>
        <v/>
      </c>
      <c r="AA73" s="269" t="str">
        <f>IFERROR(IF(R73=0,"",(S73/VLOOKUP(_xlfn.NUMBERVALUE(_xlfn.CONCAT(LEFT(F73,4),52)),$F$2:U280,COLUMNS($F$2:U280),FALSE))),"")</f>
        <v/>
      </c>
      <c r="AB73" s="268" t="str">
        <f t="shared" si="34"/>
        <v/>
      </c>
      <c r="AC73" s="450" t="str">
        <f t="shared" si="35"/>
        <v/>
      </c>
      <c r="AD73" s="450" t="str">
        <f t="shared" si="36"/>
        <v/>
      </c>
      <c r="AE73" s="269" t="str">
        <f t="shared" si="37"/>
        <v/>
      </c>
      <c r="AF73" s="268" t="str">
        <f t="shared" si="38"/>
        <v/>
      </c>
      <c r="AG73" s="450" t="str">
        <f t="shared" si="39"/>
        <v/>
      </c>
      <c r="AH73" s="450" t="str">
        <f t="shared" si="40"/>
        <v/>
      </c>
      <c r="AI73" s="269" t="str">
        <f t="shared" si="41"/>
        <v/>
      </c>
      <c r="AJ73" s="450" t="str">
        <f>IF(O73=0,"-",SUMIFS($O$2:O73,$A$2:A73,$A73,$F$2:F73,"&lt;="&amp;$F73)/SUMIFS($G$2:G73,$A$2:A73,$A73,$F$2:F73,"&lt;="&amp;$F73)-1)</f>
        <v>-</v>
      </c>
      <c r="AK73" s="450" t="str">
        <f>IF(P73=0,"-",SUMIFS($P$2:P73,$A$2:A73,$A73,$F$2:F73,"&lt;="&amp;$F73)/SUMIFS($H$2:H73,$A$2:A73,$A73,$F$2:F73,"&lt;="&amp;$F73)-1)</f>
        <v>-</v>
      </c>
      <c r="AL73" s="450" t="str">
        <f>IF(Q73=0,"-",SUMIFS($Q$2:Q73,$A$2:A73,$A73,$F$2:F73,"&lt;="&amp;$F73)/SUMIFS($I$2:I73,$A$2:A73,$A73,$F$2:F73,"&lt;="&amp;$F73)-1)</f>
        <v>-</v>
      </c>
      <c r="AM73" s="450" t="str">
        <f>IFERROR(IF(O73=0,"-",SUMIFS($O$2:O73,$A$2:A73,$A73,$F$2:F73,"&lt;="&amp;$F73)/SUMIFS($K$2:K73,$A$2:A73,$A73,$F$2:F73,"&lt;="&amp;$F73)-1),"")</f>
        <v>-</v>
      </c>
      <c r="AN73" s="450" t="str">
        <f>IFERROR(IF(P73=0,"-",SUMIFS($P$2:P73,$A$2:A73,$A73,$F$2:F73,"&lt;="&amp;$F73)/SUMIFS($L$2:L73,$A$2:A73,$A73,$F$2:F73,"&lt;="&amp;$F73)-1),"")</f>
        <v>-</v>
      </c>
      <c r="AO73" s="450" t="str">
        <f>IFERROR(IF(Q73=0,"-",SUMIFS($Q$2:Q73,$A$2:A73,$A73,$F$2:F73,"&lt;="&amp;$F73)/SUMIFS($M$2:M73,$A$2:A73,$A73,$F$2:F73,"&lt;="&amp;$F73)-1),"")</f>
        <v>-</v>
      </c>
      <c r="AP73" s="86"/>
      <c r="AQ73" s="452" t="str">
        <f>'Overall Metrics'!AO78</f>
        <v/>
      </c>
      <c r="AR73" s="450" t="str">
        <f t="shared" si="42"/>
        <v/>
      </c>
      <c r="AS73" s="453" t="str">
        <f>IFERROR(IF(R74=0,"-",AVERAGEIFS($AQ$2:AQ73,$A$2:A73,$A73,$F$2:F73,"&lt;="&amp;$F73)-AVERAGEIFS($AP$2:AP73,$A$2:A73,$A73,$F$2:F73,"&lt;="&amp;$F73)),"")</f>
        <v>-</v>
      </c>
      <c r="AT73" s="390" t="str">
        <f>IFERROR(IF(R74=0,"-",AVERAGEIFS($AQ$2:AQ73,$A$2:A73,A73,$C$2:C73,C73)-AVERAGEIFS($AP$2:AP73,$A$2:A73,A73,$C$2:C73,C73)),"")</f>
        <v>-</v>
      </c>
      <c r="AU73" s="79"/>
      <c r="AV73" s="452" t="str">
        <f>'Overall Metrics'!AS78</f>
        <v/>
      </c>
      <c r="AW73" s="450" t="str">
        <f t="shared" si="43"/>
        <v/>
      </c>
      <c r="AX73" s="453" t="str">
        <f>IFERROR(IF(R77=0,"-",AVERAGEIFS($AV$2:AV73,$A$2:A73,$A73,$F$2:F73,"&lt;="&amp;$F73)-AVERAGEIFS($AU$2:AU73,$A$2:A73,$A73,$F$2:F73,"&lt;="&amp;$F73)),"")</f>
        <v>-</v>
      </c>
      <c r="AY73" s="453" t="str">
        <f>IFERROR(IF(R77=0,"-",AVERAGEIFS($AV$2:AV73,$A$2:A73,A73,$C$2:C73,C73)-AVERAGEIFS($AU$2:AU73,$A$2:A73,A73,$C$2:C73,C73)),"")</f>
        <v>-</v>
      </c>
      <c r="AZ73" s="86"/>
      <c r="BA73" s="449">
        <f>'Glass Metrics'!AC78</f>
        <v>0</v>
      </c>
      <c r="BB73" s="450" t="str">
        <f t="shared" si="44"/>
        <v/>
      </c>
      <c r="BC73" s="450" t="str">
        <f>IFERROR(IF(R73=0,"-",AVERAGEIFS($BA$2:BA73,$A$2:A73,$A73,$F$2:F73,"&lt;="&amp;$F73)/AVERAGEIFS($AZ$2:AZ73,$A$2:A73,$A73,$F$2:F73,"&lt;="&amp;$F73)-1),"")</f>
        <v>-</v>
      </c>
      <c r="BD73" s="269" t="str">
        <f>IFERROR(IF(R73=0,"-",AVERAGEIFS($BA$2:BA73,$A$2:A73,A73,$C$2:C73,C73)/AVERAGEIFS($AZ$2:AZ73,$A$2:A73,A73,$C$2:C73,C73)-1),"")</f>
        <v>-</v>
      </c>
    </row>
    <row r="74" spans="1:56" ht="16.350000000000001" customHeight="1">
      <c r="A74" s="175">
        <f t="shared" si="23"/>
        <v>2022</v>
      </c>
      <c r="B74" s="447" t="str">
        <f t="shared" si="24"/>
        <v>21</v>
      </c>
      <c r="C74" s="447" t="str">
        <f t="array" ref="C74">_xlfn.IFS(_xlfn.NUMBERVALUE(B74)&lt;=13,"Q1",AND(_xlfn.NUMBERVALUE(B74)&gt;13,_xlfn.NUMBERVALUE(B74)&lt;=26),"Q2", AND(_xlfn.NUMBERVALUE(B74)&gt;26,_xlfn.NUMBERVALUE(B74)&lt;=39),"Q3",_xlfn.NUMBERVALUE(B74)&gt;39,"Q4")</f>
        <v>Q2</v>
      </c>
      <c r="D74" s="448">
        <f t="shared" si="45"/>
        <v>44366</v>
      </c>
      <c r="E74" s="448">
        <f t="shared" si="25"/>
        <v>44372</v>
      </c>
      <c r="F74" s="79">
        <v>202121</v>
      </c>
      <c r="G74" s="815"/>
      <c r="H74" s="816"/>
      <c r="I74" s="429"/>
      <c r="J74" s="214">
        <f t="shared" si="26"/>
        <v>0</v>
      </c>
      <c r="K74" s="429"/>
      <c r="L74" s="429"/>
      <c r="M74" s="429"/>
      <c r="N74" s="214">
        <f t="shared" si="27"/>
        <v>0</v>
      </c>
      <c r="O74" s="449">
        <f>'Overall Metrics'!L79</f>
        <v>0</v>
      </c>
      <c r="P74" s="449">
        <f>'Overall Metrics'!M79</f>
        <v>0</v>
      </c>
      <c r="Q74" s="449">
        <f>'Overall Metrics'!N79</f>
        <v>0</v>
      </c>
      <c r="R74" s="449">
        <f t="shared" si="28"/>
        <v>0</v>
      </c>
      <c r="S74" s="180">
        <f t="shared" si="29"/>
        <v>0</v>
      </c>
      <c r="T74" s="449">
        <f t="shared" si="30"/>
        <v>0</v>
      </c>
      <c r="U74" s="449">
        <f t="shared" si="31"/>
        <v>0</v>
      </c>
      <c r="V74" s="450" t="str">
        <f t="shared" si="32"/>
        <v/>
      </c>
      <c r="W74" s="450" t="str">
        <f>IF(R74=0,"-",SUMIFS($R$2:R74,$A$2:A74,A74,$C$2:C74,C74)/SUMIFS($J$2:J74,$A$2:A74,A74,$C$2:C74,C74)-1)</f>
        <v>-</v>
      </c>
      <c r="X74" s="450" t="str">
        <f t="shared" si="33"/>
        <v/>
      </c>
      <c r="Y74" s="450" t="str">
        <f>IFERROR(IF(R74=0,"-",SUMIFS($R$2:R74,$A$2:A74,A74,$C$2:C74,C74)/SUMIFS($N$2:N74,$A$2:A74,A74,$C$2:C74,C74)-1),"")</f>
        <v>-</v>
      </c>
      <c r="Z74" s="269" t="str">
        <f>IF(R74=0,"",(S74/VLOOKUP(_xlfn.NUMBERVALUE(_xlfn.CONCAT(LEFT(F74,4),52)),$F$2:T281,COLUMNS($F$2:T281),FALSE)))</f>
        <v/>
      </c>
      <c r="AA74" s="269" t="str">
        <f>IFERROR(IF(R74=0,"",(S74/VLOOKUP(_xlfn.NUMBERVALUE(_xlfn.CONCAT(LEFT(F74,4),52)),$F$2:U281,COLUMNS($F$2:U281),FALSE))),"")</f>
        <v/>
      </c>
      <c r="AB74" s="268" t="str">
        <f t="shared" si="34"/>
        <v/>
      </c>
      <c r="AC74" s="450" t="str">
        <f t="shared" si="35"/>
        <v/>
      </c>
      <c r="AD74" s="450" t="str">
        <f t="shared" si="36"/>
        <v/>
      </c>
      <c r="AE74" s="269" t="str">
        <f t="shared" si="37"/>
        <v/>
      </c>
      <c r="AF74" s="268" t="str">
        <f t="shared" si="38"/>
        <v/>
      </c>
      <c r="AG74" s="450" t="str">
        <f t="shared" si="39"/>
        <v/>
      </c>
      <c r="AH74" s="450" t="str">
        <f t="shared" si="40"/>
        <v/>
      </c>
      <c r="AI74" s="269" t="str">
        <f t="shared" si="41"/>
        <v/>
      </c>
      <c r="AJ74" s="450" t="str">
        <f>IF(O74=0,"-",SUMIFS($O$2:O74,$A$2:A74,$A74,$F$2:F74,"&lt;="&amp;$F74)/SUMIFS($G$2:G74,$A$2:A74,$A74,$F$2:F74,"&lt;="&amp;$F74)-1)</f>
        <v>-</v>
      </c>
      <c r="AK74" s="450" t="str">
        <f>IF(P74=0,"-",SUMIFS($P$2:P74,$A$2:A74,$A74,$F$2:F74,"&lt;="&amp;$F74)/SUMIFS($H$2:H74,$A$2:A74,$A74,$F$2:F74,"&lt;="&amp;$F74)-1)</f>
        <v>-</v>
      </c>
      <c r="AL74" s="450" t="str">
        <f>IF(Q74=0,"-",SUMIFS($Q$2:Q74,$A$2:A74,$A74,$F$2:F74,"&lt;="&amp;$F74)/SUMIFS($I$2:I74,$A$2:A74,$A74,$F$2:F74,"&lt;="&amp;$F74)-1)</f>
        <v>-</v>
      </c>
      <c r="AM74" s="450" t="str">
        <f>IFERROR(IF(O74=0,"-",SUMIFS($O$2:O74,$A$2:A74,$A74,$F$2:F74,"&lt;="&amp;$F74)/SUMIFS($K$2:K74,$A$2:A74,$A74,$F$2:F74,"&lt;="&amp;$F74)-1),"")</f>
        <v>-</v>
      </c>
      <c r="AN74" s="450" t="str">
        <f>IFERROR(IF(P74=0,"-",SUMIFS($P$2:P74,$A$2:A74,$A74,$F$2:F74,"&lt;="&amp;$F74)/SUMIFS($L$2:L74,$A$2:A74,$A74,$F$2:F74,"&lt;="&amp;$F74)-1),"")</f>
        <v>-</v>
      </c>
      <c r="AO74" s="450" t="str">
        <f>IFERROR(IF(Q74=0,"-",SUMIFS($Q$2:Q74,$A$2:A74,$A74,$F$2:F74,"&lt;="&amp;$F74)/SUMIFS($M$2:M74,$A$2:A74,$A74,$F$2:F74,"&lt;="&amp;$F74)-1),"")</f>
        <v>-</v>
      </c>
      <c r="AP74" s="86"/>
      <c r="AQ74" s="452" t="str">
        <f>'Overall Metrics'!AO79</f>
        <v/>
      </c>
      <c r="AR74" s="450" t="str">
        <f t="shared" si="42"/>
        <v/>
      </c>
      <c r="AS74" s="453" t="str">
        <f>IFERROR(IF(R75=0,"-",AVERAGEIFS($AQ$2:AQ74,$A$2:A74,$A74,$F$2:F74,"&lt;="&amp;$F74)-AVERAGEIFS($AP$2:AP74,$A$2:A74,$A74,$F$2:F74,"&lt;="&amp;$F74)),"")</f>
        <v>-</v>
      </c>
      <c r="AT74" s="390" t="str">
        <f>IFERROR(IF(R75=0,"-",AVERAGEIFS($AQ$2:AQ74,$A$2:A74,A74,$C$2:C74,C74)-AVERAGEIFS($AP$2:AP74,$A$2:A74,A74,$C$2:C74,C74)),"")</f>
        <v>-</v>
      </c>
      <c r="AU74" s="79"/>
      <c r="AV74" s="452" t="str">
        <f>'Overall Metrics'!AS79</f>
        <v/>
      </c>
      <c r="AW74" s="450" t="str">
        <f t="shared" si="43"/>
        <v/>
      </c>
      <c r="AX74" s="453" t="str">
        <f>IFERROR(IF(R78=0,"-",AVERAGEIFS($AV$2:AV74,$A$2:A74,$A74,$F$2:F74,"&lt;="&amp;$F74)-AVERAGEIFS($AU$2:AU74,$A$2:A74,$A74,$F$2:F74,"&lt;="&amp;$F74)),"")</f>
        <v>-</v>
      </c>
      <c r="AY74" s="453" t="str">
        <f>IFERROR(IF(R78=0,"-",AVERAGEIFS($AV$2:AV74,$A$2:A74,A74,$C$2:C74,C74)-AVERAGEIFS($AU$2:AU74,$A$2:A74,A74,$C$2:C74,C74)),"")</f>
        <v>-</v>
      </c>
      <c r="AZ74" s="86"/>
      <c r="BA74" s="449">
        <f>'Glass Metrics'!AC79</f>
        <v>0</v>
      </c>
      <c r="BB74" s="450" t="str">
        <f t="shared" si="44"/>
        <v/>
      </c>
      <c r="BC74" s="450" t="str">
        <f>IFERROR(IF(R74=0,"-",AVERAGEIFS($BA$2:BA74,$A$2:A74,$A74,$F$2:F74,"&lt;="&amp;$F74)/AVERAGEIFS($AZ$2:AZ74,$A$2:A74,$A74,$F$2:F74,"&lt;="&amp;$F74)-1),"")</f>
        <v>-</v>
      </c>
      <c r="BD74" s="269" t="str">
        <f>IFERROR(IF(R74=0,"-",AVERAGEIFS($BA$2:BA74,$A$2:A74,A74,$C$2:C74,C74)/AVERAGEIFS($AZ$2:AZ74,$A$2:A74,A74,$C$2:C74,C74)-1),"")</f>
        <v>-</v>
      </c>
    </row>
    <row r="75" spans="1:56" ht="16.350000000000001" customHeight="1">
      <c r="A75" s="175">
        <f t="shared" si="23"/>
        <v>2022</v>
      </c>
      <c r="B75" s="447" t="str">
        <f t="shared" si="24"/>
        <v>22</v>
      </c>
      <c r="C75" s="447" t="str">
        <f t="array" ref="C75">_xlfn.IFS(_xlfn.NUMBERVALUE(B75)&lt;=13,"Q1",AND(_xlfn.NUMBERVALUE(B75)&gt;13,_xlfn.NUMBERVALUE(B75)&lt;=26),"Q2", AND(_xlfn.NUMBERVALUE(B75)&gt;26,_xlfn.NUMBERVALUE(B75)&lt;=39),"Q3",_xlfn.NUMBERVALUE(B75)&gt;39,"Q4")</f>
        <v>Q2</v>
      </c>
      <c r="D75" s="448">
        <f t="shared" si="45"/>
        <v>44373</v>
      </c>
      <c r="E75" s="448">
        <f t="shared" si="25"/>
        <v>44379</v>
      </c>
      <c r="F75" s="79">
        <v>202122</v>
      </c>
      <c r="G75" s="815"/>
      <c r="H75" s="816"/>
      <c r="I75" s="429"/>
      <c r="J75" s="214">
        <f t="shared" si="26"/>
        <v>0</v>
      </c>
      <c r="K75" s="429"/>
      <c r="L75" s="429"/>
      <c r="M75" s="429"/>
      <c r="N75" s="214">
        <f t="shared" si="27"/>
        <v>0</v>
      </c>
      <c r="O75" s="449">
        <f>'Overall Metrics'!L80</f>
        <v>0</v>
      </c>
      <c r="P75" s="449">
        <f>'Overall Metrics'!M80</f>
        <v>0</v>
      </c>
      <c r="Q75" s="449">
        <f>'Overall Metrics'!N80</f>
        <v>0</v>
      </c>
      <c r="R75" s="818">
        <f t="shared" si="28"/>
        <v>0</v>
      </c>
      <c r="S75" s="180">
        <f t="shared" si="29"/>
        <v>0</v>
      </c>
      <c r="T75" s="449">
        <f t="shared" si="30"/>
        <v>0</v>
      </c>
      <c r="U75" s="449">
        <f t="shared" si="31"/>
        <v>0</v>
      </c>
      <c r="V75" s="450" t="str">
        <f t="shared" si="32"/>
        <v/>
      </c>
      <c r="W75" s="450" t="str">
        <f>IF(R75=0,"-",SUMIFS($R$2:R75,$A$2:A75,A75,$C$2:C75,C75)/SUMIFS($J$2:J75,$A$2:A75,A75,$C$2:C75,C75)-1)</f>
        <v>-</v>
      </c>
      <c r="X75" s="450" t="str">
        <f t="shared" si="33"/>
        <v/>
      </c>
      <c r="Y75" s="450" t="str">
        <f>IFERROR(IF(R75=0,"-",SUMIFS($R$2:R75,$A$2:A75,A75,$C$2:C75,C75)/SUMIFS($N$2:N75,$A$2:A75,A75,$C$2:C75,C75)-1),"")</f>
        <v>-</v>
      </c>
      <c r="Z75" s="269" t="str">
        <f>IF(R75=0,"",(S75/VLOOKUP(_xlfn.NUMBERVALUE(_xlfn.CONCAT(LEFT(F75,4),52)),$F$2:T282,COLUMNS($F$2:T282),FALSE)))</f>
        <v/>
      </c>
      <c r="AA75" s="269" t="str">
        <f>IFERROR(IF(R75=0,"",(S75/VLOOKUP(_xlfn.NUMBERVALUE(_xlfn.CONCAT(LEFT(F75,4),52)),$F$2:U282,COLUMNS($F$2:U282),FALSE))),"")</f>
        <v/>
      </c>
      <c r="AB75" s="268" t="str">
        <f t="shared" si="34"/>
        <v/>
      </c>
      <c r="AC75" s="450" t="str">
        <f t="shared" si="35"/>
        <v/>
      </c>
      <c r="AD75" s="450" t="str">
        <f t="shared" si="36"/>
        <v/>
      </c>
      <c r="AE75" s="269" t="str">
        <f t="shared" si="37"/>
        <v/>
      </c>
      <c r="AF75" s="268" t="str">
        <f t="shared" si="38"/>
        <v/>
      </c>
      <c r="AG75" s="450" t="str">
        <f t="shared" si="39"/>
        <v/>
      </c>
      <c r="AH75" s="450" t="str">
        <f t="shared" si="40"/>
        <v/>
      </c>
      <c r="AI75" s="269" t="str">
        <f t="shared" si="41"/>
        <v/>
      </c>
      <c r="AJ75" s="450" t="str">
        <f>IF(O75=0,"-",SUMIFS($O$2:O75,$A$2:A75,$A75,$F$2:F75,"&lt;="&amp;$F75)/SUMIFS($G$2:G75,$A$2:A75,$A75,$F$2:F75,"&lt;="&amp;$F75)-1)</f>
        <v>-</v>
      </c>
      <c r="AK75" s="450" t="str">
        <f>IF(P75=0,"-",SUMIFS($P$2:P75,$A$2:A75,$A75,$F$2:F75,"&lt;="&amp;$F75)/SUMIFS($H$2:H75,$A$2:A75,$A75,$F$2:F75,"&lt;="&amp;$F75)-1)</f>
        <v>-</v>
      </c>
      <c r="AL75" s="450" t="str">
        <f>IF(Q75=0,"-",SUMIFS($Q$2:Q75,$A$2:A75,$A75,$F$2:F75,"&lt;="&amp;$F75)/SUMIFS($I$2:I75,$A$2:A75,$A75,$F$2:F75,"&lt;="&amp;$F75)-1)</f>
        <v>-</v>
      </c>
      <c r="AM75" s="450" t="str">
        <f>IFERROR(IF(O75=0,"-",SUMIFS($O$2:O75,$A$2:A75,$A75,$F$2:F75,"&lt;="&amp;$F75)/SUMIFS($K$2:K75,$A$2:A75,$A75,$F$2:F75,"&lt;="&amp;$F75)-1),"")</f>
        <v>-</v>
      </c>
      <c r="AN75" s="450" t="str">
        <f>IFERROR(IF(P75=0,"-",SUMIFS($P$2:P75,$A$2:A75,$A75,$F$2:F75,"&lt;="&amp;$F75)/SUMIFS($L$2:L75,$A$2:A75,$A75,$F$2:F75,"&lt;="&amp;$F75)-1),"")</f>
        <v>-</v>
      </c>
      <c r="AO75" s="450" t="str">
        <f>IFERROR(IF(Q75=0,"-",SUMIFS($Q$2:Q75,$A$2:A75,$A75,$F$2:F75,"&lt;="&amp;$F75)/SUMIFS($M$2:M75,$A$2:A75,$A75,$F$2:F75,"&lt;="&amp;$F75)-1),"")</f>
        <v>-</v>
      </c>
      <c r="AP75" s="86"/>
      <c r="AQ75" s="452" t="str">
        <f>'Overall Metrics'!AO80</f>
        <v/>
      </c>
      <c r="AR75" s="450" t="str">
        <f t="shared" si="42"/>
        <v/>
      </c>
      <c r="AS75" s="453" t="str">
        <f>IFERROR(IF(R76=0,"-",AVERAGEIFS($AQ$2:AQ75,$A$2:A75,$A75,$F$2:F75,"&lt;="&amp;$F75)-AVERAGEIFS($AP$2:AP75,$A$2:A75,$A75,$F$2:F75,"&lt;="&amp;$F75)),"")</f>
        <v>-</v>
      </c>
      <c r="AT75" s="390" t="str">
        <f>IFERROR(IF(R76=0,"-",AVERAGEIFS($AQ$2:AQ75,$A$2:A75,A75,$C$2:C75,C75)-AVERAGEIFS($AP$2:AP75,$A$2:A75,A75,$C$2:C75,C75)),"")</f>
        <v>-</v>
      </c>
      <c r="AU75" s="79"/>
      <c r="AV75" s="452" t="str">
        <f>'Overall Metrics'!AS80</f>
        <v/>
      </c>
      <c r="AW75" s="450" t="str">
        <f t="shared" si="43"/>
        <v/>
      </c>
      <c r="AX75" s="453" t="str">
        <f>IFERROR(IF(R79=0,"-",AVERAGEIFS($AV$2:AV75,$A$2:A75,$A75,$F$2:F75,"&lt;="&amp;$F75)-AVERAGEIFS($AU$2:AU75,$A$2:A75,$A75,$F$2:F75,"&lt;="&amp;$F75)),"")</f>
        <v>-</v>
      </c>
      <c r="AY75" s="453" t="str">
        <f>IFERROR(IF(R79=0,"-",AVERAGEIFS($AV$2:AV75,$A$2:A75,A75,$C$2:C75,C75)-AVERAGEIFS($AU$2:AU75,$A$2:A75,A75,$C$2:C75,C75)),"")</f>
        <v>-</v>
      </c>
      <c r="AZ75" s="86"/>
      <c r="BA75" s="449">
        <f>'Glass Metrics'!AC80</f>
        <v>0</v>
      </c>
      <c r="BB75" s="450" t="str">
        <f t="shared" si="44"/>
        <v/>
      </c>
      <c r="BC75" s="450" t="str">
        <f>IFERROR(IF(R75=0,"-",AVERAGEIFS($BA$2:BA75,$A$2:A75,$A75,$F$2:F75,"&lt;="&amp;$F75)/AVERAGEIFS($AZ$2:AZ75,$A$2:A75,$A75,$F$2:F75,"&lt;="&amp;$F75)-1),"")</f>
        <v>-</v>
      </c>
      <c r="BD75" s="269" t="str">
        <f>IFERROR(IF(R75=0,"-",AVERAGEIFS($BA$2:BA75,$A$2:A75,A75,$C$2:C75,C75)/AVERAGEIFS($AZ$2:AZ75,$A$2:A75,A75,$C$2:C75,C75)-1),"")</f>
        <v>-</v>
      </c>
    </row>
    <row r="76" spans="1:56" ht="16.350000000000001" customHeight="1">
      <c r="A76" s="175">
        <f t="shared" si="23"/>
        <v>2022</v>
      </c>
      <c r="B76" s="447" t="str">
        <f t="shared" si="24"/>
        <v>23</v>
      </c>
      <c r="C76" s="447" t="str">
        <f t="array" ref="C76">_xlfn.IFS(_xlfn.NUMBERVALUE(B76)&lt;=13,"Q1",AND(_xlfn.NUMBERVALUE(B76)&gt;13,_xlfn.NUMBERVALUE(B76)&lt;=26),"Q2", AND(_xlfn.NUMBERVALUE(B76)&gt;26,_xlfn.NUMBERVALUE(B76)&lt;=39),"Q3",_xlfn.NUMBERVALUE(B76)&gt;39,"Q4")</f>
        <v>Q2</v>
      </c>
      <c r="D76" s="448">
        <f t="shared" si="45"/>
        <v>44380</v>
      </c>
      <c r="E76" s="448">
        <f t="shared" si="25"/>
        <v>44386</v>
      </c>
      <c r="F76" s="79">
        <v>202123</v>
      </c>
      <c r="G76" s="815"/>
      <c r="H76" s="816"/>
      <c r="I76" s="429"/>
      <c r="J76" s="214">
        <f t="shared" si="26"/>
        <v>0</v>
      </c>
      <c r="K76" s="429"/>
      <c r="L76" s="429"/>
      <c r="M76" s="429"/>
      <c r="N76" s="214">
        <f t="shared" si="27"/>
        <v>0</v>
      </c>
      <c r="O76" s="449">
        <f>'Overall Metrics'!L81</f>
        <v>0</v>
      </c>
      <c r="P76" s="449">
        <f>'Overall Metrics'!M81</f>
        <v>0</v>
      </c>
      <c r="Q76" s="449">
        <f>'Overall Metrics'!N81</f>
        <v>0</v>
      </c>
      <c r="R76" s="818">
        <f t="shared" si="28"/>
        <v>0</v>
      </c>
      <c r="S76" s="180">
        <f t="shared" si="29"/>
        <v>0</v>
      </c>
      <c r="T76" s="449">
        <f t="shared" si="30"/>
        <v>0</v>
      </c>
      <c r="U76" s="449">
        <f t="shared" si="31"/>
        <v>0</v>
      </c>
      <c r="V76" s="450" t="str">
        <f t="shared" si="32"/>
        <v/>
      </c>
      <c r="W76" s="450" t="str">
        <f>IF(R76=0,"-",SUMIFS($R$2:R76,$A$2:A76,A76,$C$2:C76,C76)/SUMIFS($J$2:J76,$A$2:A76,A76,$C$2:C76,C76)-1)</f>
        <v>-</v>
      </c>
      <c r="X76" s="450" t="str">
        <f t="shared" si="33"/>
        <v/>
      </c>
      <c r="Y76" s="450" t="str">
        <f>IFERROR(IF(R76=0,"-",SUMIFS($R$2:R76,$A$2:A76,A76,$C$2:C76,C76)/SUMIFS($N$2:N76,$A$2:A76,A76,$C$2:C76,C76)-1),"")</f>
        <v>-</v>
      </c>
      <c r="Z76" s="269" t="str">
        <f>IF(R76=0,"",(S76/VLOOKUP(_xlfn.NUMBERVALUE(_xlfn.CONCAT(LEFT(F76,4),52)),$F$2:T283,COLUMNS($F$2:T283),FALSE)))</f>
        <v/>
      </c>
      <c r="AA76" s="269" t="str">
        <f>IFERROR(IF(R76=0,"",(S76/VLOOKUP(_xlfn.NUMBERVALUE(_xlfn.CONCAT(LEFT(F76,4),52)),$F$2:U283,COLUMNS($F$2:U283),FALSE))),"")</f>
        <v/>
      </c>
      <c r="AB76" s="268" t="str">
        <f t="shared" si="34"/>
        <v/>
      </c>
      <c r="AC76" s="450" t="str">
        <f t="shared" si="35"/>
        <v/>
      </c>
      <c r="AD76" s="450" t="str">
        <f t="shared" si="36"/>
        <v/>
      </c>
      <c r="AE76" s="269" t="str">
        <f t="shared" si="37"/>
        <v/>
      </c>
      <c r="AF76" s="268" t="str">
        <f t="shared" si="38"/>
        <v/>
      </c>
      <c r="AG76" s="450" t="str">
        <f t="shared" si="39"/>
        <v/>
      </c>
      <c r="AH76" s="450" t="str">
        <f t="shared" si="40"/>
        <v/>
      </c>
      <c r="AI76" s="269" t="str">
        <f t="shared" si="41"/>
        <v/>
      </c>
      <c r="AJ76" s="450" t="str">
        <f>IF(O76=0,"-",SUMIFS($O$2:O76,$A$2:A76,$A76,$F$2:F76,"&lt;="&amp;$F76)/SUMIFS($G$2:G76,$A$2:A76,$A76,$F$2:F76,"&lt;="&amp;$F76)-1)</f>
        <v>-</v>
      </c>
      <c r="AK76" s="450" t="str">
        <f>IF(P76=0,"-",SUMIFS($P$2:P76,$A$2:A76,$A76,$F$2:F76,"&lt;="&amp;$F76)/SUMIFS($H$2:H76,$A$2:A76,$A76,$F$2:F76,"&lt;="&amp;$F76)-1)</f>
        <v>-</v>
      </c>
      <c r="AL76" s="450" t="str">
        <f>IF(Q76=0,"-",SUMIFS($Q$2:Q76,$A$2:A76,$A76,$F$2:F76,"&lt;="&amp;$F76)/SUMIFS($I$2:I76,$A$2:A76,$A76,$F$2:F76,"&lt;="&amp;$F76)-1)</f>
        <v>-</v>
      </c>
      <c r="AM76" s="450" t="str">
        <f>IFERROR(IF(O76=0,"-",SUMIFS($O$2:O76,$A$2:A76,$A76,$F$2:F76,"&lt;="&amp;$F76)/SUMIFS($K$2:K76,$A$2:A76,$A76,$F$2:F76,"&lt;="&amp;$F76)-1),"")</f>
        <v>-</v>
      </c>
      <c r="AN76" s="450" t="str">
        <f>IFERROR(IF(P76=0,"-",SUMIFS($P$2:P76,$A$2:A76,$A76,$F$2:F76,"&lt;="&amp;$F76)/SUMIFS($L$2:L76,$A$2:A76,$A76,$F$2:F76,"&lt;="&amp;$F76)-1),"")</f>
        <v>-</v>
      </c>
      <c r="AO76" s="450" t="str">
        <f>IFERROR(IF(Q76=0,"-",SUMIFS($Q$2:Q76,$A$2:A76,$A76,$F$2:F76,"&lt;="&amp;$F76)/SUMIFS($M$2:M76,$A$2:A76,$A76,$F$2:F76,"&lt;="&amp;$F76)-1),"")</f>
        <v>-</v>
      </c>
      <c r="AP76" s="86"/>
      <c r="AQ76" s="452" t="str">
        <f>'Overall Metrics'!AO81</f>
        <v/>
      </c>
      <c r="AR76" s="450" t="str">
        <f t="shared" si="42"/>
        <v/>
      </c>
      <c r="AS76" s="453" t="str">
        <f>IFERROR(IF(R77=0,"-",AVERAGEIFS($AQ$2:AQ76,$A$2:A76,$A76,$F$2:F76,"&lt;="&amp;$F76)-AVERAGEIFS($AP$2:AP76,$A$2:A76,$A76,$F$2:F76,"&lt;="&amp;$F76)),"")</f>
        <v>-</v>
      </c>
      <c r="AT76" s="390" t="str">
        <f>IFERROR(IF(R77=0,"-",AVERAGEIFS($AQ$2:AQ76,$A$2:A76,A76,$C$2:C76,C76)-AVERAGEIFS($AP$2:AP76,$A$2:A76,A76,$C$2:C76,C76)),"")</f>
        <v>-</v>
      </c>
      <c r="AU76" s="79"/>
      <c r="AV76" s="452" t="str">
        <f>'Overall Metrics'!AS81</f>
        <v/>
      </c>
      <c r="AW76" s="450" t="str">
        <f t="shared" si="43"/>
        <v/>
      </c>
      <c r="AX76" s="453" t="str">
        <f>IFERROR(IF(R80=0,"-",AVERAGEIFS($AV$2:AV76,$A$2:A76,$A76,$F$2:F76,"&lt;="&amp;$F76)-AVERAGEIFS($AU$2:AU76,$A$2:A76,$A76,$F$2:F76,"&lt;="&amp;$F76)),"")</f>
        <v>-</v>
      </c>
      <c r="AY76" s="453" t="str">
        <f>IFERROR(IF(R80=0,"-",AVERAGEIFS($AV$2:AV76,$A$2:A76,A76,$C$2:C76,C76)-AVERAGEIFS($AU$2:AU76,$A$2:A76,A76,$C$2:C76,C76)),"")</f>
        <v>-</v>
      </c>
      <c r="AZ76" s="86"/>
      <c r="BA76" s="449">
        <f>'Glass Metrics'!AC81</f>
        <v>0</v>
      </c>
      <c r="BB76" s="450" t="str">
        <f t="shared" si="44"/>
        <v/>
      </c>
      <c r="BC76" s="450" t="str">
        <f>IFERROR(IF(R76=0,"-",AVERAGEIFS($BA$2:BA76,$A$2:A76,$A76,$F$2:F76,"&lt;="&amp;$F76)/AVERAGEIFS($AZ$2:AZ76,$A$2:A76,$A76,$F$2:F76,"&lt;="&amp;$F76)-1),"")</f>
        <v>-</v>
      </c>
      <c r="BD76" s="269" t="str">
        <f>IFERROR(IF(R76=0,"-",AVERAGEIFS($BA$2:BA76,$A$2:A76,A76,$C$2:C76,C76)/AVERAGEIFS($AZ$2:AZ76,$A$2:A76,A76,$C$2:C76,C76)-1),"")</f>
        <v>-</v>
      </c>
    </row>
    <row r="77" spans="1:56" ht="16.350000000000001" customHeight="1">
      <c r="A77" s="175">
        <f t="shared" si="23"/>
        <v>2022</v>
      </c>
      <c r="B77" s="447" t="str">
        <f t="shared" si="24"/>
        <v>24</v>
      </c>
      <c r="C77" s="447" t="str">
        <f t="array" ref="C77">_xlfn.IFS(_xlfn.NUMBERVALUE(B77)&lt;=13,"Q1",AND(_xlfn.NUMBERVALUE(B77)&gt;13,_xlfn.NUMBERVALUE(B77)&lt;=26),"Q2", AND(_xlfn.NUMBERVALUE(B77)&gt;26,_xlfn.NUMBERVALUE(B77)&lt;=39),"Q3",_xlfn.NUMBERVALUE(B77)&gt;39,"Q4")</f>
        <v>Q2</v>
      </c>
      <c r="D77" s="448">
        <f t="shared" si="45"/>
        <v>44387</v>
      </c>
      <c r="E77" s="448">
        <f t="shared" si="25"/>
        <v>44393</v>
      </c>
      <c r="F77" s="79">
        <v>202124</v>
      </c>
      <c r="G77" s="815"/>
      <c r="H77" s="816"/>
      <c r="I77" s="429"/>
      <c r="J77" s="214">
        <f t="shared" si="26"/>
        <v>0</v>
      </c>
      <c r="K77" s="429"/>
      <c r="L77" s="429"/>
      <c r="M77" s="429"/>
      <c r="N77" s="214">
        <f t="shared" si="27"/>
        <v>0</v>
      </c>
      <c r="O77" s="449">
        <f>'Overall Metrics'!L82</f>
        <v>0</v>
      </c>
      <c r="P77" s="449">
        <f>'Overall Metrics'!M82</f>
        <v>0</v>
      </c>
      <c r="Q77" s="449">
        <f>'Overall Metrics'!N82</f>
        <v>0</v>
      </c>
      <c r="R77" s="818">
        <f t="shared" si="28"/>
        <v>0</v>
      </c>
      <c r="S77" s="180">
        <f t="shared" si="29"/>
        <v>0</v>
      </c>
      <c r="T77" s="449">
        <f t="shared" si="30"/>
        <v>0</v>
      </c>
      <c r="U77" s="449">
        <f t="shared" si="31"/>
        <v>0</v>
      </c>
      <c r="V77" s="450" t="str">
        <f t="shared" si="32"/>
        <v/>
      </c>
      <c r="W77" s="450" t="str">
        <f>IF(R77=0,"-",SUMIFS($R$2:R77,$A$2:A77,A77,$C$2:C77,C77)/SUMIFS($J$2:J77,$A$2:A77,A77,$C$2:C77,C77)-1)</f>
        <v>-</v>
      </c>
      <c r="X77" s="450" t="str">
        <f t="shared" si="33"/>
        <v/>
      </c>
      <c r="Y77" s="450" t="str">
        <f>IFERROR(IF(R77=0,"-",SUMIFS($R$2:R77,$A$2:A77,A77,$C$2:C77,C77)/SUMIFS($N$2:N77,$A$2:A77,A77,$C$2:C77,C77)-1),"")</f>
        <v>-</v>
      </c>
      <c r="Z77" s="269" t="str">
        <f>IF(R77=0,"",(S77/VLOOKUP(_xlfn.NUMBERVALUE(_xlfn.CONCAT(LEFT(F77,4),52)),$F$2:T284,COLUMNS($F$2:T284),FALSE)))</f>
        <v/>
      </c>
      <c r="AA77" s="269" t="str">
        <f>IFERROR(IF(R77=0,"",(S77/VLOOKUP(_xlfn.NUMBERVALUE(_xlfn.CONCAT(LEFT(F77,4),52)),$F$2:U284,COLUMNS($F$2:U284),FALSE))),"")</f>
        <v/>
      </c>
      <c r="AB77" s="268" t="str">
        <f t="shared" si="34"/>
        <v/>
      </c>
      <c r="AC77" s="450" t="str">
        <f t="shared" si="35"/>
        <v/>
      </c>
      <c r="AD77" s="450" t="str">
        <f t="shared" si="36"/>
        <v/>
      </c>
      <c r="AE77" s="269" t="str">
        <f t="shared" si="37"/>
        <v/>
      </c>
      <c r="AF77" s="268" t="str">
        <f t="shared" si="38"/>
        <v/>
      </c>
      <c r="AG77" s="450" t="str">
        <f t="shared" si="39"/>
        <v/>
      </c>
      <c r="AH77" s="450" t="str">
        <f t="shared" si="40"/>
        <v/>
      </c>
      <c r="AI77" s="269" t="str">
        <f t="shared" si="41"/>
        <v/>
      </c>
      <c r="AJ77" s="450" t="str">
        <f>IF(O77=0,"-",SUMIFS($O$2:O77,$A$2:A77,$A77,$F$2:F77,"&lt;="&amp;$F77)/SUMIFS($G$2:G77,$A$2:A77,$A77,$F$2:F77,"&lt;="&amp;$F77)-1)</f>
        <v>-</v>
      </c>
      <c r="AK77" s="450" t="str">
        <f>IF(P77=0,"-",SUMIFS($P$2:P77,$A$2:A77,$A77,$F$2:F77,"&lt;="&amp;$F77)/SUMIFS($H$2:H77,$A$2:A77,$A77,$F$2:F77,"&lt;="&amp;$F77)-1)</f>
        <v>-</v>
      </c>
      <c r="AL77" s="450" t="str">
        <f>IF(Q77=0,"-",SUMIFS($Q$2:Q77,$A$2:A77,$A77,$F$2:F77,"&lt;="&amp;$F77)/SUMIFS($I$2:I77,$A$2:A77,$A77,$F$2:F77,"&lt;="&amp;$F77)-1)</f>
        <v>-</v>
      </c>
      <c r="AM77" s="450" t="str">
        <f>IFERROR(IF(O77=0,"-",SUMIFS($O$2:O77,$A$2:A77,$A77,$F$2:F77,"&lt;="&amp;$F77)/SUMIFS($K$2:K77,$A$2:A77,$A77,$F$2:F77,"&lt;="&amp;$F77)-1),"")</f>
        <v>-</v>
      </c>
      <c r="AN77" s="450" t="str">
        <f>IFERROR(IF(P77=0,"-",SUMIFS($P$2:P77,$A$2:A77,$A77,$F$2:F77,"&lt;="&amp;$F77)/SUMIFS($L$2:L77,$A$2:A77,$A77,$F$2:F77,"&lt;="&amp;$F77)-1),"")</f>
        <v>-</v>
      </c>
      <c r="AO77" s="450" t="str">
        <f>IFERROR(IF(Q77=0,"-",SUMIFS($Q$2:Q77,$A$2:A77,$A77,$F$2:F77,"&lt;="&amp;$F77)/SUMIFS($M$2:M77,$A$2:A77,$A77,$F$2:F77,"&lt;="&amp;$F77)-1),"")</f>
        <v>-</v>
      </c>
      <c r="AP77" s="86"/>
      <c r="AQ77" s="452" t="str">
        <f>'Overall Metrics'!AO82</f>
        <v/>
      </c>
      <c r="AR77" s="450" t="str">
        <f t="shared" si="42"/>
        <v/>
      </c>
      <c r="AS77" s="453" t="str">
        <f>IFERROR(IF(R78=0,"-",AVERAGEIFS($AQ$2:AQ77,$A$2:A77,$A77,$F$2:F77,"&lt;="&amp;$F77)-AVERAGEIFS($AP$2:AP77,$A$2:A77,$A77,$F$2:F77,"&lt;="&amp;$F77)),"")</f>
        <v>-</v>
      </c>
      <c r="AT77" s="390" t="str">
        <f>IFERROR(IF(R78=0,"-",AVERAGEIFS($AQ$2:AQ77,$A$2:A77,A77,$C$2:C77,C77)-AVERAGEIFS($AP$2:AP77,$A$2:A77,A77,$C$2:C77,C77)),"")</f>
        <v>-</v>
      </c>
      <c r="AU77" s="79"/>
      <c r="AV77" s="452" t="str">
        <f>'Overall Metrics'!AS82</f>
        <v/>
      </c>
      <c r="AW77" s="450" t="str">
        <f t="shared" si="43"/>
        <v/>
      </c>
      <c r="AX77" s="453" t="str">
        <f>IFERROR(IF(R81=0,"-",AVERAGEIFS($AV$2:AV77,$A$2:A77,$A77,$F$2:F77,"&lt;="&amp;$F77)-AVERAGEIFS($AU$2:AU77,$A$2:A77,$A77,$F$2:F77,"&lt;="&amp;$F77)),"")</f>
        <v>-</v>
      </c>
      <c r="AY77" s="453" t="str">
        <f>IFERROR(IF(R81=0,"-",AVERAGEIFS($AV$2:AV77,$A$2:A77,A77,$C$2:C77,C77)-AVERAGEIFS($AU$2:AU77,$A$2:A77,A77,$C$2:C77,C77)),"")</f>
        <v>-</v>
      </c>
      <c r="AZ77" s="86"/>
      <c r="BA77" s="449">
        <f>'Glass Metrics'!AC82</f>
        <v>0</v>
      </c>
      <c r="BB77" s="450" t="str">
        <f t="shared" si="44"/>
        <v/>
      </c>
      <c r="BC77" s="450" t="str">
        <f>IFERROR(IF(R77=0,"-",AVERAGEIFS($BA$2:BA77,$A$2:A77,$A77,$F$2:F77,"&lt;="&amp;$F77)/AVERAGEIFS($AZ$2:AZ77,$A$2:A77,$A77,$F$2:F77,"&lt;="&amp;$F77)-1),"")</f>
        <v>-</v>
      </c>
      <c r="BD77" s="269" t="str">
        <f>IFERROR(IF(R77=0,"-",AVERAGEIFS($BA$2:BA77,$A$2:A77,A77,$C$2:C77,C77)/AVERAGEIFS($AZ$2:AZ77,$A$2:A77,A77,$C$2:C77,C77)-1),"")</f>
        <v>-</v>
      </c>
    </row>
    <row r="78" spans="1:56" ht="16.350000000000001" customHeight="1">
      <c r="A78" s="175">
        <f t="shared" si="23"/>
        <v>2022</v>
      </c>
      <c r="B78" s="447" t="str">
        <f t="shared" si="24"/>
        <v>25</v>
      </c>
      <c r="C78" s="447" t="str">
        <f t="array" ref="C78">_xlfn.IFS(_xlfn.NUMBERVALUE(B78)&lt;=13,"Q1",AND(_xlfn.NUMBERVALUE(B78)&gt;13,_xlfn.NUMBERVALUE(B78)&lt;=26),"Q2", AND(_xlfn.NUMBERVALUE(B78)&gt;26,_xlfn.NUMBERVALUE(B78)&lt;=39),"Q3",_xlfn.NUMBERVALUE(B78)&gt;39,"Q4")</f>
        <v>Q2</v>
      </c>
      <c r="D78" s="448">
        <f t="shared" si="45"/>
        <v>44394</v>
      </c>
      <c r="E78" s="448">
        <f t="shared" si="25"/>
        <v>44400</v>
      </c>
      <c r="F78" s="79">
        <v>202125</v>
      </c>
      <c r="G78" s="815"/>
      <c r="H78" s="816"/>
      <c r="I78" s="429"/>
      <c r="J78" s="214">
        <f t="shared" si="26"/>
        <v>0</v>
      </c>
      <c r="K78" s="429"/>
      <c r="L78" s="429"/>
      <c r="M78" s="429"/>
      <c r="N78" s="214">
        <f t="shared" si="27"/>
        <v>0</v>
      </c>
      <c r="O78" s="449">
        <f>'Overall Metrics'!L83</f>
        <v>0</v>
      </c>
      <c r="P78" s="449">
        <f>'Overall Metrics'!M83</f>
        <v>0</v>
      </c>
      <c r="Q78" s="449">
        <f>'Overall Metrics'!N83</f>
        <v>0</v>
      </c>
      <c r="R78" s="818">
        <f t="shared" si="28"/>
        <v>0</v>
      </c>
      <c r="S78" s="180">
        <f t="shared" si="29"/>
        <v>0</v>
      </c>
      <c r="T78" s="449">
        <f t="shared" si="30"/>
        <v>0</v>
      </c>
      <c r="U78" s="449">
        <f t="shared" si="31"/>
        <v>0</v>
      </c>
      <c r="V78" s="450" t="str">
        <f t="shared" si="32"/>
        <v/>
      </c>
      <c r="W78" s="450" t="str">
        <f>IF(R78=0,"-",SUMIFS($R$2:R78,$A$2:A78,A78,$C$2:C78,C78)/SUMIFS($J$2:J78,$A$2:A78,A78,$C$2:C78,C78)-1)</f>
        <v>-</v>
      </c>
      <c r="X78" s="450" t="str">
        <f t="shared" si="33"/>
        <v/>
      </c>
      <c r="Y78" s="450" t="str">
        <f>IFERROR(IF(R78=0,"-",SUMIFS($R$2:R78,$A$2:A78,A78,$C$2:C78,C78)/SUMIFS($N$2:N78,$A$2:A78,A78,$C$2:C78,C78)-1),"")</f>
        <v>-</v>
      </c>
      <c r="Z78" s="269" t="str">
        <f>IF(R78=0,"",(S78/VLOOKUP(_xlfn.NUMBERVALUE(_xlfn.CONCAT(LEFT(F78,4),52)),$F$2:T285,COLUMNS($F$2:T285),FALSE)))</f>
        <v/>
      </c>
      <c r="AA78" s="269" t="str">
        <f>IFERROR(IF(R78=0,"",(S78/VLOOKUP(_xlfn.NUMBERVALUE(_xlfn.CONCAT(LEFT(F78,4),52)),$F$2:U285,COLUMNS($F$2:U285),FALSE))),"")</f>
        <v/>
      </c>
      <c r="AB78" s="268" t="str">
        <f t="shared" si="34"/>
        <v/>
      </c>
      <c r="AC78" s="450" t="str">
        <f t="shared" si="35"/>
        <v/>
      </c>
      <c r="AD78" s="450" t="str">
        <f t="shared" si="36"/>
        <v/>
      </c>
      <c r="AE78" s="269" t="str">
        <f t="shared" si="37"/>
        <v/>
      </c>
      <c r="AF78" s="268" t="str">
        <f t="shared" si="38"/>
        <v/>
      </c>
      <c r="AG78" s="450" t="str">
        <f t="shared" si="39"/>
        <v/>
      </c>
      <c r="AH78" s="450" t="str">
        <f t="shared" si="40"/>
        <v/>
      </c>
      <c r="AI78" s="269" t="str">
        <f t="shared" si="41"/>
        <v/>
      </c>
      <c r="AJ78" s="450" t="str">
        <f>IF(O78=0,"-",SUMIFS($O$2:O78,$A$2:A78,$A78,$F$2:F78,"&lt;="&amp;$F78)/SUMIFS($G$2:G78,$A$2:A78,$A78,$F$2:F78,"&lt;="&amp;$F78)-1)</f>
        <v>-</v>
      </c>
      <c r="AK78" s="450" t="str">
        <f>IF(P78=0,"-",SUMIFS($P$2:P78,$A$2:A78,$A78,$F$2:F78,"&lt;="&amp;$F78)/SUMIFS($H$2:H78,$A$2:A78,$A78,$F$2:F78,"&lt;="&amp;$F78)-1)</f>
        <v>-</v>
      </c>
      <c r="AL78" s="450" t="str">
        <f>IF(Q78=0,"-",SUMIFS($Q$2:Q78,$A$2:A78,$A78,$F$2:F78,"&lt;="&amp;$F78)/SUMIFS($I$2:I78,$A$2:A78,$A78,$F$2:F78,"&lt;="&amp;$F78)-1)</f>
        <v>-</v>
      </c>
      <c r="AM78" s="450" t="str">
        <f>IFERROR(IF(O78=0,"-",SUMIFS($O$2:O78,$A$2:A78,$A78,$F$2:F78,"&lt;="&amp;$F78)/SUMIFS($K$2:K78,$A$2:A78,$A78,$F$2:F78,"&lt;="&amp;$F78)-1),"")</f>
        <v>-</v>
      </c>
      <c r="AN78" s="450" t="str">
        <f>IFERROR(IF(P78=0,"-",SUMIFS($P$2:P78,$A$2:A78,$A78,$F$2:F78,"&lt;="&amp;$F78)/SUMIFS($L$2:L78,$A$2:A78,$A78,$F$2:F78,"&lt;="&amp;$F78)-1),"")</f>
        <v>-</v>
      </c>
      <c r="AO78" s="450" t="str">
        <f>IFERROR(IF(Q78=0,"-",SUMIFS($Q$2:Q78,$A$2:A78,$A78,$F$2:F78,"&lt;="&amp;$F78)/SUMIFS($M$2:M78,$A$2:A78,$A78,$F$2:F78,"&lt;="&amp;$F78)-1),"")</f>
        <v>-</v>
      </c>
      <c r="AP78" s="86"/>
      <c r="AQ78" s="452" t="str">
        <f>'Overall Metrics'!AO83</f>
        <v/>
      </c>
      <c r="AR78" s="450" t="str">
        <f t="shared" si="42"/>
        <v/>
      </c>
      <c r="AS78" s="453" t="str">
        <f>IFERROR(IF(R79=0,"-",AVERAGEIFS($AQ$2:AQ78,$A$2:A78,$A78,$F$2:F78,"&lt;="&amp;$F78)-AVERAGEIFS($AP$2:AP78,$A$2:A78,$A78,$F$2:F78,"&lt;="&amp;$F78)),"")</f>
        <v>-</v>
      </c>
      <c r="AT78" s="390" t="str">
        <f>IFERROR(IF(R79=0,"-",AVERAGEIFS($AQ$2:AQ78,$A$2:A78,A78,$C$2:C78,C78)-AVERAGEIFS($AP$2:AP78,$A$2:A78,A78,$C$2:C78,C78)),"")</f>
        <v>-</v>
      </c>
      <c r="AU78" s="79"/>
      <c r="AV78" s="452" t="str">
        <f>'Overall Metrics'!AS83</f>
        <v/>
      </c>
      <c r="AW78" s="450" t="str">
        <f t="shared" si="43"/>
        <v/>
      </c>
      <c r="AX78" s="453" t="str">
        <f>IFERROR(IF(R82=0,"-",AVERAGEIFS($AV$2:AV78,$A$2:A78,$A78,$F$2:F78,"&lt;="&amp;$F78)-AVERAGEIFS($AU$2:AU78,$A$2:A78,$A78,$F$2:F78,"&lt;="&amp;$F78)),"")</f>
        <v>-</v>
      </c>
      <c r="AY78" s="453" t="str">
        <f>IFERROR(IF(R82=0,"-",AVERAGEIFS($AV$2:AV78,$A$2:A78,A78,$C$2:C78,C78)-AVERAGEIFS($AU$2:AU78,$A$2:A78,A78,$C$2:C78,C78)),"")</f>
        <v>-</v>
      </c>
      <c r="AZ78" s="86"/>
      <c r="BA78" s="449">
        <f>'Glass Metrics'!AC83</f>
        <v>0</v>
      </c>
      <c r="BB78" s="450" t="str">
        <f t="shared" si="44"/>
        <v/>
      </c>
      <c r="BC78" s="450" t="str">
        <f>IFERROR(IF(R78=0,"-",AVERAGEIFS($BA$2:BA78,$A$2:A78,$A78,$F$2:F78,"&lt;="&amp;$F78)/AVERAGEIFS($AZ$2:AZ78,$A$2:A78,$A78,$F$2:F78,"&lt;="&amp;$F78)-1),"")</f>
        <v>-</v>
      </c>
      <c r="BD78" s="269" t="str">
        <f>IFERROR(IF(R78=0,"-",AVERAGEIFS($BA$2:BA78,$A$2:A78,A78,$C$2:C78,C78)/AVERAGEIFS($AZ$2:AZ78,$A$2:A78,A78,$C$2:C78,C78)-1),"")</f>
        <v>-</v>
      </c>
    </row>
    <row r="79" spans="1:56" ht="16.350000000000001" customHeight="1">
      <c r="A79" s="175">
        <f t="shared" si="23"/>
        <v>2022</v>
      </c>
      <c r="B79" s="447" t="str">
        <f t="shared" si="24"/>
        <v>26</v>
      </c>
      <c r="C79" s="447" t="str">
        <f t="array" ref="C79">_xlfn.IFS(_xlfn.NUMBERVALUE(B79)&lt;=13,"Q1",AND(_xlfn.NUMBERVALUE(B79)&gt;13,_xlfn.NUMBERVALUE(B79)&lt;=26),"Q2", AND(_xlfn.NUMBERVALUE(B79)&gt;26,_xlfn.NUMBERVALUE(B79)&lt;=39),"Q3",_xlfn.NUMBERVALUE(B79)&gt;39,"Q4")</f>
        <v>Q2</v>
      </c>
      <c r="D79" s="448">
        <f t="shared" si="45"/>
        <v>44401</v>
      </c>
      <c r="E79" s="448">
        <f t="shared" si="25"/>
        <v>44407</v>
      </c>
      <c r="F79" s="79">
        <v>202126</v>
      </c>
      <c r="G79" s="815"/>
      <c r="H79" s="816"/>
      <c r="I79" s="429"/>
      <c r="J79" s="214">
        <f t="shared" si="26"/>
        <v>0</v>
      </c>
      <c r="K79" s="429"/>
      <c r="L79" s="429"/>
      <c r="M79" s="429"/>
      <c r="N79" s="214">
        <f t="shared" si="27"/>
        <v>0</v>
      </c>
      <c r="O79" s="449">
        <f>'Overall Metrics'!L84</f>
        <v>0</v>
      </c>
      <c r="P79" s="449">
        <f>'Overall Metrics'!M84</f>
        <v>0</v>
      </c>
      <c r="Q79" s="449">
        <f>'Overall Metrics'!N84</f>
        <v>0</v>
      </c>
      <c r="R79" s="818">
        <f t="shared" si="28"/>
        <v>0</v>
      </c>
      <c r="S79" s="180">
        <f t="shared" si="29"/>
        <v>0</v>
      </c>
      <c r="T79" s="449">
        <f t="shared" si="30"/>
        <v>0</v>
      </c>
      <c r="U79" s="449">
        <f t="shared" si="31"/>
        <v>0</v>
      </c>
      <c r="V79" s="450" t="str">
        <f t="shared" si="32"/>
        <v/>
      </c>
      <c r="W79" s="450" t="str">
        <f>IF(R79=0,"-",SUMIFS($R$2:R79,$A$2:A79,A79,$C$2:C79,C79)/SUMIFS($J$2:J79,$A$2:A79,A79,$C$2:C79,C79)-1)</f>
        <v>-</v>
      </c>
      <c r="X79" s="450" t="str">
        <f t="shared" si="33"/>
        <v/>
      </c>
      <c r="Y79" s="450" t="str">
        <f>IFERROR(IF(R79=0,"-",SUMIFS($R$2:R79,$A$2:A79,A79,$C$2:C79,C79)/SUMIFS($N$2:N79,$A$2:A79,A79,$C$2:C79,C79)-1),"")</f>
        <v>-</v>
      </c>
      <c r="Z79" s="269" t="str">
        <f>IF(R79=0,"",(S79/VLOOKUP(_xlfn.NUMBERVALUE(_xlfn.CONCAT(LEFT(F79,4),52)),$F$2:T286,COLUMNS($F$2:T286),FALSE)))</f>
        <v/>
      </c>
      <c r="AA79" s="269" t="str">
        <f>IFERROR(IF(R79=0,"",(S79/VLOOKUP(_xlfn.NUMBERVALUE(_xlfn.CONCAT(LEFT(F79,4),52)),$F$2:U286,COLUMNS($F$2:U286),FALSE))),"")</f>
        <v/>
      </c>
      <c r="AB79" s="268" t="str">
        <f t="shared" si="34"/>
        <v/>
      </c>
      <c r="AC79" s="450" t="str">
        <f t="shared" si="35"/>
        <v/>
      </c>
      <c r="AD79" s="450" t="str">
        <f t="shared" si="36"/>
        <v/>
      </c>
      <c r="AE79" s="269" t="str">
        <f t="shared" si="37"/>
        <v/>
      </c>
      <c r="AF79" s="268" t="str">
        <f t="shared" si="38"/>
        <v/>
      </c>
      <c r="AG79" s="450" t="str">
        <f t="shared" si="39"/>
        <v/>
      </c>
      <c r="AH79" s="450" t="str">
        <f t="shared" si="40"/>
        <v/>
      </c>
      <c r="AI79" s="269" t="str">
        <f t="shared" si="41"/>
        <v/>
      </c>
      <c r="AJ79" s="450" t="str">
        <f>IF(O79=0,"-",SUMIFS($O$2:O79,$A$2:A79,$A79,$F$2:F79,"&lt;="&amp;$F79)/SUMIFS($G$2:G79,$A$2:A79,$A79,$F$2:F79,"&lt;="&amp;$F79)-1)</f>
        <v>-</v>
      </c>
      <c r="AK79" s="450" t="str">
        <f>IF(P79=0,"-",SUMIFS($P$2:P79,$A$2:A79,$A79,$F$2:F79,"&lt;="&amp;$F79)/SUMIFS($H$2:H79,$A$2:A79,$A79,$F$2:F79,"&lt;="&amp;$F79)-1)</f>
        <v>-</v>
      </c>
      <c r="AL79" s="450" t="str">
        <f>IF(Q79=0,"-",SUMIFS($Q$2:Q79,$A$2:A79,$A79,$F$2:F79,"&lt;="&amp;$F79)/SUMIFS($I$2:I79,$A$2:A79,$A79,$F$2:F79,"&lt;="&amp;$F79)-1)</f>
        <v>-</v>
      </c>
      <c r="AM79" s="450" t="str">
        <f>IFERROR(IF(O79=0,"-",SUMIFS($O$2:O79,$A$2:A79,$A79,$F$2:F79,"&lt;="&amp;$F79)/SUMIFS($K$2:K79,$A$2:A79,$A79,$F$2:F79,"&lt;="&amp;$F79)-1),"")</f>
        <v>-</v>
      </c>
      <c r="AN79" s="450" t="str">
        <f>IFERROR(IF(P79=0,"-",SUMIFS($P$2:P79,$A$2:A79,$A79,$F$2:F79,"&lt;="&amp;$F79)/SUMIFS($L$2:L79,$A$2:A79,$A79,$F$2:F79,"&lt;="&amp;$F79)-1),"")</f>
        <v>-</v>
      </c>
      <c r="AO79" s="450" t="str">
        <f>IFERROR(IF(Q79=0,"-",SUMIFS($Q$2:Q79,$A$2:A79,$A79,$F$2:F79,"&lt;="&amp;$F79)/SUMIFS($M$2:M79,$A$2:A79,$A79,$F$2:F79,"&lt;="&amp;$F79)-1),"")</f>
        <v>-</v>
      </c>
      <c r="AP79" s="86"/>
      <c r="AQ79" s="452" t="str">
        <f>'Overall Metrics'!AO84</f>
        <v/>
      </c>
      <c r="AR79" s="450" t="str">
        <f t="shared" si="42"/>
        <v/>
      </c>
      <c r="AS79" s="453" t="str">
        <f>IFERROR(IF(R80=0,"-",AVERAGEIFS($AQ$2:AQ79,$A$2:A79,$A79,$F$2:F79,"&lt;="&amp;$F79)-AVERAGEIFS($AP$2:AP79,$A$2:A79,$A79,$F$2:F79,"&lt;="&amp;$F79)),"")</f>
        <v>-</v>
      </c>
      <c r="AT79" s="390" t="str">
        <f>IFERROR(IF(R80=0,"-",AVERAGEIFS($AQ$2:AQ79,$A$2:A79,A79,$C$2:C79,C79)-AVERAGEIFS($AP$2:AP79,$A$2:A79,A79,$C$2:C79,C79)),"")</f>
        <v>-</v>
      </c>
      <c r="AU79" s="79"/>
      <c r="AV79" s="452" t="str">
        <f>'Overall Metrics'!AS84</f>
        <v/>
      </c>
      <c r="AW79" s="450" t="str">
        <f t="shared" si="43"/>
        <v/>
      </c>
      <c r="AX79" s="453" t="str">
        <f>IFERROR(IF(R83=0,"-",AVERAGEIFS($AV$2:AV79,$A$2:A79,$A79,$F$2:F79,"&lt;="&amp;$F79)-AVERAGEIFS($AU$2:AU79,$A$2:A79,$A79,$F$2:F79,"&lt;="&amp;$F79)),"")</f>
        <v>-</v>
      </c>
      <c r="AY79" s="453" t="str">
        <f>IFERROR(IF(R83=0,"-",AVERAGEIFS($AV$2:AV79,$A$2:A79,A79,$C$2:C79,C79)-AVERAGEIFS($AU$2:AU79,$A$2:A79,A79,$C$2:C79,C79)),"")</f>
        <v>-</v>
      </c>
      <c r="AZ79" s="86"/>
      <c r="BA79" s="449">
        <f>'Glass Metrics'!AC84</f>
        <v>0</v>
      </c>
      <c r="BB79" s="450" t="str">
        <f t="shared" si="44"/>
        <v/>
      </c>
      <c r="BC79" s="450" t="str">
        <f>IFERROR(IF(R79=0,"-",AVERAGEIFS($BA$2:BA79,$A$2:A79,$A79,$F$2:F79,"&lt;="&amp;$F79)/AVERAGEIFS($AZ$2:AZ79,$A$2:A79,$A79,$F$2:F79,"&lt;="&amp;$F79)-1),"")</f>
        <v>-</v>
      </c>
      <c r="BD79" s="269" t="str">
        <f>IFERROR(IF(R79=0,"-",AVERAGEIFS($BA$2:BA79,$A$2:A79,A79,$C$2:C79,C79)/AVERAGEIFS($AZ$2:AZ79,$A$2:A79,A79,$C$2:C79,C79)-1),"")</f>
        <v>-</v>
      </c>
    </row>
    <row r="80" spans="1:56" ht="16.350000000000001" customHeight="1">
      <c r="A80" s="175">
        <f t="shared" si="23"/>
        <v>2022</v>
      </c>
      <c r="B80" s="447" t="str">
        <f t="shared" si="24"/>
        <v>27</v>
      </c>
      <c r="C80" s="447" t="str">
        <f t="array" ref="C80">_xlfn.IFS(_xlfn.NUMBERVALUE(B80)&lt;=13,"Q1",AND(_xlfn.NUMBERVALUE(B80)&gt;13,_xlfn.NUMBERVALUE(B80)&lt;=26),"Q2", AND(_xlfn.NUMBERVALUE(B80)&gt;26,_xlfn.NUMBERVALUE(B80)&lt;=39),"Q3",_xlfn.NUMBERVALUE(B80)&gt;39,"Q4")</f>
        <v>Q3</v>
      </c>
      <c r="D80" s="448">
        <f t="shared" si="45"/>
        <v>44408</v>
      </c>
      <c r="E80" s="448">
        <f t="shared" si="25"/>
        <v>44414</v>
      </c>
      <c r="F80" s="79">
        <v>202127</v>
      </c>
      <c r="G80" s="815"/>
      <c r="H80" s="816"/>
      <c r="I80" s="429"/>
      <c r="J80" s="214">
        <f t="shared" si="26"/>
        <v>0</v>
      </c>
      <c r="K80" s="429"/>
      <c r="L80" s="429"/>
      <c r="M80" s="429"/>
      <c r="N80" s="214">
        <f t="shared" si="27"/>
        <v>0</v>
      </c>
      <c r="O80" s="449">
        <f>'Overall Metrics'!L85</f>
        <v>0</v>
      </c>
      <c r="P80" s="449">
        <f>'Overall Metrics'!M85</f>
        <v>0</v>
      </c>
      <c r="Q80" s="449">
        <f>'Overall Metrics'!N85</f>
        <v>0</v>
      </c>
      <c r="R80" s="818">
        <f t="shared" si="28"/>
        <v>0</v>
      </c>
      <c r="S80" s="180">
        <f t="shared" si="29"/>
        <v>0</v>
      </c>
      <c r="T80" s="449">
        <f t="shared" si="30"/>
        <v>0</v>
      </c>
      <c r="U80" s="449">
        <f t="shared" si="31"/>
        <v>0</v>
      </c>
      <c r="V80" s="450" t="str">
        <f t="shared" si="32"/>
        <v/>
      </c>
      <c r="W80" s="450" t="str">
        <f>IF(R80=0,"-",SUMIFS($R$2:R80,$A$2:A80,A80,$C$2:C80,C80)/SUMIFS($J$2:J80,$A$2:A80,A80,$C$2:C80,C80)-1)</f>
        <v>-</v>
      </c>
      <c r="X80" s="450" t="str">
        <f t="shared" si="33"/>
        <v/>
      </c>
      <c r="Y80" s="450" t="str">
        <f>IFERROR(IF(R80=0,"-",SUMIFS($R$2:R80,$A$2:A80,A80,$C$2:C80,C80)/SUMIFS($N$2:N80,$A$2:A80,A80,$C$2:C80,C80)-1),"")</f>
        <v>-</v>
      </c>
      <c r="Z80" s="269" t="str">
        <f>IF(R80=0,"",(S80/VLOOKUP(_xlfn.NUMBERVALUE(_xlfn.CONCAT(LEFT(F80,4),52)),$F$2:T287,COLUMNS($F$2:T287),FALSE)))</f>
        <v/>
      </c>
      <c r="AA80" s="269" t="str">
        <f>IFERROR(IF(R80=0,"",(S80/VLOOKUP(_xlfn.NUMBERVALUE(_xlfn.CONCAT(LEFT(F80,4),52)),$F$2:U287,COLUMNS($F$2:U287),FALSE))),"")</f>
        <v/>
      </c>
      <c r="AB80" s="268" t="str">
        <f t="shared" si="34"/>
        <v/>
      </c>
      <c r="AC80" s="450" t="str">
        <f t="shared" si="35"/>
        <v/>
      </c>
      <c r="AD80" s="450" t="str">
        <f t="shared" si="36"/>
        <v/>
      </c>
      <c r="AE80" s="269" t="str">
        <f t="shared" si="37"/>
        <v/>
      </c>
      <c r="AF80" s="268" t="str">
        <f t="shared" si="38"/>
        <v/>
      </c>
      <c r="AG80" s="450" t="str">
        <f t="shared" si="39"/>
        <v/>
      </c>
      <c r="AH80" s="450" t="str">
        <f t="shared" si="40"/>
        <v/>
      </c>
      <c r="AI80" s="269" t="str">
        <f t="shared" si="41"/>
        <v/>
      </c>
      <c r="AJ80" s="450" t="str">
        <f>IF(O80=0,"-",SUMIFS($O$2:O80,$A$2:A80,$A80,$F$2:F80,"&lt;="&amp;$F80)/SUMIFS($G$2:G80,$A$2:A80,$A80,$F$2:F80,"&lt;="&amp;$F80)-1)</f>
        <v>-</v>
      </c>
      <c r="AK80" s="450" t="str">
        <f>IF(P80=0,"-",SUMIFS($P$2:P80,$A$2:A80,$A80,$F$2:F80,"&lt;="&amp;$F80)/SUMIFS($H$2:H80,$A$2:A80,$A80,$F$2:F80,"&lt;="&amp;$F80)-1)</f>
        <v>-</v>
      </c>
      <c r="AL80" s="450" t="str">
        <f>IF(Q80=0,"-",SUMIFS($Q$2:Q80,$A$2:A80,$A80,$F$2:F80,"&lt;="&amp;$F80)/SUMIFS($I$2:I80,$A$2:A80,$A80,$F$2:F80,"&lt;="&amp;$F80)-1)</f>
        <v>-</v>
      </c>
      <c r="AM80" s="450" t="str">
        <f>IFERROR(IF(O80=0,"-",SUMIFS($O$2:O80,$A$2:A80,$A80,$F$2:F80,"&lt;="&amp;$F80)/SUMIFS($K$2:K80,$A$2:A80,$A80,$F$2:F80,"&lt;="&amp;$F80)-1),"")</f>
        <v>-</v>
      </c>
      <c r="AN80" s="450" t="str">
        <f>IFERROR(IF(P80=0,"-",SUMIFS($P$2:P80,$A$2:A80,$A80,$F$2:F80,"&lt;="&amp;$F80)/SUMIFS($L$2:L80,$A$2:A80,$A80,$F$2:F80,"&lt;="&amp;$F80)-1),"")</f>
        <v>-</v>
      </c>
      <c r="AO80" s="450" t="str">
        <f>IFERROR(IF(Q80=0,"-",SUMIFS($Q$2:Q80,$A$2:A80,$A80,$F$2:F80,"&lt;="&amp;$F80)/SUMIFS($M$2:M80,$A$2:A80,$A80,$F$2:F80,"&lt;="&amp;$F80)-1),"")</f>
        <v>-</v>
      </c>
      <c r="AP80" s="86"/>
      <c r="AQ80" s="452" t="str">
        <f>'Overall Metrics'!AO85</f>
        <v/>
      </c>
      <c r="AR80" s="450" t="str">
        <f t="shared" si="42"/>
        <v/>
      </c>
      <c r="AS80" s="453" t="str">
        <f>IFERROR(IF(R81=0,"-",AVERAGEIFS($AQ$2:AQ80,$A$2:A80,$A80,$F$2:F80,"&lt;="&amp;$F80)-AVERAGEIFS($AP$2:AP80,$A$2:A80,$A80,$F$2:F80,"&lt;="&amp;$F80)),"")</f>
        <v>-</v>
      </c>
      <c r="AT80" s="390" t="str">
        <f>IFERROR(IF(R81=0,"-",AVERAGEIFS($AQ$2:AQ80,$A$2:A80,A80,$C$2:C80,C80)-AVERAGEIFS($AP$2:AP80,$A$2:A80,A80,$C$2:C80,C80)),"")</f>
        <v>-</v>
      </c>
      <c r="AU80" s="79"/>
      <c r="AV80" s="452" t="str">
        <f>'Overall Metrics'!AS85</f>
        <v/>
      </c>
      <c r="AW80" s="450" t="str">
        <f t="shared" si="43"/>
        <v/>
      </c>
      <c r="AX80" s="453" t="str">
        <f>IFERROR(IF(R84=0,"-",AVERAGEIFS($AV$2:AV80,$A$2:A80,$A80,$F$2:F80,"&lt;="&amp;$F80)-AVERAGEIFS($AU$2:AU80,$A$2:A80,$A80,$F$2:F80,"&lt;="&amp;$F80)),"")</f>
        <v>-</v>
      </c>
      <c r="AY80" s="453" t="str">
        <f>IFERROR(IF(R84=0,"-",AVERAGEIFS($AV$2:AV80,$A$2:A80,A80,$C$2:C80,C80)-AVERAGEIFS($AU$2:AU80,$A$2:A80,A80,$C$2:C80,C80)),"")</f>
        <v>-</v>
      </c>
      <c r="AZ80" s="86"/>
      <c r="BA80" s="449">
        <f>'Glass Metrics'!AC85</f>
        <v>0</v>
      </c>
      <c r="BB80" s="450" t="str">
        <f t="shared" si="44"/>
        <v/>
      </c>
      <c r="BC80" s="450" t="str">
        <f>IFERROR(IF(R80=0,"-",AVERAGEIFS($BA$2:BA80,$A$2:A80,$A80,$F$2:F80,"&lt;="&amp;$F80)/AVERAGEIFS($AZ$2:AZ80,$A$2:A80,$A80,$F$2:F80,"&lt;="&amp;$F80)-1),"")</f>
        <v>-</v>
      </c>
      <c r="BD80" s="269" t="str">
        <f>IFERROR(IF(R80=0,"-",AVERAGEIFS($BA$2:BA80,$A$2:A80,A80,$C$2:C80,C80)/AVERAGEIFS($AZ$2:AZ80,$A$2:A80,A80,$C$2:C80,C80)-1),"")</f>
        <v>-</v>
      </c>
    </row>
    <row r="81" spans="1:56" ht="16.350000000000001" customHeight="1">
      <c r="A81" s="175">
        <f t="shared" si="23"/>
        <v>2022</v>
      </c>
      <c r="B81" s="447" t="str">
        <f t="shared" si="24"/>
        <v>28</v>
      </c>
      <c r="C81" s="447" t="str">
        <f t="array" ref="C81">_xlfn.IFS(_xlfn.NUMBERVALUE(B81)&lt;=13,"Q1",AND(_xlfn.NUMBERVALUE(B81)&gt;13,_xlfn.NUMBERVALUE(B81)&lt;=26),"Q2", AND(_xlfn.NUMBERVALUE(B81)&gt;26,_xlfn.NUMBERVALUE(B81)&lt;=39),"Q3",_xlfn.NUMBERVALUE(B81)&gt;39,"Q4")</f>
        <v>Q3</v>
      </c>
      <c r="D81" s="448">
        <f t="shared" si="45"/>
        <v>44415</v>
      </c>
      <c r="E81" s="448">
        <f t="shared" si="25"/>
        <v>44421</v>
      </c>
      <c r="F81" s="79">
        <v>202128</v>
      </c>
      <c r="G81" s="815"/>
      <c r="H81" s="816"/>
      <c r="I81" s="429"/>
      <c r="J81" s="214">
        <f t="shared" si="26"/>
        <v>0</v>
      </c>
      <c r="K81" s="429"/>
      <c r="L81" s="429"/>
      <c r="M81" s="429"/>
      <c r="N81" s="214">
        <f t="shared" si="27"/>
        <v>0</v>
      </c>
      <c r="O81" s="449">
        <f>'Overall Metrics'!L86</f>
        <v>0</v>
      </c>
      <c r="P81" s="449">
        <f>'Overall Metrics'!M86</f>
        <v>0</v>
      </c>
      <c r="Q81" s="449">
        <f>'Overall Metrics'!N86</f>
        <v>0</v>
      </c>
      <c r="R81" s="818">
        <f t="shared" si="28"/>
        <v>0</v>
      </c>
      <c r="S81" s="180">
        <f t="shared" si="29"/>
        <v>0</v>
      </c>
      <c r="T81" s="449">
        <f t="shared" si="30"/>
        <v>0</v>
      </c>
      <c r="U81" s="449">
        <f t="shared" si="31"/>
        <v>0</v>
      </c>
      <c r="V81" s="450" t="str">
        <f t="shared" si="32"/>
        <v/>
      </c>
      <c r="W81" s="450" t="str">
        <f>IF(R81=0,"-",SUMIFS($R$2:R81,$A$2:A81,A81,$C$2:C81,C81)/SUMIFS($J$2:J81,$A$2:A81,A81,$C$2:C81,C81)-1)</f>
        <v>-</v>
      </c>
      <c r="X81" s="450" t="str">
        <f t="shared" si="33"/>
        <v/>
      </c>
      <c r="Y81" s="450" t="str">
        <f>IFERROR(IF(R81=0,"-",SUMIFS($R$2:R81,$A$2:A81,A81,$C$2:C81,C81)/SUMIFS($N$2:N81,$A$2:A81,A81,$C$2:C81,C81)-1),"")</f>
        <v>-</v>
      </c>
      <c r="Z81" s="269" t="str">
        <f>IF(R81=0,"",(S81/VLOOKUP(_xlfn.NUMBERVALUE(_xlfn.CONCAT(LEFT(F81,4),52)),$F$2:T288,COLUMNS($F$2:T288),FALSE)))</f>
        <v/>
      </c>
      <c r="AA81" s="269" t="str">
        <f>IFERROR(IF(R81=0,"",(S81/VLOOKUP(_xlfn.NUMBERVALUE(_xlfn.CONCAT(LEFT(F81,4),52)),$F$2:U288,COLUMNS($F$2:U288),FALSE))),"")</f>
        <v/>
      </c>
      <c r="AB81" s="268" t="str">
        <f t="shared" si="34"/>
        <v/>
      </c>
      <c r="AC81" s="450" t="str">
        <f t="shared" si="35"/>
        <v/>
      </c>
      <c r="AD81" s="450" t="str">
        <f t="shared" si="36"/>
        <v/>
      </c>
      <c r="AE81" s="269" t="str">
        <f t="shared" si="37"/>
        <v/>
      </c>
      <c r="AF81" s="268" t="str">
        <f t="shared" si="38"/>
        <v/>
      </c>
      <c r="AG81" s="450" t="str">
        <f t="shared" si="39"/>
        <v/>
      </c>
      <c r="AH81" s="450" t="str">
        <f t="shared" si="40"/>
        <v/>
      </c>
      <c r="AI81" s="269" t="str">
        <f t="shared" si="41"/>
        <v/>
      </c>
      <c r="AJ81" s="450" t="str">
        <f>IF(O81=0,"-",SUMIFS($O$2:O81,$A$2:A81,$A81,$F$2:F81,"&lt;="&amp;$F81)/SUMIFS($G$2:G81,$A$2:A81,$A81,$F$2:F81,"&lt;="&amp;$F81)-1)</f>
        <v>-</v>
      </c>
      <c r="AK81" s="450" t="str">
        <f>IF(P81=0,"-",SUMIFS($P$2:P81,$A$2:A81,$A81,$F$2:F81,"&lt;="&amp;$F81)/SUMIFS($H$2:H81,$A$2:A81,$A81,$F$2:F81,"&lt;="&amp;$F81)-1)</f>
        <v>-</v>
      </c>
      <c r="AL81" s="450" t="str">
        <f>IF(Q81=0,"-",SUMIFS($Q$2:Q81,$A$2:A81,$A81,$F$2:F81,"&lt;="&amp;$F81)/SUMIFS($I$2:I81,$A$2:A81,$A81,$F$2:F81,"&lt;="&amp;$F81)-1)</f>
        <v>-</v>
      </c>
      <c r="AM81" s="450" t="str">
        <f>IFERROR(IF(O81=0,"-",SUMIFS($O$2:O81,$A$2:A81,$A81,$F$2:F81,"&lt;="&amp;$F81)/SUMIFS($K$2:K81,$A$2:A81,$A81,$F$2:F81,"&lt;="&amp;$F81)-1),"")</f>
        <v>-</v>
      </c>
      <c r="AN81" s="450" t="str">
        <f>IFERROR(IF(P81=0,"-",SUMIFS($P$2:P81,$A$2:A81,$A81,$F$2:F81,"&lt;="&amp;$F81)/SUMIFS($L$2:L81,$A$2:A81,$A81,$F$2:F81,"&lt;="&amp;$F81)-1),"")</f>
        <v>-</v>
      </c>
      <c r="AO81" s="450" t="str">
        <f>IFERROR(IF(Q81=0,"-",SUMIFS($Q$2:Q81,$A$2:A81,$A81,$F$2:F81,"&lt;="&amp;$F81)/SUMIFS($M$2:M81,$A$2:A81,$A81,$F$2:F81,"&lt;="&amp;$F81)-1),"")</f>
        <v>-</v>
      </c>
      <c r="AP81" s="86"/>
      <c r="AQ81" s="452" t="str">
        <f>'Overall Metrics'!AO86</f>
        <v/>
      </c>
      <c r="AR81" s="450" t="str">
        <f t="shared" si="42"/>
        <v/>
      </c>
      <c r="AS81" s="453" t="str">
        <f>IFERROR(IF(R82=0,"-",AVERAGEIFS($AQ$2:AQ81,$A$2:A81,$A81,$F$2:F81,"&lt;="&amp;$F81)-AVERAGEIFS($AP$2:AP81,$A$2:A81,$A81,$F$2:F81,"&lt;="&amp;$F81)),"")</f>
        <v>-</v>
      </c>
      <c r="AT81" s="390" t="str">
        <f>IFERROR(IF(R82=0,"-",AVERAGEIFS($AQ$2:AQ81,$A$2:A81,A81,$C$2:C81,C81)-AVERAGEIFS($AP$2:AP81,$A$2:A81,A81,$C$2:C81,C81)),"")</f>
        <v>-</v>
      </c>
      <c r="AU81" s="79"/>
      <c r="AV81" s="452" t="str">
        <f>'Overall Metrics'!AS86</f>
        <v/>
      </c>
      <c r="AW81" s="450" t="str">
        <f t="shared" si="43"/>
        <v/>
      </c>
      <c r="AX81" s="453" t="str">
        <f>IFERROR(IF(R85=0,"-",AVERAGEIFS($AV$2:AV81,$A$2:A81,$A81,$F$2:F81,"&lt;="&amp;$F81)-AVERAGEIFS($AU$2:AU81,$A$2:A81,$A81,$F$2:F81,"&lt;="&amp;$F81)),"")</f>
        <v>-</v>
      </c>
      <c r="AY81" s="453" t="str">
        <f>IFERROR(IF(R85=0,"-",AVERAGEIFS($AV$2:AV81,$A$2:A81,A81,$C$2:C81,C81)-AVERAGEIFS($AU$2:AU81,$A$2:A81,A81,$C$2:C81,C81)),"")</f>
        <v>-</v>
      </c>
      <c r="AZ81" s="86"/>
      <c r="BA81" s="449">
        <f>'Glass Metrics'!AC86</f>
        <v>0</v>
      </c>
      <c r="BB81" s="450" t="str">
        <f t="shared" si="44"/>
        <v/>
      </c>
      <c r="BC81" s="450" t="str">
        <f>IFERROR(IF(R81=0,"-",AVERAGEIFS($BA$2:BA81,$A$2:A81,$A81,$F$2:F81,"&lt;="&amp;$F81)/AVERAGEIFS($AZ$2:AZ81,$A$2:A81,$A81,$F$2:F81,"&lt;="&amp;$F81)-1),"")</f>
        <v>-</v>
      </c>
      <c r="BD81" s="269" t="str">
        <f>IFERROR(IF(R81=0,"-",AVERAGEIFS($BA$2:BA81,$A$2:A81,A81,$C$2:C81,C81)/AVERAGEIFS($AZ$2:AZ81,$A$2:A81,A81,$C$2:C81,C81)-1),"")</f>
        <v>-</v>
      </c>
    </row>
    <row r="82" spans="1:56" ht="16.350000000000001" customHeight="1">
      <c r="A82" s="175">
        <f t="shared" si="23"/>
        <v>2022</v>
      </c>
      <c r="B82" s="447" t="str">
        <f t="shared" si="24"/>
        <v>29</v>
      </c>
      <c r="C82" s="447" t="str">
        <f t="array" ref="C82">_xlfn.IFS(_xlfn.NUMBERVALUE(B82)&lt;=13,"Q1",AND(_xlfn.NUMBERVALUE(B82)&gt;13,_xlfn.NUMBERVALUE(B82)&lt;=26),"Q2", AND(_xlfn.NUMBERVALUE(B82)&gt;26,_xlfn.NUMBERVALUE(B82)&lt;=39),"Q3",_xlfn.NUMBERVALUE(B82)&gt;39,"Q4")</f>
        <v>Q3</v>
      </c>
      <c r="D82" s="448">
        <f t="shared" si="45"/>
        <v>44422</v>
      </c>
      <c r="E82" s="448">
        <f t="shared" si="25"/>
        <v>44428</v>
      </c>
      <c r="F82" s="79">
        <v>202129</v>
      </c>
      <c r="G82" s="815"/>
      <c r="H82" s="816"/>
      <c r="I82" s="429"/>
      <c r="J82" s="214">
        <f t="shared" si="26"/>
        <v>0</v>
      </c>
      <c r="K82" s="429"/>
      <c r="L82" s="429"/>
      <c r="M82" s="429"/>
      <c r="N82" s="214">
        <f t="shared" si="27"/>
        <v>0</v>
      </c>
      <c r="O82" s="449">
        <f>'Overall Metrics'!L87</f>
        <v>0</v>
      </c>
      <c r="P82" s="449">
        <f>'Overall Metrics'!M87</f>
        <v>0</v>
      </c>
      <c r="Q82" s="449">
        <f>'Overall Metrics'!N87</f>
        <v>0</v>
      </c>
      <c r="R82" s="818">
        <f t="shared" si="28"/>
        <v>0</v>
      </c>
      <c r="S82" s="180">
        <f t="shared" si="29"/>
        <v>0</v>
      </c>
      <c r="T82" s="449">
        <f t="shared" si="30"/>
        <v>0</v>
      </c>
      <c r="U82" s="449">
        <f t="shared" si="31"/>
        <v>0</v>
      </c>
      <c r="V82" s="450" t="str">
        <f t="shared" si="32"/>
        <v/>
      </c>
      <c r="W82" s="450" t="str">
        <f>IF(R82=0,"-",SUMIFS($R$2:R82,$A$2:A82,A82,$C$2:C82,C82)/SUMIFS($J$2:J82,$A$2:A82,A82,$C$2:C82,C82)-1)</f>
        <v>-</v>
      </c>
      <c r="X82" s="450" t="str">
        <f t="shared" si="33"/>
        <v/>
      </c>
      <c r="Y82" s="450" t="str">
        <f>IFERROR(IF(R82=0,"-",SUMIFS($R$2:R82,$A$2:A82,A82,$C$2:C82,C82)/SUMIFS($N$2:N82,$A$2:A82,A82,$C$2:C82,C82)-1),"")</f>
        <v>-</v>
      </c>
      <c r="Z82" s="269" t="str">
        <f>IF(R82=0,"",(S82/VLOOKUP(_xlfn.NUMBERVALUE(_xlfn.CONCAT(LEFT(F82,4),52)),$F$2:T289,COLUMNS($F$2:T289),FALSE)))</f>
        <v/>
      </c>
      <c r="AA82" s="269" t="str">
        <f>IFERROR(IF(R82=0,"",(S82/VLOOKUP(_xlfn.NUMBERVALUE(_xlfn.CONCAT(LEFT(F82,4),52)),$F$2:U289,COLUMNS($F$2:U289),FALSE))),"")</f>
        <v/>
      </c>
      <c r="AB82" s="268" t="str">
        <f t="shared" si="34"/>
        <v/>
      </c>
      <c r="AC82" s="450" t="str">
        <f t="shared" si="35"/>
        <v/>
      </c>
      <c r="AD82" s="450" t="str">
        <f t="shared" si="36"/>
        <v/>
      </c>
      <c r="AE82" s="269" t="str">
        <f t="shared" si="37"/>
        <v/>
      </c>
      <c r="AF82" s="268" t="str">
        <f t="shared" si="38"/>
        <v/>
      </c>
      <c r="AG82" s="450" t="str">
        <f t="shared" si="39"/>
        <v/>
      </c>
      <c r="AH82" s="450" t="str">
        <f t="shared" si="40"/>
        <v/>
      </c>
      <c r="AI82" s="269" t="str">
        <f t="shared" si="41"/>
        <v/>
      </c>
      <c r="AJ82" s="450" t="str">
        <f>IF(O82=0,"-",SUMIFS($O$2:O82,$A$2:A82,$A82,$F$2:F82,"&lt;="&amp;$F82)/SUMIFS($G$2:G82,$A$2:A82,$A82,$F$2:F82,"&lt;="&amp;$F82)-1)</f>
        <v>-</v>
      </c>
      <c r="AK82" s="450" t="str">
        <f>IF(P82=0,"-",SUMIFS($P$2:P82,$A$2:A82,$A82,$F$2:F82,"&lt;="&amp;$F82)/SUMIFS($H$2:H82,$A$2:A82,$A82,$F$2:F82,"&lt;="&amp;$F82)-1)</f>
        <v>-</v>
      </c>
      <c r="AL82" s="450" t="str">
        <f>IF(Q82=0,"-",SUMIFS($Q$2:Q82,$A$2:A82,$A82,$F$2:F82,"&lt;="&amp;$F82)/SUMIFS($I$2:I82,$A$2:A82,$A82,$F$2:F82,"&lt;="&amp;$F82)-1)</f>
        <v>-</v>
      </c>
      <c r="AM82" s="450" t="str">
        <f>IFERROR(IF(O82=0,"-",SUMIFS($O$2:O82,$A$2:A82,$A82,$F$2:F82,"&lt;="&amp;$F82)/SUMIFS($K$2:K82,$A$2:A82,$A82,$F$2:F82,"&lt;="&amp;$F82)-1),"")</f>
        <v>-</v>
      </c>
      <c r="AN82" s="450" t="str">
        <f>IFERROR(IF(P82=0,"-",SUMIFS($P$2:P82,$A$2:A82,$A82,$F$2:F82,"&lt;="&amp;$F82)/SUMIFS($L$2:L82,$A$2:A82,$A82,$F$2:F82,"&lt;="&amp;$F82)-1),"")</f>
        <v>-</v>
      </c>
      <c r="AO82" s="450" t="str">
        <f>IFERROR(IF(Q82=0,"-",SUMIFS($Q$2:Q82,$A$2:A82,$A82,$F$2:F82,"&lt;="&amp;$F82)/SUMIFS($M$2:M82,$A$2:A82,$A82,$F$2:F82,"&lt;="&amp;$F82)-1),"")</f>
        <v>-</v>
      </c>
      <c r="AP82" s="86"/>
      <c r="AQ82" s="452" t="str">
        <f>'Overall Metrics'!AO87</f>
        <v/>
      </c>
      <c r="AR82" s="450" t="str">
        <f t="shared" si="42"/>
        <v/>
      </c>
      <c r="AS82" s="453" t="str">
        <f>IFERROR(IF(R83=0,"-",AVERAGEIFS($AQ$2:AQ82,$A$2:A82,$A82,$F$2:F82,"&lt;="&amp;$F82)-AVERAGEIFS($AP$2:AP82,$A$2:A82,$A82,$F$2:F82,"&lt;="&amp;$F82)),"")</f>
        <v>-</v>
      </c>
      <c r="AT82" s="390" t="str">
        <f>IFERROR(IF(R83=0,"-",AVERAGEIFS($AQ$2:AQ82,$A$2:A82,A82,$C$2:C82,C82)-AVERAGEIFS($AP$2:AP82,$A$2:A82,A82,$C$2:C82,C82)),"")</f>
        <v>-</v>
      </c>
      <c r="AU82" s="79"/>
      <c r="AV82" s="452" t="str">
        <f>'Overall Metrics'!AS87</f>
        <v/>
      </c>
      <c r="AW82" s="450" t="str">
        <f t="shared" si="43"/>
        <v/>
      </c>
      <c r="AX82" s="453" t="str">
        <f>IFERROR(IF(R86=0,"-",AVERAGEIFS($AV$2:AV82,$A$2:A82,$A82,$F$2:F82,"&lt;="&amp;$F82)-AVERAGEIFS($AU$2:AU82,$A$2:A82,$A82,$F$2:F82,"&lt;="&amp;$F82)),"")</f>
        <v>-</v>
      </c>
      <c r="AY82" s="453" t="str">
        <f>IFERROR(IF(R86=0,"-",AVERAGEIFS($AV$2:AV82,$A$2:A82,A82,$C$2:C82,C82)-AVERAGEIFS($AU$2:AU82,$A$2:A82,A82,$C$2:C82,C82)),"")</f>
        <v>-</v>
      </c>
      <c r="AZ82" s="86"/>
      <c r="BA82" s="449">
        <f>'Glass Metrics'!AC87</f>
        <v>0</v>
      </c>
      <c r="BB82" s="450" t="str">
        <f t="shared" si="44"/>
        <v/>
      </c>
      <c r="BC82" s="450" t="str">
        <f>IFERROR(IF(R82=0,"-",AVERAGEIFS($BA$2:BA82,$A$2:A82,$A82,$F$2:F82,"&lt;="&amp;$F82)/AVERAGEIFS($AZ$2:AZ82,$A$2:A82,$A82,$F$2:F82,"&lt;="&amp;$F82)-1),"")</f>
        <v>-</v>
      </c>
      <c r="BD82" s="269" t="str">
        <f>IFERROR(IF(R82=0,"-",AVERAGEIFS($BA$2:BA82,$A$2:A82,A82,$C$2:C82,C82)/AVERAGEIFS($AZ$2:AZ82,$A$2:A82,A82,$C$2:C82,C82)-1),"")</f>
        <v>-</v>
      </c>
    </row>
    <row r="83" spans="1:56" ht="16.350000000000001" customHeight="1">
      <c r="A83" s="175">
        <f t="shared" si="23"/>
        <v>2022</v>
      </c>
      <c r="B83" s="447" t="str">
        <f t="shared" si="24"/>
        <v>30</v>
      </c>
      <c r="C83" s="447" t="str">
        <f t="array" ref="C83">_xlfn.IFS(_xlfn.NUMBERVALUE(B83)&lt;=13,"Q1",AND(_xlfn.NUMBERVALUE(B83)&gt;13,_xlfn.NUMBERVALUE(B83)&lt;=26),"Q2", AND(_xlfn.NUMBERVALUE(B83)&gt;26,_xlfn.NUMBERVALUE(B83)&lt;=39),"Q3",_xlfn.NUMBERVALUE(B83)&gt;39,"Q4")</f>
        <v>Q3</v>
      </c>
      <c r="D83" s="448">
        <f t="shared" si="45"/>
        <v>44429</v>
      </c>
      <c r="E83" s="448">
        <f t="shared" si="25"/>
        <v>44435</v>
      </c>
      <c r="F83" s="79">
        <v>202130</v>
      </c>
      <c r="G83" s="815"/>
      <c r="H83" s="816"/>
      <c r="I83" s="429"/>
      <c r="J83" s="214">
        <f t="shared" si="26"/>
        <v>0</v>
      </c>
      <c r="K83" s="429"/>
      <c r="L83" s="429"/>
      <c r="M83" s="429"/>
      <c r="N83" s="214">
        <f t="shared" si="27"/>
        <v>0</v>
      </c>
      <c r="O83" s="449">
        <f>'Overall Metrics'!L88</f>
        <v>0</v>
      </c>
      <c r="P83" s="449">
        <f>'Overall Metrics'!M88</f>
        <v>0</v>
      </c>
      <c r="Q83" s="449">
        <f>'Overall Metrics'!N88</f>
        <v>0</v>
      </c>
      <c r="R83" s="818">
        <f t="shared" si="28"/>
        <v>0</v>
      </c>
      <c r="S83" s="180">
        <f t="shared" si="29"/>
        <v>0</v>
      </c>
      <c r="T83" s="449">
        <f t="shared" si="30"/>
        <v>0</v>
      </c>
      <c r="U83" s="449">
        <f t="shared" si="31"/>
        <v>0</v>
      </c>
      <c r="V83" s="450" t="str">
        <f t="shared" si="32"/>
        <v/>
      </c>
      <c r="W83" s="450" t="str">
        <f>IF(R83=0,"-",SUMIFS($R$2:R83,$A$2:A83,A83,$C$2:C83,C83)/SUMIFS($J$2:J83,$A$2:A83,A83,$C$2:C83,C83)-1)</f>
        <v>-</v>
      </c>
      <c r="X83" s="450" t="str">
        <f t="shared" si="33"/>
        <v/>
      </c>
      <c r="Y83" s="450" t="str">
        <f>IFERROR(IF(R83=0,"-",SUMIFS($R$2:R83,$A$2:A83,A83,$C$2:C83,C83)/SUMIFS($N$2:N83,$A$2:A83,A83,$C$2:C83,C83)-1),"")</f>
        <v>-</v>
      </c>
      <c r="Z83" s="269" t="str">
        <f>IF(R83=0,"",(S83/VLOOKUP(_xlfn.NUMBERVALUE(_xlfn.CONCAT(LEFT(F83,4),52)),$F$2:T290,COLUMNS($F$2:T290),FALSE)))</f>
        <v/>
      </c>
      <c r="AA83" s="269" t="str">
        <f>IFERROR(IF(R83=0,"",(S83/VLOOKUP(_xlfn.NUMBERVALUE(_xlfn.CONCAT(LEFT(F83,4),52)),$F$2:U290,COLUMNS($F$2:U290),FALSE))),"")</f>
        <v/>
      </c>
      <c r="AB83" s="268" t="str">
        <f t="shared" si="34"/>
        <v/>
      </c>
      <c r="AC83" s="450" t="str">
        <f t="shared" si="35"/>
        <v/>
      </c>
      <c r="AD83" s="450" t="str">
        <f t="shared" si="36"/>
        <v/>
      </c>
      <c r="AE83" s="269" t="str">
        <f t="shared" si="37"/>
        <v/>
      </c>
      <c r="AF83" s="268" t="str">
        <f t="shared" si="38"/>
        <v/>
      </c>
      <c r="AG83" s="450" t="str">
        <f t="shared" si="39"/>
        <v/>
      </c>
      <c r="AH83" s="450" t="str">
        <f t="shared" si="40"/>
        <v/>
      </c>
      <c r="AI83" s="269" t="str">
        <f t="shared" si="41"/>
        <v/>
      </c>
      <c r="AJ83" s="450" t="str">
        <f>IF(O83=0,"-",SUMIFS($O$2:O83,$A$2:A83,$A83,$F$2:F83,"&lt;="&amp;$F83)/SUMIFS($G$2:G83,$A$2:A83,$A83,$F$2:F83,"&lt;="&amp;$F83)-1)</f>
        <v>-</v>
      </c>
      <c r="AK83" s="450" t="str">
        <f>IF(P83=0,"-",SUMIFS($P$2:P83,$A$2:A83,$A83,$F$2:F83,"&lt;="&amp;$F83)/SUMIFS($H$2:H83,$A$2:A83,$A83,$F$2:F83,"&lt;="&amp;$F83)-1)</f>
        <v>-</v>
      </c>
      <c r="AL83" s="450" t="str">
        <f>IF(Q83=0,"-",SUMIFS($Q$2:Q83,$A$2:A83,$A83,$F$2:F83,"&lt;="&amp;$F83)/SUMIFS($I$2:I83,$A$2:A83,$A83,$F$2:F83,"&lt;="&amp;$F83)-1)</f>
        <v>-</v>
      </c>
      <c r="AM83" s="450" t="str">
        <f>IFERROR(IF(O83=0,"-",SUMIFS($O$2:O83,$A$2:A83,$A83,$F$2:F83,"&lt;="&amp;$F83)/SUMIFS($K$2:K83,$A$2:A83,$A83,$F$2:F83,"&lt;="&amp;$F83)-1),"")</f>
        <v>-</v>
      </c>
      <c r="AN83" s="450" t="str">
        <f>IFERROR(IF(P83=0,"-",SUMIFS($P$2:P83,$A$2:A83,$A83,$F$2:F83,"&lt;="&amp;$F83)/SUMIFS($L$2:L83,$A$2:A83,$A83,$F$2:F83,"&lt;="&amp;$F83)-1),"")</f>
        <v>-</v>
      </c>
      <c r="AO83" s="450" t="str">
        <f>IFERROR(IF(Q83=0,"-",SUMIFS($Q$2:Q83,$A$2:A83,$A83,$F$2:F83,"&lt;="&amp;$F83)/SUMIFS($M$2:M83,$A$2:A83,$A83,$F$2:F83,"&lt;="&amp;$F83)-1),"")</f>
        <v>-</v>
      </c>
      <c r="AP83" s="86"/>
      <c r="AQ83" s="452" t="str">
        <f>'Overall Metrics'!AO88</f>
        <v/>
      </c>
      <c r="AR83" s="450" t="str">
        <f t="shared" si="42"/>
        <v/>
      </c>
      <c r="AS83" s="453" t="str">
        <f>IFERROR(IF(R84=0,"-",AVERAGEIFS($AQ$2:AQ83,$A$2:A83,$A83,$F$2:F83,"&lt;="&amp;$F83)-AVERAGEIFS($AP$2:AP83,$A$2:A83,$A83,$F$2:F83,"&lt;="&amp;$F83)),"")</f>
        <v>-</v>
      </c>
      <c r="AT83" s="390" t="str">
        <f>IFERROR(IF(R84=0,"-",AVERAGEIFS($AQ$2:AQ83,$A$2:A83,A83,$C$2:C83,C83)-AVERAGEIFS($AP$2:AP83,$A$2:A83,A83,$C$2:C83,C83)),"")</f>
        <v>-</v>
      </c>
      <c r="AU83" s="79"/>
      <c r="AV83" s="452" t="str">
        <f>'Overall Metrics'!AS88</f>
        <v/>
      </c>
      <c r="AW83" s="450" t="str">
        <f t="shared" si="43"/>
        <v/>
      </c>
      <c r="AX83" s="453" t="str">
        <f>IFERROR(IF(R87=0,"-",AVERAGEIFS($AV$2:AV83,$A$2:A83,$A83,$F$2:F83,"&lt;="&amp;$F83)-AVERAGEIFS($AU$2:AU83,$A$2:A83,$A83,$F$2:F83,"&lt;="&amp;$F83)),"")</f>
        <v>-</v>
      </c>
      <c r="AY83" s="453" t="str">
        <f>IFERROR(IF(R87=0,"-",AVERAGEIFS($AV$2:AV83,$A$2:A83,A83,$C$2:C83,C83)-AVERAGEIFS($AU$2:AU83,$A$2:A83,A83,$C$2:C83,C83)),"")</f>
        <v>-</v>
      </c>
      <c r="AZ83" s="86"/>
      <c r="BA83" s="449">
        <f>'Glass Metrics'!AC88</f>
        <v>0</v>
      </c>
      <c r="BB83" s="450" t="str">
        <f t="shared" si="44"/>
        <v/>
      </c>
      <c r="BC83" s="450" t="str">
        <f>IFERROR(IF(R83=0,"-",AVERAGEIFS($BA$2:BA83,$A$2:A83,$A83,$F$2:F83,"&lt;="&amp;$F83)/AVERAGEIFS($AZ$2:AZ83,$A$2:A83,$A83,$F$2:F83,"&lt;="&amp;$F83)-1),"")</f>
        <v>-</v>
      </c>
      <c r="BD83" s="269" t="str">
        <f>IFERROR(IF(R83=0,"-",AVERAGEIFS($BA$2:BA83,$A$2:A83,A83,$C$2:C83,C83)/AVERAGEIFS($AZ$2:AZ83,$A$2:A83,A83,$C$2:C83,C83)-1),"")</f>
        <v>-</v>
      </c>
    </row>
    <row r="84" spans="1:56" ht="16.350000000000001" customHeight="1">
      <c r="A84" s="175">
        <f t="shared" si="23"/>
        <v>2022</v>
      </c>
      <c r="B84" s="447" t="str">
        <f t="shared" si="24"/>
        <v>31</v>
      </c>
      <c r="C84" s="447" t="str">
        <f t="array" ref="C84">_xlfn.IFS(_xlfn.NUMBERVALUE(B84)&lt;=13,"Q1",AND(_xlfn.NUMBERVALUE(B84)&gt;13,_xlfn.NUMBERVALUE(B84)&lt;=26),"Q2", AND(_xlfn.NUMBERVALUE(B84)&gt;26,_xlfn.NUMBERVALUE(B84)&lt;=39),"Q3",_xlfn.NUMBERVALUE(B84)&gt;39,"Q4")</f>
        <v>Q3</v>
      </c>
      <c r="D84" s="448">
        <f t="shared" si="45"/>
        <v>44436</v>
      </c>
      <c r="E84" s="448">
        <f t="shared" si="25"/>
        <v>44442</v>
      </c>
      <c r="F84" s="79">
        <v>202131</v>
      </c>
      <c r="G84" s="815"/>
      <c r="H84" s="816"/>
      <c r="I84" s="429"/>
      <c r="J84" s="214">
        <f t="shared" si="26"/>
        <v>0</v>
      </c>
      <c r="K84" s="429"/>
      <c r="L84" s="429"/>
      <c r="M84" s="429"/>
      <c r="N84" s="214">
        <f t="shared" si="27"/>
        <v>0</v>
      </c>
      <c r="O84" s="449">
        <f>'Overall Metrics'!L89</f>
        <v>0</v>
      </c>
      <c r="P84" s="449">
        <f>'Overall Metrics'!M89</f>
        <v>0</v>
      </c>
      <c r="Q84" s="449">
        <f>'Overall Metrics'!N89</f>
        <v>0</v>
      </c>
      <c r="R84" s="449">
        <f t="shared" si="28"/>
        <v>0</v>
      </c>
      <c r="S84" s="180">
        <f t="shared" si="29"/>
        <v>0</v>
      </c>
      <c r="T84" s="449">
        <f t="shared" si="30"/>
        <v>0</v>
      </c>
      <c r="U84" s="449">
        <f t="shared" si="31"/>
        <v>0</v>
      </c>
      <c r="V84" s="450" t="str">
        <f t="shared" si="32"/>
        <v/>
      </c>
      <c r="W84" s="450" t="str">
        <f>IF(R84=0,"-",SUMIFS($R$2:R84,$A$2:A84,A84,$C$2:C84,C84)/SUMIFS($J$2:J84,$A$2:A84,A84,$C$2:C84,C84)-1)</f>
        <v>-</v>
      </c>
      <c r="X84" s="450" t="str">
        <f t="shared" si="33"/>
        <v/>
      </c>
      <c r="Y84" s="450" t="str">
        <f>IFERROR(IF(R84=0,"-",SUMIFS($R$2:R84,$A$2:A84,A84,$C$2:C84,C84)/SUMIFS($N$2:N84,$A$2:A84,A84,$C$2:C84,C84)-1),"")</f>
        <v>-</v>
      </c>
      <c r="Z84" s="269" t="str">
        <f>IF(R84=0,"",(S84/VLOOKUP(_xlfn.NUMBERVALUE(_xlfn.CONCAT(LEFT(F84,4),52)),$F$2:T291,COLUMNS($F$2:T291),FALSE)))</f>
        <v/>
      </c>
      <c r="AA84" s="269" t="str">
        <f>IFERROR(IF(R84=0,"",(S84/VLOOKUP(_xlfn.NUMBERVALUE(_xlfn.CONCAT(LEFT(F84,4),52)),$F$2:U291,COLUMNS($F$2:U291),FALSE))),"")</f>
        <v/>
      </c>
      <c r="AB84" s="268" t="str">
        <f t="shared" si="34"/>
        <v/>
      </c>
      <c r="AC84" s="450" t="str">
        <f t="shared" si="35"/>
        <v/>
      </c>
      <c r="AD84" s="450" t="str">
        <f t="shared" si="36"/>
        <v/>
      </c>
      <c r="AE84" s="269" t="str">
        <f t="shared" si="37"/>
        <v/>
      </c>
      <c r="AF84" s="268" t="str">
        <f t="shared" si="38"/>
        <v/>
      </c>
      <c r="AG84" s="450" t="str">
        <f t="shared" si="39"/>
        <v/>
      </c>
      <c r="AH84" s="450" t="str">
        <f t="shared" si="40"/>
        <v/>
      </c>
      <c r="AI84" s="269" t="str">
        <f t="shared" si="41"/>
        <v/>
      </c>
      <c r="AJ84" s="450" t="str">
        <f>IF(O84=0,"-",SUMIFS($O$2:O84,$A$2:A84,$A84,$F$2:F84,"&lt;="&amp;$F84)/SUMIFS($G$2:G84,$A$2:A84,$A84,$F$2:F84,"&lt;="&amp;$F84)-1)</f>
        <v>-</v>
      </c>
      <c r="AK84" s="450" t="str">
        <f>IF(P84=0,"-",SUMIFS($P$2:P84,$A$2:A84,$A84,$F$2:F84,"&lt;="&amp;$F84)/SUMIFS($H$2:H84,$A$2:A84,$A84,$F$2:F84,"&lt;="&amp;$F84)-1)</f>
        <v>-</v>
      </c>
      <c r="AL84" s="450" t="str">
        <f>IF(Q84=0,"-",SUMIFS($Q$2:Q84,$A$2:A84,$A84,$F$2:F84,"&lt;="&amp;$F84)/SUMIFS($I$2:I84,$A$2:A84,$A84,$F$2:F84,"&lt;="&amp;$F84)-1)</f>
        <v>-</v>
      </c>
      <c r="AM84" s="450" t="str">
        <f>IFERROR(IF(O84=0,"-",SUMIFS($O$2:O84,$A$2:A84,$A84,$F$2:F84,"&lt;="&amp;$F84)/SUMIFS($K$2:K84,$A$2:A84,$A84,$F$2:F84,"&lt;="&amp;$F84)-1),"")</f>
        <v>-</v>
      </c>
      <c r="AN84" s="450" t="str">
        <f>IFERROR(IF(P84=0,"-",SUMIFS($P$2:P84,$A$2:A84,$A84,$F$2:F84,"&lt;="&amp;$F84)/SUMIFS($L$2:L84,$A$2:A84,$A84,$F$2:F84,"&lt;="&amp;$F84)-1),"")</f>
        <v>-</v>
      </c>
      <c r="AO84" s="450" t="str">
        <f>IFERROR(IF(Q84=0,"-",SUMIFS($Q$2:Q84,$A$2:A84,$A84,$F$2:F84,"&lt;="&amp;$F84)/SUMIFS($M$2:M84,$A$2:A84,$A84,$F$2:F84,"&lt;="&amp;$F84)-1),"")</f>
        <v>-</v>
      </c>
      <c r="AP84" s="86"/>
      <c r="AQ84" s="452" t="str">
        <f>'Overall Metrics'!AO89</f>
        <v/>
      </c>
      <c r="AR84" s="450" t="str">
        <f t="shared" si="42"/>
        <v/>
      </c>
      <c r="AS84" s="453" t="str">
        <f>IFERROR(IF(R85=0,"-",AVERAGEIFS($AQ$2:AQ84,$A$2:A84,$A84,$F$2:F84,"&lt;="&amp;$F84)-AVERAGEIFS($AP$2:AP84,$A$2:A84,$A84,$F$2:F84,"&lt;="&amp;$F84)),"")</f>
        <v>-</v>
      </c>
      <c r="AT84" s="390" t="str">
        <f>IFERROR(IF(R85=0,"-",AVERAGEIFS($AQ$2:AQ84,$A$2:A84,A84,$C$2:C84,C84)-AVERAGEIFS($AP$2:AP84,$A$2:A84,A84,$C$2:C84,C84)),"")</f>
        <v>-</v>
      </c>
      <c r="AU84" s="79"/>
      <c r="AV84" s="452" t="str">
        <f>'Overall Metrics'!AS89</f>
        <v/>
      </c>
      <c r="AW84" s="450" t="str">
        <f t="shared" si="43"/>
        <v/>
      </c>
      <c r="AX84" s="453" t="str">
        <f>IFERROR(IF(R88=0,"-",AVERAGEIFS($AV$2:AV84,$A$2:A84,$A84,$F$2:F84,"&lt;="&amp;$F84)-AVERAGEIFS($AU$2:AU84,$A$2:A84,$A84,$F$2:F84,"&lt;="&amp;$F84)),"")</f>
        <v>-</v>
      </c>
      <c r="AY84" s="453" t="str">
        <f>IFERROR(IF(R88=0,"-",AVERAGEIFS($AV$2:AV84,$A$2:A84,A84,$C$2:C84,C84)-AVERAGEIFS($AU$2:AU84,$A$2:A84,A84,$C$2:C84,C84)),"")</f>
        <v>-</v>
      </c>
      <c r="AZ84" s="86"/>
      <c r="BA84" s="449">
        <f>'Glass Metrics'!AC89</f>
        <v>0</v>
      </c>
      <c r="BB84" s="450" t="str">
        <f t="shared" si="44"/>
        <v/>
      </c>
      <c r="BC84" s="450" t="str">
        <f>IFERROR(IF(R84=0,"-",AVERAGEIFS($BA$2:BA84,$A$2:A84,$A84,$F$2:F84,"&lt;="&amp;$F84)/AVERAGEIFS($AZ$2:AZ84,$A$2:A84,$A84,$F$2:F84,"&lt;="&amp;$F84)-1),"")</f>
        <v>-</v>
      </c>
      <c r="BD84" s="269" t="str">
        <f>IFERROR(IF(R84=0,"-",AVERAGEIFS($BA$2:BA84,$A$2:A84,A84,$C$2:C84,C84)/AVERAGEIFS($AZ$2:AZ84,$A$2:A84,A84,$C$2:C84,C84)-1),"")</f>
        <v>-</v>
      </c>
    </row>
    <row r="85" spans="1:56" ht="16.350000000000001" customHeight="1">
      <c r="A85" s="175">
        <f t="shared" si="23"/>
        <v>2022</v>
      </c>
      <c r="B85" s="447" t="str">
        <f t="shared" si="24"/>
        <v>32</v>
      </c>
      <c r="C85" s="447" t="str">
        <f t="array" ref="C85">_xlfn.IFS(_xlfn.NUMBERVALUE(B85)&lt;=13,"Q1",AND(_xlfn.NUMBERVALUE(B85)&gt;13,_xlfn.NUMBERVALUE(B85)&lt;=26),"Q2", AND(_xlfn.NUMBERVALUE(B85)&gt;26,_xlfn.NUMBERVALUE(B85)&lt;=39),"Q3",_xlfn.NUMBERVALUE(B85)&gt;39,"Q4")</f>
        <v>Q3</v>
      </c>
      <c r="D85" s="448">
        <f t="shared" si="45"/>
        <v>44443</v>
      </c>
      <c r="E85" s="448">
        <f t="shared" si="25"/>
        <v>44449</v>
      </c>
      <c r="F85" s="79">
        <v>202132</v>
      </c>
      <c r="G85" s="815"/>
      <c r="H85" s="816"/>
      <c r="I85" s="429"/>
      <c r="J85" s="214">
        <f t="shared" si="26"/>
        <v>0</v>
      </c>
      <c r="K85" s="429"/>
      <c r="L85" s="429"/>
      <c r="M85" s="429"/>
      <c r="N85" s="214">
        <f t="shared" si="27"/>
        <v>0</v>
      </c>
      <c r="O85" s="449">
        <f>'Overall Metrics'!L90</f>
        <v>0</v>
      </c>
      <c r="P85" s="449">
        <f>'Overall Metrics'!M90</f>
        <v>0</v>
      </c>
      <c r="Q85" s="449">
        <f>'Overall Metrics'!N90</f>
        <v>0</v>
      </c>
      <c r="R85" s="449">
        <f t="shared" si="28"/>
        <v>0</v>
      </c>
      <c r="S85" s="180">
        <f t="shared" si="29"/>
        <v>0</v>
      </c>
      <c r="T85" s="449">
        <f t="shared" si="30"/>
        <v>0</v>
      </c>
      <c r="U85" s="449">
        <f t="shared" si="31"/>
        <v>0</v>
      </c>
      <c r="V85" s="450" t="str">
        <f t="shared" si="32"/>
        <v/>
      </c>
      <c r="W85" s="450" t="str">
        <f>IF(R85=0,"-",SUMIFS($R$2:R85,$A$2:A85,A85,$C$2:C85,C85)/SUMIFS($J$2:J85,$A$2:A85,A85,$C$2:C85,C85)-1)</f>
        <v>-</v>
      </c>
      <c r="X85" s="450" t="str">
        <f t="shared" si="33"/>
        <v/>
      </c>
      <c r="Y85" s="450" t="str">
        <f>IFERROR(IF(R85=0,"-",SUMIFS($R$2:R85,$A$2:A85,A85,$C$2:C85,C85)/SUMIFS($N$2:N85,$A$2:A85,A85,$C$2:C85,C85)-1),"")</f>
        <v>-</v>
      </c>
      <c r="Z85" s="269" t="str">
        <f>IF(R85=0,"",(S85/VLOOKUP(_xlfn.NUMBERVALUE(_xlfn.CONCAT(LEFT(F85,4),52)),$F$2:T292,COLUMNS($F$2:T292),FALSE)))</f>
        <v/>
      </c>
      <c r="AA85" s="269" t="str">
        <f>IFERROR(IF(R85=0,"",(S85/VLOOKUP(_xlfn.NUMBERVALUE(_xlfn.CONCAT(LEFT(F85,4),52)),$F$2:U292,COLUMNS($F$2:U292),FALSE))),"")</f>
        <v/>
      </c>
      <c r="AB85" s="268" t="str">
        <f t="shared" si="34"/>
        <v/>
      </c>
      <c r="AC85" s="450" t="str">
        <f t="shared" si="35"/>
        <v/>
      </c>
      <c r="AD85" s="450" t="str">
        <f t="shared" si="36"/>
        <v/>
      </c>
      <c r="AE85" s="269" t="str">
        <f t="shared" si="37"/>
        <v/>
      </c>
      <c r="AF85" s="268" t="str">
        <f t="shared" si="38"/>
        <v/>
      </c>
      <c r="AG85" s="450" t="str">
        <f t="shared" si="39"/>
        <v/>
      </c>
      <c r="AH85" s="450" t="str">
        <f t="shared" si="40"/>
        <v/>
      </c>
      <c r="AI85" s="269" t="str">
        <f t="shared" si="41"/>
        <v/>
      </c>
      <c r="AJ85" s="450" t="str">
        <f>IF(O85=0,"-",SUMIFS($O$2:O85,$A$2:A85,$A85,$F$2:F85,"&lt;="&amp;$F85)/SUMIFS($G$2:G85,$A$2:A85,$A85,$F$2:F85,"&lt;="&amp;$F85)-1)</f>
        <v>-</v>
      </c>
      <c r="AK85" s="450" t="str">
        <f>IF(P85=0,"-",SUMIFS($P$2:P85,$A$2:A85,$A85,$F$2:F85,"&lt;="&amp;$F85)/SUMIFS($H$2:H85,$A$2:A85,$A85,$F$2:F85,"&lt;="&amp;$F85)-1)</f>
        <v>-</v>
      </c>
      <c r="AL85" s="450" t="str">
        <f>IF(Q85=0,"-",SUMIFS($Q$2:Q85,$A$2:A85,$A85,$F$2:F85,"&lt;="&amp;$F85)/SUMIFS($I$2:I85,$A$2:A85,$A85,$F$2:F85,"&lt;="&amp;$F85)-1)</f>
        <v>-</v>
      </c>
      <c r="AM85" s="450" t="str">
        <f>IFERROR(IF(O85=0,"-",SUMIFS($O$2:O85,$A$2:A85,$A85,$F$2:F85,"&lt;="&amp;$F85)/SUMIFS($K$2:K85,$A$2:A85,$A85,$F$2:F85,"&lt;="&amp;$F85)-1),"")</f>
        <v>-</v>
      </c>
      <c r="AN85" s="450" t="str">
        <f>IFERROR(IF(P85=0,"-",SUMIFS($P$2:P85,$A$2:A85,$A85,$F$2:F85,"&lt;="&amp;$F85)/SUMIFS($L$2:L85,$A$2:A85,$A85,$F$2:F85,"&lt;="&amp;$F85)-1),"")</f>
        <v>-</v>
      </c>
      <c r="AO85" s="450" t="str">
        <f>IFERROR(IF(Q85=0,"-",SUMIFS($Q$2:Q85,$A$2:A85,$A85,$F$2:F85,"&lt;="&amp;$F85)/SUMIFS($M$2:M85,$A$2:A85,$A85,$F$2:F85,"&lt;="&amp;$F85)-1),"")</f>
        <v>-</v>
      </c>
      <c r="AP85" s="86"/>
      <c r="AQ85" s="452" t="str">
        <f>'Overall Metrics'!AO90</f>
        <v/>
      </c>
      <c r="AR85" s="450" t="str">
        <f t="shared" si="42"/>
        <v/>
      </c>
      <c r="AS85" s="453" t="str">
        <f>IFERROR(IF(R86=0,"-",AVERAGEIFS($AQ$2:AQ85,$A$2:A85,$A85,$F$2:F85,"&lt;="&amp;$F85)-AVERAGEIFS($AP$2:AP85,$A$2:A85,$A85,$F$2:F85,"&lt;="&amp;$F85)),"")</f>
        <v>-</v>
      </c>
      <c r="AT85" s="390" t="str">
        <f>IFERROR(IF(R86=0,"-",AVERAGEIFS($AQ$2:AQ85,$A$2:A85,A85,$C$2:C85,C85)-AVERAGEIFS($AP$2:AP85,$A$2:A85,A85,$C$2:C85,C85)),"")</f>
        <v>-</v>
      </c>
      <c r="AU85" s="79"/>
      <c r="AV85" s="452" t="str">
        <f>'Overall Metrics'!AS90</f>
        <v/>
      </c>
      <c r="AW85" s="450" t="str">
        <f t="shared" si="43"/>
        <v/>
      </c>
      <c r="AX85" s="453" t="str">
        <f>IFERROR(IF(R89=0,"-",AVERAGEIFS($AV$2:AV85,$A$2:A85,$A85,$F$2:F85,"&lt;="&amp;$F85)-AVERAGEIFS($AU$2:AU85,$A$2:A85,$A85,$F$2:F85,"&lt;="&amp;$F85)),"")</f>
        <v>-</v>
      </c>
      <c r="AY85" s="453" t="str">
        <f>IFERROR(IF(R89=0,"-",AVERAGEIFS($AV$2:AV85,$A$2:A85,A85,$C$2:C85,C85)-AVERAGEIFS($AU$2:AU85,$A$2:A85,A85,$C$2:C85,C85)),"")</f>
        <v>-</v>
      </c>
      <c r="AZ85" s="86"/>
      <c r="BA85" s="449">
        <f>'Glass Metrics'!AC90</f>
        <v>0</v>
      </c>
      <c r="BB85" s="450" t="str">
        <f t="shared" si="44"/>
        <v/>
      </c>
      <c r="BC85" s="450" t="str">
        <f>IFERROR(IF(R85=0,"-",AVERAGEIFS($BA$2:BA85,$A$2:A85,$A85,$F$2:F85,"&lt;="&amp;$F85)/AVERAGEIFS($AZ$2:AZ85,$A$2:A85,$A85,$F$2:F85,"&lt;="&amp;$F85)-1),"")</f>
        <v>-</v>
      </c>
      <c r="BD85" s="269" t="str">
        <f>IFERROR(IF(R85=0,"-",AVERAGEIFS($BA$2:BA85,$A$2:A85,A85,$C$2:C85,C85)/AVERAGEIFS($AZ$2:AZ85,$A$2:A85,A85,$C$2:C85,C85)-1),"")</f>
        <v>-</v>
      </c>
    </row>
    <row r="86" spans="1:56" ht="16.350000000000001" customHeight="1">
      <c r="A86" s="175">
        <f t="shared" si="23"/>
        <v>2022</v>
      </c>
      <c r="B86" s="447" t="str">
        <f t="shared" si="24"/>
        <v>33</v>
      </c>
      <c r="C86" s="447" t="str">
        <f t="array" ref="C86">_xlfn.IFS(_xlfn.NUMBERVALUE(B86)&lt;=13,"Q1",AND(_xlfn.NUMBERVALUE(B86)&gt;13,_xlfn.NUMBERVALUE(B86)&lt;=26),"Q2", AND(_xlfn.NUMBERVALUE(B86)&gt;26,_xlfn.NUMBERVALUE(B86)&lt;=39),"Q3",_xlfn.NUMBERVALUE(B86)&gt;39,"Q4")</f>
        <v>Q3</v>
      </c>
      <c r="D86" s="448">
        <f t="shared" si="45"/>
        <v>44450</v>
      </c>
      <c r="E86" s="448">
        <f t="shared" si="25"/>
        <v>44456</v>
      </c>
      <c r="F86" s="79">
        <v>202133</v>
      </c>
      <c r="G86" s="815"/>
      <c r="H86" s="816"/>
      <c r="I86" s="429"/>
      <c r="J86" s="214">
        <f t="shared" si="26"/>
        <v>0</v>
      </c>
      <c r="K86" s="429"/>
      <c r="L86" s="429"/>
      <c r="M86" s="429"/>
      <c r="N86" s="214">
        <f t="shared" si="27"/>
        <v>0</v>
      </c>
      <c r="O86" s="449">
        <f>'Overall Metrics'!L91</f>
        <v>0</v>
      </c>
      <c r="P86" s="449">
        <f>'Overall Metrics'!M91</f>
        <v>0</v>
      </c>
      <c r="Q86" s="449">
        <f>'Overall Metrics'!N91</f>
        <v>0</v>
      </c>
      <c r="R86" s="449">
        <f t="shared" si="28"/>
        <v>0</v>
      </c>
      <c r="S86" s="180">
        <f t="shared" si="29"/>
        <v>0</v>
      </c>
      <c r="T86" s="449">
        <f t="shared" si="30"/>
        <v>0</v>
      </c>
      <c r="U86" s="449">
        <f t="shared" si="31"/>
        <v>0</v>
      </c>
      <c r="V86" s="450" t="str">
        <f t="shared" si="32"/>
        <v/>
      </c>
      <c r="W86" s="450" t="str">
        <f>IF(R86=0,"-",SUMIFS($R$2:R86,$A$2:A86,A86,$C$2:C86,C86)/SUMIFS($J$2:J86,$A$2:A86,A86,$C$2:C86,C86)-1)</f>
        <v>-</v>
      </c>
      <c r="X86" s="450" t="str">
        <f t="shared" si="33"/>
        <v/>
      </c>
      <c r="Y86" s="450" t="str">
        <f>IFERROR(IF(R86=0,"-",SUMIFS($R$2:R86,$A$2:A86,A86,$C$2:C86,C86)/SUMIFS($N$2:N86,$A$2:A86,A86,$C$2:C86,C86)-1),"")</f>
        <v>-</v>
      </c>
      <c r="Z86" s="269" t="str">
        <f>IF(R86=0,"",(S86/VLOOKUP(_xlfn.NUMBERVALUE(_xlfn.CONCAT(LEFT(F86,4),52)),$F$2:T293,COLUMNS($F$2:T293),FALSE)))</f>
        <v/>
      </c>
      <c r="AA86" s="269" t="str">
        <f>IFERROR(IF(R86=0,"",(S86/VLOOKUP(_xlfn.NUMBERVALUE(_xlfn.CONCAT(LEFT(F86,4),52)),$F$2:U293,COLUMNS($F$2:U293),FALSE))),"")</f>
        <v/>
      </c>
      <c r="AB86" s="268" t="str">
        <f t="shared" si="34"/>
        <v/>
      </c>
      <c r="AC86" s="450" t="str">
        <f t="shared" si="35"/>
        <v/>
      </c>
      <c r="AD86" s="450" t="str">
        <f t="shared" si="36"/>
        <v/>
      </c>
      <c r="AE86" s="269" t="str">
        <f t="shared" si="37"/>
        <v/>
      </c>
      <c r="AF86" s="268" t="str">
        <f t="shared" si="38"/>
        <v/>
      </c>
      <c r="AG86" s="450" t="str">
        <f t="shared" si="39"/>
        <v/>
      </c>
      <c r="AH86" s="450" t="str">
        <f t="shared" si="40"/>
        <v/>
      </c>
      <c r="AI86" s="269" t="str">
        <f t="shared" si="41"/>
        <v/>
      </c>
      <c r="AJ86" s="450" t="str">
        <f>IF(O86=0,"-",SUMIFS($O$2:O86,$A$2:A86,$A86,$F$2:F86,"&lt;="&amp;$F86)/SUMIFS($G$2:G86,$A$2:A86,$A86,$F$2:F86,"&lt;="&amp;$F86)-1)</f>
        <v>-</v>
      </c>
      <c r="AK86" s="450" t="str">
        <f>IF(P86=0,"-",SUMIFS($P$2:P86,$A$2:A86,$A86,$F$2:F86,"&lt;="&amp;$F86)/SUMIFS($H$2:H86,$A$2:A86,$A86,$F$2:F86,"&lt;="&amp;$F86)-1)</f>
        <v>-</v>
      </c>
      <c r="AL86" s="450" t="str">
        <f>IF(Q86=0,"-",SUMIFS($Q$2:Q86,$A$2:A86,$A86,$F$2:F86,"&lt;="&amp;$F86)/SUMIFS($I$2:I86,$A$2:A86,$A86,$F$2:F86,"&lt;="&amp;$F86)-1)</f>
        <v>-</v>
      </c>
      <c r="AM86" s="450" t="str">
        <f>IFERROR(IF(O86=0,"-",SUMIFS($O$2:O86,$A$2:A86,$A86,$F$2:F86,"&lt;="&amp;$F86)/SUMIFS($K$2:K86,$A$2:A86,$A86,$F$2:F86,"&lt;="&amp;$F86)-1),"")</f>
        <v>-</v>
      </c>
      <c r="AN86" s="450" t="str">
        <f>IFERROR(IF(P86=0,"-",SUMIFS($P$2:P86,$A$2:A86,$A86,$F$2:F86,"&lt;="&amp;$F86)/SUMIFS($L$2:L86,$A$2:A86,$A86,$F$2:F86,"&lt;="&amp;$F86)-1),"")</f>
        <v>-</v>
      </c>
      <c r="AO86" s="450" t="str">
        <f>IFERROR(IF(Q86=0,"-",SUMIFS($Q$2:Q86,$A$2:A86,$A86,$F$2:F86,"&lt;="&amp;$F86)/SUMIFS($M$2:M86,$A$2:A86,$A86,$F$2:F86,"&lt;="&amp;$F86)-1),"")</f>
        <v>-</v>
      </c>
      <c r="AP86" s="86"/>
      <c r="AQ86" s="452" t="str">
        <f>'Overall Metrics'!AO91</f>
        <v/>
      </c>
      <c r="AR86" s="450" t="str">
        <f t="shared" si="42"/>
        <v/>
      </c>
      <c r="AS86" s="453" t="str">
        <f>IFERROR(IF(R87=0,"-",AVERAGEIFS($AQ$2:AQ86,$A$2:A86,$A86,$F$2:F86,"&lt;="&amp;$F86)-AVERAGEIFS($AP$2:AP86,$A$2:A86,$A86,$F$2:F86,"&lt;="&amp;$F86)),"")</f>
        <v>-</v>
      </c>
      <c r="AT86" s="390" t="str">
        <f>IFERROR(IF(R87=0,"-",AVERAGEIFS($AQ$2:AQ86,$A$2:A86,A86,$C$2:C86,C86)-AVERAGEIFS($AP$2:AP86,$A$2:A86,A86,$C$2:C86,C86)),"")</f>
        <v>-</v>
      </c>
      <c r="AU86" s="79"/>
      <c r="AV86" s="452" t="str">
        <f>'Overall Metrics'!AS91</f>
        <v/>
      </c>
      <c r="AW86" s="450" t="str">
        <f t="shared" si="43"/>
        <v/>
      </c>
      <c r="AX86" s="453" t="str">
        <f>IFERROR(IF(R90=0,"-",AVERAGEIFS($AV$2:AV86,$A$2:A86,$A86,$F$2:F86,"&lt;="&amp;$F86)-AVERAGEIFS($AU$2:AU86,$A$2:A86,$A86,$F$2:F86,"&lt;="&amp;$F86)),"")</f>
        <v>-</v>
      </c>
      <c r="AY86" s="453" t="str">
        <f>IFERROR(IF(R90=0,"-",AVERAGEIFS($AV$2:AV86,$A$2:A86,A86,$C$2:C86,C86)-AVERAGEIFS($AU$2:AU86,$A$2:A86,A86,$C$2:C86,C86)),"")</f>
        <v>-</v>
      </c>
      <c r="AZ86" s="86"/>
      <c r="BA86" s="449">
        <f>'Glass Metrics'!AC91</f>
        <v>0</v>
      </c>
      <c r="BB86" s="450" t="str">
        <f t="shared" si="44"/>
        <v/>
      </c>
      <c r="BC86" s="450" t="str">
        <f>IFERROR(IF(R86=0,"-",AVERAGEIFS($BA$2:BA86,$A$2:A86,$A86,$F$2:F86,"&lt;="&amp;$F86)/AVERAGEIFS($AZ$2:AZ86,$A$2:A86,$A86,$F$2:F86,"&lt;="&amp;$F86)-1),"")</f>
        <v>-</v>
      </c>
      <c r="BD86" s="269" t="str">
        <f>IFERROR(IF(R86=0,"-",AVERAGEIFS($BA$2:BA86,$A$2:A86,A86,$C$2:C86,C86)/AVERAGEIFS($AZ$2:AZ86,$A$2:A86,A86,$C$2:C86,C86)-1),"")</f>
        <v>-</v>
      </c>
    </row>
    <row r="87" spans="1:56" ht="16.350000000000001" customHeight="1">
      <c r="A87" s="175">
        <f t="shared" si="23"/>
        <v>2022</v>
      </c>
      <c r="B87" s="447" t="str">
        <f t="shared" si="24"/>
        <v>34</v>
      </c>
      <c r="C87" s="447" t="str">
        <f t="array" ref="C87">_xlfn.IFS(_xlfn.NUMBERVALUE(B87)&lt;=13,"Q1",AND(_xlfn.NUMBERVALUE(B87)&gt;13,_xlfn.NUMBERVALUE(B87)&lt;=26),"Q2", AND(_xlfn.NUMBERVALUE(B87)&gt;26,_xlfn.NUMBERVALUE(B87)&lt;=39),"Q3",_xlfn.NUMBERVALUE(B87)&gt;39,"Q4")</f>
        <v>Q3</v>
      </c>
      <c r="D87" s="448">
        <f t="shared" si="45"/>
        <v>44457</v>
      </c>
      <c r="E87" s="448">
        <f t="shared" si="25"/>
        <v>44463</v>
      </c>
      <c r="F87" s="79">
        <v>202134</v>
      </c>
      <c r="G87" s="815"/>
      <c r="H87" s="816"/>
      <c r="I87" s="429"/>
      <c r="J87" s="214">
        <f t="shared" si="26"/>
        <v>0</v>
      </c>
      <c r="K87" s="429"/>
      <c r="L87" s="429"/>
      <c r="M87" s="429"/>
      <c r="N87" s="214">
        <f t="shared" si="27"/>
        <v>0</v>
      </c>
      <c r="O87" s="449">
        <f>'Overall Metrics'!L92</f>
        <v>0</v>
      </c>
      <c r="P87" s="449">
        <f>'Overall Metrics'!M92</f>
        <v>0</v>
      </c>
      <c r="Q87" s="449">
        <f>'Overall Metrics'!N92</f>
        <v>0</v>
      </c>
      <c r="R87" s="449">
        <f t="shared" si="28"/>
        <v>0</v>
      </c>
      <c r="S87" s="180">
        <f t="shared" si="29"/>
        <v>0</v>
      </c>
      <c r="T87" s="449">
        <f t="shared" si="30"/>
        <v>0</v>
      </c>
      <c r="U87" s="449">
        <f t="shared" si="31"/>
        <v>0</v>
      </c>
      <c r="V87" s="450" t="str">
        <f t="shared" si="32"/>
        <v/>
      </c>
      <c r="W87" s="450" t="str">
        <f>IF(R87=0,"-",SUMIFS($R$2:R87,$A$2:A87,A87,$C$2:C87,C87)/SUMIFS($J$2:J87,$A$2:A87,A87,$C$2:C87,C87)-1)</f>
        <v>-</v>
      </c>
      <c r="X87" s="450" t="str">
        <f t="shared" si="33"/>
        <v/>
      </c>
      <c r="Y87" s="450" t="str">
        <f>IFERROR(IF(R87=0,"-",SUMIFS($R$2:R87,$A$2:A87,A87,$C$2:C87,C87)/SUMIFS($N$2:N87,$A$2:A87,A87,$C$2:C87,C87)-1),"")</f>
        <v>-</v>
      </c>
      <c r="Z87" s="269" t="str">
        <f>IF(R87=0,"",(S87/VLOOKUP(_xlfn.NUMBERVALUE(_xlfn.CONCAT(LEFT(F87,4),52)),$F$2:T294,COLUMNS($F$2:T294),FALSE)))</f>
        <v/>
      </c>
      <c r="AA87" s="269" t="str">
        <f>IFERROR(IF(R87=0,"",(S87/VLOOKUP(_xlfn.NUMBERVALUE(_xlfn.CONCAT(LEFT(F87,4),52)),$F$2:U294,COLUMNS($F$2:U294),FALSE))),"")</f>
        <v/>
      </c>
      <c r="AB87" s="268" t="str">
        <f t="shared" si="34"/>
        <v/>
      </c>
      <c r="AC87" s="450" t="str">
        <f t="shared" si="35"/>
        <v/>
      </c>
      <c r="AD87" s="450" t="str">
        <f t="shared" si="36"/>
        <v/>
      </c>
      <c r="AE87" s="269" t="str">
        <f t="shared" si="37"/>
        <v/>
      </c>
      <c r="AF87" s="268" t="str">
        <f t="shared" si="38"/>
        <v/>
      </c>
      <c r="AG87" s="450" t="str">
        <f t="shared" si="39"/>
        <v/>
      </c>
      <c r="AH87" s="450" t="str">
        <f t="shared" si="40"/>
        <v/>
      </c>
      <c r="AI87" s="269" t="str">
        <f t="shared" si="41"/>
        <v/>
      </c>
      <c r="AJ87" s="450" t="str">
        <f>IF(O87=0,"-",SUMIFS($O$2:O87,$A$2:A87,$A87,$F$2:F87,"&lt;="&amp;$F87)/SUMIFS($G$2:G87,$A$2:A87,$A87,$F$2:F87,"&lt;="&amp;$F87)-1)</f>
        <v>-</v>
      </c>
      <c r="AK87" s="450" t="str">
        <f>IF(P87=0,"-",SUMIFS($P$2:P87,$A$2:A87,$A87,$F$2:F87,"&lt;="&amp;$F87)/SUMIFS($H$2:H87,$A$2:A87,$A87,$F$2:F87,"&lt;="&amp;$F87)-1)</f>
        <v>-</v>
      </c>
      <c r="AL87" s="450" t="str">
        <f>IF(Q87=0,"-",SUMIFS($Q$2:Q87,$A$2:A87,$A87,$F$2:F87,"&lt;="&amp;$F87)/SUMIFS($I$2:I87,$A$2:A87,$A87,$F$2:F87,"&lt;="&amp;$F87)-1)</f>
        <v>-</v>
      </c>
      <c r="AM87" s="450" t="str">
        <f>IFERROR(IF(O87=0,"-",SUMIFS($O$2:O87,$A$2:A87,$A87,$F$2:F87,"&lt;="&amp;$F87)/SUMIFS($K$2:K87,$A$2:A87,$A87,$F$2:F87,"&lt;="&amp;$F87)-1),"")</f>
        <v>-</v>
      </c>
      <c r="AN87" s="450" t="str">
        <f>IFERROR(IF(P87=0,"-",SUMIFS($P$2:P87,$A$2:A87,$A87,$F$2:F87,"&lt;="&amp;$F87)/SUMIFS($L$2:L87,$A$2:A87,$A87,$F$2:F87,"&lt;="&amp;$F87)-1),"")</f>
        <v>-</v>
      </c>
      <c r="AO87" s="450" t="str">
        <f>IFERROR(IF(Q87=0,"-",SUMIFS($Q$2:Q87,$A$2:A87,$A87,$F$2:F87,"&lt;="&amp;$F87)/SUMIFS($M$2:M87,$A$2:A87,$A87,$F$2:F87,"&lt;="&amp;$F87)-1),"")</f>
        <v>-</v>
      </c>
      <c r="AP87" s="86"/>
      <c r="AQ87" s="452" t="str">
        <f>'Overall Metrics'!AO92</f>
        <v/>
      </c>
      <c r="AR87" s="450" t="str">
        <f t="shared" si="42"/>
        <v/>
      </c>
      <c r="AS87" s="453" t="str">
        <f>IFERROR(IF(R88=0,"-",AVERAGEIFS($AQ$2:AQ87,$A$2:A87,$A87,$F$2:F87,"&lt;="&amp;$F87)-AVERAGEIFS($AP$2:AP87,$A$2:A87,$A87,$F$2:F87,"&lt;="&amp;$F87)),"")</f>
        <v>-</v>
      </c>
      <c r="AT87" s="390" t="str">
        <f>IFERROR(IF(R88=0,"-",AVERAGEIFS($AQ$2:AQ87,$A$2:A87,A87,$C$2:C87,C87)-AVERAGEIFS($AP$2:AP87,$A$2:A87,A87,$C$2:C87,C87)),"")</f>
        <v>-</v>
      </c>
      <c r="AU87" s="79"/>
      <c r="AV87" s="452" t="str">
        <f>'Overall Metrics'!AS92</f>
        <v/>
      </c>
      <c r="AW87" s="450" t="str">
        <f t="shared" si="43"/>
        <v/>
      </c>
      <c r="AX87" s="453" t="str">
        <f>IFERROR(IF(R91=0,"-",AVERAGEIFS($AV$2:AV87,$A$2:A87,$A87,$F$2:F87,"&lt;="&amp;$F87)-AVERAGEIFS($AU$2:AU87,$A$2:A87,$A87,$F$2:F87,"&lt;="&amp;$F87)),"")</f>
        <v>-</v>
      </c>
      <c r="AY87" s="453" t="str">
        <f>IFERROR(IF(R91=0,"-",AVERAGEIFS($AV$2:AV87,$A$2:A87,A87,$C$2:C87,C87)-AVERAGEIFS($AU$2:AU87,$A$2:A87,A87,$C$2:C87,C87)),"")</f>
        <v>-</v>
      </c>
      <c r="AZ87" s="86"/>
      <c r="BA87" s="449">
        <f>'Glass Metrics'!AC92</f>
        <v>0</v>
      </c>
      <c r="BB87" s="450" t="str">
        <f t="shared" si="44"/>
        <v/>
      </c>
      <c r="BC87" s="450" t="str">
        <f>IFERROR(IF(R87=0,"-",AVERAGEIFS($BA$2:BA87,$A$2:A87,$A87,$F$2:F87,"&lt;="&amp;$F87)/AVERAGEIFS($AZ$2:AZ87,$A$2:A87,$A87,$F$2:F87,"&lt;="&amp;$F87)-1),"")</f>
        <v>-</v>
      </c>
      <c r="BD87" s="269" t="str">
        <f>IFERROR(IF(R87=0,"-",AVERAGEIFS($BA$2:BA87,$A$2:A87,A87,$C$2:C87,C87)/AVERAGEIFS($AZ$2:AZ87,$A$2:A87,A87,$C$2:C87,C87)-1),"")</f>
        <v>-</v>
      </c>
    </row>
    <row r="88" spans="1:56" ht="16.350000000000001" customHeight="1">
      <c r="A88" s="175">
        <f t="shared" si="23"/>
        <v>2022</v>
      </c>
      <c r="B88" s="447" t="str">
        <f t="shared" si="24"/>
        <v>35</v>
      </c>
      <c r="C88" s="447" t="str">
        <f t="array" ref="C88">_xlfn.IFS(_xlfn.NUMBERVALUE(B88)&lt;=13,"Q1",AND(_xlfn.NUMBERVALUE(B88)&gt;13,_xlfn.NUMBERVALUE(B88)&lt;=26),"Q2", AND(_xlfn.NUMBERVALUE(B88)&gt;26,_xlfn.NUMBERVALUE(B88)&lt;=39),"Q3",_xlfn.NUMBERVALUE(B88)&gt;39,"Q4")</f>
        <v>Q3</v>
      </c>
      <c r="D88" s="448">
        <f t="shared" si="45"/>
        <v>44464</v>
      </c>
      <c r="E88" s="448">
        <f t="shared" si="25"/>
        <v>44470</v>
      </c>
      <c r="F88" s="79">
        <v>202135</v>
      </c>
      <c r="G88" s="815"/>
      <c r="H88" s="816"/>
      <c r="I88" s="429"/>
      <c r="J88" s="214">
        <f t="shared" si="26"/>
        <v>0</v>
      </c>
      <c r="K88" s="429"/>
      <c r="L88" s="429"/>
      <c r="M88" s="429"/>
      <c r="N88" s="214">
        <f t="shared" si="27"/>
        <v>0</v>
      </c>
      <c r="O88" s="449">
        <f>'Overall Metrics'!L93</f>
        <v>0</v>
      </c>
      <c r="P88" s="449">
        <f>'Overall Metrics'!M93</f>
        <v>0</v>
      </c>
      <c r="Q88" s="449">
        <f>'Overall Metrics'!N93</f>
        <v>0</v>
      </c>
      <c r="R88" s="449">
        <f t="shared" si="28"/>
        <v>0</v>
      </c>
      <c r="S88" s="180">
        <f t="shared" si="29"/>
        <v>0</v>
      </c>
      <c r="T88" s="449">
        <f t="shared" si="30"/>
        <v>0</v>
      </c>
      <c r="U88" s="449">
        <f t="shared" si="31"/>
        <v>0</v>
      </c>
      <c r="V88" s="450" t="str">
        <f t="shared" si="32"/>
        <v/>
      </c>
      <c r="W88" s="450" t="str">
        <f>IF(R88=0,"-",SUMIFS($R$2:R88,$A$2:A88,A88,$C$2:C88,C88)/SUMIFS($J$2:J88,$A$2:A88,A88,$C$2:C88,C88)-1)</f>
        <v>-</v>
      </c>
      <c r="X88" s="450" t="str">
        <f t="shared" si="33"/>
        <v/>
      </c>
      <c r="Y88" s="450" t="str">
        <f>IFERROR(IF(R88=0,"-",SUMIFS($R$2:R88,$A$2:A88,A88,$C$2:C88,C88)/SUMIFS($N$2:N88,$A$2:A88,A88,$C$2:C88,C88)-1),"")</f>
        <v>-</v>
      </c>
      <c r="Z88" s="269" t="str">
        <f>IF(R88=0,"",(S88/VLOOKUP(_xlfn.NUMBERVALUE(_xlfn.CONCAT(LEFT(F88,4),52)),$F$2:T295,COLUMNS($F$2:T295),FALSE)))</f>
        <v/>
      </c>
      <c r="AA88" s="269" t="str">
        <f>IFERROR(IF(R88=0,"",(S88/VLOOKUP(_xlfn.NUMBERVALUE(_xlfn.CONCAT(LEFT(F88,4),52)),$F$2:U295,COLUMNS($F$2:U295),FALSE))),"")</f>
        <v/>
      </c>
      <c r="AB88" s="268" t="str">
        <f t="shared" si="34"/>
        <v/>
      </c>
      <c r="AC88" s="450" t="str">
        <f t="shared" si="35"/>
        <v/>
      </c>
      <c r="AD88" s="450" t="str">
        <f t="shared" si="36"/>
        <v/>
      </c>
      <c r="AE88" s="269" t="str">
        <f t="shared" si="37"/>
        <v/>
      </c>
      <c r="AF88" s="268" t="str">
        <f t="shared" si="38"/>
        <v/>
      </c>
      <c r="AG88" s="450" t="str">
        <f t="shared" si="39"/>
        <v/>
      </c>
      <c r="AH88" s="450" t="str">
        <f t="shared" si="40"/>
        <v/>
      </c>
      <c r="AI88" s="269" t="str">
        <f t="shared" si="41"/>
        <v/>
      </c>
      <c r="AJ88" s="450" t="str">
        <f>IF(O88=0,"-",SUMIFS($O$2:O88,$A$2:A88,$A88,$F$2:F88,"&lt;="&amp;$F88)/SUMIFS($G$2:G88,$A$2:A88,$A88,$F$2:F88,"&lt;="&amp;$F88)-1)</f>
        <v>-</v>
      </c>
      <c r="AK88" s="450" t="str">
        <f>IF(P88=0,"-",SUMIFS($P$2:P88,$A$2:A88,$A88,$F$2:F88,"&lt;="&amp;$F88)/SUMIFS($H$2:H88,$A$2:A88,$A88,$F$2:F88,"&lt;="&amp;$F88)-1)</f>
        <v>-</v>
      </c>
      <c r="AL88" s="450" t="str">
        <f>IF(Q88=0,"-",SUMIFS($Q$2:Q88,$A$2:A88,$A88,$F$2:F88,"&lt;="&amp;$F88)/SUMIFS($I$2:I88,$A$2:A88,$A88,$F$2:F88,"&lt;="&amp;$F88)-1)</f>
        <v>-</v>
      </c>
      <c r="AM88" s="450" t="str">
        <f>IFERROR(IF(O88=0,"-",SUMIFS($O$2:O88,$A$2:A88,$A88,$F$2:F88,"&lt;="&amp;$F88)/SUMIFS($K$2:K88,$A$2:A88,$A88,$F$2:F88,"&lt;="&amp;$F88)-1),"")</f>
        <v>-</v>
      </c>
      <c r="AN88" s="450" t="str">
        <f>IFERROR(IF(P88=0,"-",SUMIFS($P$2:P88,$A$2:A88,$A88,$F$2:F88,"&lt;="&amp;$F88)/SUMIFS($L$2:L88,$A$2:A88,$A88,$F$2:F88,"&lt;="&amp;$F88)-1),"")</f>
        <v>-</v>
      </c>
      <c r="AO88" s="450" t="str">
        <f>IFERROR(IF(Q88=0,"-",SUMIFS($Q$2:Q88,$A$2:A88,$A88,$F$2:F88,"&lt;="&amp;$F88)/SUMIFS($M$2:M88,$A$2:A88,$A88,$F$2:F88,"&lt;="&amp;$F88)-1),"")</f>
        <v>-</v>
      </c>
      <c r="AP88" s="86"/>
      <c r="AQ88" s="452" t="str">
        <f>'Overall Metrics'!AO93</f>
        <v/>
      </c>
      <c r="AR88" s="450" t="str">
        <f t="shared" si="42"/>
        <v/>
      </c>
      <c r="AS88" s="453" t="str">
        <f>IFERROR(IF(R89=0,"-",AVERAGEIFS($AQ$2:AQ88,$A$2:A88,$A88,$F$2:F88,"&lt;="&amp;$F88)-AVERAGEIFS($AP$2:AP88,$A$2:A88,$A88,$F$2:F88,"&lt;="&amp;$F88)),"")</f>
        <v>-</v>
      </c>
      <c r="AT88" s="390" t="str">
        <f>IFERROR(IF(R89=0,"-",AVERAGEIFS($AQ$2:AQ88,$A$2:A88,A88,$C$2:C88,C88)-AVERAGEIFS($AP$2:AP88,$A$2:A88,A88,$C$2:C88,C88)),"")</f>
        <v>-</v>
      </c>
      <c r="AU88" s="79"/>
      <c r="AV88" s="452">
        <f>'Overall Metrics'!AS93</f>
        <v>-0.1</v>
      </c>
      <c r="AW88" s="450">
        <f t="shared" si="43"/>
        <v>-0.1</v>
      </c>
      <c r="AX88" s="453" t="str">
        <f>IFERROR(IF(R92=0,"-",AVERAGEIFS($AV$2:AV88,$A$2:A88,$A88,$F$2:F88,"&lt;="&amp;$F88)-AVERAGEIFS($AU$2:AU88,$A$2:A88,$A88,$F$2:F88,"&lt;="&amp;$F88)),"")</f>
        <v>-</v>
      </c>
      <c r="AY88" s="453" t="str">
        <f>IFERROR(IF(R92=0,"-",AVERAGEIFS($AV$2:AV88,$A$2:A88,A88,$C$2:C88,C88)-AVERAGEIFS($AU$2:AU88,$A$2:A88,A88,$C$2:C88,C88)),"")</f>
        <v>-</v>
      </c>
      <c r="AZ88" s="86"/>
      <c r="BA88" s="449">
        <f>'Glass Metrics'!AC93</f>
        <v>0</v>
      </c>
      <c r="BB88" s="450" t="str">
        <f t="shared" si="44"/>
        <v/>
      </c>
      <c r="BC88" s="450" t="str">
        <f>IFERROR(IF(R88=0,"-",AVERAGEIFS($BA$2:BA88,$A$2:A88,$A88,$F$2:F88,"&lt;="&amp;$F88)/AVERAGEIFS($AZ$2:AZ88,$A$2:A88,$A88,$F$2:F88,"&lt;="&amp;$F88)-1),"")</f>
        <v>-</v>
      </c>
      <c r="BD88" s="269" t="str">
        <f>IFERROR(IF(R88=0,"-",AVERAGEIFS($BA$2:BA88,$A$2:A88,A88,$C$2:C88,C88)/AVERAGEIFS($AZ$2:AZ88,$A$2:A88,A88,$C$2:C88,C88)-1),"")</f>
        <v>-</v>
      </c>
    </row>
    <row r="89" spans="1:56" ht="16.350000000000001" customHeight="1">
      <c r="A89" s="175">
        <f t="shared" si="23"/>
        <v>2022</v>
      </c>
      <c r="B89" s="447" t="str">
        <f t="shared" si="24"/>
        <v>36</v>
      </c>
      <c r="C89" s="447" t="str">
        <f t="array" ref="C89">_xlfn.IFS(_xlfn.NUMBERVALUE(B89)&lt;=13,"Q1",AND(_xlfn.NUMBERVALUE(B89)&gt;13,_xlfn.NUMBERVALUE(B89)&lt;=26),"Q2", AND(_xlfn.NUMBERVALUE(B89)&gt;26,_xlfn.NUMBERVALUE(B89)&lt;=39),"Q3",_xlfn.NUMBERVALUE(B89)&gt;39,"Q4")</f>
        <v>Q3</v>
      </c>
      <c r="D89" s="448">
        <f t="shared" si="45"/>
        <v>44471</v>
      </c>
      <c r="E89" s="448">
        <f t="shared" si="25"/>
        <v>44477</v>
      </c>
      <c r="F89" s="79">
        <v>202136</v>
      </c>
      <c r="G89" s="815"/>
      <c r="H89" s="816"/>
      <c r="I89" s="429"/>
      <c r="J89" s="214">
        <f t="shared" si="26"/>
        <v>0</v>
      </c>
      <c r="K89" s="429"/>
      <c r="L89" s="429"/>
      <c r="M89" s="429"/>
      <c r="N89" s="214">
        <f t="shared" si="27"/>
        <v>0</v>
      </c>
      <c r="O89" s="449">
        <f>'Overall Metrics'!L94</f>
        <v>0</v>
      </c>
      <c r="P89" s="449">
        <f>'Overall Metrics'!M94</f>
        <v>0</v>
      </c>
      <c r="Q89" s="449">
        <f>'Overall Metrics'!N94</f>
        <v>0</v>
      </c>
      <c r="R89" s="449">
        <f t="shared" si="28"/>
        <v>0</v>
      </c>
      <c r="S89" s="180">
        <f t="shared" si="29"/>
        <v>0</v>
      </c>
      <c r="T89" s="449">
        <f t="shared" si="30"/>
        <v>0</v>
      </c>
      <c r="U89" s="449">
        <f t="shared" si="31"/>
        <v>0</v>
      </c>
      <c r="V89" s="450" t="str">
        <f t="shared" si="32"/>
        <v/>
      </c>
      <c r="W89" s="450" t="str">
        <f>IF(R89=0,"-",SUMIFS($R$2:R89,$A$2:A89,A89,$C$2:C89,C89)/SUMIFS($J$2:J89,$A$2:A89,A89,$C$2:C89,C89)-1)</f>
        <v>-</v>
      </c>
      <c r="X89" s="450" t="str">
        <f t="shared" si="33"/>
        <v/>
      </c>
      <c r="Y89" s="450" t="str">
        <f>IFERROR(IF(R89=0,"-",SUMIFS($R$2:R89,$A$2:A89,A89,$C$2:C89,C89)/SUMIFS($N$2:N89,$A$2:A89,A89,$C$2:C89,C89)-1),"")</f>
        <v>-</v>
      </c>
      <c r="Z89" s="269" t="str">
        <f>IF(R89=0,"",(S89/VLOOKUP(_xlfn.NUMBERVALUE(_xlfn.CONCAT(LEFT(F89,4),52)),$F$2:T296,COLUMNS($F$2:T296),FALSE)))</f>
        <v/>
      </c>
      <c r="AA89" s="269" t="str">
        <f>IFERROR(IF(R89=0,"",(S89/VLOOKUP(_xlfn.NUMBERVALUE(_xlfn.CONCAT(LEFT(F89,4),52)),$F$2:U296,COLUMNS($F$2:U296),FALSE))),"")</f>
        <v/>
      </c>
      <c r="AB89" s="268" t="str">
        <f t="shared" si="34"/>
        <v/>
      </c>
      <c r="AC89" s="450" t="str">
        <f t="shared" si="35"/>
        <v/>
      </c>
      <c r="AD89" s="450" t="str">
        <f t="shared" si="36"/>
        <v/>
      </c>
      <c r="AE89" s="269" t="str">
        <f t="shared" si="37"/>
        <v/>
      </c>
      <c r="AF89" s="268" t="str">
        <f t="shared" si="38"/>
        <v/>
      </c>
      <c r="AG89" s="450" t="str">
        <f t="shared" si="39"/>
        <v/>
      </c>
      <c r="AH89" s="450" t="str">
        <f t="shared" si="40"/>
        <v/>
      </c>
      <c r="AI89" s="269" t="str">
        <f t="shared" si="41"/>
        <v/>
      </c>
      <c r="AJ89" s="450" t="str">
        <f>IF(O89=0,"-",SUMIFS($O$2:O89,$A$2:A89,$A89,$F$2:F89,"&lt;="&amp;$F89)/SUMIFS($G$2:G89,$A$2:A89,$A89,$F$2:F89,"&lt;="&amp;$F89)-1)</f>
        <v>-</v>
      </c>
      <c r="AK89" s="450" t="str">
        <f>IF(P89=0,"-",SUMIFS($P$2:P89,$A$2:A89,$A89,$F$2:F89,"&lt;="&amp;$F89)/SUMIFS($H$2:H89,$A$2:A89,$A89,$F$2:F89,"&lt;="&amp;$F89)-1)</f>
        <v>-</v>
      </c>
      <c r="AL89" s="450" t="str">
        <f>IF(Q89=0,"-",SUMIFS($Q$2:Q89,$A$2:A89,$A89,$F$2:F89,"&lt;="&amp;$F89)/SUMIFS($I$2:I89,$A$2:A89,$A89,$F$2:F89,"&lt;="&amp;$F89)-1)</f>
        <v>-</v>
      </c>
      <c r="AM89" s="450" t="str">
        <f>IFERROR(IF(O89=0,"-",SUMIFS($O$2:O89,$A$2:A89,$A89,$F$2:F89,"&lt;="&amp;$F89)/SUMIFS($K$2:K89,$A$2:A89,$A89,$F$2:F89,"&lt;="&amp;$F89)-1),"")</f>
        <v>-</v>
      </c>
      <c r="AN89" s="450" t="str">
        <f>IFERROR(IF(P89=0,"-",SUMIFS($P$2:P89,$A$2:A89,$A89,$F$2:F89,"&lt;="&amp;$F89)/SUMIFS($L$2:L89,$A$2:A89,$A89,$F$2:F89,"&lt;="&amp;$F89)-1),"")</f>
        <v>-</v>
      </c>
      <c r="AO89" s="450" t="str">
        <f>IFERROR(IF(Q89=0,"-",SUMIFS($Q$2:Q89,$A$2:A89,$A89,$F$2:F89,"&lt;="&amp;$F89)/SUMIFS($M$2:M89,$A$2:A89,$A89,$F$2:F89,"&lt;="&amp;$F89)-1),"")</f>
        <v>-</v>
      </c>
      <c r="AP89" s="86"/>
      <c r="AQ89" s="452" t="str">
        <f>'Overall Metrics'!AO94</f>
        <v/>
      </c>
      <c r="AR89" s="450" t="str">
        <f t="shared" si="42"/>
        <v/>
      </c>
      <c r="AS89" s="453" t="str">
        <f>IFERROR(IF(R90=0,"-",AVERAGEIFS($AQ$2:AQ89,$A$2:A89,$A89,$F$2:F89,"&lt;="&amp;$F89)-AVERAGEIFS($AP$2:AP89,$A$2:A89,$A89,$F$2:F89,"&lt;="&amp;$F89)),"")</f>
        <v>-</v>
      </c>
      <c r="AT89" s="390" t="str">
        <f>IFERROR(IF(R90=0,"-",AVERAGEIFS($AQ$2:AQ89,$A$2:A89,A89,$C$2:C89,C89)-AVERAGEIFS($AP$2:AP89,$A$2:A89,A89,$C$2:C89,C89)),"")</f>
        <v>-</v>
      </c>
      <c r="AU89" s="79"/>
      <c r="AV89" s="452">
        <f>'Overall Metrics'!AS94</f>
        <v>-0.1</v>
      </c>
      <c r="AW89" s="450">
        <f t="shared" si="43"/>
        <v>-0.1</v>
      </c>
      <c r="AX89" s="453" t="str">
        <f>IFERROR(IF(R93=0,"-",AVERAGEIFS($AV$2:AV89,$A$2:A89,$A89,$F$2:F89,"&lt;="&amp;$F89)-AVERAGEIFS($AU$2:AU89,$A$2:A89,$A89,$F$2:F89,"&lt;="&amp;$F89)),"")</f>
        <v>-</v>
      </c>
      <c r="AY89" s="453" t="str">
        <f>IFERROR(IF(R93=0,"-",AVERAGEIFS($AV$2:AV89,$A$2:A89,A89,$C$2:C89,C89)-AVERAGEIFS($AU$2:AU89,$A$2:A89,A89,$C$2:C89,C89)),"")</f>
        <v>-</v>
      </c>
      <c r="AZ89" s="86"/>
      <c r="BA89" s="449">
        <f>'Glass Metrics'!AC94</f>
        <v>0</v>
      </c>
      <c r="BB89" s="450" t="str">
        <f t="shared" si="44"/>
        <v/>
      </c>
      <c r="BC89" s="450" t="str">
        <f>IFERROR(IF(R89=0,"-",AVERAGEIFS($BA$2:BA89,$A$2:A89,$A89,$F$2:F89,"&lt;="&amp;$F89)/AVERAGEIFS($AZ$2:AZ89,$A$2:A89,$A89,$F$2:F89,"&lt;="&amp;$F89)-1),"")</f>
        <v>-</v>
      </c>
      <c r="BD89" s="269" t="str">
        <f>IFERROR(IF(R89=0,"-",AVERAGEIFS($BA$2:BA89,$A$2:A89,A89,$C$2:C89,C89)/AVERAGEIFS($AZ$2:AZ89,$A$2:A89,A89,$C$2:C89,C89)-1),"")</f>
        <v>-</v>
      </c>
    </row>
    <row r="90" spans="1:56" ht="16.350000000000001" customHeight="1">
      <c r="A90" s="175">
        <f t="shared" si="23"/>
        <v>2022</v>
      </c>
      <c r="B90" s="447" t="str">
        <f t="shared" si="24"/>
        <v>37</v>
      </c>
      <c r="C90" s="447" t="str">
        <f t="array" ref="C90">_xlfn.IFS(_xlfn.NUMBERVALUE(B90)&lt;=13,"Q1",AND(_xlfn.NUMBERVALUE(B90)&gt;13,_xlfn.NUMBERVALUE(B90)&lt;=26),"Q2", AND(_xlfn.NUMBERVALUE(B90)&gt;26,_xlfn.NUMBERVALUE(B90)&lt;=39),"Q3",_xlfn.NUMBERVALUE(B90)&gt;39,"Q4")</f>
        <v>Q3</v>
      </c>
      <c r="D90" s="448">
        <f t="shared" si="45"/>
        <v>44478</v>
      </c>
      <c r="E90" s="448">
        <f t="shared" si="25"/>
        <v>44484</v>
      </c>
      <c r="F90" s="79">
        <v>202137</v>
      </c>
      <c r="G90" s="815"/>
      <c r="H90" s="816"/>
      <c r="I90" s="429"/>
      <c r="J90" s="214">
        <f t="shared" si="26"/>
        <v>0</v>
      </c>
      <c r="K90" s="429"/>
      <c r="L90" s="429"/>
      <c r="M90" s="429"/>
      <c r="N90" s="214">
        <f t="shared" si="27"/>
        <v>0</v>
      </c>
      <c r="O90" s="449">
        <f>'Overall Metrics'!L95</f>
        <v>0</v>
      </c>
      <c r="P90" s="449">
        <f>'Overall Metrics'!M95</f>
        <v>0</v>
      </c>
      <c r="Q90" s="449">
        <f>'Overall Metrics'!N95</f>
        <v>0</v>
      </c>
      <c r="R90" s="449">
        <f t="shared" si="28"/>
        <v>0</v>
      </c>
      <c r="S90" s="180">
        <f t="shared" si="29"/>
        <v>0</v>
      </c>
      <c r="T90" s="449">
        <f t="shared" si="30"/>
        <v>0</v>
      </c>
      <c r="U90" s="449">
        <f t="shared" si="31"/>
        <v>0</v>
      </c>
      <c r="V90" s="450" t="str">
        <f t="shared" si="32"/>
        <v/>
      </c>
      <c r="W90" s="450" t="str">
        <f>IF(R90=0,"-",SUMIFS($R$2:R90,$A$2:A90,A90,$C$2:C90,C90)/SUMIFS($J$2:J90,$A$2:A90,A90,$C$2:C90,C90)-1)</f>
        <v>-</v>
      </c>
      <c r="X90" s="450" t="str">
        <f t="shared" si="33"/>
        <v/>
      </c>
      <c r="Y90" s="450" t="str">
        <f>IFERROR(IF(R90=0,"-",SUMIFS($R$2:R90,$A$2:A90,A90,$C$2:C90,C90)/SUMIFS($N$2:N90,$A$2:A90,A90,$C$2:C90,C90)-1),"")</f>
        <v>-</v>
      </c>
      <c r="Z90" s="269" t="str">
        <f>IF(R90=0,"",(S90/VLOOKUP(_xlfn.NUMBERVALUE(_xlfn.CONCAT(LEFT(F90,4),52)),$F$2:T297,COLUMNS($F$2:T297),FALSE)))</f>
        <v/>
      </c>
      <c r="AA90" s="269" t="str">
        <f>IFERROR(IF(R90=0,"",(S90/VLOOKUP(_xlfn.NUMBERVALUE(_xlfn.CONCAT(LEFT(F90,4),52)),$F$2:U297,COLUMNS($F$2:U297),FALSE))),"")</f>
        <v/>
      </c>
      <c r="AB90" s="268" t="str">
        <f t="shared" si="34"/>
        <v/>
      </c>
      <c r="AC90" s="450" t="str">
        <f t="shared" si="35"/>
        <v/>
      </c>
      <c r="AD90" s="450" t="str">
        <f t="shared" si="36"/>
        <v/>
      </c>
      <c r="AE90" s="269" t="str">
        <f t="shared" si="37"/>
        <v/>
      </c>
      <c r="AF90" s="268" t="str">
        <f t="shared" si="38"/>
        <v/>
      </c>
      <c r="AG90" s="450" t="str">
        <f t="shared" si="39"/>
        <v/>
      </c>
      <c r="AH90" s="450" t="str">
        <f t="shared" si="40"/>
        <v/>
      </c>
      <c r="AI90" s="269" t="str">
        <f t="shared" si="41"/>
        <v/>
      </c>
      <c r="AJ90" s="450" t="str">
        <f>IF(O90=0,"-",SUMIFS($O$2:O90,$A$2:A90,$A90,$F$2:F90,"&lt;="&amp;$F90)/SUMIFS($G$2:G90,$A$2:A90,$A90,$F$2:F90,"&lt;="&amp;$F90)-1)</f>
        <v>-</v>
      </c>
      <c r="AK90" s="450" t="str">
        <f>IF(P90=0,"-",SUMIFS($P$2:P90,$A$2:A90,$A90,$F$2:F90,"&lt;="&amp;$F90)/SUMIFS($H$2:H90,$A$2:A90,$A90,$F$2:F90,"&lt;="&amp;$F90)-1)</f>
        <v>-</v>
      </c>
      <c r="AL90" s="450" t="str">
        <f>IF(Q90=0,"-",SUMIFS($Q$2:Q90,$A$2:A90,$A90,$F$2:F90,"&lt;="&amp;$F90)/SUMIFS($I$2:I90,$A$2:A90,$A90,$F$2:F90,"&lt;="&amp;$F90)-1)</f>
        <v>-</v>
      </c>
      <c r="AM90" s="450" t="str">
        <f>IFERROR(IF(O90=0,"-",SUMIFS($O$2:O90,$A$2:A90,$A90,$F$2:F90,"&lt;="&amp;$F90)/SUMIFS($K$2:K90,$A$2:A90,$A90,$F$2:F90,"&lt;="&amp;$F90)-1),"")</f>
        <v>-</v>
      </c>
      <c r="AN90" s="450" t="str">
        <f>IFERROR(IF(P90=0,"-",SUMIFS($P$2:P90,$A$2:A90,$A90,$F$2:F90,"&lt;="&amp;$F90)/SUMIFS($L$2:L90,$A$2:A90,$A90,$F$2:F90,"&lt;="&amp;$F90)-1),"")</f>
        <v>-</v>
      </c>
      <c r="AO90" s="450" t="str">
        <f>IFERROR(IF(Q90=0,"-",SUMIFS($Q$2:Q90,$A$2:A90,$A90,$F$2:F90,"&lt;="&amp;$F90)/SUMIFS($M$2:M90,$A$2:A90,$A90,$F$2:F90,"&lt;="&amp;$F90)-1),"")</f>
        <v>-</v>
      </c>
      <c r="AP90" s="86"/>
      <c r="AQ90" s="452" t="str">
        <f>'Overall Metrics'!AO95</f>
        <v/>
      </c>
      <c r="AR90" s="450" t="str">
        <f t="shared" si="42"/>
        <v/>
      </c>
      <c r="AS90" s="453" t="str">
        <f>IFERROR(IF(R91=0,"-",AVERAGEIFS($AQ$2:AQ90,$A$2:A90,$A90,$F$2:F90,"&lt;="&amp;$F90)-AVERAGEIFS($AP$2:AP90,$A$2:A90,$A90,$F$2:F90,"&lt;="&amp;$F90)),"")</f>
        <v>-</v>
      </c>
      <c r="AT90" s="390" t="str">
        <f>IFERROR(IF(R91=0,"-",AVERAGEIFS($AQ$2:AQ90,$A$2:A90,A90,$C$2:C90,C90)-AVERAGEIFS($AP$2:AP90,$A$2:A90,A90,$C$2:C90,C90)),"")</f>
        <v>-</v>
      </c>
      <c r="AU90" s="79"/>
      <c r="AV90" s="452">
        <f>'Overall Metrics'!AS95</f>
        <v>-0.1</v>
      </c>
      <c r="AW90" s="450">
        <f t="shared" si="43"/>
        <v>-0.1</v>
      </c>
      <c r="AX90" s="453" t="str">
        <f>IFERROR(IF(R94=0,"-",AVERAGEIFS($AV$2:AV90,$A$2:A90,$A90,$F$2:F90,"&lt;="&amp;$F90)-AVERAGEIFS($AU$2:AU90,$A$2:A90,$A90,$F$2:F90,"&lt;="&amp;$F90)),"")</f>
        <v>-</v>
      </c>
      <c r="AY90" s="453" t="str">
        <f>IFERROR(IF(R94=0,"-",AVERAGEIFS($AV$2:AV90,$A$2:A90,A90,$C$2:C90,C90)-AVERAGEIFS($AU$2:AU90,$A$2:A90,A90,$C$2:C90,C90)),"")</f>
        <v>-</v>
      </c>
      <c r="AZ90" s="86"/>
      <c r="BA90" s="449">
        <f>'Glass Metrics'!AC95</f>
        <v>0</v>
      </c>
      <c r="BB90" s="450" t="str">
        <f t="shared" si="44"/>
        <v/>
      </c>
      <c r="BC90" s="450" t="str">
        <f>IFERROR(IF(R90=0,"-",AVERAGEIFS($BA$2:BA90,$A$2:A90,$A90,$F$2:F90,"&lt;="&amp;$F90)/AVERAGEIFS($AZ$2:AZ90,$A$2:A90,$A90,$F$2:F90,"&lt;="&amp;$F90)-1),"")</f>
        <v>-</v>
      </c>
      <c r="BD90" s="269" t="str">
        <f>IFERROR(IF(R90=0,"-",AVERAGEIFS($BA$2:BA90,$A$2:A90,A90,$C$2:C90,C90)/AVERAGEIFS($AZ$2:AZ90,$A$2:A90,A90,$C$2:C90,C90)-1),"")</f>
        <v>-</v>
      </c>
    </row>
    <row r="91" spans="1:56" ht="16.350000000000001" customHeight="1">
      <c r="A91" s="175">
        <f t="shared" si="23"/>
        <v>2022</v>
      </c>
      <c r="B91" s="447" t="str">
        <f t="shared" si="24"/>
        <v>38</v>
      </c>
      <c r="C91" s="447" t="str">
        <f t="array" ref="C91">_xlfn.IFS(_xlfn.NUMBERVALUE(B91)&lt;=13,"Q1",AND(_xlfn.NUMBERVALUE(B91)&gt;13,_xlfn.NUMBERVALUE(B91)&lt;=26),"Q2", AND(_xlfn.NUMBERVALUE(B91)&gt;26,_xlfn.NUMBERVALUE(B91)&lt;=39),"Q3",_xlfn.NUMBERVALUE(B91)&gt;39,"Q4")</f>
        <v>Q3</v>
      </c>
      <c r="D91" s="448">
        <f t="shared" si="45"/>
        <v>44485</v>
      </c>
      <c r="E91" s="448">
        <f t="shared" si="25"/>
        <v>44491</v>
      </c>
      <c r="F91" s="79">
        <v>202138</v>
      </c>
      <c r="G91" s="815"/>
      <c r="H91" s="816"/>
      <c r="I91" s="429"/>
      <c r="J91" s="214">
        <f t="shared" si="26"/>
        <v>0</v>
      </c>
      <c r="K91" s="429"/>
      <c r="L91" s="429"/>
      <c r="M91" s="429"/>
      <c r="N91" s="214">
        <f t="shared" si="27"/>
        <v>0</v>
      </c>
      <c r="O91" s="449">
        <f>'Overall Metrics'!L96</f>
        <v>0</v>
      </c>
      <c r="P91" s="449">
        <f>'Overall Metrics'!M96</f>
        <v>0</v>
      </c>
      <c r="Q91" s="449">
        <f>'Overall Metrics'!N96</f>
        <v>0</v>
      </c>
      <c r="R91" s="449">
        <f t="shared" si="28"/>
        <v>0</v>
      </c>
      <c r="S91" s="180">
        <f t="shared" si="29"/>
        <v>0</v>
      </c>
      <c r="T91" s="449">
        <f t="shared" si="30"/>
        <v>0</v>
      </c>
      <c r="U91" s="449">
        <f t="shared" si="31"/>
        <v>0</v>
      </c>
      <c r="V91" s="450" t="str">
        <f t="shared" si="32"/>
        <v/>
      </c>
      <c r="W91" s="450" t="str">
        <f>IF(R91=0,"-",SUMIFS($R$2:R91,$A$2:A91,A91,$C$2:C91,C91)/SUMIFS($J$2:J91,$A$2:A91,A91,$C$2:C91,C91)-1)</f>
        <v>-</v>
      </c>
      <c r="X91" s="450" t="str">
        <f t="shared" si="33"/>
        <v/>
      </c>
      <c r="Y91" s="450" t="str">
        <f>IFERROR(IF(R91=0,"-",SUMIFS($R$2:R91,$A$2:A91,A91,$C$2:C91,C91)/SUMIFS($N$2:N91,$A$2:A91,A91,$C$2:C91,C91)-1),"")</f>
        <v>-</v>
      </c>
      <c r="Z91" s="269" t="str">
        <f>IF(R91=0,"",(S91/VLOOKUP(_xlfn.NUMBERVALUE(_xlfn.CONCAT(LEFT(F91,4),52)),$F$2:T298,COLUMNS($F$2:T298),FALSE)))</f>
        <v/>
      </c>
      <c r="AA91" s="269" t="str">
        <f>IFERROR(IF(R91=0,"",(S91/VLOOKUP(_xlfn.NUMBERVALUE(_xlfn.CONCAT(LEFT(F91,4),52)),$F$2:U298,COLUMNS($F$2:U298),FALSE))),"")</f>
        <v/>
      </c>
      <c r="AB91" s="268" t="str">
        <f t="shared" si="34"/>
        <v/>
      </c>
      <c r="AC91" s="450" t="str">
        <f t="shared" si="35"/>
        <v/>
      </c>
      <c r="AD91" s="450" t="str">
        <f t="shared" si="36"/>
        <v/>
      </c>
      <c r="AE91" s="269" t="str">
        <f t="shared" si="37"/>
        <v/>
      </c>
      <c r="AF91" s="268" t="str">
        <f t="shared" si="38"/>
        <v/>
      </c>
      <c r="AG91" s="450" t="str">
        <f t="shared" si="39"/>
        <v/>
      </c>
      <c r="AH91" s="450" t="str">
        <f t="shared" si="40"/>
        <v/>
      </c>
      <c r="AI91" s="269" t="str">
        <f t="shared" si="41"/>
        <v/>
      </c>
      <c r="AJ91" s="450" t="str">
        <f>IF(O91=0,"-",SUMIFS($O$2:O91,$A$2:A91,$A91,$F$2:F91,"&lt;="&amp;$F91)/SUMIFS($G$2:G91,$A$2:A91,$A91,$F$2:F91,"&lt;="&amp;$F91)-1)</f>
        <v>-</v>
      </c>
      <c r="AK91" s="450" t="str">
        <f>IF(P91=0,"-",SUMIFS($P$2:P91,$A$2:A91,$A91,$F$2:F91,"&lt;="&amp;$F91)/SUMIFS($H$2:H91,$A$2:A91,$A91,$F$2:F91,"&lt;="&amp;$F91)-1)</f>
        <v>-</v>
      </c>
      <c r="AL91" s="450" t="str">
        <f>IF(Q91=0,"-",SUMIFS($Q$2:Q91,$A$2:A91,$A91,$F$2:F91,"&lt;="&amp;$F91)/SUMIFS($I$2:I91,$A$2:A91,$A91,$F$2:F91,"&lt;="&amp;$F91)-1)</f>
        <v>-</v>
      </c>
      <c r="AM91" s="450" t="str">
        <f>IFERROR(IF(O91=0,"-",SUMIFS($O$2:O91,$A$2:A91,$A91,$F$2:F91,"&lt;="&amp;$F91)/SUMIFS($K$2:K91,$A$2:A91,$A91,$F$2:F91,"&lt;="&amp;$F91)-1),"")</f>
        <v>-</v>
      </c>
      <c r="AN91" s="450" t="str">
        <f>IFERROR(IF(P91=0,"-",SUMIFS($P$2:P91,$A$2:A91,$A91,$F$2:F91,"&lt;="&amp;$F91)/SUMIFS($L$2:L91,$A$2:A91,$A91,$F$2:F91,"&lt;="&amp;$F91)-1),"")</f>
        <v>-</v>
      </c>
      <c r="AO91" s="450" t="str">
        <f>IFERROR(IF(Q91=0,"-",SUMIFS($Q$2:Q91,$A$2:A91,$A91,$F$2:F91,"&lt;="&amp;$F91)/SUMIFS($M$2:M91,$A$2:A91,$A91,$F$2:F91,"&lt;="&amp;$F91)-1),"")</f>
        <v>-</v>
      </c>
      <c r="AP91" s="86"/>
      <c r="AQ91" s="452" t="str">
        <f>'Overall Metrics'!AO96</f>
        <v/>
      </c>
      <c r="AR91" s="450" t="str">
        <f t="shared" si="42"/>
        <v/>
      </c>
      <c r="AS91" s="453" t="str">
        <f>IFERROR(IF(R92=0,"-",AVERAGEIFS($AQ$2:AQ91,$A$2:A91,$A91,$F$2:F91,"&lt;="&amp;$F91)-AVERAGEIFS($AP$2:AP91,$A$2:A91,$A91,$F$2:F91,"&lt;="&amp;$F91)),"")</f>
        <v>-</v>
      </c>
      <c r="AT91" s="390" t="str">
        <f>IFERROR(IF(R92=0,"-",AVERAGEIFS($AQ$2:AQ91,$A$2:A91,A91,$C$2:C91,C91)-AVERAGEIFS($AP$2:AP91,$A$2:A91,A91,$C$2:C91,C91)),"")</f>
        <v>-</v>
      </c>
      <c r="AU91" s="79"/>
      <c r="AV91" s="452">
        <f>'Overall Metrics'!AS96</f>
        <v>-0.1</v>
      </c>
      <c r="AW91" s="450">
        <f t="shared" si="43"/>
        <v>-0.1</v>
      </c>
      <c r="AX91" s="453" t="str">
        <f>IFERROR(IF(R95=0,"-",AVERAGEIFS($AV$2:AV91,$A$2:A91,$A91,$F$2:F91,"&lt;="&amp;$F91)-AVERAGEIFS($AU$2:AU91,$A$2:A91,$A91,$F$2:F91,"&lt;="&amp;$F91)),"")</f>
        <v>-</v>
      </c>
      <c r="AY91" s="453" t="str">
        <f>IFERROR(IF(R95=0,"-",AVERAGEIFS($AV$2:AV91,$A$2:A91,A91,$C$2:C91,C91)-AVERAGEIFS($AU$2:AU91,$A$2:A91,A91,$C$2:C91,C91)),"")</f>
        <v>-</v>
      </c>
      <c r="AZ91" s="86"/>
      <c r="BA91" s="449">
        <f>'Glass Metrics'!AC96</f>
        <v>0</v>
      </c>
      <c r="BB91" s="450" t="str">
        <f t="shared" si="44"/>
        <v/>
      </c>
      <c r="BC91" s="450" t="str">
        <f>IFERROR(IF(R91=0,"-",AVERAGEIFS($BA$2:BA91,$A$2:A91,$A91,$F$2:F91,"&lt;="&amp;$F91)/AVERAGEIFS($AZ$2:AZ91,$A$2:A91,$A91,$F$2:F91,"&lt;="&amp;$F91)-1),"")</f>
        <v>-</v>
      </c>
      <c r="BD91" s="269" t="str">
        <f>IFERROR(IF(R91=0,"-",AVERAGEIFS($BA$2:BA91,$A$2:A91,A91,$C$2:C91,C91)/AVERAGEIFS($AZ$2:AZ91,$A$2:A91,A91,$C$2:C91,C91)-1),"")</f>
        <v>-</v>
      </c>
    </row>
    <row r="92" spans="1:56" ht="16.350000000000001" customHeight="1">
      <c r="A92" s="175">
        <f t="shared" si="23"/>
        <v>2022</v>
      </c>
      <c r="B92" s="447" t="str">
        <f t="shared" si="24"/>
        <v>39</v>
      </c>
      <c r="C92" s="447" t="str">
        <f t="array" ref="C92">_xlfn.IFS(_xlfn.NUMBERVALUE(B92)&lt;=13,"Q1",AND(_xlfn.NUMBERVALUE(B92)&gt;13,_xlfn.NUMBERVALUE(B92)&lt;=26),"Q2", AND(_xlfn.NUMBERVALUE(B92)&gt;26,_xlfn.NUMBERVALUE(B92)&lt;=39),"Q3",_xlfn.NUMBERVALUE(B92)&gt;39,"Q4")</f>
        <v>Q3</v>
      </c>
      <c r="D92" s="448">
        <f t="shared" si="45"/>
        <v>44492</v>
      </c>
      <c r="E92" s="448">
        <f t="shared" si="25"/>
        <v>44498</v>
      </c>
      <c r="F92" s="79">
        <v>202139</v>
      </c>
      <c r="G92" s="815"/>
      <c r="H92" s="816"/>
      <c r="I92" s="429"/>
      <c r="J92" s="214">
        <f t="shared" si="26"/>
        <v>0</v>
      </c>
      <c r="K92" s="429"/>
      <c r="L92" s="429"/>
      <c r="M92" s="429"/>
      <c r="N92" s="214">
        <f t="shared" si="27"/>
        <v>0</v>
      </c>
      <c r="O92" s="449">
        <f>'Overall Metrics'!L97</f>
        <v>0</v>
      </c>
      <c r="P92" s="449">
        <f>'Overall Metrics'!M97</f>
        <v>0</v>
      </c>
      <c r="Q92" s="449">
        <f>'Overall Metrics'!N97</f>
        <v>0</v>
      </c>
      <c r="R92" s="449">
        <f t="shared" si="28"/>
        <v>0</v>
      </c>
      <c r="S92" s="180">
        <f t="shared" si="29"/>
        <v>0</v>
      </c>
      <c r="T92" s="449">
        <f t="shared" si="30"/>
        <v>0</v>
      </c>
      <c r="U92" s="449">
        <f t="shared" si="31"/>
        <v>0</v>
      </c>
      <c r="V92" s="450" t="str">
        <f t="shared" si="32"/>
        <v/>
      </c>
      <c r="W92" s="450" t="str">
        <f>IF(R92=0,"-",SUMIFS($R$2:R92,$A$2:A92,A92,$C$2:C92,C92)/SUMIFS($J$2:J92,$A$2:A92,A92,$C$2:C92,C92)-1)</f>
        <v>-</v>
      </c>
      <c r="X92" s="450" t="str">
        <f t="shared" si="33"/>
        <v/>
      </c>
      <c r="Y92" s="450" t="str">
        <f>IFERROR(IF(R92=0,"-",SUMIFS($R$2:R92,$A$2:A92,A92,$C$2:C92,C92)/SUMIFS($N$2:N92,$A$2:A92,A92,$C$2:C92,C92)-1),"")</f>
        <v>-</v>
      </c>
      <c r="Z92" s="269" t="str">
        <f>IF(R92=0,"",(S92/VLOOKUP(_xlfn.NUMBERVALUE(_xlfn.CONCAT(LEFT(F92,4),52)),$F$2:T299,COLUMNS($F$2:T299),FALSE)))</f>
        <v/>
      </c>
      <c r="AA92" s="269" t="str">
        <f>IFERROR(IF(R92=0,"",(S92/VLOOKUP(_xlfn.NUMBERVALUE(_xlfn.CONCAT(LEFT(F92,4),52)),$F$2:U299,COLUMNS($F$2:U299),FALSE))),"")</f>
        <v/>
      </c>
      <c r="AB92" s="268" t="str">
        <f t="shared" si="34"/>
        <v/>
      </c>
      <c r="AC92" s="450" t="str">
        <f t="shared" si="35"/>
        <v/>
      </c>
      <c r="AD92" s="450" t="str">
        <f t="shared" si="36"/>
        <v/>
      </c>
      <c r="AE92" s="269" t="str">
        <f t="shared" si="37"/>
        <v/>
      </c>
      <c r="AF92" s="268" t="str">
        <f t="shared" si="38"/>
        <v/>
      </c>
      <c r="AG92" s="450" t="str">
        <f t="shared" si="39"/>
        <v/>
      </c>
      <c r="AH92" s="450" t="str">
        <f t="shared" si="40"/>
        <v/>
      </c>
      <c r="AI92" s="269" t="str">
        <f t="shared" si="41"/>
        <v/>
      </c>
      <c r="AJ92" s="450" t="str">
        <f>IF(O92=0,"-",SUMIFS($O$2:O92,$A$2:A92,$A92,$F$2:F92,"&lt;="&amp;$F92)/SUMIFS($G$2:G92,$A$2:A92,$A92,$F$2:F92,"&lt;="&amp;$F92)-1)</f>
        <v>-</v>
      </c>
      <c r="AK92" s="450" t="str">
        <f>IF(P92=0,"-",SUMIFS($P$2:P92,$A$2:A92,$A92,$F$2:F92,"&lt;="&amp;$F92)/SUMIFS($H$2:H92,$A$2:A92,$A92,$F$2:F92,"&lt;="&amp;$F92)-1)</f>
        <v>-</v>
      </c>
      <c r="AL92" s="450" t="str">
        <f>IF(Q92=0,"-",SUMIFS($Q$2:Q92,$A$2:A92,$A92,$F$2:F92,"&lt;="&amp;$F92)/SUMIFS($I$2:I92,$A$2:A92,$A92,$F$2:F92,"&lt;="&amp;$F92)-1)</f>
        <v>-</v>
      </c>
      <c r="AM92" s="450" t="str">
        <f>IFERROR(IF(O92=0,"-",SUMIFS($O$2:O92,$A$2:A92,$A92,$F$2:F92,"&lt;="&amp;$F92)/SUMIFS($K$2:K92,$A$2:A92,$A92,$F$2:F92,"&lt;="&amp;$F92)-1),"")</f>
        <v>-</v>
      </c>
      <c r="AN92" s="450" t="str">
        <f>IFERROR(IF(P92=0,"-",SUMIFS($P$2:P92,$A$2:A92,$A92,$F$2:F92,"&lt;="&amp;$F92)/SUMIFS($L$2:L92,$A$2:A92,$A92,$F$2:F92,"&lt;="&amp;$F92)-1),"")</f>
        <v>-</v>
      </c>
      <c r="AO92" s="450" t="str">
        <f>IFERROR(IF(Q92=0,"-",SUMIFS($Q$2:Q92,$A$2:A92,$A92,$F$2:F92,"&lt;="&amp;$F92)/SUMIFS($M$2:M92,$A$2:A92,$A92,$F$2:F92,"&lt;="&amp;$F92)-1),"")</f>
        <v>-</v>
      </c>
      <c r="AP92" s="86"/>
      <c r="AQ92" s="452" t="str">
        <f>'Overall Metrics'!AO97</f>
        <v/>
      </c>
      <c r="AR92" s="450" t="str">
        <f t="shared" si="42"/>
        <v/>
      </c>
      <c r="AS92" s="453" t="str">
        <f>IFERROR(IF(R93=0,"-",AVERAGEIFS($AQ$2:AQ92,$A$2:A92,$A92,$F$2:F92,"&lt;="&amp;$F92)-AVERAGEIFS($AP$2:AP92,$A$2:A92,$A92,$F$2:F92,"&lt;="&amp;$F92)),"")</f>
        <v>-</v>
      </c>
      <c r="AT92" s="390" t="str">
        <f>IFERROR(IF(R93=0,"-",AVERAGEIFS($AQ$2:AQ92,$A$2:A92,A92,$C$2:C92,C92)-AVERAGEIFS($AP$2:AP92,$A$2:A92,A92,$C$2:C92,C92)),"")</f>
        <v>-</v>
      </c>
      <c r="AU92" s="79"/>
      <c r="AV92" s="452">
        <f>'Overall Metrics'!AS97</f>
        <v>-0.1</v>
      </c>
      <c r="AW92" s="450">
        <f t="shared" si="43"/>
        <v>-0.1</v>
      </c>
      <c r="AX92" s="453" t="str">
        <f>IFERROR(IF(R96=0,"-",AVERAGEIFS($AV$2:AV92,$A$2:A92,$A92,$F$2:F92,"&lt;="&amp;$F92)-AVERAGEIFS($AU$2:AU92,$A$2:A92,$A92,$F$2:F92,"&lt;="&amp;$F92)),"")</f>
        <v>-</v>
      </c>
      <c r="AY92" s="453" t="str">
        <f>IFERROR(IF(R96=0,"-",AVERAGEIFS($AV$2:AV92,$A$2:A92,A92,$C$2:C92,C92)-AVERAGEIFS($AU$2:AU92,$A$2:A92,A92,$C$2:C92,C92)),"")</f>
        <v>-</v>
      </c>
      <c r="AZ92" s="86"/>
      <c r="BA92" s="449">
        <f>'Glass Metrics'!AC97</f>
        <v>0</v>
      </c>
      <c r="BB92" s="450" t="str">
        <f t="shared" si="44"/>
        <v/>
      </c>
      <c r="BC92" s="450" t="str">
        <f>IFERROR(IF(R92=0,"-",AVERAGEIFS($BA$2:BA92,$A$2:A92,$A92,$F$2:F92,"&lt;="&amp;$F92)/AVERAGEIFS($AZ$2:AZ92,$A$2:A92,$A92,$F$2:F92,"&lt;="&amp;$F92)-1),"")</f>
        <v>-</v>
      </c>
      <c r="BD92" s="269" t="str">
        <f>IFERROR(IF(R92=0,"-",AVERAGEIFS($BA$2:BA92,$A$2:A92,A92,$C$2:C92,C92)/AVERAGEIFS($AZ$2:AZ92,$A$2:A92,A92,$C$2:C92,C92)-1),"")</f>
        <v>-</v>
      </c>
    </row>
    <row r="93" spans="1:56" ht="16.350000000000001" customHeight="1">
      <c r="A93" s="175">
        <f t="shared" si="23"/>
        <v>2022</v>
      </c>
      <c r="B93" s="447" t="str">
        <f t="shared" si="24"/>
        <v>40</v>
      </c>
      <c r="C93" s="447" t="str">
        <f t="array" ref="C93">_xlfn.IFS(_xlfn.NUMBERVALUE(B93)&lt;=13,"Q1",AND(_xlfn.NUMBERVALUE(B93)&gt;13,_xlfn.NUMBERVALUE(B93)&lt;=26),"Q2", AND(_xlfn.NUMBERVALUE(B93)&gt;26,_xlfn.NUMBERVALUE(B93)&lt;=39),"Q3",_xlfn.NUMBERVALUE(B93)&gt;39,"Q4")</f>
        <v>Q4</v>
      </c>
      <c r="D93" s="448">
        <f t="shared" si="45"/>
        <v>44499</v>
      </c>
      <c r="E93" s="448">
        <f t="shared" si="25"/>
        <v>44505</v>
      </c>
      <c r="F93" s="79">
        <v>202140</v>
      </c>
      <c r="G93" s="815"/>
      <c r="H93" s="816"/>
      <c r="I93" s="429"/>
      <c r="J93" s="214">
        <f t="shared" si="26"/>
        <v>0</v>
      </c>
      <c r="K93" s="429"/>
      <c r="L93" s="429"/>
      <c r="M93" s="429"/>
      <c r="N93" s="214">
        <f t="shared" si="27"/>
        <v>0</v>
      </c>
      <c r="O93" s="449">
        <f>'Overall Metrics'!L98</f>
        <v>0</v>
      </c>
      <c r="P93" s="449">
        <f>'Overall Metrics'!M98</f>
        <v>0</v>
      </c>
      <c r="Q93" s="449">
        <f>'Overall Metrics'!N98</f>
        <v>0</v>
      </c>
      <c r="R93" s="449">
        <f t="shared" si="28"/>
        <v>0</v>
      </c>
      <c r="S93" s="180">
        <f t="shared" si="29"/>
        <v>0</v>
      </c>
      <c r="T93" s="449">
        <f t="shared" si="30"/>
        <v>0</v>
      </c>
      <c r="U93" s="449">
        <f t="shared" si="31"/>
        <v>0</v>
      </c>
      <c r="V93" s="450" t="str">
        <f t="shared" si="32"/>
        <v/>
      </c>
      <c r="W93" s="450" t="str">
        <f>IF(R93=0,"-",SUMIFS($R$2:R93,$A$2:A93,A93,$C$2:C93,C93)/SUMIFS($J$2:J93,$A$2:A93,A93,$C$2:C93,C93)-1)</f>
        <v>-</v>
      </c>
      <c r="X93" s="450" t="str">
        <f t="shared" si="33"/>
        <v/>
      </c>
      <c r="Y93" s="450" t="str">
        <f>IFERROR(IF(R93=0,"-",SUMIFS($R$2:R93,$A$2:A93,A93,$C$2:C93,C93)/SUMIFS($N$2:N93,$A$2:A93,A93,$C$2:C93,C93)-1),"")</f>
        <v>-</v>
      </c>
      <c r="Z93" s="269" t="str">
        <f>IF(R93=0,"",(S93/VLOOKUP(_xlfn.NUMBERVALUE(_xlfn.CONCAT(LEFT(F93,4),52)),$F$2:T300,COLUMNS($F$2:T300),FALSE)))</f>
        <v/>
      </c>
      <c r="AA93" s="269" t="str">
        <f>IFERROR(IF(R93=0,"",(S93/VLOOKUP(_xlfn.NUMBERVALUE(_xlfn.CONCAT(LEFT(F93,4),52)),$F$2:U300,COLUMNS($F$2:U300),FALSE))),"")</f>
        <v/>
      </c>
      <c r="AB93" s="268" t="str">
        <f t="shared" si="34"/>
        <v/>
      </c>
      <c r="AC93" s="450" t="str">
        <f t="shared" si="35"/>
        <v/>
      </c>
      <c r="AD93" s="450" t="str">
        <f t="shared" si="36"/>
        <v/>
      </c>
      <c r="AE93" s="269" t="str">
        <f t="shared" si="37"/>
        <v/>
      </c>
      <c r="AF93" s="268" t="str">
        <f t="shared" si="38"/>
        <v/>
      </c>
      <c r="AG93" s="450" t="str">
        <f t="shared" si="39"/>
        <v/>
      </c>
      <c r="AH93" s="450" t="str">
        <f t="shared" si="40"/>
        <v/>
      </c>
      <c r="AI93" s="269" t="str">
        <f t="shared" si="41"/>
        <v/>
      </c>
      <c r="AJ93" s="450" t="str">
        <f>IF(O93=0,"-",SUMIFS($O$2:O93,$A$2:A93,$A93,$F$2:F93,"&lt;="&amp;$F93)/SUMIFS($G$2:G93,$A$2:A93,$A93,$F$2:F93,"&lt;="&amp;$F93)-1)</f>
        <v>-</v>
      </c>
      <c r="AK93" s="450" t="str">
        <f>IF(P93=0,"-",SUMIFS($P$2:P93,$A$2:A93,$A93,$F$2:F93,"&lt;="&amp;$F93)/SUMIFS($H$2:H93,$A$2:A93,$A93,$F$2:F93,"&lt;="&amp;$F93)-1)</f>
        <v>-</v>
      </c>
      <c r="AL93" s="450" t="str">
        <f>IF(Q93=0,"-",SUMIFS($Q$2:Q93,$A$2:A93,$A93,$F$2:F93,"&lt;="&amp;$F93)/SUMIFS($I$2:I93,$A$2:A93,$A93,$F$2:F93,"&lt;="&amp;$F93)-1)</f>
        <v>-</v>
      </c>
      <c r="AM93" s="450" t="str">
        <f>IFERROR(IF(O93=0,"-",SUMIFS($O$2:O93,$A$2:A93,$A93,$F$2:F93,"&lt;="&amp;$F93)/SUMIFS($K$2:K93,$A$2:A93,$A93,$F$2:F93,"&lt;="&amp;$F93)-1),"")</f>
        <v>-</v>
      </c>
      <c r="AN93" s="450" t="str">
        <f>IFERROR(IF(P93=0,"-",SUMIFS($P$2:P93,$A$2:A93,$A93,$F$2:F93,"&lt;="&amp;$F93)/SUMIFS($L$2:L93,$A$2:A93,$A93,$F$2:F93,"&lt;="&amp;$F93)-1),"")</f>
        <v>-</v>
      </c>
      <c r="AO93" s="450" t="str">
        <f>IFERROR(IF(Q93=0,"-",SUMIFS($Q$2:Q93,$A$2:A93,$A93,$F$2:F93,"&lt;="&amp;$F93)/SUMIFS($M$2:M93,$A$2:A93,$A93,$F$2:F93,"&lt;="&amp;$F93)-1),"")</f>
        <v>-</v>
      </c>
      <c r="AP93" s="86"/>
      <c r="AQ93" s="452" t="str">
        <f>'Overall Metrics'!AO98</f>
        <v/>
      </c>
      <c r="AR93" s="450" t="str">
        <f t="shared" si="42"/>
        <v/>
      </c>
      <c r="AS93" s="453" t="str">
        <f>IFERROR(IF(R94=0,"-",AVERAGEIFS($AQ$2:AQ93,$A$2:A93,$A93,$F$2:F93,"&lt;="&amp;$F93)-AVERAGEIFS($AP$2:AP93,$A$2:A93,$A93,$F$2:F93,"&lt;="&amp;$F93)),"")</f>
        <v>-</v>
      </c>
      <c r="AT93" s="390" t="str">
        <f>IFERROR(IF(R94=0,"-",AVERAGEIFS($AQ$2:AQ93,$A$2:A93,A93,$C$2:C93,C93)-AVERAGEIFS($AP$2:AP93,$A$2:A93,A93,$C$2:C93,C93)),"")</f>
        <v>-</v>
      </c>
      <c r="AU93" s="79"/>
      <c r="AV93" s="452">
        <f>'Overall Metrics'!AS98</f>
        <v>-0.1</v>
      </c>
      <c r="AW93" s="450">
        <f t="shared" si="43"/>
        <v>-0.1</v>
      </c>
      <c r="AX93" s="453" t="str">
        <f>IFERROR(IF(R97=0,"-",AVERAGEIFS($AV$2:AV93,$A$2:A93,$A93,$F$2:F93,"&lt;="&amp;$F93)-AVERAGEIFS($AU$2:AU93,$A$2:A93,$A93,$F$2:F93,"&lt;="&amp;$F93)),"")</f>
        <v>-</v>
      </c>
      <c r="AY93" s="453" t="str">
        <f>IFERROR(IF(R97=0,"-",AVERAGEIFS($AV$2:AV93,$A$2:A93,A93,$C$2:C93,C93)-AVERAGEIFS($AU$2:AU93,$A$2:A93,A93,$C$2:C93,C93)),"")</f>
        <v>-</v>
      </c>
      <c r="AZ93" s="86"/>
      <c r="BA93" s="449">
        <f>'Glass Metrics'!AC98</f>
        <v>0</v>
      </c>
      <c r="BB93" s="450" t="str">
        <f t="shared" si="44"/>
        <v/>
      </c>
      <c r="BC93" s="450" t="str">
        <f>IFERROR(IF(R93=0,"-",AVERAGEIFS($BA$2:BA93,$A$2:A93,$A93,$F$2:F93,"&lt;="&amp;$F93)/AVERAGEIFS($AZ$2:AZ93,$A$2:A93,$A93,$F$2:F93,"&lt;="&amp;$F93)-1),"")</f>
        <v>-</v>
      </c>
      <c r="BD93" s="269" t="str">
        <f>IFERROR(IF(R93=0,"-",AVERAGEIFS($BA$2:BA93,$A$2:A93,A93,$C$2:C93,C93)/AVERAGEIFS($AZ$2:AZ93,$A$2:A93,A93,$C$2:C93,C93)-1),"")</f>
        <v>-</v>
      </c>
    </row>
    <row r="94" spans="1:56" ht="16.350000000000001" customHeight="1">
      <c r="A94" s="175">
        <f t="shared" si="23"/>
        <v>2022</v>
      </c>
      <c r="B94" s="447" t="str">
        <f t="shared" si="24"/>
        <v>41</v>
      </c>
      <c r="C94" s="447" t="str">
        <f t="array" ref="C94">_xlfn.IFS(_xlfn.NUMBERVALUE(B94)&lt;=13,"Q1",AND(_xlfn.NUMBERVALUE(B94)&gt;13,_xlfn.NUMBERVALUE(B94)&lt;=26),"Q2", AND(_xlfn.NUMBERVALUE(B94)&gt;26,_xlfn.NUMBERVALUE(B94)&lt;=39),"Q3",_xlfn.NUMBERVALUE(B94)&gt;39,"Q4")</f>
        <v>Q4</v>
      </c>
      <c r="D94" s="448">
        <f t="shared" si="45"/>
        <v>44506</v>
      </c>
      <c r="E94" s="448">
        <f t="shared" si="25"/>
        <v>44512</v>
      </c>
      <c r="F94" s="79">
        <v>202141</v>
      </c>
      <c r="G94" s="815"/>
      <c r="H94" s="816"/>
      <c r="I94" s="429"/>
      <c r="J94" s="214">
        <f t="shared" si="26"/>
        <v>0</v>
      </c>
      <c r="K94" s="429"/>
      <c r="L94" s="429"/>
      <c r="M94" s="429"/>
      <c r="N94" s="214">
        <f t="shared" si="27"/>
        <v>0</v>
      </c>
      <c r="O94" s="449">
        <f>'Overall Metrics'!L99</f>
        <v>0</v>
      </c>
      <c r="P94" s="449">
        <f>'Overall Metrics'!M99</f>
        <v>0</v>
      </c>
      <c r="Q94" s="449">
        <f>'Overall Metrics'!N99</f>
        <v>0</v>
      </c>
      <c r="R94" s="449">
        <f t="shared" si="28"/>
        <v>0</v>
      </c>
      <c r="S94" s="180">
        <f t="shared" si="29"/>
        <v>0</v>
      </c>
      <c r="T94" s="449">
        <f t="shared" si="30"/>
        <v>0</v>
      </c>
      <c r="U94" s="449">
        <f t="shared" si="31"/>
        <v>0</v>
      </c>
      <c r="V94" s="450" t="str">
        <f t="shared" si="32"/>
        <v/>
      </c>
      <c r="W94" s="450" t="str">
        <f>IF(R94=0,"-",SUMIFS($R$2:R94,$A$2:A94,A94,$C$2:C94,C94)/SUMIFS($J$2:J94,$A$2:A94,A94,$C$2:C94,C94)-1)</f>
        <v>-</v>
      </c>
      <c r="X94" s="450" t="str">
        <f t="shared" si="33"/>
        <v/>
      </c>
      <c r="Y94" s="450" t="str">
        <f>IFERROR(IF(R94=0,"-",SUMIFS($R$2:R94,$A$2:A94,A94,$C$2:C94,C94)/SUMIFS($N$2:N94,$A$2:A94,A94,$C$2:C94,C94)-1),"")</f>
        <v>-</v>
      </c>
      <c r="Z94" s="269" t="str">
        <f>IF(R94=0,"",(S94/VLOOKUP(_xlfn.NUMBERVALUE(_xlfn.CONCAT(LEFT(F94,4),52)),$F$2:T301,COLUMNS($F$2:T301),FALSE)))</f>
        <v/>
      </c>
      <c r="AA94" s="269" t="str">
        <f>IFERROR(IF(R94=0,"",(S94/VLOOKUP(_xlfn.NUMBERVALUE(_xlfn.CONCAT(LEFT(F94,4),52)),$F$2:U301,COLUMNS($F$2:U301),FALSE))),"")</f>
        <v/>
      </c>
      <c r="AB94" s="268" t="str">
        <f t="shared" si="34"/>
        <v/>
      </c>
      <c r="AC94" s="450" t="str">
        <f t="shared" si="35"/>
        <v/>
      </c>
      <c r="AD94" s="450" t="str">
        <f t="shared" si="36"/>
        <v/>
      </c>
      <c r="AE94" s="269" t="str">
        <f t="shared" si="37"/>
        <v/>
      </c>
      <c r="AF94" s="268" t="str">
        <f t="shared" si="38"/>
        <v/>
      </c>
      <c r="AG94" s="450" t="str">
        <f t="shared" si="39"/>
        <v/>
      </c>
      <c r="AH94" s="450" t="str">
        <f t="shared" si="40"/>
        <v/>
      </c>
      <c r="AI94" s="269" t="str">
        <f t="shared" si="41"/>
        <v/>
      </c>
      <c r="AJ94" s="450" t="str">
        <f>IF(O94=0,"-",SUMIFS($O$2:O94,$A$2:A94,$A94,$F$2:F94,"&lt;="&amp;$F94)/SUMIFS($G$2:G94,$A$2:A94,$A94,$F$2:F94,"&lt;="&amp;$F94)-1)</f>
        <v>-</v>
      </c>
      <c r="AK94" s="450" t="str">
        <f>IF(P94=0,"-",SUMIFS($P$2:P94,$A$2:A94,$A94,$F$2:F94,"&lt;="&amp;$F94)/SUMIFS($H$2:H94,$A$2:A94,$A94,$F$2:F94,"&lt;="&amp;$F94)-1)</f>
        <v>-</v>
      </c>
      <c r="AL94" s="450" t="str">
        <f>IF(Q94=0,"-",SUMIFS($Q$2:Q94,$A$2:A94,$A94,$F$2:F94,"&lt;="&amp;$F94)/SUMIFS($I$2:I94,$A$2:A94,$A94,$F$2:F94,"&lt;="&amp;$F94)-1)</f>
        <v>-</v>
      </c>
      <c r="AM94" s="450" t="str">
        <f>IFERROR(IF(O94=0,"-",SUMIFS($O$2:O94,$A$2:A94,$A94,$F$2:F94,"&lt;="&amp;$F94)/SUMIFS($K$2:K94,$A$2:A94,$A94,$F$2:F94,"&lt;="&amp;$F94)-1),"")</f>
        <v>-</v>
      </c>
      <c r="AN94" s="450" t="str">
        <f>IFERROR(IF(P94=0,"-",SUMIFS($P$2:P94,$A$2:A94,$A94,$F$2:F94,"&lt;="&amp;$F94)/SUMIFS($L$2:L94,$A$2:A94,$A94,$F$2:F94,"&lt;="&amp;$F94)-1),"")</f>
        <v>-</v>
      </c>
      <c r="AO94" s="450" t="str">
        <f>IFERROR(IF(Q94=0,"-",SUMIFS($Q$2:Q94,$A$2:A94,$A94,$F$2:F94,"&lt;="&amp;$F94)/SUMIFS($M$2:M94,$A$2:A94,$A94,$F$2:F94,"&lt;="&amp;$F94)-1),"")</f>
        <v>-</v>
      </c>
      <c r="AP94" s="86"/>
      <c r="AQ94" s="452" t="str">
        <f>'Overall Metrics'!AO99</f>
        <v/>
      </c>
      <c r="AR94" s="450" t="str">
        <f t="shared" si="42"/>
        <v/>
      </c>
      <c r="AS94" s="453" t="str">
        <f>IFERROR(IF(R95=0,"-",AVERAGEIFS($AQ$2:AQ94,$A$2:A94,$A94,$F$2:F94,"&lt;="&amp;$F94)-AVERAGEIFS($AP$2:AP94,$A$2:A94,$A94,$F$2:F94,"&lt;="&amp;$F94)),"")</f>
        <v>-</v>
      </c>
      <c r="AT94" s="390" t="str">
        <f>IFERROR(IF(R95=0,"-",AVERAGEIFS($AQ$2:AQ94,$A$2:A94,A94,$C$2:C94,C94)-AVERAGEIFS($AP$2:AP94,$A$2:A94,A94,$C$2:C94,C94)),"")</f>
        <v>-</v>
      </c>
      <c r="AU94" s="79"/>
      <c r="AV94" s="452">
        <f>'Overall Metrics'!AS99</f>
        <v>-0.1</v>
      </c>
      <c r="AW94" s="450">
        <f t="shared" si="43"/>
        <v>-0.1</v>
      </c>
      <c r="AX94" s="453" t="str">
        <f>IFERROR(IF(R98=0,"-",AVERAGEIFS($AV$2:AV94,$A$2:A94,$A94,$F$2:F94,"&lt;="&amp;$F94)-AVERAGEIFS($AU$2:AU94,$A$2:A94,$A94,$F$2:F94,"&lt;="&amp;$F94)),"")</f>
        <v>-</v>
      </c>
      <c r="AY94" s="453" t="str">
        <f>IFERROR(IF(R98=0,"-",AVERAGEIFS($AV$2:AV94,$A$2:A94,A94,$C$2:C94,C94)-AVERAGEIFS($AU$2:AU94,$A$2:A94,A94,$C$2:C94,C94)),"")</f>
        <v>-</v>
      </c>
      <c r="AZ94" s="86"/>
      <c r="BA94" s="449">
        <f>'Glass Metrics'!AC99</f>
        <v>0</v>
      </c>
      <c r="BB94" s="450" t="str">
        <f t="shared" si="44"/>
        <v/>
      </c>
      <c r="BC94" s="450" t="str">
        <f>IFERROR(IF(R94=0,"-",AVERAGEIFS($BA$2:BA94,$A$2:A94,$A94,$F$2:F94,"&lt;="&amp;$F94)/AVERAGEIFS($AZ$2:AZ94,$A$2:A94,$A94,$F$2:F94,"&lt;="&amp;$F94)-1),"")</f>
        <v>-</v>
      </c>
      <c r="BD94" s="269" t="str">
        <f>IFERROR(IF(R94=0,"-",AVERAGEIFS($BA$2:BA94,$A$2:A94,A94,$C$2:C94,C94)/AVERAGEIFS($AZ$2:AZ94,$A$2:A94,A94,$C$2:C94,C94)-1),"")</f>
        <v>-</v>
      </c>
    </row>
    <row r="95" spans="1:56" ht="16.350000000000001" customHeight="1">
      <c r="A95" s="175">
        <f t="shared" si="23"/>
        <v>2022</v>
      </c>
      <c r="B95" s="447" t="str">
        <f t="shared" si="24"/>
        <v>42</v>
      </c>
      <c r="C95" s="447" t="str">
        <f t="array" ref="C95">_xlfn.IFS(_xlfn.NUMBERVALUE(B95)&lt;=13,"Q1",AND(_xlfn.NUMBERVALUE(B95)&gt;13,_xlfn.NUMBERVALUE(B95)&lt;=26),"Q2", AND(_xlfn.NUMBERVALUE(B95)&gt;26,_xlfn.NUMBERVALUE(B95)&lt;=39),"Q3",_xlfn.NUMBERVALUE(B95)&gt;39,"Q4")</f>
        <v>Q4</v>
      </c>
      <c r="D95" s="448">
        <f t="shared" si="45"/>
        <v>44513</v>
      </c>
      <c r="E95" s="448">
        <f t="shared" si="25"/>
        <v>44519</v>
      </c>
      <c r="F95" s="79">
        <v>202142</v>
      </c>
      <c r="G95" s="815"/>
      <c r="H95" s="816"/>
      <c r="I95" s="429"/>
      <c r="J95" s="214">
        <f t="shared" si="26"/>
        <v>0</v>
      </c>
      <c r="K95" s="429"/>
      <c r="L95" s="429"/>
      <c r="M95" s="429"/>
      <c r="N95" s="214">
        <f t="shared" si="27"/>
        <v>0</v>
      </c>
      <c r="O95" s="449">
        <f>'Overall Metrics'!L100</f>
        <v>0</v>
      </c>
      <c r="P95" s="449">
        <f>'Overall Metrics'!M100</f>
        <v>0</v>
      </c>
      <c r="Q95" s="449">
        <f>'Overall Metrics'!N100</f>
        <v>0</v>
      </c>
      <c r="R95" s="449">
        <f t="shared" si="28"/>
        <v>0</v>
      </c>
      <c r="S95" s="180">
        <f t="shared" si="29"/>
        <v>0</v>
      </c>
      <c r="T95" s="449">
        <f t="shared" si="30"/>
        <v>0</v>
      </c>
      <c r="U95" s="449">
        <f t="shared" si="31"/>
        <v>0</v>
      </c>
      <c r="V95" s="450" t="str">
        <f t="shared" si="32"/>
        <v/>
      </c>
      <c r="W95" s="450" t="str">
        <f>IF(R95=0,"-",SUMIFS($R$2:R95,$A$2:A95,A95,$C$2:C95,C95)/SUMIFS($J$2:J95,$A$2:A95,A95,$C$2:C95,C95)-1)</f>
        <v>-</v>
      </c>
      <c r="X95" s="450" t="str">
        <f t="shared" si="33"/>
        <v/>
      </c>
      <c r="Y95" s="450" t="str">
        <f>IFERROR(IF(R95=0,"-",SUMIFS($R$2:R95,$A$2:A95,A95,$C$2:C95,C95)/SUMIFS($N$2:N95,$A$2:A95,A95,$C$2:C95,C95)-1),"")</f>
        <v>-</v>
      </c>
      <c r="Z95" s="269" t="str">
        <f>IF(R95=0,"",(S95/VLOOKUP(_xlfn.NUMBERVALUE(_xlfn.CONCAT(LEFT(F95,4),52)),$F$2:T302,COLUMNS($F$2:T302),FALSE)))</f>
        <v/>
      </c>
      <c r="AA95" s="269" t="str">
        <f>IFERROR(IF(R95=0,"",(S95/VLOOKUP(_xlfn.NUMBERVALUE(_xlfn.CONCAT(LEFT(F95,4),52)),$F$2:U302,COLUMNS($F$2:U302),FALSE))),"")</f>
        <v/>
      </c>
      <c r="AB95" s="268" t="str">
        <f t="shared" si="34"/>
        <v/>
      </c>
      <c r="AC95" s="450" t="str">
        <f t="shared" si="35"/>
        <v/>
      </c>
      <c r="AD95" s="450" t="str">
        <f t="shared" si="36"/>
        <v/>
      </c>
      <c r="AE95" s="269" t="str">
        <f t="shared" si="37"/>
        <v/>
      </c>
      <c r="AF95" s="268" t="str">
        <f t="shared" si="38"/>
        <v/>
      </c>
      <c r="AG95" s="450" t="str">
        <f t="shared" si="39"/>
        <v/>
      </c>
      <c r="AH95" s="450" t="str">
        <f t="shared" si="40"/>
        <v/>
      </c>
      <c r="AI95" s="269" t="str">
        <f t="shared" si="41"/>
        <v/>
      </c>
      <c r="AJ95" s="450" t="str">
        <f>IF(O95=0,"-",SUMIFS($O$2:O95,$A$2:A95,$A95,$F$2:F95,"&lt;="&amp;$F95)/SUMIFS($G$2:G95,$A$2:A95,$A95,$F$2:F95,"&lt;="&amp;$F95)-1)</f>
        <v>-</v>
      </c>
      <c r="AK95" s="450" t="str">
        <f>IF(P95=0,"-",SUMIFS($P$2:P95,$A$2:A95,$A95,$F$2:F95,"&lt;="&amp;$F95)/SUMIFS($H$2:H95,$A$2:A95,$A95,$F$2:F95,"&lt;="&amp;$F95)-1)</f>
        <v>-</v>
      </c>
      <c r="AL95" s="450" t="str">
        <f>IF(Q95=0,"-",SUMIFS($Q$2:Q95,$A$2:A95,$A95,$F$2:F95,"&lt;="&amp;$F95)/SUMIFS($I$2:I95,$A$2:A95,$A95,$F$2:F95,"&lt;="&amp;$F95)-1)</f>
        <v>-</v>
      </c>
      <c r="AM95" s="450" t="str">
        <f>IFERROR(IF(O95=0,"-",SUMIFS($O$2:O95,$A$2:A95,$A95,$F$2:F95,"&lt;="&amp;$F95)/SUMIFS($K$2:K95,$A$2:A95,$A95,$F$2:F95,"&lt;="&amp;$F95)-1),"")</f>
        <v>-</v>
      </c>
      <c r="AN95" s="450" t="str">
        <f>IFERROR(IF(P95=0,"-",SUMIFS($P$2:P95,$A$2:A95,$A95,$F$2:F95,"&lt;="&amp;$F95)/SUMIFS($L$2:L95,$A$2:A95,$A95,$F$2:F95,"&lt;="&amp;$F95)-1),"")</f>
        <v>-</v>
      </c>
      <c r="AO95" s="450" t="str">
        <f>IFERROR(IF(Q95=0,"-",SUMIFS($Q$2:Q95,$A$2:A95,$A95,$F$2:F95,"&lt;="&amp;$F95)/SUMIFS($M$2:M95,$A$2:A95,$A95,$F$2:F95,"&lt;="&amp;$F95)-1),"")</f>
        <v>-</v>
      </c>
      <c r="AP95" s="86"/>
      <c r="AQ95" s="452" t="str">
        <f>'Overall Metrics'!AO100</f>
        <v/>
      </c>
      <c r="AR95" s="450" t="str">
        <f t="shared" si="42"/>
        <v/>
      </c>
      <c r="AS95" s="453" t="str">
        <f>IFERROR(IF(R96=0,"-",AVERAGEIFS($AQ$2:AQ95,$A$2:A95,$A95,$F$2:F95,"&lt;="&amp;$F95)-AVERAGEIFS($AP$2:AP95,$A$2:A95,$A95,$F$2:F95,"&lt;="&amp;$F95)),"")</f>
        <v>-</v>
      </c>
      <c r="AT95" s="390" t="str">
        <f>IFERROR(IF(R96=0,"-",AVERAGEIFS($AQ$2:AQ95,$A$2:A95,A95,$C$2:C95,C95)-AVERAGEIFS($AP$2:AP95,$A$2:A95,A95,$C$2:C95,C95)),"")</f>
        <v>-</v>
      </c>
      <c r="AU95" s="79"/>
      <c r="AV95" s="452">
        <f>'Overall Metrics'!AS100</f>
        <v>-0.1</v>
      </c>
      <c r="AW95" s="450">
        <f t="shared" si="43"/>
        <v>-0.1</v>
      </c>
      <c r="AX95" s="453" t="str">
        <f>IFERROR(IF(R99=0,"-",AVERAGEIFS($AV$2:AV95,$A$2:A95,$A95,$F$2:F95,"&lt;="&amp;$F95)-AVERAGEIFS($AU$2:AU95,$A$2:A95,$A95,$F$2:F95,"&lt;="&amp;$F95)),"")</f>
        <v>-</v>
      </c>
      <c r="AY95" s="453" t="str">
        <f>IFERROR(IF(R99=0,"-",AVERAGEIFS($AV$2:AV95,$A$2:A95,A95,$C$2:C95,C95)-AVERAGEIFS($AU$2:AU95,$A$2:A95,A95,$C$2:C95,C95)),"")</f>
        <v>-</v>
      </c>
      <c r="AZ95" s="86"/>
      <c r="BA95" s="449">
        <f>'Glass Metrics'!AC100</f>
        <v>0</v>
      </c>
      <c r="BB95" s="450" t="str">
        <f t="shared" si="44"/>
        <v/>
      </c>
      <c r="BC95" s="450" t="str">
        <f>IFERROR(IF(R95=0,"-",AVERAGEIFS($BA$2:BA95,$A$2:A95,$A95,$F$2:F95,"&lt;="&amp;$F95)/AVERAGEIFS($AZ$2:AZ95,$A$2:A95,$A95,$F$2:F95,"&lt;="&amp;$F95)-1),"")</f>
        <v>-</v>
      </c>
      <c r="BD95" s="269" t="str">
        <f>IFERROR(IF(R95=0,"-",AVERAGEIFS($BA$2:BA95,$A$2:A95,A95,$C$2:C95,C95)/AVERAGEIFS($AZ$2:AZ95,$A$2:A95,A95,$C$2:C95,C95)-1),"")</f>
        <v>-</v>
      </c>
    </row>
    <row r="96" spans="1:56" ht="16.350000000000001" customHeight="1">
      <c r="A96" s="175">
        <f t="shared" si="23"/>
        <v>2022</v>
      </c>
      <c r="B96" s="447" t="str">
        <f t="shared" si="24"/>
        <v>43</v>
      </c>
      <c r="C96" s="447" t="str">
        <f t="array" ref="C96">_xlfn.IFS(_xlfn.NUMBERVALUE(B96)&lt;=13,"Q1",AND(_xlfn.NUMBERVALUE(B96)&gt;13,_xlfn.NUMBERVALUE(B96)&lt;=26),"Q2", AND(_xlfn.NUMBERVALUE(B96)&gt;26,_xlfn.NUMBERVALUE(B96)&lt;=39),"Q3",_xlfn.NUMBERVALUE(B96)&gt;39,"Q4")</f>
        <v>Q4</v>
      </c>
      <c r="D96" s="448">
        <f t="shared" si="45"/>
        <v>44520</v>
      </c>
      <c r="E96" s="448">
        <f t="shared" si="25"/>
        <v>44526</v>
      </c>
      <c r="F96" s="79">
        <v>202143</v>
      </c>
      <c r="G96" s="815"/>
      <c r="H96" s="816"/>
      <c r="I96" s="429"/>
      <c r="J96" s="214">
        <f t="shared" si="26"/>
        <v>0</v>
      </c>
      <c r="K96" s="429"/>
      <c r="L96" s="429"/>
      <c r="M96" s="429"/>
      <c r="N96" s="214">
        <f t="shared" si="27"/>
        <v>0</v>
      </c>
      <c r="O96" s="449">
        <f>'Overall Metrics'!L101</f>
        <v>0</v>
      </c>
      <c r="P96" s="449">
        <f>'Overall Metrics'!M101</f>
        <v>0</v>
      </c>
      <c r="Q96" s="449">
        <f>'Overall Metrics'!N101</f>
        <v>0</v>
      </c>
      <c r="R96" s="449">
        <f t="shared" si="28"/>
        <v>0</v>
      </c>
      <c r="S96" s="180">
        <f t="shared" si="29"/>
        <v>0</v>
      </c>
      <c r="T96" s="449">
        <f t="shared" si="30"/>
        <v>0</v>
      </c>
      <c r="U96" s="449">
        <f t="shared" si="31"/>
        <v>0</v>
      </c>
      <c r="V96" s="450" t="str">
        <f t="shared" si="32"/>
        <v/>
      </c>
      <c r="W96" s="450" t="str">
        <f>IF(R96=0,"-",SUMIFS($R$2:R96,$A$2:A96,A96,$C$2:C96,C96)/SUMIFS($J$2:J96,$A$2:A96,A96,$C$2:C96,C96)-1)</f>
        <v>-</v>
      </c>
      <c r="X96" s="450" t="str">
        <f t="shared" si="33"/>
        <v/>
      </c>
      <c r="Y96" s="450" t="str">
        <f>IFERROR(IF(R96=0,"-",SUMIFS($R$2:R96,$A$2:A96,A96,$C$2:C96,C96)/SUMIFS($N$2:N96,$A$2:A96,A96,$C$2:C96,C96)-1),"")</f>
        <v>-</v>
      </c>
      <c r="Z96" s="269" t="str">
        <f>IF(R96=0,"",(S96/VLOOKUP(_xlfn.NUMBERVALUE(_xlfn.CONCAT(LEFT(F96,4),52)),$F$2:T303,COLUMNS($F$2:T303),FALSE)))</f>
        <v/>
      </c>
      <c r="AA96" s="269" t="str">
        <f>IFERROR(IF(R96=0,"",(S96/VLOOKUP(_xlfn.NUMBERVALUE(_xlfn.CONCAT(LEFT(F96,4),52)),$F$2:U303,COLUMNS($F$2:U303),FALSE))),"")</f>
        <v/>
      </c>
      <c r="AB96" s="268" t="str">
        <f t="shared" si="34"/>
        <v/>
      </c>
      <c r="AC96" s="450" t="str">
        <f t="shared" si="35"/>
        <v/>
      </c>
      <c r="AD96" s="450" t="str">
        <f t="shared" si="36"/>
        <v/>
      </c>
      <c r="AE96" s="269" t="str">
        <f t="shared" si="37"/>
        <v/>
      </c>
      <c r="AF96" s="268" t="str">
        <f t="shared" si="38"/>
        <v/>
      </c>
      <c r="AG96" s="450" t="str">
        <f t="shared" si="39"/>
        <v/>
      </c>
      <c r="AH96" s="450" t="str">
        <f t="shared" si="40"/>
        <v/>
      </c>
      <c r="AI96" s="269" t="str">
        <f t="shared" si="41"/>
        <v/>
      </c>
      <c r="AJ96" s="450" t="str">
        <f>IF(O96=0,"-",SUMIFS($O$2:O96,$A$2:A96,$A96,$F$2:F96,"&lt;="&amp;$F96)/SUMIFS($G$2:G96,$A$2:A96,$A96,$F$2:F96,"&lt;="&amp;$F96)-1)</f>
        <v>-</v>
      </c>
      <c r="AK96" s="450" t="str">
        <f>IF(P96=0,"-",SUMIFS($P$2:P96,$A$2:A96,$A96,$F$2:F96,"&lt;="&amp;$F96)/SUMIFS($H$2:H96,$A$2:A96,$A96,$F$2:F96,"&lt;="&amp;$F96)-1)</f>
        <v>-</v>
      </c>
      <c r="AL96" s="450" t="str">
        <f>IF(Q96=0,"-",SUMIFS($Q$2:Q96,$A$2:A96,$A96,$F$2:F96,"&lt;="&amp;$F96)/SUMIFS($I$2:I96,$A$2:A96,$A96,$F$2:F96,"&lt;="&amp;$F96)-1)</f>
        <v>-</v>
      </c>
      <c r="AM96" s="450" t="str">
        <f>IFERROR(IF(O96=0,"-",SUMIFS($O$2:O96,$A$2:A96,$A96,$F$2:F96,"&lt;="&amp;$F96)/SUMIFS($K$2:K96,$A$2:A96,$A96,$F$2:F96,"&lt;="&amp;$F96)-1),"")</f>
        <v>-</v>
      </c>
      <c r="AN96" s="450" t="str">
        <f>IFERROR(IF(P96=0,"-",SUMIFS($P$2:P96,$A$2:A96,$A96,$F$2:F96,"&lt;="&amp;$F96)/SUMIFS($L$2:L96,$A$2:A96,$A96,$F$2:F96,"&lt;="&amp;$F96)-1),"")</f>
        <v>-</v>
      </c>
      <c r="AO96" s="450" t="str">
        <f>IFERROR(IF(Q96=0,"-",SUMIFS($Q$2:Q96,$A$2:A96,$A96,$F$2:F96,"&lt;="&amp;$F96)/SUMIFS($M$2:M96,$A$2:A96,$A96,$F$2:F96,"&lt;="&amp;$F96)-1),"")</f>
        <v>-</v>
      </c>
      <c r="AP96" s="86"/>
      <c r="AQ96" s="452" t="str">
        <f>'Overall Metrics'!AO101</f>
        <v/>
      </c>
      <c r="AR96" s="450" t="str">
        <f t="shared" si="42"/>
        <v/>
      </c>
      <c r="AS96" s="453" t="str">
        <f>IFERROR(IF(R97=0,"-",AVERAGEIFS($AQ$2:AQ96,$A$2:A96,$A96,$F$2:F96,"&lt;="&amp;$F96)-AVERAGEIFS($AP$2:AP96,$A$2:A96,$A96,$F$2:F96,"&lt;="&amp;$F96)),"")</f>
        <v>-</v>
      </c>
      <c r="AT96" s="390" t="str">
        <f>IFERROR(IF(R97=0,"-",AVERAGEIFS($AQ$2:AQ96,$A$2:A96,A96,$C$2:C96,C96)-AVERAGEIFS($AP$2:AP96,$A$2:A96,A96,$C$2:C96,C96)),"")</f>
        <v>-</v>
      </c>
      <c r="AU96" s="79"/>
      <c r="AV96" s="452">
        <f>'Overall Metrics'!AS101</f>
        <v>-0.1</v>
      </c>
      <c r="AW96" s="450">
        <f t="shared" si="43"/>
        <v>-0.1</v>
      </c>
      <c r="AX96" s="453" t="str">
        <f>IFERROR(IF(R100=0,"-",AVERAGEIFS($AV$2:AV96,$A$2:A96,$A96,$F$2:F96,"&lt;="&amp;$F96)-AVERAGEIFS($AU$2:AU96,$A$2:A96,$A96,$F$2:F96,"&lt;="&amp;$F96)),"")</f>
        <v>-</v>
      </c>
      <c r="AY96" s="453" t="str">
        <f>IFERROR(IF(R100=0,"-",AVERAGEIFS($AV$2:AV96,$A$2:A96,A96,$C$2:C96,C96)-AVERAGEIFS($AU$2:AU96,$A$2:A96,A96,$C$2:C96,C96)),"")</f>
        <v>-</v>
      </c>
      <c r="AZ96" s="86"/>
      <c r="BA96" s="449">
        <f>'Glass Metrics'!AC101</f>
        <v>0</v>
      </c>
      <c r="BB96" s="450" t="str">
        <f t="shared" si="44"/>
        <v/>
      </c>
      <c r="BC96" s="450" t="str">
        <f>IFERROR(IF(R96=0,"-",AVERAGEIFS($BA$2:BA96,$A$2:A96,$A96,$F$2:F96,"&lt;="&amp;$F96)/AVERAGEIFS($AZ$2:AZ96,$A$2:A96,$A96,$F$2:F96,"&lt;="&amp;$F96)-1),"")</f>
        <v>-</v>
      </c>
      <c r="BD96" s="269" t="str">
        <f>IFERROR(IF(R96=0,"-",AVERAGEIFS($BA$2:BA96,$A$2:A96,A96,$C$2:C96,C96)/AVERAGEIFS($AZ$2:AZ96,$A$2:A96,A96,$C$2:C96,C96)-1),"")</f>
        <v>-</v>
      </c>
    </row>
    <row r="97" spans="1:56" ht="16.350000000000001" customHeight="1">
      <c r="A97" s="175">
        <f t="shared" si="23"/>
        <v>2022</v>
      </c>
      <c r="B97" s="447" t="str">
        <f t="shared" si="24"/>
        <v>44</v>
      </c>
      <c r="C97" s="447" t="str">
        <f t="array" ref="C97">_xlfn.IFS(_xlfn.NUMBERVALUE(B97)&lt;=13,"Q1",AND(_xlfn.NUMBERVALUE(B97)&gt;13,_xlfn.NUMBERVALUE(B97)&lt;=26),"Q2", AND(_xlfn.NUMBERVALUE(B97)&gt;26,_xlfn.NUMBERVALUE(B97)&lt;=39),"Q3",_xlfn.NUMBERVALUE(B97)&gt;39,"Q4")</f>
        <v>Q4</v>
      </c>
      <c r="D97" s="448">
        <f t="shared" si="45"/>
        <v>44527</v>
      </c>
      <c r="E97" s="448">
        <f t="shared" si="25"/>
        <v>44533</v>
      </c>
      <c r="F97" s="79">
        <v>202144</v>
      </c>
      <c r="G97" s="815"/>
      <c r="H97" s="816"/>
      <c r="I97" s="429"/>
      <c r="J97" s="214">
        <f t="shared" si="26"/>
        <v>0</v>
      </c>
      <c r="K97" s="429"/>
      <c r="L97" s="429"/>
      <c r="M97" s="429"/>
      <c r="N97" s="214">
        <f t="shared" si="27"/>
        <v>0</v>
      </c>
      <c r="O97" s="449">
        <f>'Overall Metrics'!L102</f>
        <v>0</v>
      </c>
      <c r="P97" s="449">
        <f>'Overall Metrics'!M102</f>
        <v>0</v>
      </c>
      <c r="Q97" s="449">
        <f>'Overall Metrics'!N102</f>
        <v>0</v>
      </c>
      <c r="R97" s="449">
        <f t="shared" si="28"/>
        <v>0</v>
      </c>
      <c r="S97" s="180">
        <f t="shared" si="29"/>
        <v>0</v>
      </c>
      <c r="T97" s="449">
        <f t="shared" si="30"/>
        <v>0</v>
      </c>
      <c r="U97" s="449">
        <f t="shared" si="31"/>
        <v>0</v>
      </c>
      <c r="V97" s="450" t="str">
        <f t="shared" si="32"/>
        <v/>
      </c>
      <c r="W97" s="450" t="str">
        <f>IF(R97=0,"-",SUMIFS($R$2:R97,$A$2:A97,A97,$C$2:C97,C97)/SUMIFS($J$2:J97,$A$2:A97,A97,$C$2:C97,C97)-1)</f>
        <v>-</v>
      </c>
      <c r="X97" s="450" t="str">
        <f t="shared" si="33"/>
        <v/>
      </c>
      <c r="Y97" s="450" t="str">
        <f>IFERROR(IF(R97=0,"-",SUMIFS($R$2:R97,$A$2:A97,A97,$C$2:C97,C97)/SUMIFS($N$2:N97,$A$2:A97,A97,$C$2:C97,C97)-1),"")</f>
        <v>-</v>
      </c>
      <c r="Z97" s="269" t="str">
        <f>IF(R97=0,"",(S97/VLOOKUP(_xlfn.NUMBERVALUE(_xlfn.CONCAT(LEFT(F97,4),52)),$F$2:T304,COLUMNS($F$2:T304),FALSE)))</f>
        <v/>
      </c>
      <c r="AA97" s="269" t="str">
        <f>IFERROR(IF(R97=0,"",(S97/VLOOKUP(_xlfn.NUMBERVALUE(_xlfn.CONCAT(LEFT(F97,4),52)),$F$2:U304,COLUMNS($F$2:U304),FALSE))),"")</f>
        <v/>
      </c>
      <c r="AB97" s="268" t="str">
        <f t="shared" si="34"/>
        <v/>
      </c>
      <c r="AC97" s="450" t="str">
        <f t="shared" si="35"/>
        <v/>
      </c>
      <c r="AD97" s="450" t="str">
        <f t="shared" si="36"/>
        <v/>
      </c>
      <c r="AE97" s="269" t="str">
        <f t="shared" si="37"/>
        <v/>
      </c>
      <c r="AF97" s="268" t="str">
        <f t="shared" si="38"/>
        <v/>
      </c>
      <c r="AG97" s="450" t="str">
        <f t="shared" si="39"/>
        <v/>
      </c>
      <c r="AH97" s="450" t="str">
        <f t="shared" si="40"/>
        <v/>
      </c>
      <c r="AI97" s="269" t="str">
        <f t="shared" si="41"/>
        <v/>
      </c>
      <c r="AJ97" s="450" t="str">
        <f>IF(O97=0,"-",SUMIFS($O$2:O97,$A$2:A97,$A97,$F$2:F97,"&lt;="&amp;$F97)/SUMIFS($G$2:G97,$A$2:A97,$A97,$F$2:F97,"&lt;="&amp;$F97)-1)</f>
        <v>-</v>
      </c>
      <c r="AK97" s="450" t="str">
        <f>IF(P97=0,"-",SUMIFS($P$2:P97,$A$2:A97,$A97,$F$2:F97,"&lt;="&amp;$F97)/SUMIFS($H$2:H97,$A$2:A97,$A97,$F$2:F97,"&lt;="&amp;$F97)-1)</f>
        <v>-</v>
      </c>
      <c r="AL97" s="450" t="str">
        <f>IF(Q97=0,"-",SUMIFS($Q$2:Q97,$A$2:A97,$A97,$F$2:F97,"&lt;="&amp;$F97)/SUMIFS($I$2:I97,$A$2:A97,$A97,$F$2:F97,"&lt;="&amp;$F97)-1)</f>
        <v>-</v>
      </c>
      <c r="AM97" s="450" t="str">
        <f>IFERROR(IF(O97=0,"-",SUMIFS($O$2:O97,$A$2:A97,$A97,$F$2:F97,"&lt;="&amp;$F97)/SUMIFS($K$2:K97,$A$2:A97,$A97,$F$2:F97,"&lt;="&amp;$F97)-1),"")</f>
        <v>-</v>
      </c>
      <c r="AN97" s="450" t="str">
        <f>IFERROR(IF(P97=0,"-",SUMIFS($P$2:P97,$A$2:A97,$A97,$F$2:F97,"&lt;="&amp;$F97)/SUMIFS($L$2:L97,$A$2:A97,$A97,$F$2:F97,"&lt;="&amp;$F97)-1),"")</f>
        <v>-</v>
      </c>
      <c r="AO97" s="450" t="str">
        <f>IFERROR(IF(Q97=0,"-",SUMIFS($Q$2:Q97,$A$2:A97,$A97,$F$2:F97,"&lt;="&amp;$F97)/SUMIFS($M$2:M97,$A$2:A97,$A97,$F$2:F97,"&lt;="&amp;$F97)-1),"")</f>
        <v>-</v>
      </c>
      <c r="AP97" s="86"/>
      <c r="AQ97" s="452" t="str">
        <f>'Overall Metrics'!AO102</f>
        <v/>
      </c>
      <c r="AR97" s="450" t="str">
        <f t="shared" si="42"/>
        <v/>
      </c>
      <c r="AS97" s="453" t="str">
        <f>IFERROR(IF(R98=0,"-",AVERAGEIFS($AQ$2:AQ97,$A$2:A97,$A97,$F$2:F97,"&lt;="&amp;$F97)-AVERAGEIFS($AP$2:AP97,$A$2:A97,$A97,$F$2:F97,"&lt;="&amp;$F97)),"")</f>
        <v>-</v>
      </c>
      <c r="AT97" s="390" t="str">
        <f>IFERROR(IF(R98=0,"-",AVERAGEIFS($AQ$2:AQ97,$A$2:A97,A97,$C$2:C97,C97)-AVERAGEIFS($AP$2:AP97,$A$2:A97,A97,$C$2:C97,C97)),"")</f>
        <v>-</v>
      </c>
      <c r="AU97" s="79"/>
      <c r="AV97" s="452">
        <f>'Overall Metrics'!AS102</f>
        <v>-0.1</v>
      </c>
      <c r="AW97" s="450">
        <f t="shared" si="43"/>
        <v>-0.1</v>
      </c>
      <c r="AX97" s="453" t="str">
        <f>IFERROR(IF(R101=0,"-",AVERAGEIFS($AV$2:AV97,$A$2:A97,$A97,$F$2:F97,"&lt;="&amp;$F97)-AVERAGEIFS($AU$2:AU97,$A$2:A97,$A97,$F$2:F97,"&lt;="&amp;$F97)),"")</f>
        <v>-</v>
      </c>
      <c r="AY97" s="453" t="str">
        <f>IFERROR(IF(R101=0,"-",AVERAGEIFS($AV$2:AV97,$A$2:A97,A97,$C$2:C97,C97)-AVERAGEIFS($AU$2:AU97,$A$2:A97,A97,$C$2:C97,C97)),"")</f>
        <v>-</v>
      </c>
      <c r="AZ97" s="86"/>
      <c r="BA97" s="449">
        <f>'Glass Metrics'!AC102</f>
        <v>0</v>
      </c>
      <c r="BB97" s="450" t="str">
        <f t="shared" si="44"/>
        <v/>
      </c>
      <c r="BC97" s="450" t="str">
        <f>IFERROR(IF(R97=0,"-",AVERAGEIFS($BA$2:BA97,$A$2:A97,$A97,$F$2:F97,"&lt;="&amp;$F97)/AVERAGEIFS($AZ$2:AZ97,$A$2:A97,$A97,$F$2:F97,"&lt;="&amp;$F97)-1),"")</f>
        <v>-</v>
      </c>
      <c r="BD97" s="269" t="str">
        <f>IFERROR(IF(R97=0,"-",AVERAGEIFS($BA$2:BA97,$A$2:A97,A97,$C$2:C97,C97)/AVERAGEIFS($AZ$2:AZ97,$A$2:A97,A97,$C$2:C97,C97)-1),"")</f>
        <v>-</v>
      </c>
    </row>
    <row r="98" spans="1:56" ht="16.350000000000001" customHeight="1">
      <c r="A98" s="175">
        <f t="shared" si="23"/>
        <v>2022</v>
      </c>
      <c r="B98" s="447" t="str">
        <f t="shared" si="24"/>
        <v>45</v>
      </c>
      <c r="C98" s="447" t="str">
        <f t="array" ref="C98">_xlfn.IFS(_xlfn.NUMBERVALUE(B98)&lt;=13,"Q1",AND(_xlfn.NUMBERVALUE(B98)&gt;13,_xlfn.NUMBERVALUE(B98)&lt;=26),"Q2", AND(_xlfn.NUMBERVALUE(B98)&gt;26,_xlfn.NUMBERVALUE(B98)&lt;=39),"Q3",_xlfn.NUMBERVALUE(B98)&gt;39,"Q4")</f>
        <v>Q4</v>
      </c>
      <c r="D98" s="448">
        <f t="shared" si="45"/>
        <v>44534</v>
      </c>
      <c r="E98" s="448">
        <f t="shared" si="25"/>
        <v>44540</v>
      </c>
      <c r="F98" s="79">
        <v>202145</v>
      </c>
      <c r="G98" s="815"/>
      <c r="H98" s="816"/>
      <c r="I98" s="429"/>
      <c r="J98" s="214">
        <f t="shared" si="26"/>
        <v>0</v>
      </c>
      <c r="K98" s="429"/>
      <c r="L98" s="429"/>
      <c r="M98" s="429"/>
      <c r="N98" s="214">
        <f t="shared" si="27"/>
        <v>0</v>
      </c>
      <c r="O98" s="449">
        <f>'Overall Metrics'!L103</f>
        <v>0</v>
      </c>
      <c r="P98" s="449">
        <f>'Overall Metrics'!M103</f>
        <v>0</v>
      </c>
      <c r="Q98" s="449">
        <f>'Overall Metrics'!N103</f>
        <v>0</v>
      </c>
      <c r="R98" s="449">
        <f t="shared" si="28"/>
        <v>0</v>
      </c>
      <c r="S98" s="180">
        <f t="shared" si="29"/>
        <v>0</v>
      </c>
      <c r="T98" s="449">
        <f t="shared" si="30"/>
        <v>0</v>
      </c>
      <c r="U98" s="449">
        <f t="shared" si="31"/>
        <v>0</v>
      </c>
      <c r="V98" s="450" t="str">
        <f t="shared" si="32"/>
        <v/>
      </c>
      <c r="W98" s="450" t="str">
        <f>IF(R98=0,"-",SUMIFS($R$2:R98,$A$2:A98,A98,$C$2:C98,C98)/SUMIFS($J$2:J98,$A$2:A98,A98,$C$2:C98,C98)-1)</f>
        <v>-</v>
      </c>
      <c r="X98" s="450" t="str">
        <f t="shared" si="33"/>
        <v/>
      </c>
      <c r="Y98" s="450" t="str">
        <f>IFERROR(IF(R98=0,"-",SUMIFS($R$2:R98,$A$2:A98,A98,$C$2:C98,C98)/SUMIFS($N$2:N98,$A$2:A98,A98,$C$2:C98,C98)-1),"")</f>
        <v>-</v>
      </c>
      <c r="Z98" s="269" t="str">
        <f>IF(R98=0,"",(S98/VLOOKUP(_xlfn.NUMBERVALUE(_xlfn.CONCAT(LEFT(F98,4),52)),$F$2:T305,COLUMNS($F$2:T305),FALSE)))</f>
        <v/>
      </c>
      <c r="AA98" s="269" t="str">
        <f>IFERROR(IF(R98=0,"",(S98/VLOOKUP(_xlfn.NUMBERVALUE(_xlfn.CONCAT(LEFT(F98,4),52)),$F$2:U305,COLUMNS($F$2:U305),FALSE))),"")</f>
        <v/>
      </c>
      <c r="AB98" s="268" t="str">
        <f t="shared" si="34"/>
        <v/>
      </c>
      <c r="AC98" s="450" t="str">
        <f t="shared" si="35"/>
        <v/>
      </c>
      <c r="AD98" s="450" t="str">
        <f t="shared" si="36"/>
        <v/>
      </c>
      <c r="AE98" s="269" t="str">
        <f t="shared" si="37"/>
        <v/>
      </c>
      <c r="AF98" s="268" t="str">
        <f t="shared" si="38"/>
        <v/>
      </c>
      <c r="AG98" s="450" t="str">
        <f t="shared" si="39"/>
        <v/>
      </c>
      <c r="AH98" s="450" t="str">
        <f t="shared" si="40"/>
        <v/>
      </c>
      <c r="AI98" s="269" t="str">
        <f t="shared" si="41"/>
        <v/>
      </c>
      <c r="AJ98" s="450" t="str">
        <f>IF(O98=0,"-",SUMIFS($O$2:O98,$A$2:A98,$A98,$F$2:F98,"&lt;="&amp;$F98)/SUMIFS($G$2:G98,$A$2:A98,$A98,$F$2:F98,"&lt;="&amp;$F98)-1)</f>
        <v>-</v>
      </c>
      <c r="AK98" s="450" t="str">
        <f>IF(P98=0,"-",SUMIFS($P$2:P98,$A$2:A98,$A98,$F$2:F98,"&lt;="&amp;$F98)/SUMIFS($H$2:H98,$A$2:A98,$A98,$F$2:F98,"&lt;="&amp;$F98)-1)</f>
        <v>-</v>
      </c>
      <c r="AL98" s="450" t="str">
        <f>IF(Q98=0,"-",SUMIFS($Q$2:Q98,$A$2:A98,$A98,$F$2:F98,"&lt;="&amp;$F98)/SUMIFS($I$2:I98,$A$2:A98,$A98,$F$2:F98,"&lt;="&amp;$F98)-1)</f>
        <v>-</v>
      </c>
      <c r="AM98" s="450" t="str">
        <f>IFERROR(IF(O98=0,"-",SUMIFS($O$2:O98,$A$2:A98,$A98,$F$2:F98,"&lt;="&amp;$F98)/SUMIFS($K$2:K98,$A$2:A98,$A98,$F$2:F98,"&lt;="&amp;$F98)-1),"")</f>
        <v>-</v>
      </c>
      <c r="AN98" s="450" t="str">
        <f>IFERROR(IF(P98=0,"-",SUMIFS($P$2:P98,$A$2:A98,$A98,$F$2:F98,"&lt;="&amp;$F98)/SUMIFS($L$2:L98,$A$2:A98,$A98,$F$2:F98,"&lt;="&amp;$F98)-1),"")</f>
        <v>-</v>
      </c>
      <c r="AO98" s="450" t="str">
        <f>IFERROR(IF(Q98=0,"-",SUMIFS($Q$2:Q98,$A$2:A98,$A98,$F$2:F98,"&lt;="&amp;$F98)/SUMIFS($M$2:M98,$A$2:A98,$A98,$F$2:F98,"&lt;="&amp;$F98)-1),"")</f>
        <v>-</v>
      </c>
      <c r="AP98" s="86"/>
      <c r="AQ98" s="452" t="str">
        <f>'Overall Metrics'!AO103</f>
        <v/>
      </c>
      <c r="AR98" s="450" t="str">
        <f t="shared" si="42"/>
        <v/>
      </c>
      <c r="AS98" s="453" t="str">
        <f>IFERROR(IF(R99=0,"-",AVERAGEIFS($AQ$2:AQ98,$A$2:A98,$A98,$F$2:F98,"&lt;="&amp;$F98)-AVERAGEIFS($AP$2:AP98,$A$2:A98,$A98,$F$2:F98,"&lt;="&amp;$F98)),"")</f>
        <v>-</v>
      </c>
      <c r="AT98" s="390" t="str">
        <f>IFERROR(IF(R99=0,"-",AVERAGEIFS($AQ$2:AQ98,$A$2:A98,A98,$C$2:C98,C98)-AVERAGEIFS($AP$2:AP98,$A$2:A98,A98,$C$2:C98,C98)),"")</f>
        <v>-</v>
      </c>
      <c r="AU98" s="79"/>
      <c r="AV98" s="452">
        <f>'Overall Metrics'!AS103</f>
        <v>-0.1</v>
      </c>
      <c r="AW98" s="450">
        <f t="shared" si="43"/>
        <v>-0.1</v>
      </c>
      <c r="AX98" s="453" t="str">
        <f>IFERROR(IF(R102=0,"-",AVERAGEIFS($AV$2:AV98,$A$2:A98,$A98,$F$2:F98,"&lt;="&amp;$F98)-AVERAGEIFS($AU$2:AU98,$A$2:A98,$A98,$F$2:F98,"&lt;="&amp;$F98)),"")</f>
        <v>-</v>
      </c>
      <c r="AY98" s="453" t="str">
        <f>IFERROR(IF(R102=0,"-",AVERAGEIFS($AV$2:AV98,$A$2:A98,A98,$C$2:C98,C98)-AVERAGEIFS($AU$2:AU98,$A$2:A98,A98,$C$2:C98,C98)),"")</f>
        <v>-</v>
      </c>
      <c r="AZ98" s="86"/>
      <c r="BA98" s="449">
        <f>'Glass Metrics'!AC103</f>
        <v>0</v>
      </c>
      <c r="BB98" s="450" t="str">
        <f t="shared" si="44"/>
        <v/>
      </c>
      <c r="BC98" s="450" t="str">
        <f>IFERROR(IF(R98=0,"-",AVERAGEIFS($BA$2:BA98,$A$2:A98,$A98,$F$2:F98,"&lt;="&amp;$F98)/AVERAGEIFS($AZ$2:AZ98,$A$2:A98,$A98,$F$2:F98,"&lt;="&amp;$F98)-1),"")</f>
        <v>-</v>
      </c>
      <c r="BD98" s="269" t="str">
        <f>IFERROR(IF(R98=0,"-",AVERAGEIFS($BA$2:BA98,$A$2:A98,A98,$C$2:C98,C98)/AVERAGEIFS($AZ$2:AZ98,$A$2:A98,A98,$C$2:C98,C98)-1),"")</f>
        <v>-</v>
      </c>
    </row>
    <row r="99" spans="1:56" ht="16.350000000000001" customHeight="1">
      <c r="A99" s="175">
        <f t="shared" si="23"/>
        <v>2022</v>
      </c>
      <c r="B99" s="447" t="str">
        <f t="shared" si="24"/>
        <v>46</v>
      </c>
      <c r="C99" s="447" t="str">
        <f t="array" ref="C99">_xlfn.IFS(_xlfn.NUMBERVALUE(B99)&lt;=13,"Q1",AND(_xlfn.NUMBERVALUE(B99)&gt;13,_xlfn.NUMBERVALUE(B99)&lt;=26),"Q2", AND(_xlfn.NUMBERVALUE(B99)&gt;26,_xlfn.NUMBERVALUE(B99)&lt;=39),"Q3",_xlfn.NUMBERVALUE(B99)&gt;39,"Q4")</f>
        <v>Q4</v>
      </c>
      <c r="D99" s="448">
        <f t="shared" si="45"/>
        <v>44541</v>
      </c>
      <c r="E99" s="448">
        <f t="shared" si="25"/>
        <v>44547</v>
      </c>
      <c r="F99" s="79">
        <v>202146</v>
      </c>
      <c r="G99" s="815"/>
      <c r="H99" s="816"/>
      <c r="I99" s="429"/>
      <c r="J99" s="214">
        <f t="shared" si="26"/>
        <v>0</v>
      </c>
      <c r="K99" s="429"/>
      <c r="L99" s="429"/>
      <c r="M99" s="429"/>
      <c r="N99" s="214">
        <f t="shared" si="27"/>
        <v>0</v>
      </c>
      <c r="O99" s="449">
        <f>'Overall Metrics'!L104</f>
        <v>0</v>
      </c>
      <c r="P99" s="449">
        <f>'Overall Metrics'!M104</f>
        <v>0</v>
      </c>
      <c r="Q99" s="449">
        <f>'Overall Metrics'!N104</f>
        <v>0</v>
      </c>
      <c r="R99" s="449">
        <f t="shared" si="28"/>
        <v>0</v>
      </c>
      <c r="S99" s="180">
        <f t="shared" si="29"/>
        <v>0</v>
      </c>
      <c r="T99" s="449">
        <f t="shared" si="30"/>
        <v>0</v>
      </c>
      <c r="U99" s="449">
        <f t="shared" si="31"/>
        <v>0</v>
      </c>
      <c r="V99" s="450" t="str">
        <f t="shared" si="32"/>
        <v/>
      </c>
      <c r="W99" s="450" t="str">
        <f>IF(R99=0,"-",SUMIFS($R$2:R99,$A$2:A99,A99,$C$2:C99,C99)/SUMIFS($J$2:J99,$A$2:A99,A99,$C$2:C99,C99)-1)</f>
        <v>-</v>
      </c>
      <c r="X99" s="450" t="str">
        <f t="shared" si="33"/>
        <v/>
      </c>
      <c r="Y99" s="450" t="str">
        <f>IFERROR(IF(R99=0,"-",SUMIFS($R$2:R99,$A$2:A99,A99,$C$2:C99,C99)/SUMIFS($N$2:N99,$A$2:A99,A99,$C$2:C99,C99)-1),"")</f>
        <v>-</v>
      </c>
      <c r="Z99" s="269" t="str">
        <f>IF(R99=0,"",(S99/VLOOKUP(_xlfn.NUMBERVALUE(_xlfn.CONCAT(LEFT(F99,4),52)),$F$2:T306,COLUMNS($F$2:T306),FALSE)))</f>
        <v/>
      </c>
      <c r="AA99" s="269" t="str">
        <f>IFERROR(IF(R99=0,"",(S99/VLOOKUP(_xlfn.NUMBERVALUE(_xlfn.CONCAT(LEFT(F99,4),52)),$F$2:U306,COLUMNS($F$2:U306),FALSE))),"")</f>
        <v/>
      </c>
      <c r="AB99" s="268" t="str">
        <f t="shared" si="34"/>
        <v/>
      </c>
      <c r="AC99" s="450" t="str">
        <f t="shared" si="35"/>
        <v/>
      </c>
      <c r="AD99" s="450" t="str">
        <f t="shared" si="36"/>
        <v/>
      </c>
      <c r="AE99" s="269" t="str">
        <f t="shared" si="37"/>
        <v/>
      </c>
      <c r="AF99" s="268" t="str">
        <f t="shared" si="38"/>
        <v/>
      </c>
      <c r="AG99" s="450" t="str">
        <f t="shared" si="39"/>
        <v/>
      </c>
      <c r="AH99" s="450" t="str">
        <f t="shared" si="40"/>
        <v/>
      </c>
      <c r="AI99" s="269" t="str">
        <f t="shared" si="41"/>
        <v/>
      </c>
      <c r="AJ99" s="450" t="str">
        <f>IF(O99=0,"-",SUMIFS($O$2:O99,$A$2:A99,$A99,$F$2:F99,"&lt;="&amp;$F99)/SUMIFS($G$2:G99,$A$2:A99,$A99,$F$2:F99,"&lt;="&amp;$F99)-1)</f>
        <v>-</v>
      </c>
      <c r="AK99" s="450" t="str">
        <f>IF(P99=0,"-",SUMIFS($P$2:P99,$A$2:A99,$A99,$F$2:F99,"&lt;="&amp;$F99)/SUMIFS($H$2:H99,$A$2:A99,$A99,$F$2:F99,"&lt;="&amp;$F99)-1)</f>
        <v>-</v>
      </c>
      <c r="AL99" s="450" t="str">
        <f>IF(Q99=0,"-",SUMIFS($Q$2:Q99,$A$2:A99,$A99,$F$2:F99,"&lt;="&amp;$F99)/SUMIFS($I$2:I99,$A$2:A99,$A99,$F$2:F99,"&lt;="&amp;$F99)-1)</f>
        <v>-</v>
      </c>
      <c r="AM99" s="450" t="str">
        <f>IFERROR(IF(O99=0,"-",SUMIFS($O$2:O99,$A$2:A99,$A99,$F$2:F99,"&lt;="&amp;$F99)/SUMIFS($K$2:K99,$A$2:A99,$A99,$F$2:F99,"&lt;="&amp;$F99)-1),"")</f>
        <v>-</v>
      </c>
      <c r="AN99" s="450" t="str">
        <f>IFERROR(IF(P99=0,"-",SUMIFS($P$2:P99,$A$2:A99,$A99,$F$2:F99,"&lt;="&amp;$F99)/SUMIFS($L$2:L99,$A$2:A99,$A99,$F$2:F99,"&lt;="&amp;$F99)-1),"")</f>
        <v>-</v>
      </c>
      <c r="AO99" s="450" t="str">
        <f>IFERROR(IF(Q99=0,"-",SUMIFS($Q$2:Q99,$A$2:A99,$A99,$F$2:F99,"&lt;="&amp;$F99)/SUMIFS($M$2:M99,$A$2:A99,$A99,$F$2:F99,"&lt;="&amp;$F99)-1),"")</f>
        <v>-</v>
      </c>
      <c r="AP99" s="86"/>
      <c r="AQ99" s="452" t="str">
        <f>'Overall Metrics'!AO104</f>
        <v/>
      </c>
      <c r="AR99" s="450" t="str">
        <f t="shared" si="42"/>
        <v/>
      </c>
      <c r="AS99" s="453" t="str">
        <f>IFERROR(IF(R100=0,"-",AVERAGEIFS($AQ$2:AQ99,$A$2:A99,$A99,$F$2:F99,"&lt;="&amp;$F99)-AVERAGEIFS($AP$2:AP99,$A$2:A99,$A99,$F$2:F99,"&lt;="&amp;$F99)),"")</f>
        <v>-</v>
      </c>
      <c r="AT99" s="390" t="str">
        <f>IFERROR(IF(R100=0,"-",AVERAGEIFS($AQ$2:AQ99,$A$2:A99,A99,$C$2:C99,C99)-AVERAGEIFS($AP$2:AP99,$A$2:A99,A99,$C$2:C99,C99)),"")</f>
        <v>-</v>
      </c>
      <c r="AU99" s="79"/>
      <c r="AV99" s="452">
        <f>'Overall Metrics'!AS104</f>
        <v>-0.1</v>
      </c>
      <c r="AW99" s="450">
        <f t="shared" si="43"/>
        <v>-0.1</v>
      </c>
      <c r="AX99" s="453" t="str">
        <f>IFERROR(IF(R103=0,"-",AVERAGEIFS($AV$2:AV99,$A$2:A99,$A99,$F$2:F99,"&lt;="&amp;$F99)-AVERAGEIFS($AU$2:AU99,$A$2:A99,$A99,$F$2:F99,"&lt;="&amp;$F99)),"")</f>
        <v>-</v>
      </c>
      <c r="AY99" s="453" t="str">
        <f>IFERROR(IF(R103=0,"-",AVERAGEIFS($AV$2:AV99,$A$2:A99,A99,$C$2:C99,C99)-AVERAGEIFS($AU$2:AU99,$A$2:A99,A99,$C$2:C99,C99)),"")</f>
        <v>-</v>
      </c>
      <c r="AZ99" s="86"/>
      <c r="BA99" s="449">
        <f>'Glass Metrics'!AC104</f>
        <v>0</v>
      </c>
      <c r="BB99" s="450" t="str">
        <f t="shared" si="44"/>
        <v/>
      </c>
      <c r="BC99" s="450" t="str">
        <f>IFERROR(IF(R99=0,"-",AVERAGEIFS($BA$2:BA99,$A$2:A99,$A99,$F$2:F99,"&lt;="&amp;$F99)/AVERAGEIFS($AZ$2:AZ99,$A$2:A99,$A99,$F$2:F99,"&lt;="&amp;$F99)-1),"")</f>
        <v>-</v>
      </c>
      <c r="BD99" s="269" t="str">
        <f>IFERROR(IF(R99=0,"-",AVERAGEIFS($BA$2:BA99,$A$2:A99,A99,$C$2:C99,C99)/AVERAGEIFS($AZ$2:AZ99,$A$2:A99,A99,$C$2:C99,C99)-1),"")</f>
        <v>-</v>
      </c>
    </row>
    <row r="100" spans="1:56" ht="16.350000000000001" customHeight="1">
      <c r="A100" s="175">
        <f t="shared" si="23"/>
        <v>2022</v>
      </c>
      <c r="B100" s="447" t="str">
        <f t="shared" si="24"/>
        <v>47</v>
      </c>
      <c r="C100" s="447" t="str">
        <f t="array" ref="C100">_xlfn.IFS(_xlfn.NUMBERVALUE(B100)&lt;=13,"Q1",AND(_xlfn.NUMBERVALUE(B100)&gt;13,_xlfn.NUMBERVALUE(B100)&lt;=26),"Q2", AND(_xlfn.NUMBERVALUE(B100)&gt;26,_xlfn.NUMBERVALUE(B100)&lt;=39),"Q3",_xlfn.NUMBERVALUE(B100)&gt;39,"Q4")</f>
        <v>Q4</v>
      </c>
      <c r="D100" s="448">
        <f t="shared" si="45"/>
        <v>44548</v>
      </c>
      <c r="E100" s="448">
        <f t="shared" si="25"/>
        <v>44554</v>
      </c>
      <c r="F100" s="79">
        <v>202147</v>
      </c>
      <c r="G100" s="815"/>
      <c r="H100" s="816"/>
      <c r="I100" s="429"/>
      <c r="J100" s="214">
        <f t="shared" si="26"/>
        <v>0</v>
      </c>
      <c r="K100" s="429"/>
      <c r="L100" s="429"/>
      <c r="M100" s="429"/>
      <c r="N100" s="214">
        <f t="shared" si="27"/>
        <v>0</v>
      </c>
      <c r="O100" s="449">
        <f>'Overall Metrics'!L105</f>
        <v>0</v>
      </c>
      <c r="P100" s="449">
        <f>'Overall Metrics'!M105</f>
        <v>0</v>
      </c>
      <c r="Q100" s="449">
        <f>'Overall Metrics'!N105</f>
        <v>0</v>
      </c>
      <c r="R100" s="449">
        <f t="shared" si="28"/>
        <v>0</v>
      </c>
      <c r="S100" s="180">
        <f t="shared" si="29"/>
        <v>0</v>
      </c>
      <c r="T100" s="449">
        <f t="shared" si="30"/>
        <v>0</v>
      </c>
      <c r="U100" s="449">
        <f t="shared" si="31"/>
        <v>0</v>
      </c>
      <c r="V100" s="450" t="str">
        <f t="shared" si="32"/>
        <v/>
      </c>
      <c r="W100" s="450" t="str">
        <f>IF(R100=0,"-",SUMIFS($R$2:R100,$A$2:A100,A100,$C$2:C100,C100)/SUMIFS($J$2:J100,$A$2:A100,A100,$C$2:C100,C100)-1)</f>
        <v>-</v>
      </c>
      <c r="X100" s="450" t="str">
        <f t="shared" si="33"/>
        <v/>
      </c>
      <c r="Y100" s="450" t="str">
        <f>IFERROR(IF(R100=0,"-",SUMIFS($R$2:R100,$A$2:A100,A100,$C$2:C100,C100)/SUMIFS($N$2:N100,$A$2:A100,A100,$C$2:C100,C100)-1),"")</f>
        <v>-</v>
      </c>
      <c r="Z100" s="269" t="str">
        <f>IF(R100=0,"",(S100/VLOOKUP(_xlfn.NUMBERVALUE(_xlfn.CONCAT(LEFT(F100,4),52)),$F$2:T307,COLUMNS($F$2:T307),FALSE)))</f>
        <v/>
      </c>
      <c r="AA100" s="269" t="str">
        <f>IFERROR(IF(R100=0,"",(S100/VLOOKUP(_xlfn.NUMBERVALUE(_xlfn.CONCAT(LEFT(F100,4),52)),$F$2:U307,COLUMNS($F$2:U307),FALSE))),"")</f>
        <v/>
      </c>
      <c r="AB100" s="268" t="str">
        <f t="shared" si="34"/>
        <v/>
      </c>
      <c r="AC100" s="450" t="str">
        <f t="shared" si="35"/>
        <v/>
      </c>
      <c r="AD100" s="450" t="str">
        <f t="shared" si="36"/>
        <v/>
      </c>
      <c r="AE100" s="269" t="str">
        <f t="shared" si="37"/>
        <v/>
      </c>
      <c r="AF100" s="268" t="str">
        <f t="shared" si="38"/>
        <v/>
      </c>
      <c r="AG100" s="450" t="str">
        <f t="shared" si="39"/>
        <v/>
      </c>
      <c r="AH100" s="450" t="str">
        <f t="shared" si="40"/>
        <v/>
      </c>
      <c r="AI100" s="269" t="str">
        <f t="shared" si="41"/>
        <v/>
      </c>
      <c r="AJ100" s="450" t="str">
        <f>IF(O100=0,"-",SUMIFS($O$2:O100,$A$2:A100,$A100,$F$2:F100,"&lt;="&amp;$F100)/SUMIFS($G$2:G100,$A$2:A100,$A100,$F$2:F100,"&lt;="&amp;$F100)-1)</f>
        <v>-</v>
      </c>
      <c r="AK100" s="450" t="str">
        <f>IF(P100=0,"-",SUMIFS($P$2:P100,$A$2:A100,$A100,$F$2:F100,"&lt;="&amp;$F100)/SUMIFS($H$2:H100,$A$2:A100,$A100,$F$2:F100,"&lt;="&amp;$F100)-1)</f>
        <v>-</v>
      </c>
      <c r="AL100" s="450" t="str">
        <f>IF(Q100=0,"-",SUMIFS($Q$2:Q100,$A$2:A100,$A100,$F$2:F100,"&lt;="&amp;$F100)/SUMIFS($I$2:I100,$A$2:A100,$A100,$F$2:F100,"&lt;="&amp;$F100)-1)</f>
        <v>-</v>
      </c>
      <c r="AM100" s="450" t="str">
        <f>IFERROR(IF(O100=0,"-",SUMIFS($O$2:O100,$A$2:A100,$A100,$F$2:F100,"&lt;="&amp;$F100)/SUMIFS($K$2:K100,$A$2:A100,$A100,$F$2:F100,"&lt;="&amp;$F100)-1),"")</f>
        <v>-</v>
      </c>
      <c r="AN100" s="450" t="str">
        <f>IFERROR(IF(P100=0,"-",SUMIFS($P$2:P100,$A$2:A100,$A100,$F$2:F100,"&lt;="&amp;$F100)/SUMIFS($L$2:L100,$A$2:A100,$A100,$F$2:F100,"&lt;="&amp;$F100)-1),"")</f>
        <v>-</v>
      </c>
      <c r="AO100" s="450" t="str">
        <f>IFERROR(IF(Q100=0,"-",SUMIFS($Q$2:Q100,$A$2:A100,$A100,$F$2:F100,"&lt;="&amp;$F100)/SUMIFS($M$2:M100,$A$2:A100,$A100,$F$2:F100,"&lt;="&amp;$F100)-1),"")</f>
        <v>-</v>
      </c>
      <c r="AP100" s="86"/>
      <c r="AQ100" s="452" t="str">
        <f>'Overall Metrics'!AO105</f>
        <v/>
      </c>
      <c r="AR100" s="450" t="str">
        <f t="shared" si="42"/>
        <v/>
      </c>
      <c r="AS100" s="453" t="str">
        <f>IFERROR(IF(R101=0,"-",AVERAGEIFS($AQ$2:AQ100,$A$2:A100,$A100,$F$2:F100,"&lt;="&amp;$F100)-AVERAGEIFS($AP$2:AP100,$A$2:A100,$A100,$F$2:F100,"&lt;="&amp;$F100)),"")</f>
        <v>-</v>
      </c>
      <c r="AT100" s="390" t="str">
        <f>IFERROR(IF(R101=0,"-",AVERAGEIFS($AQ$2:AQ100,$A$2:A100,A100,$C$2:C100,C100)-AVERAGEIFS($AP$2:AP100,$A$2:A100,A100,$C$2:C100,C100)),"")</f>
        <v>-</v>
      </c>
      <c r="AU100" s="79"/>
      <c r="AV100" s="452">
        <f>'Overall Metrics'!AS105</f>
        <v>-0.1</v>
      </c>
      <c r="AW100" s="450">
        <f t="shared" si="43"/>
        <v>-0.1</v>
      </c>
      <c r="AX100" s="453" t="str">
        <f>IFERROR(IF(R104=0,"-",AVERAGEIFS($AV$2:AV100,$A$2:A100,$A100,$F$2:F100,"&lt;="&amp;$F100)-AVERAGEIFS($AU$2:AU100,$A$2:A100,$A100,$F$2:F100,"&lt;="&amp;$F100)),"")</f>
        <v>-</v>
      </c>
      <c r="AY100" s="453" t="str">
        <f>IFERROR(IF(R104=0,"-",AVERAGEIFS($AV$2:AV100,$A$2:A100,A100,$C$2:C100,C100)-AVERAGEIFS($AU$2:AU100,$A$2:A100,A100,$C$2:C100,C100)),"")</f>
        <v>-</v>
      </c>
      <c r="AZ100" s="86"/>
      <c r="BA100" s="449">
        <f>'Glass Metrics'!AC105</f>
        <v>0</v>
      </c>
      <c r="BB100" s="450" t="str">
        <f t="shared" si="44"/>
        <v/>
      </c>
      <c r="BC100" s="450" t="str">
        <f>IFERROR(IF(R100=0,"-",AVERAGEIFS($BA$2:BA100,$A$2:A100,$A100,$F$2:F100,"&lt;="&amp;$F100)/AVERAGEIFS($AZ$2:AZ100,$A$2:A100,$A100,$F$2:F100,"&lt;="&amp;$F100)-1),"")</f>
        <v>-</v>
      </c>
      <c r="BD100" s="269" t="str">
        <f>IFERROR(IF(R100=0,"-",AVERAGEIFS($BA$2:BA100,$A$2:A100,A100,$C$2:C100,C100)/AVERAGEIFS($AZ$2:AZ100,$A$2:A100,A100,$C$2:C100,C100)-1),"")</f>
        <v>-</v>
      </c>
    </row>
    <row r="101" spans="1:56" ht="16.350000000000001" customHeight="1">
      <c r="A101" s="175">
        <f t="shared" si="23"/>
        <v>2022</v>
      </c>
      <c r="B101" s="447" t="str">
        <f t="shared" si="24"/>
        <v>48</v>
      </c>
      <c r="C101" s="447" t="str">
        <f t="array" ref="C101">_xlfn.IFS(_xlfn.NUMBERVALUE(B101)&lt;=13,"Q1",AND(_xlfn.NUMBERVALUE(B101)&gt;13,_xlfn.NUMBERVALUE(B101)&lt;=26),"Q2", AND(_xlfn.NUMBERVALUE(B101)&gt;26,_xlfn.NUMBERVALUE(B101)&lt;=39),"Q3",_xlfn.NUMBERVALUE(B101)&gt;39,"Q4")</f>
        <v>Q4</v>
      </c>
      <c r="D101" s="448">
        <f t="shared" si="45"/>
        <v>44555</v>
      </c>
      <c r="E101" s="448">
        <f t="shared" si="25"/>
        <v>44561</v>
      </c>
      <c r="F101" s="79">
        <v>202148</v>
      </c>
      <c r="G101" s="815"/>
      <c r="H101" s="816"/>
      <c r="I101" s="429"/>
      <c r="J101" s="214">
        <f t="shared" si="26"/>
        <v>0</v>
      </c>
      <c r="K101" s="429"/>
      <c r="L101" s="429"/>
      <c r="M101" s="429"/>
      <c r="N101" s="214">
        <f t="shared" si="27"/>
        <v>0</v>
      </c>
      <c r="O101" s="449">
        <f>'Overall Metrics'!L106</f>
        <v>0</v>
      </c>
      <c r="P101" s="449">
        <f>'Overall Metrics'!M106</f>
        <v>0</v>
      </c>
      <c r="Q101" s="449">
        <f>'Overall Metrics'!N106</f>
        <v>0</v>
      </c>
      <c r="R101" s="449">
        <f t="shared" si="28"/>
        <v>0</v>
      </c>
      <c r="S101" s="180">
        <f t="shared" si="29"/>
        <v>0</v>
      </c>
      <c r="T101" s="449">
        <f t="shared" si="30"/>
        <v>0</v>
      </c>
      <c r="U101" s="449">
        <f t="shared" si="31"/>
        <v>0</v>
      </c>
      <c r="V101" s="450" t="str">
        <f t="shared" si="32"/>
        <v/>
      </c>
      <c r="W101" s="450" t="str">
        <f>IF(R101=0,"-",SUMIFS($R$2:R101,$A$2:A101,A101,$C$2:C101,C101)/SUMIFS($J$2:J101,$A$2:A101,A101,$C$2:C101,C101)-1)</f>
        <v>-</v>
      </c>
      <c r="X101" s="450" t="str">
        <f t="shared" si="33"/>
        <v/>
      </c>
      <c r="Y101" s="450" t="str">
        <f>IFERROR(IF(R101=0,"-",SUMIFS($R$2:R101,$A$2:A101,A101,$C$2:C101,C101)/SUMIFS($N$2:N101,$A$2:A101,A101,$C$2:C101,C101)-1),"")</f>
        <v>-</v>
      </c>
      <c r="Z101" s="269" t="str">
        <f>IF(R101=0,"",(S101/VLOOKUP(_xlfn.NUMBERVALUE(_xlfn.CONCAT(LEFT(F101,4),52)),$F$2:T308,COLUMNS($F$2:T308),FALSE)))</f>
        <v/>
      </c>
      <c r="AA101" s="269" t="str">
        <f>IFERROR(IF(R101=0,"",(S101/VLOOKUP(_xlfn.NUMBERVALUE(_xlfn.CONCAT(LEFT(F101,4),52)),$F$2:U308,COLUMNS($F$2:U308),FALSE))),"")</f>
        <v/>
      </c>
      <c r="AB101" s="268" t="str">
        <f t="shared" si="34"/>
        <v/>
      </c>
      <c r="AC101" s="450" t="str">
        <f t="shared" si="35"/>
        <v/>
      </c>
      <c r="AD101" s="450" t="str">
        <f t="shared" si="36"/>
        <v/>
      </c>
      <c r="AE101" s="269" t="str">
        <f t="shared" si="37"/>
        <v/>
      </c>
      <c r="AF101" s="268" t="str">
        <f t="shared" si="38"/>
        <v/>
      </c>
      <c r="AG101" s="450" t="str">
        <f t="shared" si="39"/>
        <v/>
      </c>
      <c r="AH101" s="450" t="str">
        <f t="shared" si="40"/>
        <v/>
      </c>
      <c r="AI101" s="269" t="str">
        <f t="shared" si="41"/>
        <v/>
      </c>
      <c r="AJ101" s="450" t="str">
        <f>IF(O101=0,"-",SUMIFS($O$2:O101,$A$2:A101,$A101,$F$2:F101,"&lt;="&amp;$F101)/SUMIFS($G$2:G101,$A$2:A101,$A101,$F$2:F101,"&lt;="&amp;$F101)-1)</f>
        <v>-</v>
      </c>
      <c r="AK101" s="450" t="str">
        <f>IF(P101=0,"-",SUMIFS($P$2:P101,$A$2:A101,$A101,$F$2:F101,"&lt;="&amp;$F101)/SUMIFS($H$2:H101,$A$2:A101,$A101,$F$2:F101,"&lt;="&amp;$F101)-1)</f>
        <v>-</v>
      </c>
      <c r="AL101" s="450" t="str">
        <f>IF(Q101=0,"-",SUMIFS($Q$2:Q101,$A$2:A101,$A101,$F$2:F101,"&lt;="&amp;$F101)/SUMIFS($I$2:I101,$A$2:A101,$A101,$F$2:F101,"&lt;="&amp;$F101)-1)</f>
        <v>-</v>
      </c>
      <c r="AM101" s="450" t="str">
        <f>IFERROR(IF(O101=0,"-",SUMIFS($O$2:O101,$A$2:A101,$A101,$F$2:F101,"&lt;="&amp;$F101)/SUMIFS($K$2:K101,$A$2:A101,$A101,$F$2:F101,"&lt;="&amp;$F101)-1),"")</f>
        <v>-</v>
      </c>
      <c r="AN101" s="450" t="str">
        <f>IFERROR(IF(P101=0,"-",SUMIFS($P$2:P101,$A$2:A101,$A101,$F$2:F101,"&lt;="&amp;$F101)/SUMIFS($L$2:L101,$A$2:A101,$A101,$F$2:F101,"&lt;="&amp;$F101)-1),"")</f>
        <v>-</v>
      </c>
      <c r="AO101" s="450" t="str">
        <f>IFERROR(IF(Q101=0,"-",SUMIFS($Q$2:Q101,$A$2:A101,$A101,$F$2:F101,"&lt;="&amp;$F101)/SUMIFS($M$2:M101,$A$2:A101,$A101,$F$2:F101,"&lt;="&amp;$F101)-1),"")</f>
        <v>-</v>
      </c>
      <c r="AP101" s="86"/>
      <c r="AQ101" s="452" t="str">
        <f>'Overall Metrics'!AO106</f>
        <v/>
      </c>
      <c r="AR101" s="450" t="str">
        <f t="shared" si="42"/>
        <v/>
      </c>
      <c r="AS101" s="453" t="str">
        <f>IFERROR(IF(R102=0,"-",AVERAGEIFS($AQ$2:AQ101,$A$2:A101,$A101,$F$2:F101,"&lt;="&amp;$F101)-AVERAGEIFS($AP$2:AP101,$A$2:A101,$A101,$F$2:F101,"&lt;="&amp;$F101)),"")</f>
        <v>-</v>
      </c>
      <c r="AT101" s="390" t="str">
        <f>IFERROR(IF(R102=0,"-",AVERAGEIFS($AQ$2:AQ101,$A$2:A101,A101,$C$2:C101,C101)-AVERAGEIFS($AP$2:AP101,$A$2:A101,A101,$C$2:C101,C101)),"")</f>
        <v>-</v>
      </c>
      <c r="AU101" s="79"/>
      <c r="AV101" s="452">
        <f>'Overall Metrics'!AS106</f>
        <v>-0.1</v>
      </c>
      <c r="AW101" s="450">
        <f t="shared" si="43"/>
        <v>-0.1</v>
      </c>
      <c r="AX101" s="453" t="str">
        <f>IFERROR(IF(R105=0,"-",AVERAGEIFS($AV$2:AV101,$A$2:A101,$A101,$F$2:F101,"&lt;="&amp;$F101)-AVERAGEIFS($AU$2:AU101,$A$2:A101,$A101,$F$2:F101,"&lt;="&amp;$F101)),"")</f>
        <v>-</v>
      </c>
      <c r="AY101" s="453" t="str">
        <f>IFERROR(IF(R105=0,"-",AVERAGEIFS($AV$2:AV101,$A$2:A101,A101,$C$2:C101,C101)-AVERAGEIFS($AU$2:AU101,$A$2:A101,A101,$C$2:C101,C101)),"")</f>
        <v>-</v>
      </c>
      <c r="AZ101" s="86"/>
      <c r="BA101" s="449">
        <f>'Glass Metrics'!AC106</f>
        <v>0</v>
      </c>
      <c r="BB101" s="450" t="str">
        <f t="shared" si="44"/>
        <v/>
      </c>
      <c r="BC101" s="450" t="str">
        <f>IFERROR(IF(R101=0,"-",AVERAGEIFS($BA$2:BA101,$A$2:A101,$A101,$F$2:F101,"&lt;="&amp;$F101)/AVERAGEIFS($AZ$2:AZ101,$A$2:A101,$A101,$F$2:F101,"&lt;="&amp;$F101)-1),"")</f>
        <v>-</v>
      </c>
      <c r="BD101" s="269" t="str">
        <f>IFERROR(IF(R101=0,"-",AVERAGEIFS($BA$2:BA101,$A$2:A101,A101,$C$2:C101,C101)/AVERAGEIFS($AZ$2:AZ101,$A$2:A101,A101,$C$2:C101,C101)-1),"")</f>
        <v>-</v>
      </c>
    </row>
    <row r="102" spans="1:56" ht="16.350000000000001" customHeight="1">
      <c r="A102" s="175">
        <f t="shared" si="23"/>
        <v>2022</v>
      </c>
      <c r="B102" s="447" t="str">
        <f t="shared" si="24"/>
        <v>49</v>
      </c>
      <c r="C102" s="447" t="str">
        <f t="array" ref="C102">_xlfn.IFS(_xlfn.NUMBERVALUE(B102)&lt;=13,"Q1",AND(_xlfn.NUMBERVALUE(B102)&gt;13,_xlfn.NUMBERVALUE(B102)&lt;=26),"Q2", AND(_xlfn.NUMBERVALUE(B102)&gt;26,_xlfn.NUMBERVALUE(B102)&lt;=39),"Q3",_xlfn.NUMBERVALUE(B102)&gt;39,"Q4")</f>
        <v>Q4</v>
      </c>
      <c r="D102" s="448">
        <f t="shared" si="45"/>
        <v>44562</v>
      </c>
      <c r="E102" s="448">
        <f t="shared" si="25"/>
        <v>44568</v>
      </c>
      <c r="F102" s="79">
        <v>202149</v>
      </c>
      <c r="G102" s="815"/>
      <c r="H102" s="816"/>
      <c r="I102" s="429"/>
      <c r="J102" s="214">
        <f t="shared" si="26"/>
        <v>0</v>
      </c>
      <c r="K102" s="429"/>
      <c r="L102" s="429"/>
      <c r="M102" s="429"/>
      <c r="N102" s="214">
        <f t="shared" si="27"/>
        <v>0</v>
      </c>
      <c r="O102" s="449">
        <f>'Overall Metrics'!L107</f>
        <v>0</v>
      </c>
      <c r="P102" s="449">
        <f>'Overall Metrics'!M107</f>
        <v>0</v>
      </c>
      <c r="Q102" s="449">
        <f>'Overall Metrics'!N107</f>
        <v>0</v>
      </c>
      <c r="R102" s="449">
        <f t="shared" si="28"/>
        <v>0</v>
      </c>
      <c r="S102" s="180">
        <f t="shared" si="29"/>
        <v>0</v>
      </c>
      <c r="T102" s="449">
        <f t="shared" si="30"/>
        <v>0</v>
      </c>
      <c r="U102" s="449">
        <f t="shared" si="31"/>
        <v>0</v>
      </c>
      <c r="V102" s="450" t="str">
        <f t="shared" si="32"/>
        <v/>
      </c>
      <c r="W102" s="450" t="str">
        <f>IF(R102=0,"-",SUMIFS($R$2:R102,$A$2:A102,A102,$C$2:C102,C102)/SUMIFS($J$2:J102,$A$2:A102,A102,$C$2:C102,C102)-1)</f>
        <v>-</v>
      </c>
      <c r="X102" s="450" t="str">
        <f t="shared" si="33"/>
        <v/>
      </c>
      <c r="Y102" s="450" t="str">
        <f>IFERROR(IF(R102=0,"-",SUMIFS($R$2:R102,$A$2:A102,A102,$C$2:C102,C102)/SUMIFS($N$2:N102,$A$2:A102,A102,$C$2:C102,C102)-1),"")</f>
        <v>-</v>
      </c>
      <c r="Z102" s="269" t="str">
        <f>IF(R102=0,"",(S102/VLOOKUP(_xlfn.NUMBERVALUE(_xlfn.CONCAT(LEFT(F102,4),52)),$F$2:T309,COLUMNS($F$2:T309),FALSE)))</f>
        <v/>
      </c>
      <c r="AA102" s="269" t="str">
        <f>IFERROR(IF(R102=0,"",(S102/VLOOKUP(_xlfn.NUMBERVALUE(_xlfn.CONCAT(LEFT(F102,4),52)),$F$2:U309,COLUMNS($F$2:U309),FALSE))),"")</f>
        <v/>
      </c>
      <c r="AB102" s="268" t="str">
        <f t="shared" si="34"/>
        <v/>
      </c>
      <c r="AC102" s="450" t="str">
        <f t="shared" si="35"/>
        <v/>
      </c>
      <c r="AD102" s="450" t="str">
        <f t="shared" si="36"/>
        <v/>
      </c>
      <c r="AE102" s="269" t="str">
        <f t="shared" si="37"/>
        <v/>
      </c>
      <c r="AF102" s="268" t="str">
        <f t="shared" si="38"/>
        <v/>
      </c>
      <c r="AG102" s="450" t="str">
        <f t="shared" si="39"/>
        <v/>
      </c>
      <c r="AH102" s="450" t="str">
        <f t="shared" si="40"/>
        <v/>
      </c>
      <c r="AI102" s="269" t="str">
        <f t="shared" si="41"/>
        <v/>
      </c>
      <c r="AJ102" s="450" t="str">
        <f>IF(O102=0,"-",SUMIFS($O$2:O102,$A$2:A102,$A102,$F$2:F102,"&lt;="&amp;$F102)/SUMIFS($G$2:G102,$A$2:A102,$A102,$F$2:F102,"&lt;="&amp;$F102)-1)</f>
        <v>-</v>
      </c>
      <c r="AK102" s="450" t="str">
        <f>IF(P102=0,"-",SUMIFS($P$2:P102,$A$2:A102,$A102,$F$2:F102,"&lt;="&amp;$F102)/SUMIFS($H$2:H102,$A$2:A102,$A102,$F$2:F102,"&lt;="&amp;$F102)-1)</f>
        <v>-</v>
      </c>
      <c r="AL102" s="450" t="str">
        <f>IF(Q102=0,"-",SUMIFS($Q$2:Q102,$A$2:A102,$A102,$F$2:F102,"&lt;="&amp;$F102)/SUMIFS($I$2:I102,$A$2:A102,$A102,$F$2:F102,"&lt;="&amp;$F102)-1)</f>
        <v>-</v>
      </c>
      <c r="AM102" s="450" t="str">
        <f>IFERROR(IF(O102=0,"-",SUMIFS($O$2:O102,$A$2:A102,$A102,$F$2:F102,"&lt;="&amp;$F102)/SUMIFS($K$2:K102,$A$2:A102,$A102,$F$2:F102,"&lt;="&amp;$F102)-1),"")</f>
        <v>-</v>
      </c>
      <c r="AN102" s="450" t="str">
        <f>IFERROR(IF(P102=0,"-",SUMIFS($P$2:P102,$A$2:A102,$A102,$F$2:F102,"&lt;="&amp;$F102)/SUMIFS($L$2:L102,$A$2:A102,$A102,$F$2:F102,"&lt;="&amp;$F102)-1),"")</f>
        <v>-</v>
      </c>
      <c r="AO102" s="450" t="str">
        <f>IFERROR(IF(Q102=0,"-",SUMIFS($Q$2:Q102,$A$2:A102,$A102,$F$2:F102,"&lt;="&amp;$F102)/SUMIFS($M$2:M102,$A$2:A102,$A102,$F$2:F102,"&lt;="&amp;$F102)-1),"")</f>
        <v>-</v>
      </c>
      <c r="AP102" s="86"/>
      <c r="AQ102" s="452" t="str">
        <f>'Overall Metrics'!AO107</f>
        <v/>
      </c>
      <c r="AR102" s="450" t="str">
        <f t="shared" si="42"/>
        <v/>
      </c>
      <c r="AS102" s="453" t="str">
        <f>IFERROR(IF(R103=0,"-",AVERAGEIFS($AQ$2:AQ102,$A$2:A102,$A102,$F$2:F102,"&lt;="&amp;$F102)-AVERAGEIFS($AP$2:AP102,$A$2:A102,$A102,$F$2:F102,"&lt;="&amp;$F102)),"")</f>
        <v>-</v>
      </c>
      <c r="AT102" s="390" t="str">
        <f>IFERROR(IF(R103=0,"-",AVERAGEIFS($AQ$2:AQ102,$A$2:A102,A102,$C$2:C102,C102)-AVERAGEIFS($AP$2:AP102,$A$2:A102,A102,$C$2:C102,C102)),"")</f>
        <v>-</v>
      </c>
      <c r="AU102" s="79"/>
      <c r="AV102" s="452">
        <f>'Overall Metrics'!AS107</f>
        <v>-0.1</v>
      </c>
      <c r="AW102" s="450">
        <f t="shared" si="43"/>
        <v>-0.1</v>
      </c>
      <c r="AX102" s="453" t="str">
        <f>IFERROR(IF(R106=0,"-",AVERAGEIFS($AV$2:AV102,$A$2:A102,$A102,$F$2:F102,"&lt;="&amp;$F102)-AVERAGEIFS($AU$2:AU102,$A$2:A102,$A102,$F$2:F102,"&lt;="&amp;$F102)),"")</f>
        <v>-</v>
      </c>
      <c r="AY102" s="453" t="str">
        <f>IFERROR(IF(R106=0,"-",AVERAGEIFS($AV$2:AV102,$A$2:A102,A102,$C$2:C102,C102)-AVERAGEIFS($AU$2:AU102,$A$2:A102,A102,$C$2:C102,C102)),"")</f>
        <v>-</v>
      </c>
      <c r="AZ102" s="86"/>
      <c r="BA102" s="449">
        <f>'Glass Metrics'!AC107</f>
        <v>0</v>
      </c>
      <c r="BB102" s="450" t="str">
        <f t="shared" si="44"/>
        <v/>
      </c>
      <c r="BC102" s="450" t="str">
        <f>IFERROR(IF(R102=0,"-",AVERAGEIFS($BA$2:BA102,$A$2:A102,$A102,$F$2:F102,"&lt;="&amp;$F102)/AVERAGEIFS($AZ$2:AZ102,$A$2:A102,$A102,$F$2:F102,"&lt;="&amp;$F102)-1),"")</f>
        <v>-</v>
      </c>
      <c r="BD102" s="269" t="str">
        <f>IFERROR(IF(R102=0,"-",AVERAGEIFS($BA$2:BA102,$A$2:A102,A102,$C$2:C102,C102)/AVERAGEIFS($AZ$2:AZ102,$A$2:A102,A102,$C$2:C102,C102)-1),"")</f>
        <v>-</v>
      </c>
    </row>
    <row r="103" spans="1:56" ht="16.350000000000001" customHeight="1">
      <c r="A103" s="175">
        <f t="shared" si="23"/>
        <v>2022</v>
      </c>
      <c r="B103" s="447" t="str">
        <f t="shared" si="24"/>
        <v>50</v>
      </c>
      <c r="C103" s="447" t="str">
        <f t="array" ref="C103">_xlfn.IFS(_xlfn.NUMBERVALUE(B103)&lt;=13,"Q1",AND(_xlfn.NUMBERVALUE(B103)&gt;13,_xlfn.NUMBERVALUE(B103)&lt;=26),"Q2", AND(_xlfn.NUMBERVALUE(B103)&gt;26,_xlfn.NUMBERVALUE(B103)&lt;=39),"Q3",_xlfn.NUMBERVALUE(B103)&gt;39,"Q4")</f>
        <v>Q4</v>
      </c>
      <c r="D103" s="448">
        <f t="shared" si="45"/>
        <v>44569</v>
      </c>
      <c r="E103" s="448">
        <f t="shared" si="25"/>
        <v>44575</v>
      </c>
      <c r="F103" s="79">
        <v>202150</v>
      </c>
      <c r="G103" s="815"/>
      <c r="H103" s="816"/>
      <c r="I103" s="429"/>
      <c r="J103" s="214">
        <f t="shared" si="26"/>
        <v>0</v>
      </c>
      <c r="K103" s="429"/>
      <c r="L103" s="429"/>
      <c r="M103" s="429"/>
      <c r="N103" s="214">
        <f t="shared" si="27"/>
        <v>0</v>
      </c>
      <c r="O103" s="449">
        <f>'Overall Metrics'!L108</f>
        <v>0</v>
      </c>
      <c r="P103" s="449">
        <f>'Overall Metrics'!M108</f>
        <v>0</v>
      </c>
      <c r="Q103" s="449">
        <f>'Overall Metrics'!N108</f>
        <v>0</v>
      </c>
      <c r="R103" s="449">
        <f t="shared" si="28"/>
        <v>0</v>
      </c>
      <c r="S103" s="180">
        <f t="shared" si="29"/>
        <v>0</v>
      </c>
      <c r="T103" s="449">
        <f t="shared" si="30"/>
        <v>0</v>
      </c>
      <c r="U103" s="449">
        <f t="shared" si="31"/>
        <v>0</v>
      </c>
      <c r="V103" s="450" t="str">
        <f t="shared" si="32"/>
        <v/>
      </c>
      <c r="W103" s="450" t="str">
        <f>IF(R103=0,"-",SUMIFS($R$2:R103,$A$2:A103,A103,$C$2:C103,C103)/SUMIFS($J$2:J103,$A$2:A103,A103,$C$2:C103,C103)-1)</f>
        <v>-</v>
      </c>
      <c r="X103" s="450" t="str">
        <f t="shared" si="33"/>
        <v/>
      </c>
      <c r="Y103" s="450" t="str">
        <f>IFERROR(IF(R103=0,"-",SUMIFS($R$2:R103,$A$2:A103,A103,$C$2:C103,C103)/SUMIFS($N$2:N103,$A$2:A103,A103,$C$2:C103,C103)-1),"")</f>
        <v>-</v>
      </c>
      <c r="Z103" s="269" t="str">
        <f>IF(R103=0,"",(S103/VLOOKUP(_xlfn.NUMBERVALUE(_xlfn.CONCAT(LEFT(F103,4),52)),$F$2:T310,COLUMNS($F$2:T310),FALSE)))</f>
        <v/>
      </c>
      <c r="AA103" s="269" t="str">
        <f>IFERROR(IF(R103=0,"",(S103/VLOOKUP(_xlfn.NUMBERVALUE(_xlfn.CONCAT(LEFT(F103,4),52)),$F$2:U310,COLUMNS($F$2:U310),FALSE))),"")</f>
        <v/>
      </c>
      <c r="AB103" s="268" t="str">
        <f t="shared" si="34"/>
        <v/>
      </c>
      <c r="AC103" s="450" t="str">
        <f t="shared" si="35"/>
        <v/>
      </c>
      <c r="AD103" s="450" t="str">
        <f t="shared" si="36"/>
        <v/>
      </c>
      <c r="AE103" s="269" t="str">
        <f t="shared" si="37"/>
        <v/>
      </c>
      <c r="AF103" s="268" t="str">
        <f t="shared" si="38"/>
        <v/>
      </c>
      <c r="AG103" s="450" t="str">
        <f t="shared" si="39"/>
        <v/>
      </c>
      <c r="AH103" s="450" t="str">
        <f t="shared" si="40"/>
        <v/>
      </c>
      <c r="AI103" s="269" t="str">
        <f t="shared" si="41"/>
        <v/>
      </c>
      <c r="AJ103" s="450" t="str">
        <f>IF(O103=0,"-",SUMIFS($O$2:O103,$A$2:A103,$A103,$F$2:F103,"&lt;="&amp;$F103)/SUMIFS($G$2:G103,$A$2:A103,$A103,$F$2:F103,"&lt;="&amp;$F103)-1)</f>
        <v>-</v>
      </c>
      <c r="AK103" s="450" t="str">
        <f>IF(P103=0,"-",SUMIFS($P$2:P103,$A$2:A103,$A103,$F$2:F103,"&lt;="&amp;$F103)/SUMIFS($H$2:H103,$A$2:A103,$A103,$F$2:F103,"&lt;="&amp;$F103)-1)</f>
        <v>-</v>
      </c>
      <c r="AL103" s="450" t="str">
        <f>IF(Q103=0,"-",SUMIFS($Q$2:Q103,$A$2:A103,$A103,$F$2:F103,"&lt;="&amp;$F103)/SUMIFS($I$2:I103,$A$2:A103,$A103,$F$2:F103,"&lt;="&amp;$F103)-1)</f>
        <v>-</v>
      </c>
      <c r="AM103" s="450" t="str">
        <f>IFERROR(IF(O103=0,"-",SUMIFS($O$2:O103,$A$2:A103,$A103,$F$2:F103,"&lt;="&amp;$F103)/SUMIFS($K$2:K103,$A$2:A103,$A103,$F$2:F103,"&lt;="&amp;$F103)-1),"")</f>
        <v>-</v>
      </c>
      <c r="AN103" s="450" t="str">
        <f>IFERROR(IF(P103=0,"-",SUMIFS($P$2:P103,$A$2:A103,$A103,$F$2:F103,"&lt;="&amp;$F103)/SUMIFS($L$2:L103,$A$2:A103,$A103,$F$2:F103,"&lt;="&amp;$F103)-1),"")</f>
        <v>-</v>
      </c>
      <c r="AO103" s="450" t="str">
        <f>IFERROR(IF(Q103=0,"-",SUMIFS($Q$2:Q103,$A$2:A103,$A103,$F$2:F103,"&lt;="&amp;$F103)/SUMIFS($M$2:M103,$A$2:A103,$A103,$F$2:F103,"&lt;="&amp;$F103)-1),"")</f>
        <v>-</v>
      </c>
      <c r="AP103" s="86"/>
      <c r="AQ103" s="452" t="str">
        <f>'Overall Metrics'!AO108</f>
        <v/>
      </c>
      <c r="AR103" s="450" t="str">
        <f t="shared" si="42"/>
        <v/>
      </c>
      <c r="AS103" s="453" t="str">
        <f>IFERROR(IF(R104=0,"-",AVERAGEIFS($AQ$2:AQ103,$A$2:A103,$A103,$F$2:F103,"&lt;="&amp;$F103)-AVERAGEIFS($AP$2:AP103,$A$2:A103,$A103,$F$2:F103,"&lt;="&amp;$F103)),"")</f>
        <v>-</v>
      </c>
      <c r="AT103" s="390" t="str">
        <f>IFERROR(IF(R104=0,"-",AVERAGEIFS($AQ$2:AQ103,$A$2:A103,A103,$C$2:C103,C103)-AVERAGEIFS($AP$2:AP103,$A$2:A103,A103,$C$2:C103,C103)),"")</f>
        <v>-</v>
      </c>
      <c r="AU103" s="79"/>
      <c r="AV103" s="452">
        <f>'Overall Metrics'!AS108</f>
        <v>-0.1</v>
      </c>
      <c r="AW103" s="450">
        <f t="shared" si="43"/>
        <v>-0.1</v>
      </c>
      <c r="AX103" s="453" t="str">
        <f>IFERROR(IF(R107=0,"-",AVERAGEIFS($AV$2:AV103,$A$2:A103,$A103,$F$2:F103,"&lt;="&amp;$F103)-AVERAGEIFS($AU$2:AU103,$A$2:A103,$A103,$F$2:F103,"&lt;="&amp;$F103)),"")</f>
        <v>-</v>
      </c>
      <c r="AY103" s="453" t="str">
        <f>IFERROR(IF(R107=0,"-",AVERAGEIFS($AV$2:AV103,$A$2:A103,A103,$C$2:C103,C103)-AVERAGEIFS($AU$2:AU103,$A$2:A103,A103,$C$2:C103,C103)),"")</f>
        <v>-</v>
      </c>
      <c r="AZ103" s="86"/>
      <c r="BA103" s="449">
        <f>'Glass Metrics'!AC108</f>
        <v>0</v>
      </c>
      <c r="BB103" s="450" t="str">
        <f t="shared" si="44"/>
        <v/>
      </c>
      <c r="BC103" s="450" t="str">
        <f>IFERROR(IF(R103=0,"-",AVERAGEIFS($BA$2:BA103,$A$2:A103,$A103,$F$2:F103,"&lt;="&amp;$F103)/AVERAGEIFS($AZ$2:AZ103,$A$2:A103,$A103,$F$2:F103,"&lt;="&amp;$F103)-1),"")</f>
        <v>-</v>
      </c>
      <c r="BD103" s="269" t="str">
        <f>IFERROR(IF(R103=0,"-",AVERAGEIFS($BA$2:BA103,$A$2:A103,A103,$C$2:C103,C103)/AVERAGEIFS($AZ$2:AZ103,$A$2:A103,A103,$C$2:C103,C103)-1),"")</f>
        <v>-</v>
      </c>
    </row>
    <row r="104" spans="1:56" ht="16.350000000000001" customHeight="1">
      <c r="A104" s="175">
        <f t="shared" si="23"/>
        <v>2022</v>
      </c>
      <c r="B104" s="447" t="str">
        <f t="shared" si="24"/>
        <v>51</v>
      </c>
      <c r="C104" s="447" t="str">
        <f t="array" ref="C104">_xlfn.IFS(_xlfn.NUMBERVALUE(B104)&lt;=13,"Q1",AND(_xlfn.NUMBERVALUE(B104)&gt;13,_xlfn.NUMBERVALUE(B104)&lt;=26),"Q2", AND(_xlfn.NUMBERVALUE(B104)&gt;26,_xlfn.NUMBERVALUE(B104)&lt;=39),"Q3",_xlfn.NUMBERVALUE(B104)&gt;39,"Q4")</f>
        <v>Q4</v>
      </c>
      <c r="D104" s="448">
        <f t="shared" si="45"/>
        <v>44576</v>
      </c>
      <c r="E104" s="448">
        <f t="shared" si="25"/>
        <v>44582</v>
      </c>
      <c r="F104" s="79">
        <v>202151</v>
      </c>
      <c r="G104" s="815"/>
      <c r="H104" s="816"/>
      <c r="I104" s="429"/>
      <c r="J104" s="214">
        <f t="shared" si="26"/>
        <v>0</v>
      </c>
      <c r="K104" s="429"/>
      <c r="L104" s="429"/>
      <c r="M104" s="429"/>
      <c r="N104" s="214">
        <f t="shared" si="27"/>
        <v>0</v>
      </c>
      <c r="O104" s="449">
        <f>'Overall Metrics'!L109</f>
        <v>0</v>
      </c>
      <c r="P104" s="449">
        <f>'Overall Metrics'!M109</f>
        <v>0</v>
      </c>
      <c r="Q104" s="449">
        <f>'Overall Metrics'!N109</f>
        <v>0</v>
      </c>
      <c r="R104" s="449">
        <f t="shared" si="28"/>
        <v>0</v>
      </c>
      <c r="S104" s="180">
        <f t="shared" si="29"/>
        <v>0</v>
      </c>
      <c r="T104" s="449">
        <f t="shared" si="30"/>
        <v>0</v>
      </c>
      <c r="U104" s="449">
        <f t="shared" si="31"/>
        <v>0</v>
      </c>
      <c r="V104" s="450" t="str">
        <f t="shared" si="32"/>
        <v/>
      </c>
      <c r="W104" s="450" t="str">
        <f>IF(R104=0,"-",SUMIFS($R$2:R104,$A$2:A104,A104,$C$2:C104,C104)/SUMIFS($J$2:J104,$A$2:A104,A104,$C$2:C104,C104)-1)</f>
        <v>-</v>
      </c>
      <c r="X104" s="450" t="str">
        <f t="shared" si="33"/>
        <v/>
      </c>
      <c r="Y104" s="450" t="str">
        <f>IFERROR(IF(R104=0,"-",SUMIFS($R$2:R104,$A$2:A104,A104,$C$2:C104,C104)/SUMIFS($N$2:N104,$A$2:A104,A104,$C$2:C104,C104)-1),"")</f>
        <v>-</v>
      </c>
      <c r="Z104" s="269" t="str">
        <f>IF(R104=0,"",(S104/VLOOKUP(_xlfn.NUMBERVALUE(_xlfn.CONCAT(LEFT(F104,4),52)),$F$2:T311,COLUMNS($F$2:T311),FALSE)))</f>
        <v/>
      </c>
      <c r="AA104" s="269" t="str">
        <f>IFERROR(IF(R104=0,"",(S104/VLOOKUP(_xlfn.NUMBERVALUE(_xlfn.CONCAT(LEFT(F104,4),52)),$F$2:U311,COLUMNS($F$2:U311),FALSE))),"")</f>
        <v/>
      </c>
      <c r="AB104" s="268" t="str">
        <f t="shared" si="34"/>
        <v/>
      </c>
      <c r="AC104" s="450" t="str">
        <f t="shared" si="35"/>
        <v/>
      </c>
      <c r="AD104" s="450" t="str">
        <f t="shared" si="36"/>
        <v/>
      </c>
      <c r="AE104" s="269" t="str">
        <f t="shared" si="37"/>
        <v/>
      </c>
      <c r="AF104" s="268" t="str">
        <f t="shared" si="38"/>
        <v/>
      </c>
      <c r="AG104" s="450" t="str">
        <f t="shared" si="39"/>
        <v/>
      </c>
      <c r="AH104" s="450" t="str">
        <f t="shared" si="40"/>
        <v/>
      </c>
      <c r="AI104" s="269" t="str">
        <f t="shared" si="41"/>
        <v/>
      </c>
      <c r="AJ104" s="450" t="str">
        <f>IF(O104=0,"-",SUMIFS($O$2:O104,$A$2:A104,$A104,$F$2:F104,"&lt;="&amp;$F104)/SUMIFS($G$2:G104,$A$2:A104,$A104,$F$2:F104,"&lt;="&amp;$F104)-1)</f>
        <v>-</v>
      </c>
      <c r="AK104" s="450" t="str">
        <f>IF(P104=0,"-",SUMIFS($P$2:P104,$A$2:A104,$A104,$F$2:F104,"&lt;="&amp;$F104)/SUMIFS($H$2:H104,$A$2:A104,$A104,$F$2:F104,"&lt;="&amp;$F104)-1)</f>
        <v>-</v>
      </c>
      <c r="AL104" s="450" t="str">
        <f>IF(Q104=0,"-",SUMIFS($Q$2:Q104,$A$2:A104,$A104,$F$2:F104,"&lt;="&amp;$F104)/SUMIFS($I$2:I104,$A$2:A104,$A104,$F$2:F104,"&lt;="&amp;$F104)-1)</f>
        <v>-</v>
      </c>
      <c r="AM104" s="450" t="str">
        <f>IFERROR(IF(O104=0,"-",SUMIFS($O$2:O104,$A$2:A104,$A104,$F$2:F104,"&lt;="&amp;$F104)/SUMIFS($K$2:K104,$A$2:A104,$A104,$F$2:F104,"&lt;="&amp;$F104)-1),"")</f>
        <v>-</v>
      </c>
      <c r="AN104" s="450" t="str">
        <f>IFERROR(IF(P104=0,"-",SUMIFS($P$2:P104,$A$2:A104,$A104,$F$2:F104,"&lt;="&amp;$F104)/SUMIFS($L$2:L104,$A$2:A104,$A104,$F$2:F104,"&lt;="&amp;$F104)-1),"")</f>
        <v>-</v>
      </c>
      <c r="AO104" s="450" t="str">
        <f>IFERROR(IF(Q104=0,"-",SUMIFS($Q$2:Q104,$A$2:A104,$A104,$F$2:F104,"&lt;="&amp;$F104)/SUMIFS($M$2:M104,$A$2:A104,$A104,$F$2:F104,"&lt;="&amp;$F104)-1),"")</f>
        <v>-</v>
      </c>
      <c r="AP104" s="86"/>
      <c r="AQ104" s="452" t="str">
        <f>'Overall Metrics'!AO109</f>
        <v/>
      </c>
      <c r="AR104" s="450" t="str">
        <f t="shared" si="42"/>
        <v/>
      </c>
      <c r="AS104" s="453" t="str">
        <f>IFERROR(IF(R105=0,"-",AVERAGEIFS($AQ$2:AQ104,$A$2:A104,$A104,$F$2:F104,"&lt;="&amp;$F104)-AVERAGEIFS($AP$2:AP104,$A$2:A104,$A104,$F$2:F104,"&lt;="&amp;$F104)),"")</f>
        <v>-</v>
      </c>
      <c r="AT104" s="390" t="str">
        <f>IFERROR(IF(R105=0,"-",AVERAGEIFS($AQ$2:AQ104,$A$2:A104,A104,$C$2:C104,C104)-AVERAGEIFS($AP$2:AP104,$A$2:A104,A104,$C$2:C104,C104)),"")</f>
        <v>-</v>
      </c>
      <c r="AU104" s="79"/>
      <c r="AV104" s="452">
        <f>'Overall Metrics'!AS109</f>
        <v>-0.1</v>
      </c>
      <c r="AW104" s="450">
        <f t="shared" si="43"/>
        <v>-0.1</v>
      </c>
      <c r="AX104" s="453" t="str">
        <f>IFERROR(IF(R108=0,"-",AVERAGEIFS($AV$2:AV104,$A$2:A104,$A104,$F$2:F104,"&lt;="&amp;$F104)-AVERAGEIFS($AU$2:AU104,$A$2:A104,$A104,$F$2:F104,"&lt;="&amp;$F104)),"")</f>
        <v>-</v>
      </c>
      <c r="AY104" s="453" t="str">
        <f>IFERROR(IF(R108=0,"-",AVERAGEIFS($AV$2:AV104,$A$2:A104,A104,$C$2:C104,C104)-AVERAGEIFS($AU$2:AU104,$A$2:A104,A104,$C$2:C104,C104)),"")</f>
        <v>-</v>
      </c>
      <c r="AZ104" s="86"/>
      <c r="BA104" s="449">
        <f>'Glass Metrics'!AC109</f>
        <v>0</v>
      </c>
      <c r="BB104" s="450" t="str">
        <f t="shared" si="44"/>
        <v/>
      </c>
      <c r="BC104" s="450" t="str">
        <f>IFERROR(IF(R104=0,"-",AVERAGEIFS($BA$2:BA104,$A$2:A104,$A104,$F$2:F104,"&lt;="&amp;$F104)/AVERAGEIFS($AZ$2:AZ104,$A$2:A104,$A104,$F$2:F104,"&lt;="&amp;$F104)-1),"")</f>
        <v>-</v>
      </c>
      <c r="BD104" s="269" t="str">
        <f>IFERROR(IF(R104=0,"-",AVERAGEIFS($BA$2:BA104,$A$2:A104,A104,$C$2:C104,C104)/AVERAGEIFS($AZ$2:AZ104,$A$2:A104,A104,$C$2:C104,C104)-1),"")</f>
        <v>-</v>
      </c>
    </row>
    <row r="105" spans="1:56" ht="16.350000000000001" customHeight="1">
      <c r="A105" s="175">
        <f t="shared" si="23"/>
        <v>2022</v>
      </c>
      <c r="B105" s="447" t="str">
        <f t="shared" si="24"/>
        <v>52</v>
      </c>
      <c r="C105" s="447" t="str">
        <f t="array" ref="C105">_xlfn.IFS(_xlfn.NUMBERVALUE(B105)&lt;=13,"Q1",AND(_xlfn.NUMBERVALUE(B105)&gt;13,_xlfn.NUMBERVALUE(B105)&lt;=26),"Q2", AND(_xlfn.NUMBERVALUE(B105)&gt;26,_xlfn.NUMBERVALUE(B105)&lt;=39),"Q3",_xlfn.NUMBERVALUE(B105)&gt;39,"Q4")</f>
        <v>Q4</v>
      </c>
      <c r="D105" s="448">
        <f t="shared" si="45"/>
        <v>44583</v>
      </c>
      <c r="E105" s="448">
        <f t="shared" si="25"/>
        <v>44589</v>
      </c>
      <c r="F105" s="79">
        <v>202152</v>
      </c>
      <c r="G105" s="815"/>
      <c r="H105" s="816"/>
      <c r="I105" s="429"/>
      <c r="J105" s="214">
        <f t="shared" si="26"/>
        <v>0</v>
      </c>
      <c r="K105" s="429"/>
      <c r="L105" s="429"/>
      <c r="M105" s="429"/>
      <c r="N105" s="214">
        <f t="shared" si="27"/>
        <v>0</v>
      </c>
      <c r="O105" s="449">
        <f>'Overall Metrics'!L110</f>
        <v>0</v>
      </c>
      <c r="P105" s="449">
        <f>'Overall Metrics'!M110</f>
        <v>0</v>
      </c>
      <c r="Q105" s="449">
        <f>'Overall Metrics'!N110</f>
        <v>0</v>
      </c>
      <c r="R105" s="449">
        <f t="shared" si="28"/>
        <v>0</v>
      </c>
      <c r="S105" s="180">
        <f t="shared" si="29"/>
        <v>0</v>
      </c>
      <c r="T105" s="449">
        <f t="shared" si="30"/>
        <v>0</v>
      </c>
      <c r="U105" s="449">
        <f t="shared" si="31"/>
        <v>0</v>
      </c>
      <c r="V105" s="450" t="str">
        <f t="shared" si="32"/>
        <v/>
      </c>
      <c r="W105" s="450" t="str">
        <f>IF(R105=0,"-",SUMIFS($R$2:R105,$A$2:A105,A105,$C$2:C105,C105)/SUMIFS($J$2:J105,$A$2:A105,A105,$C$2:C105,C105)-1)</f>
        <v>-</v>
      </c>
      <c r="X105" s="450" t="str">
        <f t="shared" si="33"/>
        <v/>
      </c>
      <c r="Y105" s="450" t="str">
        <f>IFERROR(IF(R105=0,"-",SUMIFS($R$2:R105,$A$2:A105,A105,$C$2:C105,C105)/SUMIFS($N$2:N105,$A$2:A105,A105,$C$2:C105,C105)-1),"")</f>
        <v>-</v>
      </c>
      <c r="Z105" s="269" t="str">
        <f>IF(R105=0,"",(S105/VLOOKUP(_xlfn.NUMBERVALUE(_xlfn.CONCAT(LEFT(F105,4),52)),$F$2:T312,COLUMNS($F$2:T312),FALSE)))</f>
        <v/>
      </c>
      <c r="AA105" s="269" t="str">
        <f>IFERROR(IF(R105=0,"",(S105/VLOOKUP(_xlfn.NUMBERVALUE(_xlfn.CONCAT(LEFT(F105,4),52)),$F$2:U312,COLUMNS($F$2:U312),FALSE))),"")</f>
        <v/>
      </c>
      <c r="AB105" s="268" t="str">
        <f t="shared" si="34"/>
        <v/>
      </c>
      <c r="AC105" s="450" t="str">
        <f t="shared" si="35"/>
        <v/>
      </c>
      <c r="AD105" s="450" t="str">
        <f t="shared" si="36"/>
        <v/>
      </c>
      <c r="AE105" s="269" t="str">
        <f t="shared" si="37"/>
        <v/>
      </c>
      <c r="AF105" s="268" t="str">
        <f t="shared" si="38"/>
        <v/>
      </c>
      <c r="AG105" s="450" t="str">
        <f t="shared" si="39"/>
        <v/>
      </c>
      <c r="AH105" s="450" t="str">
        <f t="shared" si="40"/>
        <v/>
      </c>
      <c r="AI105" s="269" t="str">
        <f t="shared" si="41"/>
        <v/>
      </c>
      <c r="AJ105" s="450" t="str">
        <f>IF(O105=0,"-",SUMIFS($O$2:O105,$A$2:A105,$A105,$F$2:F105,"&lt;="&amp;$F105)/SUMIFS($G$2:G105,$A$2:A105,$A105,$F$2:F105,"&lt;="&amp;$F105)-1)</f>
        <v>-</v>
      </c>
      <c r="AK105" s="450" t="str">
        <f>IF(P105=0,"-",SUMIFS($P$2:P105,$A$2:A105,$A105,$F$2:F105,"&lt;="&amp;$F105)/SUMIFS($H$2:H105,$A$2:A105,$A105,$F$2:F105,"&lt;="&amp;$F105)-1)</f>
        <v>-</v>
      </c>
      <c r="AL105" s="450" t="str">
        <f>IF(Q105=0,"-",SUMIFS($Q$2:Q105,$A$2:A105,$A105,$F$2:F105,"&lt;="&amp;$F105)/SUMIFS($I$2:I105,$A$2:A105,$A105,$F$2:F105,"&lt;="&amp;$F105)-1)</f>
        <v>-</v>
      </c>
      <c r="AM105" s="450" t="str">
        <f>IFERROR(IF(O105=0,"-",SUMIFS($O$2:O105,$A$2:A105,$A105,$F$2:F105,"&lt;="&amp;$F105)/SUMIFS($K$2:K105,$A$2:A105,$A105,$F$2:F105,"&lt;="&amp;$F105)-1),"")</f>
        <v>-</v>
      </c>
      <c r="AN105" s="450" t="str">
        <f>IFERROR(IF(P105=0,"-",SUMIFS($P$2:P105,$A$2:A105,$A105,$F$2:F105,"&lt;="&amp;$F105)/SUMIFS($L$2:L105,$A$2:A105,$A105,$F$2:F105,"&lt;="&amp;$F105)-1),"")</f>
        <v>-</v>
      </c>
      <c r="AO105" s="450" t="str">
        <f>IFERROR(IF(Q105=0,"-",SUMIFS($Q$2:Q105,$A$2:A105,$A105,$F$2:F105,"&lt;="&amp;$F105)/SUMIFS($M$2:M105,$A$2:A105,$A105,$F$2:F105,"&lt;="&amp;$F105)-1),"")</f>
        <v>-</v>
      </c>
      <c r="AP105" s="86"/>
      <c r="AQ105" s="452" t="str">
        <f>'Overall Metrics'!AO110</f>
        <v/>
      </c>
      <c r="AR105" s="450" t="str">
        <f t="shared" si="42"/>
        <v/>
      </c>
      <c r="AS105" s="453" t="str">
        <f>IFERROR(IF(R106=0,"-",AVERAGEIFS($AQ$2:AQ105,$A$2:A105,$A105,$F$2:F105,"&lt;="&amp;$F105)-AVERAGEIFS($AP$2:AP105,$A$2:A105,$A105,$F$2:F105,"&lt;="&amp;$F105)),"")</f>
        <v>-</v>
      </c>
      <c r="AT105" s="390" t="str">
        <f>IFERROR(IF(R106=0,"-",AVERAGEIFS($AQ$2:AQ105,$A$2:A105,A105,$C$2:C105,C105)-AVERAGEIFS($AP$2:AP105,$A$2:A105,A105,$C$2:C105,C105)),"")</f>
        <v>-</v>
      </c>
      <c r="AU105" s="79"/>
      <c r="AV105" s="452">
        <f>'Overall Metrics'!AS110</f>
        <v>-0.1</v>
      </c>
      <c r="AW105" s="450">
        <f t="shared" si="43"/>
        <v>-0.1</v>
      </c>
      <c r="AX105" s="453" t="str">
        <f>IFERROR(IF(R109=0,"-",AVERAGEIFS($AV$2:AV105,$A$2:A105,$A105,$F$2:F105,"&lt;="&amp;$F105)-AVERAGEIFS($AU$2:AU105,$A$2:A105,$A105,$F$2:F105,"&lt;="&amp;$F105)),"")</f>
        <v>-</v>
      </c>
      <c r="AY105" s="453" t="str">
        <f>IFERROR(IF(R109=0,"-",AVERAGEIFS($AV$2:AV105,$A$2:A105,A105,$C$2:C105,C105)-AVERAGEIFS($AU$2:AU105,$A$2:A105,A105,$C$2:C105,C105)),"")</f>
        <v>-</v>
      </c>
      <c r="AZ105" s="86"/>
      <c r="BA105" s="449">
        <f>'Glass Metrics'!AC110</f>
        <v>0</v>
      </c>
      <c r="BB105" s="450" t="str">
        <f t="shared" si="44"/>
        <v/>
      </c>
      <c r="BC105" s="450" t="str">
        <f>IFERROR(IF(R105=0,"-",AVERAGEIFS($BA$2:BA105,$A$2:A105,$A105,$F$2:F105,"&lt;="&amp;$F105)/AVERAGEIFS($AZ$2:AZ105,$A$2:A105,$A105,$F$2:F105,"&lt;="&amp;$F105)-1),"")</f>
        <v>-</v>
      </c>
      <c r="BD105" s="269" t="str">
        <f>IFERROR(IF(R105=0,"-",AVERAGEIFS($BA$2:BA105,$A$2:A105,A105,$C$2:C105,C105)/AVERAGEIFS($AZ$2:AZ105,$A$2:A105,A105,$C$2:C105,C105)-1),"")</f>
        <v>-</v>
      </c>
    </row>
    <row r="106" spans="1:56" ht="16.350000000000001" customHeight="1">
      <c r="A106" s="175">
        <f t="shared" si="23"/>
        <v>2023</v>
      </c>
      <c r="B106" s="447" t="str">
        <f t="shared" si="24"/>
        <v>01</v>
      </c>
      <c r="C106" s="447" t="str">
        <f t="array" ref="C106">_xlfn.IFS(_xlfn.NUMBERVALUE(B106)&lt;=13,"Q1",AND(_xlfn.NUMBERVALUE(B106)&gt;13,_xlfn.NUMBERVALUE(B106)&lt;=26),"Q2", AND(_xlfn.NUMBERVALUE(B106)&gt;26,_xlfn.NUMBERVALUE(B106)&lt;=39),"Q3",_xlfn.NUMBERVALUE(B106)&gt;39,"Q4")</f>
        <v>Q1</v>
      </c>
      <c r="D106" s="448">
        <f t="shared" si="45"/>
        <v>44590</v>
      </c>
      <c r="E106" s="448">
        <f t="shared" si="25"/>
        <v>44596</v>
      </c>
      <c r="F106" s="79">
        <v>202201</v>
      </c>
      <c r="G106" s="103"/>
      <c r="H106" s="429"/>
      <c r="I106" s="429"/>
      <c r="J106" s="214">
        <f t="shared" si="26"/>
        <v>0</v>
      </c>
      <c r="K106" s="429"/>
      <c r="L106" s="429"/>
      <c r="M106" s="429"/>
      <c r="N106" s="214">
        <f t="shared" si="27"/>
        <v>0</v>
      </c>
      <c r="O106" s="449">
        <f>'Overall Metrics'!L111</f>
        <v>0</v>
      </c>
      <c r="P106" s="449">
        <f>'Overall Metrics'!M111</f>
        <v>0</v>
      </c>
      <c r="Q106" s="449">
        <f>'Overall Metrics'!N111</f>
        <v>0</v>
      </c>
      <c r="R106" s="449">
        <f t="shared" si="28"/>
        <v>0</v>
      </c>
      <c r="S106" s="180">
        <f t="shared" si="29"/>
        <v>0</v>
      </c>
      <c r="T106" s="449">
        <f t="shared" si="30"/>
        <v>0</v>
      </c>
      <c r="U106" s="449">
        <f t="shared" si="31"/>
        <v>0</v>
      </c>
      <c r="V106" s="450" t="str">
        <f t="shared" si="32"/>
        <v/>
      </c>
      <c r="W106" s="450" t="str">
        <f>IF(R106=0,"-",SUMIFS($R$2:R106,$A$2:A106,A106,$C$2:C106,C106)/SUMIFS($J$2:J106,$A$2:A106,A106,$C$2:C106,C106)-1)</f>
        <v>-</v>
      </c>
      <c r="X106" s="450" t="str">
        <f t="shared" si="33"/>
        <v/>
      </c>
      <c r="Y106" s="450" t="str">
        <f>IFERROR(IF(R106=0,"-",SUMIFS($R$2:R106,$A$2:A106,A106,$C$2:C106,C106)/SUMIFS($N$2:N106,$A$2:A106,A106,$C$2:C106,C106)-1),"")</f>
        <v>-</v>
      </c>
      <c r="Z106" s="269" t="str">
        <f>IF(R106=0,"",(S106/VLOOKUP(_xlfn.NUMBERVALUE(_xlfn.CONCAT(LEFT(F106,4),52)),$F$2:T313,COLUMNS($F$2:T313),FALSE)))</f>
        <v/>
      </c>
      <c r="AA106" s="269" t="str">
        <f>IFERROR(IF(R106=0,"",(S106/VLOOKUP(_xlfn.NUMBERVALUE(_xlfn.CONCAT(LEFT(F106,4),52)),$F$2:U313,COLUMNS($F$2:U313),FALSE))),"")</f>
        <v/>
      </c>
      <c r="AB106" s="268" t="str">
        <f t="shared" si="34"/>
        <v/>
      </c>
      <c r="AC106" s="450" t="str">
        <f t="shared" si="35"/>
        <v/>
      </c>
      <c r="AD106" s="450" t="str">
        <f t="shared" si="36"/>
        <v/>
      </c>
      <c r="AE106" s="269" t="str">
        <f t="shared" si="37"/>
        <v/>
      </c>
      <c r="AF106" s="268" t="str">
        <f t="shared" si="38"/>
        <v/>
      </c>
      <c r="AG106" s="450" t="str">
        <f t="shared" si="39"/>
        <v/>
      </c>
      <c r="AH106" s="450" t="str">
        <f t="shared" si="40"/>
        <v/>
      </c>
      <c r="AI106" s="269" t="str">
        <f t="shared" si="41"/>
        <v/>
      </c>
      <c r="AJ106" s="450" t="str">
        <f>IF(O106=0,"-",SUMIFS($O$2:O106,$A$2:A106,$A106,$F$2:F106,"&lt;="&amp;$F106)/SUMIFS($G$2:G106,$A$2:A106,$A106,$F$2:F106,"&lt;="&amp;$F106)-1)</f>
        <v>-</v>
      </c>
      <c r="AK106" s="450" t="str">
        <f>IF(P106=0,"-",SUMIFS($P$2:P106,$A$2:A106,$A106,$F$2:F106,"&lt;="&amp;$F106)/SUMIFS($H$2:H106,$A$2:A106,$A106,$F$2:F106,"&lt;="&amp;$F106)-1)</f>
        <v>-</v>
      </c>
      <c r="AL106" s="450" t="str">
        <f>IF(Q106=0,"-",SUMIFS($Q$2:Q106,$A$2:A106,$A106,$F$2:F106,"&lt;="&amp;$F106)/SUMIFS($I$2:I106,$A$2:A106,$A106,$F$2:F106,"&lt;="&amp;$F106)-1)</f>
        <v>-</v>
      </c>
      <c r="AM106" s="450" t="str">
        <f>IFERROR(IF(O106=0,"-",SUMIFS($O$2:O106,$A$2:A106,$A106,$F$2:F106,"&lt;="&amp;$F106)/SUMIFS($K$2:K106,$A$2:A106,$A106,$F$2:F106,"&lt;="&amp;$F106)-1),"")</f>
        <v>-</v>
      </c>
      <c r="AN106" s="450" t="str">
        <f>IFERROR(IF(P106=0,"-",SUMIFS($P$2:P106,$A$2:A106,$A106,$F$2:F106,"&lt;="&amp;$F106)/SUMIFS($L$2:L106,$A$2:A106,$A106,$F$2:F106,"&lt;="&amp;$F106)-1),"")</f>
        <v>-</v>
      </c>
      <c r="AO106" s="450" t="str">
        <f>IFERROR(IF(Q106=0,"-",SUMIFS($Q$2:Q106,$A$2:A106,$A106,$F$2:F106,"&lt;="&amp;$F106)/SUMIFS($M$2:M106,$A$2:A106,$A106,$F$2:F106,"&lt;="&amp;$F106)-1),"")</f>
        <v>-</v>
      </c>
      <c r="AP106" s="239"/>
      <c r="AQ106" s="452" t="str">
        <f>'Overall Metrics'!AO111</f>
        <v/>
      </c>
      <c r="AR106" s="450" t="str">
        <f t="shared" si="42"/>
        <v/>
      </c>
      <c r="AS106" s="453" t="str">
        <f>IFERROR(IF(R107=0,"-",AVERAGEIFS($AQ$2:AQ106,$A$2:A106,$A106,$F$2:F106,"&lt;="&amp;$F106)-AVERAGEIFS($AP$2:AP106,$A$2:A106,$A106,$F$2:F106,"&lt;="&amp;$F106)),"")</f>
        <v>-</v>
      </c>
      <c r="AT106" s="390" t="str">
        <f>IFERROR(IF(R107=0,"-",AVERAGEIFS($AQ$2:AQ106,$A$2:A106,A106,$C$2:C106,C106)-AVERAGEIFS($AP$2:AP106,$A$2:A106,A106,$C$2:C106,C106)),"")</f>
        <v>-</v>
      </c>
      <c r="AU106" s="819"/>
      <c r="AV106" s="452">
        <f>'Overall Metrics'!AS111</f>
        <v>-0.1</v>
      </c>
      <c r="AW106" s="450">
        <f t="shared" si="43"/>
        <v>-0.1</v>
      </c>
      <c r="AX106" s="453" t="str">
        <f>IFERROR(IF(R110=0,"-",AVERAGEIFS($AV$2:AV106,$A$2:A106,$A106,$F$2:F106,"&lt;="&amp;$F106)-AVERAGEIFS($AU$2:AU106,$A$2:A106,$A106,$F$2:F106,"&lt;="&amp;$F106)),"")</f>
        <v>-</v>
      </c>
      <c r="AY106" s="453" t="str">
        <f>IFERROR(IF(R110=0,"-",AVERAGEIFS($AV$2:AV106,$A$2:A106,A106,$C$2:C106,C106)-AVERAGEIFS($AU$2:AU106,$A$2:A106,A106,$C$2:C106,C106)),"")</f>
        <v>-</v>
      </c>
      <c r="AZ106" s="86"/>
      <c r="BA106" s="449">
        <f>'Glass Metrics'!AC111</f>
        <v>0</v>
      </c>
      <c r="BB106" s="450" t="str">
        <f t="shared" si="44"/>
        <v/>
      </c>
      <c r="BC106" s="450" t="str">
        <f>IFERROR(IF(R106=0,"-",AVERAGEIFS($BA$2:BA106,$A$2:A106,$A106,$F$2:F106,"&lt;="&amp;$F106)/AVERAGEIFS($AZ$2:AZ106,$A$2:A106,$A106,$F$2:F106,"&lt;="&amp;$F106)-1),"")</f>
        <v>-</v>
      </c>
      <c r="BD106" s="269" t="str">
        <f>IFERROR(IF(R106=0,"-",AVERAGEIFS($BA$2:BA106,$A$2:A106,A106,$C$2:C106,C106)/AVERAGEIFS($AZ$2:AZ106,$A$2:A106,A106,$C$2:C106,C106)-1),"")</f>
        <v>-</v>
      </c>
    </row>
    <row r="107" spans="1:56" ht="16.350000000000001" customHeight="1">
      <c r="A107" s="175">
        <f t="shared" si="23"/>
        <v>2023</v>
      </c>
      <c r="B107" s="447" t="str">
        <f t="shared" si="24"/>
        <v>02</v>
      </c>
      <c r="C107" s="447" t="str">
        <f t="array" ref="C107">_xlfn.IFS(_xlfn.NUMBERVALUE(B107)&lt;=13,"Q1",AND(_xlfn.NUMBERVALUE(B107)&gt;13,_xlfn.NUMBERVALUE(B107)&lt;=26),"Q2", AND(_xlfn.NUMBERVALUE(B107)&gt;26,_xlfn.NUMBERVALUE(B107)&lt;=39),"Q3",_xlfn.NUMBERVALUE(B107)&gt;39,"Q4")</f>
        <v>Q1</v>
      </c>
      <c r="D107" s="448">
        <f t="shared" si="45"/>
        <v>44597</v>
      </c>
      <c r="E107" s="448">
        <f t="shared" si="25"/>
        <v>44603</v>
      </c>
      <c r="F107" s="79">
        <v>202202</v>
      </c>
      <c r="G107" s="103"/>
      <c r="H107" s="429"/>
      <c r="I107" s="429"/>
      <c r="J107" s="214">
        <f t="shared" si="26"/>
        <v>0</v>
      </c>
      <c r="K107" s="429"/>
      <c r="L107" s="429"/>
      <c r="M107" s="429"/>
      <c r="N107" s="214">
        <f t="shared" si="27"/>
        <v>0</v>
      </c>
      <c r="O107" s="449">
        <f>'Overall Metrics'!L112</f>
        <v>0</v>
      </c>
      <c r="P107" s="449">
        <f>'Overall Metrics'!M112</f>
        <v>0</v>
      </c>
      <c r="Q107" s="449">
        <f>'Overall Metrics'!N112</f>
        <v>0</v>
      </c>
      <c r="R107" s="449">
        <f t="shared" si="28"/>
        <v>0</v>
      </c>
      <c r="S107" s="180">
        <f t="shared" si="29"/>
        <v>0</v>
      </c>
      <c r="T107" s="449">
        <f t="shared" si="30"/>
        <v>0</v>
      </c>
      <c r="U107" s="449">
        <f t="shared" si="31"/>
        <v>0</v>
      </c>
      <c r="V107" s="450" t="str">
        <f t="shared" si="32"/>
        <v/>
      </c>
      <c r="W107" s="450" t="str">
        <f>IF(R107=0,"-",SUMIFS($R$2:R107,$A$2:A107,A107,$C$2:C107,C107)/SUMIFS($J$2:J107,$A$2:A107,A107,$C$2:C107,C107)-1)</f>
        <v>-</v>
      </c>
      <c r="X107" s="450" t="str">
        <f t="shared" si="33"/>
        <v/>
      </c>
      <c r="Y107" s="450" t="str">
        <f>IFERROR(IF(R107=0,"-",SUMIFS($R$2:R107,$A$2:A107,A107,$C$2:C107,C107)/SUMIFS($N$2:N107,$A$2:A107,A107,$C$2:C107,C107)-1),"")</f>
        <v>-</v>
      </c>
      <c r="Z107" s="269" t="str">
        <f>IF(R107=0,"",(S107/VLOOKUP(_xlfn.NUMBERVALUE(_xlfn.CONCAT(LEFT(F107,4),52)),$F$2:T314,COLUMNS($F$2:T314),FALSE)))</f>
        <v/>
      </c>
      <c r="AA107" s="269" t="str">
        <f>IFERROR(IF(R107=0,"",(S107/VLOOKUP(_xlfn.NUMBERVALUE(_xlfn.CONCAT(LEFT(F107,4),52)),$F$2:U314,COLUMNS($F$2:U314),FALSE))),"")</f>
        <v/>
      </c>
      <c r="AB107" s="268" t="str">
        <f t="shared" si="34"/>
        <v/>
      </c>
      <c r="AC107" s="450" t="str">
        <f t="shared" si="35"/>
        <v/>
      </c>
      <c r="AD107" s="450" t="str">
        <f t="shared" si="36"/>
        <v/>
      </c>
      <c r="AE107" s="269" t="str">
        <f t="shared" si="37"/>
        <v/>
      </c>
      <c r="AF107" s="268" t="str">
        <f t="shared" si="38"/>
        <v/>
      </c>
      <c r="AG107" s="450" t="str">
        <f t="shared" si="39"/>
        <v/>
      </c>
      <c r="AH107" s="450" t="str">
        <f t="shared" si="40"/>
        <v/>
      </c>
      <c r="AI107" s="269" t="str">
        <f t="shared" si="41"/>
        <v/>
      </c>
      <c r="AJ107" s="450" t="str">
        <f>IF(O107=0,"-",SUMIFS($O$2:O107,$A$2:A107,$A107,$F$2:F107,"&lt;="&amp;$F107)/SUMIFS($G$2:G107,$A$2:A107,$A107,$F$2:F107,"&lt;="&amp;$F107)-1)</f>
        <v>-</v>
      </c>
      <c r="AK107" s="450" t="str">
        <f>IF(P107=0,"-",SUMIFS($P$2:P107,$A$2:A107,$A107,$F$2:F107,"&lt;="&amp;$F107)/SUMIFS($H$2:H107,$A$2:A107,$A107,$F$2:F107,"&lt;="&amp;$F107)-1)</f>
        <v>-</v>
      </c>
      <c r="AL107" s="450" t="str">
        <f>IF(Q107=0,"-",SUMIFS($Q$2:Q107,$A$2:A107,$A107,$F$2:F107,"&lt;="&amp;$F107)/SUMIFS($I$2:I107,$A$2:A107,$A107,$F$2:F107,"&lt;="&amp;$F107)-1)</f>
        <v>-</v>
      </c>
      <c r="AM107" s="450" t="str">
        <f>IFERROR(IF(O107=0,"-",SUMIFS($O$2:O107,$A$2:A107,$A107,$F$2:F107,"&lt;="&amp;$F107)/SUMIFS($K$2:K107,$A$2:A107,$A107,$F$2:F107,"&lt;="&amp;$F107)-1),"")</f>
        <v>-</v>
      </c>
      <c r="AN107" s="450" t="str">
        <f>IFERROR(IF(P107=0,"-",SUMIFS($P$2:P107,$A$2:A107,$A107,$F$2:F107,"&lt;="&amp;$F107)/SUMIFS($L$2:L107,$A$2:A107,$A107,$F$2:F107,"&lt;="&amp;$F107)-1),"")</f>
        <v>-</v>
      </c>
      <c r="AO107" s="450" t="str">
        <f>IFERROR(IF(Q107=0,"-",SUMIFS($Q$2:Q107,$A$2:A107,$A107,$F$2:F107,"&lt;="&amp;$F107)/SUMIFS($M$2:M107,$A$2:A107,$A107,$F$2:F107,"&lt;="&amp;$F107)-1),"")</f>
        <v>-</v>
      </c>
      <c r="AP107" s="239"/>
      <c r="AQ107" s="452" t="str">
        <f>'Overall Metrics'!AO112</f>
        <v/>
      </c>
      <c r="AR107" s="450" t="str">
        <f t="shared" si="42"/>
        <v/>
      </c>
      <c r="AS107" s="453" t="str">
        <f>IFERROR(IF(R108=0,"-",AVERAGEIFS($AQ$2:AQ107,$A$2:A107,$A107,$F$2:F107,"&lt;="&amp;$F107)-AVERAGEIFS($AP$2:AP107,$A$2:A107,$A107,$F$2:F107,"&lt;="&amp;$F107)),"")</f>
        <v>-</v>
      </c>
      <c r="AT107" s="390" t="str">
        <f>IFERROR(IF(R108=0,"-",AVERAGEIFS($AQ$2:AQ107,$A$2:A107,A107,$C$2:C107,C107)-AVERAGEIFS($AP$2:AP107,$A$2:A107,A107,$C$2:C107,C107)),"")</f>
        <v>-</v>
      </c>
      <c r="AU107" s="819"/>
      <c r="AV107" s="452">
        <f>'Overall Metrics'!AS112</f>
        <v>-0.1</v>
      </c>
      <c r="AW107" s="450">
        <f t="shared" si="43"/>
        <v>-0.1</v>
      </c>
      <c r="AX107" s="453" t="str">
        <f>IFERROR(IF(R111=0,"-",AVERAGEIFS($AV$2:AV107,$A$2:A107,$A107,$F$2:F107,"&lt;="&amp;$F107)-AVERAGEIFS($AU$2:AU107,$A$2:A107,$A107,$F$2:F107,"&lt;="&amp;$F107)),"")</f>
        <v>-</v>
      </c>
      <c r="AY107" s="453" t="str">
        <f>IFERROR(IF(R111=0,"-",AVERAGEIFS($AV$2:AV107,$A$2:A107,A107,$C$2:C107,C107)-AVERAGEIFS($AU$2:AU107,$A$2:A107,A107,$C$2:C107,C107)),"")</f>
        <v>-</v>
      </c>
      <c r="AZ107" s="86"/>
      <c r="BA107" s="449">
        <f>'Glass Metrics'!AC112</f>
        <v>0</v>
      </c>
      <c r="BB107" s="450" t="str">
        <f t="shared" si="44"/>
        <v/>
      </c>
      <c r="BC107" s="450" t="str">
        <f>IFERROR(IF(R107=0,"-",AVERAGEIFS($BA$2:BA107,$A$2:A107,$A107,$F$2:F107,"&lt;="&amp;$F107)/AVERAGEIFS($AZ$2:AZ107,$A$2:A107,$A107,$F$2:F107,"&lt;="&amp;$F107)-1),"")</f>
        <v>-</v>
      </c>
      <c r="BD107" s="269" t="str">
        <f>IFERROR(IF(R107=0,"-",AVERAGEIFS($BA$2:BA107,$A$2:A107,A107,$C$2:C107,C107)/AVERAGEIFS($AZ$2:AZ107,$A$2:A107,A107,$C$2:C107,C107)-1),"")</f>
        <v>-</v>
      </c>
    </row>
    <row r="108" spans="1:56" ht="16.350000000000001" customHeight="1">
      <c r="A108" s="175">
        <f t="shared" si="23"/>
        <v>2023</v>
      </c>
      <c r="B108" s="447" t="str">
        <f t="shared" si="24"/>
        <v>03</v>
      </c>
      <c r="C108" s="447" t="str">
        <f t="array" ref="C108">_xlfn.IFS(_xlfn.NUMBERVALUE(B108)&lt;=13,"Q1",AND(_xlfn.NUMBERVALUE(B108)&gt;13,_xlfn.NUMBERVALUE(B108)&lt;=26),"Q2", AND(_xlfn.NUMBERVALUE(B108)&gt;26,_xlfn.NUMBERVALUE(B108)&lt;=39),"Q3",_xlfn.NUMBERVALUE(B108)&gt;39,"Q4")</f>
        <v>Q1</v>
      </c>
      <c r="D108" s="448">
        <f t="shared" si="45"/>
        <v>44604</v>
      </c>
      <c r="E108" s="448">
        <f t="shared" si="25"/>
        <v>44610</v>
      </c>
      <c r="F108" s="79">
        <v>202203</v>
      </c>
      <c r="G108" s="103"/>
      <c r="H108" s="429"/>
      <c r="I108" s="429"/>
      <c r="J108" s="214">
        <f t="shared" si="26"/>
        <v>0</v>
      </c>
      <c r="K108" s="429"/>
      <c r="L108" s="429"/>
      <c r="M108" s="429"/>
      <c r="N108" s="214">
        <f t="shared" si="27"/>
        <v>0</v>
      </c>
      <c r="O108" s="449">
        <f>'Overall Metrics'!L113</f>
        <v>0</v>
      </c>
      <c r="P108" s="449">
        <f>'Overall Metrics'!M113</f>
        <v>0</v>
      </c>
      <c r="Q108" s="449">
        <f>'Overall Metrics'!N113</f>
        <v>0</v>
      </c>
      <c r="R108" s="449">
        <f t="shared" si="28"/>
        <v>0</v>
      </c>
      <c r="S108" s="180">
        <f t="shared" si="29"/>
        <v>0</v>
      </c>
      <c r="T108" s="449">
        <f t="shared" si="30"/>
        <v>0</v>
      </c>
      <c r="U108" s="449">
        <f t="shared" si="31"/>
        <v>0</v>
      </c>
      <c r="V108" s="450" t="str">
        <f t="shared" si="32"/>
        <v/>
      </c>
      <c r="W108" s="450" t="str">
        <f>IF(R108=0,"-",SUMIFS($R$2:R108,$A$2:A108,A108,$C$2:C108,C108)/SUMIFS($J$2:J108,$A$2:A108,A108,$C$2:C108,C108)-1)</f>
        <v>-</v>
      </c>
      <c r="X108" s="450" t="str">
        <f t="shared" si="33"/>
        <v/>
      </c>
      <c r="Y108" s="450" t="str">
        <f>IFERROR(IF(R108=0,"-",SUMIFS($R$2:R108,$A$2:A108,A108,$C$2:C108,C108)/SUMIFS($N$2:N108,$A$2:A108,A108,$C$2:C108,C108)-1),"")</f>
        <v>-</v>
      </c>
      <c r="Z108" s="269" t="str">
        <f>IF(R108=0,"",(S108/VLOOKUP(_xlfn.NUMBERVALUE(_xlfn.CONCAT(LEFT(F108,4),52)),$F$2:T315,COLUMNS($F$2:T315),FALSE)))</f>
        <v/>
      </c>
      <c r="AA108" s="269" t="str">
        <f>IFERROR(IF(R108=0,"",(S108/VLOOKUP(_xlfn.NUMBERVALUE(_xlfn.CONCAT(LEFT(F108,4),52)),$F$2:U315,COLUMNS($F$2:U315),FALSE))),"")</f>
        <v/>
      </c>
      <c r="AB108" s="268" t="str">
        <f t="shared" si="34"/>
        <v/>
      </c>
      <c r="AC108" s="450" t="str">
        <f t="shared" si="35"/>
        <v/>
      </c>
      <c r="AD108" s="450" t="str">
        <f t="shared" si="36"/>
        <v/>
      </c>
      <c r="AE108" s="269" t="str">
        <f t="shared" si="37"/>
        <v/>
      </c>
      <c r="AF108" s="268" t="str">
        <f t="shared" si="38"/>
        <v/>
      </c>
      <c r="AG108" s="450" t="str">
        <f t="shared" si="39"/>
        <v/>
      </c>
      <c r="AH108" s="450" t="str">
        <f t="shared" si="40"/>
        <v/>
      </c>
      <c r="AI108" s="269" t="str">
        <f t="shared" si="41"/>
        <v/>
      </c>
      <c r="AJ108" s="450" t="str">
        <f>IF(O108=0,"-",SUMIFS($O$2:O108,$A$2:A108,$A108,$F$2:F108,"&lt;="&amp;$F108)/SUMIFS($G$2:G108,$A$2:A108,$A108,$F$2:F108,"&lt;="&amp;$F108)-1)</f>
        <v>-</v>
      </c>
      <c r="AK108" s="450" t="str">
        <f>IF(P108=0,"-",SUMIFS($P$2:P108,$A$2:A108,$A108,$F$2:F108,"&lt;="&amp;$F108)/SUMIFS($H$2:H108,$A$2:A108,$A108,$F$2:F108,"&lt;="&amp;$F108)-1)</f>
        <v>-</v>
      </c>
      <c r="AL108" s="450" t="str">
        <f>IF(Q108=0,"-",SUMIFS($Q$2:Q108,$A$2:A108,$A108,$F$2:F108,"&lt;="&amp;$F108)/SUMIFS($I$2:I108,$A$2:A108,$A108,$F$2:F108,"&lt;="&amp;$F108)-1)</f>
        <v>-</v>
      </c>
      <c r="AM108" s="450" t="str">
        <f>IFERROR(IF(O108=0,"-",SUMIFS($O$2:O108,$A$2:A108,$A108,$F$2:F108,"&lt;="&amp;$F108)/SUMIFS($K$2:K108,$A$2:A108,$A108,$F$2:F108,"&lt;="&amp;$F108)-1),"")</f>
        <v>-</v>
      </c>
      <c r="AN108" s="450" t="str">
        <f>IFERROR(IF(P108=0,"-",SUMIFS($P$2:P108,$A$2:A108,$A108,$F$2:F108,"&lt;="&amp;$F108)/SUMIFS($L$2:L108,$A$2:A108,$A108,$F$2:F108,"&lt;="&amp;$F108)-1),"")</f>
        <v>-</v>
      </c>
      <c r="AO108" s="450" t="str">
        <f>IFERROR(IF(Q108=0,"-",SUMIFS($Q$2:Q108,$A$2:A108,$A108,$F$2:F108,"&lt;="&amp;$F108)/SUMIFS($M$2:M108,$A$2:A108,$A108,$F$2:F108,"&lt;="&amp;$F108)-1),"")</f>
        <v>-</v>
      </c>
      <c r="AP108" s="239"/>
      <c r="AQ108" s="452" t="str">
        <f>'Overall Metrics'!AO113</f>
        <v/>
      </c>
      <c r="AR108" s="450" t="str">
        <f t="shared" si="42"/>
        <v/>
      </c>
      <c r="AS108" s="453" t="str">
        <f>IFERROR(IF(R109=0,"-",AVERAGEIFS($AQ$2:AQ108,$A$2:A108,$A108,$F$2:F108,"&lt;="&amp;$F108)-AVERAGEIFS($AP$2:AP108,$A$2:A108,$A108,$F$2:F108,"&lt;="&amp;$F108)),"")</f>
        <v>-</v>
      </c>
      <c r="AT108" s="390" t="str">
        <f>IFERROR(IF(R109=0,"-",AVERAGEIFS($AQ$2:AQ108,$A$2:A108,A108,$C$2:C108,C108)-AVERAGEIFS($AP$2:AP108,$A$2:A108,A108,$C$2:C108,C108)),"")</f>
        <v>-</v>
      </c>
      <c r="AU108" s="819"/>
      <c r="AV108" s="452">
        <f>'Overall Metrics'!AS113</f>
        <v>-0.1</v>
      </c>
      <c r="AW108" s="450">
        <f t="shared" si="43"/>
        <v>-0.1</v>
      </c>
      <c r="AX108" s="453" t="str">
        <f>IFERROR(IF(R112=0,"-",AVERAGEIFS($AV$2:AV108,$A$2:A108,$A108,$F$2:F108,"&lt;="&amp;$F108)-AVERAGEIFS($AU$2:AU108,$A$2:A108,$A108,$F$2:F108,"&lt;="&amp;$F108)),"")</f>
        <v>-</v>
      </c>
      <c r="AY108" s="453" t="str">
        <f>IFERROR(IF(R112=0,"-",AVERAGEIFS($AV$2:AV108,$A$2:A108,A108,$C$2:C108,C108)-AVERAGEIFS($AU$2:AU108,$A$2:A108,A108,$C$2:C108,C108)),"")</f>
        <v>-</v>
      </c>
      <c r="AZ108" s="86"/>
      <c r="BA108" s="449">
        <f>'Glass Metrics'!AC113</f>
        <v>0</v>
      </c>
      <c r="BB108" s="450" t="str">
        <f t="shared" si="44"/>
        <v/>
      </c>
      <c r="BC108" s="450" t="str">
        <f>IFERROR(IF(R108=0,"-",AVERAGEIFS($BA$2:BA108,$A$2:A108,$A108,$F$2:F108,"&lt;="&amp;$F108)/AVERAGEIFS($AZ$2:AZ108,$A$2:A108,$A108,$F$2:F108,"&lt;="&amp;$F108)-1),"")</f>
        <v>-</v>
      </c>
      <c r="BD108" s="269" t="str">
        <f>IFERROR(IF(R108=0,"-",AVERAGEIFS($BA$2:BA108,$A$2:A108,A108,$C$2:C108,C108)/AVERAGEIFS($AZ$2:AZ108,$A$2:A108,A108,$C$2:C108,C108)-1),"")</f>
        <v>-</v>
      </c>
    </row>
    <row r="109" spans="1:56" ht="16.350000000000001" customHeight="1">
      <c r="A109" s="175">
        <f t="shared" si="23"/>
        <v>2023</v>
      </c>
      <c r="B109" s="447" t="str">
        <f t="shared" si="24"/>
        <v>04</v>
      </c>
      <c r="C109" s="447" t="str">
        <f t="array" ref="C109">_xlfn.IFS(_xlfn.NUMBERVALUE(B109)&lt;=13,"Q1",AND(_xlfn.NUMBERVALUE(B109)&gt;13,_xlfn.NUMBERVALUE(B109)&lt;=26),"Q2", AND(_xlfn.NUMBERVALUE(B109)&gt;26,_xlfn.NUMBERVALUE(B109)&lt;=39),"Q3",_xlfn.NUMBERVALUE(B109)&gt;39,"Q4")</f>
        <v>Q1</v>
      </c>
      <c r="D109" s="448">
        <f t="shared" si="45"/>
        <v>44611</v>
      </c>
      <c r="E109" s="448">
        <f t="shared" si="25"/>
        <v>44617</v>
      </c>
      <c r="F109" s="79">
        <v>202204</v>
      </c>
      <c r="G109" s="103"/>
      <c r="H109" s="429"/>
      <c r="I109" s="429"/>
      <c r="J109" s="214">
        <f t="shared" si="26"/>
        <v>0</v>
      </c>
      <c r="K109" s="429"/>
      <c r="L109" s="429"/>
      <c r="M109" s="429"/>
      <c r="N109" s="214">
        <f t="shared" si="27"/>
        <v>0</v>
      </c>
      <c r="O109" s="449">
        <f>'Overall Metrics'!L114</f>
        <v>0</v>
      </c>
      <c r="P109" s="449">
        <f>'Overall Metrics'!M114</f>
        <v>0</v>
      </c>
      <c r="Q109" s="449">
        <f>'Overall Metrics'!N114</f>
        <v>0</v>
      </c>
      <c r="R109" s="449">
        <f t="shared" si="28"/>
        <v>0</v>
      </c>
      <c r="S109" s="180">
        <f t="shared" si="29"/>
        <v>0</v>
      </c>
      <c r="T109" s="449">
        <f t="shared" si="30"/>
        <v>0</v>
      </c>
      <c r="U109" s="449">
        <f t="shared" si="31"/>
        <v>0</v>
      </c>
      <c r="V109" s="450" t="str">
        <f t="shared" si="32"/>
        <v/>
      </c>
      <c r="W109" s="450" t="str">
        <f>IF(R109=0,"-",SUMIFS($R$2:R109,$A$2:A109,A109,$C$2:C109,C109)/SUMIFS($J$2:J109,$A$2:A109,A109,$C$2:C109,C109)-1)</f>
        <v>-</v>
      </c>
      <c r="X109" s="450" t="str">
        <f t="shared" si="33"/>
        <v/>
      </c>
      <c r="Y109" s="450" t="str">
        <f>IFERROR(IF(R109=0,"-",SUMIFS($R$2:R109,$A$2:A109,A109,$C$2:C109,C109)/SUMIFS($N$2:N109,$A$2:A109,A109,$C$2:C109,C109)-1),"")</f>
        <v>-</v>
      </c>
      <c r="Z109" s="269" t="str">
        <f>IF(R109=0,"",(S109/VLOOKUP(_xlfn.NUMBERVALUE(_xlfn.CONCAT(LEFT(F109,4),52)),$F$2:T316,COLUMNS($F$2:T316),FALSE)))</f>
        <v/>
      </c>
      <c r="AA109" s="269" t="str">
        <f>IFERROR(IF(R109=0,"",(S109/VLOOKUP(_xlfn.NUMBERVALUE(_xlfn.CONCAT(LEFT(F109,4),52)),$F$2:U316,COLUMNS($F$2:U316),FALSE))),"")</f>
        <v/>
      </c>
      <c r="AB109" s="268" t="str">
        <f t="shared" si="34"/>
        <v/>
      </c>
      <c r="AC109" s="450" t="str">
        <f t="shared" si="35"/>
        <v/>
      </c>
      <c r="AD109" s="450" t="str">
        <f t="shared" si="36"/>
        <v/>
      </c>
      <c r="AE109" s="269" t="str">
        <f t="shared" si="37"/>
        <v/>
      </c>
      <c r="AF109" s="268" t="str">
        <f t="shared" si="38"/>
        <v/>
      </c>
      <c r="AG109" s="450" t="str">
        <f t="shared" si="39"/>
        <v/>
      </c>
      <c r="AH109" s="450" t="str">
        <f t="shared" si="40"/>
        <v/>
      </c>
      <c r="AI109" s="269" t="str">
        <f t="shared" si="41"/>
        <v/>
      </c>
      <c r="AJ109" s="450" t="str">
        <f>IF(O109=0,"-",SUMIFS($O$2:O109,$A$2:A109,$A109,$F$2:F109,"&lt;="&amp;$F109)/SUMIFS($G$2:G109,$A$2:A109,$A109,$F$2:F109,"&lt;="&amp;$F109)-1)</f>
        <v>-</v>
      </c>
      <c r="AK109" s="450" t="str">
        <f>IF(P109=0,"-",SUMIFS($P$2:P109,$A$2:A109,$A109,$F$2:F109,"&lt;="&amp;$F109)/SUMIFS($H$2:H109,$A$2:A109,$A109,$F$2:F109,"&lt;="&amp;$F109)-1)</f>
        <v>-</v>
      </c>
      <c r="AL109" s="450" t="str">
        <f>IF(Q109=0,"-",SUMIFS($Q$2:Q109,$A$2:A109,$A109,$F$2:F109,"&lt;="&amp;$F109)/SUMIFS($I$2:I109,$A$2:A109,$A109,$F$2:F109,"&lt;="&amp;$F109)-1)</f>
        <v>-</v>
      </c>
      <c r="AM109" s="450" t="str">
        <f>IFERROR(IF(O109=0,"-",SUMIFS($O$2:O109,$A$2:A109,$A109,$F$2:F109,"&lt;="&amp;$F109)/SUMIFS($K$2:K109,$A$2:A109,$A109,$F$2:F109,"&lt;="&amp;$F109)-1),"")</f>
        <v>-</v>
      </c>
      <c r="AN109" s="450" t="str">
        <f>IFERROR(IF(P109=0,"-",SUMIFS($P$2:P109,$A$2:A109,$A109,$F$2:F109,"&lt;="&amp;$F109)/SUMIFS($L$2:L109,$A$2:A109,$A109,$F$2:F109,"&lt;="&amp;$F109)-1),"")</f>
        <v>-</v>
      </c>
      <c r="AO109" s="450" t="str">
        <f>IFERROR(IF(Q109=0,"-",SUMIFS($Q$2:Q109,$A$2:A109,$A109,$F$2:F109,"&lt;="&amp;$F109)/SUMIFS($M$2:M109,$A$2:A109,$A109,$F$2:F109,"&lt;="&amp;$F109)-1),"")</f>
        <v>-</v>
      </c>
      <c r="AP109" s="239"/>
      <c r="AQ109" s="452" t="str">
        <f>'Overall Metrics'!AO114</f>
        <v/>
      </c>
      <c r="AR109" s="450" t="str">
        <f t="shared" si="42"/>
        <v/>
      </c>
      <c r="AS109" s="453" t="str">
        <f>IFERROR(IF(R110=0,"-",AVERAGEIFS($AQ$2:AQ109,$A$2:A109,$A109,$F$2:F109,"&lt;="&amp;$F109)-AVERAGEIFS($AP$2:AP109,$A$2:A109,$A109,$F$2:F109,"&lt;="&amp;$F109)),"")</f>
        <v>-</v>
      </c>
      <c r="AT109" s="390" t="str">
        <f>IFERROR(IF(R110=0,"-",AVERAGEIFS($AQ$2:AQ109,$A$2:A109,A109,$C$2:C109,C109)-AVERAGEIFS($AP$2:AP109,$A$2:A109,A109,$C$2:C109,C109)),"")</f>
        <v>-</v>
      </c>
      <c r="AU109" s="819"/>
      <c r="AV109" s="452">
        <f>'Overall Metrics'!AS114</f>
        <v>-0.1</v>
      </c>
      <c r="AW109" s="450">
        <f t="shared" si="43"/>
        <v>-0.1</v>
      </c>
      <c r="AX109" s="453" t="str">
        <f>IFERROR(IF(R113=0,"-",AVERAGEIFS($AV$2:AV109,$A$2:A109,$A109,$F$2:F109,"&lt;="&amp;$F109)-AVERAGEIFS($AU$2:AU109,$A$2:A109,$A109,$F$2:F109,"&lt;="&amp;$F109)),"")</f>
        <v>-</v>
      </c>
      <c r="AY109" s="453" t="str">
        <f>IFERROR(IF(R113=0,"-",AVERAGEIFS($AV$2:AV109,$A$2:A109,A109,$C$2:C109,C109)-AVERAGEIFS($AU$2:AU109,$A$2:A109,A109,$C$2:C109,C109)),"")</f>
        <v>-</v>
      </c>
      <c r="AZ109" s="86"/>
      <c r="BA109" s="449">
        <f>'Glass Metrics'!AC114</f>
        <v>0</v>
      </c>
      <c r="BB109" s="450" t="str">
        <f t="shared" si="44"/>
        <v/>
      </c>
      <c r="BC109" s="450" t="str">
        <f>IFERROR(IF(R109=0,"-",AVERAGEIFS($BA$2:BA109,$A$2:A109,$A109,$F$2:F109,"&lt;="&amp;$F109)/AVERAGEIFS($AZ$2:AZ109,$A$2:A109,$A109,$F$2:F109,"&lt;="&amp;$F109)-1),"")</f>
        <v>-</v>
      </c>
      <c r="BD109" s="269" t="str">
        <f>IFERROR(IF(R109=0,"-",AVERAGEIFS($BA$2:BA109,$A$2:A109,A109,$C$2:C109,C109)/AVERAGEIFS($AZ$2:AZ109,$A$2:A109,A109,$C$2:C109,C109)-1),"")</f>
        <v>-</v>
      </c>
    </row>
    <row r="110" spans="1:56" ht="16.350000000000001" customHeight="1">
      <c r="A110" s="175">
        <f t="shared" si="23"/>
        <v>2023</v>
      </c>
      <c r="B110" s="447" t="str">
        <f t="shared" si="24"/>
        <v>05</v>
      </c>
      <c r="C110" s="447" t="str">
        <f t="array" ref="C110">_xlfn.IFS(_xlfn.NUMBERVALUE(B110)&lt;=13,"Q1",AND(_xlfn.NUMBERVALUE(B110)&gt;13,_xlfn.NUMBERVALUE(B110)&lt;=26),"Q2", AND(_xlfn.NUMBERVALUE(B110)&gt;26,_xlfn.NUMBERVALUE(B110)&lt;=39),"Q3",_xlfn.NUMBERVALUE(B110)&gt;39,"Q4")</f>
        <v>Q1</v>
      </c>
      <c r="D110" s="448">
        <f t="shared" si="45"/>
        <v>44618</v>
      </c>
      <c r="E110" s="448">
        <f t="shared" si="25"/>
        <v>44624</v>
      </c>
      <c r="F110" s="79">
        <v>202205</v>
      </c>
      <c r="G110" s="103"/>
      <c r="H110" s="429"/>
      <c r="I110" s="429"/>
      <c r="J110" s="214">
        <f t="shared" si="26"/>
        <v>0</v>
      </c>
      <c r="K110" s="429"/>
      <c r="L110" s="429"/>
      <c r="M110" s="429"/>
      <c r="N110" s="214">
        <f t="shared" si="27"/>
        <v>0</v>
      </c>
      <c r="O110" s="449">
        <f>'Overall Metrics'!L115</f>
        <v>0</v>
      </c>
      <c r="P110" s="449">
        <f>'Overall Metrics'!M115</f>
        <v>0</v>
      </c>
      <c r="Q110" s="449">
        <f>'Overall Metrics'!N115</f>
        <v>0</v>
      </c>
      <c r="R110" s="449">
        <f t="shared" si="28"/>
        <v>0</v>
      </c>
      <c r="S110" s="180">
        <f t="shared" si="29"/>
        <v>0</v>
      </c>
      <c r="T110" s="449">
        <f t="shared" si="30"/>
        <v>0</v>
      </c>
      <c r="U110" s="449">
        <f t="shared" si="31"/>
        <v>0</v>
      </c>
      <c r="V110" s="450" t="str">
        <f t="shared" si="32"/>
        <v/>
      </c>
      <c r="W110" s="450" t="str">
        <f>IF(R110=0,"-",SUMIFS($R$2:R110,$A$2:A110,A110,$C$2:C110,C110)/SUMIFS($J$2:J110,$A$2:A110,A110,$C$2:C110,C110)-1)</f>
        <v>-</v>
      </c>
      <c r="X110" s="450" t="str">
        <f t="shared" si="33"/>
        <v/>
      </c>
      <c r="Y110" s="450" t="str">
        <f>IFERROR(IF(R110=0,"-",SUMIFS($R$2:R110,$A$2:A110,A110,$C$2:C110,C110)/SUMIFS($N$2:N110,$A$2:A110,A110,$C$2:C110,C110)-1),"")</f>
        <v>-</v>
      </c>
      <c r="Z110" s="269" t="str">
        <f>IF(R110=0,"",(S110/VLOOKUP(_xlfn.NUMBERVALUE(_xlfn.CONCAT(LEFT(F110,4),52)),$F$2:T317,COLUMNS($F$2:T317),FALSE)))</f>
        <v/>
      </c>
      <c r="AA110" s="269" t="str">
        <f>IFERROR(IF(R110=0,"",(S110/VLOOKUP(_xlfn.NUMBERVALUE(_xlfn.CONCAT(LEFT(F110,4),52)),$F$2:U317,COLUMNS($F$2:U317),FALSE))),"")</f>
        <v/>
      </c>
      <c r="AB110" s="268" t="str">
        <f t="shared" si="34"/>
        <v/>
      </c>
      <c r="AC110" s="450" t="str">
        <f t="shared" si="35"/>
        <v/>
      </c>
      <c r="AD110" s="450" t="str">
        <f t="shared" si="36"/>
        <v/>
      </c>
      <c r="AE110" s="269" t="str">
        <f t="shared" si="37"/>
        <v/>
      </c>
      <c r="AF110" s="268" t="str">
        <f t="shared" si="38"/>
        <v/>
      </c>
      <c r="AG110" s="450" t="str">
        <f t="shared" si="39"/>
        <v/>
      </c>
      <c r="AH110" s="450" t="str">
        <f t="shared" si="40"/>
        <v/>
      </c>
      <c r="AI110" s="269" t="str">
        <f t="shared" si="41"/>
        <v/>
      </c>
      <c r="AJ110" s="450" t="str">
        <f>IF(O110=0,"-",SUMIFS($O$2:O110,$A$2:A110,$A110,$F$2:F110,"&lt;="&amp;$F110)/SUMIFS($G$2:G110,$A$2:A110,$A110,$F$2:F110,"&lt;="&amp;$F110)-1)</f>
        <v>-</v>
      </c>
      <c r="AK110" s="450" t="str">
        <f>IF(P110=0,"-",SUMIFS($P$2:P110,$A$2:A110,$A110,$F$2:F110,"&lt;="&amp;$F110)/SUMIFS($H$2:H110,$A$2:A110,$A110,$F$2:F110,"&lt;="&amp;$F110)-1)</f>
        <v>-</v>
      </c>
      <c r="AL110" s="450" t="str">
        <f>IF(Q110=0,"-",SUMIFS($Q$2:Q110,$A$2:A110,$A110,$F$2:F110,"&lt;="&amp;$F110)/SUMIFS($I$2:I110,$A$2:A110,$A110,$F$2:F110,"&lt;="&amp;$F110)-1)</f>
        <v>-</v>
      </c>
      <c r="AM110" s="450" t="str">
        <f>IFERROR(IF(O110=0,"-",SUMIFS($O$2:O110,$A$2:A110,$A110,$F$2:F110,"&lt;="&amp;$F110)/SUMIFS($K$2:K110,$A$2:A110,$A110,$F$2:F110,"&lt;="&amp;$F110)-1),"")</f>
        <v>-</v>
      </c>
      <c r="AN110" s="450" t="str">
        <f>IFERROR(IF(P110=0,"-",SUMIFS($P$2:P110,$A$2:A110,$A110,$F$2:F110,"&lt;="&amp;$F110)/SUMIFS($L$2:L110,$A$2:A110,$A110,$F$2:F110,"&lt;="&amp;$F110)-1),"")</f>
        <v>-</v>
      </c>
      <c r="AO110" s="450" t="str">
        <f>IFERROR(IF(Q110=0,"-",SUMIFS($Q$2:Q110,$A$2:A110,$A110,$F$2:F110,"&lt;="&amp;$F110)/SUMIFS($M$2:M110,$A$2:A110,$A110,$F$2:F110,"&lt;="&amp;$F110)-1),"")</f>
        <v>-</v>
      </c>
      <c r="AP110" s="239"/>
      <c r="AQ110" s="452" t="str">
        <f>'Overall Metrics'!AO115</f>
        <v/>
      </c>
      <c r="AR110" s="450" t="str">
        <f t="shared" si="42"/>
        <v/>
      </c>
      <c r="AS110" s="453" t="str">
        <f>IFERROR(IF(R111=0,"-",AVERAGEIFS($AQ$2:AQ110,$A$2:A110,$A110,$F$2:F110,"&lt;="&amp;$F110)-AVERAGEIFS($AP$2:AP110,$A$2:A110,$A110,$F$2:F110,"&lt;="&amp;$F110)),"")</f>
        <v>-</v>
      </c>
      <c r="AT110" s="390" t="str">
        <f>IFERROR(IF(R111=0,"-",AVERAGEIFS($AQ$2:AQ110,$A$2:A110,A110,$C$2:C110,C110)-AVERAGEIFS($AP$2:AP110,$A$2:A110,A110,$C$2:C110,C110)),"")</f>
        <v>-</v>
      </c>
      <c r="AU110" s="819"/>
      <c r="AV110" s="452">
        <f>'Overall Metrics'!AS115</f>
        <v>-0.1</v>
      </c>
      <c r="AW110" s="450">
        <f t="shared" si="43"/>
        <v>-0.1</v>
      </c>
      <c r="AX110" s="453" t="str">
        <f>IFERROR(IF(R114=0,"-",AVERAGEIFS($AV$2:AV110,$A$2:A110,$A110,$F$2:F110,"&lt;="&amp;$F110)-AVERAGEIFS($AU$2:AU110,$A$2:A110,$A110,$F$2:F110,"&lt;="&amp;$F110)),"")</f>
        <v>-</v>
      </c>
      <c r="AY110" s="453" t="str">
        <f>IFERROR(IF(R114=0,"-",AVERAGEIFS($AV$2:AV110,$A$2:A110,A110,$C$2:C110,C110)-AVERAGEIFS($AU$2:AU110,$A$2:A110,A110,$C$2:C110,C110)),"")</f>
        <v>-</v>
      </c>
      <c r="AZ110" s="86"/>
      <c r="BA110" s="449">
        <f>'Glass Metrics'!AC115</f>
        <v>0</v>
      </c>
      <c r="BB110" s="450" t="str">
        <f t="shared" si="44"/>
        <v/>
      </c>
      <c r="BC110" s="450" t="str">
        <f>IFERROR(IF(R110=0,"-",AVERAGEIFS($BA$2:BA110,$A$2:A110,$A110,$F$2:F110,"&lt;="&amp;$F110)/AVERAGEIFS($AZ$2:AZ110,$A$2:A110,$A110,$F$2:F110,"&lt;="&amp;$F110)-1),"")</f>
        <v>-</v>
      </c>
      <c r="BD110" s="269" t="str">
        <f>IFERROR(IF(R110=0,"-",AVERAGEIFS($BA$2:BA110,$A$2:A110,A110,$C$2:C110,C110)/AVERAGEIFS($AZ$2:AZ110,$A$2:A110,A110,$C$2:C110,C110)-1),"")</f>
        <v>-</v>
      </c>
    </row>
    <row r="111" spans="1:56" ht="16.350000000000001" customHeight="1">
      <c r="A111" s="175">
        <f t="shared" si="23"/>
        <v>2023</v>
      </c>
      <c r="B111" s="447" t="str">
        <f t="shared" si="24"/>
        <v>06</v>
      </c>
      <c r="C111" s="447" t="str">
        <f t="array" ref="C111">_xlfn.IFS(_xlfn.NUMBERVALUE(B111)&lt;=13,"Q1",AND(_xlfn.NUMBERVALUE(B111)&gt;13,_xlfn.NUMBERVALUE(B111)&lt;=26),"Q2", AND(_xlfn.NUMBERVALUE(B111)&gt;26,_xlfn.NUMBERVALUE(B111)&lt;=39),"Q3",_xlfn.NUMBERVALUE(B111)&gt;39,"Q4")</f>
        <v>Q1</v>
      </c>
      <c r="D111" s="448">
        <f t="shared" si="45"/>
        <v>44625</v>
      </c>
      <c r="E111" s="448">
        <f t="shared" si="25"/>
        <v>44631</v>
      </c>
      <c r="F111" s="79">
        <v>202206</v>
      </c>
      <c r="G111" s="103"/>
      <c r="H111" s="429"/>
      <c r="I111" s="429"/>
      <c r="J111" s="214">
        <f t="shared" si="26"/>
        <v>0</v>
      </c>
      <c r="K111" s="429"/>
      <c r="L111" s="429"/>
      <c r="M111" s="429"/>
      <c r="N111" s="214">
        <f t="shared" si="27"/>
        <v>0</v>
      </c>
      <c r="O111" s="449">
        <f>'Overall Metrics'!L116</f>
        <v>0</v>
      </c>
      <c r="P111" s="449">
        <f>'Overall Metrics'!M116</f>
        <v>0</v>
      </c>
      <c r="Q111" s="449">
        <f>'Overall Metrics'!N116</f>
        <v>0</v>
      </c>
      <c r="R111" s="449">
        <f t="shared" si="28"/>
        <v>0</v>
      </c>
      <c r="S111" s="180">
        <f t="shared" si="29"/>
        <v>0</v>
      </c>
      <c r="T111" s="449">
        <f t="shared" si="30"/>
        <v>0</v>
      </c>
      <c r="U111" s="449">
        <f t="shared" si="31"/>
        <v>0</v>
      </c>
      <c r="V111" s="450" t="str">
        <f t="shared" si="32"/>
        <v/>
      </c>
      <c r="W111" s="450" t="str">
        <f>IF(R111=0,"-",SUMIFS($R$2:R111,$A$2:A111,A111,$C$2:C111,C111)/SUMIFS($J$2:J111,$A$2:A111,A111,$C$2:C111,C111)-1)</f>
        <v>-</v>
      </c>
      <c r="X111" s="450" t="str">
        <f t="shared" si="33"/>
        <v/>
      </c>
      <c r="Y111" s="450" t="str">
        <f>IFERROR(IF(R111=0,"-",SUMIFS($R$2:R111,$A$2:A111,A111,$C$2:C111,C111)/SUMIFS($N$2:N111,$A$2:A111,A111,$C$2:C111,C111)-1),"")</f>
        <v>-</v>
      </c>
      <c r="Z111" s="269" t="str">
        <f>IF(R111=0,"",(S111/VLOOKUP(_xlfn.NUMBERVALUE(_xlfn.CONCAT(LEFT(F111,4),52)),$F$2:T318,COLUMNS($F$2:T318),FALSE)))</f>
        <v/>
      </c>
      <c r="AA111" s="269" t="str">
        <f>IFERROR(IF(R111=0,"",(S111/VLOOKUP(_xlfn.NUMBERVALUE(_xlfn.CONCAT(LEFT(F111,4),52)),$F$2:U318,COLUMNS($F$2:U318),FALSE))),"")</f>
        <v/>
      </c>
      <c r="AB111" s="268" t="str">
        <f t="shared" si="34"/>
        <v/>
      </c>
      <c r="AC111" s="450" t="str">
        <f t="shared" si="35"/>
        <v/>
      </c>
      <c r="AD111" s="450" t="str">
        <f t="shared" si="36"/>
        <v/>
      </c>
      <c r="AE111" s="269" t="str">
        <f t="shared" si="37"/>
        <v/>
      </c>
      <c r="AF111" s="268" t="str">
        <f t="shared" si="38"/>
        <v/>
      </c>
      <c r="AG111" s="450" t="str">
        <f t="shared" si="39"/>
        <v/>
      </c>
      <c r="AH111" s="450" t="str">
        <f t="shared" si="40"/>
        <v/>
      </c>
      <c r="AI111" s="269" t="str">
        <f t="shared" si="41"/>
        <v/>
      </c>
      <c r="AJ111" s="450" t="str">
        <f>IF(O111=0,"-",SUMIFS($O$2:O111,$A$2:A111,$A111,$F$2:F111,"&lt;="&amp;$F111)/SUMIFS($G$2:G111,$A$2:A111,$A111,$F$2:F111,"&lt;="&amp;$F111)-1)</f>
        <v>-</v>
      </c>
      <c r="AK111" s="450" t="str">
        <f>IF(P111=0,"-",SUMIFS($P$2:P111,$A$2:A111,$A111,$F$2:F111,"&lt;="&amp;$F111)/SUMIFS($H$2:H111,$A$2:A111,$A111,$F$2:F111,"&lt;="&amp;$F111)-1)</f>
        <v>-</v>
      </c>
      <c r="AL111" s="450" t="str">
        <f>IF(Q111=0,"-",SUMIFS($Q$2:Q111,$A$2:A111,$A111,$F$2:F111,"&lt;="&amp;$F111)/SUMIFS($I$2:I111,$A$2:A111,$A111,$F$2:F111,"&lt;="&amp;$F111)-1)</f>
        <v>-</v>
      </c>
      <c r="AM111" s="450" t="str">
        <f>IFERROR(IF(O111=0,"-",SUMIFS($O$2:O111,$A$2:A111,$A111,$F$2:F111,"&lt;="&amp;$F111)/SUMIFS($K$2:K111,$A$2:A111,$A111,$F$2:F111,"&lt;="&amp;$F111)-1),"")</f>
        <v>-</v>
      </c>
      <c r="AN111" s="450" t="str">
        <f>IFERROR(IF(P111=0,"-",SUMIFS($P$2:P111,$A$2:A111,$A111,$F$2:F111,"&lt;="&amp;$F111)/SUMIFS($L$2:L111,$A$2:A111,$A111,$F$2:F111,"&lt;="&amp;$F111)-1),"")</f>
        <v>-</v>
      </c>
      <c r="AO111" s="450" t="str">
        <f>IFERROR(IF(Q111=0,"-",SUMIFS($Q$2:Q111,$A$2:A111,$A111,$F$2:F111,"&lt;="&amp;$F111)/SUMIFS($M$2:M111,$A$2:A111,$A111,$F$2:F111,"&lt;="&amp;$F111)-1),"")</f>
        <v>-</v>
      </c>
      <c r="AP111" s="239"/>
      <c r="AQ111" s="452" t="str">
        <f>'Overall Metrics'!AO116</f>
        <v/>
      </c>
      <c r="AR111" s="450" t="str">
        <f t="shared" si="42"/>
        <v/>
      </c>
      <c r="AS111" s="453" t="str">
        <f>IFERROR(IF(R112=0,"-",AVERAGEIFS($AQ$2:AQ111,$A$2:A111,$A111,$F$2:F111,"&lt;="&amp;$F111)-AVERAGEIFS($AP$2:AP111,$A$2:A111,$A111,$F$2:F111,"&lt;="&amp;$F111)),"")</f>
        <v>-</v>
      </c>
      <c r="AT111" s="390" t="str">
        <f>IFERROR(IF(R112=0,"-",AVERAGEIFS($AQ$2:AQ111,$A$2:A111,A111,$C$2:C111,C111)-AVERAGEIFS($AP$2:AP111,$A$2:A111,A111,$C$2:C111,C111)),"")</f>
        <v>-</v>
      </c>
      <c r="AU111" s="819"/>
      <c r="AV111" s="452">
        <f>'Overall Metrics'!AS116</f>
        <v>-0.1</v>
      </c>
      <c r="AW111" s="450">
        <f t="shared" si="43"/>
        <v>-0.1</v>
      </c>
      <c r="AX111" s="453" t="str">
        <f>IFERROR(IF(R115=0,"-",AVERAGEIFS($AV$2:AV111,$A$2:A111,$A111,$F$2:F111,"&lt;="&amp;$F111)-AVERAGEIFS($AU$2:AU111,$A$2:A111,$A111,$F$2:F111,"&lt;="&amp;$F111)),"")</f>
        <v>-</v>
      </c>
      <c r="AY111" s="453" t="str">
        <f>IFERROR(IF(R115=0,"-",AVERAGEIFS($AV$2:AV111,$A$2:A111,A111,$C$2:C111,C111)-AVERAGEIFS($AU$2:AU111,$A$2:A111,A111,$C$2:C111,C111)),"")</f>
        <v>-</v>
      </c>
      <c r="AZ111" s="86"/>
      <c r="BA111" s="449">
        <f>'Glass Metrics'!AC116</f>
        <v>0</v>
      </c>
      <c r="BB111" s="450" t="str">
        <f t="shared" si="44"/>
        <v/>
      </c>
      <c r="BC111" s="450" t="str">
        <f>IFERROR(IF(R111=0,"-",AVERAGEIFS($BA$2:BA111,$A$2:A111,$A111,$F$2:F111,"&lt;="&amp;$F111)/AVERAGEIFS($AZ$2:AZ111,$A$2:A111,$A111,$F$2:F111,"&lt;="&amp;$F111)-1),"")</f>
        <v>-</v>
      </c>
      <c r="BD111" s="269" t="str">
        <f>IFERROR(IF(R111=0,"-",AVERAGEIFS($BA$2:BA111,$A$2:A111,A111,$C$2:C111,C111)/AVERAGEIFS($AZ$2:AZ111,$A$2:A111,A111,$C$2:C111,C111)-1),"")</f>
        <v>-</v>
      </c>
    </row>
    <row r="112" spans="1:56" ht="16.350000000000001" customHeight="1">
      <c r="A112" s="175">
        <f t="shared" si="23"/>
        <v>2023</v>
      </c>
      <c r="B112" s="447" t="str">
        <f t="shared" si="24"/>
        <v>07</v>
      </c>
      <c r="C112" s="447" t="str">
        <f t="array" ref="C112">_xlfn.IFS(_xlfn.NUMBERVALUE(B112)&lt;=13,"Q1",AND(_xlfn.NUMBERVALUE(B112)&gt;13,_xlfn.NUMBERVALUE(B112)&lt;=26),"Q2", AND(_xlfn.NUMBERVALUE(B112)&gt;26,_xlfn.NUMBERVALUE(B112)&lt;=39),"Q3",_xlfn.NUMBERVALUE(B112)&gt;39,"Q4")</f>
        <v>Q1</v>
      </c>
      <c r="D112" s="448">
        <f t="shared" si="45"/>
        <v>44632</v>
      </c>
      <c r="E112" s="448">
        <f t="shared" si="25"/>
        <v>44638</v>
      </c>
      <c r="F112" s="79">
        <v>202207</v>
      </c>
      <c r="G112" s="103"/>
      <c r="H112" s="429"/>
      <c r="I112" s="429"/>
      <c r="J112" s="214">
        <f t="shared" si="26"/>
        <v>0</v>
      </c>
      <c r="K112" s="429"/>
      <c r="L112" s="429"/>
      <c r="M112" s="429"/>
      <c r="N112" s="214">
        <f t="shared" si="27"/>
        <v>0</v>
      </c>
      <c r="O112" s="449">
        <f>'Overall Metrics'!L117</f>
        <v>0</v>
      </c>
      <c r="P112" s="449">
        <f>'Overall Metrics'!M117</f>
        <v>0</v>
      </c>
      <c r="Q112" s="449">
        <f>'Overall Metrics'!N117</f>
        <v>0</v>
      </c>
      <c r="R112" s="449">
        <f t="shared" si="28"/>
        <v>0</v>
      </c>
      <c r="S112" s="180">
        <f t="shared" si="29"/>
        <v>0</v>
      </c>
      <c r="T112" s="449">
        <f t="shared" si="30"/>
        <v>0</v>
      </c>
      <c r="U112" s="449">
        <f t="shared" si="31"/>
        <v>0</v>
      </c>
      <c r="V112" s="450" t="str">
        <f t="shared" si="32"/>
        <v/>
      </c>
      <c r="W112" s="450" t="str">
        <f>IF(R112=0,"-",SUMIFS($R$2:R112,$A$2:A112,A112,$C$2:C112,C112)/SUMIFS($J$2:J112,$A$2:A112,A112,$C$2:C112,C112)-1)</f>
        <v>-</v>
      </c>
      <c r="X112" s="450" t="str">
        <f t="shared" si="33"/>
        <v/>
      </c>
      <c r="Y112" s="450" t="str">
        <f>IFERROR(IF(R112=0,"-",SUMIFS($R$2:R112,$A$2:A112,A112,$C$2:C112,C112)/SUMIFS($N$2:N112,$A$2:A112,A112,$C$2:C112,C112)-1),"")</f>
        <v>-</v>
      </c>
      <c r="Z112" s="269" t="str">
        <f>IF(R112=0,"",(S112/VLOOKUP(_xlfn.NUMBERVALUE(_xlfn.CONCAT(LEFT(F112,4),52)),$F$2:T319,COLUMNS($F$2:T319),FALSE)))</f>
        <v/>
      </c>
      <c r="AA112" s="269" t="str">
        <f>IFERROR(IF(R112=0,"",(S112/VLOOKUP(_xlfn.NUMBERVALUE(_xlfn.CONCAT(LEFT(F112,4),52)),$F$2:U319,COLUMNS($F$2:U319),FALSE))),"")</f>
        <v/>
      </c>
      <c r="AB112" s="268" t="str">
        <f t="shared" si="34"/>
        <v/>
      </c>
      <c r="AC112" s="450" t="str">
        <f t="shared" si="35"/>
        <v/>
      </c>
      <c r="AD112" s="450" t="str">
        <f t="shared" si="36"/>
        <v/>
      </c>
      <c r="AE112" s="269" t="str">
        <f t="shared" si="37"/>
        <v/>
      </c>
      <c r="AF112" s="268" t="str">
        <f t="shared" si="38"/>
        <v/>
      </c>
      <c r="AG112" s="450" t="str">
        <f t="shared" si="39"/>
        <v/>
      </c>
      <c r="AH112" s="450" t="str">
        <f t="shared" si="40"/>
        <v/>
      </c>
      <c r="AI112" s="269" t="str">
        <f t="shared" si="41"/>
        <v/>
      </c>
      <c r="AJ112" s="450" t="str">
        <f>IF(O112=0,"-",SUMIFS($O$2:O112,$A$2:A112,$A112,$F$2:F112,"&lt;="&amp;$F112)/SUMIFS($G$2:G112,$A$2:A112,$A112,$F$2:F112,"&lt;="&amp;$F112)-1)</f>
        <v>-</v>
      </c>
      <c r="AK112" s="450" t="str">
        <f>IF(P112=0,"-",SUMIFS($P$2:P112,$A$2:A112,$A112,$F$2:F112,"&lt;="&amp;$F112)/SUMIFS($H$2:H112,$A$2:A112,$A112,$F$2:F112,"&lt;="&amp;$F112)-1)</f>
        <v>-</v>
      </c>
      <c r="AL112" s="450" t="str">
        <f>IF(Q112=0,"-",SUMIFS($Q$2:Q112,$A$2:A112,$A112,$F$2:F112,"&lt;="&amp;$F112)/SUMIFS($I$2:I112,$A$2:A112,$A112,$F$2:F112,"&lt;="&amp;$F112)-1)</f>
        <v>-</v>
      </c>
      <c r="AM112" s="450" t="str">
        <f>IFERROR(IF(O112=0,"-",SUMIFS($O$2:O112,$A$2:A112,$A112,$F$2:F112,"&lt;="&amp;$F112)/SUMIFS($K$2:K112,$A$2:A112,$A112,$F$2:F112,"&lt;="&amp;$F112)-1),"")</f>
        <v>-</v>
      </c>
      <c r="AN112" s="450" t="str">
        <f>IFERROR(IF(P112=0,"-",SUMIFS($P$2:P112,$A$2:A112,$A112,$F$2:F112,"&lt;="&amp;$F112)/SUMIFS($L$2:L112,$A$2:A112,$A112,$F$2:F112,"&lt;="&amp;$F112)-1),"")</f>
        <v>-</v>
      </c>
      <c r="AO112" s="450" t="str">
        <f>IFERROR(IF(Q112=0,"-",SUMIFS($Q$2:Q112,$A$2:A112,$A112,$F$2:F112,"&lt;="&amp;$F112)/SUMIFS($M$2:M112,$A$2:A112,$A112,$F$2:F112,"&lt;="&amp;$F112)-1),"")</f>
        <v>-</v>
      </c>
      <c r="AP112" s="239"/>
      <c r="AQ112" s="452" t="str">
        <f>'Overall Metrics'!AO117</f>
        <v/>
      </c>
      <c r="AR112" s="450" t="str">
        <f t="shared" si="42"/>
        <v/>
      </c>
      <c r="AS112" s="453" t="str">
        <f>IFERROR(IF(R113=0,"-",AVERAGEIFS($AQ$2:AQ112,$A$2:A112,$A112,$F$2:F112,"&lt;="&amp;$F112)-AVERAGEIFS($AP$2:AP112,$A$2:A112,$A112,$F$2:F112,"&lt;="&amp;$F112)),"")</f>
        <v>-</v>
      </c>
      <c r="AT112" s="390" t="str">
        <f>IFERROR(IF(R113=0,"-",AVERAGEIFS($AQ$2:AQ112,$A$2:A112,A112,$C$2:C112,C112)-AVERAGEIFS($AP$2:AP112,$A$2:A112,A112,$C$2:C112,C112)),"")</f>
        <v>-</v>
      </c>
      <c r="AU112" s="819"/>
      <c r="AV112" s="452">
        <f>'Overall Metrics'!AS117</f>
        <v>-0.1</v>
      </c>
      <c r="AW112" s="450">
        <f t="shared" si="43"/>
        <v>-0.1</v>
      </c>
      <c r="AX112" s="453" t="str">
        <f>IFERROR(IF(R116=0,"-",AVERAGEIFS($AV$2:AV112,$A$2:A112,$A112,$F$2:F112,"&lt;="&amp;$F112)-AVERAGEIFS($AU$2:AU112,$A$2:A112,$A112,$F$2:F112,"&lt;="&amp;$F112)),"")</f>
        <v>-</v>
      </c>
      <c r="AY112" s="453" t="str">
        <f>IFERROR(IF(R116=0,"-",AVERAGEIFS($AV$2:AV112,$A$2:A112,A112,$C$2:C112,C112)-AVERAGEIFS($AU$2:AU112,$A$2:A112,A112,$C$2:C112,C112)),"")</f>
        <v>-</v>
      </c>
      <c r="AZ112" s="86"/>
      <c r="BA112" s="449">
        <f>'Glass Metrics'!AC117</f>
        <v>0</v>
      </c>
      <c r="BB112" s="450" t="str">
        <f t="shared" si="44"/>
        <v/>
      </c>
      <c r="BC112" s="450" t="str">
        <f>IFERROR(IF(R112=0,"-",AVERAGEIFS($BA$2:BA112,$A$2:A112,$A112,$F$2:F112,"&lt;="&amp;$F112)/AVERAGEIFS($AZ$2:AZ112,$A$2:A112,$A112,$F$2:F112,"&lt;="&amp;$F112)-1),"")</f>
        <v>-</v>
      </c>
      <c r="BD112" s="269" t="str">
        <f>IFERROR(IF(R112=0,"-",AVERAGEIFS($BA$2:BA112,$A$2:A112,A112,$C$2:C112,C112)/AVERAGEIFS($AZ$2:AZ112,$A$2:A112,A112,$C$2:C112,C112)-1),"")</f>
        <v>-</v>
      </c>
    </row>
    <row r="113" spans="1:56" ht="16.350000000000001" customHeight="1">
      <c r="A113" s="175">
        <f t="shared" si="23"/>
        <v>2023</v>
      </c>
      <c r="B113" s="447" t="str">
        <f t="shared" si="24"/>
        <v>08</v>
      </c>
      <c r="C113" s="447" t="str">
        <f t="array" ref="C113">_xlfn.IFS(_xlfn.NUMBERVALUE(B113)&lt;=13,"Q1",AND(_xlfn.NUMBERVALUE(B113)&gt;13,_xlfn.NUMBERVALUE(B113)&lt;=26),"Q2", AND(_xlfn.NUMBERVALUE(B113)&gt;26,_xlfn.NUMBERVALUE(B113)&lt;=39),"Q3",_xlfn.NUMBERVALUE(B113)&gt;39,"Q4")</f>
        <v>Q1</v>
      </c>
      <c r="D113" s="448">
        <f t="shared" si="45"/>
        <v>44639</v>
      </c>
      <c r="E113" s="448">
        <f t="shared" si="25"/>
        <v>44645</v>
      </c>
      <c r="F113" s="79">
        <v>202208</v>
      </c>
      <c r="G113" s="103"/>
      <c r="H113" s="429"/>
      <c r="I113" s="429"/>
      <c r="J113" s="214">
        <f t="shared" si="26"/>
        <v>0</v>
      </c>
      <c r="K113" s="429"/>
      <c r="L113" s="429"/>
      <c r="M113" s="429"/>
      <c r="N113" s="214">
        <f t="shared" si="27"/>
        <v>0</v>
      </c>
      <c r="O113" s="449">
        <f>'Overall Metrics'!L118</f>
        <v>0</v>
      </c>
      <c r="P113" s="449">
        <f>'Overall Metrics'!M118</f>
        <v>0</v>
      </c>
      <c r="Q113" s="449">
        <f>'Overall Metrics'!N118</f>
        <v>0</v>
      </c>
      <c r="R113" s="449">
        <f t="shared" si="28"/>
        <v>0</v>
      </c>
      <c r="S113" s="180">
        <f t="shared" si="29"/>
        <v>0</v>
      </c>
      <c r="T113" s="449">
        <f t="shared" si="30"/>
        <v>0</v>
      </c>
      <c r="U113" s="449">
        <f t="shared" si="31"/>
        <v>0</v>
      </c>
      <c r="V113" s="450" t="str">
        <f t="shared" si="32"/>
        <v/>
      </c>
      <c r="W113" s="450" t="str">
        <f>IF(R113=0,"-",SUMIFS($R$2:R113,$A$2:A113,A113,$C$2:C113,C113)/SUMIFS($J$2:J113,$A$2:A113,A113,$C$2:C113,C113)-1)</f>
        <v>-</v>
      </c>
      <c r="X113" s="450" t="str">
        <f t="shared" si="33"/>
        <v/>
      </c>
      <c r="Y113" s="450" t="str">
        <f>IFERROR(IF(R113=0,"-",SUMIFS($R$2:R113,$A$2:A113,A113,$C$2:C113,C113)/SUMIFS($N$2:N113,$A$2:A113,A113,$C$2:C113,C113)-1),"")</f>
        <v>-</v>
      </c>
      <c r="Z113" s="269" t="str">
        <f>IF(R113=0,"",(S113/VLOOKUP(_xlfn.NUMBERVALUE(_xlfn.CONCAT(LEFT(F113,4),52)),$F$2:T320,COLUMNS($F$2:T320),FALSE)))</f>
        <v/>
      </c>
      <c r="AA113" s="269" t="str">
        <f>IFERROR(IF(R113=0,"",(S113/VLOOKUP(_xlfn.NUMBERVALUE(_xlfn.CONCAT(LEFT(F113,4),52)),$F$2:U320,COLUMNS($F$2:U320),FALSE))),"")</f>
        <v/>
      </c>
      <c r="AB113" s="268" t="str">
        <f t="shared" si="34"/>
        <v/>
      </c>
      <c r="AC113" s="450" t="str">
        <f t="shared" si="35"/>
        <v/>
      </c>
      <c r="AD113" s="450" t="str">
        <f t="shared" si="36"/>
        <v/>
      </c>
      <c r="AE113" s="269" t="str">
        <f t="shared" si="37"/>
        <v/>
      </c>
      <c r="AF113" s="268" t="str">
        <f t="shared" si="38"/>
        <v/>
      </c>
      <c r="AG113" s="450" t="str">
        <f t="shared" si="39"/>
        <v/>
      </c>
      <c r="AH113" s="450" t="str">
        <f t="shared" si="40"/>
        <v/>
      </c>
      <c r="AI113" s="269" t="str">
        <f t="shared" si="41"/>
        <v/>
      </c>
      <c r="AJ113" s="450" t="str">
        <f>IF(O113=0,"-",SUMIFS($O$2:O113,$A$2:A113,$A113,$F$2:F113,"&lt;="&amp;$F113)/SUMIFS($G$2:G113,$A$2:A113,$A113,$F$2:F113,"&lt;="&amp;$F113)-1)</f>
        <v>-</v>
      </c>
      <c r="AK113" s="450" t="str">
        <f>IF(P113=0,"-",SUMIFS($P$2:P113,$A$2:A113,$A113,$F$2:F113,"&lt;="&amp;$F113)/SUMIFS($H$2:H113,$A$2:A113,$A113,$F$2:F113,"&lt;="&amp;$F113)-1)</f>
        <v>-</v>
      </c>
      <c r="AL113" s="450" t="str">
        <f>IF(Q113=0,"-",SUMIFS($Q$2:Q113,$A$2:A113,$A113,$F$2:F113,"&lt;="&amp;$F113)/SUMIFS($I$2:I113,$A$2:A113,$A113,$F$2:F113,"&lt;="&amp;$F113)-1)</f>
        <v>-</v>
      </c>
      <c r="AM113" s="450" t="str">
        <f>IFERROR(IF(O113=0,"-",SUMIFS($O$2:O113,$A$2:A113,$A113,$F$2:F113,"&lt;="&amp;$F113)/SUMIFS($K$2:K113,$A$2:A113,$A113,$F$2:F113,"&lt;="&amp;$F113)-1),"")</f>
        <v>-</v>
      </c>
      <c r="AN113" s="450" t="str">
        <f>IFERROR(IF(P113=0,"-",SUMIFS($P$2:P113,$A$2:A113,$A113,$F$2:F113,"&lt;="&amp;$F113)/SUMIFS($L$2:L113,$A$2:A113,$A113,$F$2:F113,"&lt;="&amp;$F113)-1),"")</f>
        <v>-</v>
      </c>
      <c r="AO113" s="450" t="str">
        <f>IFERROR(IF(Q113=0,"-",SUMIFS($Q$2:Q113,$A$2:A113,$A113,$F$2:F113,"&lt;="&amp;$F113)/SUMIFS($M$2:M113,$A$2:A113,$A113,$F$2:F113,"&lt;="&amp;$F113)-1),"")</f>
        <v>-</v>
      </c>
      <c r="AP113" s="239"/>
      <c r="AQ113" s="452" t="str">
        <f>'Overall Metrics'!AO118</f>
        <v/>
      </c>
      <c r="AR113" s="450" t="str">
        <f t="shared" si="42"/>
        <v/>
      </c>
      <c r="AS113" s="453" t="str">
        <f>IFERROR(IF(R114=0,"-",AVERAGEIFS($AQ$2:AQ113,$A$2:A113,$A113,$F$2:F113,"&lt;="&amp;$F113)-AVERAGEIFS($AP$2:AP113,$A$2:A113,$A113,$F$2:F113,"&lt;="&amp;$F113)),"")</f>
        <v>-</v>
      </c>
      <c r="AT113" s="390" t="str">
        <f>IFERROR(IF(R114=0,"-",AVERAGEIFS($AQ$2:AQ113,$A$2:A113,A113,$C$2:C113,C113)-AVERAGEIFS($AP$2:AP113,$A$2:A113,A113,$C$2:C113,C113)),"")</f>
        <v>-</v>
      </c>
      <c r="AU113" s="819"/>
      <c r="AV113" s="452">
        <f>'Overall Metrics'!AS118</f>
        <v>-0.1</v>
      </c>
      <c r="AW113" s="450">
        <f t="shared" si="43"/>
        <v>-0.1</v>
      </c>
      <c r="AX113" s="453" t="str">
        <f>IFERROR(IF(R117=0,"-",AVERAGEIFS($AV$2:AV113,$A$2:A113,$A113,$F$2:F113,"&lt;="&amp;$F113)-AVERAGEIFS($AU$2:AU113,$A$2:A113,$A113,$F$2:F113,"&lt;="&amp;$F113)),"")</f>
        <v>-</v>
      </c>
      <c r="AY113" s="453" t="str">
        <f>IFERROR(IF(R117=0,"-",AVERAGEIFS($AV$2:AV113,$A$2:A113,A113,$C$2:C113,C113)-AVERAGEIFS($AU$2:AU113,$A$2:A113,A113,$C$2:C113,C113)),"")</f>
        <v>-</v>
      </c>
      <c r="AZ113" s="86"/>
      <c r="BA113" s="449">
        <f>'Glass Metrics'!AC118</f>
        <v>0</v>
      </c>
      <c r="BB113" s="450" t="str">
        <f t="shared" si="44"/>
        <v/>
      </c>
      <c r="BC113" s="450" t="str">
        <f>IFERROR(IF(R113=0,"-",AVERAGEIFS($BA$2:BA113,$A$2:A113,$A113,$F$2:F113,"&lt;="&amp;$F113)/AVERAGEIFS($AZ$2:AZ113,$A$2:A113,$A113,$F$2:F113,"&lt;="&amp;$F113)-1),"")</f>
        <v>-</v>
      </c>
      <c r="BD113" s="269" t="str">
        <f>IFERROR(IF(R113=0,"-",AVERAGEIFS($BA$2:BA113,$A$2:A113,A113,$C$2:C113,C113)/AVERAGEIFS($AZ$2:AZ113,$A$2:A113,A113,$C$2:C113,C113)-1),"")</f>
        <v>-</v>
      </c>
    </row>
    <row r="114" spans="1:56" ht="16.350000000000001" customHeight="1">
      <c r="A114" s="175">
        <f t="shared" si="23"/>
        <v>2023</v>
      </c>
      <c r="B114" s="447" t="str">
        <f t="shared" si="24"/>
        <v>09</v>
      </c>
      <c r="C114" s="447" t="str">
        <f t="array" ref="C114">_xlfn.IFS(_xlfn.NUMBERVALUE(B114)&lt;=13,"Q1",AND(_xlfn.NUMBERVALUE(B114)&gt;13,_xlfn.NUMBERVALUE(B114)&lt;=26),"Q2", AND(_xlfn.NUMBERVALUE(B114)&gt;26,_xlfn.NUMBERVALUE(B114)&lt;=39),"Q3",_xlfn.NUMBERVALUE(B114)&gt;39,"Q4")</f>
        <v>Q1</v>
      </c>
      <c r="D114" s="448">
        <f t="shared" si="45"/>
        <v>44646</v>
      </c>
      <c r="E114" s="448">
        <f t="shared" si="25"/>
        <v>44652</v>
      </c>
      <c r="F114" s="79">
        <v>202209</v>
      </c>
      <c r="G114" s="103"/>
      <c r="H114" s="429"/>
      <c r="I114" s="429"/>
      <c r="J114" s="214">
        <f t="shared" si="26"/>
        <v>0</v>
      </c>
      <c r="K114" s="429"/>
      <c r="L114" s="429"/>
      <c r="M114" s="429"/>
      <c r="N114" s="214">
        <f t="shared" si="27"/>
        <v>0</v>
      </c>
      <c r="O114" s="449">
        <f>'Overall Metrics'!L119</f>
        <v>0</v>
      </c>
      <c r="P114" s="449">
        <f>'Overall Metrics'!M119</f>
        <v>0</v>
      </c>
      <c r="Q114" s="449">
        <f>'Overall Metrics'!N119</f>
        <v>0</v>
      </c>
      <c r="R114" s="449">
        <f t="shared" si="28"/>
        <v>0</v>
      </c>
      <c r="S114" s="180">
        <f t="shared" si="29"/>
        <v>0</v>
      </c>
      <c r="T114" s="449">
        <f t="shared" si="30"/>
        <v>0</v>
      </c>
      <c r="U114" s="449">
        <f t="shared" si="31"/>
        <v>0</v>
      </c>
      <c r="V114" s="450" t="str">
        <f t="shared" si="32"/>
        <v/>
      </c>
      <c r="W114" s="450" t="str">
        <f>IF(R114=0,"-",SUMIFS($R$2:R114,$A$2:A114,A114,$C$2:C114,C114)/SUMIFS($J$2:J114,$A$2:A114,A114,$C$2:C114,C114)-1)</f>
        <v>-</v>
      </c>
      <c r="X114" s="450" t="str">
        <f t="shared" si="33"/>
        <v/>
      </c>
      <c r="Y114" s="450" t="str">
        <f>IFERROR(IF(R114=0,"-",SUMIFS($R$2:R114,$A$2:A114,A114,$C$2:C114,C114)/SUMIFS($N$2:N114,$A$2:A114,A114,$C$2:C114,C114)-1),"")</f>
        <v>-</v>
      </c>
      <c r="Z114" s="269" t="str">
        <f>IF(R114=0,"",(S114/VLOOKUP(_xlfn.NUMBERVALUE(_xlfn.CONCAT(LEFT(F114,4),52)),$F$2:T321,COLUMNS($F$2:T321),FALSE)))</f>
        <v/>
      </c>
      <c r="AA114" s="269" t="str">
        <f>IFERROR(IF(R114=0,"",(S114/VLOOKUP(_xlfn.NUMBERVALUE(_xlfn.CONCAT(LEFT(F114,4),52)),$F$2:U321,COLUMNS($F$2:U321),FALSE))),"")</f>
        <v/>
      </c>
      <c r="AB114" s="268" t="str">
        <f t="shared" si="34"/>
        <v/>
      </c>
      <c r="AC114" s="450" t="str">
        <f t="shared" si="35"/>
        <v/>
      </c>
      <c r="AD114" s="450" t="str">
        <f t="shared" si="36"/>
        <v/>
      </c>
      <c r="AE114" s="269" t="str">
        <f t="shared" si="37"/>
        <v/>
      </c>
      <c r="AF114" s="268" t="str">
        <f t="shared" si="38"/>
        <v/>
      </c>
      <c r="AG114" s="450" t="str">
        <f t="shared" si="39"/>
        <v/>
      </c>
      <c r="AH114" s="450" t="str">
        <f t="shared" si="40"/>
        <v/>
      </c>
      <c r="AI114" s="269" t="str">
        <f t="shared" si="41"/>
        <v/>
      </c>
      <c r="AJ114" s="450" t="str">
        <f>IF(O114=0,"-",SUMIFS($O$2:O114,$A$2:A114,$A114,$F$2:F114,"&lt;="&amp;$F114)/SUMIFS($G$2:G114,$A$2:A114,$A114,$F$2:F114,"&lt;="&amp;$F114)-1)</f>
        <v>-</v>
      </c>
      <c r="AK114" s="450" t="str">
        <f>IF(P114=0,"-",SUMIFS($P$2:P114,$A$2:A114,$A114,$F$2:F114,"&lt;="&amp;$F114)/SUMIFS($H$2:H114,$A$2:A114,$A114,$F$2:F114,"&lt;="&amp;$F114)-1)</f>
        <v>-</v>
      </c>
      <c r="AL114" s="450" t="str">
        <f>IF(Q114=0,"-",SUMIFS($Q$2:Q114,$A$2:A114,$A114,$F$2:F114,"&lt;="&amp;$F114)/SUMIFS($I$2:I114,$A$2:A114,$A114,$F$2:F114,"&lt;="&amp;$F114)-1)</f>
        <v>-</v>
      </c>
      <c r="AM114" s="450" t="str">
        <f>IFERROR(IF(O114=0,"-",SUMIFS($O$2:O114,$A$2:A114,$A114,$F$2:F114,"&lt;="&amp;$F114)/SUMIFS($K$2:K114,$A$2:A114,$A114,$F$2:F114,"&lt;="&amp;$F114)-1),"")</f>
        <v>-</v>
      </c>
      <c r="AN114" s="450" t="str">
        <f>IFERROR(IF(P114=0,"-",SUMIFS($P$2:P114,$A$2:A114,$A114,$F$2:F114,"&lt;="&amp;$F114)/SUMIFS($L$2:L114,$A$2:A114,$A114,$F$2:F114,"&lt;="&amp;$F114)-1),"")</f>
        <v>-</v>
      </c>
      <c r="AO114" s="450" t="str">
        <f>IFERROR(IF(Q114=0,"-",SUMIFS($Q$2:Q114,$A$2:A114,$A114,$F$2:F114,"&lt;="&amp;$F114)/SUMIFS($M$2:M114,$A$2:A114,$A114,$F$2:F114,"&lt;="&amp;$F114)-1),"")</f>
        <v>-</v>
      </c>
      <c r="AP114" s="239"/>
      <c r="AQ114" s="452" t="str">
        <f>'Overall Metrics'!AO119</f>
        <v/>
      </c>
      <c r="AR114" s="450" t="str">
        <f t="shared" si="42"/>
        <v/>
      </c>
      <c r="AS114" s="453" t="str">
        <f>IFERROR(IF(R115=0,"-",AVERAGEIFS($AQ$2:AQ114,$A$2:A114,$A114,$F$2:F114,"&lt;="&amp;$F114)-AVERAGEIFS($AP$2:AP114,$A$2:A114,$A114,$F$2:F114,"&lt;="&amp;$F114)),"")</f>
        <v>-</v>
      </c>
      <c r="AT114" s="390" t="str">
        <f>IFERROR(IF(R115=0,"-",AVERAGEIFS($AQ$2:AQ114,$A$2:A114,A114,$C$2:C114,C114)-AVERAGEIFS($AP$2:AP114,$A$2:A114,A114,$C$2:C114,C114)),"")</f>
        <v>-</v>
      </c>
      <c r="AU114" s="819"/>
      <c r="AV114" s="452">
        <f>'Overall Metrics'!AS119</f>
        <v>-0.1</v>
      </c>
      <c r="AW114" s="450">
        <f t="shared" si="43"/>
        <v>-0.1</v>
      </c>
      <c r="AX114" s="453" t="str">
        <f>IFERROR(IF(R118=0,"-",AVERAGEIFS($AV$2:AV114,$A$2:A114,$A114,$F$2:F114,"&lt;="&amp;$F114)-AVERAGEIFS($AU$2:AU114,$A$2:A114,$A114,$F$2:F114,"&lt;="&amp;$F114)),"")</f>
        <v>-</v>
      </c>
      <c r="AY114" s="453" t="str">
        <f>IFERROR(IF(R118=0,"-",AVERAGEIFS($AV$2:AV114,$A$2:A114,A114,$C$2:C114,C114)-AVERAGEIFS($AU$2:AU114,$A$2:A114,A114,$C$2:C114,C114)),"")</f>
        <v>-</v>
      </c>
      <c r="AZ114" s="86"/>
      <c r="BA114" s="449">
        <f>'Glass Metrics'!AC119</f>
        <v>0</v>
      </c>
      <c r="BB114" s="450" t="str">
        <f t="shared" si="44"/>
        <v/>
      </c>
      <c r="BC114" s="450" t="str">
        <f>IFERROR(IF(R114=0,"-",AVERAGEIFS($BA$2:BA114,$A$2:A114,$A114,$F$2:F114,"&lt;="&amp;$F114)/AVERAGEIFS($AZ$2:AZ114,$A$2:A114,$A114,$F$2:F114,"&lt;="&amp;$F114)-1),"")</f>
        <v>-</v>
      </c>
      <c r="BD114" s="269" t="str">
        <f>IFERROR(IF(R114=0,"-",AVERAGEIFS($BA$2:BA114,$A$2:A114,A114,$C$2:C114,C114)/AVERAGEIFS($AZ$2:AZ114,$A$2:A114,A114,$C$2:C114,C114)-1),"")</f>
        <v>-</v>
      </c>
    </row>
    <row r="115" spans="1:56" ht="16.350000000000001" customHeight="1">
      <c r="A115" s="175">
        <f t="shared" si="23"/>
        <v>2023</v>
      </c>
      <c r="B115" s="447" t="str">
        <f t="shared" si="24"/>
        <v>10</v>
      </c>
      <c r="C115" s="447" t="str">
        <f t="array" ref="C115">_xlfn.IFS(_xlfn.NUMBERVALUE(B115)&lt;=13,"Q1",AND(_xlfn.NUMBERVALUE(B115)&gt;13,_xlfn.NUMBERVALUE(B115)&lt;=26),"Q2", AND(_xlfn.NUMBERVALUE(B115)&gt;26,_xlfn.NUMBERVALUE(B115)&lt;=39),"Q3",_xlfn.NUMBERVALUE(B115)&gt;39,"Q4")</f>
        <v>Q1</v>
      </c>
      <c r="D115" s="448">
        <f t="shared" si="45"/>
        <v>44653</v>
      </c>
      <c r="E115" s="448">
        <f t="shared" si="25"/>
        <v>44659</v>
      </c>
      <c r="F115" s="79">
        <v>202210</v>
      </c>
      <c r="G115" s="103"/>
      <c r="H115" s="429"/>
      <c r="I115" s="429"/>
      <c r="J115" s="214">
        <f t="shared" si="26"/>
        <v>0</v>
      </c>
      <c r="K115" s="429"/>
      <c r="L115" s="429"/>
      <c r="M115" s="429"/>
      <c r="N115" s="214">
        <f t="shared" si="27"/>
        <v>0</v>
      </c>
      <c r="O115" s="449">
        <f>'Overall Metrics'!L120</f>
        <v>0</v>
      </c>
      <c r="P115" s="449">
        <f>'Overall Metrics'!M120</f>
        <v>0</v>
      </c>
      <c r="Q115" s="449">
        <f>'Overall Metrics'!N120</f>
        <v>0</v>
      </c>
      <c r="R115" s="449">
        <f t="shared" si="28"/>
        <v>0</v>
      </c>
      <c r="S115" s="180">
        <f t="shared" si="29"/>
        <v>0</v>
      </c>
      <c r="T115" s="449">
        <f t="shared" si="30"/>
        <v>0</v>
      </c>
      <c r="U115" s="449">
        <f t="shared" si="31"/>
        <v>0</v>
      </c>
      <c r="V115" s="450" t="str">
        <f t="shared" si="32"/>
        <v/>
      </c>
      <c r="W115" s="450" t="str">
        <f>IF(R115=0,"-",SUMIFS($R$2:R115,$A$2:A115,A115,$C$2:C115,C115)/SUMIFS($J$2:J115,$A$2:A115,A115,$C$2:C115,C115)-1)</f>
        <v>-</v>
      </c>
      <c r="X115" s="450" t="str">
        <f t="shared" si="33"/>
        <v/>
      </c>
      <c r="Y115" s="450" t="str">
        <f>IFERROR(IF(R115=0,"-",SUMIFS($R$2:R115,$A$2:A115,A115,$C$2:C115,C115)/SUMIFS($N$2:N115,$A$2:A115,A115,$C$2:C115,C115)-1),"")</f>
        <v>-</v>
      </c>
      <c r="Z115" s="269" t="str">
        <f>IF(R115=0,"",(S115/VLOOKUP(_xlfn.NUMBERVALUE(_xlfn.CONCAT(LEFT(F115,4),52)),$F$2:T322,COLUMNS($F$2:T322),FALSE)))</f>
        <v/>
      </c>
      <c r="AA115" s="269" t="str">
        <f>IFERROR(IF(R115=0,"",(S115/VLOOKUP(_xlfn.NUMBERVALUE(_xlfn.CONCAT(LEFT(F115,4),52)),$F$2:U322,COLUMNS($F$2:U322),FALSE))),"")</f>
        <v/>
      </c>
      <c r="AB115" s="268" t="str">
        <f t="shared" si="34"/>
        <v/>
      </c>
      <c r="AC115" s="450" t="str">
        <f t="shared" si="35"/>
        <v/>
      </c>
      <c r="AD115" s="450" t="str">
        <f t="shared" si="36"/>
        <v/>
      </c>
      <c r="AE115" s="269" t="str">
        <f t="shared" si="37"/>
        <v/>
      </c>
      <c r="AF115" s="268" t="str">
        <f t="shared" si="38"/>
        <v/>
      </c>
      <c r="AG115" s="450" t="str">
        <f t="shared" si="39"/>
        <v/>
      </c>
      <c r="AH115" s="450" t="str">
        <f t="shared" si="40"/>
        <v/>
      </c>
      <c r="AI115" s="269" t="str">
        <f t="shared" si="41"/>
        <v/>
      </c>
      <c r="AJ115" s="450" t="str">
        <f>IF(O115=0,"-",SUMIFS($O$2:O115,$A$2:A115,$A115,$F$2:F115,"&lt;="&amp;$F115)/SUMIFS($G$2:G115,$A$2:A115,$A115,$F$2:F115,"&lt;="&amp;$F115)-1)</f>
        <v>-</v>
      </c>
      <c r="AK115" s="450" t="str">
        <f>IF(P115=0,"-",SUMIFS($P$2:P115,$A$2:A115,$A115,$F$2:F115,"&lt;="&amp;$F115)/SUMIFS($H$2:H115,$A$2:A115,$A115,$F$2:F115,"&lt;="&amp;$F115)-1)</f>
        <v>-</v>
      </c>
      <c r="AL115" s="450" t="str">
        <f>IF(Q115=0,"-",SUMIFS($Q$2:Q115,$A$2:A115,$A115,$F$2:F115,"&lt;="&amp;$F115)/SUMIFS($I$2:I115,$A$2:A115,$A115,$F$2:F115,"&lt;="&amp;$F115)-1)</f>
        <v>-</v>
      </c>
      <c r="AM115" s="450" t="str">
        <f>IFERROR(IF(O115=0,"-",SUMIFS($O$2:O115,$A$2:A115,$A115,$F$2:F115,"&lt;="&amp;$F115)/SUMIFS($K$2:K115,$A$2:A115,$A115,$F$2:F115,"&lt;="&amp;$F115)-1),"")</f>
        <v>-</v>
      </c>
      <c r="AN115" s="450" t="str">
        <f>IFERROR(IF(P115=0,"-",SUMIFS($P$2:P115,$A$2:A115,$A115,$F$2:F115,"&lt;="&amp;$F115)/SUMIFS($L$2:L115,$A$2:A115,$A115,$F$2:F115,"&lt;="&amp;$F115)-1),"")</f>
        <v>-</v>
      </c>
      <c r="AO115" s="450" t="str">
        <f>IFERROR(IF(Q115=0,"-",SUMIFS($Q$2:Q115,$A$2:A115,$A115,$F$2:F115,"&lt;="&amp;$F115)/SUMIFS($M$2:M115,$A$2:A115,$A115,$F$2:F115,"&lt;="&amp;$F115)-1),"")</f>
        <v>-</v>
      </c>
      <c r="AP115" s="239"/>
      <c r="AQ115" s="452" t="str">
        <f>'Overall Metrics'!AO120</f>
        <v/>
      </c>
      <c r="AR115" s="450" t="str">
        <f t="shared" si="42"/>
        <v/>
      </c>
      <c r="AS115" s="453" t="str">
        <f>IFERROR(IF(R116=0,"-",AVERAGEIFS($AQ$2:AQ115,$A$2:A115,$A115,$F$2:F115,"&lt;="&amp;$F115)-AVERAGEIFS($AP$2:AP115,$A$2:A115,$A115,$F$2:F115,"&lt;="&amp;$F115)),"")</f>
        <v>-</v>
      </c>
      <c r="AT115" s="390" t="str">
        <f>IFERROR(IF(R116=0,"-",AVERAGEIFS($AQ$2:AQ115,$A$2:A115,A115,$C$2:C115,C115)-AVERAGEIFS($AP$2:AP115,$A$2:A115,A115,$C$2:C115,C115)),"")</f>
        <v>-</v>
      </c>
      <c r="AU115" s="819"/>
      <c r="AV115" s="452">
        <f>'Overall Metrics'!AS120</f>
        <v>-0.1</v>
      </c>
      <c r="AW115" s="450">
        <f t="shared" si="43"/>
        <v>-0.1</v>
      </c>
      <c r="AX115" s="453" t="str">
        <f>IFERROR(IF(R119=0,"-",AVERAGEIFS($AV$2:AV115,$A$2:A115,$A115,$F$2:F115,"&lt;="&amp;$F115)-AVERAGEIFS($AU$2:AU115,$A$2:A115,$A115,$F$2:F115,"&lt;="&amp;$F115)),"")</f>
        <v>-</v>
      </c>
      <c r="AY115" s="453" t="str">
        <f>IFERROR(IF(R119=0,"-",AVERAGEIFS($AV$2:AV115,$A$2:A115,A115,$C$2:C115,C115)-AVERAGEIFS($AU$2:AU115,$A$2:A115,A115,$C$2:C115,C115)),"")</f>
        <v>-</v>
      </c>
      <c r="AZ115" s="86"/>
      <c r="BA115" s="449">
        <f>'Glass Metrics'!AC120</f>
        <v>0</v>
      </c>
      <c r="BB115" s="450" t="str">
        <f t="shared" si="44"/>
        <v/>
      </c>
      <c r="BC115" s="450" t="str">
        <f>IFERROR(IF(R115=0,"-",AVERAGEIFS($BA$2:BA115,$A$2:A115,$A115,$F$2:F115,"&lt;="&amp;$F115)/AVERAGEIFS($AZ$2:AZ115,$A$2:A115,$A115,$F$2:F115,"&lt;="&amp;$F115)-1),"")</f>
        <v>-</v>
      </c>
      <c r="BD115" s="269" t="str">
        <f>IFERROR(IF(R115=0,"-",AVERAGEIFS($BA$2:BA115,$A$2:A115,A115,$C$2:C115,C115)/AVERAGEIFS($AZ$2:AZ115,$A$2:A115,A115,$C$2:C115,C115)-1),"")</f>
        <v>-</v>
      </c>
    </row>
    <row r="116" spans="1:56" ht="16.350000000000001" customHeight="1">
      <c r="A116" s="175">
        <f t="shared" si="23"/>
        <v>2023</v>
      </c>
      <c r="B116" s="447" t="str">
        <f t="shared" si="24"/>
        <v>11</v>
      </c>
      <c r="C116" s="447" t="str">
        <f t="array" ref="C116">_xlfn.IFS(_xlfn.NUMBERVALUE(B116)&lt;=13,"Q1",AND(_xlfn.NUMBERVALUE(B116)&gt;13,_xlfn.NUMBERVALUE(B116)&lt;=26),"Q2", AND(_xlfn.NUMBERVALUE(B116)&gt;26,_xlfn.NUMBERVALUE(B116)&lt;=39),"Q3",_xlfn.NUMBERVALUE(B116)&gt;39,"Q4")</f>
        <v>Q1</v>
      </c>
      <c r="D116" s="448">
        <f t="shared" si="45"/>
        <v>44660</v>
      </c>
      <c r="E116" s="448">
        <f t="shared" si="25"/>
        <v>44666</v>
      </c>
      <c r="F116" s="79">
        <v>202211</v>
      </c>
      <c r="G116" s="103"/>
      <c r="H116" s="429"/>
      <c r="I116" s="429"/>
      <c r="J116" s="214">
        <f t="shared" si="26"/>
        <v>0</v>
      </c>
      <c r="K116" s="429"/>
      <c r="L116" s="429"/>
      <c r="M116" s="429"/>
      <c r="N116" s="214">
        <f t="shared" si="27"/>
        <v>0</v>
      </c>
      <c r="O116" s="449">
        <f>'Overall Metrics'!L121</f>
        <v>0</v>
      </c>
      <c r="P116" s="449">
        <f>'Overall Metrics'!M121</f>
        <v>0</v>
      </c>
      <c r="Q116" s="449">
        <f>'Overall Metrics'!N121</f>
        <v>0</v>
      </c>
      <c r="R116" s="449">
        <f t="shared" si="28"/>
        <v>0</v>
      </c>
      <c r="S116" s="180">
        <f t="shared" si="29"/>
        <v>0</v>
      </c>
      <c r="T116" s="449">
        <f t="shared" si="30"/>
        <v>0</v>
      </c>
      <c r="U116" s="449">
        <f t="shared" si="31"/>
        <v>0</v>
      </c>
      <c r="V116" s="450" t="str">
        <f t="shared" si="32"/>
        <v/>
      </c>
      <c r="W116" s="450" t="str">
        <f>IF(R116=0,"-",SUMIFS($R$2:R116,$A$2:A116,A116,$C$2:C116,C116)/SUMIFS($J$2:J116,$A$2:A116,A116,$C$2:C116,C116)-1)</f>
        <v>-</v>
      </c>
      <c r="X116" s="450" t="str">
        <f t="shared" si="33"/>
        <v/>
      </c>
      <c r="Y116" s="450" t="str">
        <f>IFERROR(IF(R116=0,"-",SUMIFS($R$2:R116,$A$2:A116,A116,$C$2:C116,C116)/SUMIFS($N$2:N116,$A$2:A116,A116,$C$2:C116,C116)-1),"")</f>
        <v>-</v>
      </c>
      <c r="Z116" s="269" t="str">
        <f>IF(R116=0,"",(S116/VLOOKUP(_xlfn.NUMBERVALUE(_xlfn.CONCAT(LEFT(F116,4),52)),$F$2:T323,COLUMNS($F$2:T323),FALSE)))</f>
        <v/>
      </c>
      <c r="AA116" s="269" t="str">
        <f>IFERROR(IF(R116=0,"",(S116/VLOOKUP(_xlfn.NUMBERVALUE(_xlfn.CONCAT(LEFT(F116,4),52)),$F$2:U323,COLUMNS($F$2:U323),FALSE))),"")</f>
        <v/>
      </c>
      <c r="AB116" s="268" t="str">
        <f t="shared" si="34"/>
        <v/>
      </c>
      <c r="AC116" s="450" t="str">
        <f t="shared" si="35"/>
        <v/>
      </c>
      <c r="AD116" s="450" t="str">
        <f t="shared" si="36"/>
        <v/>
      </c>
      <c r="AE116" s="269" t="str">
        <f t="shared" si="37"/>
        <v/>
      </c>
      <c r="AF116" s="268" t="str">
        <f t="shared" si="38"/>
        <v/>
      </c>
      <c r="AG116" s="450" t="str">
        <f t="shared" si="39"/>
        <v/>
      </c>
      <c r="AH116" s="450" t="str">
        <f t="shared" si="40"/>
        <v/>
      </c>
      <c r="AI116" s="269" t="str">
        <f t="shared" si="41"/>
        <v/>
      </c>
      <c r="AJ116" s="450" t="str">
        <f>IF(O116=0,"-",SUMIFS($O$2:O116,$A$2:A116,$A116,$F$2:F116,"&lt;="&amp;$F116)/SUMIFS($G$2:G116,$A$2:A116,$A116,$F$2:F116,"&lt;="&amp;$F116)-1)</f>
        <v>-</v>
      </c>
      <c r="AK116" s="450" t="str">
        <f>IF(P116=0,"-",SUMIFS($P$2:P116,$A$2:A116,$A116,$F$2:F116,"&lt;="&amp;$F116)/SUMIFS($H$2:H116,$A$2:A116,$A116,$F$2:F116,"&lt;="&amp;$F116)-1)</f>
        <v>-</v>
      </c>
      <c r="AL116" s="450" t="str">
        <f>IF(Q116=0,"-",SUMIFS($Q$2:Q116,$A$2:A116,$A116,$F$2:F116,"&lt;="&amp;$F116)/SUMIFS($I$2:I116,$A$2:A116,$A116,$F$2:F116,"&lt;="&amp;$F116)-1)</f>
        <v>-</v>
      </c>
      <c r="AM116" s="450" t="str">
        <f>IFERROR(IF(O116=0,"-",SUMIFS($O$2:O116,$A$2:A116,$A116,$F$2:F116,"&lt;="&amp;$F116)/SUMIFS($K$2:K116,$A$2:A116,$A116,$F$2:F116,"&lt;="&amp;$F116)-1),"")</f>
        <v>-</v>
      </c>
      <c r="AN116" s="450" t="str">
        <f>IFERROR(IF(P116=0,"-",SUMIFS($P$2:P116,$A$2:A116,$A116,$F$2:F116,"&lt;="&amp;$F116)/SUMIFS($L$2:L116,$A$2:A116,$A116,$F$2:F116,"&lt;="&amp;$F116)-1),"")</f>
        <v>-</v>
      </c>
      <c r="AO116" s="450" t="str">
        <f>IFERROR(IF(Q116=0,"-",SUMIFS($Q$2:Q116,$A$2:A116,$A116,$F$2:F116,"&lt;="&amp;$F116)/SUMIFS($M$2:M116,$A$2:A116,$A116,$F$2:F116,"&lt;="&amp;$F116)-1),"")</f>
        <v>-</v>
      </c>
      <c r="AP116" s="239"/>
      <c r="AQ116" s="452" t="str">
        <f>'Overall Metrics'!AO121</f>
        <v/>
      </c>
      <c r="AR116" s="450" t="str">
        <f t="shared" si="42"/>
        <v/>
      </c>
      <c r="AS116" s="453" t="str">
        <f>IFERROR(IF(R117=0,"-",AVERAGEIFS($AQ$2:AQ116,$A$2:A116,$A116,$F$2:F116,"&lt;="&amp;$F116)-AVERAGEIFS($AP$2:AP116,$A$2:A116,$A116,$F$2:F116,"&lt;="&amp;$F116)),"")</f>
        <v>-</v>
      </c>
      <c r="AT116" s="390" t="str">
        <f>IFERROR(IF(R117=0,"-",AVERAGEIFS($AQ$2:AQ116,$A$2:A116,A116,$C$2:C116,C116)-AVERAGEIFS($AP$2:AP116,$A$2:A116,A116,$C$2:C116,C116)),"")</f>
        <v>-</v>
      </c>
      <c r="AU116" s="819"/>
      <c r="AV116" s="452">
        <f>'Overall Metrics'!AS121</f>
        <v>-0.1</v>
      </c>
      <c r="AW116" s="450">
        <f t="shared" si="43"/>
        <v>-0.1</v>
      </c>
      <c r="AX116" s="453" t="str">
        <f>IFERROR(IF(R120=0,"-",AVERAGEIFS($AV$2:AV116,$A$2:A116,$A116,$F$2:F116,"&lt;="&amp;$F116)-AVERAGEIFS($AU$2:AU116,$A$2:A116,$A116,$F$2:F116,"&lt;="&amp;$F116)),"")</f>
        <v>-</v>
      </c>
      <c r="AY116" s="453" t="str">
        <f>IFERROR(IF(R120=0,"-",AVERAGEIFS($AV$2:AV116,$A$2:A116,A116,$C$2:C116,C116)-AVERAGEIFS($AU$2:AU116,$A$2:A116,A116,$C$2:C116,C116)),"")</f>
        <v>-</v>
      </c>
      <c r="AZ116" s="86"/>
      <c r="BA116" s="449">
        <f>'Glass Metrics'!AC121</f>
        <v>0</v>
      </c>
      <c r="BB116" s="450" t="str">
        <f t="shared" si="44"/>
        <v/>
      </c>
      <c r="BC116" s="450" t="str">
        <f>IFERROR(IF(R116=0,"-",AVERAGEIFS($BA$2:BA116,$A$2:A116,$A116,$F$2:F116,"&lt;="&amp;$F116)/AVERAGEIFS($AZ$2:AZ116,$A$2:A116,$A116,$F$2:F116,"&lt;="&amp;$F116)-1),"")</f>
        <v>-</v>
      </c>
      <c r="BD116" s="269" t="str">
        <f>IFERROR(IF(R116=0,"-",AVERAGEIFS($BA$2:BA116,$A$2:A116,A116,$C$2:C116,C116)/AVERAGEIFS($AZ$2:AZ116,$A$2:A116,A116,$C$2:C116,C116)-1),"")</f>
        <v>-</v>
      </c>
    </row>
    <row r="117" spans="1:56" ht="16.350000000000001" customHeight="1">
      <c r="A117" s="175">
        <f t="shared" si="23"/>
        <v>2023</v>
      </c>
      <c r="B117" s="447" t="str">
        <f t="shared" si="24"/>
        <v>12</v>
      </c>
      <c r="C117" s="447" t="str">
        <f t="array" ref="C117">_xlfn.IFS(_xlfn.NUMBERVALUE(B117)&lt;=13,"Q1",AND(_xlfn.NUMBERVALUE(B117)&gt;13,_xlfn.NUMBERVALUE(B117)&lt;=26),"Q2", AND(_xlfn.NUMBERVALUE(B117)&gt;26,_xlfn.NUMBERVALUE(B117)&lt;=39),"Q3",_xlfn.NUMBERVALUE(B117)&gt;39,"Q4")</f>
        <v>Q1</v>
      </c>
      <c r="D117" s="448">
        <f t="shared" si="45"/>
        <v>44667</v>
      </c>
      <c r="E117" s="448">
        <f t="shared" si="25"/>
        <v>44673</v>
      </c>
      <c r="F117" s="79">
        <v>202212</v>
      </c>
      <c r="G117" s="103"/>
      <c r="H117" s="429"/>
      <c r="I117" s="429"/>
      <c r="J117" s="214">
        <f t="shared" si="26"/>
        <v>0</v>
      </c>
      <c r="K117" s="429"/>
      <c r="L117" s="429"/>
      <c r="M117" s="429"/>
      <c r="N117" s="214">
        <f t="shared" si="27"/>
        <v>0</v>
      </c>
      <c r="O117" s="449">
        <f>'Overall Metrics'!L122</f>
        <v>0</v>
      </c>
      <c r="P117" s="449">
        <f>'Overall Metrics'!M122</f>
        <v>0</v>
      </c>
      <c r="Q117" s="449">
        <f>'Overall Metrics'!N122</f>
        <v>0</v>
      </c>
      <c r="R117" s="449">
        <f t="shared" si="28"/>
        <v>0</v>
      </c>
      <c r="S117" s="180">
        <f t="shared" si="29"/>
        <v>0</v>
      </c>
      <c r="T117" s="449">
        <f t="shared" si="30"/>
        <v>0</v>
      </c>
      <c r="U117" s="449">
        <f t="shared" si="31"/>
        <v>0</v>
      </c>
      <c r="V117" s="450" t="str">
        <f t="shared" si="32"/>
        <v/>
      </c>
      <c r="W117" s="450" t="str">
        <f>IF(R117=0,"-",SUMIFS($R$2:R117,$A$2:A117,A117,$C$2:C117,C117)/SUMIFS($J$2:J117,$A$2:A117,A117,$C$2:C117,C117)-1)</f>
        <v>-</v>
      </c>
      <c r="X117" s="450" t="str">
        <f t="shared" si="33"/>
        <v/>
      </c>
      <c r="Y117" s="450" t="str">
        <f>IFERROR(IF(R117=0,"-",SUMIFS($R$2:R117,$A$2:A117,A117,$C$2:C117,C117)/SUMIFS($N$2:N117,$A$2:A117,A117,$C$2:C117,C117)-1),"")</f>
        <v>-</v>
      </c>
      <c r="Z117" s="269" t="str">
        <f>IF(R117=0,"",(S117/VLOOKUP(_xlfn.NUMBERVALUE(_xlfn.CONCAT(LEFT(F117,4),52)),$F$2:T324,COLUMNS($F$2:T324),FALSE)))</f>
        <v/>
      </c>
      <c r="AA117" s="269" t="str">
        <f>IFERROR(IF(R117=0,"",(S117/VLOOKUP(_xlfn.NUMBERVALUE(_xlfn.CONCAT(LEFT(F117,4),52)),$F$2:U324,COLUMNS($F$2:U324),FALSE))),"")</f>
        <v/>
      </c>
      <c r="AB117" s="268" t="str">
        <f t="shared" si="34"/>
        <v/>
      </c>
      <c r="AC117" s="450" t="str">
        <f t="shared" si="35"/>
        <v/>
      </c>
      <c r="AD117" s="450" t="str">
        <f t="shared" si="36"/>
        <v/>
      </c>
      <c r="AE117" s="269" t="str">
        <f t="shared" si="37"/>
        <v/>
      </c>
      <c r="AF117" s="268" t="str">
        <f t="shared" si="38"/>
        <v/>
      </c>
      <c r="AG117" s="450" t="str">
        <f t="shared" si="39"/>
        <v/>
      </c>
      <c r="AH117" s="450" t="str">
        <f t="shared" si="40"/>
        <v/>
      </c>
      <c r="AI117" s="269" t="str">
        <f t="shared" si="41"/>
        <v/>
      </c>
      <c r="AJ117" s="450" t="str">
        <f>IF(O117=0,"-",SUMIFS($O$2:O117,$A$2:A117,$A117,$F$2:F117,"&lt;="&amp;$F117)/SUMIFS($G$2:G117,$A$2:A117,$A117,$F$2:F117,"&lt;="&amp;$F117)-1)</f>
        <v>-</v>
      </c>
      <c r="AK117" s="450" t="str">
        <f>IF(P117=0,"-",SUMIFS($P$2:P117,$A$2:A117,$A117,$F$2:F117,"&lt;="&amp;$F117)/SUMIFS($H$2:H117,$A$2:A117,$A117,$F$2:F117,"&lt;="&amp;$F117)-1)</f>
        <v>-</v>
      </c>
      <c r="AL117" s="450" t="str">
        <f>IF(Q117=0,"-",SUMIFS($Q$2:Q117,$A$2:A117,$A117,$F$2:F117,"&lt;="&amp;$F117)/SUMIFS($I$2:I117,$A$2:A117,$A117,$F$2:F117,"&lt;="&amp;$F117)-1)</f>
        <v>-</v>
      </c>
      <c r="AM117" s="450" t="str">
        <f>IFERROR(IF(O117=0,"-",SUMIFS($O$2:O117,$A$2:A117,$A117,$F$2:F117,"&lt;="&amp;$F117)/SUMIFS($K$2:K117,$A$2:A117,$A117,$F$2:F117,"&lt;="&amp;$F117)-1),"")</f>
        <v>-</v>
      </c>
      <c r="AN117" s="450" t="str">
        <f>IFERROR(IF(P117=0,"-",SUMIFS($P$2:P117,$A$2:A117,$A117,$F$2:F117,"&lt;="&amp;$F117)/SUMIFS($L$2:L117,$A$2:A117,$A117,$F$2:F117,"&lt;="&amp;$F117)-1),"")</f>
        <v>-</v>
      </c>
      <c r="AO117" s="450" t="str">
        <f>IFERROR(IF(Q117=0,"-",SUMIFS($Q$2:Q117,$A$2:A117,$A117,$F$2:F117,"&lt;="&amp;$F117)/SUMIFS($M$2:M117,$A$2:A117,$A117,$F$2:F117,"&lt;="&amp;$F117)-1),"")</f>
        <v>-</v>
      </c>
      <c r="AP117" s="239"/>
      <c r="AQ117" s="452" t="str">
        <f>'Overall Metrics'!AO122</f>
        <v/>
      </c>
      <c r="AR117" s="450" t="str">
        <f t="shared" si="42"/>
        <v/>
      </c>
      <c r="AS117" s="453" t="str">
        <f>IFERROR(IF(R118=0,"-",AVERAGEIFS($AQ$2:AQ117,$A$2:A117,$A117,$F$2:F117,"&lt;="&amp;$F117)-AVERAGEIFS($AP$2:AP117,$A$2:A117,$A117,$F$2:F117,"&lt;="&amp;$F117)),"")</f>
        <v>-</v>
      </c>
      <c r="AT117" s="390" t="str">
        <f>IFERROR(IF(R118=0,"-",AVERAGEIFS($AQ$2:AQ117,$A$2:A117,A117,$C$2:C117,C117)-AVERAGEIFS($AP$2:AP117,$A$2:A117,A117,$C$2:C117,C117)),"")</f>
        <v>-</v>
      </c>
      <c r="AU117" s="819"/>
      <c r="AV117" s="452">
        <f>'Overall Metrics'!AS122</f>
        <v>-0.1</v>
      </c>
      <c r="AW117" s="450">
        <f t="shared" si="43"/>
        <v>-0.1</v>
      </c>
      <c r="AX117" s="453" t="str">
        <f>IFERROR(IF(R121=0,"-",AVERAGEIFS($AV$2:AV117,$A$2:A117,$A117,$F$2:F117,"&lt;="&amp;$F117)-AVERAGEIFS($AU$2:AU117,$A$2:A117,$A117,$F$2:F117,"&lt;="&amp;$F117)),"")</f>
        <v>-</v>
      </c>
      <c r="AY117" s="453" t="str">
        <f>IFERROR(IF(R121=0,"-",AVERAGEIFS($AV$2:AV117,$A$2:A117,A117,$C$2:C117,C117)-AVERAGEIFS($AU$2:AU117,$A$2:A117,A117,$C$2:C117,C117)),"")</f>
        <v>-</v>
      </c>
      <c r="AZ117" s="86"/>
      <c r="BA117" s="449">
        <f>'Glass Metrics'!AC122</f>
        <v>0</v>
      </c>
      <c r="BB117" s="450" t="str">
        <f t="shared" si="44"/>
        <v/>
      </c>
      <c r="BC117" s="450" t="str">
        <f>IFERROR(IF(R117=0,"-",AVERAGEIFS($BA$2:BA117,$A$2:A117,$A117,$F$2:F117,"&lt;="&amp;$F117)/AVERAGEIFS($AZ$2:AZ117,$A$2:A117,$A117,$F$2:F117,"&lt;="&amp;$F117)-1),"")</f>
        <v>-</v>
      </c>
      <c r="BD117" s="269" t="str">
        <f>IFERROR(IF(R117=0,"-",AVERAGEIFS($BA$2:BA117,$A$2:A117,A117,$C$2:C117,C117)/AVERAGEIFS($AZ$2:AZ117,$A$2:A117,A117,$C$2:C117,C117)-1),"")</f>
        <v>-</v>
      </c>
    </row>
    <row r="118" spans="1:56" ht="16.350000000000001" customHeight="1">
      <c r="A118" s="175">
        <f t="shared" si="23"/>
        <v>2023</v>
      </c>
      <c r="B118" s="447" t="str">
        <f t="shared" si="24"/>
        <v>13</v>
      </c>
      <c r="C118" s="447" t="str">
        <f t="array" ref="C118">_xlfn.IFS(_xlfn.NUMBERVALUE(B118)&lt;=13,"Q1",AND(_xlfn.NUMBERVALUE(B118)&gt;13,_xlfn.NUMBERVALUE(B118)&lt;=26),"Q2", AND(_xlfn.NUMBERVALUE(B118)&gt;26,_xlfn.NUMBERVALUE(B118)&lt;=39),"Q3",_xlfn.NUMBERVALUE(B118)&gt;39,"Q4")</f>
        <v>Q1</v>
      </c>
      <c r="D118" s="448">
        <f t="shared" si="45"/>
        <v>44674</v>
      </c>
      <c r="E118" s="448">
        <f t="shared" si="25"/>
        <v>44680</v>
      </c>
      <c r="F118" s="79">
        <v>202213</v>
      </c>
      <c r="G118" s="103"/>
      <c r="H118" s="429"/>
      <c r="I118" s="429"/>
      <c r="J118" s="214">
        <f t="shared" si="26"/>
        <v>0</v>
      </c>
      <c r="K118" s="429"/>
      <c r="L118" s="429"/>
      <c r="M118" s="429"/>
      <c r="N118" s="214">
        <f t="shared" si="27"/>
        <v>0</v>
      </c>
      <c r="O118" s="449">
        <f>'Overall Metrics'!L123</f>
        <v>0</v>
      </c>
      <c r="P118" s="449">
        <f>'Overall Metrics'!M123</f>
        <v>0</v>
      </c>
      <c r="Q118" s="449">
        <f>'Overall Metrics'!N123</f>
        <v>0</v>
      </c>
      <c r="R118" s="449">
        <f t="shared" si="28"/>
        <v>0</v>
      </c>
      <c r="S118" s="180">
        <f t="shared" si="29"/>
        <v>0</v>
      </c>
      <c r="T118" s="449">
        <f t="shared" si="30"/>
        <v>0</v>
      </c>
      <c r="U118" s="449">
        <f t="shared" si="31"/>
        <v>0</v>
      </c>
      <c r="V118" s="450" t="str">
        <f t="shared" si="32"/>
        <v/>
      </c>
      <c r="W118" s="450" t="str">
        <f>IF(R118=0,"-",SUMIFS($R$2:R118,$A$2:A118,A118,$C$2:C118,C118)/SUMIFS($J$2:J118,$A$2:A118,A118,$C$2:C118,C118)-1)</f>
        <v>-</v>
      </c>
      <c r="X118" s="450" t="str">
        <f t="shared" si="33"/>
        <v/>
      </c>
      <c r="Y118" s="450" t="str">
        <f>IFERROR(IF(R118=0,"-",SUMIFS($R$2:R118,$A$2:A118,A118,$C$2:C118,C118)/SUMIFS($N$2:N118,$A$2:A118,A118,$C$2:C118,C118)-1),"")</f>
        <v>-</v>
      </c>
      <c r="Z118" s="269" t="str">
        <f>IF(R118=0,"",(S118/VLOOKUP(_xlfn.NUMBERVALUE(_xlfn.CONCAT(LEFT(F118,4),52)),$F$2:T325,COLUMNS($F$2:T325),FALSE)))</f>
        <v/>
      </c>
      <c r="AA118" s="269" t="str">
        <f>IFERROR(IF(R118=0,"",(S118/VLOOKUP(_xlfn.NUMBERVALUE(_xlfn.CONCAT(LEFT(F118,4),52)),$F$2:U325,COLUMNS($F$2:U325),FALSE))),"")</f>
        <v/>
      </c>
      <c r="AB118" s="268" t="str">
        <f t="shared" si="34"/>
        <v/>
      </c>
      <c r="AC118" s="450" t="str">
        <f t="shared" si="35"/>
        <v/>
      </c>
      <c r="AD118" s="450" t="str">
        <f t="shared" si="36"/>
        <v/>
      </c>
      <c r="AE118" s="269" t="str">
        <f t="shared" si="37"/>
        <v/>
      </c>
      <c r="AF118" s="268" t="str">
        <f t="shared" si="38"/>
        <v/>
      </c>
      <c r="AG118" s="450" t="str">
        <f t="shared" si="39"/>
        <v/>
      </c>
      <c r="AH118" s="450" t="str">
        <f t="shared" si="40"/>
        <v/>
      </c>
      <c r="AI118" s="269" t="str">
        <f t="shared" si="41"/>
        <v/>
      </c>
      <c r="AJ118" s="450" t="str">
        <f>IF(O118=0,"-",SUMIFS($O$2:O118,$A$2:A118,$A118,$F$2:F118,"&lt;="&amp;$F118)/SUMIFS($G$2:G118,$A$2:A118,$A118,$F$2:F118,"&lt;="&amp;$F118)-1)</f>
        <v>-</v>
      </c>
      <c r="AK118" s="450" t="str">
        <f>IF(P118=0,"-",SUMIFS($P$2:P118,$A$2:A118,$A118,$F$2:F118,"&lt;="&amp;$F118)/SUMIFS($H$2:H118,$A$2:A118,$A118,$F$2:F118,"&lt;="&amp;$F118)-1)</f>
        <v>-</v>
      </c>
      <c r="AL118" s="450" t="str">
        <f>IF(Q118=0,"-",SUMIFS($Q$2:Q118,$A$2:A118,$A118,$F$2:F118,"&lt;="&amp;$F118)/SUMIFS($I$2:I118,$A$2:A118,$A118,$F$2:F118,"&lt;="&amp;$F118)-1)</f>
        <v>-</v>
      </c>
      <c r="AM118" s="450" t="str">
        <f>IFERROR(IF(O118=0,"-",SUMIFS($O$2:O118,$A$2:A118,$A118,$F$2:F118,"&lt;="&amp;$F118)/SUMIFS($K$2:K118,$A$2:A118,$A118,$F$2:F118,"&lt;="&amp;$F118)-1),"")</f>
        <v>-</v>
      </c>
      <c r="AN118" s="450" t="str">
        <f>IFERROR(IF(P118=0,"-",SUMIFS($P$2:P118,$A$2:A118,$A118,$F$2:F118,"&lt;="&amp;$F118)/SUMIFS($L$2:L118,$A$2:A118,$A118,$F$2:F118,"&lt;="&amp;$F118)-1),"")</f>
        <v>-</v>
      </c>
      <c r="AO118" s="450" t="str">
        <f>IFERROR(IF(Q118=0,"-",SUMIFS($Q$2:Q118,$A$2:A118,$A118,$F$2:F118,"&lt;="&amp;$F118)/SUMIFS($M$2:M118,$A$2:A118,$A118,$F$2:F118,"&lt;="&amp;$F118)-1),"")</f>
        <v>-</v>
      </c>
      <c r="AP118" s="239"/>
      <c r="AQ118" s="452" t="str">
        <f>'Overall Metrics'!AO123</f>
        <v/>
      </c>
      <c r="AR118" s="450" t="str">
        <f t="shared" si="42"/>
        <v/>
      </c>
      <c r="AS118" s="453" t="str">
        <f>IFERROR(IF(R119=0,"-",AVERAGEIFS($AQ$2:AQ118,$A$2:A118,$A118,$F$2:F118,"&lt;="&amp;$F118)-AVERAGEIFS($AP$2:AP118,$A$2:A118,$A118,$F$2:F118,"&lt;="&amp;$F118)),"")</f>
        <v>-</v>
      </c>
      <c r="AT118" s="390" t="str">
        <f>IFERROR(IF(R119=0,"-",AVERAGEIFS($AQ$2:AQ118,$A$2:A118,A118,$C$2:C118,C118)-AVERAGEIFS($AP$2:AP118,$A$2:A118,A118,$C$2:C118,C118)),"")</f>
        <v>-</v>
      </c>
      <c r="AU118" s="819"/>
      <c r="AV118" s="452">
        <f>'Overall Metrics'!AS123</f>
        <v>-0.1</v>
      </c>
      <c r="AW118" s="450">
        <f t="shared" si="43"/>
        <v>-0.1</v>
      </c>
      <c r="AX118" s="453" t="str">
        <f>IFERROR(IF(R122=0,"-",AVERAGEIFS($AV$2:AV118,$A$2:A118,$A118,$F$2:F118,"&lt;="&amp;$F118)-AVERAGEIFS($AU$2:AU118,$A$2:A118,$A118,$F$2:F118,"&lt;="&amp;$F118)),"")</f>
        <v>-</v>
      </c>
      <c r="AY118" s="453" t="str">
        <f>IFERROR(IF(R122=0,"-",AVERAGEIFS($AV$2:AV118,$A$2:A118,A118,$C$2:C118,C118)-AVERAGEIFS($AU$2:AU118,$A$2:A118,A118,$C$2:C118,C118)),"")</f>
        <v>-</v>
      </c>
      <c r="AZ118" s="86"/>
      <c r="BA118" s="449">
        <f>'Glass Metrics'!AC123</f>
        <v>0</v>
      </c>
      <c r="BB118" s="450" t="str">
        <f t="shared" si="44"/>
        <v/>
      </c>
      <c r="BC118" s="450" t="str">
        <f>IFERROR(IF(R118=0,"-",AVERAGEIFS($BA$2:BA118,$A$2:A118,$A118,$F$2:F118,"&lt;="&amp;$F118)/AVERAGEIFS($AZ$2:AZ118,$A$2:A118,$A118,$F$2:F118,"&lt;="&amp;$F118)-1),"")</f>
        <v>-</v>
      </c>
      <c r="BD118" s="269" t="str">
        <f>IFERROR(IF(R118=0,"-",AVERAGEIFS($BA$2:BA118,$A$2:A118,A118,$C$2:C118,C118)/AVERAGEIFS($AZ$2:AZ118,$A$2:A118,A118,$C$2:C118,C118)-1),"")</f>
        <v>-</v>
      </c>
    </row>
    <row r="119" spans="1:56" ht="16.350000000000001" customHeight="1">
      <c r="A119" s="175">
        <f t="shared" si="23"/>
        <v>2023</v>
      </c>
      <c r="B119" s="447" t="str">
        <f t="shared" si="24"/>
        <v>14</v>
      </c>
      <c r="C119" s="447" t="str">
        <f t="array" ref="C119">_xlfn.IFS(_xlfn.NUMBERVALUE(B119)&lt;=13,"Q1",AND(_xlfn.NUMBERVALUE(B119)&gt;13,_xlfn.NUMBERVALUE(B119)&lt;=26),"Q2", AND(_xlfn.NUMBERVALUE(B119)&gt;26,_xlfn.NUMBERVALUE(B119)&lt;=39),"Q3",_xlfn.NUMBERVALUE(B119)&gt;39,"Q4")</f>
        <v>Q2</v>
      </c>
      <c r="D119" s="448">
        <f t="shared" si="45"/>
        <v>44681</v>
      </c>
      <c r="E119" s="448">
        <f t="shared" si="25"/>
        <v>44687</v>
      </c>
      <c r="F119" s="79">
        <v>202214</v>
      </c>
      <c r="G119" s="103"/>
      <c r="H119" s="429"/>
      <c r="I119" s="429"/>
      <c r="J119" s="214">
        <f t="shared" si="26"/>
        <v>0</v>
      </c>
      <c r="K119" s="429"/>
      <c r="L119" s="429"/>
      <c r="M119" s="429"/>
      <c r="N119" s="214">
        <f t="shared" si="27"/>
        <v>0</v>
      </c>
      <c r="O119" s="449">
        <f>'Overall Metrics'!L124</f>
        <v>0</v>
      </c>
      <c r="P119" s="449">
        <f>'Overall Metrics'!M124</f>
        <v>0</v>
      </c>
      <c r="Q119" s="449">
        <f>'Overall Metrics'!N124</f>
        <v>0</v>
      </c>
      <c r="R119" s="449">
        <f t="shared" si="28"/>
        <v>0</v>
      </c>
      <c r="S119" s="180">
        <f t="shared" si="29"/>
        <v>0</v>
      </c>
      <c r="T119" s="449">
        <f t="shared" si="30"/>
        <v>0</v>
      </c>
      <c r="U119" s="449">
        <f t="shared" si="31"/>
        <v>0</v>
      </c>
      <c r="V119" s="450" t="str">
        <f t="shared" si="32"/>
        <v/>
      </c>
      <c r="W119" s="450" t="str">
        <f>IF(R119=0,"-",SUMIFS($R$2:R119,$A$2:A119,A119,$C$2:C119,C119)/SUMIFS($J$2:J119,$A$2:A119,A119,$C$2:C119,C119)-1)</f>
        <v>-</v>
      </c>
      <c r="X119" s="450" t="str">
        <f t="shared" si="33"/>
        <v/>
      </c>
      <c r="Y119" s="450" t="str">
        <f>IFERROR(IF(R119=0,"-",SUMIFS($R$2:R119,$A$2:A119,A119,$C$2:C119,C119)/SUMIFS($N$2:N119,$A$2:A119,A119,$C$2:C119,C119)-1),"")</f>
        <v>-</v>
      </c>
      <c r="Z119" s="269" t="str">
        <f>IF(R119=0,"",(S119/VLOOKUP(_xlfn.NUMBERVALUE(_xlfn.CONCAT(LEFT(F119,4),52)),$F$2:T326,COLUMNS($F$2:T326),FALSE)))</f>
        <v/>
      </c>
      <c r="AA119" s="269" t="str">
        <f>IFERROR(IF(R119=0,"",(S119/VLOOKUP(_xlfn.NUMBERVALUE(_xlfn.CONCAT(LEFT(F119,4),52)),$F$2:U326,COLUMNS($F$2:U326),FALSE))),"")</f>
        <v/>
      </c>
      <c r="AB119" s="268" t="str">
        <f t="shared" si="34"/>
        <v/>
      </c>
      <c r="AC119" s="450" t="str">
        <f t="shared" si="35"/>
        <v/>
      </c>
      <c r="AD119" s="450" t="str">
        <f t="shared" si="36"/>
        <v/>
      </c>
      <c r="AE119" s="269" t="str">
        <f t="shared" si="37"/>
        <v/>
      </c>
      <c r="AF119" s="268" t="str">
        <f t="shared" si="38"/>
        <v/>
      </c>
      <c r="AG119" s="450" t="str">
        <f t="shared" si="39"/>
        <v/>
      </c>
      <c r="AH119" s="450" t="str">
        <f t="shared" si="40"/>
        <v/>
      </c>
      <c r="AI119" s="269" t="str">
        <f t="shared" si="41"/>
        <v/>
      </c>
      <c r="AJ119" s="450" t="str">
        <f>IF(O119=0,"-",SUMIFS($O$2:O119,$A$2:A119,$A119,$F$2:F119,"&lt;="&amp;$F119)/SUMIFS($G$2:G119,$A$2:A119,$A119,$F$2:F119,"&lt;="&amp;$F119)-1)</f>
        <v>-</v>
      </c>
      <c r="AK119" s="450" t="str">
        <f>IF(P119=0,"-",SUMIFS($P$2:P119,$A$2:A119,$A119,$F$2:F119,"&lt;="&amp;$F119)/SUMIFS($H$2:H119,$A$2:A119,$A119,$F$2:F119,"&lt;="&amp;$F119)-1)</f>
        <v>-</v>
      </c>
      <c r="AL119" s="450" t="str">
        <f>IF(Q119=0,"-",SUMIFS($Q$2:Q119,$A$2:A119,$A119,$F$2:F119,"&lt;="&amp;$F119)/SUMIFS($I$2:I119,$A$2:A119,$A119,$F$2:F119,"&lt;="&amp;$F119)-1)</f>
        <v>-</v>
      </c>
      <c r="AM119" s="450" t="str">
        <f>IFERROR(IF(O119=0,"-",SUMIFS($O$2:O119,$A$2:A119,$A119,$F$2:F119,"&lt;="&amp;$F119)/SUMIFS($K$2:K119,$A$2:A119,$A119,$F$2:F119,"&lt;="&amp;$F119)-1),"")</f>
        <v>-</v>
      </c>
      <c r="AN119" s="450" t="str">
        <f>IFERROR(IF(P119=0,"-",SUMIFS($P$2:P119,$A$2:A119,$A119,$F$2:F119,"&lt;="&amp;$F119)/SUMIFS($L$2:L119,$A$2:A119,$A119,$F$2:F119,"&lt;="&amp;$F119)-1),"")</f>
        <v>-</v>
      </c>
      <c r="AO119" s="450" t="str">
        <f>IFERROR(IF(Q119=0,"-",SUMIFS($Q$2:Q119,$A$2:A119,$A119,$F$2:F119,"&lt;="&amp;$F119)/SUMIFS($M$2:M119,$A$2:A119,$A119,$F$2:F119,"&lt;="&amp;$F119)-1),"")</f>
        <v>-</v>
      </c>
      <c r="AP119" s="239"/>
      <c r="AQ119" s="452" t="str">
        <f>'Overall Metrics'!AO124</f>
        <v/>
      </c>
      <c r="AR119" s="450" t="str">
        <f t="shared" si="42"/>
        <v/>
      </c>
      <c r="AS119" s="453" t="str">
        <f>IFERROR(IF(R120=0,"-",AVERAGEIFS($AQ$2:AQ119,$A$2:A119,$A119,$F$2:F119,"&lt;="&amp;$F119)-AVERAGEIFS($AP$2:AP119,$A$2:A119,$A119,$F$2:F119,"&lt;="&amp;$F119)),"")</f>
        <v>-</v>
      </c>
      <c r="AT119" s="390" t="str">
        <f>IFERROR(IF(R120=0,"-",AVERAGEIFS($AQ$2:AQ119,$A$2:A119,A119,$C$2:C119,C119)-AVERAGEIFS($AP$2:AP119,$A$2:A119,A119,$C$2:C119,C119)),"")</f>
        <v>-</v>
      </c>
      <c r="AU119" s="819"/>
      <c r="AV119" s="452">
        <f>'Overall Metrics'!AS124</f>
        <v>-0.1</v>
      </c>
      <c r="AW119" s="450">
        <f t="shared" si="43"/>
        <v>-0.1</v>
      </c>
      <c r="AX119" s="453" t="str">
        <f>IFERROR(IF(R123=0,"-",AVERAGEIFS($AV$2:AV119,$A$2:A119,$A119,$F$2:F119,"&lt;="&amp;$F119)-AVERAGEIFS($AU$2:AU119,$A$2:A119,$A119,$F$2:F119,"&lt;="&amp;$F119)),"")</f>
        <v>-</v>
      </c>
      <c r="AY119" s="453" t="str">
        <f>IFERROR(IF(R123=0,"-",AVERAGEIFS($AV$2:AV119,$A$2:A119,A119,$C$2:C119,C119)-AVERAGEIFS($AU$2:AU119,$A$2:A119,A119,$C$2:C119,C119)),"")</f>
        <v>-</v>
      </c>
      <c r="AZ119" s="86"/>
      <c r="BA119" s="449">
        <f>'Glass Metrics'!AC124</f>
        <v>0</v>
      </c>
      <c r="BB119" s="450" t="str">
        <f t="shared" si="44"/>
        <v/>
      </c>
      <c r="BC119" s="450" t="str">
        <f>IFERROR(IF(R119=0,"-",AVERAGEIFS($BA$2:BA119,$A$2:A119,$A119,$F$2:F119,"&lt;="&amp;$F119)/AVERAGEIFS($AZ$2:AZ119,$A$2:A119,$A119,$F$2:F119,"&lt;="&amp;$F119)-1),"")</f>
        <v>-</v>
      </c>
      <c r="BD119" s="269" t="str">
        <f>IFERROR(IF(R119=0,"-",AVERAGEIFS($BA$2:BA119,$A$2:A119,A119,$C$2:C119,C119)/AVERAGEIFS($AZ$2:AZ119,$A$2:A119,A119,$C$2:C119,C119)-1),"")</f>
        <v>-</v>
      </c>
    </row>
    <row r="120" spans="1:56" ht="16.350000000000001" customHeight="1">
      <c r="A120" s="175">
        <f t="shared" si="23"/>
        <v>2023</v>
      </c>
      <c r="B120" s="447" t="str">
        <f t="shared" si="24"/>
        <v>15</v>
      </c>
      <c r="C120" s="447" t="str">
        <f t="array" ref="C120">_xlfn.IFS(_xlfn.NUMBERVALUE(B120)&lt;=13,"Q1",AND(_xlfn.NUMBERVALUE(B120)&gt;13,_xlfn.NUMBERVALUE(B120)&lt;=26),"Q2", AND(_xlfn.NUMBERVALUE(B120)&gt;26,_xlfn.NUMBERVALUE(B120)&lt;=39),"Q3",_xlfn.NUMBERVALUE(B120)&gt;39,"Q4")</f>
        <v>Q2</v>
      </c>
      <c r="D120" s="448">
        <f t="shared" si="45"/>
        <v>44688</v>
      </c>
      <c r="E120" s="448">
        <f t="shared" si="25"/>
        <v>44694</v>
      </c>
      <c r="F120" s="79">
        <v>202215</v>
      </c>
      <c r="G120" s="103"/>
      <c r="H120" s="429"/>
      <c r="I120" s="429"/>
      <c r="J120" s="214">
        <f t="shared" si="26"/>
        <v>0</v>
      </c>
      <c r="K120" s="429"/>
      <c r="L120" s="429"/>
      <c r="M120" s="429"/>
      <c r="N120" s="214">
        <f t="shared" si="27"/>
        <v>0</v>
      </c>
      <c r="O120" s="449">
        <f>'Overall Metrics'!L125</f>
        <v>0</v>
      </c>
      <c r="P120" s="449">
        <f>'Overall Metrics'!M125</f>
        <v>0</v>
      </c>
      <c r="Q120" s="449">
        <f>'Overall Metrics'!N125</f>
        <v>0</v>
      </c>
      <c r="R120" s="449">
        <f t="shared" si="28"/>
        <v>0</v>
      </c>
      <c r="S120" s="180">
        <f t="shared" si="29"/>
        <v>0</v>
      </c>
      <c r="T120" s="449">
        <f t="shared" si="30"/>
        <v>0</v>
      </c>
      <c r="U120" s="449">
        <f t="shared" si="31"/>
        <v>0</v>
      </c>
      <c r="V120" s="450" t="str">
        <f t="shared" si="32"/>
        <v/>
      </c>
      <c r="W120" s="450" t="str">
        <f>IF(R120=0,"-",SUMIFS($R$2:R120,$A$2:A120,A120,$C$2:C120,C120)/SUMIFS($J$2:J120,$A$2:A120,A120,$C$2:C120,C120)-1)</f>
        <v>-</v>
      </c>
      <c r="X120" s="450" t="str">
        <f t="shared" si="33"/>
        <v/>
      </c>
      <c r="Y120" s="450" t="str">
        <f>IFERROR(IF(R120=0,"-",SUMIFS($R$2:R120,$A$2:A120,A120,$C$2:C120,C120)/SUMIFS($N$2:N120,$A$2:A120,A120,$C$2:C120,C120)-1),"")</f>
        <v>-</v>
      </c>
      <c r="Z120" s="269" t="str">
        <f>IF(R120=0,"",(S120/VLOOKUP(_xlfn.NUMBERVALUE(_xlfn.CONCAT(LEFT(F120,4),52)),$F$2:T327,COLUMNS($F$2:T327),FALSE)))</f>
        <v/>
      </c>
      <c r="AA120" s="269" t="str">
        <f>IFERROR(IF(R120=0,"",(S120/VLOOKUP(_xlfn.NUMBERVALUE(_xlfn.CONCAT(LEFT(F120,4),52)),$F$2:U327,COLUMNS($F$2:U327),FALSE))),"")</f>
        <v/>
      </c>
      <c r="AB120" s="268" t="str">
        <f t="shared" si="34"/>
        <v/>
      </c>
      <c r="AC120" s="450" t="str">
        <f t="shared" si="35"/>
        <v/>
      </c>
      <c r="AD120" s="450" t="str">
        <f t="shared" si="36"/>
        <v/>
      </c>
      <c r="AE120" s="269" t="str">
        <f t="shared" si="37"/>
        <v/>
      </c>
      <c r="AF120" s="268" t="str">
        <f t="shared" si="38"/>
        <v/>
      </c>
      <c r="AG120" s="450" t="str">
        <f t="shared" si="39"/>
        <v/>
      </c>
      <c r="AH120" s="450" t="str">
        <f t="shared" si="40"/>
        <v/>
      </c>
      <c r="AI120" s="269" t="str">
        <f t="shared" si="41"/>
        <v/>
      </c>
      <c r="AJ120" s="450" t="str">
        <f>IF(O120=0,"-",SUMIFS($O$2:O120,$A$2:A120,$A120,$F$2:F120,"&lt;="&amp;$F120)/SUMIFS($G$2:G120,$A$2:A120,$A120,$F$2:F120,"&lt;="&amp;$F120)-1)</f>
        <v>-</v>
      </c>
      <c r="AK120" s="450" t="str">
        <f>IF(P120=0,"-",SUMIFS($P$2:P120,$A$2:A120,$A120,$F$2:F120,"&lt;="&amp;$F120)/SUMIFS($H$2:H120,$A$2:A120,$A120,$F$2:F120,"&lt;="&amp;$F120)-1)</f>
        <v>-</v>
      </c>
      <c r="AL120" s="450" t="str">
        <f>IF(Q120=0,"-",SUMIFS($Q$2:Q120,$A$2:A120,$A120,$F$2:F120,"&lt;="&amp;$F120)/SUMIFS($I$2:I120,$A$2:A120,$A120,$F$2:F120,"&lt;="&amp;$F120)-1)</f>
        <v>-</v>
      </c>
      <c r="AM120" s="450" t="str">
        <f>IFERROR(IF(O120=0,"-",SUMIFS($O$2:O120,$A$2:A120,$A120,$F$2:F120,"&lt;="&amp;$F120)/SUMIFS($K$2:K120,$A$2:A120,$A120,$F$2:F120,"&lt;="&amp;$F120)-1),"")</f>
        <v>-</v>
      </c>
      <c r="AN120" s="450" t="str">
        <f>IFERROR(IF(P120=0,"-",SUMIFS($P$2:P120,$A$2:A120,$A120,$F$2:F120,"&lt;="&amp;$F120)/SUMIFS($L$2:L120,$A$2:A120,$A120,$F$2:F120,"&lt;="&amp;$F120)-1),"")</f>
        <v>-</v>
      </c>
      <c r="AO120" s="450" t="str">
        <f>IFERROR(IF(Q120=0,"-",SUMIFS($Q$2:Q120,$A$2:A120,$A120,$F$2:F120,"&lt;="&amp;$F120)/SUMIFS($M$2:M120,$A$2:A120,$A120,$F$2:F120,"&lt;="&amp;$F120)-1),"")</f>
        <v>-</v>
      </c>
      <c r="AP120" s="239"/>
      <c r="AQ120" s="452" t="str">
        <f>'Overall Metrics'!AO125</f>
        <v/>
      </c>
      <c r="AR120" s="450" t="str">
        <f t="shared" si="42"/>
        <v/>
      </c>
      <c r="AS120" s="453" t="str">
        <f>IFERROR(IF(R121=0,"-",AVERAGEIFS($AQ$2:AQ120,$A$2:A120,$A120,$F$2:F120,"&lt;="&amp;$F120)-AVERAGEIFS($AP$2:AP120,$A$2:A120,$A120,$F$2:F120,"&lt;="&amp;$F120)),"")</f>
        <v>-</v>
      </c>
      <c r="AT120" s="390" t="str">
        <f>IFERROR(IF(R121=0,"-",AVERAGEIFS($AQ$2:AQ120,$A$2:A120,A120,$C$2:C120,C120)-AVERAGEIFS($AP$2:AP120,$A$2:A120,A120,$C$2:C120,C120)),"")</f>
        <v>-</v>
      </c>
      <c r="AU120" s="819"/>
      <c r="AV120" s="452">
        <f>'Overall Metrics'!AS125</f>
        <v>-0.1</v>
      </c>
      <c r="AW120" s="450">
        <f t="shared" si="43"/>
        <v>-0.1</v>
      </c>
      <c r="AX120" s="453" t="str">
        <f>IFERROR(IF(R124=0,"-",AVERAGEIFS($AV$2:AV120,$A$2:A120,$A120,$F$2:F120,"&lt;="&amp;$F120)-AVERAGEIFS($AU$2:AU120,$A$2:A120,$A120,$F$2:F120,"&lt;="&amp;$F120)),"")</f>
        <v>-</v>
      </c>
      <c r="AY120" s="453" t="str">
        <f>IFERROR(IF(R124=0,"-",AVERAGEIFS($AV$2:AV120,$A$2:A120,A120,$C$2:C120,C120)-AVERAGEIFS($AU$2:AU120,$A$2:A120,A120,$C$2:C120,C120)),"")</f>
        <v>-</v>
      </c>
      <c r="AZ120" s="86"/>
      <c r="BA120" s="449">
        <f>'Glass Metrics'!AC125</f>
        <v>0</v>
      </c>
      <c r="BB120" s="450" t="str">
        <f t="shared" si="44"/>
        <v/>
      </c>
      <c r="BC120" s="450" t="str">
        <f>IFERROR(IF(R120=0,"-",AVERAGEIFS($BA$2:BA120,$A$2:A120,$A120,$F$2:F120,"&lt;="&amp;$F120)/AVERAGEIFS($AZ$2:AZ120,$A$2:A120,$A120,$F$2:F120,"&lt;="&amp;$F120)-1),"")</f>
        <v>-</v>
      </c>
      <c r="BD120" s="269" t="str">
        <f>IFERROR(IF(R120=0,"-",AVERAGEIFS($BA$2:BA120,$A$2:A120,A120,$C$2:C120,C120)/AVERAGEIFS($AZ$2:AZ120,$A$2:A120,A120,$C$2:C120,C120)-1),"")</f>
        <v>-</v>
      </c>
    </row>
    <row r="121" spans="1:56" ht="16.350000000000001" customHeight="1">
      <c r="A121" s="175">
        <f t="shared" si="23"/>
        <v>2023</v>
      </c>
      <c r="B121" s="447" t="str">
        <f t="shared" si="24"/>
        <v>16</v>
      </c>
      <c r="C121" s="447" t="str">
        <f t="array" ref="C121">_xlfn.IFS(_xlfn.NUMBERVALUE(B121)&lt;=13,"Q1",AND(_xlfn.NUMBERVALUE(B121)&gt;13,_xlfn.NUMBERVALUE(B121)&lt;=26),"Q2", AND(_xlfn.NUMBERVALUE(B121)&gt;26,_xlfn.NUMBERVALUE(B121)&lt;=39),"Q3",_xlfn.NUMBERVALUE(B121)&gt;39,"Q4")</f>
        <v>Q2</v>
      </c>
      <c r="D121" s="448">
        <f t="shared" si="45"/>
        <v>44695</v>
      </c>
      <c r="E121" s="448">
        <f t="shared" si="25"/>
        <v>44701</v>
      </c>
      <c r="F121" s="79">
        <v>202216</v>
      </c>
      <c r="G121" s="103"/>
      <c r="H121" s="429"/>
      <c r="I121" s="429"/>
      <c r="J121" s="214">
        <f t="shared" si="26"/>
        <v>0</v>
      </c>
      <c r="K121" s="429"/>
      <c r="L121" s="429"/>
      <c r="M121" s="429"/>
      <c r="N121" s="214">
        <f t="shared" si="27"/>
        <v>0</v>
      </c>
      <c r="O121" s="449">
        <f>'Overall Metrics'!L126</f>
        <v>0</v>
      </c>
      <c r="P121" s="449">
        <f>'Overall Metrics'!M126</f>
        <v>0</v>
      </c>
      <c r="Q121" s="449">
        <f>'Overall Metrics'!N126</f>
        <v>0</v>
      </c>
      <c r="R121" s="449">
        <f t="shared" si="28"/>
        <v>0</v>
      </c>
      <c r="S121" s="180">
        <f t="shared" si="29"/>
        <v>0</v>
      </c>
      <c r="T121" s="449">
        <f t="shared" si="30"/>
        <v>0</v>
      </c>
      <c r="U121" s="449">
        <f t="shared" si="31"/>
        <v>0</v>
      </c>
      <c r="V121" s="450" t="str">
        <f t="shared" si="32"/>
        <v/>
      </c>
      <c r="W121" s="450" t="str">
        <f>IF(R121=0,"-",SUMIFS($R$2:R121,$A$2:A121,A121,$C$2:C121,C121)/SUMIFS($J$2:J121,$A$2:A121,A121,$C$2:C121,C121)-1)</f>
        <v>-</v>
      </c>
      <c r="X121" s="450" t="str">
        <f t="shared" si="33"/>
        <v/>
      </c>
      <c r="Y121" s="450" t="str">
        <f>IFERROR(IF(R121=0,"-",SUMIFS($R$2:R121,$A$2:A121,A121,$C$2:C121,C121)/SUMIFS($N$2:N121,$A$2:A121,A121,$C$2:C121,C121)-1),"")</f>
        <v>-</v>
      </c>
      <c r="Z121" s="269" t="str">
        <f>IF(R121=0,"",(S121/VLOOKUP(_xlfn.NUMBERVALUE(_xlfn.CONCAT(LEFT(F121,4),52)),$F$2:T328,COLUMNS($F$2:T328),FALSE)))</f>
        <v/>
      </c>
      <c r="AA121" s="269" t="str">
        <f>IFERROR(IF(R121=0,"",(S121/VLOOKUP(_xlfn.NUMBERVALUE(_xlfn.CONCAT(LEFT(F121,4),52)),$F$2:U328,COLUMNS($F$2:U328),FALSE))),"")</f>
        <v/>
      </c>
      <c r="AB121" s="268" t="str">
        <f t="shared" si="34"/>
        <v/>
      </c>
      <c r="AC121" s="450" t="str">
        <f t="shared" si="35"/>
        <v/>
      </c>
      <c r="AD121" s="450" t="str">
        <f t="shared" si="36"/>
        <v/>
      </c>
      <c r="AE121" s="269" t="str">
        <f t="shared" si="37"/>
        <v/>
      </c>
      <c r="AF121" s="268" t="str">
        <f t="shared" si="38"/>
        <v/>
      </c>
      <c r="AG121" s="450" t="str">
        <f t="shared" si="39"/>
        <v/>
      </c>
      <c r="AH121" s="450" t="str">
        <f t="shared" si="40"/>
        <v/>
      </c>
      <c r="AI121" s="269" t="str">
        <f t="shared" si="41"/>
        <v/>
      </c>
      <c r="AJ121" s="450" t="str">
        <f>IF(O121=0,"-",SUMIFS($O$2:O121,$A$2:A121,$A121,$F$2:F121,"&lt;="&amp;$F121)/SUMIFS($G$2:G121,$A$2:A121,$A121,$F$2:F121,"&lt;="&amp;$F121)-1)</f>
        <v>-</v>
      </c>
      <c r="AK121" s="450" t="str">
        <f>IF(P121=0,"-",SUMIFS($P$2:P121,$A$2:A121,$A121,$F$2:F121,"&lt;="&amp;$F121)/SUMIFS($H$2:H121,$A$2:A121,$A121,$F$2:F121,"&lt;="&amp;$F121)-1)</f>
        <v>-</v>
      </c>
      <c r="AL121" s="450" t="str">
        <f>IF(Q121=0,"-",SUMIFS($Q$2:Q121,$A$2:A121,$A121,$F$2:F121,"&lt;="&amp;$F121)/SUMIFS($I$2:I121,$A$2:A121,$A121,$F$2:F121,"&lt;="&amp;$F121)-1)</f>
        <v>-</v>
      </c>
      <c r="AM121" s="450" t="str">
        <f>IFERROR(IF(O121=0,"-",SUMIFS($O$2:O121,$A$2:A121,$A121,$F$2:F121,"&lt;="&amp;$F121)/SUMIFS($K$2:K121,$A$2:A121,$A121,$F$2:F121,"&lt;="&amp;$F121)-1),"")</f>
        <v>-</v>
      </c>
      <c r="AN121" s="450" t="str">
        <f>IFERROR(IF(P121=0,"-",SUMIFS($P$2:P121,$A$2:A121,$A121,$F$2:F121,"&lt;="&amp;$F121)/SUMIFS($L$2:L121,$A$2:A121,$A121,$F$2:F121,"&lt;="&amp;$F121)-1),"")</f>
        <v>-</v>
      </c>
      <c r="AO121" s="450" t="str">
        <f>IFERROR(IF(Q121=0,"-",SUMIFS($Q$2:Q121,$A$2:A121,$A121,$F$2:F121,"&lt;="&amp;$F121)/SUMIFS($M$2:M121,$A$2:A121,$A121,$F$2:F121,"&lt;="&amp;$F121)-1),"")</f>
        <v>-</v>
      </c>
      <c r="AP121" s="239"/>
      <c r="AQ121" s="452" t="str">
        <f>'Overall Metrics'!AO126</f>
        <v/>
      </c>
      <c r="AR121" s="450" t="str">
        <f t="shared" si="42"/>
        <v/>
      </c>
      <c r="AS121" s="453" t="str">
        <f>IFERROR(IF(R122=0,"-",AVERAGEIFS($AQ$2:AQ121,$A$2:A121,$A121,$F$2:F121,"&lt;="&amp;$F121)-AVERAGEIFS($AP$2:AP121,$A$2:A121,$A121,$F$2:F121,"&lt;="&amp;$F121)),"")</f>
        <v>-</v>
      </c>
      <c r="AT121" s="390" t="str">
        <f>IFERROR(IF(R122=0,"-",AVERAGEIFS($AQ$2:AQ121,$A$2:A121,A121,$C$2:C121,C121)-AVERAGEIFS($AP$2:AP121,$A$2:A121,A121,$C$2:C121,C121)),"")</f>
        <v>-</v>
      </c>
      <c r="AU121" s="819"/>
      <c r="AV121" s="452">
        <f>'Overall Metrics'!AS126</f>
        <v>-0.1</v>
      </c>
      <c r="AW121" s="450">
        <f t="shared" si="43"/>
        <v>-0.1</v>
      </c>
      <c r="AX121" s="453" t="str">
        <f>IFERROR(IF(R125=0,"-",AVERAGEIFS($AV$2:AV121,$A$2:A121,$A121,$F$2:F121,"&lt;="&amp;$F121)-AVERAGEIFS($AU$2:AU121,$A$2:A121,$A121,$F$2:F121,"&lt;="&amp;$F121)),"")</f>
        <v>-</v>
      </c>
      <c r="AY121" s="453" t="str">
        <f>IFERROR(IF(R125=0,"-",AVERAGEIFS($AV$2:AV121,$A$2:A121,A121,$C$2:C121,C121)-AVERAGEIFS($AU$2:AU121,$A$2:A121,A121,$C$2:C121,C121)),"")</f>
        <v>-</v>
      </c>
      <c r="AZ121" s="86"/>
      <c r="BA121" s="449">
        <f>'Glass Metrics'!AC126</f>
        <v>0</v>
      </c>
      <c r="BB121" s="450" t="str">
        <f t="shared" si="44"/>
        <v/>
      </c>
      <c r="BC121" s="450" t="str">
        <f>IFERROR(IF(R121=0,"-",AVERAGEIFS($BA$2:BA121,$A$2:A121,$A121,$F$2:F121,"&lt;="&amp;$F121)/AVERAGEIFS($AZ$2:AZ121,$A$2:A121,$A121,$F$2:F121,"&lt;="&amp;$F121)-1),"")</f>
        <v>-</v>
      </c>
      <c r="BD121" s="269" t="str">
        <f>IFERROR(IF(R121=0,"-",AVERAGEIFS($BA$2:BA121,$A$2:A121,A121,$C$2:C121,C121)/AVERAGEIFS($AZ$2:AZ121,$A$2:A121,A121,$C$2:C121,C121)-1),"")</f>
        <v>-</v>
      </c>
    </row>
    <row r="122" spans="1:56" ht="16.350000000000001" customHeight="1">
      <c r="A122" s="175">
        <f t="shared" si="23"/>
        <v>2023</v>
      </c>
      <c r="B122" s="447" t="str">
        <f t="shared" si="24"/>
        <v>17</v>
      </c>
      <c r="C122" s="447" t="str">
        <f t="array" ref="C122">_xlfn.IFS(_xlfn.NUMBERVALUE(B122)&lt;=13,"Q1",AND(_xlfn.NUMBERVALUE(B122)&gt;13,_xlfn.NUMBERVALUE(B122)&lt;=26),"Q2", AND(_xlfn.NUMBERVALUE(B122)&gt;26,_xlfn.NUMBERVALUE(B122)&lt;=39),"Q3",_xlfn.NUMBERVALUE(B122)&gt;39,"Q4")</f>
        <v>Q2</v>
      </c>
      <c r="D122" s="448">
        <f t="shared" si="45"/>
        <v>44702</v>
      </c>
      <c r="E122" s="448">
        <f t="shared" si="25"/>
        <v>44708</v>
      </c>
      <c r="F122" s="79">
        <v>202217</v>
      </c>
      <c r="G122" s="103"/>
      <c r="H122" s="429"/>
      <c r="I122" s="429"/>
      <c r="J122" s="214">
        <f t="shared" si="26"/>
        <v>0</v>
      </c>
      <c r="K122" s="429"/>
      <c r="L122" s="429"/>
      <c r="M122" s="429"/>
      <c r="N122" s="214">
        <f t="shared" si="27"/>
        <v>0</v>
      </c>
      <c r="O122" s="449">
        <f>'Overall Metrics'!L127</f>
        <v>0</v>
      </c>
      <c r="P122" s="449">
        <f>'Overall Metrics'!M127</f>
        <v>0</v>
      </c>
      <c r="Q122" s="449">
        <f>'Overall Metrics'!N127</f>
        <v>0</v>
      </c>
      <c r="R122" s="449">
        <f t="shared" si="28"/>
        <v>0</v>
      </c>
      <c r="S122" s="180">
        <f t="shared" si="29"/>
        <v>0</v>
      </c>
      <c r="T122" s="449">
        <f t="shared" si="30"/>
        <v>0</v>
      </c>
      <c r="U122" s="449">
        <f t="shared" si="31"/>
        <v>0</v>
      </c>
      <c r="V122" s="450" t="str">
        <f t="shared" si="32"/>
        <v/>
      </c>
      <c r="W122" s="450" t="str">
        <f>IF(R122=0,"-",SUMIFS($R$2:R122,$A$2:A122,A122,$C$2:C122,C122)/SUMIFS($J$2:J122,$A$2:A122,A122,$C$2:C122,C122)-1)</f>
        <v>-</v>
      </c>
      <c r="X122" s="450" t="str">
        <f t="shared" si="33"/>
        <v/>
      </c>
      <c r="Y122" s="450" t="str">
        <f>IFERROR(IF(R122=0,"-",SUMIFS($R$2:R122,$A$2:A122,A122,$C$2:C122,C122)/SUMIFS($N$2:N122,$A$2:A122,A122,$C$2:C122,C122)-1),"")</f>
        <v>-</v>
      </c>
      <c r="Z122" s="269" t="str">
        <f>IF(R122=0,"",(S122/VLOOKUP(_xlfn.NUMBERVALUE(_xlfn.CONCAT(LEFT(F122,4),52)),$F$2:T329,COLUMNS($F$2:T329),FALSE)))</f>
        <v/>
      </c>
      <c r="AA122" s="269" t="str">
        <f>IFERROR(IF(R122=0,"",(S122/VLOOKUP(_xlfn.NUMBERVALUE(_xlfn.CONCAT(LEFT(F122,4),52)),$F$2:U329,COLUMNS($F$2:U329),FALSE))),"")</f>
        <v/>
      </c>
      <c r="AB122" s="268" t="str">
        <f t="shared" si="34"/>
        <v/>
      </c>
      <c r="AC122" s="450" t="str">
        <f t="shared" si="35"/>
        <v/>
      </c>
      <c r="AD122" s="450" t="str">
        <f t="shared" si="36"/>
        <v/>
      </c>
      <c r="AE122" s="269" t="str">
        <f t="shared" si="37"/>
        <v/>
      </c>
      <c r="AF122" s="268" t="str">
        <f t="shared" si="38"/>
        <v/>
      </c>
      <c r="AG122" s="450" t="str">
        <f t="shared" si="39"/>
        <v/>
      </c>
      <c r="AH122" s="450" t="str">
        <f t="shared" si="40"/>
        <v/>
      </c>
      <c r="AI122" s="269" t="str">
        <f t="shared" si="41"/>
        <v/>
      </c>
      <c r="AJ122" s="450" t="str">
        <f>IF(O122=0,"-",SUMIFS($O$2:O122,$A$2:A122,$A122,$F$2:F122,"&lt;="&amp;$F122)/SUMIFS($G$2:G122,$A$2:A122,$A122,$F$2:F122,"&lt;="&amp;$F122)-1)</f>
        <v>-</v>
      </c>
      <c r="AK122" s="450" t="str">
        <f>IF(P122=0,"-",SUMIFS($P$2:P122,$A$2:A122,$A122,$F$2:F122,"&lt;="&amp;$F122)/SUMIFS($H$2:H122,$A$2:A122,$A122,$F$2:F122,"&lt;="&amp;$F122)-1)</f>
        <v>-</v>
      </c>
      <c r="AL122" s="450" t="str">
        <f>IF(Q122=0,"-",SUMIFS($Q$2:Q122,$A$2:A122,$A122,$F$2:F122,"&lt;="&amp;$F122)/SUMIFS($I$2:I122,$A$2:A122,$A122,$F$2:F122,"&lt;="&amp;$F122)-1)</f>
        <v>-</v>
      </c>
      <c r="AM122" s="450" t="str">
        <f>IFERROR(IF(O122=0,"-",SUMIFS($O$2:O122,$A$2:A122,$A122,$F$2:F122,"&lt;="&amp;$F122)/SUMIFS($K$2:K122,$A$2:A122,$A122,$F$2:F122,"&lt;="&amp;$F122)-1),"")</f>
        <v>-</v>
      </c>
      <c r="AN122" s="450" t="str">
        <f>IFERROR(IF(P122=0,"-",SUMIFS($P$2:P122,$A$2:A122,$A122,$F$2:F122,"&lt;="&amp;$F122)/SUMIFS($L$2:L122,$A$2:A122,$A122,$F$2:F122,"&lt;="&amp;$F122)-1),"")</f>
        <v>-</v>
      </c>
      <c r="AO122" s="450" t="str">
        <f>IFERROR(IF(Q122=0,"-",SUMIFS($Q$2:Q122,$A$2:A122,$A122,$F$2:F122,"&lt;="&amp;$F122)/SUMIFS($M$2:M122,$A$2:A122,$A122,$F$2:F122,"&lt;="&amp;$F122)-1),"")</f>
        <v>-</v>
      </c>
      <c r="AP122" s="239"/>
      <c r="AQ122" s="452" t="str">
        <f>'Overall Metrics'!AO127</f>
        <v/>
      </c>
      <c r="AR122" s="450" t="str">
        <f t="shared" si="42"/>
        <v/>
      </c>
      <c r="AS122" s="453" t="str">
        <f>IFERROR(IF(R123=0,"-",AVERAGEIFS($AQ$2:AQ122,$A$2:A122,$A122,$F$2:F122,"&lt;="&amp;$F122)-AVERAGEIFS($AP$2:AP122,$A$2:A122,$A122,$F$2:F122,"&lt;="&amp;$F122)),"")</f>
        <v>-</v>
      </c>
      <c r="AT122" s="390" t="str">
        <f>IFERROR(IF(R123=0,"-",AVERAGEIFS($AQ$2:AQ122,$A$2:A122,A122,$C$2:C122,C122)-AVERAGEIFS($AP$2:AP122,$A$2:A122,A122,$C$2:C122,C122)),"")</f>
        <v>-</v>
      </c>
      <c r="AU122" s="819"/>
      <c r="AV122" s="452">
        <f>'Overall Metrics'!AS127</f>
        <v>-0.1</v>
      </c>
      <c r="AW122" s="450">
        <f t="shared" si="43"/>
        <v>-0.1</v>
      </c>
      <c r="AX122" s="453" t="str">
        <f>IFERROR(IF(R126=0,"-",AVERAGEIFS($AV$2:AV122,$A$2:A122,$A122,$F$2:F122,"&lt;="&amp;$F122)-AVERAGEIFS($AU$2:AU122,$A$2:A122,$A122,$F$2:F122,"&lt;="&amp;$F122)),"")</f>
        <v>-</v>
      </c>
      <c r="AY122" s="453" t="str">
        <f>IFERROR(IF(R126=0,"-",AVERAGEIFS($AV$2:AV122,$A$2:A122,A122,$C$2:C122,C122)-AVERAGEIFS($AU$2:AU122,$A$2:A122,A122,$C$2:C122,C122)),"")</f>
        <v>-</v>
      </c>
      <c r="AZ122" s="86"/>
      <c r="BA122" s="449">
        <f>'Glass Metrics'!AC127</f>
        <v>0</v>
      </c>
      <c r="BB122" s="450" t="str">
        <f t="shared" si="44"/>
        <v/>
      </c>
      <c r="BC122" s="450" t="str">
        <f>IFERROR(IF(R122=0,"-",AVERAGEIFS($BA$2:BA122,$A$2:A122,$A122,$F$2:F122,"&lt;="&amp;$F122)/AVERAGEIFS($AZ$2:AZ122,$A$2:A122,$A122,$F$2:F122,"&lt;="&amp;$F122)-1),"")</f>
        <v>-</v>
      </c>
      <c r="BD122" s="269" t="str">
        <f>IFERROR(IF(R122=0,"-",AVERAGEIFS($BA$2:BA122,$A$2:A122,A122,$C$2:C122,C122)/AVERAGEIFS($AZ$2:AZ122,$A$2:A122,A122,$C$2:C122,C122)-1),"")</f>
        <v>-</v>
      </c>
    </row>
    <row r="123" spans="1:56" ht="16.350000000000001" customHeight="1">
      <c r="A123" s="175">
        <f t="shared" si="23"/>
        <v>2023</v>
      </c>
      <c r="B123" s="447" t="str">
        <f t="shared" si="24"/>
        <v>18</v>
      </c>
      <c r="C123" s="447" t="str">
        <f t="array" ref="C123">_xlfn.IFS(_xlfn.NUMBERVALUE(B123)&lt;=13,"Q1",AND(_xlfn.NUMBERVALUE(B123)&gt;13,_xlfn.NUMBERVALUE(B123)&lt;=26),"Q2", AND(_xlfn.NUMBERVALUE(B123)&gt;26,_xlfn.NUMBERVALUE(B123)&lt;=39),"Q3",_xlfn.NUMBERVALUE(B123)&gt;39,"Q4")</f>
        <v>Q2</v>
      </c>
      <c r="D123" s="448">
        <f t="shared" si="45"/>
        <v>44709</v>
      </c>
      <c r="E123" s="448">
        <f t="shared" si="25"/>
        <v>44715</v>
      </c>
      <c r="F123" s="79">
        <v>202218</v>
      </c>
      <c r="G123" s="103"/>
      <c r="H123" s="429"/>
      <c r="I123" s="429"/>
      <c r="J123" s="214">
        <f t="shared" si="26"/>
        <v>0</v>
      </c>
      <c r="K123" s="429"/>
      <c r="L123" s="429"/>
      <c r="M123" s="429"/>
      <c r="N123" s="214">
        <f t="shared" si="27"/>
        <v>0</v>
      </c>
      <c r="O123" s="449">
        <f>'Overall Metrics'!L128</f>
        <v>0</v>
      </c>
      <c r="P123" s="449">
        <f>'Overall Metrics'!M128</f>
        <v>0</v>
      </c>
      <c r="Q123" s="449">
        <f>'Overall Metrics'!N128</f>
        <v>0</v>
      </c>
      <c r="R123" s="449">
        <f t="shared" si="28"/>
        <v>0</v>
      </c>
      <c r="S123" s="180">
        <f t="shared" si="29"/>
        <v>0</v>
      </c>
      <c r="T123" s="449">
        <f t="shared" si="30"/>
        <v>0</v>
      </c>
      <c r="U123" s="449">
        <f t="shared" si="31"/>
        <v>0</v>
      </c>
      <c r="V123" s="450" t="str">
        <f t="shared" si="32"/>
        <v/>
      </c>
      <c r="W123" s="450" t="str">
        <f>IF(R123=0,"-",SUMIFS($R$2:R123,$A$2:A123,A123,$C$2:C123,C123)/SUMIFS($J$2:J123,$A$2:A123,A123,$C$2:C123,C123)-1)</f>
        <v>-</v>
      </c>
      <c r="X123" s="450" t="str">
        <f t="shared" si="33"/>
        <v/>
      </c>
      <c r="Y123" s="450" t="str">
        <f>IFERROR(IF(R123=0,"-",SUMIFS($R$2:R123,$A$2:A123,A123,$C$2:C123,C123)/SUMIFS($N$2:N123,$A$2:A123,A123,$C$2:C123,C123)-1),"")</f>
        <v>-</v>
      </c>
      <c r="Z123" s="269" t="str">
        <f>IF(R123=0,"",(S123/VLOOKUP(_xlfn.NUMBERVALUE(_xlfn.CONCAT(LEFT(F123,4),52)),$F$2:T330,COLUMNS($F$2:T330),FALSE)))</f>
        <v/>
      </c>
      <c r="AA123" s="269" t="str">
        <f>IFERROR(IF(R123=0,"",(S123/VLOOKUP(_xlfn.NUMBERVALUE(_xlfn.CONCAT(LEFT(F123,4),52)),$F$2:U330,COLUMNS($F$2:U330),FALSE))),"")</f>
        <v/>
      </c>
      <c r="AB123" s="268" t="str">
        <f t="shared" si="34"/>
        <v/>
      </c>
      <c r="AC123" s="450" t="str">
        <f t="shared" si="35"/>
        <v/>
      </c>
      <c r="AD123" s="450" t="str">
        <f t="shared" si="36"/>
        <v/>
      </c>
      <c r="AE123" s="269" t="str">
        <f t="shared" si="37"/>
        <v/>
      </c>
      <c r="AF123" s="268" t="str">
        <f t="shared" si="38"/>
        <v/>
      </c>
      <c r="AG123" s="450" t="str">
        <f t="shared" si="39"/>
        <v/>
      </c>
      <c r="AH123" s="450" t="str">
        <f t="shared" si="40"/>
        <v/>
      </c>
      <c r="AI123" s="269" t="str">
        <f t="shared" si="41"/>
        <v/>
      </c>
      <c r="AJ123" s="450" t="str">
        <f>IF(O123=0,"-",SUMIFS($O$2:O123,$A$2:A123,$A123,$F$2:F123,"&lt;="&amp;$F123)/SUMIFS($G$2:G123,$A$2:A123,$A123,$F$2:F123,"&lt;="&amp;$F123)-1)</f>
        <v>-</v>
      </c>
      <c r="AK123" s="450" t="str">
        <f>IF(P123=0,"-",SUMIFS($P$2:P123,$A$2:A123,$A123,$F$2:F123,"&lt;="&amp;$F123)/SUMIFS($H$2:H123,$A$2:A123,$A123,$F$2:F123,"&lt;="&amp;$F123)-1)</f>
        <v>-</v>
      </c>
      <c r="AL123" s="450" t="str">
        <f>IF(Q123=0,"-",SUMIFS($Q$2:Q123,$A$2:A123,$A123,$F$2:F123,"&lt;="&amp;$F123)/SUMIFS($I$2:I123,$A$2:A123,$A123,$F$2:F123,"&lt;="&amp;$F123)-1)</f>
        <v>-</v>
      </c>
      <c r="AM123" s="450" t="str">
        <f>IFERROR(IF(O123=0,"-",SUMIFS($O$2:O123,$A$2:A123,$A123,$F$2:F123,"&lt;="&amp;$F123)/SUMIFS($K$2:K123,$A$2:A123,$A123,$F$2:F123,"&lt;="&amp;$F123)-1),"")</f>
        <v>-</v>
      </c>
      <c r="AN123" s="450" t="str">
        <f>IFERROR(IF(P123=0,"-",SUMIFS($P$2:P123,$A$2:A123,$A123,$F$2:F123,"&lt;="&amp;$F123)/SUMIFS($L$2:L123,$A$2:A123,$A123,$F$2:F123,"&lt;="&amp;$F123)-1),"")</f>
        <v>-</v>
      </c>
      <c r="AO123" s="450" t="str">
        <f>IFERROR(IF(Q123=0,"-",SUMIFS($Q$2:Q123,$A$2:A123,$A123,$F$2:F123,"&lt;="&amp;$F123)/SUMIFS($M$2:M123,$A$2:A123,$A123,$F$2:F123,"&lt;="&amp;$F123)-1),"")</f>
        <v>-</v>
      </c>
      <c r="AP123" s="239"/>
      <c r="AQ123" s="452" t="str">
        <f>'Overall Metrics'!AO128</f>
        <v/>
      </c>
      <c r="AR123" s="450" t="str">
        <f t="shared" si="42"/>
        <v/>
      </c>
      <c r="AS123" s="453" t="str">
        <f>IFERROR(IF(R124=0,"-",AVERAGEIFS($AQ$2:AQ123,$A$2:A123,$A123,$F$2:F123,"&lt;="&amp;$F123)-AVERAGEIFS($AP$2:AP123,$A$2:A123,$A123,$F$2:F123,"&lt;="&amp;$F123)),"")</f>
        <v>-</v>
      </c>
      <c r="AT123" s="390" t="str">
        <f>IFERROR(IF(R124=0,"-",AVERAGEIFS($AQ$2:AQ123,$A$2:A123,A123,$C$2:C123,C123)-AVERAGEIFS($AP$2:AP123,$A$2:A123,A123,$C$2:C123,C123)),"")</f>
        <v>-</v>
      </c>
      <c r="AU123" s="819"/>
      <c r="AV123" s="452">
        <f>'Overall Metrics'!AS128</f>
        <v>-0.1</v>
      </c>
      <c r="AW123" s="450">
        <f t="shared" si="43"/>
        <v>-0.1</v>
      </c>
      <c r="AX123" s="453" t="str">
        <f>IFERROR(IF(R127=0,"-",AVERAGEIFS($AV$2:AV123,$A$2:A123,$A123,$F$2:F123,"&lt;="&amp;$F123)-AVERAGEIFS($AU$2:AU123,$A$2:A123,$A123,$F$2:F123,"&lt;="&amp;$F123)),"")</f>
        <v>-</v>
      </c>
      <c r="AY123" s="453" t="str">
        <f>IFERROR(IF(R127=0,"-",AVERAGEIFS($AV$2:AV123,$A$2:A123,A123,$C$2:C123,C123)-AVERAGEIFS($AU$2:AU123,$A$2:A123,A123,$C$2:C123,C123)),"")</f>
        <v>-</v>
      </c>
      <c r="AZ123" s="86"/>
      <c r="BA123" s="449">
        <f>'Glass Metrics'!AC128</f>
        <v>0</v>
      </c>
      <c r="BB123" s="450" t="str">
        <f t="shared" si="44"/>
        <v/>
      </c>
      <c r="BC123" s="450" t="str">
        <f>IFERROR(IF(R123=0,"-",AVERAGEIFS($BA$2:BA123,$A$2:A123,$A123,$F$2:F123,"&lt;="&amp;$F123)/AVERAGEIFS($AZ$2:AZ123,$A$2:A123,$A123,$F$2:F123,"&lt;="&amp;$F123)-1),"")</f>
        <v>-</v>
      </c>
      <c r="BD123" s="269" t="str">
        <f>IFERROR(IF(R123=0,"-",AVERAGEIFS($BA$2:BA123,$A$2:A123,A123,$C$2:C123,C123)/AVERAGEIFS($AZ$2:AZ123,$A$2:A123,A123,$C$2:C123,C123)-1),"")</f>
        <v>-</v>
      </c>
    </row>
    <row r="124" spans="1:56" ht="16.350000000000001" customHeight="1">
      <c r="A124" s="175">
        <f t="shared" si="23"/>
        <v>2023</v>
      </c>
      <c r="B124" s="447" t="str">
        <f t="shared" si="24"/>
        <v>19</v>
      </c>
      <c r="C124" s="447" t="str">
        <f t="array" ref="C124">_xlfn.IFS(_xlfn.NUMBERVALUE(B124)&lt;=13,"Q1",AND(_xlfn.NUMBERVALUE(B124)&gt;13,_xlfn.NUMBERVALUE(B124)&lt;=26),"Q2", AND(_xlfn.NUMBERVALUE(B124)&gt;26,_xlfn.NUMBERVALUE(B124)&lt;=39),"Q3",_xlfn.NUMBERVALUE(B124)&gt;39,"Q4")</f>
        <v>Q2</v>
      </c>
      <c r="D124" s="448">
        <f t="shared" si="45"/>
        <v>44716</v>
      </c>
      <c r="E124" s="448">
        <f t="shared" si="25"/>
        <v>44722</v>
      </c>
      <c r="F124" s="79">
        <v>202219</v>
      </c>
      <c r="G124" s="103"/>
      <c r="H124" s="429"/>
      <c r="I124" s="429"/>
      <c r="J124" s="214">
        <f t="shared" si="26"/>
        <v>0</v>
      </c>
      <c r="K124" s="429"/>
      <c r="L124" s="429"/>
      <c r="M124" s="429"/>
      <c r="N124" s="214">
        <f t="shared" si="27"/>
        <v>0</v>
      </c>
      <c r="O124" s="449">
        <f>'Overall Metrics'!L129</f>
        <v>0</v>
      </c>
      <c r="P124" s="449">
        <f>'Overall Metrics'!M129</f>
        <v>0</v>
      </c>
      <c r="Q124" s="449">
        <f>'Overall Metrics'!N129</f>
        <v>0</v>
      </c>
      <c r="R124" s="449">
        <f t="shared" si="28"/>
        <v>0</v>
      </c>
      <c r="S124" s="180">
        <f t="shared" si="29"/>
        <v>0</v>
      </c>
      <c r="T124" s="449">
        <f t="shared" si="30"/>
        <v>0</v>
      </c>
      <c r="U124" s="449">
        <f t="shared" si="31"/>
        <v>0</v>
      </c>
      <c r="V124" s="450" t="str">
        <f t="shared" si="32"/>
        <v/>
      </c>
      <c r="W124" s="450" t="str">
        <f>IF(R124=0,"-",SUMIFS($R$2:R124,$A$2:A124,A124,$C$2:C124,C124)/SUMIFS($J$2:J124,$A$2:A124,A124,$C$2:C124,C124)-1)</f>
        <v>-</v>
      </c>
      <c r="X124" s="450" t="str">
        <f t="shared" si="33"/>
        <v/>
      </c>
      <c r="Y124" s="450" t="str">
        <f>IFERROR(IF(R124=0,"-",SUMIFS($R$2:R124,$A$2:A124,A124,$C$2:C124,C124)/SUMIFS($N$2:N124,$A$2:A124,A124,$C$2:C124,C124)-1),"")</f>
        <v>-</v>
      </c>
      <c r="Z124" s="269" t="str">
        <f>IF(R124=0,"",(S124/VLOOKUP(_xlfn.NUMBERVALUE(_xlfn.CONCAT(LEFT(F124,4),52)),$F$2:T331,COLUMNS($F$2:T331),FALSE)))</f>
        <v/>
      </c>
      <c r="AA124" s="269" t="str">
        <f>IFERROR(IF(R124=0,"",(S124/VLOOKUP(_xlfn.NUMBERVALUE(_xlfn.CONCAT(LEFT(F124,4),52)),$F$2:U331,COLUMNS($F$2:U331),FALSE))),"")</f>
        <v/>
      </c>
      <c r="AB124" s="268" t="str">
        <f t="shared" si="34"/>
        <v/>
      </c>
      <c r="AC124" s="450" t="str">
        <f t="shared" si="35"/>
        <v/>
      </c>
      <c r="AD124" s="450" t="str">
        <f t="shared" si="36"/>
        <v/>
      </c>
      <c r="AE124" s="269" t="str">
        <f t="shared" si="37"/>
        <v/>
      </c>
      <c r="AF124" s="268" t="str">
        <f t="shared" si="38"/>
        <v/>
      </c>
      <c r="AG124" s="450" t="str">
        <f t="shared" si="39"/>
        <v/>
      </c>
      <c r="AH124" s="450" t="str">
        <f t="shared" si="40"/>
        <v/>
      </c>
      <c r="AI124" s="269" t="str">
        <f t="shared" si="41"/>
        <v/>
      </c>
      <c r="AJ124" s="450" t="str">
        <f>IF(O124=0,"-",SUMIFS($O$2:O124,$A$2:A124,$A124,$F$2:F124,"&lt;="&amp;$F124)/SUMIFS($G$2:G124,$A$2:A124,$A124,$F$2:F124,"&lt;="&amp;$F124)-1)</f>
        <v>-</v>
      </c>
      <c r="AK124" s="450" t="str">
        <f>IF(P124=0,"-",SUMIFS($P$2:P124,$A$2:A124,$A124,$F$2:F124,"&lt;="&amp;$F124)/SUMIFS($H$2:H124,$A$2:A124,$A124,$F$2:F124,"&lt;="&amp;$F124)-1)</f>
        <v>-</v>
      </c>
      <c r="AL124" s="450" t="str">
        <f>IF(Q124=0,"-",SUMIFS($Q$2:Q124,$A$2:A124,$A124,$F$2:F124,"&lt;="&amp;$F124)/SUMIFS($I$2:I124,$A$2:A124,$A124,$F$2:F124,"&lt;="&amp;$F124)-1)</f>
        <v>-</v>
      </c>
      <c r="AM124" s="450" t="str">
        <f>IFERROR(IF(O124=0,"-",SUMIFS($O$2:O124,$A$2:A124,$A124,$F$2:F124,"&lt;="&amp;$F124)/SUMIFS($K$2:K124,$A$2:A124,$A124,$F$2:F124,"&lt;="&amp;$F124)-1),"")</f>
        <v>-</v>
      </c>
      <c r="AN124" s="450" t="str">
        <f>IFERROR(IF(P124=0,"-",SUMIFS($P$2:P124,$A$2:A124,$A124,$F$2:F124,"&lt;="&amp;$F124)/SUMIFS($L$2:L124,$A$2:A124,$A124,$F$2:F124,"&lt;="&amp;$F124)-1),"")</f>
        <v>-</v>
      </c>
      <c r="AO124" s="450" t="str">
        <f>IFERROR(IF(Q124=0,"-",SUMIFS($Q$2:Q124,$A$2:A124,$A124,$F$2:F124,"&lt;="&amp;$F124)/SUMIFS($M$2:M124,$A$2:A124,$A124,$F$2:F124,"&lt;="&amp;$F124)-1),"")</f>
        <v>-</v>
      </c>
      <c r="AP124" s="239"/>
      <c r="AQ124" s="452" t="str">
        <f>'Overall Metrics'!AO129</f>
        <v/>
      </c>
      <c r="AR124" s="450" t="str">
        <f t="shared" si="42"/>
        <v/>
      </c>
      <c r="AS124" s="453" t="str">
        <f>IFERROR(IF(R125=0,"-",AVERAGEIFS($AQ$2:AQ124,$A$2:A124,$A124,$F$2:F124,"&lt;="&amp;$F124)-AVERAGEIFS($AP$2:AP124,$A$2:A124,$A124,$F$2:F124,"&lt;="&amp;$F124)),"")</f>
        <v>-</v>
      </c>
      <c r="AT124" s="390" t="str">
        <f>IFERROR(IF(R125=0,"-",AVERAGEIFS($AQ$2:AQ124,$A$2:A124,A124,$C$2:C124,C124)-AVERAGEIFS($AP$2:AP124,$A$2:A124,A124,$C$2:C124,C124)),"")</f>
        <v>-</v>
      </c>
      <c r="AU124" s="819"/>
      <c r="AV124" s="452">
        <f>'Overall Metrics'!AS129</f>
        <v>-0.1</v>
      </c>
      <c r="AW124" s="450">
        <f t="shared" si="43"/>
        <v>-0.1</v>
      </c>
      <c r="AX124" s="453" t="str">
        <f>IFERROR(IF(R128=0,"-",AVERAGEIFS($AV$2:AV124,$A$2:A124,$A124,$F$2:F124,"&lt;="&amp;$F124)-AVERAGEIFS($AU$2:AU124,$A$2:A124,$A124,$F$2:F124,"&lt;="&amp;$F124)),"")</f>
        <v>-</v>
      </c>
      <c r="AY124" s="453" t="str">
        <f>IFERROR(IF(R128=0,"-",AVERAGEIFS($AV$2:AV124,$A$2:A124,A124,$C$2:C124,C124)-AVERAGEIFS($AU$2:AU124,$A$2:A124,A124,$C$2:C124,C124)),"")</f>
        <v>-</v>
      </c>
      <c r="AZ124" s="86"/>
      <c r="BA124" s="449">
        <f>'Glass Metrics'!AC129</f>
        <v>0</v>
      </c>
      <c r="BB124" s="450" t="str">
        <f t="shared" si="44"/>
        <v/>
      </c>
      <c r="BC124" s="450" t="str">
        <f>IFERROR(IF(R124=0,"-",AVERAGEIFS($BA$2:BA124,$A$2:A124,$A124,$F$2:F124,"&lt;="&amp;$F124)/AVERAGEIFS($AZ$2:AZ124,$A$2:A124,$A124,$F$2:F124,"&lt;="&amp;$F124)-1),"")</f>
        <v>-</v>
      </c>
      <c r="BD124" s="269" t="str">
        <f>IFERROR(IF(R124=0,"-",AVERAGEIFS($BA$2:BA124,$A$2:A124,A124,$C$2:C124,C124)/AVERAGEIFS($AZ$2:AZ124,$A$2:A124,A124,$C$2:C124,C124)-1),"")</f>
        <v>-</v>
      </c>
    </row>
    <row r="125" spans="1:56" ht="16.350000000000001" customHeight="1">
      <c r="A125" s="175">
        <f t="shared" si="23"/>
        <v>2023</v>
      </c>
      <c r="B125" s="447" t="str">
        <f t="shared" si="24"/>
        <v>20</v>
      </c>
      <c r="C125" s="447" t="str">
        <f t="array" ref="C125">_xlfn.IFS(_xlfn.NUMBERVALUE(B125)&lt;=13,"Q1",AND(_xlfn.NUMBERVALUE(B125)&gt;13,_xlfn.NUMBERVALUE(B125)&lt;=26),"Q2", AND(_xlfn.NUMBERVALUE(B125)&gt;26,_xlfn.NUMBERVALUE(B125)&lt;=39),"Q3",_xlfn.NUMBERVALUE(B125)&gt;39,"Q4")</f>
        <v>Q2</v>
      </c>
      <c r="D125" s="448">
        <f t="shared" si="45"/>
        <v>44723</v>
      </c>
      <c r="E125" s="448">
        <f t="shared" si="25"/>
        <v>44729</v>
      </c>
      <c r="F125" s="79">
        <v>202220</v>
      </c>
      <c r="G125" s="103"/>
      <c r="H125" s="429"/>
      <c r="I125" s="429"/>
      <c r="J125" s="214">
        <f t="shared" si="26"/>
        <v>0</v>
      </c>
      <c r="K125" s="429"/>
      <c r="L125" s="429"/>
      <c r="M125" s="429"/>
      <c r="N125" s="214">
        <f t="shared" si="27"/>
        <v>0</v>
      </c>
      <c r="O125" s="449">
        <f>'Overall Metrics'!L130</f>
        <v>0</v>
      </c>
      <c r="P125" s="449">
        <f>'Overall Metrics'!M130</f>
        <v>0</v>
      </c>
      <c r="Q125" s="449">
        <f>'Overall Metrics'!N130</f>
        <v>0</v>
      </c>
      <c r="R125" s="449">
        <f t="shared" si="28"/>
        <v>0</v>
      </c>
      <c r="S125" s="180">
        <f t="shared" si="29"/>
        <v>0</v>
      </c>
      <c r="T125" s="449">
        <f t="shared" si="30"/>
        <v>0</v>
      </c>
      <c r="U125" s="449">
        <f t="shared" si="31"/>
        <v>0</v>
      </c>
      <c r="V125" s="450" t="str">
        <f t="shared" si="32"/>
        <v/>
      </c>
      <c r="W125" s="450" t="str">
        <f>IF(R125=0,"-",SUMIFS($R$2:R125,$A$2:A125,A125,$C$2:C125,C125)/SUMIFS($J$2:J125,$A$2:A125,A125,$C$2:C125,C125)-1)</f>
        <v>-</v>
      </c>
      <c r="X125" s="450" t="str">
        <f t="shared" si="33"/>
        <v/>
      </c>
      <c r="Y125" s="450" t="str">
        <f>IFERROR(IF(R125=0,"-",SUMIFS($R$2:R125,$A$2:A125,A125,$C$2:C125,C125)/SUMIFS($N$2:N125,$A$2:A125,A125,$C$2:C125,C125)-1),"")</f>
        <v>-</v>
      </c>
      <c r="Z125" s="269" t="str">
        <f>IF(R125=0,"",(S125/VLOOKUP(_xlfn.NUMBERVALUE(_xlfn.CONCAT(LEFT(F125,4),52)),$F$2:T332,COLUMNS($F$2:T332),FALSE)))</f>
        <v/>
      </c>
      <c r="AA125" s="269" t="str">
        <f>IFERROR(IF(R125=0,"",(S125/VLOOKUP(_xlfn.NUMBERVALUE(_xlfn.CONCAT(LEFT(F125,4),52)),$F$2:U332,COLUMNS($F$2:U332),FALSE))),"")</f>
        <v/>
      </c>
      <c r="AB125" s="268" t="str">
        <f t="shared" si="34"/>
        <v/>
      </c>
      <c r="AC125" s="450" t="str">
        <f t="shared" si="35"/>
        <v/>
      </c>
      <c r="AD125" s="450" t="str">
        <f t="shared" si="36"/>
        <v/>
      </c>
      <c r="AE125" s="269" t="str">
        <f t="shared" si="37"/>
        <v/>
      </c>
      <c r="AF125" s="268" t="str">
        <f t="shared" si="38"/>
        <v/>
      </c>
      <c r="AG125" s="450" t="str">
        <f t="shared" si="39"/>
        <v/>
      </c>
      <c r="AH125" s="450" t="str">
        <f t="shared" si="40"/>
        <v/>
      </c>
      <c r="AI125" s="269" t="str">
        <f t="shared" si="41"/>
        <v/>
      </c>
      <c r="AJ125" s="450" t="str">
        <f>IF(O125=0,"-",SUMIFS($O$2:O125,$A$2:A125,$A125,$F$2:F125,"&lt;="&amp;$F125)/SUMIFS($G$2:G125,$A$2:A125,$A125,$F$2:F125,"&lt;="&amp;$F125)-1)</f>
        <v>-</v>
      </c>
      <c r="AK125" s="450" t="str">
        <f>IF(P125=0,"-",SUMIFS($P$2:P125,$A$2:A125,$A125,$F$2:F125,"&lt;="&amp;$F125)/SUMIFS($H$2:H125,$A$2:A125,$A125,$F$2:F125,"&lt;="&amp;$F125)-1)</f>
        <v>-</v>
      </c>
      <c r="AL125" s="450" t="str">
        <f>IF(Q125=0,"-",SUMIFS($Q$2:Q125,$A$2:A125,$A125,$F$2:F125,"&lt;="&amp;$F125)/SUMIFS($I$2:I125,$A$2:A125,$A125,$F$2:F125,"&lt;="&amp;$F125)-1)</f>
        <v>-</v>
      </c>
      <c r="AM125" s="450" t="str">
        <f>IFERROR(IF(O125=0,"-",SUMIFS($O$2:O125,$A$2:A125,$A125,$F$2:F125,"&lt;="&amp;$F125)/SUMIFS($K$2:K125,$A$2:A125,$A125,$F$2:F125,"&lt;="&amp;$F125)-1),"")</f>
        <v>-</v>
      </c>
      <c r="AN125" s="450" t="str">
        <f>IFERROR(IF(P125=0,"-",SUMIFS($P$2:P125,$A$2:A125,$A125,$F$2:F125,"&lt;="&amp;$F125)/SUMIFS($L$2:L125,$A$2:A125,$A125,$F$2:F125,"&lt;="&amp;$F125)-1),"")</f>
        <v>-</v>
      </c>
      <c r="AO125" s="450" t="str">
        <f>IFERROR(IF(Q125=0,"-",SUMIFS($Q$2:Q125,$A$2:A125,$A125,$F$2:F125,"&lt;="&amp;$F125)/SUMIFS($M$2:M125,$A$2:A125,$A125,$F$2:F125,"&lt;="&amp;$F125)-1),"")</f>
        <v>-</v>
      </c>
      <c r="AP125" s="239"/>
      <c r="AQ125" s="452" t="str">
        <f>'Overall Metrics'!AO130</f>
        <v/>
      </c>
      <c r="AR125" s="450" t="str">
        <f t="shared" si="42"/>
        <v/>
      </c>
      <c r="AS125" s="453" t="str">
        <f>IFERROR(IF(R126=0,"-",AVERAGEIFS($AQ$2:AQ125,$A$2:A125,$A125,$F$2:F125,"&lt;="&amp;$F125)-AVERAGEIFS($AP$2:AP125,$A$2:A125,$A125,$F$2:F125,"&lt;="&amp;$F125)),"")</f>
        <v>-</v>
      </c>
      <c r="AT125" s="390" t="str">
        <f>IFERROR(IF(R126=0,"-",AVERAGEIFS($AQ$2:AQ125,$A$2:A125,A125,$C$2:C125,C125)-AVERAGEIFS($AP$2:AP125,$A$2:A125,A125,$C$2:C125,C125)),"")</f>
        <v>-</v>
      </c>
      <c r="AU125" s="819"/>
      <c r="AV125" s="452">
        <f>'Overall Metrics'!AS130</f>
        <v>-0.1</v>
      </c>
      <c r="AW125" s="450">
        <f t="shared" si="43"/>
        <v>-0.1</v>
      </c>
      <c r="AX125" s="453" t="str">
        <f>IFERROR(IF(R129=0,"-",AVERAGEIFS($AV$2:AV125,$A$2:A125,$A125,$F$2:F125,"&lt;="&amp;$F125)-AVERAGEIFS($AU$2:AU125,$A$2:A125,$A125,$F$2:F125,"&lt;="&amp;$F125)),"")</f>
        <v>-</v>
      </c>
      <c r="AY125" s="453" t="str">
        <f>IFERROR(IF(R129=0,"-",AVERAGEIFS($AV$2:AV125,$A$2:A125,A125,$C$2:C125,C125)-AVERAGEIFS($AU$2:AU125,$A$2:A125,A125,$C$2:C125,C125)),"")</f>
        <v>-</v>
      </c>
      <c r="AZ125" s="86"/>
      <c r="BA125" s="449">
        <f>'Glass Metrics'!AC130</f>
        <v>0</v>
      </c>
      <c r="BB125" s="450" t="str">
        <f t="shared" si="44"/>
        <v/>
      </c>
      <c r="BC125" s="450" t="str">
        <f>IFERROR(IF(R125=0,"-",AVERAGEIFS($BA$2:BA125,$A$2:A125,$A125,$F$2:F125,"&lt;="&amp;$F125)/AVERAGEIFS($AZ$2:AZ125,$A$2:A125,$A125,$F$2:F125,"&lt;="&amp;$F125)-1),"")</f>
        <v>-</v>
      </c>
      <c r="BD125" s="269" t="str">
        <f>IFERROR(IF(R125=0,"-",AVERAGEIFS($BA$2:BA125,$A$2:A125,A125,$C$2:C125,C125)/AVERAGEIFS($AZ$2:AZ125,$A$2:A125,A125,$C$2:C125,C125)-1),"")</f>
        <v>-</v>
      </c>
    </row>
    <row r="126" spans="1:56" ht="16.350000000000001" customHeight="1">
      <c r="A126" s="175">
        <f t="shared" si="23"/>
        <v>2023</v>
      </c>
      <c r="B126" s="447" t="str">
        <f t="shared" si="24"/>
        <v>21</v>
      </c>
      <c r="C126" s="447" t="str">
        <f t="array" ref="C126">_xlfn.IFS(_xlfn.NUMBERVALUE(B126)&lt;=13,"Q1",AND(_xlfn.NUMBERVALUE(B126)&gt;13,_xlfn.NUMBERVALUE(B126)&lt;=26),"Q2", AND(_xlfn.NUMBERVALUE(B126)&gt;26,_xlfn.NUMBERVALUE(B126)&lt;=39),"Q3",_xlfn.NUMBERVALUE(B126)&gt;39,"Q4")</f>
        <v>Q2</v>
      </c>
      <c r="D126" s="448">
        <f t="shared" si="45"/>
        <v>44730</v>
      </c>
      <c r="E126" s="448">
        <f t="shared" si="25"/>
        <v>44736</v>
      </c>
      <c r="F126" s="79">
        <v>202221</v>
      </c>
      <c r="G126" s="103"/>
      <c r="H126" s="429"/>
      <c r="I126" s="429"/>
      <c r="J126" s="214">
        <f t="shared" si="26"/>
        <v>0</v>
      </c>
      <c r="K126" s="429"/>
      <c r="L126" s="429"/>
      <c r="M126" s="429"/>
      <c r="N126" s="214">
        <f t="shared" si="27"/>
        <v>0</v>
      </c>
      <c r="O126" s="449">
        <f>'Overall Metrics'!L131</f>
        <v>0</v>
      </c>
      <c r="P126" s="449">
        <f>'Overall Metrics'!M131</f>
        <v>0</v>
      </c>
      <c r="Q126" s="449">
        <f>'Overall Metrics'!N131</f>
        <v>0</v>
      </c>
      <c r="R126" s="449">
        <f t="shared" si="28"/>
        <v>0</v>
      </c>
      <c r="S126" s="180">
        <f t="shared" si="29"/>
        <v>0</v>
      </c>
      <c r="T126" s="449">
        <f t="shared" si="30"/>
        <v>0</v>
      </c>
      <c r="U126" s="449">
        <f t="shared" si="31"/>
        <v>0</v>
      </c>
      <c r="V126" s="450" t="str">
        <f t="shared" si="32"/>
        <v/>
      </c>
      <c r="W126" s="450" t="str">
        <f>IF(R126=0,"-",SUMIFS($R$2:R126,$A$2:A126,A126,$C$2:C126,C126)/SUMIFS($J$2:J126,$A$2:A126,A126,$C$2:C126,C126)-1)</f>
        <v>-</v>
      </c>
      <c r="X126" s="450" t="str">
        <f t="shared" si="33"/>
        <v/>
      </c>
      <c r="Y126" s="450" t="str">
        <f>IFERROR(IF(R126=0,"-",SUMIFS($R$2:R126,$A$2:A126,A126,$C$2:C126,C126)/SUMIFS($N$2:N126,$A$2:A126,A126,$C$2:C126,C126)-1),"")</f>
        <v>-</v>
      </c>
      <c r="Z126" s="269" t="str">
        <f>IF(R126=0,"",(S126/VLOOKUP(_xlfn.NUMBERVALUE(_xlfn.CONCAT(LEFT(F126,4),52)),$F$2:T333,COLUMNS($F$2:T333),FALSE)))</f>
        <v/>
      </c>
      <c r="AA126" s="269" t="str">
        <f>IFERROR(IF(R126=0,"",(S126/VLOOKUP(_xlfn.NUMBERVALUE(_xlfn.CONCAT(LEFT(F126,4),52)),$F$2:U333,COLUMNS($F$2:U333),FALSE))),"")</f>
        <v/>
      </c>
      <c r="AB126" s="268" t="str">
        <f t="shared" si="34"/>
        <v/>
      </c>
      <c r="AC126" s="450" t="str">
        <f t="shared" si="35"/>
        <v/>
      </c>
      <c r="AD126" s="450" t="str">
        <f t="shared" si="36"/>
        <v/>
      </c>
      <c r="AE126" s="269" t="str">
        <f t="shared" si="37"/>
        <v/>
      </c>
      <c r="AF126" s="268" t="str">
        <f t="shared" si="38"/>
        <v/>
      </c>
      <c r="AG126" s="450" t="str">
        <f t="shared" si="39"/>
        <v/>
      </c>
      <c r="AH126" s="450" t="str">
        <f t="shared" si="40"/>
        <v/>
      </c>
      <c r="AI126" s="269" t="str">
        <f t="shared" si="41"/>
        <v/>
      </c>
      <c r="AJ126" s="450" t="str">
        <f>IF(O126=0,"-",SUMIFS($O$2:O126,$A$2:A126,$A126,$F$2:F126,"&lt;="&amp;$F126)/SUMIFS($G$2:G126,$A$2:A126,$A126,$F$2:F126,"&lt;="&amp;$F126)-1)</f>
        <v>-</v>
      </c>
      <c r="AK126" s="450" t="str">
        <f>IF(P126=0,"-",SUMIFS($P$2:P126,$A$2:A126,$A126,$F$2:F126,"&lt;="&amp;$F126)/SUMIFS($H$2:H126,$A$2:A126,$A126,$F$2:F126,"&lt;="&amp;$F126)-1)</f>
        <v>-</v>
      </c>
      <c r="AL126" s="450" t="str">
        <f>IF(Q126=0,"-",SUMIFS($Q$2:Q126,$A$2:A126,$A126,$F$2:F126,"&lt;="&amp;$F126)/SUMIFS($I$2:I126,$A$2:A126,$A126,$F$2:F126,"&lt;="&amp;$F126)-1)</f>
        <v>-</v>
      </c>
      <c r="AM126" s="450" t="str">
        <f>IFERROR(IF(O126=0,"-",SUMIFS($O$2:O126,$A$2:A126,$A126,$F$2:F126,"&lt;="&amp;$F126)/SUMIFS($K$2:K126,$A$2:A126,$A126,$F$2:F126,"&lt;="&amp;$F126)-1),"")</f>
        <v>-</v>
      </c>
      <c r="AN126" s="450" t="str">
        <f>IFERROR(IF(P126=0,"-",SUMIFS($P$2:P126,$A$2:A126,$A126,$F$2:F126,"&lt;="&amp;$F126)/SUMIFS($L$2:L126,$A$2:A126,$A126,$F$2:F126,"&lt;="&amp;$F126)-1),"")</f>
        <v>-</v>
      </c>
      <c r="AO126" s="450" t="str">
        <f>IFERROR(IF(Q126=0,"-",SUMIFS($Q$2:Q126,$A$2:A126,$A126,$F$2:F126,"&lt;="&amp;$F126)/SUMIFS($M$2:M126,$A$2:A126,$A126,$F$2:F126,"&lt;="&amp;$F126)-1),"")</f>
        <v>-</v>
      </c>
      <c r="AP126" s="239"/>
      <c r="AQ126" s="452" t="str">
        <f>'Overall Metrics'!AO131</f>
        <v/>
      </c>
      <c r="AR126" s="450" t="str">
        <f t="shared" si="42"/>
        <v/>
      </c>
      <c r="AS126" s="453" t="str">
        <f>IFERROR(IF(R127=0,"-",AVERAGEIFS($AQ$2:AQ126,$A$2:A126,$A126,$F$2:F126,"&lt;="&amp;$F126)-AVERAGEIFS($AP$2:AP126,$A$2:A126,$A126,$F$2:F126,"&lt;="&amp;$F126)),"")</f>
        <v>-</v>
      </c>
      <c r="AT126" s="390" t="str">
        <f>IFERROR(IF(R127=0,"-",AVERAGEIFS($AQ$2:AQ126,$A$2:A126,A126,$C$2:C126,C126)-AVERAGEIFS($AP$2:AP126,$A$2:A126,A126,$C$2:C126,C126)),"")</f>
        <v>-</v>
      </c>
      <c r="AU126" s="819"/>
      <c r="AV126" s="452">
        <f>'Overall Metrics'!AS131</f>
        <v>-0.1</v>
      </c>
      <c r="AW126" s="450">
        <f t="shared" si="43"/>
        <v>-0.1</v>
      </c>
      <c r="AX126" s="453" t="str">
        <f>IFERROR(IF(R130=0,"-",AVERAGEIFS($AV$2:AV126,$A$2:A126,$A126,$F$2:F126,"&lt;="&amp;$F126)-AVERAGEIFS($AU$2:AU126,$A$2:A126,$A126,$F$2:F126,"&lt;="&amp;$F126)),"")</f>
        <v>-</v>
      </c>
      <c r="AY126" s="453" t="str">
        <f>IFERROR(IF(R130=0,"-",AVERAGEIFS($AV$2:AV126,$A$2:A126,A126,$C$2:C126,C126)-AVERAGEIFS($AU$2:AU126,$A$2:A126,A126,$C$2:C126,C126)),"")</f>
        <v>-</v>
      </c>
      <c r="AZ126" s="86"/>
      <c r="BA126" s="449">
        <f>'Glass Metrics'!AC131</f>
        <v>0</v>
      </c>
      <c r="BB126" s="450" t="str">
        <f t="shared" si="44"/>
        <v/>
      </c>
      <c r="BC126" s="450" t="str">
        <f>IFERROR(IF(R126=0,"-",AVERAGEIFS($BA$2:BA126,$A$2:A126,$A126,$F$2:F126,"&lt;="&amp;$F126)/AVERAGEIFS($AZ$2:AZ126,$A$2:A126,$A126,$F$2:F126,"&lt;="&amp;$F126)-1),"")</f>
        <v>-</v>
      </c>
      <c r="BD126" s="269" t="str">
        <f>IFERROR(IF(R126=0,"-",AVERAGEIFS($BA$2:BA126,$A$2:A126,A126,$C$2:C126,C126)/AVERAGEIFS($AZ$2:AZ126,$A$2:A126,A126,$C$2:C126,C126)-1),"")</f>
        <v>-</v>
      </c>
    </row>
    <row r="127" spans="1:56" ht="16.350000000000001" customHeight="1">
      <c r="A127" s="175">
        <f t="shared" si="23"/>
        <v>2023</v>
      </c>
      <c r="B127" s="447" t="str">
        <f t="shared" si="24"/>
        <v>22</v>
      </c>
      <c r="C127" s="447" t="str">
        <f t="array" ref="C127">_xlfn.IFS(_xlfn.NUMBERVALUE(B127)&lt;=13,"Q1",AND(_xlfn.NUMBERVALUE(B127)&gt;13,_xlfn.NUMBERVALUE(B127)&lt;=26),"Q2", AND(_xlfn.NUMBERVALUE(B127)&gt;26,_xlfn.NUMBERVALUE(B127)&lt;=39),"Q3",_xlfn.NUMBERVALUE(B127)&gt;39,"Q4")</f>
        <v>Q2</v>
      </c>
      <c r="D127" s="448">
        <f t="shared" si="45"/>
        <v>44737</v>
      </c>
      <c r="E127" s="448">
        <f t="shared" si="25"/>
        <v>44743</v>
      </c>
      <c r="F127" s="79">
        <v>202222</v>
      </c>
      <c r="G127" s="103"/>
      <c r="H127" s="429"/>
      <c r="I127" s="429"/>
      <c r="J127" s="214">
        <f t="shared" si="26"/>
        <v>0</v>
      </c>
      <c r="K127" s="429"/>
      <c r="L127" s="429"/>
      <c r="M127" s="429"/>
      <c r="N127" s="214">
        <f t="shared" si="27"/>
        <v>0</v>
      </c>
      <c r="O127" s="449">
        <f>'Overall Metrics'!L132</f>
        <v>0</v>
      </c>
      <c r="P127" s="449">
        <f>'Overall Metrics'!M132</f>
        <v>0</v>
      </c>
      <c r="Q127" s="449">
        <f>'Overall Metrics'!N132</f>
        <v>0</v>
      </c>
      <c r="R127" s="449">
        <f t="shared" si="28"/>
        <v>0</v>
      </c>
      <c r="S127" s="180">
        <f t="shared" si="29"/>
        <v>0</v>
      </c>
      <c r="T127" s="449">
        <f t="shared" si="30"/>
        <v>0</v>
      </c>
      <c r="U127" s="449">
        <f t="shared" si="31"/>
        <v>0</v>
      </c>
      <c r="V127" s="450" t="str">
        <f t="shared" si="32"/>
        <v/>
      </c>
      <c r="W127" s="450" t="str">
        <f>IF(R127=0,"-",SUMIFS($R$2:R127,$A$2:A127,A127,$C$2:C127,C127)/SUMIFS($J$2:J127,$A$2:A127,A127,$C$2:C127,C127)-1)</f>
        <v>-</v>
      </c>
      <c r="X127" s="450" t="str">
        <f t="shared" si="33"/>
        <v/>
      </c>
      <c r="Y127" s="450" t="str">
        <f>IFERROR(IF(R127=0,"-",SUMIFS($R$2:R127,$A$2:A127,A127,$C$2:C127,C127)/SUMIFS($N$2:N127,$A$2:A127,A127,$C$2:C127,C127)-1),"")</f>
        <v>-</v>
      </c>
      <c r="Z127" s="269" t="str">
        <f>IF(R127=0,"",(S127/VLOOKUP(_xlfn.NUMBERVALUE(_xlfn.CONCAT(LEFT(F127,4),52)),$F$2:T334,COLUMNS($F$2:T334),FALSE)))</f>
        <v/>
      </c>
      <c r="AA127" s="269" t="str">
        <f>IFERROR(IF(R127=0,"",(S127/VLOOKUP(_xlfn.NUMBERVALUE(_xlfn.CONCAT(LEFT(F127,4),52)),$F$2:U334,COLUMNS($F$2:U334),FALSE))),"")</f>
        <v/>
      </c>
      <c r="AB127" s="268" t="str">
        <f t="shared" si="34"/>
        <v/>
      </c>
      <c r="AC127" s="450" t="str">
        <f t="shared" si="35"/>
        <v/>
      </c>
      <c r="AD127" s="450" t="str">
        <f t="shared" si="36"/>
        <v/>
      </c>
      <c r="AE127" s="269" t="str">
        <f t="shared" si="37"/>
        <v/>
      </c>
      <c r="AF127" s="268" t="str">
        <f t="shared" si="38"/>
        <v/>
      </c>
      <c r="AG127" s="450" t="str">
        <f t="shared" si="39"/>
        <v/>
      </c>
      <c r="AH127" s="450" t="str">
        <f t="shared" si="40"/>
        <v/>
      </c>
      <c r="AI127" s="269" t="str">
        <f t="shared" si="41"/>
        <v/>
      </c>
      <c r="AJ127" s="450" t="str">
        <f>IF(O127=0,"-",SUMIFS($O$2:O127,$A$2:A127,$A127,$F$2:F127,"&lt;="&amp;$F127)/SUMIFS($G$2:G127,$A$2:A127,$A127,$F$2:F127,"&lt;="&amp;$F127)-1)</f>
        <v>-</v>
      </c>
      <c r="AK127" s="450" t="str">
        <f>IF(P127=0,"-",SUMIFS($P$2:P127,$A$2:A127,$A127,$F$2:F127,"&lt;="&amp;$F127)/SUMIFS($H$2:H127,$A$2:A127,$A127,$F$2:F127,"&lt;="&amp;$F127)-1)</f>
        <v>-</v>
      </c>
      <c r="AL127" s="450" t="str">
        <f>IF(Q127=0,"-",SUMIFS($Q$2:Q127,$A$2:A127,$A127,$F$2:F127,"&lt;="&amp;$F127)/SUMIFS($I$2:I127,$A$2:A127,$A127,$F$2:F127,"&lt;="&amp;$F127)-1)</f>
        <v>-</v>
      </c>
      <c r="AM127" s="450" t="str">
        <f>IFERROR(IF(O127=0,"-",SUMIFS($O$2:O127,$A$2:A127,$A127,$F$2:F127,"&lt;="&amp;$F127)/SUMIFS($K$2:K127,$A$2:A127,$A127,$F$2:F127,"&lt;="&amp;$F127)-1),"")</f>
        <v>-</v>
      </c>
      <c r="AN127" s="450" t="str">
        <f>IFERROR(IF(P127=0,"-",SUMIFS($P$2:P127,$A$2:A127,$A127,$F$2:F127,"&lt;="&amp;$F127)/SUMIFS($L$2:L127,$A$2:A127,$A127,$F$2:F127,"&lt;="&amp;$F127)-1),"")</f>
        <v>-</v>
      </c>
      <c r="AO127" s="450" t="str">
        <f>IFERROR(IF(Q127=0,"-",SUMIFS($Q$2:Q127,$A$2:A127,$A127,$F$2:F127,"&lt;="&amp;$F127)/SUMIFS($M$2:M127,$A$2:A127,$A127,$F$2:F127,"&lt;="&amp;$F127)-1),"")</f>
        <v>-</v>
      </c>
      <c r="AP127" s="239"/>
      <c r="AQ127" s="452" t="str">
        <f>'Overall Metrics'!AO132</f>
        <v/>
      </c>
      <c r="AR127" s="450" t="str">
        <f t="shared" si="42"/>
        <v/>
      </c>
      <c r="AS127" s="453" t="str">
        <f>IFERROR(IF(R128=0,"-",AVERAGEIFS($AQ$2:AQ127,$A$2:A127,$A127,$F$2:F127,"&lt;="&amp;$F127)-AVERAGEIFS($AP$2:AP127,$A$2:A127,$A127,$F$2:F127,"&lt;="&amp;$F127)),"")</f>
        <v>-</v>
      </c>
      <c r="AT127" s="390" t="str">
        <f>IFERROR(IF(R128=0,"-",AVERAGEIFS($AQ$2:AQ127,$A$2:A127,A127,$C$2:C127,C127)-AVERAGEIFS($AP$2:AP127,$A$2:A127,A127,$C$2:C127,C127)),"")</f>
        <v>-</v>
      </c>
      <c r="AU127" s="819"/>
      <c r="AV127" s="452">
        <f>'Overall Metrics'!AS132</f>
        <v>-0.1</v>
      </c>
      <c r="AW127" s="450">
        <f t="shared" si="43"/>
        <v>-0.1</v>
      </c>
      <c r="AX127" s="453" t="str">
        <f>IFERROR(IF(R131=0,"-",AVERAGEIFS($AV$2:AV127,$A$2:A127,$A127,$F$2:F127,"&lt;="&amp;$F127)-AVERAGEIFS($AU$2:AU127,$A$2:A127,$A127,$F$2:F127,"&lt;="&amp;$F127)),"")</f>
        <v>-</v>
      </c>
      <c r="AY127" s="453" t="str">
        <f>IFERROR(IF(R131=0,"-",AVERAGEIFS($AV$2:AV127,$A$2:A127,A127,$C$2:C127,C127)-AVERAGEIFS($AU$2:AU127,$A$2:A127,A127,$C$2:C127,C127)),"")</f>
        <v>-</v>
      </c>
      <c r="AZ127" s="86"/>
      <c r="BA127" s="449">
        <f>'Glass Metrics'!AC132</f>
        <v>0</v>
      </c>
      <c r="BB127" s="450" t="str">
        <f t="shared" si="44"/>
        <v/>
      </c>
      <c r="BC127" s="450" t="str">
        <f>IFERROR(IF(R127=0,"-",AVERAGEIFS($BA$2:BA127,$A$2:A127,$A127,$F$2:F127,"&lt;="&amp;$F127)/AVERAGEIFS($AZ$2:AZ127,$A$2:A127,$A127,$F$2:F127,"&lt;="&amp;$F127)-1),"")</f>
        <v>-</v>
      </c>
      <c r="BD127" s="269" t="str">
        <f>IFERROR(IF(R127=0,"-",AVERAGEIFS($BA$2:BA127,$A$2:A127,A127,$C$2:C127,C127)/AVERAGEIFS($AZ$2:AZ127,$A$2:A127,A127,$C$2:C127,C127)-1),"")</f>
        <v>-</v>
      </c>
    </row>
    <row r="128" spans="1:56" ht="16.350000000000001" customHeight="1">
      <c r="A128" s="175">
        <f t="shared" si="23"/>
        <v>2023</v>
      </c>
      <c r="B128" s="447" t="str">
        <f t="shared" si="24"/>
        <v>23</v>
      </c>
      <c r="C128" s="447" t="str">
        <f t="array" ref="C128">_xlfn.IFS(_xlfn.NUMBERVALUE(B128)&lt;=13,"Q1",AND(_xlfn.NUMBERVALUE(B128)&gt;13,_xlfn.NUMBERVALUE(B128)&lt;=26),"Q2", AND(_xlfn.NUMBERVALUE(B128)&gt;26,_xlfn.NUMBERVALUE(B128)&lt;=39),"Q3",_xlfn.NUMBERVALUE(B128)&gt;39,"Q4")</f>
        <v>Q2</v>
      </c>
      <c r="D128" s="448">
        <f t="shared" si="45"/>
        <v>44744</v>
      </c>
      <c r="E128" s="448">
        <f t="shared" si="25"/>
        <v>44750</v>
      </c>
      <c r="F128" s="79">
        <v>202223</v>
      </c>
      <c r="G128" s="103"/>
      <c r="H128" s="429"/>
      <c r="I128" s="429"/>
      <c r="J128" s="214">
        <f t="shared" si="26"/>
        <v>0</v>
      </c>
      <c r="K128" s="429"/>
      <c r="L128" s="429"/>
      <c r="M128" s="429"/>
      <c r="N128" s="214">
        <f t="shared" si="27"/>
        <v>0</v>
      </c>
      <c r="O128" s="449">
        <f>'Overall Metrics'!L133</f>
        <v>0</v>
      </c>
      <c r="P128" s="449">
        <f>'Overall Metrics'!M133</f>
        <v>0</v>
      </c>
      <c r="Q128" s="449">
        <f>'Overall Metrics'!N133</f>
        <v>0</v>
      </c>
      <c r="R128" s="449">
        <f t="shared" si="28"/>
        <v>0</v>
      </c>
      <c r="S128" s="180">
        <f t="shared" si="29"/>
        <v>0</v>
      </c>
      <c r="T128" s="449">
        <f t="shared" si="30"/>
        <v>0</v>
      </c>
      <c r="U128" s="449">
        <f t="shared" si="31"/>
        <v>0</v>
      </c>
      <c r="V128" s="450" t="str">
        <f t="shared" si="32"/>
        <v/>
      </c>
      <c r="W128" s="450" t="str">
        <f>IF(R128=0,"-",SUMIFS($R$2:R128,$A$2:A128,A128,$C$2:C128,C128)/SUMIFS($J$2:J128,$A$2:A128,A128,$C$2:C128,C128)-1)</f>
        <v>-</v>
      </c>
      <c r="X128" s="450" t="str">
        <f t="shared" si="33"/>
        <v/>
      </c>
      <c r="Y128" s="450" t="str">
        <f>IFERROR(IF(R128=0,"-",SUMIFS($R$2:R128,$A$2:A128,A128,$C$2:C128,C128)/SUMIFS($N$2:N128,$A$2:A128,A128,$C$2:C128,C128)-1),"")</f>
        <v>-</v>
      </c>
      <c r="Z128" s="269" t="str">
        <f>IF(R128=0,"",(S128/VLOOKUP(_xlfn.NUMBERVALUE(_xlfn.CONCAT(LEFT(F128,4),52)),$F$2:T335,COLUMNS($F$2:T335),FALSE)))</f>
        <v/>
      </c>
      <c r="AA128" s="269" t="str">
        <f>IFERROR(IF(R128=0,"",(S128/VLOOKUP(_xlfn.NUMBERVALUE(_xlfn.CONCAT(LEFT(F128,4),52)),$F$2:U335,COLUMNS($F$2:U335),FALSE))),"")</f>
        <v/>
      </c>
      <c r="AB128" s="268" t="str">
        <f t="shared" si="34"/>
        <v/>
      </c>
      <c r="AC128" s="450" t="str">
        <f t="shared" si="35"/>
        <v/>
      </c>
      <c r="AD128" s="450" t="str">
        <f t="shared" si="36"/>
        <v/>
      </c>
      <c r="AE128" s="269" t="str">
        <f t="shared" si="37"/>
        <v/>
      </c>
      <c r="AF128" s="268" t="str">
        <f t="shared" si="38"/>
        <v/>
      </c>
      <c r="AG128" s="450" t="str">
        <f t="shared" si="39"/>
        <v/>
      </c>
      <c r="AH128" s="450" t="str">
        <f t="shared" si="40"/>
        <v/>
      </c>
      <c r="AI128" s="269" t="str">
        <f t="shared" si="41"/>
        <v/>
      </c>
      <c r="AJ128" s="450" t="str">
        <f>IF(O128=0,"-",SUMIFS($O$2:O128,$A$2:A128,$A128,$F$2:F128,"&lt;="&amp;$F128)/SUMIFS($G$2:G128,$A$2:A128,$A128,$F$2:F128,"&lt;="&amp;$F128)-1)</f>
        <v>-</v>
      </c>
      <c r="AK128" s="450" t="str">
        <f>IF(P128=0,"-",SUMIFS($P$2:P128,$A$2:A128,$A128,$F$2:F128,"&lt;="&amp;$F128)/SUMIFS($H$2:H128,$A$2:A128,$A128,$F$2:F128,"&lt;="&amp;$F128)-1)</f>
        <v>-</v>
      </c>
      <c r="AL128" s="450" t="str">
        <f>IF(Q128=0,"-",SUMIFS($Q$2:Q128,$A$2:A128,$A128,$F$2:F128,"&lt;="&amp;$F128)/SUMIFS($I$2:I128,$A$2:A128,$A128,$F$2:F128,"&lt;="&amp;$F128)-1)</f>
        <v>-</v>
      </c>
      <c r="AM128" s="450" t="str">
        <f>IFERROR(IF(O128=0,"-",SUMIFS($O$2:O128,$A$2:A128,$A128,$F$2:F128,"&lt;="&amp;$F128)/SUMIFS($K$2:K128,$A$2:A128,$A128,$F$2:F128,"&lt;="&amp;$F128)-1),"")</f>
        <v>-</v>
      </c>
      <c r="AN128" s="450" t="str">
        <f>IFERROR(IF(P128=0,"-",SUMIFS($P$2:P128,$A$2:A128,$A128,$F$2:F128,"&lt;="&amp;$F128)/SUMIFS($L$2:L128,$A$2:A128,$A128,$F$2:F128,"&lt;="&amp;$F128)-1),"")</f>
        <v>-</v>
      </c>
      <c r="AO128" s="450" t="str">
        <f>IFERROR(IF(Q128=0,"-",SUMIFS($Q$2:Q128,$A$2:A128,$A128,$F$2:F128,"&lt;="&amp;$F128)/SUMIFS($M$2:M128,$A$2:A128,$A128,$F$2:F128,"&lt;="&amp;$F128)-1),"")</f>
        <v>-</v>
      </c>
      <c r="AP128" s="239"/>
      <c r="AQ128" s="452" t="str">
        <f>'Overall Metrics'!AO133</f>
        <v/>
      </c>
      <c r="AR128" s="450" t="str">
        <f t="shared" si="42"/>
        <v/>
      </c>
      <c r="AS128" s="453" t="str">
        <f>IFERROR(IF(R129=0,"-",AVERAGEIFS($AQ$2:AQ128,$A$2:A128,$A128,$F$2:F128,"&lt;="&amp;$F128)-AVERAGEIFS($AP$2:AP128,$A$2:A128,$A128,$F$2:F128,"&lt;="&amp;$F128)),"")</f>
        <v>-</v>
      </c>
      <c r="AT128" s="390" t="str">
        <f>IFERROR(IF(R129=0,"-",AVERAGEIFS($AQ$2:AQ128,$A$2:A128,A128,$C$2:C128,C128)-AVERAGEIFS($AP$2:AP128,$A$2:A128,A128,$C$2:C128,C128)),"")</f>
        <v>-</v>
      </c>
      <c r="AU128" s="819"/>
      <c r="AV128" s="452">
        <f>'Overall Metrics'!AS133</f>
        <v>-0.1</v>
      </c>
      <c r="AW128" s="450">
        <f t="shared" si="43"/>
        <v>-0.1</v>
      </c>
      <c r="AX128" s="453" t="str">
        <f>IFERROR(IF(R132=0,"-",AVERAGEIFS($AV$2:AV128,$A$2:A128,$A128,$F$2:F128,"&lt;="&amp;$F128)-AVERAGEIFS($AU$2:AU128,$A$2:A128,$A128,$F$2:F128,"&lt;="&amp;$F128)),"")</f>
        <v>-</v>
      </c>
      <c r="AY128" s="453" t="str">
        <f>IFERROR(IF(R132=0,"-",AVERAGEIFS($AV$2:AV128,$A$2:A128,A128,$C$2:C128,C128)-AVERAGEIFS($AU$2:AU128,$A$2:A128,A128,$C$2:C128,C128)),"")</f>
        <v>-</v>
      </c>
      <c r="AZ128" s="86"/>
      <c r="BA128" s="449">
        <f>'Glass Metrics'!AC133</f>
        <v>0</v>
      </c>
      <c r="BB128" s="450" t="str">
        <f t="shared" si="44"/>
        <v/>
      </c>
      <c r="BC128" s="450" t="str">
        <f>IFERROR(IF(R128=0,"-",AVERAGEIFS($BA$2:BA128,$A$2:A128,$A128,$F$2:F128,"&lt;="&amp;$F128)/AVERAGEIFS($AZ$2:AZ128,$A$2:A128,$A128,$F$2:F128,"&lt;="&amp;$F128)-1),"")</f>
        <v>-</v>
      </c>
      <c r="BD128" s="269" t="str">
        <f>IFERROR(IF(R128=0,"-",AVERAGEIFS($BA$2:BA128,$A$2:A128,A128,$C$2:C128,C128)/AVERAGEIFS($AZ$2:AZ128,$A$2:A128,A128,$C$2:C128,C128)-1),"")</f>
        <v>-</v>
      </c>
    </row>
    <row r="129" spans="1:56" ht="16.350000000000001" customHeight="1">
      <c r="A129" s="175">
        <f t="shared" si="23"/>
        <v>2023</v>
      </c>
      <c r="B129" s="447" t="str">
        <f t="shared" si="24"/>
        <v>24</v>
      </c>
      <c r="C129" s="447" t="str">
        <f t="array" ref="C129">_xlfn.IFS(_xlfn.NUMBERVALUE(B129)&lt;=13,"Q1",AND(_xlfn.NUMBERVALUE(B129)&gt;13,_xlfn.NUMBERVALUE(B129)&lt;=26),"Q2", AND(_xlfn.NUMBERVALUE(B129)&gt;26,_xlfn.NUMBERVALUE(B129)&lt;=39),"Q3",_xlfn.NUMBERVALUE(B129)&gt;39,"Q4")</f>
        <v>Q2</v>
      </c>
      <c r="D129" s="448">
        <f t="shared" si="45"/>
        <v>44751</v>
      </c>
      <c r="E129" s="448">
        <f t="shared" si="25"/>
        <v>44757</v>
      </c>
      <c r="F129" s="79">
        <v>202224</v>
      </c>
      <c r="G129" s="103"/>
      <c r="H129" s="429"/>
      <c r="I129" s="429"/>
      <c r="J129" s="214">
        <f t="shared" si="26"/>
        <v>0</v>
      </c>
      <c r="K129" s="429"/>
      <c r="L129" s="429"/>
      <c r="M129" s="429"/>
      <c r="N129" s="214">
        <f t="shared" si="27"/>
        <v>0</v>
      </c>
      <c r="O129" s="449">
        <f>'Overall Metrics'!L134</f>
        <v>0</v>
      </c>
      <c r="P129" s="449">
        <f>'Overall Metrics'!M134</f>
        <v>0</v>
      </c>
      <c r="Q129" s="449">
        <f>'Overall Metrics'!N134</f>
        <v>0</v>
      </c>
      <c r="R129" s="449">
        <f t="shared" si="28"/>
        <v>0</v>
      </c>
      <c r="S129" s="180">
        <f t="shared" si="29"/>
        <v>0</v>
      </c>
      <c r="T129" s="449">
        <f t="shared" si="30"/>
        <v>0</v>
      </c>
      <c r="U129" s="449">
        <f t="shared" si="31"/>
        <v>0</v>
      </c>
      <c r="V129" s="450" t="str">
        <f t="shared" si="32"/>
        <v/>
      </c>
      <c r="W129" s="450" t="str">
        <f>IF(R129=0,"-",SUMIFS($R$2:R129,$A$2:A129,A129,$C$2:C129,C129)/SUMIFS($J$2:J129,$A$2:A129,A129,$C$2:C129,C129)-1)</f>
        <v>-</v>
      </c>
      <c r="X129" s="450" t="str">
        <f t="shared" si="33"/>
        <v/>
      </c>
      <c r="Y129" s="450" t="str">
        <f>IFERROR(IF(R129=0,"-",SUMIFS($R$2:R129,$A$2:A129,A129,$C$2:C129,C129)/SUMIFS($N$2:N129,$A$2:A129,A129,$C$2:C129,C129)-1),"")</f>
        <v>-</v>
      </c>
      <c r="Z129" s="269" t="str">
        <f>IF(R129=0,"",(S129/VLOOKUP(_xlfn.NUMBERVALUE(_xlfn.CONCAT(LEFT(F129,4),52)),$F$2:T336,COLUMNS($F$2:T336),FALSE)))</f>
        <v/>
      </c>
      <c r="AA129" s="269" t="str">
        <f>IFERROR(IF(R129=0,"",(S129/VLOOKUP(_xlfn.NUMBERVALUE(_xlfn.CONCAT(LEFT(F129,4),52)),$F$2:U336,COLUMNS($F$2:U336),FALSE))),"")</f>
        <v/>
      </c>
      <c r="AB129" s="268" t="str">
        <f t="shared" si="34"/>
        <v/>
      </c>
      <c r="AC129" s="450" t="str">
        <f t="shared" si="35"/>
        <v/>
      </c>
      <c r="AD129" s="450" t="str">
        <f t="shared" si="36"/>
        <v/>
      </c>
      <c r="AE129" s="269" t="str">
        <f t="shared" si="37"/>
        <v/>
      </c>
      <c r="AF129" s="268" t="str">
        <f t="shared" si="38"/>
        <v/>
      </c>
      <c r="AG129" s="450" t="str">
        <f t="shared" si="39"/>
        <v/>
      </c>
      <c r="AH129" s="450" t="str">
        <f t="shared" si="40"/>
        <v/>
      </c>
      <c r="AI129" s="269" t="str">
        <f t="shared" si="41"/>
        <v/>
      </c>
      <c r="AJ129" s="450" t="str">
        <f>IF(O129=0,"-",SUMIFS($O$2:O129,$A$2:A129,$A129,$F$2:F129,"&lt;="&amp;$F129)/SUMIFS($G$2:G129,$A$2:A129,$A129,$F$2:F129,"&lt;="&amp;$F129)-1)</f>
        <v>-</v>
      </c>
      <c r="AK129" s="450" t="str">
        <f>IF(P129=0,"-",SUMIFS($P$2:P129,$A$2:A129,$A129,$F$2:F129,"&lt;="&amp;$F129)/SUMIFS($H$2:H129,$A$2:A129,$A129,$F$2:F129,"&lt;="&amp;$F129)-1)</f>
        <v>-</v>
      </c>
      <c r="AL129" s="450" t="str">
        <f>IF(Q129=0,"-",SUMIFS($Q$2:Q129,$A$2:A129,$A129,$F$2:F129,"&lt;="&amp;$F129)/SUMIFS($I$2:I129,$A$2:A129,$A129,$F$2:F129,"&lt;="&amp;$F129)-1)</f>
        <v>-</v>
      </c>
      <c r="AM129" s="450" t="str">
        <f>IFERROR(IF(O129=0,"-",SUMIFS($O$2:O129,$A$2:A129,$A129,$F$2:F129,"&lt;="&amp;$F129)/SUMIFS($K$2:K129,$A$2:A129,$A129,$F$2:F129,"&lt;="&amp;$F129)-1),"")</f>
        <v>-</v>
      </c>
      <c r="AN129" s="450" t="str">
        <f>IFERROR(IF(P129=0,"-",SUMIFS($P$2:P129,$A$2:A129,$A129,$F$2:F129,"&lt;="&amp;$F129)/SUMIFS($L$2:L129,$A$2:A129,$A129,$F$2:F129,"&lt;="&amp;$F129)-1),"")</f>
        <v>-</v>
      </c>
      <c r="AO129" s="450" t="str">
        <f>IFERROR(IF(Q129=0,"-",SUMIFS($Q$2:Q129,$A$2:A129,$A129,$F$2:F129,"&lt;="&amp;$F129)/SUMIFS($M$2:M129,$A$2:A129,$A129,$F$2:F129,"&lt;="&amp;$F129)-1),"")</f>
        <v>-</v>
      </c>
      <c r="AP129" s="239"/>
      <c r="AQ129" s="452" t="str">
        <f>'Overall Metrics'!AO134</f>
        <v/>
      </c>
      <c r="AR129" s="450" t="str">
        <f t="shared" si="42"/>
        <v/>
      </c>
      <c r="AS129" s="453" t="str">
        <f>IFERROR(IF(R130=0,"-",AVERAGEIFS($AQ$2:AQ129,$A$2:A129,$A129,$F$2:F129,"&lt;="&amp;$F129)-AVERAGEIFS($AP$2:AP129,$A$2:A129,$A129,$F$2:F129,"&lt;="&amp;$F129)),"")</f>
        <v>-</v>
      </c>
      <c r="AT129" s="390" t="str">
        <f>IFERROR(IF(R130=0,"-",AVERAGEIFS($AQ$2:AQ129,$A$2:A129,A129,$C$2:C129,C129)-AVERAGEIFS($AP$2:AP129,$A$2:A129,A129,$C$2:C129,C129)),"")</f>
        <v>-</v>
      </c>
      <c r="AU129" s="819"/>
      <c r="AV129" s="452">
        <f>'Overall Metrics'!AS134</f>
        <v>-0.1</v>
      </c>
      <c r="AW129" s="450">
        <f t="shared" si="43"/>
        <v>-0.1</v>
      </c>
      <c r="AX129" s="453" t="str">
        <f>IFERROR(IF(R133=0,"-",AVERAGEIFS($AV$2:AV129,$A$2:A129,$A129,$F$2:F129,"&lt;="&amp;$F129)-AVERAGEIFS($AU$2:AU129,$A$2:A129,$A129,$F$2:F129,"&lt;="&amp;$F129)),"")</f>
        <v>-</v>
      </c>
      <c r="AY129" s="453" t="str">
        <f>IFERROR(IF(R133=0,"-",AVERAGEIFS($AV$2:AV129,$A$2:A129,A129,$C$2:C129,C129)-AVERAGEIFS($AU$2:AU129,$A$2:A129,A129,$C$2:C129,C129)),"")</f>
        <v>-</v>
      </c>
      <c r="AZ129" s="86"/>
      <c r="BA129" s="449">
        <f>'Glass Metrics'!AC134</f>
        <v>0</v>
      </c>
      <c r="BB129" s="450" t="str">
        <f t="shared" si="44"/>
        <v/>
      </c>
      <c r="BC129" s="450" t="str">
        <f>IFERROR(IF(R129=0,"-",AVERAGEIFS($BA$2:BA129,$A$2:A129,$A129,$F$2:F129,"&lt;="&amp;$F129)/AVERAGEIFS($AZ$2:AZ129,$A$2:A129,$A129,$F$2:F129,"&lt;="&amp;$F129)-1),"")</f>
        <v>-</v>
      </c>
      <c r="BD129" s="269" t="str">
        <f>IFERROR(IF(R129=0,"-",AVERAGEIFS($BA$2:BA129,$A$2:A129,A129,$C$2:C129,C129)/AVERAGEIFS($AZ$2:AZ129,$A$2:A129,A129,$C$2:C129,C129)-1),"")</f>
        <v>-</v>
      </c>
    </row>
    <row r="130" spans="1:56" ht="16.350000000000001" customHeight="1">
      <c r="A130" s="175">
        <f t="shared" ref="A130:A193" si="46">LEFT(F130,4)+1</f>
        <v>2023</v>
      </c>
      <c r="B130" s="447" t="str">
        <f t="shared" ref="B130:B193" si="47">RIGHT(F130,2)</f>
        <v>25</v>
      </c>
      <c r="C130" s="447" t="str">
        <f t="array" ref="C130">_xlfn.IFS(_xlfn.NUMBERVALUE(B130)&lt;=13,"Q1",AND(_xlfn.NUMBERVALUE(B130)&gt;13,_xlfn.NUMBERVALUE(B130)&lt;=26),"Q2", AND(_xlfn.NUMBERVALUE(B130)&gt;26,_xlfn.NUMBERVALUE(B130)&lt;=39),"Q3",_xlfn.NUMBERVALUE(B130)&gt;39,"Q4")</f>
        <v>Q2</v>
      </c>
      <c r="D130" s="448">
        <f t="shared" si="45"/>
        <v>44758</v>
      </c>
      <c r="E130" s="448">
        <f t="shared" ref="E130:E193" si="48">D130+6</f>
        <v>44764</v>
      </c>
      <c r="F130" s="79">
        <v>202225</v>
      </c>
      <c r="G130" s="103"/>
      <c r="H130" s="429"/>
      <c r="I130" s="429"/>
      <c r="J130" s="214">
        <f t="shared" ref="J130:J193" si="49">SUM(G130:I130)</f>
        <v>0</v>
      </c>
      <c r="K130" s="429"/>
      <c r="L130" s="429"/>
      <c r="M130" s="429"/>
      <c r="N130" s="214">
        <f t="shared" ref="N130:N193" si="50">SUM(K130:M130)</f>
        <v>0</v>
      </c>
      <c r="O130" s="449">
        <f>'Overall Metrics'!L135</f>
        <v>0</v>
      </c>
      <c r="P130" s="449">
        <f>'Overall Metrics'!M135</f>
        <v>0</v>
      </c>
      <c r="Q130" s="449">
        <f>'Overall Metrics'!N135</f>
        <v>0</v>
      </c>
      <c r="R130" s="449">
        <f t="shared" ref="R130:R193" si="51">SUM(O130:Q130)</f>
        <v>0</v>
      </c>
      <c r="S130" s="180">
        <f t="shared" ref="S130:S193" si="52">IF(OR(RIGHT(F130,2) = "01",R130 = 0),R130,S129+R130)</f>
        <v>0</v>
      </c>
      <c r="T130" s="449">
        <f t="shared" ref="T130:T193" si="53">IF(RIGHT(F130,2) = "01",J130,T129+J130)</f>
        <v>0</v>
      </c>
      <c r="U130" s="449">
        <f t="shared" ref="U130:U193" si="54">IF(RIGHT(F130,2) = "01",N130,U129+N130)</f>
        <v>0</v>
      </c>
      <c r="V130" s="450" t="str">
        <f t="shared" ref="V130:V193" si="55">IF(S130=0,"",S130/T130-1)</f>
        <v/>
      </c>
      <c r="W130" s="450" t="str">
        <f>IF(R130=0,"-",SUMIFS($R$2:R130,$A$2:A130,A130,$C$2:C130,C130)/SUMIFS($J$2:J130,$A$2:A130,A130,$C$2:C130,C130)-1)</f>
        <v>-</v>
      </c>
      <c r="X130" s="450" t="str">
        <f t="shared" ref="X130:X193" si="56">IFERROR(IF(S130=0,"",S130/U130-1),"")</f>
        <v/>
      </c>
      <c r="Y130" s="450" t="str">
        <f>IFERROR(IF(R130=0,"-",SUMIFS($R$2:R130,$A$2:A130,A130,$C$2:C130,C130)/SUMIFS($N$2:N130,$A$2:A130,A130,$C$2:C130,C130)-1),"")</f>
        <v>-</v>
      </c>
      <c r="Z130" s="269" t="str">
        <f>IF(R130=0,"",(S130/VLOOKUP(_xlfn.NUMBERVALUE(_xlfn.CONCAT(LEFT(F130,4),52)),$F$2:T337,COLUMNS($F$2:T337),FALSE)))</f>
        <v/>
      </c>
      <c r="AA130" s="269" t="str">
        <f>IFERROR(IF(R130=0,"",(S130/VLOOKUP(_xlfn.NUMBERVALUE(_xlfn.CONCAT(LEFT(F130,4),52)),$F$2:U337,COLUMNS($F$2:U337),FALSE))),"")</f>
        <v/>
      </c>
      <c r="AB130" s="268" t="str">
        <f t="shared" ref="AB130:AB193" si="57">IF($R130=0,"",O130/G130-1)</f>
        <v/>
      </c>
      <c r="AC130" s="450" t="str">
        <f t="shared" ref="AC130:AC193" si="58">IF($R130=0,"",P130/H130-1)</f>
        <v/>
      </c>
      <c r="AD130" s="450" t="str">
        <f t="shared" ref="AD130:AD193" si="59">IF($R130=0,"",Q130/I130-1)</f>
        <v/>
      </c>
      <c r="AE130" s="269" t="str">
        <f t="shared" ref="AE130:AE193" si="60">IF($R130=0,"",R130/J130-1)</f>
        <v/>
      </c>
      <c r="AF130" s="268" t="str">
        <f t="shared" ref="AF130:AF193" si="61">IFERROR(IF($R130=0,"",O130/K130-1),"")</f>
        <v/>
      </c>
      <c r="AG130" s="450" t="str">
        <f t="shared" ref="AG130:AG193" si="62">IFERROR(IF($R130=0,"",P130/L130-1),"")</f>
        <v/>
      </c>
      <c r="AH130" s="450" t="str">
        <f t="shared" ref="AH130:AH193" si="63">IFERROR(IF($R130=0,"",Q130/M130-1),"")</f>
        <v/>
      </c>
      <c r="AI130" s="269" t="str">
        <f t="shared" ref="AI130:AI193" si="64">IFERROR(IF($R130=0,"",R130/N130-1),"")</f>
        <v/>
      </c>
      <c r="AJ130" s="450" t="str">
        <f>IF(O130=0,"-",SUMIFS($O$2:O130,$A$2:A130,$A130,$F$2:F130,"&lt;="&amp;$F130)/SUMIFS($G$2:G130,$A$2:A130,$A130,$F$2:F130,"&lt;="&amp;$F130)-1)</f>
        <v>-</v>
      </c>
      <c r="AK130" s="450" t="str">
        <f>IF(P130=0,"-",SUMIFS($P$2:P130,$A$2:A130,$A130,$F$2:F130,"&lt;="&amp;$F130)/SUMIFS($H$2:H130,$A$2:A130,$A130,$F$2:F130,"&lt;="&amp;$F130)-1)</f>
        <v>-</v>
      </c>
      <c r="AL130" s="450" t="str">
        <f>IF(Q130=0,"-",SUMIFS($Q$2:Q130,$A$2:A130,$A130,$F$2:F130,"&lt;="&amp;$F130)/SUMIFS($I$2:I130,$A$2:A130,$A130,$F$2:F130,"&lt;="&amp;$F130)-1)</f>
        <v>-</v>
      </c>
      <c r="AM130" s="450" t="str">
        <f>IFERROR(IF(O130=0,"-",SUMIFS($O$2:O130,$A$2:A130,$A130,$F$2:F130,"&lt;="&amp;$F130)/SUMIFS($K$2:K130,$A$2:A130,$A130,$F$2:F130,"&lt;="&amp;$F130)-1),"")</f>
        <v>-</v>
      </c>
      <c r="AN130" s="450" t="str">
        <f>IFERROR(IF(P130=0,"-",SUMIFS($P$2:P130,$A$2:A130,$A130,$F$2:F130,"&lt;="&amp;$F130)/SUMIFS($L$2:L130,$A$2:A130,$A130,$F$2:F130,"&lt;="&amp;$F130)-1),"")</f>
        <v>-</v>
      </c>
      <c r="AO130" s="450" t="str">
        <f>IFERROR(IF(Q130=0,"-",SUMIFS($Q$2:Q130,$A$2:A130,$A130,$F$2:F130,"&lt;="&amp;$F130)/SUMIFS($M$2:M130,$A$2:A130,$A130,$F$2:F130,"&lt;="&amp;$F130)-1),"")</f>
        <v>-</v>
      </c>
      <c r="AP130" s="239"/>
      <c r="AQ130" s="452" t="str">
        <f>'Overall Metrics'!AO135</f>
        <v/>
      </c>
      <c r="AR130" s="450" t="str">
        <f t="shared" ref="AR130:AR193" si="65">IFERROR(AQ130-AP130,"")</f>
        <v/>
      </c>
      <c r="AS130" s="453" t="str">
        <f>IFERROR(IF(R131=0,"-",AVERAGEIFS($AQ$2:AQ130,$A$2:A130,$A130,$F$2:F130,"&lt;="&amp;$F130)-AVERAGEIFS($AP$2:AP130,$A$2:A130,$A130,$F$2:F130,"&lt;="&amp;$F130)),"")</f>
        <v>-</v>
      </c>
      <c r="AT130" s="390" t="str">
        <f>IFERROR(IF(R131=0,"-",AVERAGEIFS($AQ$2:AQ130,$A$2:A130,A130,$C$2:C130,C130)-AVERAGEIFS($AP$2:AP130,$A$2:A130,A130,$C$2:C130,C130)),"")</f>
        <v>-</v>
      </c>
      <c r="AU130" s="819"/>
      <c r="AV130" s="452">
        <f>'Overall Metrics'!AS135</f>
        <v>-0.1</v>
      </c>
      <c r="AW130" s="450">
        <f t="shared" ref="AW130:AW193" si="66">IFERROR(IF(AV130=0%,"",AV130-AU130),"")</f>
        <v>-0.1</v>
      </c>
      <c r="AX130" s="453" t="str">
        <f>IFERROR(IF(R134=0,"-",AVERAGEIFS($AV$2:AV130,$A$2:A130,$A130,$F$2:F130,"&lt;="&amp;$F130)-AVERAGEIFS($AU$2:AU130,$A$2:A130,$A130,$F$2:F130,"&lt;="&amp;$F130)),"")</f>
        <v>-</v>
      </c>
      <c r="AY130" s="453" t="str">
        <f>IFERROR(IF(R134=0,"-",AVERAGEIFS($AV$2:AV130,$A$2:A130,A130,$C$2:C130,C130)-AVERAGEIFS($AU$2:AU130,$A$2:A130,A130,$C$2:C130,C130)),"")</f>
        <v>-</v>
      </c>
      <c r="AZ130" s="86"/>
      <c r="BA130" s="449">
        <f>'Glass Metrics'!AC135</f>
        <v>0</v>
      </c>
      <c r="BB130" s="450" t="str">
        <f t="shared" ref="BB130:BB193" si="67">IFERROR(IF(BA130=0,"",BA130/AZ130-1),"")</f>
        <v/>
      </c>
      <c r="BC130" s="450" t="str">
        <f>IFERROR(IF(R130=0,"-",AVERAGEIFS($BA$2:BA130,$A$2:A130,$A130,$F$2:F130,"&lt;="&amp;$F130)/AVERAGEIFS($AZ$2:AZ130,$A$2:A130,$A130,$F$2:F130,"&lt;="&amp;$F130)-1),"")</f>
        <v>-</v>
      </c>
      <c r="BD130" s="269" t="str">
        <f>IFERROR(IF(R130=0,"-",AVERAGEIFS($BA$2:BA130,$A$2:A130,A130,$C$2:C130,C130)/AVERAGEIFS($AZ$2:AZ130,$A$2:A130,A130,$C$2:C130,C130)-1),"")</f>
        <v>-</v>
      </c>
    </row>
    <row r="131" spans="1:56" ht="16.350000000000001" customHeight="1">
      <c r="A131" s="175">
        <f t="shared" si="46"/>
        <v>2023</v>
      </c>
      <c r="B131" s="447" t="str">
        <f t="shared" si="47"/>
        <v>26</v>
      </c>
      <c r="C131" s="447" t="str">
        <f t="array" ref="C131">_xlfn.IFS(_xlfn.NUMBERVALUE(B131)&lt;=13,"Q1",AND(_xlfn.NUMBERVALUE(B131)&gt;13,_xlfn.NUMBERVALUE(B131)&lt;=26),"Q2", AND(_xlfn.NUMBERVALUE(B131)&gt;26,_xlfn.NUMBERVALUE(B131)&lt;=39),"Q3",_xlfn.NUMBERVALUE(B131)&gt;39,"Q4")</f>
        <v>Q2</v>
      </c>
      <c r="D131" s="448">
        <f t="shared" ref="D131:D194" si="68">E130+1</f>
        <v>44765</v>
      </c>
      <c r="E131" s="448">
        <f t="shared" si="48"/>
        <v>44771</v>
      </c>
      <c r="F131" s="79">
        <v>202226</v>
      </c>
      <c r="G131" s="103"/>
      <c r="H131" s="429"/>
      <c r="I131" s="429"/>
      <c r="J131" s="214">
        <f t="shared" si="49"/>
        <v>0</v>
      </c>
      <c r="K131" s="429"/>
      <c r="L131" s="429"/>
      <c r="M131" s="429"/>
      <c r="N131" s="214">
        <f t="shared" si="50"/>
        <v>0</v>
      </c>
      <c r="O131" s="449">
        <f>'Overall Metrics'!L136</f>
        <v>0</v>
      </c>
      <c r="P131" s="449">
        <f>'Overall Metrics'!M136</f>
        <v>0</v>
      </c>
      <c r="Q131" s="449">
        <f>'Overall Metrics'!N136</f>
        <v>0</v>
      </c>
      <c r="R131" s="449">
        <f t="shared" si="51"/>
        <v>0</v>
      </c>
      <c r="S131" s="180">
        <f t="shared" si="52"/>
        <v>0</v>
      </c>
      <c r="T131" s="449">
        <f t="shared" si="53"/>
        <v>0</v>
      </c>
      <c r="U131" s="449">
        <f t="shared" si="54"/>
        <v>0</v>
      </c>
      <c r="V131" s="450" t="str">
        <f t="shared" si="55"/>
        <v/>
      </c>
      <c r="W131" s="450" t="str">
        <f>IF(R131=0,"-",SUMIFS($R$2:R131,$A$2:A131,A131,$C$2:C131,C131)/SUMIFS($J$2:J131,$A$2:A131,A131,$C$2:C131,C131)-1)</f>
        <v>-</v>
      </c>
      <c r="X131" s="450" t="str">
        <f t="shared" si="56"/>
        <v/>
      </c>
      <c r="Y131" s="450" t="str">
        <f>IFERROR(IF(R131=0,"-",SUMIFS($R$2:R131,$A$2:A131,A131,$C$2:C131,C131)/SUMIFS($N$2:N131,$A$2:A131,A131,$C$2:C131,C131)-1),"")</f>
        <v>-</v>
      </c>
      <c r="Z131" s="269" t="str">
        <f>IF(R131=0,"",(S131/VLOOKUP(_xlfn.NUMBERVALUE(_xlfn.CONCAT(LEFT(F131,4),52)),$F$2:T338,COLUMNS($F$2:T338),FALSE)))</f>
        <v/>
      </c>
      <c r="AA131" s="269" t="str">
        <f>IFERROR(IF(R131=0,"",(S131/VLOOKUP(_xlfn.NUMBERVALUE(_xlfn.CONCAT(LEFT(F131,4),52)),$F$2:U338,COLUMNS($F$2:U338),FALSE))),"")</f>
        <v/>
      </c>
      <c r="AB131" s="268" t="str">
        <f t="shared" si="57"/>
        <v/>
      </c>
      <c r="AC131" s="450" t="str">
        <f t="shared" si="58"/>
        <v/>
      </c>
      <c r="AD131" s="450" t="str">
        <f t="shared" si="59"/>
        <v/>
      </c>
      <c r="AE131" s="269" t="str">
        <f t="shared" si="60"/>
        <v/>
      </c>
      <c r="AF131" s="268" t="str">
        <f t="shared" si="61"/>
        <v/>
      </c>
      <c r="AG131" s="450" t="str">
        <f t="shared" si="62"/>
        <v/>
      </c>
      <c r="AH131" s="450" t="str">
        <f t="shared" si="63"/>
        <v/>
      </c>
      <c r="AI131" s="269" t="str">
        <f t="shared" si="64"/>
        <v/>
      </c>
      <c r="AJ131" s="450" t="str">
        <f>IF(O131=0,"-",SUMIFS($O$2:O131,$A$2:A131,$A131,$F$2:F131,"&lt;="&amp;$F131)/SUMIFS($G$2:G131,$A$2:A131,$A131,$F$2:F131,"&lt;="&amp;$F131)-1)</f>
        <v>-</v>
      </c>
      <c r="AK131" s="450" t="str">
        <f>IF(P131=0,"-",SUMIFS($P$2:P131,$A$2:A131,$A131,$F$2:F131,"&lt;="&amp;$F131)/SUMIFS($H$2:H131,$A$2:A131,$A131,$F$2:F131,"&lt;="&amp;$F131)-1)</f>
        <v>-</v>
      </c>
      <c r="AL131" s="450" t="str">
        <f>IF(Q131=0,"-",SUMIFS($Q$2:Q131,$A$2:A131,$A131,$F$2:F131,"&lt;="&amp;$F131)/SUMIFS($I$2:I131,$A$2:A131,$A131,$F$2:F131,"&lt;="&amp;$F131)-1)</f>
        <v>-</v>
      </c>
      <c r="AM131" s="450" t="str">
        <f>IFERROR(IF(O131=0,"-",SUMIFS($O$2:O131,$A$2:A131,$A131,$F$2:F131,"&lt;="&amp;$F131)/SUMIFS($K$2:K131,$A$2:A131,$A131,$F$2:F131,"&lt;="&amp;$F131)-1),"")</f>
        <v>-</v>
      </c>
      <c r="AN131" s="450" t="str">
        <f>IFERROR(IF(P131=0,"-",SUMIFS($P$2:P131,$A$2:A131,$A131,$F$2:F131,"&lt;="&amp;$F131)/SUMIFS($L$2:L131,$A$2:A131,$A131,$F$2:F131,"&lt;="&amp;$F131)-1),"")</f>
        <v>-</v>
      </c>
      <c r="AO131" s="450" t="str">
        <f>IFERROR(IF(Q131=0,"-",SUMIFS($Q$2:Q131,$A$2:A131,$A131,$F$2:F131,"&lt;="&amp;$F131)/SUMIFS($M$2:M131,$A$2:A131,$A131,$F$2:F131,"&lt;="&amp;$F131)-1),"")</f>
        <v>-</v>
      </c>
      <c r="AP131" s="239"/>
      <c r="AQ131" s="452" t="str">
        <f>'Overall Metrics'!AO136</f>
        <v/>
      </c>
      <c r="AR131" s="450" t="str">
        <f t="shared" si="65"/>
        <v/>
      </c>
      <c r="AS131" s="453" t="str">
        <f>IFERROR(IF(R132=0,"-",AVERAGEIFS($AQ$2:AQ131,$A$2:A131,$A131,$F$2:F131,"&lt;="&amp;$F131)-AVERAGEIFS($AP$2:AP131,$A$2:A131,$A131,$F$2:F131,"&lt;="&amp;$F131)),"")</f>
        <v>-</v>
      </c>
      <c r="AT131" s="390" t="str">
        <f>IFERROR(IF(R132=0,"-",AVERAGEIFS($AQ$2:AQ131,$A$2:A131,A131,$C$2:C131,C131)-AVERAGEIFS($AP$2:AP131,$A$2:A131,A131,$C$2:C131,C131)),"")</f>
        <v>-</v>
      </c>
      <c r="AU131" s="819"/>
      <c r="AV131" s="452">
        <f>'Overall Metrics'!AS136</f>
        <v>-0.1</v>
      </c>
      <c r="AW131" s="450">
        <f t="shared" si="66"/>
        <v>-0.1</v>
      </c>
      <c r="AX131" s="453" t="str">
        <f>IFERROR(IF(R135=0,"-",AVERAGEIFS($AV$2:AV131,$A$2:A131,$A131,$F$2:F131,"&lt;="&amp;$F131)-AVERAGEIFS($AU$2:AU131,$A$2:A131,$A131,$F$2:F131,"&lt;="&amp;$F131)),"")</f>
        <v>-</v>
      </c>
      <c r="AY131" s="453" t="str">
        <f>IFERROR(IF(R135=0,"-",AVERAGEIFS($AV$2:AV131,$A$2:A131,A131,$C$2:C131,C131)-AVERAGEIFS($AU$2:AU131,$A$2:A131,A131,$C$2:C131,C131)),"")</f>
        <v>-</v>
      </c>
      <c r="AZ131" s="86"/>
      <c r="BA131" s="449">
        <f>'Glass Metrics'!AC136</f>
        <v>0</v>
      </c>
      <c r="BB131" s="450" t="str">
        <f t="shared" si="67"/>
        <v/>
      </c>
      <c r="BC131" s="450" t="str">
        <f>IFERROR(IF(R131=0,"-",AVERAGEIFS($BA$2:BA131,$A$2:A131,$A131,$F$2:F131,"&lt;="&amp;$F131)/AVERAGEIFS($AZ$2:AZ131,$A$2:A131,$A131,$F$2:F131,"&lt;="&amp;$F131)-1),"")</f>
        <v>-</v>
      </c>
      <c r="BD131" s="269" t="str">
        <f>IFERROR(IF(R131=0,"-",AVERAGEIFS($BA$2:BA131,$A$2:A131,A131,$C$2:C131,C131)/AVERAGEIFS($AZ$2:AZ131,$A$2:A131,A131,$C$2:C131,C131)-1),"")</f>
        <v>-</v>
      </c>
    </row>
    <row r="132" spans="1:56" ht="16.350000000000001" customHeight="1">
      <c r="A132" s="175">
        <f t="shared" si="46"/>
        <v>2023</v>
      </c>
      <c r="B132" s="447" t="str">
        <f t="shared" si="47"/>
        <v>27</v>
      </c>
      <c r="C132" s="447" t="str">
        <f t="array" ref="C132">_xlfn.IFS(_xlfn.NUMBERVALUE(B132)&lt;=13,"Q1",AND(_xlfn.NUMBERVALUE(B132)&gt;13,_xlfn.NUMBERVALUE(B132)&lt;=26),"Q2", AND(_xlfn.NUMBERVALUE(B132)&gt;26,_xlfn.NUMBERVALUE(B132)&lt;=39),"Q3",_xlfn.NUMBERVALUE(B132)&gt;39,"Q4")</f>
        <v>Q3</v>
      </c>
      <c r="D132" s="448">
        <f t="shared" si="68"/>
        <v>44772</v>
      </c>
      <c r="E132" s="448">
        <f t="shared" si="48"/>
        <v>44778</v>
      </c>
      <c r="F132" s="79">
        <v>202227</v>
      </c>
      <c r="G132" s="103"/>
      <c r="H132" s="429"/>
      <c r="I132" s="429"/>
      <c r="J132" s="214">
        <f t="shared" si="49"/>
        <v>0</v>
      </c>
      <c r="K132" s="429"/>
      <c r="L132" s="429"/>
      <c r="M132" s="429"/>
      <c r="N132" s="214">
        <f t="shared" si="50"/>
        <v>0</v>
      </c>
      <c r="O132" s="449">
        <f>'Overall Metrics'!L137</f>
        <v>0</v>
      </c>
      <c r="P132" s="449">
        <f>'Overall Metrics'!M137</f>
        <v>0</v>
      </c>
      <c r="Q132" s="449">
        <f>'Overall Metrics'!N137</f>
        <v>0</v>
      </c>
      <c r="R132" s="449">
        <f t="shared" si="51"/>
        <v>0</v>
      </c>
      <c r="S132" s="180">
        <f t="shared" si="52"/>
        <v>0</v>
      </c>
      <c r="T132" s="449">
        <f t="shared" si="53"/>
        <v>0</v>
      </c>
      <c r="U132" s="449">
        <f t="shared" si="54"/>
        <v>0</v>
      </c>
      <c r="V132" s="450" t="str">
        <f t="shared" si="55"/>
        <v/>
      </c>
      <c r="W132" s="450" t="str">
        <f>IF(R132=0,"-",SUMIFS($R$2:R132,$A$2:A132,A132,$C$2:C132,C132)/SUMIFS($J$2:J132,$A$2:A132,A132,$C$2:C132,C132)-1)</f>
        <v>-</v>
      </c>
      <c r="X132" s="450" t="str">
        <f t="shared" si="56"/>
        <v/>
      </c>
      <c r="Y132" s="450" t="str">
        <f>IFERROR(IF(R132=0,"-",SUMIFS($R$2:R132,$A$2:A132,A132,$C$2:C132,C132)/SUMIFS($N$2:N132,$A$2:A132,A132,$C$2:C132,C132)-1),"")</f>
        <v>-</v>
      </c>
      <c r="Z132" s="269" t="str">
        <f>IF(R132=0,"",(S132/VLOOKUP(_xlfn.NUMBERVALUE(_xlfn.CONCAT(LEFT(F132,4),52)),$F$2:T339,COLUMNS($F$2:T339),FALSE)))</f>
        <v/>
      </c>
      <c r="AA132" s="269" t="str">
        <f>IFERROR(IF(R132=0,"",(S132/VLOOKUP(_xlfn.NUMBERVALUE(_xlfn.CONCAT(LEFT(F132,4),52)),$F$2:U339,COLUMNS($F$2:U339),FALSE))),"")</f>
        <v/>
      </c>
      <c r="AB132" s="268" t="str">
        <f t="shared" si="57"/>
        <v/>
      </c>
      <c r="AC132" s="450" t="str">
        <f t="shared" si="58"/>
        <v/>
      </c>
      <c r="AD132" s="450" t="str">
        <f t="shared" si="59"/>
        <v/>
      </c>
      <c r="AE132" s="269" t="str">
        <f t="shared" si="60"/>
        <v/>
      </c>
      <c r="AF132" s="268" t="str">
        <f t="shared" si="61"/>
        <v/>
      </c>
      <c r="AG132" s="450" t="str">
        <f t="shared" si="62"/>
        <v/>
      </c>
      <c r="AH132" s="450" t="str">
        <f t="shared" si="63"/>
        <v/>
      </c>
      <c r="AI132" s="269" t="str">
        <f t="shared" si="64"/>
        <v/>
      </c>
      <c r="AJ132" s="450" t="str">
        <f>IF(O132=0,"-",SUMIFS($O$2:O132,$A$2:A132,$A132,$F$2:F132,"&lt;="&amp;$F132)/SUMIFS($G$2:G132,$A$2:A132,$A132,$F$2:F132,"&lt;="&amp;$F132)-1)</f>
        <v>-</v>
      </c>
      <c r="AK132" s="450" t="str">
        <f>IF(P132=0,"-",SUMIFS($P$2:P132,$A$2:A132,$A132,$F$2:F132,"&lt;="&amp;$F132)/SUMIFS($H$2:H132,$A$2:A132,$A132,$F$2:F132,"&lt;="&amp;$F132)-1)</f>
        <v>-</v>
      </c>
      <c r="AL132" s="450" t="str">
        <f>IF(Q132=0,"-",SUMIFS($Q$2:Q132,$A$2:A132,$A132,$F$2:F132,"&lt;="&amp;$F132)/SUMIFS($I$2:I132,$A$2:A132,$A132,$F$2:F132,"&lt;="&amp;$F132)-1)</f>
        <v>-</v>
      </c>
      <c r="AM132" s="450" t="str">
        <f>IFERROR(IF(O132=0,"-",SUMIFS($O$2:O132,$A$2:A132,$A132,$F$2:F132,"&lt;="&amp;$F132)/SUMIFS($K$2:K132,$A$2:A132,$A132,$F$2:F132,"&lt;="&amp;$F132)-1),"")</f>
        <v>-</v>
      </c>
      <c r="AN132" s="450" t="str">
        <f>IFERROR(IF(P132=0,"-",SUMIFS($P$2:P132,$A$2:A132,$A132,$F$2:F132,"&lt;="&amp;$F132)/SUMIFS($L$2:L132,$A$2:A132,$A132,$F$2:F132,"&lt;="&amp;$F132)-1),"")</f>
        <v>-</v>
      </c>
      <c r="AO132" s="450" t="str">
        <f>IFERROR(IF(Q132=0,"-",SUMIFS($Q$2:Q132,$A$2:A132,$A132,$F$2:F132,"&lt;="&amp;$F132)/SUMIFS($M$2:M132,$A$2:A132,$A132,$F$2:F132,"&lt;="&amp;$F132)-1),"")</f>
        <v>-</v>
      </c>
      <c r="AP132" s="239"/>
      <c r="AQ132" s="452" t="str">
        <f>'Overall Metrics'!AO137</f>
        <v/>
      </c>
      <c r="AR132" s="450" t="str">
        <f t="shared" si="65"/>
        <v/>
      </c>
      <c r="AS132" s="453" t="str">
        <f>IFERROR(IF(R133=0,"-",AVERAGEIFS($AQ$2:AQ132,$A$2:A132,$A132,$F$2:F132,"&lt;="&amp;$F132)-AVERAGEIFS($AP$2:AP132,$A$2:A132,$A132,$F$2:F132,"&lt;="&amp;$F132)),"")</f>
        <v>-</v>
      </c>
      <c r="AT132" s="390" t="str">
        <f>IFERROR(IF(R133=0,"-",AVERAGEIFS($AQ$2:AQ132,$A$2:A132,A132,$C$2:C132,C132)-AVERAGEIFS($AP$2:AP132,$A$2:A132,A132,$C$2:C132,C132)),"")</f>
        <v>-</v>
      </c>
      <c r="AU132" s="819"/>
      <c r="AV132" s="452">
        <f>'Overall Metrics'!AS137</f>
        <v>-0.1</v>
      </c>
      <c r="AW132" s="450">
        <f t="shared" si="66"/>
        <v>-0.1</v>
      </c>
      <c r="AX132" s="453" t="str">
        <f>IFERROR(IF(R136=0,"-",AVERAGEIFS($AV$2:AV132,$A$2:A132,$A132,$F$2:F132,"&lt;="&amp;$F132)-AVERAGEIFS($AU$2:AU132,$A$2:A132,$A132,$F$2:F132,"&lt;="&amp;$F132)),"")</f>
        <v>-</v>
      </c>
      <c r="AY132" s="453" t="str">
        <f>IFERROR(IF(R136=0,"-",AVERAGEIFS($AV$2:AV132,$A$2:A132,A132,$C$2:C132,C132)-AVERAGEIFS($AU$2:AU132,$A$2:A132,A132,$C$2:C132,C132)),"")</f>
        <v>-</v>
      </c>
      <c r="AZ132" s="86"/>
      <c r="BA132" s="449">
        <f>'Glass Metrics'!AC137</f>
        <v>0</v>
      </c>
      <c r="BB132" s="450" t="str">
        <f t="shared" si="67"/>
        <v/>
      </c>
      <c r="BC132" s="450" t="str">
        <f>IFERROR(IF(R132=0,"-",AVERAGEIFS($BA$2:BA132,$A$2:A132,$A132,$F$2:F132,"&lt;="&amp;$F132)/AVERAGEIFS($AZ$2:AZ132,$A$2:A132,$A132,$F$2:F132,"&lt;="&amp;$F132)-1),"")</f>
        <v>-</v>
      </c>
      <c r="BD132" s="269" t="str">
        <f>IFERROR(IF(R132=0,"-",AVERAGEIFS($BA$2:BA132,$A$2:A132,A132,$C$2:C132,C132)/AVERAGEIFS($AZ$2:AZ132,$A$2:A132,A132,$C$2:C132,C132)-1),"")</f>
        <v>-</v>
      </c>
    </row>
    <row r="133" spans="1:56" ht="16.350000000000001" customHeight="1">
      <c r="A133" s="175">
        <f t="shared" si="46"/>
        <v>2023</v>
      </c>
      <c r="B133" s="447" t="str">
        <f t="shared" si="47"/>
        <v>28</v>
      </c>
      <c r="C133" s="447" t="str">
        <f t="array" ref="C133">_xlfn.IFS(_xlfn.NUMBERVALUE(B133)&lt;=13,"Q1",AND(_xlfn.NUMBERVALUE(B133)&gt;13,_xlfn.NUMBERVALUE(B133)&lt;=26),"Q2", AND(_xlfn.NUMBERVALUE(B133)&gt;26,_xlfn.NUMBERVALUE(B133)&lt;=39),"Q3",_xlfn.NUMBERVALUE(B133)&gt;39,"Q4")</f>
        <v>Q3</v>
      </c>
      <c r="D133" s="448">
        <f t="shared" si="68"/>
        <v>44779</v>
      </c>
      <c r="E133" s="448">
        <f t="shared" si="48"/>
        <v>44785</v>
      </c>
      <c r="F133" s="79">
        <v>202228</v>
      </c>
      <c r="G133" s="103"/>
      <c r="H133" s="429"/>
      <c r="I133" s="429"/>
      <c r="J133" s="214">
        <f t="shared" si="49"/>
        <v>0</v>
      </c>
      <c r="K133" s="429"/>
      <c r="L133" s="429"/>
      <c r="M133" s="429"/>
      <c r="N133" s="214">
        <f t="shared" si="50"/>
        <v>0</v>
      </c>
      <c r="O133" s="449">
        <f>'Overall Metrics'!L138</f>
        <v>0</v>
      </c>
      <c r="P133" s="449">
        <f>'Overall Metrics'!M138</f>
        <v>0</v>
      </c>
      <c r="Q133" s="449">
        <f>'Overall Metrics'!N138</f>
        <v>0</v>
      </c>
      <c r="R133" s="449">
        <f t="shared" si="51"/>
        <v>0</v>
      </c>
      <c r="S133" s="180">
        <f t="shared" si="52"/>
        <v>0</v>
      </c>
      <c r="T133" s="449">
        <f t="shared" si="53"/>
        <v>0</v>
      </c>
      <c r="U133" s="449">
        <f t="shared" si="54"/>
        <v>0</v>
      </c>
      <c r="V133" s="450" t="str">
        <f t="shared" si="55"/>
        <v/>
      </c>
      <c r="W133" s="450" t="str">
        <f>IF(R133=0,"-",SUMIFS($R$2:R133,$A$2:A133,A133,$C$2:C133,C133)/SUMIFS($J$2:J133,$A$2:A133,A133,$C$2:C133,C133)-1)</f>
        <v>-</v>
      </c>
      <c r="X133" s="450" t="str">
        <f t="shared" si="56"/>
        <v/>
      </c>
      <c r="Y133" s="450" t="str">
        <f>IFERROR(IF(R133=0,"-",SUMIFS($R$2:R133,$A$2:A133,A133,$C$2:C133,C133)/SUMIFS($N$2:N133,$A$2:A133,A133,$C$2:C133,C133)-1),"")</f>
        <v>-</v>
      </c>
      <c r="Z133" s="269" t="str">
        <f>IF(R133=0,"",(S133/VLOOKUP(_xlfn.NUMBERVALUE(_xlfn.CONCAT(LEFT(F133,4),52)),$F$2:T340,COLUMNS($F$2:T340),FALSE)))</f>
        <v/>
      </c>
      <c r="AA133" s="269" t="str">
        <f>IFERROR(IF(R133=0,"",(S133/VLOOKUP(_xlfn.NUMBERVALUE(_xlfn.CONCAT(LEFT(F133,4),52)),$F$2:U340,COLUMNS($F$2:U340),FALSE))),"")</f>
        <v/>
      </c>
      <c r="AB133" s="268" t="str">
        <f t="shared" si="57"/>
        <v/>
      </c>
      <c r="AC133" s="450" t="str">
        <f t="shared" si="58"/>
        <v/>
      </c>
      <c r="AD133" s="450" t="str">
        <f t="shared" si="59"/>
        <v/>
      </c>
      <c r="AE133" s="269" t="str">
        <f t="shared" si="60"/>
        <v/>
      </c>
      <c r="AF133" s="268" t="str">
        <f t="shared" si="61"/>
        <v/>
      </c>
      <c r="AG133" s="450" t="str">
        <f t="shared" si="62"/>
        <v/>
      </c>
      <c r="AH133" s="450" t="str">
        <f t="shared" si="63"/>
        <v/>
      </c>
      <c r="AI133" s="269" t="str">
        <f t="shared" si="64"/>
        <v/>
      </c>
      <c r="AJ133" s="450" t="str">
        <f>IF(O133=0,"-",SUMIFS($O$2:O133,$A$2:A133,$A133,$F$2:F133,"&lt;="&amp;$F133)/SUMIFS($G$2:G133,$A$2:A133,$A133,$F$2:F133,"&lt;="&amp;$F133)-1)</f>
        <v>-</v>
      </c>
      <c r="AK133" s="450" t="str">
        <f>IF(P133=0,"-",SUMIFS($P$2:P133,$A$2:A133,$A133,$F$2:F133,"&lt;="&amp;$F133)/SUMIFS($H$2:H133,$A$2:A133,$A133,$F$2:F133,"&lt;="&amp;$F133)-1)</f>
        <v>-</v>
      </c>
      <c r="AL133" s="450" t="str">
        <f>IF(Q133=0,"-",SUMIFS($Q$2:Q133,$A$2:A133,$A133,$F$2:F133,"&lt;="&amp;$F133)/SUMIFS($I$2:I133,$A$2:A133,$A133,$F$2:F133,"&lt;="&amp;$F133)-1)</f>
        <v>-</v>
      </c>
      <c r="AM133" s="450" t="str">
        <f>IFERROR(IF(O133=0,"-",SUMIFS($O$2:O133,$A$2:A133,$A133,$F$2:F133,"&lt;="&amp;$F133)/SUMIFS($K$2:K133,$A$2:A133,$A133,$F$2:F133,"&lt;="&amp;$F133)-1),"")</f>
        <v>-</v>
      </c>
      <c r="AN133" s="450" t="str">
        <f>IFERROR(IF(P133=0,"-",SUMIFS($P$2:P133,$A$2:A133,$A133,$F$2:F133,"&lt;="&amp;$F133)/SUMIFS($L$2:L133,$A$2:A133,$A133,$F$2:F133,"&lt;="&amp;$F133)-1),"")</f>
        <v>-</v>
      </c>
      <c r="AO133" s="450" t="str">
        <f>IFERROR(IF(Q133=0,"-",SUMIFS($Q$2:Q133,$A$2:A133,$A133,$F$2:F133,"&lt;="&amp;$F133)/SUMIFS($M$2:M133,$A$2:A133,$A133,$F$2:F133,"&lt;="&amp;$F133)-1),"")</f>
        <v>-</v>
      </c>
      <c r="AP133" s="239"/>
      <c r="AQ133" s="452" t="str">
        <f>'Overall Metrics'!AO138</f>
        <v/>
      </c>
      <c r="AR133" s="450" t="str">
        <f t="shared" si="65"/>
        <v/>
      </c>
      <c r="AS133" s="453" t="str">
        <f>IFERROR(IF(R134=0,"-",AVERAGEIFS($AQ$2:AQ133,$A$2:A133,$A133,$F$2:F133,"&lt;="&amp;$F133)-AVERAGEIFS($AP$2:AP133,$A$2:A133,$A133,$F$2:F133,"&lt;="&amp;$F133)),"")</f>
        <v>-</v>
      </c>
      <c r="AT133" s="390" t="str">
        <f>IFERROR(IF(R134=0,"-",AVERAGEIFS($AQ$2:AQ133,$A$2:A133,A133,$C$2:C133,C133)-AVERAGEIFS($AP$2:AP133,$A$2:A133,A133,$C$2:C133,C133)),"")</f>
        <v>-</v>
      </c>
      <c r="AU133" s="819"/>
      <c r="AV133" s="452">
        <f>'Overall Metrics'!AS138</f>
        <v>-0.1</v>
      </c>
      <c r="AW133" s="450">
        <f t="shared" si="66"/>
        <v>-0.1</v>
      </c>
      <c r="AX133" s="453" t="str">
        <f>IFERROR(IF(R137=0,"-",AVERAGEIFS($AV$2:AV133,$A$2:A133,$A133,$F$2:F133,"&lt;="&amp;$F133)-AVERAGEIFS($AU$2:AU133,$A$2:A133,$A133,$F$2:F133,"&lt;="&amp;$F133)),"")</f>
        <v>-</v>
      </c>
      <c r="AY133" s="453" t="str">
        <f>IFERROR(IF(R137=0,"-",AVERAGEIFS($AV$2:AV133,$A$2:A133,A133,$C$2:C133,C133)-AVERAGEIFS($AU$2:AU133,$A$2:A133,A133,$C$2:C133,C133)),"")</f>
        <v>-</v>
      </c>
      <c r="AZ133" s="86"/>
      <c r="BA133" s="449">
        <f>'Glass Metrics'!AC138</f>
        <v>0</v>
      </c>
      <c r="BB133" s="450" t="str">
        <f t="shared" si="67"/>
        <v/>
      </c>
      <c r="BC133" s="450" t="str">
        <f>IFERROR(IF(R133=0,"-",AVERAGEIFS($BA$2:BA133,$A$2:A133,$A133,$F$2:F133,"&lt;="&amp;$F133)/AVERAGEIFS($AZ$2:AZ133,$A$2:A133,$A133,$F$2:F133,"&lt;="&amp;$F133)-1),"")</f>
        <v>-</v>
      </c>
      <c r="BD133" s="269" t="str">
        <f>IFERROR(IF(R133=0,"-",AVERAGEIFS($BA$2:BA133,$A$2:A133,A133,$C$2:C133,C133)/AVERAGEIFS($AZ$2:AZ133,$A$2:A133,A133,$C$2:C133,C133)-1),"")</f>
        <v>-</v>
      </c>
    </row>
    <row r="134" spans="1:56" ht="16.350000000000001" customHeight="1">
      <c r="A134" s="175">
        <f t="shared" si="46"/>
        <v>2023</v>
      </c>
      <c r="B134" s="447" t="str">
        <f t="shared" si="47"/>
        <v>29</v>
      </c>
      <c r="C134" s="447" t="str">
        <f t="array" ref="C134">_xlfn.IFS(_xlfn.NUMBERVALUE(B134)&lt;=13,"Q1",AND(_xlfn.NUMBERVALUE(B134)&gt;13,_xlfn.NUMBERVALUE(B134)&lt;=26),"Q2", AND(_xlfn.NUMBERVALUE(B134)&gt;26,_xlfn.NUMBERVALUE(B134)&lt;=39),"Q3",_xlfn.NUMBERVALUE(B134)&gt;39,"Q4")</f>
        <v>Q3</v>
      </c>
      <c r="D134" s="448">
        <f t="shared" si="68"/>
        <v>44786</v>
      </c>
      <c r="E134" s="448">
        <f t="shared" si="48"/>
        <v>44792</v>
      </c>
      <c r="F134" s="79">
        <v>202229</v>
      </c>
      <c r="G134" s="103"/>
      <c r="H134" s="429"/>
      <c r="I134" s="429"/>
      <c r="J134" s="214">
        <f t="shared" si="49"/>
        <v>0</v>
      </c>
      <c r="K134" s="429"/>
      <c r="L134" s="429"/>
      <c r="M134" s="429"/>
      <c r="N134" s="214">
        <f t="shared" si="50"/>
        <v>0</v>
      </c>
      <c r="O134" s="449">
        <f>'Overall Metrics'!L139</f>
        <v>0</v>
      </c>
      <c r="P134" s="449">
        <f>'Overall Metrics'!M139</f>
        <v>0</v>
      </c>
      <c r="Q134" s="449">
        <f>'Overall Metrics'!N139</f>
        <v>0</v>
      </c>
      <c r="R134" s="449">
        <f t="shared" si="51"/>
        <v>0</v>
      </c>
      <c r="S134" s="180">
        <f t="shared" si="52"/>
        <v>0</v>
      </c>
      <c r="T134" s="449">
        <f t="shared" si="53"/>
        <v>0</v>
      </c>
      <c r="U134" s="449">
        <f t="shared" si="54"/>
        <v>0</v>
      </c>
      <c r="V134" s="450" t="str">
        <f t="shared" si="55"/>
        <v/>
      </c>
      <c r="W134" s="450" t="str">
        <f>IF(R134=0,"-",SUMIFS($R$2:R134,$A$2:A134,A134,$C$2:C134,C134)/SUMIFS($J$2:J134,$A$2:A134,A134,$C$2:C134,C134)-1)</f>
        <v>-</v>
      </c>
      <c r="X134" s="450" t="str">
        <f t="shared" si="56"/>
        <v/>
      </c>
      <c r="Y134" s="450" t="str">
        <f>IFERROR(IF(R134=0,"-",SUMIFS($R$2:R134,$A$2:A134,A134,$C$2:C134,C134)/SUMIFS($N$2:N134,$A$2:A134,A134,$C$2:C134,C134)-1),"")</f>
        <v>-</v>
      </c>
      <c r="Z134" s="269" t="str">
        <f>IF(R134=0,"",(S134/VLOOKUP(_xlfn.NUMBERVALUE(_xlfn.CONCAT(LEFT(F134,4),52)),$F$2:T341,COLUMNS($F$2:T341),FALSE)))</f>
        <v/>
      </c>
      <c r="AA134" s="269" t="str">
        <f>IFERROR(IF(R134=0,"",(S134/VLOOKUP(_xlfn.NUMBERVALUE(_xlfn.CONCAT(LEFT(F134,4),52)),$F$2:U341,COLUMNS($F$2:U341),FALSE))),"")</f>
        <v/>
      </c>
      <c r="AB134" s="268" t="str">
        <f t="shared" si="57"/>
        <v/>
      </c>
      <c r="AC134" s="450" t="str">
        <f t="shared" si="58"/>
        <v/>
      </c>
      <c r="AD134" s="450" t="str">
        <f t="shared" si="59"/>
        <v/>
      </c>
      <c r="AE134" s="269" t="str">
        <f t="shared" si="60"/>
        <v/>
      </c>
      <c r="AF134" s="268" t="str">
        <f t="shared" si="61"/>
        <v/>
      </c>
      <c r="AG134" s="450" t="str">
        <f t="shared" si="62"/>
        <v/>
      </c>
      <c r="AH134" s="450" t="str">
        <f t="shared" si="63"/>
        <v/>
      </c>
      <c r="AI134" s="269" t="str">
        <f t="shared" si="64"/>
        <v/>
      </c>
      <c r="AJ134" s="450" t="str">
        <f>IF(O134=0,"-",SUMIFS($O$2:O134,$A$2:A134,$A134,$F$2:F134,"&lt;="&amp;$F134)/SUMIFS($G$2:G134,$A$2:A134,$A134,$F$2:F134,"&lt;="&amp;$F134)-1)</f>
        <v>-</v>
      </c>
      <c r="AK134" s="450" t="str">
        <f>IF(P134=0,"-",SUMIFS($P$2:P134,$A$2:A134,$A134,$F$2:F134,"&lt;="&amp;$F134)/SUMIFS($H$2:H134,$A$2:A134,$A134,$F$2:F134,"&lt;="&amp;$F134)-1)</f>
        <v>-</v>
      </c>
      <c r="AL134" s="450" t="str">
        <f>IF(Q134=0,"-",SUMIFS($Q$2:Q134,$A$2:A134,$A134,$F$2:F134,"&lt;="&amp;$F134)/SUMIFS($I$2:I134,$A$2:A134,$A134,$F$2:F134,"&lt;="&amp;$F134)-1)</f>
        <v>-</v>
      </c>
      <c r="AM134" s="450" t="str">
        <f>IFERROR(IF(O134=0,"-",SUMIFS($O$2:O134,$A$2:A134,$A134,$F$2:F134,"&lt;="&amp;$F134)/SUMIFS($K$2:K134,$A$2:A134,$A134,$F$2:F134,"&lt;="&amp;$F134)-1),"")</f>
        <v>-</v>
      </c>
      <c r="AN134" s="450" t="str">
        <f>IFERROR(IF(P134=0,"-",SUMIFS($P$2:P134,$A$2:A134,$A134,$F$2:F134,"&lt;="&amp;$F134)/SUMIFS($L$2:L134,$A$2:A134,$A134,$F$2:F134,"&lt;="&amp;$F134)-1),"")</f>
        <v>-</v>
      </c>
      <c r="AO134" s="450" t="str">
        <f>IFERROR(IF(Q134=0,"-",SUMIFS($Q$2:Q134,$A$2:A134,$A134,$F$2:F134,"&lt;="&amp;$F134)/SUMIFS($M$2:M134,$A$2:A134,$A134,$F$2:F134,"&lt;="&amp;$F134)-1),"")</f>
        <v>-</v>
      </c>
      <c r="AP134" s="239"/>
      <c r="AQ134" s="452" t="str">
        <f>'Overall Metrics'!AO139</f>
        <v/>
      </c>
      <c r="AR134" s="450" t="str">
        <f t="shared" si="65"/>
        <v/>
      </c>
      <c r="AS134" s="453" t="str">
        <f>IFERROR(IF(R135=0,"-",AVERAGEIFS($AQ$2:AQ134,$A$2:A134,$A134,$F$2:F134,"&lt;="&amp;$F134)-AVERAGEIFS($AP$2:AP134,$A$2:A134,$A134,$F$2:F134,"&lt;="&amp;$F134)),"")</f>
        <v>-</v>
      </c>
      <c r="AT134" s="390" t="str">
        <f>IFERROR(IF(R135=0,"-",AVERAGEIFS($AQ$2:AQ134,$A$2:A134,A134,$C$2:C134,C134)-AVERAGEIFS($AP$2:AP134,$A$2:A134,A134,$C$2:C134,C134)),"")</f>
        <v>-</v>
      </c>
      <c r="AU134" s="819"/>
      <c r="AV134" s="452">
        <f>'Overall Metrics'!AS139</f>
        <v>-0.1</v>
      </c>
      <c r="AW134" s="450">
        <f t="shared" si="66"/>
        <v>-0.1</v>
      </c>
      <c r="AX134" s="453" t="str">
        <f>IFERROR(IF(R138=0,"-",AVERAGEIFS($AV$2:AV134,$A$2:A134,$A134,$F$2:F134,"&lt;="&amp;$F134)-AVERAGEIFS($AU$2:AU134,$A$2:A134,$A134,$F$2:F134,"&lt;="&amp;$F134)),"")</f>
        <v>-</v>
      </c>
      <c r="AY134" s="453" t="str">
        <f>IFERROR(IF(R138=0,"-",AVERAGEIFS($AV$2:AV134,$A$2:A134,A134,$C$2:C134,C134)-AVERAGEIFS($AU$2:AU134,$A$2:A134,A134,$C$2:C134,C134)),"")</f>
        <v>-</v>
      </c>
      <c r="AZ134" s="86"/>
      <c r="BA134" s="449">
        <f>'Glass Metrics'!AC139</f>
        <v>0</v>
      </c>
      <c r="BB134" s="450" t="str">
        <f t="shared" si="67"/>
        <v/>
      </c>
      <c r="BC134" s="450" t="str">
        <f>IFERROR(IF(R134=0,"-",AVERAGEIFS($BA$2:BA134,$A$2:A134,$A134,$F$2:F134,"&lt;="&amp;$F134)/AVERAGEIFS($AZ$2:AZ134,$A$2:A134,$A134,$F$2:F134,"&lt;="&amp;$F134)-1),"")</f>
        <v>-</v>
      </c>
      <c r="BD134" s="269" t="str">
        <f>IFERROR(IF(R134=0,"-",AVERAGEIFS($BA$2:BA134,$A$2:A134,A134,$C$2:C134,C134)/AVERAGEIFS($AZ$2:AZ134,$A$2:A134,A134,$C$2:C134,C134)-1),"")</f>
        <v>-</v>
      </c>
    </row>
    <row r="135" spans="1:56" ht="16.350000000000001" customHeight="1">
      <c r="A135" s="175">
        <f t="shared" si="46"/>
        <v>2023</v>
      </c>
      <c r="B135" s="447" t="str">
        <f t="shared" si="47"/>
        <v>30</v>
      </c>
      <c r="C135" s="447" t="str">
        <f t="array" ref="C135">_xlfn.IFS(_xlfn.NUMBERVALUE(B135)&lt;=13,"Q1",AND(_xlfn.NUMBERVALUE(B135)&gt;13,_xlfn.NUMBERVALUE(B135)&lt;=26),"Q2", AND(_xlfn.NUMBERVALUE(B135)&gt;26,_xlfn.NUMBERVALUE(B135)&lt;=39),"Q3",_xlfn.NUMBERVALUE(B135)&gt;39,"Q4")</f>
        <v>Q3</v>
      </c>
      <c r="D135" s="448">
        <f t="shared" si="68"/>
        <v>44793</v>
      </c>
      <c r="E135" s="448">
        <f t="shared" si="48"/>
        <v>44799</v>
      </c>
      <c r="F135" s="79">
        <v>202230</v>
      </c>
      <c r="G135" s="103"/>
      <c r="H135" s="429"/>
      <c r="I135" s="429"/>
      <c r="J135" s="214">
        <f t="shared" si="49"/>
        <v>0</v>
      </c>
      <c r="K135" s="429"/>
      <c r="L135" s="429"/>
      <c r="M135" s="429"/>
      <c r="N135" s="214">
        <f t="shared" si="50"/>
        <v>0</v>
      </c>
      <c r="O135" s="449">
        <f>'Overall Metrics'!L140</f>
        <v>0</v>
      </c>
      <c r="P135" s="449">
        <f>'Overall Metrics'!M140</f>
        <v>0</v>
      </c>
      <c r="Q135" s="449">
        <f>'Overall Metrics'!N140</f>
        <v>0</v>
      </c>
      <c r="R135" s="449">
        <f t="shared" si="51"/>
        <v>0</v>
      </c>
      <c r="S135" s="180">
        <f t="shared" si="52"/>
        <v>0</v>
      </c>
      <c r="T135" s="449">
        <f t="shared" si="53"/>
        <v>0</v>
      </c>
      <c r="U135" s="449">
        <f t="shared" si="54"/>
        <v>0</v>
      </c>
      <c r="V135" s="450" t="str">
        <f t="shared" si="55"/>
        <v/>
      </c>
      <c r="W135" s="450" t="str">
        <f>IF(R135=0,"-",SUMIFS($R$2:R135,$A$2:A135,A135,$C$2:C135,C135)/SUMIFS($J$2:J135,$A$2:A135,A135,$C$2:C135,C135)-1)</f>
        <v>-</v>
      </c>
      <c r="X135" s="450" t="str">
        <f t="shared" si="56"/>
        <v/>
      </c>
      <c r="Y135" s="450" t="str">
        <f>IFERROR(IF(R135=0,"-",SUMIFS($R$2:R135,$A$2:A135,A135,$C$2:C135,C135)/SUMIFS($N$2:N135,$A$2:A135,A135,$C$2:C135,C135)-1),"")</f>
        <v>-</v>
      </c>
      <c r="Z135" s="269" t="str">
        <f>IF(R135=0,"",(S135/VLOOKUP(_xlfn.NUMBERVALUE(_xlfn.CONCAT(LEFT(F135,4),52)),$F$2:T342,COLUMNS($F$2:T342),FALSE)))</f>
        <v/>
      </c>
      <c r="AA135" s="269" t="str">
        <f>IFERROR(IF(R135=0,"",(S135/VLOOKUP(_xlfn.NUMBERVALUE(_xlfn.CONCAT(LEFT(F135,4),52)),$F$2:U342,COLUMNS($F$2:U342),FALSE))),"")</f>
        <v/>
      </c>
      <c r="AB135" s="268" t="str">
        <f t="shared" si="57"/>
        <v/>
      </c>
      <c r="AC135" s="450" t="str">
        <f t="shared" si="58"/>
        <v/>
      </c>
      <c r="AD135" s="450" t="str">
        <f t="shared" si="59"/>
        <v/>
      </c>
      <c r="AE135" s="269" t="str">
        <f t="shared" si="60"/>
        <v/>
      </c>
      <c r="AF135" s="268" t="str">
        <f t="shared" si="61"/>
        <v/>
      </c>
      <c r="AG135" s="450" t="str">
        <f t="shared" si="62"/>
        <v/>
      </c>
      <c r="AH135" s="450" t="str">
        <f t="shared" si="63"/>
        <v/>
      </c>
      <c r="AI135" s="269" t="str">
        <f t="shared" si="64"/>
        <v/>
      </c>
      <c r="AJ135" s="450" t="str">
        <f>IF(O135=0,"-",SUMIFS($O$2:O135,$A$2:A135,$A135,$F$2:F135,"&lt;="&amp;$F135)/SUMIFS($G$2:G135,$A$2:A135,$A135,$F$2:F135,"&lt;="&amp;$F135)-1)</f>
        <v>-</v>
      </c>
      <c r="AK135" s="450" t="str">
        <f>IF(P135=0,"-",SUMIFS($P$2:P135,$A$2:A135,$A135,$F$2:F135,"&lt;="&amp;$F135)/SUMIFS($H$2:H135,$A$2:A135,$A135,$F$2:F135,"&lt;="&amp;$F135)-1)</f>
        <v>-</v>
      </c>
      <c r="AL135" s="450" t="str">
        <f>IF(Q135=0,"-",SUMIFS($Q$2:Q135,$A$2:A135,$A135,$F$2:F135,"&lt;="&amp;$F135)/SUMIFS($I$2:I135,$A$2:A135,$A135,$F$2:F135,"&lt;="&amp;$F135)-1)</f>
        <v>-</v>
      </c>
      <c r="AM135" s="450" t="str">
        <f>IFERROR(IF(O135=0,"-",SUMIFS($O$2:O135,$A$2:A135,$A135,$F$2:F135,"&lt;="&amp;$F135)/SUMIFS($K$2:K135,$A$2:A135,$A135,$F$2:F135,"&lt;="&amp;$F135)-1),"")</f>
        <v>-</v>
      </c>
      <c r="AN135" s="450" t="str">
        <f>IFERROR(IF(P135=0,"-",SUMIFS($P$2:P135,$A$2:A135,$A135,$F$2:F135,"&lt;="&amp;$F135)/SUMIFS($L$2:L135,$A$2:A135,$A135,$F$2:F135,"&lt;="&amp;$F135)-1),"")</f>
        <v>-</v>
      </c>
      <c r="AO135" s="450" t="str">
        <f>IFERROR(IF(Q135=0,"-",SUMIFS($Q$2:Q135,$A$2:A135,$A135,$F$2:F135,"&lt;="&amp;$F135)/SUMIFS($M$2:M135,$A$2:A135,$A135,$F$2:F135,"&lt;="&amp;$F135)-1),"")</f>
        <v>-</v>
      </c>
      <c r="AP135" s="239"/>
      <c r="AQ135" s="452" t="str">
        <f>'Overall Metrics'!AO140</f>
        <v/>
      </c>
      <c r="AR135" s="450" t="str">
        <f t="shared" si="65"/>
        <v/>
      </c>
      <c r="AS135" s="453" t="str">
        <f>IFERROR(IF(R136=0,"-",AVERAGEIFS($AQ$2:AQ135,$A$2:A135,$A135,$F$2:F135,"&lt;="&amp;$F135)-AVERAGEIFS($AP$2:AP135,$A$2:A135,$A135,$F$2:F135,"&lt;="&amp;$F135)),"")</f>
        <v>-</v>
      </c>
      <c r="AT135" s="390" t="str">
        <f>IFERROR(IF(R136=0,"-",AVERAGEIFS($AQ$2:AQ135,$A$2:A135,A135,$C$2:C135,C135)-AVERAGEIFS($AP$2:AP135,$A$2:A135,A135,$C$2:C135,C135)),"")</f>
        <v>-</v>
      </c>
      <c r="AU135" s="819"/>
      <c r="AV135" s="452">
        <f>'Overall Metrics'!AS140</f>
        <v>-0.1</v>
      </c>
      <c r="AW135" s="450">
        <f t="shared" si="66"/>
        <v>-0.1</v>
      </c>
      <c r="AX135" s="453" t="str">
        <f>IFERROR(IF(R139=0,"-",AVERAGEIFS($AV$2:AV135,$A$2:A135,$A135,$F$2:F135,"&lt;="&amp;$F135)-AVERAGEIFS($AU$2:AU135,$A$2:A135,$A135,$F$2:F135,"&lt;="&amp;$F135)),"")</f>
        <v>-</v>
      </c>
      <c r="AY135" s="453" t="str">
        <f>IFERROR(IF(R139=0,"-",AVERAGEIFS($AV$2:AV135,$A$2:A135,A135,$C$2:C135,C135)-AVERAGEIFS($AU$2:AU135,$A$2:A135,A135,$C$2:C135,C135)),"")</f>
        <v>-</v>
      </c>
      <c r="AZ135" s="86"/>
      <c r="BA135" s="449">
        <f>'Glass Metrics'!AC140</f>
        <v>0</v>
      </c>
      <c r="BB135" s="450" t="str">
        <f t="shared" si="67"/>
        <v/>
      </c>
      <c r="BC135" s="450" t="str">
        <f>IFERROR(IF(R135=0,"-",AVERAGEIFS($BA$2:BA135,$A$2:A135,$A135,$F$2:F135,"&lt;="&amp;$F135)/AVERAGEIFS($AZ$2:AZ135,$A$2:A135,$A135,$F$2:F135,"&lt;="&amp;$F135)-1),"")</f>
        <v>-</v>
      </c>
      <c r="BD135" s="269" t="str">
        <f>IFERROR(IF(R135=0,"-",AVERAGEIFS($BA$2:BA135,$A$2:A135,A135,$C$2:C135,C135)/AVERAGEIFS($AZ$2:AZ135,$A$2:A135,A135,$C$2:C135,C135)-1),"")</f>
        <v>-</v>
      </c>
    </row>
    <row r="136" spans="1:56" ht="16.350000000000001" customHeight="1">
      <c r="A136" s="175">
        <f t="shared" si="46"/>
        <v>2023</v>
      </c>
      <c r="B136" s="447" t="str">
        <f t="shared" si="47"/>
        <v>31</v>
      </c>
      <c r="C136" s="447" t="str">
        <f t="array" ref="C136">_xlfn.IFS(_xlfn.NUMBERVALUE(B136)&lt;=13,"Q1",AND(_xlfn.NUMBERVALUE(B136)&gt;13,_xlfn.NUMBERVALUE(B136)&lt;=26),"Q2", AND(_xlfn.NUMBERVALUE(B136)&gt;26,_xlfn.NUMBERVALUE(B136)&lt;=39),"Q3",_xlfn.NUMBERVALUE(B136)&gt;39,"Q4")</f>
        <v>Q3</v>
      </c>
      <c r="D136" s="448">
        <f t="shared" si="68"/>
        <v>44800</v>
      </c>
      <c r="E136" s="448">
        <f t="shared" si="48"/>
        <v>44806</v>
      </c>
      <c r="F136" s="79">
        <v>202231</v>
      </c>
      <c r="G136" s="103"/>
      <c r="H136" s="429"/>
      <c r="I136" s="429"/>
      <c r="J136" s="214">
        <f t="shared" si="49"/>
        <v>0</v>
      </c>
      <c r="K136" s="429"/>
      <c r="L136" s="429"/>
      <c r="M136" s="429"/>
      <c r="N136" s="214">
        <f t="shared" si="50"/>
        <v>0</v>
      </c>
      <c r="O136" s="449">
        <f>'Overall Metrics'!L141</f>
        <v>0</v>
      </c>
      <c r="P136" s="449">
        <f>'Overall Metrics'!M141</f>
        <v>0</v>
      </c>
      <c r="Q136" s="449">
        <f>'Overall Metrics'!N141</f>
        <v>0</v>
      </c>
      <c r="R136" s="449">
        <f t="shared" si="51"/>
        <v>0</v>
      </c>
      <c r="S136" s="180">
        <f t="shared" si="52"/>
        <v>0</v>
      </c>
      <c r="T136" s="449">
        <f t="shared" si="53"/>
        <v>0</v>
      </c>
      <c r="U136" s="449">
        <f t="shared" si="54"/>
        <v>0</v>
      </c>
      <c r="V136" s="450" t="str">
        <f t="shared" si="55"/>
        <v/>
      </c>
      <c r="W136" s="450" t="str">
        <f>IF(R136=0,"-",SUMIFS($R$2:R136,$A$2:A136,A136,$C$2:C136,C136)/SUMIFS($J$2:J136,$A$2:A136,A136,$C$2:C136,C136)-1)</f>
        <v>-</v>
      </c>
      <c r="X136" s="450" t="str">
        <f t="shared" si="56"/>
        <v/>
      </c>
      <c r="Y136" s="450" t="str">
        <f>IFERROR(IF(R136=0,"-",SUMIFS($R$2:R136,$A$2:A136,A136,$C$2:C136,C136)/SUMIFS($N$2:N136,$A$2:A136,A136,$C$2:C136,C136)-1),"")</f>
        <v>-</v>
      </c>
      <c r="Z136" s="269" t="str">
        <f>IF(R136=0,"",(S136/VLOOKUP(_xlfn.NUMBERVALUE(_xlfn.CONCAT(LEFT(F136,4),52)),$F$2:T343,COLUMNS($F$2:T343),FALSE)))</f>
        <v/>
      </c>
      <c r="AA136" s="269" t="str">
        <f>IFERROR(IF(R136=0,"",(S136/VLOOKUP(_xlfn.NUMBERVALUE(_xlfn.CONCAT(LEFT(F136,4),52)),$F$2:U343,COLUMNS($F$2:U343),FALSE))),"")</f>
        <v/>
      </c>
      <c r="AB136" s="268" t="str">
        <f t="shared" si="57"/>
        <v/>
      </c>
      <c r="AC136" s="450" t="str">
        <f t="shared" si="58"/>
        <v/>
      </c>
      <c r="AD136" s="450" t="str">
        <f t="shared" si="59"/>
        <v/>
      </c>
      <c r="AE136" s="269" t="str">
        <f t="shared" si="60"/>
        <v/>
      </c>
      <c r="AF136" s="268" t="str">
        <f t="shared" si="61"/>
        <v/>
      </c>
      <c r="AG136" s="450" t="str">
        <f t="shared" si="62"/>
        <v/>
      </c>
      <c r="AH136" s="450" t="str">
        <f t="shared" si="63"/>
        <v/>
      </c>
      <c r="AI136" s="269" t="str">
        <f t="shared" si="64"/>
        <v/>
      </c>
      <c r="AJ136" s="450" t="str">
        <f>IF(O136=0,"-",SUMIFS($O$2:O136,$A$2:A136,$A136,$F$2:F136,"&lt;="&amp;$F136)/SUMIFS($G$2:G136,$A$2:A136,$A136,$F$2:F136,"&lt;="&amp;$F136)-1)</f>
        <v>-</v>
      </c>
      <c r="AK136" s="450" t="str">
        <f>IF(P136=0,"-",SUMIFS($P$2:P136,$A$2:A136,$A136,$F$2:F136,"&lt;="&amp;$F136)/SUMIFS($H$2:H136,$A$2:A136,$A136,$F$2:F136,"&lt;="&amp;$F136)-1)</f>
        <v>-</v>
      </c>
      <c r="AL136" s="450" t="str">
        <f>IF(Q136=0,"-",SUMIFS($Q$2:Q136,$A$2:A136,$A136,$F$2:F136,"&lt;="&amp;$F136)/SUMIFS($I$2:I136,$A$2:A136,$A136,$F$2:F136,"&lt;="&amp;$F136)-1)</f>
        <v>-</v>
      </c>
      <c r="AM136" s="450" t="str">
        <f>IFERROR(IF(O136=0,"-",SUMIFS($O$2:O136,$A$2:A136,$A136,$F$2:F136,"&lt;="&amp;$F136)/SUMIFS($K$2:K136,$A$2:A136,$A136,$F$2:F136,"&lt;="&amp;$F136)-1),"")</f>
        <v>-</v>
      </c>
      <c r="AN136" s="450" t="str">
        <f>IFERROR(IF(P136=0,"-",SUMIFS($P$2:P136,$A$2:A136,$A136,$F$2:F136,"&lt;="&amp;$F136)/SUMIFS($L$2:L136,$A$2:A136,$A136,$F$2:F136,"&lt;="&amp;$F136)-1),"")</f>
        <v>-</v>
      </c>
      <c r="AO136" s="450" t="str">
        <f>IFERROR(IF(Q136=0,"-",SUMIFS($Q$2:Q136,$A$2:A136,$A136,$F$2:F136,"&lt;="&amp;$F136)/SUMIFS($M$2:M136,$A$2:A136,$A136,$F$2:F136,"&lt;="&amp;$F136)-1),"")</f>
        <v>-</v>
      </c>
      <c r="AP136" s="239"/>
      <c r="AQ136" s="452" t="str">
        <f>'Overall Metrics'!AO141</f>
        <v/>
      </c>
      <c r="AR136" s="450" t="str">
        <f t="shared" si="65"/>
        <v/>
      </c>
      <c r="AS136" s="453" t="str">
        <f>IFERROR(IF(R137=0,"-",AVERAGEIFS($AQ$2:AQ136,$A$2:A136,$A136,$F$2:F136,"&lt;="&amp;$F136)-AVERAGEIFS($AP$2:AP136,$A$2:A136,$A136,$F$2:F136,"&lt;="&amp;$F136)),"")</f>
        <v>-</v>
      </c>
      <c r="AT136" s="390" t="str">
        <f>IFERROR(IF(R137=0,"-",AVERAGEIFS($AQ$2:AQ136,$A$2:A136,A136,$C$2:C136,C136)-AVERAGEIFS($AP$2:AP136,$A$2:A136,A136,$C$2:C136,C136)),"")</f>
        <v>-</v>
      </c>
      <c r="AU136" s="819"/>
      <c r="AV136" s="452">
        <f>'Overall Metrics'!AS141</f>
        <v>-0.1</v>
      </c>
      <c r="AW136" s="450">
        <f t="shared" si="66"/>
        <v>-0.1</v>
      </c>
      <c r="AX136" s="453" t="str">
        <f>IFERROR(IF(R140=0,"-",AVERAGEIFS($AV$2:AV136,$A$2:A136,$A136,$F$2:F136,"&lt;="&amp;$F136)-AVERAGEIFS($AU$2:AU136,$A$2:A136,$A136,$F$2:F136,"&lt;="&amp;$F136)),"")</f>
        <v>-</v>
      </c>
      <c r="AY136" s="453" t="str">
        <f>IFERROR(IF(R140=0,"-",AVERAGEIFS($AV$2:AV136,$A$2:A136,A136,$C$2:C136,C136)-AVERAGEIFS($AU$2:AU136,$A$2:A136,A136,$C$2:C136,C136)),"")</f>
        <v>-</v>
      </c>
      <c r="AZ136" s="86"/>
      <c r="BA136" s="449">
        <f>'Glass Metrics'!AC141</f>
        <v>0</v>
      </c>
      <c r="BB136" s="450" t="str">
        <f t="shared" si="67"/>
        <v/>
      </c>
      <c r="BC136" s="450" t="str">
        <f>IFERROR(IF(R136=0,"-",AVERAGEIFS($BA$2:BA136,$A$2:A136,$A136,$F$2:F136,"&lt;="&amp;$F136)/AVERAGEIFS($AZ$2:AZ136,$A$2:A136,$A136,$F$2:F136,"&lt;="&amp;$F136)-1),"")</f>
        <v>-</v>
      </c>
      <c r="BD136" s="269" t="str">
        <f>IFERROR(IF(R136=0,"-",AVERAGEIFS($BA$2:BA136,$A$2:A136,A136,$C$2:C136,C136)/AVERAGEIFS($AZ$2:AZ136,$A$2:A136,A136,$C$2:C136,C136)-1),"")</f>
        <v>-</v>
      </c>
    </row>
    <row r="137" spans="1:56" ht="16.350000000000001" customHeight="1">
      <c r="A137" s="175">
        <f t="shared" si="46"/>
        <v>2023</v>
      </c>
      <c r="B137" s="447" t="str">
        <f t="shared" si="47"/>
        <v>32</v>
      </c>
      <c r="C137" s="447" t="str">
        <f t="array" ref="C137">_xlfn.IFS(_xlfn.NUMBERVALUE(B137)&lt;=13,"Q1",AND(_xlfn.NUMBERVALUE(B137)&gt;13,_xlfn.NUMBERVALUE(B137)&lt;=26),"Q2", AND(_xlfn.NUMBERVALUE(B137)&gt;26,_xlfn.NUMBERVALUE(B137)&lt;=39),"Q3",_xlfn.NUMBERVALUE(B137)&gt;39,"Q4")</f>
        <v>Q3</v>
      </c>
      <c r="D137" s="448">
        <f t="shared" si="68"/>
        <v>44807</v>
      </c>
      <c r="E137" s="448">
        <f t="shared" si="48"/>
        <v>44813</v>
      </c>
      <c r="F137" s="79">
        <v>202232</v>
      </c>
      <c r="G137" s="103"/>
      <c r="H137" s="429"/>
      <c r="I137" s="429"/>
      <c r="J137" s="214">
        <f t="shared" si="49"/>
        <v>0</v>
      </c>
      <c r="K137" s="429"/>
      <c r="L137" s="429"/>
      <c r="M137" s="429"/>
      <c r="N137" s="214">
        <f t="shared" si="50"/>
        <v>0</v>
      </c>
      <c r="O137" s="449">
        <f>'Overall Metrics'!L142</f>
        <v>0</v>
      </c>
      <c r="P137" s="449">
        <f>'Overall Metrics'!M142</f>
        <v>0</v>
      </c>
      <c r="Q137" s="449">
        <f>'Overall Metrics'!N142</f>
        <v>0</v>
      </c>
      <c r="R137" s="449">
        <f t="shared" si="51"/>
        <v>0</v>
      </c>
      <c r="S137" s="180">
        <f t="shared" si="52"/>
        <v>0</v>
      </c>
      <c r="T137" s="449">
        <f t="shared" si="53"/>
        <v>0</v>
      </c>
      <c r="U137" s="449">
        <f t="shared" si="54"/>
        <v>0</v>
      </c>
      <c r="V137" s="450" t="str">
        <f t="shared" si="55"/>
        <v/>
      </c>
      <c r="W137" s="450" t="str">
        <f>IF(R137=0,"-",SUMIFS($R$2:R137,$A$2:A137,A137,$C$2:C137,C137)/SUMIFS($J$2:J137,$A$2:A137,A137,$C$2:C137,C137)-1)</f>
        <v>-</v>
      </c>
      <c r="X137" s="450" t="str">
        <f t="shared" si="56"/>
        <v/>
      </c>
      <c r="Y137" s="450" t="str">
        <f>IFERROR(IF(R137=0,"-",SUMIFS($R$2:R137,$A$2:A137,A137,$C$2:C137,C137)/SUMIFS($N$2:N137,$A$2:A137,A137,$C$2:C137,C137)-1),"")</f>
        <v>-</v>
      </c>
      <c r="Z137" s="269" t="str">
        <f>IF(R137=0,"",(S137/VLOOKUP(_xlfn.NUMBERVALUE(_xlfn.CONCAT(LEFT(F137,4),52)),$F$2:T344,COLUMNS($F$2:T344),FALSE)))</f>
        <v/>
      </c>
      <c r="AA137" s="269" t="str">
        <f>IFERROR(IF(R137=0,"",(S137/VLOOKUP(_xlfn.NUMBERVALUE(_xlfn.CONCAT(LEFT(F137,4),52)),$F$2:U344,COLUMNS($F$2:U344),FALSE))),"")</f>
        <v/>
      </c>
      <c r="AB137" s="268" t="str">
        <f t="shared" si="57"/>
        <v/>
      </c>
      <c r="AC137" s="450" t="str">
        <f t="shared" si="58"/>
        <v/>
      </c>
      <c r="AD137" s="450" t="str">
        <f t="shared" si="59"/>
        <v/>
      </c>
      <c r="AE137" s="269" t="str">
        <f t="shared" si="60"/>
        <v/>
      </c>
      <c r="AF137" s="268" t="str">
        <f t="shared" si="61"/>
        <v/>
      </c>
      <c r="AG137" s="450" t="str">
        <f t="shared" si="62"/>
        <v/>
      </c>
      <c r="AH137" s="450" t="str">
        <f t="shared" si="63"/>
        <v/>
      </c>
      <c r="AI137" s="269" t="str">
        <f t="shared" si="64"/>
        <v/>
      </c>
      <c r="AJ137" s="450" t="str">
        <f>IF(O137=0,"-",SUMIFS($O$2:O137,$A$2:A137,$A137,$F$2:F137,"&lt;="&amp;$F137)/SUMIFS($G$2:G137,$A$2:A137,$A137,$F$2:F137,"&lt;="&amp;$F137)-1)</f>
        <v>-</v>
      </c>
      <c r="AK137" s="450" t="str">
        <f>IF(P137=0,"-",SUMIFS($P$2:P137,$A$2:A137,$A137,$F$2:F137,"&lt;="&amp;$F137)/SUMIFS($H$2:H137,$A$2:A137,$A137,$F$2:F137,"&lt;="&amp;$F137)-1)</f>
        <v>-</v>
      </c>
      <c r="AL137" s="450" t="str">
        <f>IF(Q137=0,"-",SUMIFS($Q$2:Q137,$A$2:A137,$A137,$F$2:F137,"&lt;="&amp;$F137)/SUMIFS($I$2:I137,$A$2:A137,$A137,$F$2:F137,"&lt;="&amp;$F137)-1)</f>
        <v>-</v>
      </c>
      <c r="AM137" s="450" t="str">
        <f>IFERROR(IF(O137=0,"-",SUMIFS($O$2:O137,$A$2:A137,$A137,$F$2:F137,"&lt;="&amp;$F137)/SUMIFS($K$2:K137,$A$2:A137,$A137,$F$2:F137,"&lt;="&amp;$F137)-1),"")</f>
        <v>-</v>
      </c>
      <c r="AN137" s="450" t="str">
        <f>IFERROR(IF(P137=0,"-",SUMIFS($P$2:P137,$A$2:A137,$A137,$F$2:F137,"&lt;="&amp;$F137)/SUMIFS($L$2:L137,$A$2:A137,$A137,$F$2:F137,"&lt;="&amp;$F137)-1),"")</f>
        <v>-</v>
      </c>
      <c r="AO137" s="450" t="str">
        <f>IFERROR(IF(Q137=0,"-",SUMIFS($Q$2:Q137,$A$2:A137,$A137,$F$2:F137,"&lt;="&amp;$F137)/SUMIFS($M$2:M137,$A$2:A137,$A137,$F$2:F137,"&lt;="&amp;$F137)-1),"")</f>
        <v>-</v>
      </c>
      <c r="AP137" s="239"/>
      <c r="AQ137" s="452" t="str">
        <f>'Overall Metrics'!AO142</f>
        <v/>
      </c>
      <c r="AR137" s="450" t="str">
        <f t="shared" si="65"/>
        <v/>
      </c>
      <c r="AS137" s="453" t="str">
        <f>IFERROR(IF(R138=0,"-",AVERAGEIFS($AQ$2:AQ137,$A$2:A137,$A137,$F$2:F137,"&lt;="&amp;$F137)-AVERAGEIFS($AP$2:AP137,$A$2:A137,$A137,$F$2:F137,"&lt;="&amp;$F137)),"")</f>
        <v>-</v>
      </c>
      <c r="AT137" s="390" t="str">
        <f>IFERROR(IF(R138=0,"-",AVERAGEIFS($AQ$2:AQ137,$A$2:A137,A137,$C$2:C137,C137)-AVERAGEIFS($AP$2:AP137,$A$2:A137,A137,$C$2:C137,C137)),"")</f>
        <v>-</v>
      </c>
      <c r="AU137" s="819"/>
      <c r="AV137" s="452">
        <f>'Overall Metrics'!AS142</f>
        <v>-0.1</v>
      </c>
      <c r="AW137" s="450">
        <f t="shared" si="66"/>
        <v>-0.1</v>
      </c>
      <c r="AX137" s="453" t="str">
        <f>IFERROR(IF(R141=0,"-",AVERAGEIFS($AV$2:AV137,$A$2:A137,$A137,$F$2:F137,"&lt;="&amp;$F137)-AVERAGEIFS($AU$2:AU137,$A$2:A137,$A137,$F$2:F137,"&lt;="&amp;$F137)),"")</f>
        <v>-</v>
      </c>
      <c r="AY137" s="453" t="str">
        <f>IFERROR(IF(R141=0,"-",AVERAGEIFS($AV$2:AV137,$A$2:A137,A137,$C$2:C137,C137)-AVERAGEIFS($AU$2:AU137,$A$2:A137,A137,$C$2:C137,C137)),"")</f>
        <v>-</v>
      </c>
      <c r="AZ137" s="86"/>
      <c r="BA137" s="449">
        <f>'Glass Metrics'!AC142</f>
        <v>0</v>
      </c>
      <c r="BB137" s="450" t="str">
        <f t="shared" si="67"/>
        <v/>
      </c>
      <c r="BC137" s="450" t="str">
        <f>IFERROR(IF(R137=0,"-",AVERAGEIFS($BA$2:BA137,$A$2:A137,$A137,$F$2:F137,"&lt;="&amp;$F137)/AVERAGEIFS($AZ$2:AZ137,$A$2:A137,$A137,$F$2:F137,"&lt;="&amp;$F137)-1),"")</f>
        <v>-</v>
      </c>
      <c r="BD137" s="269" t="str">
        <f>IFERROR(IF(R137=0,"-",AVERAGEIFS($BA$2:BA137,$A$2:A137,A137,$C$2:C137,C137)/AVERAGEIFS($AZ$2:AZ137,$A$2:A137,A137,$C$2:C137,C137)-1),"")</f>
        <v>-</v>
      </c>
    </row>
    <row r="138" spans="1:56" ht="16.350000000000001" customHeight="1">
      <c r="A138" s="175">
        <f t="shared" si="46"/>
        <v>2023</v>
      </c>
      <c r="B138" s="447" t="str">
        <f t="shared" si="47"/>
        <v>33</v>
      </c>
      <c r="C138" s="447" t="str">
        <f t="array" ref="C138">_xlfn.IFS(_xlfn.NUMBERVALUE(B138)&lt;=13,"Q1",AND(_xlfn.NUMBERVALUE(B138)&gt;13,_xlfn.NUMBERVALUE(B138)&lt;=26),"Q2", AND(_xlfn.NUMBERVALUE(B138)&gt;26,_xlfn.NUMBERVALUE(B138)&lt;=39),"Q3",_xlfn.NUMBERVALUE(B138)&gt;39,"Q4")</f>
        <v>Q3</v>
      </c>
      <c r="D138" s="448">
        <f t="shared" si="68"/>
        <v>44814</v>
      </c>
      <c r="E138" s="448">
        <f t="shared" si="48"/>
        <v>44820</v>
      </c>
      <c r="F138" s="79">
        <v>202233</v>
      </c>
      <c r="G138" s="103"/>
      <c r="H138" s="429"/>
      <c r="I138" s="429"/>
      <c r="J138" s="214">
        <f t="shared" si="49"/>
        <v>0</v>
      </c>
      <c r="K138" s="429"/>
      <c r="L138" s="429"/>
      <c r="M138" s="429"/>
      <c r="N138" s="214">
        <f t="shared" si="50"/>
        <v>0</v>
      </c>
      <c r="O138" s="449">
        <f>'Overall Metrics'!L143</f>
        <v>0</v>
      </c>
      <c r="P138" s="449">
        <f>'Overall Metrics'!M143</f>
        <v>0</v>
      </c>
      <c r="Q138" s="449">
        <f>'Overall Metrics'!N143</f>
        <v>0</v>
      </c>
      <c r="R138" s="449">
        <f t="shared" si="51"/>
        <v>0</v>
      </c>
      <c r="S138" s="180">
        <f t="shared" si="52"/>
        <v>0</v>
      </c>
      <c r="T138" s="449">
        <f t="shared" si="53"/>
        <v>0</v>
      </c>
      <c r="U138" s="449">
        <f t="shared" si="54"/>
        <v>0</v>
      </c>
      <c r="V138" s="450" t="str">
        <f t="shared" si="55"/>
        <v/>
      </c>
      <c r="W138" s="450" t="str">
        <f>IF(R138=0,"-",SUMIFS($R$2:R138,$A$2:A138,A138,$C$2:C138,C138)/SUMIFS($J$2:J138,$A$2:A138,A138,$C$2:C138,C138)-1)</f>
        <v>-</v>
      </c>
      <c r="X138" s="450" t="str">
        <f t="shared" si="56"/>
        <v/>
      </c>
      <c r="Y138" s="450" t="str">
        <f>IFERROR(IF(R138=0,"-",SUMIFS($R$2:R138,$A$2:A138,A138,$C$2:C138,C138)/SUMIFS($N$2:N138,$A$2:A138,A138,$C$2:C138,C138)-1),"")</f>
        <v>-</v>
      </c>
      <c r="Z138" s="269" t="str">
        <f>IF(R138=0,"",(S138/VLOOKUP(_xlfn.NUMBERVALUE(_xlfn.CONCAT(LEFT(F138,4),52)),$F$2:T345,COLUMNS($F$2:T345),FALSE)))</f>
        <v/>
      </c>
      <c r="AA138" s="269" t="str">
        <f>IFERROR(IF(R138=0,"",(S138/VLOOKUP(_xlfn.NUMBERVALUE(_xlfn.CONCAT(LEFT(F138,4),52)),$F$2:U345,COLUMNS($F$2:U345),FALSE))),"")</f>
        <v/>
      </c>
      <c r="AB138" s="268" t="str">
        <f t="shared" si="57"/>
        <v/>
      </c>
      <c r="AC138" s="450" t="str">
        <f t="shared" si="58"/>
        <v/>
      </c>
      <c r="AD138" s="450" t="str">
        <f t="shared" si="59"/>
        <v/>
      </c>
      <c r="AE138" s="269" t="str">
        <f t="shared" si="60"/>
        <v/>
      </c>
      <c r="AF138" s="268" t="str">
        <f t="shared" si="61"/>
        <v/>
      </c>
      <c r="AG138" s="450" t="str">
        <f t="shared" si="62"/>
        <v/>
      </c>
      <c r="AH138" s="450" t="str">
        <f t="shared" si="63"/>
        <v/>
      </c>
      <c r="AI138" s="269" t="str">
        <f t="shared" si="64"/>
        <v/>
      </c>
      <c r="AJ138" s="450" t="str">
        <f>IF(O138=0,"-",SUMIFS($O$2:O138,$A$2:A138,$A138,$F$2:F138,"&lt;="&amp;$F138)/SUMIFS($G$2:G138,$A$2:A138,$A138,$F$2:F138,"&lt;="&amp;$F138)-1)</f>
        <v>-</v>
      </c>
      <c r="AK138" s="450" t="str">
        <f>IF(P138=0,"-",SUMIFS($P$2:P138,$A$2:A138,$A138,$F$2:F138,"&lt;="&amp;$F138)/SUMIFS($H$2:H138,$A$2:A138,$A138,$F$2:F138,"&lt;="&amp;$F138)-1)</f>
        <v>-</v>
      </c>
      <c r="AL138" s="450" t="str">
        <f>IF(Q138=0,"-",SUMIFS($Q$2:Q138,$A$2:A138,$A138,$F$2:F138,"&lt;="&amp;$F138)/SUMIFS($I$2:I138,$A$2:A138,$A138,$F$2:F138,"&lt;="&amp;$F138)-1)</f>
        <v>-</v>
      </c>
      <c r="AM138" s="450" t="str">
        <f>IFERROR(IF(O138=0,"-",SUMIFS($O$2:O138,$A$2:A138,$A138,$F$2:F138,"&lt;="&amp;$F138)/SUMIFS($K$2:K138,$A$2:A138,$A138,$F$2:F138,"&lt;="&amp;$F138)-1),"")</f>
        <v>-</v>
      </c>
      <c r="AN138" s="450" t="str">
        <f>IFERROR(IF(P138=0,"-",SUMIFS($P$2:P138,$A$2:A138,$A138,$F$2:F138,"&lt;="&amp;$F138)/SUMIFS($L$2:L138,$A$2:A138,$A138,$F$2:F138,"&lt;="&amp;$F138)-1),"")</f>
        <v>-</v>
      </c>
      <c r="AO138" s="450" t="str">
        <f>IFERROR(IF(Q138=0,"-",SUMIFS($Q$2:Q138,$A$2:A138,$A138,$F$2:F138,"&lt;="&amp;$F138)/SUMIFS($M$2:M138,$A$2:A138,$A138,$F$2:F138,"&lt;="&amp;$F138)-1),"")</f>
        <v>-</v>
      </c>
      <c r="AP138" s="239"/>
      <c r="AQ138" s="452" t="str">
        <f>'Overall Metrics'!AO143</f>
        <v/>
      </c>
      <c r="AR138" s="450" t="str">
        <f t="shared" si="65"/>
        <v/>
      </c>
      <c r="AS138" s="453" t="str">
        <f>IFERROR(IF(R139=0,"-",AVERAGEIFS($AQ$2:AQ138,$A$2:A138,$A138,$F$2:F138,"&lt;="&amp;$F138)-AVERAGEIFS($AP$2:AP138,$A$2:A138,$A138,$F$2:F138,"&lt;="&amp;$F138)),"")</f>
        <v>-</v>
      </c>
      <c r="AT138" s="390" t="str">
        <f>IFERROR(IF(R139=0,"-",AVERAGEIFS($AQ$2:AQ138,$A$2:A138,A138,$C$2:C138,C138)-AVERAGEIFS($AP$2:AP138,$A$2:A138,A138,$C$2:C138,C138)),"")</f>
        <v>-</v>
      </c>
      <c r="AU138" s="819"/>
      <c r="AV138" s="452">
        <f>'Overall Metrics'!AS143</f>
        <v>-0.1</v>
      </c>
      <c r="AW138" s="450">
        <f t="shared" si="66"/>
        <v>-0.1</v>
      </c>
      <c r="AX138" s="453" t="str">
        <f>IFERROR(IF(R142=0,"-",AVERAGEIFS($AV$2:AV138,$A$2:A138,$A138,$F$2:F138,"&lt;="&amp;$F138)-AVERAGEIFS($AU$2:AU138,$A$2:A138,$A138,$F$2:F138,"&lt;="&amp;$F138)),"")</f>
        <v>-</v>
      </c>
      <c r="AY138" s="453" t="str">
        <f>IFERROR(IF(R142=0,"-",AVERAGEIFS($AV$2:AV138,$A$2:A138,A138,$C$2:C138,C138)-AVERAGEIFS($AU$2:AU138,$A$2:A138,A138,$C$2:C138,C138)),"")</f>
        <v>-</v>
      </c>
      <c r="AZ138" s="86"/>
      <c r="BA138" s="449">
        <f>'Glass Metrics'!AC143</f>
        <v>0</v>
      </c>
      <c r="BB138" s="450" t="str">
        <f t="shared" si="67"/>
        <v/>
      </c>
      <c r="BC138" s="450" t="str">
        <f>IFERROR(IF(R138=0,"-",AVERAGEIFS($BA$2:BA138,$A$2:A138,$A138,$F$2:F138,"&lt;="&amp;$F138)/AVERAGEIFS($AZ$2:AZ138,$A$2:A138,$A138,$F$2:F138,"&lt;="&amp;$F138)-1),"")</f>
        <v>-</v>
      </c>
      <c r="BD138" s="269" t="str">
        <f>IFERROR(IF(R138=0,"-",AVERAGEIFS($BA$2:BA138,$A$2:A138,A138,$C$2:C138,C138)/AVERAGEIFS($AZ$2:AZ138,$A$2:A138,A138,$C$2:C138,C138)-1),"")</f>
        <v>-</v>
      </c>
    </row>
    <row r="139" spans="1:56" ht="16.350000000000001" customHeight="1">
      <c r="A139" s="175">
        <f t="shared" si="46"/>
        <v>2023</v>
      </c>
      <c r="B139" s="447" t="str">
        <f t="shared" si="47"/>
        <v>34</v>
      </c>
      <c r="C139" s="447" t="str">
        <f t="array" ref="C139">_xlfn.IFS(_xlfn.NUMBERVALUE(B139)&lt;=13,"Q1",AND(_xlfn.NUMBERVALUE(B139)&gt;13,_xlfn.NUMBERVALUE(B139)&lt;=26),"Q2", AND(_xlfn.NUMBERVALUE(B139)&gt;26,_xlfn.NUMBERVALUE(B139)&lt;=39),"Q3",_xlfn.NUMBERVALUE(B139)&gt;39,"Q4")</f>
        <v>Q3</v>
      </c>
      <c r="D139" s="448">
        <f t="shared" si="68"/>
        <v>44821</v>
      </c>
      <c r="E139" s="448">
        <f t="shared" si="48"/>
        <v>44827</v>
      </c>
      <c r="F139" s="79">
        <v>202234</v>
      </c>
      <c r="G139" s="103"/>
      <c r="H139" s="429"/>
      <c r="I139" s="429"/>
      <c r="J139" s="214">
        <f t="shared" si="49"/>
        <v>0</v>
      </c>
      <c r="K139" s="429"/>
      <c r="L139" s="429"/>
      <c r="M139" s="429"/>
      <c r="N139" s="214">
        <f t="shared" si="50"/>
        <v>0</v>
      </c>
      <c r="O139" s="449">
        <f>'Overall Metrics'!L144</f>
        <v>0</v>
      </c>
      <c r="P139" s="449">
        <f>'Overall Metrics'!M144</f>
        <v>0</v>
      </c>
      <c r="Q139" s="449">
        <f>'Overall Metrics'!N144</f>
        <v>0</v>
      </c>
      <c r="R139" s="449">
        <f t="shared" si="51"/>
        <v>0</v>
      </c>
      <c r="S139" s="180">
        <f t="shared" si="52"/>
        <v>0</v>
      </c>
      <c r="T139" s="449">
        <f t="shared" si="53"/>
        <v>0</v>
      </c>
      <c r="U139" s="449">
        <f t="shared" si="54"/>
        <v>0</v>
      </c>
      <c r="V139" s="450" t="str">
        <f t="shared" si="55"/>
        <v/>
      </c>
      <c r="W139" s="450" t="str">
        <f>IF(R139=0,"-",SUMIFS($R$2:R139,$A$2:A139,A139,$C$2:C139,C139)/SUMIFS($J$2:J139,$A$2:A139,A139,$C$2:C139,C139)-1)</f>
        <v>-</v>
      </c>
      <c r="X139" s="450" t="str">
        <f t="shared" si="56"/>
        <v/>
      </c>
      <c r="Y139" s="450" t="str">
        <f>IFERROR(IF(R139=0,"-",SUMIFS($R$2:R139,$A$2:A139,A139,$C$2:C139,C139)/SUMIFS($N$2:N139,$A$2:A139,A139,$C$2:C139,C139)-1),"")</f>
        <v>-</v>
      </c>
      <c r="Z139" s="269" t="str">
        <f>IF(R139=0,"",(S139/VLOOKUP(_xlfn.NUMBERVALUE(_xlfn.CONCAT(LEFT(F139,4),52)),$F$2:T346,COLUMNS($F$2:T346),FALSE)))</f>
        <v/>
      </c>
      <c r="AA139" s="269" t="str">
        <f>IFERROR(IF(R139=0,"",(S139/VLOOKUP(_xlfn.NUMBERVALUE(_xlfn.CONCAT(LEFT(F139,4),52)),$F$2:U346,COLUMNS($F$2:U346),FALSE))),"")</f>
        <v/>
      </c>
      <c r="AB139" s="268" t="str">
        <f t="shared" si="57"/>
        <v/>
      </c>
      <c r="AC139" s="450" t="str">
        <f t="shared" si="58"/>
        <v/>
      </c>
      <c r="AD139" s="450" t="str">
        <f t="shared" si="59"/>
        <v/>
      </c>
      <c r="AE139" s="269" t="str">
        <f t="shared" si="60"/>
        <v/>
      </c>
      <c r="AF139" s="268" t="str">
        <f t="shared" si="61"/>
        <v/>
      </c>
      <c r="AG139" s="450" t="str">
        <f t="shared" si="62"/>
        <v/>
      </c>
      <c r="AH139" s="450" t="str">
        <f t="shared" si="63"/>
        <v/>
      </c>
      <c r="AI139" s="269" t="str">
        <f t="shared" si="64"/>
        <v/>
      </c>
      <c r="AJ139" s="450" t="str">
        <f>IF(O139=0,"-",SUMIFS($O$2:O139,$A$2:A139,$A139,$F$2:F139,"&lt;="&amp;$F139)/SUMIFS($G$2:G139,$A$2:A139,$A139,$F$2:F139,"&lt;="&amp;$F139)-1)</f>
        <v>-</v>
      </c>
      <c r="AK139" s="450" t="str">
        <f>IF(P139=0,"-",SUMIFS($P$2:P139,$A$2:A139,$A139,$F$2:F139,"&lt;="&amp;$F139)/SUMIFS($H$2:H139,$A$2:A139,$A139,$F$2:F139,"&lt;="&amp;$F139)-1)</f>
        <v>-</v>
      </c>
      <c r="AL139" s="450" t="str">
        <f>IF(Q139=0,"-",SUMIFS($Q$2:Q139,$A$2:A139,$A139,$F$2:F139,"&lt;="&amp;$F139)/SUMIFS($I$2:I139,$A$2:A139,$A139,$F$2:F139,"&lt;="&amp;$F139)-1)</f>
        <v>-</v>
      </c>
      <c r="AM139" s="450" t="str">
        <f>IFERROR(IF(O139=0,"-",SUMIFS($O$2:O139,$A$2:A139,$A139,$F$2:F139,"&lt;="&amp;$F139)/SUMIFS($K$2:K139,$A$2:A139,$A139,$F$2:F139,"&lt;="&amp;$F139)-1),"")</f>
        <v>-</v>
      </c>
      <c r="AN139" s="450" t="str">
        <f>IFERROR(IF(P139=0,"-",SUMIFS($P$2:P139,$A$2:A139,$A139,$F$2:F139,"&lt;="&amp;$F139)/SUMIFS($L$2:L139,$A$2:A139,$A139,$F$2:F139,"&lt;="&amp;$F139)-1),"")</f>
        <v>-</v>
      </c>
      <c r="AO139" s="450" t="str">
        <f>IFERROR(IF(Q139=0,"-",SUMIFS($Q$2:Q139,$A$2:A139,$A139,$F$2:F139,"&lt;="&amp;$F139)/SUMIFS($M$2:M139,$A$2:A139,$A139,$F$2:F139,"&lt;="&amp;$F139)-1),"")</f>
        <v>-</v>
      </c>
      <c r="AP139" s="239"/>
      <c r="AQ139" s="452" t="str">
        <f>'Overall Metrics'!AO144</f>
        <v/>
      </c>
      <c r="AR139" s="450" t="str">
        <f t="shared" si="65"/>
        <v/>
      </c>
      <c r="AS139" s="453" t="str">
        <f>IFERROR(IF(R140=0,"-",AVERAGEIFS($AQ$2:AQ139,$A$2:A139,$A139,$F$2:F139,"&lt;="&amp;$F139)-AVERAGEIFS($AP$2:AP139,$A$2:A139,$A139,$F$2:F139,"&lt;="&amp;$F139)),"")</f>
        <v>-</v>
      </c>
      <c r="AT139" s="390" t="str">
        <f>IFERROR(IF(R140=0,"-",AVERAGEIFS($AQ$2:AQ139,$A$2:A139,A139,$C$2:C139,C139)-AVERAGEIFS($AP$2:AP139,$A$2:A139,A139,$C$2:C139,C139)),"")</f>
        <v>-</v>
      </c>
      <c r="AU139" s="819"/>
      <c r="AV139" s="452">
        <f>'Overall Metrics'!AS144</f>
        <v>-0.1</v>
      </c>
      <c r="AW139" s="450">
        <f t="shared" si="66"/>
        <v>-0.1</v>
      </c>
      <c r="AX139" s="453" t="str">
        <f>IFERROR(IF(R143=0,"-",AVERAGEIFS($AV$2:AV139,$A$2:A139,$A139,$F$2:F139,"&lt;="&amp;$F139)-AVERAGEIFS($AU$2:AU139,$A$2:A139,$A139,$F$2:F139,"&lt;="&amp;$F139)),"")</f>
        <v>-</v>
      </c>
      <c r="AY139" s="453" t="str">
        <f>IFERROR(IF(R143=0,"-",AVERAGEIFS($AV$2:AV139,$A$2:A139,A139,$C$2:C139,C139)-AVERAGEIFS($AU$2:AU139,$A$2:A139,A139,$C$2:C139,C139)),"")</f>
        <v>-</v>
      </c>
      <c r="AZ139" s="86"/>
      <c r="BA139" s="449">
        <f>'Glass Metrics'!AC144</f>
        <v>0</v>
      </c>
      <c r="BB139" s="450" t="str">
        <f t="shared" si="67"/>
        <v/>
      </c>
      <c r="BC139" s="450" t="str">
        <f>IFERROR(IF(R139=0,"-",AVERAGEIFS($BA$2:BA139,$A$2:A139,$A139,$F$2:F139,"&lt;="&amp;$F139)/AVERAGEIFS($AZ$2:AZ139,$A$2:A139,$A139,$F$2:F139,"&lt;="&amp;$F139)-1),"")</f>
        <v>-</v>
      </c>
      <c r="BD139" s="269" t="str">
        <f>IFERROR(IF(R139=0,"-",AVERAGEIFS($BA$2:BA139,$A$2:A139,A139,$C$2:C139,C139)/AVERAGEIFS($AZ$2:AZ139,$A$2:A139,A139,$C$2:C139,C139)-1),"")</f>
        <v>-</v>
      </c>
    </row>
    <row r="140" spans="1:56" ht="16.350000000000001" customHeight="1">
      <c r="A140" s="175">
        <f t="shared" si="46"/>
        <v>2023</v>
      </c>
      <c r="B140" s="447" t="str">
        <f t="shared" si="47"/>
        <v>35</v>
      </c>
      <c r="C140" s="447" t="str">
        <f t="array" ref="C140">_xlfn.IFS(_xlfn.NUMBERVALUE(B140)&lt;=13,"Q1",AND(_xlfn.NUMBERVALUE(B140)&gt;13,_xlfn.NUMBERVALUE(B140)&lt;=26),"Q2", AND(_xlfn.NUMBERVALUE(B140)&gt;26,_xlfn.NUMBERVALUE(B140)&lt;=39),"Q3",_xlfn.NUMBERVALUE(B140)&gt;39,"Q4")</f>
        <v>Q3</v>
      </c>
      <c r="D140" s="448">
        <f t="shared" si="68"/>
        <v>44828</v>
      </c>
      <c r="E140" s="448">
        <f t="shared" si="48"/>
        <v>44834</v>
      </c>
      <c r="F140" s="79">
        <v>202235</v>
      </c>
      <c r="G140" s="103"/>
      <c r="H140" s="429"/>
      <c r="I140" s="429"/>
      <c r="J140" s="214">
        <f t="shared" si="49"/>
        <v>0</v>
      </c>
      <c r="K140" s="429"/>
      <c r="L140" s="429"/>
      <c r="M140" s="429"/>
      <c r="N140" s="214">
        <f t="shared" si="50"/>
        <v>0</v>
      </c>
      <c r="O140" s="449">
        <f>'Overall Metrics'!L145</f>
        <v>0</v>
      </c>
      <c r="P140" s="449">
        <f>'Overall Metrics'!M145</f>
        <v>0</v>
      </c>
      <c r="Q140" s="449">
        <f>'Overall Metrics'!N145</f>
        <v>0</v>
      </c>
      <c r="R140" s="449">
        <f t="shared" si="51"/>
        <v>0</v>
      </c>
      <c r="S140" s="180">
        <f t="shared" si="52"/>
        <v>0</v>
      </c>
      <c r="T140" s="449">
        <f t="shared" si="53"/>
        <v>0</v>
      </c>
      <c r="U140" s="449">
        <f t="shared" si="54"/>
        <v>0</v>
      </c>
      <c r="V140" s="450" t="str">
        <f t="shared" si="55"/>
        <v/>
      </c>
      <c r="W140" s="450" t="str">
        <f>IF(R140=0,"-",SUMIFS($R$2:R140,$A$2:A140,A140,$C$2:C140,C140)/SUMIFS($J$2:J140,$A$2:A140,A140,$C$2:C140,C140)-1)</f>
        <v>-</v>
      </c>
      <c r="X140" s="450" t="str">
        <f t="shared" si="56"/>
        <v/>
      </c>
      <c r="Y140" s="450" t="str">
        <f>IFERROR(IF(R140=0,"-",SUMIFS($R$2:R140,$A$2:A140,A140,$C$2:C140,C140)/SUMIFS($N$2:N140,$A$2:A140,A140,$C$2:C140,C140)-1),"")</f>
        <v>-</v>
      </c>
      <c r="Z140" s="269" t="str">
        <f>IF(R140=0,"",(S140/VLOOKUP(_xlfn.NUMBERVALUE(_xlfn.CONCAT(LEFT(F140,4),52)),$F$2:T347,COLUMNS($F$2:T347),FALSE)))</f>
        <v/>
      </c>
      <c r="AA140" s="269" t="str">
        <f>IFERROR(IF(R140=0,"",(S140/VLOOKUP(_xlfn.NUMBERVALUE(_xlfn.CONCAT(LEFT(F140,4),52)),$F$2:U347,COLUMNS($F$2:U347),FALSE))),"")</f>
        <v/>
      </c>
      <c r="AB140" s="268" t="str">
        <f t="shared" si="57"/>
        <v/>
      </c>
      <c r="AC140" s="450" t="str">
        <f t="shared" si="58"/>
        <v/>
      </c>
      <c r="AD140" s="450" t="str">
        <f t="shared" si="59"/>
        <v/>
      </c>
      <c r="AE140" s="269" t="str">
        <f t="shared" si="60"/>
        <v/>
      </c>
      <c r="AF140" s="268" t="str">
        <f t="shared" si="61"/>
        <v/>
      </c>
      <c r="AG140" s="450" t="str">
        <f t="shared" si="62"/>
        <v/>
      </c>
      <c r="AH140" s="450" t="str">
        <f t="shared" si="63"/>
        <v/>
      </c>
      <c r="AI140" s="269" t="str">
        <f t="shared" si="64"/>
        <v/>
      </c>
      <c r="AJ140" s="450" t="str">
        <f>IF(O140=0,"-",SUMIFS($O$2:O140,$A$2:A140,$A140,$F$2:F140,"&lt;="&amp;$F140)/SUMIFS($G$2:G140,$A$2:A140,$A140,$F$2:F140,"&lt;="&amp;$F140)-1)</f>
        <v>-</v>
      </c>
      <c r="AK140" s="450" t="str">
        <f>IF(P140=0,"-",SUMIFS($P$2:P140,$A$2:A140,$A140,$F$2:F140,"&lt;="&amp;$F140)/SUMIFS($H$2:H140,$A$2:A140,$A140,$F$2:F140,"&lt;="&amp;$F140)-1)</f>
        <v>-</v>
      </c>
      <c r="AL140" s="450" t="str">
        <f>IF(Q140=0,"-",SUMIFS($Q$2:Q140,$A$2:A140,$A140,$F$2:F140,"&lt;="&amp;$F140)/SUMIFS($I$2:I140,$A$2:A140,$A140,$F$2:F140,"&lt;="&amp;$F140)-1)</f>
        <v>-</v>
      </c>
      <c r="AM140" s="450" t="str">
        <f>IFERROR(IF(O140=0,"-",SUMIFS($O$2:O140,$A$2:A140,$A140,$F$2:F140,"&lt;="&amp;$F140)/SUMIFS($K$2:K140,$A$2:A140,$A140,$F$2:F140,"&lt;="&amp;$F140)-1),"")</f>
        <v>-</v>
      </c>
      <c r="AN140" s="450" t="str">
        <f>IFERROR(IF(P140=0,"-",SUMIFS($P$2:P140,$A$2:A140,$A140,$F$2:F140,"&lt;="&amp;$F140)/SUMIFS($L$2:L140,$A$2:A140,$A140,$F$2:F140,"&lt;="&amp;$F140)-1),"")</f>
        <v>-</v>
      </c>
      <c r="AO140" s="450" t="str">
        <f>IFERROR(IF(Q140=0,"-",SUMIFS($Q$2:Q140,$A$2:A140,$A140,$F$2:F140,"&lt;="&amp;$F140)/SUMIFS($M$2:M140,$A$2:A140,$A140,$F$2:F140,"&lt;="&amp;$F140)-1),"")</f>
        <v>-</v>
      </c>
      <c r="AP140" s="239"/>
      <c r="AQ140" s="452" t="str">
        <f>'Overall Metrics'!AO145</f>
        <v/>
      </c>
      <c r="AR140" s="450" t="str">
        <f t="shared" si="65"/>
        <v/>
      </c>
      <c r="AS140" s="453" t="str">
        <f>IFERROR(IF(R141=0,"-",AVERAGEIFS($AQ$2:AQ140,$A$2:A140,$A140,$F$2:F140,"&lt;="&amp;$F140)-AVERAGEIFS($AP$2:AP140,$A$2:A140,$A140,$F$2:F140,"&lt;="&amp;$F140)),"")</f>
        <v>-</v>
      </c>
      <c r="AT140" s="390" t="str">
        <f>IFERROR(IF(R141=0,"-",AVERAGEIFS($AQ$2:AQ140,$A$2:A140,A140,$C$2:C140,C140)-AVERAGEIFS($AP$2:AP140,$A$2:A140,A140,$C$2:C140,C140)),"")</f>
        <v>-</v>
      </c>
      <c r="AU140" s="819"/>
      <c r="AV140" s="452">
        <f>'Overall Metrics'!AS145</f>
        <v>0</v>
      </c>
      <c r="AW140" s="450" t="str">
        <f t="shared" si="66"/>
        <v/>
      </c>
      <c r="AX140" s="453" t="str">
        <f>IFERROR(IF(R144=0,"-",AVERAGEIFS($AV$2:AV140,$A$2:A140,$A140,$F$2:F140,"&lt;="&amp;$F140)-AVERAGEIFS($AU$2:AU140,$A$2:A140,$A140,$F$2:F140,"&lt;="&amp;$F140)),"")</f>
        <v>-</v>
      </c>
      <c r="AY140" s="453" t="str">
        <f>IFERROR(IF(R144=0,"-",AVERAGEIFS($AV$2:AV140,$A$2:A140,A140,$C$2:C140,C140)-AVERAGEIFS($AU$2:AU140,$A$2:A140,A140,$C$2:C140,C140)),"")</f>
        <v>-</v>
      </c>
      <c r="AZ140" s="86"/>
      <c r="BA140" s="449">
        <f>'Glass Metrics'!AC145</f>
        <v>0</v>
      </c>
      <c r="BB140" s="450" t="str">
        <f t="shared" si="67"/>
        <v/>
      </c>
      <c r="BC140" s="450" t="str">
        <f>IFERROR(IF(R140=0,"-",AVERAGEIFS($BA$2:BA140,$A$2:A140,$A140,$F$2:F140,"&lt;="&amp;$F140)/AVERAGEIFS($AZ$2:AZ140,$A$2:A140,$A140,$F$2:F140,"&lt;="&amp;$F140)-1),"")</f>
        <v>-</v>
      </c>
      <c r="BD140" s="269" t="str">
        <f>IFERROR(IF(R140=0,"-",AVERAGEIFS($BA$2:BA140,$A$2:A140,A140,$C$2:C140,C140)/AVERAGEIFS($AZ$2:AZ140,$A$2:A140,A140,$C$2:C140,C140)-1),"")</f>
        <v>-</v>
      </c>
    </row>
    <row r="141" spans="1:56" ht="16.350000000000001" customHeight="1">
      <c r="A141" s="175">
        <f t="shared" si="46"/>
        <v>2023</v>
      </c>
      <c r="B141" s="447" t="str">
        <f t="shared" si="47"/>
        <v>36</v>
      </c>
      <c r="C141" s="447" t="str">
        <f t="array" ref="C141">_xlfn.IFS(_xlfn.NUMBERVALUE(B141)&lt;=13,"Q1",AND(_xlfn.NUMBERVALUE(B141)&gt;13,_xlfn.NUMBERVALUE(B141)&lt;=26),"Q2", AND(_xlfn.NUMBERVALUE(B141)&gt;26,_xlfn.NUMBERVALUE(B141)&lt;=39),"Q3",_xlfn.NUMBERVALUE(B141)&gt;39,"Q4")</f>
        <v>Q3</v>
      </c>
      <c r="D141" s="448">
        <f t="shared" si="68"/>
        <v>44835</v>
      </c>
      <c r="E141" s="448">
        <f t="shared" si="48"/>
        <v>44841</v>
      </c>
      <c r="F141" s="79">
        <v>202236</v>
      </c>
      <c r="G141" s="103"/>
      <c r="H141" s="429"/>
      <c r="I141" s="429"/>
      <c r="J141" s="214">
        <f t="shared" si="49"/>
        <v>0</v>
      </c>
      <c r="K141" s="429"/>
      <c r="L141" s="429"/>
      <c r="M141" s="429"/>
      <c r="N141" s="214">
        <f t="shared" si="50"/>
        <v>0</v>
      </c>
      <c r="O141" s="449">
        <f>'Overall Metrics'!L146</f>
        <v>0</v>
      </c>
      <c r="P141" s="449">
        <f>'Overall Metrics'!M146</f>
        <v>0</v>
      </c>
      <c r="Q141" s="449">
        <f>'Overall Metrics'!N146</f>
        <v>0</v>
      </c>
      <c r="R141" s="449">
        <f t="shared" si="51"/>
        <v>0</v>
      </c>
      <c r="S141" s="180">
        <f t="shared" si="52"/>
        <v>0</v>
      </c>
      <c r="T141" s="449">
        <f t="shared" si="53"/>
        <v>0</v>
      </c>
      <c r="U141" s="449">
        <f t="shared" si="54"/>
        <v>0</v>
      </c>
      <c r="V141" s="450" t="str">
        <f t="shared" si="55"/>
        <v/>
      </c>
      <c r="W141" s="450" t="str">
        <f>IF(R141=0,"-",SUMIFS($R$2:R141,$A$2:A141,A141,$C$2:C141,C141)/SUMIFS($J$2:J141,$A$2:A141,A141,$C$2:C141,C141)-1)</f>
        <v>-</v>
      </c>
      <c r="X141" s="450" t="str">
        <f t="shared" si="56"/>
        <v/>
      </c>
      <c r="Y141" s="450" t="str">
        <f>IFERROR(IF(R141=0,"-",SUMIFS($R$2:R141,$A$2:A141,A141,$C$2:C141,C141)/SUMIFS($N$2:N141,$A$2:A141,A141,$C$2:C141,C141)-1),"")</f>
        <v>-</v>
      </c>
      <c r="Z141" s="269" t="str">
        <f>IF(R141=0,"",(S141/VLOOKUP(_xlfn.NUMBERVALUE(_xlfn.CONCAT(LEFT(F141,4),52)),$F$2:T348,COLUMNS($F$2:T348),FALSE)))</f>
        <v/>
      </c>
      <c r="AA141" s="269" t="str">
        <f>IFERROR(IF(R141=0,"",(S141/VLOOKUP(_xlfn.NUMBERVALUE(_xlfn.CONCAT(LEFT(F141,4),52)),$F$2:U348,COLUMNS($F$2:U348),FALSE))),"")</f>
        <v/>
      </c>
      <c r="AB141" s="268" t="str">
        <f t="shared" si="57"/>
        <v/>
      </c>
      <c r="AC141" s="450" t="str">
        <f t="shared" si="58"/>
        <v/>
      </c>
      <c r="AD141" s="450" t="str">
        <f t="shared" si="59"/>
        <v/>
      </c>
      <c r="AE141" s="269" t="str">
        <f t="shared" si="60"/>
        <v/>
      </c>
      <c r="AF141" s="268" t="str">
        <f t="shared" si="61"/>
        <v/>
      </c>
      <c r="AG141" s="450" t="str">
        <f t="shared" si="62"/>
        <v/>
      </c>
      <c r="AH141" s="450" t="str">
        <f t="shared" si="63"/>
        <v/>
      </c>
      <c r="AI141" s="269" t="str">
        <f t="shared" si="64"/>
        <v/>
      </c>
      <c r="AJ141" s="450" t="str">
        <f>IF(O141=0,"-",SUMIFS($O$2:O141,$A$2:A141,$A141,$F$2:F141,"&lt;="&amp;$F141)/SUMIFS($G$2:G141,$A$2:A141,$A141,$F$2:F141,"&lt;="&amp;$F141)-1)</f>
        <v>-</v>
      </c>
      <c r="AK141" s="450" t="str">
        <f>IF(P141=0,"-",SUMIFS($P$2:P141,$A$2:A141,$A141,$F$2:F141,"&lt;="&amp;$F141)/SUMIFS($H$2:H141,$A$2:A141,$A141,$F$2:F141,"&lt;="&amp;$F141)-1)</f>
        <v>-</v>
      </c>
      <c r="AL141" s="450" t="str">
        <f>IF(Q141=0,"-",SUMIFS($Q$2:Q141,$A$2:A141,$A141,$F$2:F141,"&lt;="&amp;$F141)/SUMIFS($I$2:I141,$A$2:A141,$A141,$F$2:F141,"&lt;="&amp;$F141)-1)</f>
        <v>-</v>
      </c>
      <c r="AM141" s="450" t="str">
        <f>IFERROR(IF(O141=0,"-",SUMIFS($O$2:O141,$A$2:A141,$A141,$F$2:F141,"&lt;="&amp;$F141)/SUMIFS($K$2:K141,$A$2:A141,$A141,$F$2:F141,"&lt;="&amp;$F141)-1),"")</f>
        <v>-</v>
      </c>
      <c r="AN141" s="450" t="str">
        <f>IFERROR(IF(P141=0,"-",SUMIFS($P$2:P141,$A$2:A141,$A141,$F$2:F141,"&lt;="&amp;$F141)/SUMIFS($L$2:L141,$A$2:A141,$A141,$F$2:F141,"&lt;="&amp;$F141)-1),"")</f>
        <v>-</v>
      </c>
      <c r="AO141" s="450" t="str">
        <f>IFERROR(IF(Q141=0,"-",SUMIFS($Q$2:Q141,$A$2:A141,$A141,$F$2:F141,"&lt;="&amp;$F141)/SUMIFS($M$2:M141,$A$2:A141,$A141,$F$2:F141,"&lt;="&amp;$F141)-1),"")</f>
        <v>-</v>
      </c>
      <c r="AP141" s="239"/>
      <c r="AQ141" s="452" t="str">
        <f>'Overall Metrics'!AO146</f>
        <v/>
      </c>
      <c r="AR141" s="450" t="str">
        <f t="shared" si="65"/>
        <v/>
      </c>
      <c r="AS141" s="453" t="str">
        <f>IFERROR(IF(R142=0,"-",AVERAGEIFS($AQ$2:AQ141,$A$2:A141,$A141,$F$2:F141,"&lt;="&amp;$F141)-AVERAGEIFS($AP$2:AP141,$A$2:A141,$A141,$F$2:F141,"&lt;="&amp;$F141)),"")</f>
        <v>-</v>
      </c>
      <c r="AT141" s="390" t="str">
        <f>IFERROR(IF(R142=0,"-",AVERAGEIFS($AQ$2:AQ141,$A$2:A141,A141,$C$2:C141,C141)-AVERAGEIFS($AP$2:AP141,$A$2:A141,A141,$C$2:C141,C141)),"")</f>
        <v>-</v>
      </c>
      <c r="AU141" s="819"/>
      <c r="AV141" s="452">
        <f>'Overall Metrics'!AS146</f>
        <v>0</v>
      </c>
      <c r="AW141" s="450" t="str">
        <f t="shared" si="66"/>
        <v/>
      </c>
      <c r="AX141" s="453" t="str">
        <f>IFERROR(IF(R145=0,"-",AVERAGEIFS($AV$2:AV141,$A$2:A141,$A141,$F$2:F141,"&lt;="&amp;$F141)-AVERAGEIFS($AU$2:AU141,$A$2:A141,$A141,$F$2:F141,"&lt;="&amp;$F141)),"")</f>
        <v>-</v>
      </c>
      <c r="AY141" s="453" t="str">
        <f>IFERROR(IF(R145=0,"-",AVERAGEIFS($AV$2:AV141,$A$2:A141,A141,$C$2:C141,C141)-AVERAGEIFS($AU$2:AU141,$A$2:A141,A141,$C$2:C141,C141)),"")</f>
        <v>-</v>
      </c>
      <c r="AZ141" s="86"/>
      <c r="BA141" s="449">
        <f>'Glass Metrics'!AC146</f>
        <v>0</v>
      </c>
      <c r="BB141" s="450" t="str">
        <f t="shared" si="67"/>
        <v/>
      </c>
      <c r="BC141" s="450" t="str">
        <f>IFERROR(IF(R141=0,"-",AVERAGEIFS($BA$2:BA141,$A$2:A141,$A141,$F$2:F141,"&lt;="&amp;$F141)/AVERAGEIFS($AZ$2:AZ141,$A$2:A141,$A141,$F$2:F141,"&lt;="&amp;$F141)-1),"")</f>
        <v>-</v>
      </c>
      <c r="BD141" s="269" t="str">
        <f>IFERROR(IF(R141=0,"-",AVERAGEIFS($BA$2:BA141,$A$2:A141,A141,$C$2:C141,C141)/AVERAGEIFS($AZ$2:AZ141,$A$2:A141,A141,$C$2:C141,C141)-1),"")</f>
        <v>-</v>
      </c>
    </row>
    <row r="142" spans="1:56" ht="16.350000000000001" customHeight="1">
      <c r="A142" s="175">
        <f t="shared" si="46"/>
        <v>2023</v>
      </c>
      <c r="B142" s="447" t="str">
        <f t="shared" si="47"/>
        <v>37</v>
      </c>
      <c r="C142" s="447" t="str">
        <f t="array" ref="C142">_xlfn.IFS(_xlfn.NUMBERVALUE(B142)&lt;=13,"Q1",AND(_xlfn.NUMBERVALUE(B142)&gt;13,_xlfn.NUMBERVALUE(B142)&lt;=26),"Q2", AND(_xlfn.NUMBERVALUE(B142)&gt;26,_xlfn.NUMBERVALUE(B142)&lt;=39),"Q3",_xlfn.NUMBERVALUE(B142)&gt;39,"Q4")</f>
        <v>Q3</v>
      </c>
      <c r="D142" s="448">
        <f t="shared" si="68"/>
        <v>44842</v>
      </c>
      <c r="E142" s="448">
        <f t="shared" si="48"/>
        <v>44848</v>
      </c>
      <c r="F142" s="79">
        <v>202237</v>
      </c>
      <c r="G142" s="103"/>
      <c r="H142" s="429"/>
      <c r="I142" s="429"/>
      <c r="J142" s="214">
        <f t="shared" si="49"/>
        <v>0</v>
      </c>
      <c r="K142" s="429"/>
      <c r="L142" s="429"/>
      <c r="M142" s="429"/>
      <c r="N142" s="214">
        <f t="shared" si="50"/>
        <v>0</v>
      </c>
      <c r="O142" s="449">
        <f>'Overall Metrics'!L147</f>
        <v>0</v>
      </c>
      <c r="P142" s="449">
        <f>'Overall Metrics'!M147</f>
        <v>0</v>
      </c>
      <c r="Q142" s="449">
        <f>'Overall Metrics'!N147</f>
        <v>0</v>
      </c>
      <c r="R142" s="449">
        <f t="shared" si="51"/>
        <v>0</v>
      </c>
      <c r="S142" s="180">
        <f t="shared" si="52"/>
        <v>0</v>
      </c>
      <c r="T142" s="449">
        <f t="shared" si="53"/>
        <v>0</v>
      </c>
      <c r="U142" s="449">
        <f t="shared" si="54"/>
        <v>0</v>
      </c>
      <c r="V142" s="450" t="str">
        <f t="shared" si="55"/>
        <v/>
      </c>
      <c r="W142" s="450" t="str">
        <f>IF(R142=0,"-",SUMIFS($R$2:R142,$A$2:A142,A142,$C$2:C142,C142)/SUMIFS($J$2:J142,$A$2:A142,A142,$C$2:C142,C142)-1)</f>
        <v>-</v>
      </c>
      <c r="X142" s="450" t="str">
        <f t="shared" si="56"/>
        <v/>
      </c>
      <c r="Y142" s="450" t="str">
        <f>IFERROR(IF(R142=0,"-",SUMIFS($R$2:R142,$A$2:A142,A142,$C$2:C142,C142)/SUMIFS($N$2:N142,$A$2:A142,A142,$C$2:C142,C142)-1),"")</f>
        <v>-</v>
      </c>
      <c r="Z142" s="269" t="str">
        <f>IF(R142=0,"",(S142/VLOOKUP(_xlfn.NUMBERVALUE(_xlfn.CONCAT(LEFT(F142,4),52)),$F$2:T349,COLUMNS($F$2:T349),FALSE)))</f>
        <v/>
      </c>
      <c r="AA142" s="269" t="str">
        <f>IFERROR(IF(R142=0,"",(S142/VLOOKUP(_xlfn.NUMBERVALUE(_xlfn.CONCAT(LEFT(F142,4),52)),$F$2:U349,COLUMNS($F$2:U349),FALSE))),"")</f>
        <v/>
      </c>
      <c r="AB142" s="268" t="str">
        <f t="shared" si="57"/>
        <v/>
      </c>
      <c r="AC142" s="450" t="str">
        <f t="shared" si="58"/>
        <v/>
      </c>
      <c r="AD142" s="450" t="str">
        <f t="shared" si="59"/>
        <v/>
      </c>
      <c r="AE142" s="269" t="str">
        <f t="shared" si="60"/>
        <v/>
      </c>
      <c r="AF142" s="268" t="str">
        <f t="shared" si="61"/>
        <v/>
      </c>
      <c r="AG142" s="450" t="str">
        <f t="shared" si="62"/>
        <v/>
      </c>
      <c r="AH142" s="450" t="str">
        <f t="shared" si="63"/>
        <v/>
      </c>
      <c r="AI142" s="269" t="str">
        <f t="shared" si="64"/>
        <v/>
      </c>
      <c r="AJ142" s="450" t="str">
        <f>IF(O142=0,"-",SUMIFS($O$2:O142,$A$2:A142,$A142,$F$2:F142,"&lt;="&amp;$F142)/SUMIFS($G$2:G142,$A$2:A142,$A142,$F$2:F142,"&lt;="&amp;$F142)-1)</f>
        <v>-</v>
      </c>
      <c r="AK142" s="450" t="str">
        <f>IF(P142=0,"-",SUMIFS($P$2:P142,$A$2:A142,$A142,$F$2:F142,"&lt;="&amp;$F142)/SUMIFS($H$2:H142,$A$2:A142,$A142,$F$2:F142,"&lt;="&amp;$F142)-1)</f>
        <v>-</v>
      </c>
      <c r="AL142" s="450" t="str">
        <f>IF(Q142=0,"-",SUMIFS($Q$2:Q142,$A$2:A142,$A142,$F$2:F142,"&lt;="&amp;$F142)/SUMIFS($I$2:I142,$A$2:A142,$A142,$F$2:F142,"&lt;="&amp;$F142)-1)</f>
        <v>-</v>
      </c>
      <c r="AM142" s="450" t="str">
        <f>IFERROR(IF(O142=0,"-",SUMIFS($O$2:O142,$A$2:A142,$A142,$F$2:F142,"&lt;="&amp;$F142)/SUMIFS($K$2:K142,$A$2:A142,$A142,$F$2:F142,"&lt;="&amp;$F142)-1),"")</f>
        <v>-</v>
      </c>
      <c r="AN142" s="450" t="str">
        <f>IFERROR(IF(P142=0,"-",SUMIFS($P$2:P142,$A$2:A142,$A142,$F$2:F142,"&lt;="&amp;$F142)/SUMIFS($L$2:L142,$A$2:A142,$A142,$F$2:F142,"&lt;="&amp;$F142)-1),"")</f>
        <v>-</v>
      </c>
      <c r="AO142" s="450" t="str">
        <f>IFERROR(IF(Q142=0,"-",SUMIFS($Q$2:Q142,$A$2:A142,$A142,$F$2:F142,"&lt;="&amp;$F142)/SUMIFS($M$2:M142,$A$2:A142,$A142,$F$2:F142,"&lt;="&amp;$F142)-1),"")</f>
        <v>-</v>
      </c>
      <c r="AP142" s="239"/>
      <c r="AQ142" s="452" t="str">
        <f>'Overall Metrics'!AO147</f>
        <v/>
      </c>
      <c r="AR142" s="450" t="str">
        <f t="shared" si="65"/>
        <v/>
      </c>
      <c r="AS142" s="453" t="str">
        <f>IFERROR(IF(R143=0,"-",AVERAGEIFS($AQ$2:AQ142,$A$2:A142,$A142,$F$2:F142,"&lt;="&amp;$F142)-AVERAGEIFS($AP$2:AP142,$A$2:A142,$A142,$F$2:F142,"&lt;="&amp;$F142)),"")</f>
        <v>-</v>
      </c>
      <c r="AT142" s="390" t="str">
        <f>IFERROR(IF(R143=0,"-",AVERAGEIFS($AQ$2:AQ142,$A$2:A142,A142,$C$2:C142,C142)-AVERAGEIFS($AP$2:AP142,$A$2:A142,A142,$C$2:C142,C142)),"")</f>
        <v>-</v>
      </c>
      <c r="AU142" s="819"/>
      <c r="AV142" s="452">
        <f>'Overall Metrics'!AS147</f>
        <v>0</v>
      </c>
      <c r="AW142" s="450" t="str">
        <f t="shared" si="66"/>
        <v/>
      </c>
      <c r="AX142" s="453" t="str">
        <f>IFERROR(IF(R146=0,"-",AVERAGEIFS($AV$2:AV142,$A$2:A142,$A142,$F$2:F142,"&lt;="&amp;$F142)-AVERAGEIFS($AU$2:AU142,$A$2:A142,$A142,$F$2:F142,"&lt;="&amp;$F142)),"")</f>
        <v>-</v>
      </c>
      <c r="AY142" s="453" t="str">
        <f>IFERROR(IF(R146=0,"-",AVERAGEIFS($AV$2:AV142,$A$2:A142,A142,$C$2:C142,C142)-AVERAGEIFS($AU$2:AU142,$A$2:A142,A142,$C$2:C142,C142)),"")</f>
        <v>-</v>
      </c>
      <c r="AZ142" s="86"/>
      <c r="BA142" s="449">
        <f>'Glass Metrics'!AC147</f>
        <v>0</v>
      </c>
      <c r="BB142" s="450" t="str">
        <f t="shared" si="67"/>
        <v/>
      </c>
      <c r="BC142" s="450" t="str">
        <f>IFERROR(IF(R142=0,"-",AVERAGEIFS($BA$2:BA142,$A$2:A142,$A142,$F$2:F142,"&lt;="&amp;$F142)/AVERAGEIFS($AZ$2:AZ142,$A$2:A142,$A142,$F$2:F142,"&lt;="&amp;$F142)-1),"")</f>
        <v>-</v>
      </c>
      <c r="BD142" s="269" t="str">
        <f>IFERROR(IF(R142=0,"-",AVERAGEIFS($BA$2:BA142,$A$2:A142,A142,$C$2:C142,C142)/AVERAGEIFS($AZ$2:AZ142,$A$2:A142,A142,$C$2:C142,C142)-1),"")</f>
        <v>-</v>
      </c>
    </row>
    <row r="143" spans="1:56" ht="16.350000000000001" customHeight="1">
      <c r="A143" s="175">
        <f t="shared" si="46"/>
        <v>2023</v>
      </c>
      <c r="B143" s="447" t="str">
        <f t="shared" si="47"/>
        <v>38</v>
      </c>
      <c r="C143" s="447" t="str">
        <f t="array" ref="C143">_xlfn.IFS(_xlfn.NUMBERVALUE(B143)&lt;=13,"Q1",AND(_xlfn.NUMBERVALUE(B143)&gt;13,_xlfn.NUMBERVALUE(B143)&lt;=26),"Q2", AND(_xlfn.NUMBERVALUE(B143)&gt;26,_xlfn.NUMBERVALUE(B143)&lt;=39),"Q3",_xlfn.NUMBERVALUE(B143)&gt;39,"Q4")</f>
        <v>Q3</v>
      </c>
      <c r="D143" s="448">
        <f t="shared" si="68"/>
        <v>44849</v>
      </c>
      <c r="E143" s="448">
        <f t="shared" si="48"/>
        <v>44855</v>
      </c>
      <c r="F143" s="79">
        <v>202238</v>
      </c>
      <c r="G143" s="103"/>
      <c r="H143" s="429"/>
      <c r="I143" s="429"/>
      <c r="J143" s="214">
        <f t="shared" si="49"/>
        <v>0</v>
      </c>
      <c r="K143" s="429"/>
      <c r="L143" s="429"/>
      <c r="M143" s="429"/>
      <c r="N143" s="214">
        <f t="shared" si="50"/>
        <v>0</v>
      </c>
      <c r="O143" s="449">
        <f>'Overall Metrics'!L148</f>
        <v>0</v>
      </c>
      <c r="P143" s="449">
        <f>'Overall Metrics'!M148</f>
        <v>0</v>
      </c>
      <c r="Q143" s="449">
        <f>'Overall Metrics'!N148</f>
        <v>0</v>
      </c>
      <c r="R143" s="449">
        <f t="shared" si="51"/>
        <v>0</v>
      </c>
      <c r="S143" s="180">
        <f t="shared" si="52"/>
        <v>0</v>
      </c>
      <c r="T143" s="449">
        <f t="shared" si="53"/>
        <v>0</v>
      </c>
      <c r="U143" s="449">
        <f t="shared" si="54"/>
        <v>0</v>
      </c>
      <c r="V143" s="450" t="str">
        <f t="shared" si="55"/>
        <v/>
      </c>
      <c r="W143" s="450" t="str">
        <f>IF(R143=0,"-",SUMIFS($R$2:R143,$A$2:A143,A143,$C$2:C143,C143)/SUMIFS($J$2:J143,$A$2:A143,A143,$C$2:C143,C143)-1)</f>
        <v>-</v>
      </c>
      <c r="X143" s="450" t="str">
        <f t="shared" si="56"/>
        <v/>
      </c>
      <c r="Y143" s="450" t="str">
        <f>IFERROR(IF(R143=0,"-",SUMIFS($R$2:R143,$A$2:A143,A143,$C$2:C143,C143)/SUMIFS($N$2:N143,$A$2:A143,A143,$C$2:C143,C143)-1),"")</f>
        <v>-</v>
      </c>
      <c r="Z143" s="269" t="str">
        <f>IF(R143=0,"",(S143/VLOOKUP(_xlfn.NUMBERVALUE(_xlfn.CONCAT(LEFT(F143,4),52)),$F$2:T350,COLUMNS($F$2:T350),FALSE)))</f>
        <v/>
      </c>
      <c r="AA143" s="269" t="str">
        <f>IFERROR(IF(R143=0,"",(S143/VLOOKUP(_xlfn.NUMBERVALUE(_xlfn.CONCAT(LEFT(F143,4),52)),$F$2:U350,COLUMNS($F$2:U350),FALSE))),"")</f>
        <v/>
      </c>
      <c r="AB143" s="268" t="str">
        <f t="shared" si="57"/>
        <v/>
      </c>
      <c r="AC143" s="450" t="str">
        <f t="shared" si="58"/>
        <v/>
      </c>
      <c r="AD143" s="450" t="str">
        <f t="shared" si="59"/>
        <v/>
      </c>
      <c r="AE143" s="269" t="str">
        <f t="shared" si="60"/>
        <v/>
      </c>
      <c r="AF143" s="268" t="str">
        <f t="shared" si="61"/>
        <v/>
      </c>
      <c r="AG143" s="450" t="str">
        <f t="shared" si="62"/>
        <v/>
      </c>
      <c r="AH143" s="450" t="str">
        <f t="shared" si="63"/>
        <v/>
      </c>
      <c r="AI143" s="269" t="str">
        <f t="shared" si="64"/>
        <v/>
      </c>
      <c r="AJ143" s="450" t="str">
        <f>IF(O143=0,"-",SUMIFS($O$2:O143,$A$2:A143,$A143,$F$2:F143,"&lt;="&amp;$F143)/SUMIFS($G$2:G143,$A$2:A143,$A143,$F$2:F143,"&lt;="&amp;$F143)-1)</f>
        <v>-</v>
      </c>
      <c r="AK143" s="450" t="str">
        <f>IF(P143=0,"-",SUMIFS($P$2:P143,$A$2:A143,$A143,$F$2:F143,"&lt;="&amp;$F143)/SUMIFS($H$2:H143,$A$2:A143,$A143,$F$2:F143,"&lt;="&amp;$F143)-1)</f>
        <v>-</v>
      </c>
      <c r="AL143" s="450" t="str">
        <f>IF(Q143=0,"-",SUMIFS($Q$2:Q143,$A$2:A143,$A143,$F$2:F143,"&lt;="&amp;$F143)/SUMIFS($I$2:I143,$A$2:A143,$A143,$F$2:F143,"&lt;="&amp;$F143)-1)</f>
        <v>-</v>
      </c>
      <c r="AM143" s="450" t="str">
        <f>IFERROR(IF(O143=0,"-",SUMIFS($O$2:O143,$A$2:A143,$A143,$F$2:F143,"&lt;="&amp;$F143)/SUMIFS($K$2:K143,$A$2:A143,$A143,$F$2:F143,"&lt;="&amp;$F143)-1),"")</f>
        <v>-</v>
      </c>
      <c r="AN143" s="450" t="str">
        <f>IFERROR(IF(P143=0,"-",SUMIFS($P$2:P143,$A$2:A143,$A143,$F$2:F143,"&lt;="&amp;$F143)/SUMIFS($L$2:L143,$A$2:A143,$A143,$F$2:F143,"&lt;="&amp;$F143)-1),"")</f>
        <v>-</v>
      </c>
      <c r="AO143" s="450" t="str">
        <f>IFERROR(IF(Q143=0,"-",SUMIFS($Q$2:Q143,$A$2:A143,$A143,$F$2:F143,"&lt;="&amp;$F143)/SUMIFS($M$2:M143,$A$2:A143,$A143,$F$2:F143,"&lt;="&amp;$F143)-1),"")</f>
        <v>-</v>
      </c>
      <c r="AP143" s="239"/>
      <c r="AQ143" s="452" t="str">
        <f>'Overall Metrics'!AO148</f>
        <v/>
      </c>
      <c r="AR143" s="450" t="str">
        <f t="shared" si="65"/>
        <v/>
      </c>
      <c r="AS143" s="453" t="str">
        <f>IFERROR(IF(R144=0,"-",AVERAGEIFS($AQ$2:AQ143,$A$2:A143,$A143,$F$2:F143,"&lt;="&amp;$F143)-AVERAGEIFS($AP$2:AP143,$A$2:A143,$A143,$F$2:F143,"&lt;="&amp;$F143)),"")</f>
        <v>-</v>
      </c>
      <c r="AT143" s="390" t="str">
        <f>IFERROR(IF(R144=0,"-",AVERAGEIFS($AQ$2:AQ143,$A$2:A143,A143,$C$2:C143,C143)-AVERAGEIFS($AP$2:AP143,$A$2:A143,A143,$C$2:C143,C143)),"")</f>
        <v>-</v>
      </c>
      <c r="AU143" s="819"/>
      <c r="AV143" s="452">
        <f>'Overall Metrics'!AS148</f>
        <v>0</v>
      </c>
      <c r="AW143" s="450" t="str">
        <f t="shared" si="66"/>
        <v/>
      </c>
      <c r="AX143" s="453" t="str">
        <f>IFERROR(IF(R147=0,"-",AVERAGEIFS($AV$2:AV143,$A$2:A143,$A143,$F$2:F143,"&lt;="&amp;$F143)-AVERAGEIFS($AU$2:AU143,$A$2:A143,$A143,$F$2:F143,"&lt;="&amp;$F143)),"")</f>
        <v>-</v>
      </c>
      <c r="AY143" s="453" t="str">
        <f>IFERROR(IF(R147=0,"-",AVERAGEIFS($AV$2:AV143,$A$2:A143,A143,$C$2:C143,C143)-AVERAGEIFS($AU$2:AU143,$A$2:A143,A143,$C$2:C143,C143)),"")</f>
        <v>-</v>
      </c>
      <c r="AZ143" s="86"/>
      <c r="BA143" s="449">
        <f>'Glass Metrics'!AC148</f>
        <v>0</v>
      </c>
      <c r="BB143" s="450" t="str">
        <f t="shared" si="67"/>
        <v/>
      </c>
      <c r="BC143" s="450" t="str">
        <f>IFERROR(IF(R143=0,"-",AVERAGEIFS($BA$2:BA143,$A$2:A143,$A143,$F$2:F143,"&lt;="&amp;$F143)/AVERAGEIFS($AZ$2:AZ143,$A$2:A143,$A143,$F$2:F143,"&lt;="&amp;$F143)-1),"")</f>
        <v>-</v>
      </c>
      <c r="BD143" s="269" t="str">
        <f>IFERROR(IF(R143=0,"-",AVERAGEIFS($BA$2:BA143,$A$2:A143,A143,$C$2:C143,C143)/AVERAGEIFS($AZ$2:AZ143,$A$2:A143,A143,$C$2:C143,C143)-1),"")</f>
        <v>-</v>
      </c>
    </row>
    <row r="144" spans="1:56" ht="16.350000000000001" customHeight="1">
      <c r="A144" s="175">
        <f t="shared" si="46"/>
        <v>2023</v>
      </c>
      <c r="B144" s="447" t="str">
        <f t="shared" si="47"/>
        <v>39</v>
      </c>
      <c r="C144" s="447" t="str">
        <f t="array" ref="C144">_xlfn.IFS(_xlfn.NUMBERVALUE(B144)&lt;=13,"Q1",AND(_xlfn.NUMBERVALUE(B144)&gt;13,_xlfn.NUMBERVALUE(B144)&lt;=26),"Q2", AND(_xlfn.NUMBERVALUE(B144)&gt;26,_xlfn.NUMBERVALUE(B144)&lt;=39),"Q3",_xlfn.NUMBERVALUE(B144)&gt;39,"Q4")</f>
        <v>Q3</v>
      </c>
      <c r="D144" s="448">
        <f t="shared" si="68"/>
        <v>44856</v>
      </c>
      <c r="E144" s="448">
        <f t="shared" si="48"/>
        <v>44862</v>
      </c>
      <c r="F144" s="79">
        <v>202239</v>
      </c>
      <c r="G144" s="103"/>
      <c r="H144" s="429"/>
      <c r="I144" s="429"/>
      <c r="J144" s="214">
        <f t="shared" si="49"/>
        <v>0</v>
      </c>
      <c r="K144" s="429"/>
      <c r="L144" s="429"/>
      <c r="M144" s="429"/>
      <c r="N144" s="214">
        <f t="shared" si="50"/>
        <v>0</v>
      </c>
      <c r="O144" s="449">
        <f>'Overall Metrics'!L149</f>
        <v>0</v>
      </c>
      <c r="P144" s="449">
        <f>'Overall Metrics'!M149</f>
        <v>0</v>
      </c>
      <c r="Q144" s="449">
        <f>'Overall Metrics'!N149</f>
        <v>0</v>
      </c>
      <c r="R144" s="449">
        <f t="shared" si="51"/>
        <v>0</v>
      </c>
      <c r="S144" s="180">
        <f t="shared" si="52"/>
        <v>0</v>
      </c>
      <c r="T144" s="449">
        <f t="shared" si="53"/>
        <v>0</v>
      </c>
      <c r="U144" s="449">
        <f t="shared" si="54"/>
        <v>0</v>
      </c>
      <c r="V144" s="450" t="str">
        <f t="shared" si="55"/>
        <v/>
      </c>
      <c r="W144" s="450" t="str">
        <f>IF(R144=0,"-",SUMIFS($R$2:R144,$A$2:A144,A144,$C$2:C144,C144)/SUMIFS($J$2:J144,$A$2:A144,A144,$C$2:C144,C144)-1)</f>
        <v>-</v>
      </c>
      <c r="X144" s="450" t="str">
        <f t="shared" si="56"/>
        <v/>
      </c>
      <c r="Y144" s="450" t="str">
        <f>IFERROR(IF(R144=0,"-",SUMIFS($R$2:R144,$A$2:A144,A144,$C$2:C144,C144)/SUMIFS($N$2:N144,$A$2:A144,A144,$C$2:C144,C144)-1),"")</f>
        <v>-</v>
      </c>
      <c r="Z144" s="269" t="str">
        <f>IF(R144=0,"",(S144/VLOOKUP(_xlfn.NUMBERVALUE(_xlfn.CONCAT(LEFT(F144,4),52)),$F$2:T351,COLUMNS($F$2:T351),FALSE)))</f>
        <v/>
      </c>
      <c r="AA144" s="269" t="str">
        <f>IFERROR(IF(R144=0,"",(S144/VLOOKUP(_xlfn.NUMBERVALUE(_xlfn.CONCAT(LEFT(F144,4),52)),$F$2:U351,COLUMNS($F$2:U351),FALSE))),"")</f>
        <v/>
      </c>
      <c r="AB144" s="268" t="str">
        <f t="shared" si="57"/>
        <v/>
      </c>
      <c r="AC144" s="450" t="str">
        <f t="shared" si="58"/>
        <v/>
      </c>
      <c r="AD144" s="450" t="str">
        <f t="shared" si="59"/>
        <v/>
      </c>
      <c r="AE144" s="269" t="str">
        <f t="shared" si="60"/>
        <v/>
      </c>
      <c r="AF144" s="268" t="str">
        <f t="shared" si="61"/>
        <v/>
      </c>
      <c r="AG144" s="450" t="str">
        <f t="shared" si="62"/>
        <v/>
      </c>
      <c r="AH144" s="450" t="str">
        <f t="shared" si="63"/>
        <v/>
      </c>
      <c r="AI144" s="269" t="str">
        <f t="shared" si="64"/>
        <v/>
      </c>
      <c r="AJ144" s="450" t="str">
        <f>IF(O144=0,"-",SUMIFS($O$2:O144,$A$2:A144,$A144,$F$2:F144,"&lt;="&amp;$F144)/SUMIFS($G$2:G144,$A$2:A144,$A144,$F$2:F144,"&lt;="&amp;$F144)-1)</f>
        <v>-</v>
      </c>
      <c r="AK144" s="450" t="str">
        <f>IF(P144=0,"-",SUMIFS($P$2:P144,$A$2:A144,$A144,$F$2:F144,"&lt;="&amp;$F144)/SUMIFS($H$2:H144,$A$2:A144,$A144,$F$2:F144,"&lt;="&amp;$F144)-1)</f>
        <v>-</v>
      </c>
      <c r="AL144" s="450" t="str">
        <f>IF(Q144=0,"-",SUMIFS($Q$2:Q144,$A$2:A144,$A144,$F$2:F144,"&lt;="&amp;$F144)/SUMIFS($I$2:I144,$A$2:A144,$A144,$F$2:F144,"&lt;="&amp;$F144)-1)</f>
        <v>-</v>
      </c>
      <c r="AM144" s="450" t="str">
        <f>IFERROR(IF(O144=0,"-",SUMIFS($O$2:O144,$A$2:A144,$A144,$F$2:F144,"&lt;="&amp;$F144)/SUMIFS($K$2:K144,$A$2:A144,$A144,$F$2:F144,"&lt;="&amp;$F144)-1),"")</f>
        <v>-</v>
      </c>
      <c r="AN144" s="450" t="str">
        <f>IFERROR(IF(P144=0,"-",SUMIFS($P$2:P144,$A$2:A144,$A144,$F$2:F144,"&lt;="&amp;$F144)/SUMIFS($L$2:L144,$A$2:A144,$A144,$F$2:F144,"&lt;="&amp;$F144)-1),"")</f>
        <v>-</v>
      </c>
      <c r="AO144" s="450" t="str">
        <f>IFERROR(IF(Q144=0,"-",SUMIFS($Q$2:Q144,$A$2:A144,$A144,$F$2:F144,"&lt;="&amp;$F144)/SUMIFS($M$2:M144,$A$2:A144,$A144,$F$2:F144,"&lt;="&amp;$F144)-1),"")</f>
        <v>-</v>
      </c>
      <c r="AP144" s="239"/>
      <c r="AQ144" s="452" t="str">
        <f>'Overall Metrics'!AO149</f>
        <v/>
      </c>
      <c r="AR144" s="450" t="str">
        <f t="shared" si="65"/>
        <v/>
      </c>
      <c r="AS144" s="453" t="str">
        <f>IFERROR(IF(R145=0,"-",AVERAGEIFS($AQ$2:AQ144,$A$2:A144,$A144,$F$2:F144,"&lt;="&amp;$F144)-AVERAGEIFS($AP$2:AP144,$A$2:A144,$A144,$F$2:F144,"&lt;="&amp;$F144)),"")</f>
        <v>-</v>
      </c>
      <c r="AT144" s="390" t="str">
        <f>IFERROR(IF(R145=0,"-",AVERAGEIFS($AQ$2:AQ144,$A$2:A144,A144,$C$2:C144,C144)-AVERAGEIFS($AP$2:AP144,$A$2:A144,A144,$C$2:C144,C144)),"")</f>
        <v>-</v>
      </c>
      <c r="AU144" s="819"/>
      <c r="AV144" s="452">
        <f>'Overall Metrics'!AS149</f>
        <v>0</v>
      </c>
      <c r="AW144" s="450" t="str">
        <f t="shared" si="66"/>
        <v/>
      </c>
      <c r="AX144" s="453" t="str">
        <f>IFERROR(IF(R148=0,"-",AVERAGEIFS($AV$2:AV144,$A$2:A144,$A144,$F$2:F144,"&lt;="&amp;$F144)-AVERAGEIFS($AU$2:AU144,$A$2:A144,$A144,$F$2:F144,"&lt;="&amp;$F144)),"")</f>
        <v>-</v>
      </c>
      <c r="AY144" s="453" t="str">
        <f>IFERROR(IF(R148=0,"-",AVERAGEIFS($AV$2:AV144,$A$2:A144,A144,$C$2:C144,C144)-AVERAGEIFS($AU$2:AU144,$A$2:A144,A144,$C$2:C144,C144)),"")</f>
        <v>-</v>
      </c>
      <c r="AZ144" s="86"/>
      <c r="BA144" s="449">
        <f>'Glass Metrics'!AC149</f>
        <v>0</v>
      </c>
      <c r="BB144" s="450" t="str">
        <f t="shared" si="67"/>
        <v/>
      </c>
      <c r="BC144" s="450" t="str">
        <f>IFERROR(IF(R144=0,"-",AVERAGEIFS($BA$2:BA144,$A$2:A144,$A144,$F$2:F144,"&lt;="&amp;$F144)/AVERAGEIFS($AZ$2:AZ144,$A$2:A144,$A144,$F$2:F144,"&lt;="&amp;$F144)-1),"")</f>
        <v>-</v>
      </c>
      <c r="BD144" s="269" t="str">
        <f>IFERROR(IF(R144=0,"-",AVERAGEIFS($BA$2:BA144,$A$2:A144,A144,$C$2:C144,C144)/AVERAGEIFS($AZ$2:AZ144,$A$2:A144,A144,$C$2:C144,C144)-1),"")</f>
        <v>-</v>
      </c>
    </row>
    <row r="145" spans="1:56" ht="16.350000000000001" customHeight="1">
      <c r="A145" s="175">
        <f t="shared" si="46"/>
        <v>2023</v>
      </c>
      <c r="B145" s="447" t="str">
        <f t="shared" si="47"/>
        <v>40</v>
      </c>
      <c r="C145" s="447" t="str">
        <f t="array" ref="C145">_xlfn.IFS(_xlfn.NUMBERVALUE(B145)&lt;=13,"Q1",AND(_xlfn.NUMBERVALUE(B145)&gt;13,_xlfn.NUMBERVALUE(B145)&lt;=26),"Q2", AND(_xlfn.NUMBERVALUE(B145)&gt;26,_xlfn.NUMBERVALUE(B145)&lt;=39),"Q3",_xlfn.NUMBERVALUE(B145)&gt;39,"Q4")</f>
        <v>Q4</v>
      </c>
      <c r="D145" s="448">
        <f t="shared" si="68"/>
        <v>44863</v>
      </c>
      <c r="E145" s="448">
        <f t="shared" si="48"/>
        <v>44869</v>
      </c>
      <c r="F145" s="79">
        <v>202240</v>
      </c>
      <c r="G145" s="103"/>
      <c r="H145" s="429"/>
      <c r="I145" s="429"/>
      <c r="J145" s="214">
        <f t="shared" si="49"/>
        <v>0</v>
      </c>
      <c r="K145" s="429"/>
      <c r="L145" s="429"/>
      <c r="M145" s="429"/>
      <c r="N145" s="214">
        <f t="shared" si="50"/>
        <v>0</v>
      </c>
      <c r="O145" s="449">
        <f>'Overall Metrics'!L150</f>
        <v>0</v>
      </c>
      <c r="P145" s="449">
        <f>'Overall Metrics'!M150</f>
        <v>0</v>
      </c>
      <c r="Q145" s="449">
        <f>'Overall Metrics'!N150</f>
        <v>0</v>
      </c>
      <c r="R145" s="449">
        <f t="shared" si="51"/>
        <v>0</v>
      </c>
      <c r="S145" s="180">
        <f t="shared" si="52"/>
        <v>0</v>
      </c>
      <c r="T145" s="449">
        <f t="shared" si="53"/>
        <v>0</v>
      </c>
      <c r="U145" s="449">
        <f t="shared" si="54"/>
        <v>0</v>
      </c>
      <c r="V145" s="450" t="str">
        <f t="shared" si="55"/>
        <v/>
      </c>
      <c r="W145" s="450" t="str">
        <f>IF(R145=0,"-",SUMIFS($R$2:R145,$A$2:A145,A145,$C$2:C145,C145)/SUMIFS($J$2:J145,$A$2:A145,A145,$C$2:C145,C145)-1)</f>
        <v>-</v>
      </c>
      <c r="X145" s="450" t="str">
        <f t="shared" si="56"/>
        <v/>
      </c>
      <c r="Y145" s="450" t="str">
        <f>IFERROR(IF(R145=0,"-",SUMIFS($R$2:R145,$A$2:A145,A145,$C$2:C145,C145)/SUMIFS($N$2:N145,$A$2:A145,A145,$C$2:C145,C145)-1),"")</f>
        <v>-</v>
      </c>
      <c r="Z145" s="269" t="str">
        <f>IF(R145=0,"",(S145/VLOOKUP(_xlfn.NUMBERVALUE(_xlfn.CONCAT(LEFT(F145,4),52)),$F$2:T352,COLUMNS($F$2:T352),FALSE)))</f>
        <v/>
      </c>
      <c r="AA145" s="269" t="str">
        <f>IFERROR(IF(R145=0,"",(S145/VLOOKUP(_xlfn.NUMBERVALUE(_xlfn.CONCAT(LEFT(F145,4),52)),$F$2:U352,COLUMNS($F$2:U352),FALSE))),"")</f>
        <v/>
      </c>
      <c r="AB145" s="268" t="str">
        <f t="shared" si="57"/>
        <v/>
      </c>
      <c r="AC145" s="450" t="str">
        <f t="shared" si="58"/>
        <v/>
      </c>
      <c r="AD145" s="450" t="str">
        <f t="shared" si="59"/>
        <v/>
      </c>
      <c r="AE145" s="269" t="str">
        <f t="shared" si="60"/>
        <v/>
      </c>
      <c r="AF145" s="268" t="str">
        <f t="shared" si="61"/>
        <v/>
      </c>
      <c r="AG145" s="450" t="str">
        <f t="shared" si="62"/>
        <v/>
      </c>
      <c r="AH145" s="450" t="str">
        <f t="shared" si="63"/>
        <v/>
      </c>
      <c r="AI145" s="269" t="str">
        <f t="shared" si="64"/>
        <v/>
      </c>
      <c r="AJ145" s="450" t="str">
        <f>IF(O145=0,"-",SUMIFS($O$2:O145,$A$2:A145,$A145,$F$2:F145,"&lt;="&amp;$F145)/SUMIFS($G$2:G145,$A$2:A145,$A145,$F$2:F145,"&lt;="&amp;$F145)-1)</f>
        <v>-</v>
      </c>
      <c r="AK145" s="450" t="str">
        <f>IF(P145=0,"-",SUMIFS($P$2:P145,$A$2:A145,$A145,$F$2:F145,"&lt;="&amp;$F145)/SUMIFS($H$2:H145,$A$2:A145,$A145,$F$2:F145,"&lt;="&amp;$F145)-1)</f>
        <v>-</v>
      </c>
      <c r="AL145" s="450" t="str">
        <f>IF(Q145=0,"-",SUMIFS($Q$2:Q145,$A$2:A145,$A145,$F$2:F145,"&lt;="&amp;$F145)/SUMIFS($I$2:I145,$A$2:A145,$A145,$F$2:F145,"&lt;="&amp;$F145)-1)</f>
        <v>-</v>
      </c>
      <c r="AM145" s="450" t="str">
        <f>IFERROR(IF(O145=0,"-",SUMIFS($O$2:O145,$A$2:A145,$A145,$F$2:F145,"&lt;="&amp;$F145)/SUMIFS($K$2:K145,$A$2:A145,$A145,$F$2:F145,"&lt;="&amp;$F145)-1),"")</f>
        <v>-</v>
      </c>
      <c r="AN145" s="450" t="str">
        <f>IFERROR(IF(P145=0,"-",SUMIFS($P$2:P145,$A$2:A145,$A145,$F$2:F145,"&lt;="&amp;$F145)/SUMIFS($L$2:L145,$A$2:A145,$A145,$F$2:F145,"&lt;="&amp;$F145)-1),"")</f>
        <v>-</v>
      </c>
      <c r="AO145" s="450" t="str">
        <f>IFERROR(IF(Q145=0,"-",SUMIFS($Q$2:Q145,$A$2:A145,$A145,$F$2:F145,"&lt;="&amp;$F145)/SUMIFS($M$2:M145,$A$2:A145,$A145,$F$2:F145,"&lt;="&amp;$F145)-1),"")</f>
        <v>-</v>
      </c>
      <c r="AP145" s="239"/>
      <c r="AQ145" s="452" t="str">
        <f>'Overall Metrics'!AO150</f>
        <v/>
      </c>
      <c r="AR145" s="450" t="str">
        <f t="shared" si="65"/>
        <v/>
      </c>
      <c r="AS145" s="453" t="str">
        <f>IFERROR(IF(R146=0,"-",AVERAGEIFS($AQ$2:AQ145,$A$2:A145,$A145,$F$2:F145,"&lt;="&amp;$F145)-AVERAGEIFS($AP$2:AP145,$A$2:A145,$A145,$F$2:F145,"&lt;="&amp;$F145)),"")</f>
        <v>-</v>
      </c>
      <c r="AT145" s="390" t="str">
        <f>IFERROR(IF(R146=0,"-",AVERAGEIFS($AQ$2:AQ145,$A$2:A145,A145,$C$2:C145,C145)-AVERAGEIFS($AP$2:AP145,$A$2:A145,A145,$C$2:C145,C145)),"")</f>
        <v>-</v>
      </c>
      <c r="AU145" s="819"/>
      <c r="AV145" s="452">
        <f>'Overall Metrics'!AS150</f>
        <v>0</v>
      </c>
      <c r="AW145" s="450" t="str">
        <f t="shared" si="66"/>
        <v/>
      </c>
      <c r="AX145" s="453" t="str">
        <f>IFERROR(IF(R149=0,"-",AVERAGEIFS($AV$2:AV145,$A$2:A145,$A145,$F$2:F145,"&lt;="&amp;$F145)-AVERAGEIFS($AU$2:AU145,$A$2:A145,$A145,$F$2:F145,"&lt;="&amp;$F145)),"")</f>
        <v>-</v>
      </c>
      <c r="AY145" s="453" t="str">
        <f>IFERROR(IF(R149=0,"-",AVERAGEIFS($AV$2:AV145,$A$2:A145,A145,$C$2:C145,C145)-AVERAGEIFS($AU$2:AU145,$A$2:A145,A145,$C$2:C145,C145)),"")</f>
        <v>-</v>
      </c>
      <c r="AZ145" s="86"/>
      <c r="BA145" s="449">
        <f>'Glass Metrics'!AC150</f>
        <v>0</v>
      </c>
      <c r="BB145" s="450" t="str">
        <f t="shared" si="67"/>
        <v/>
      </c>
      <c r="BC145" s="450" t="str">
        <f>IFERROR(IF(R145=0,"-",AVERAGEIFS($BA$2:BA145,$A$2:A145,$A145,$F$2:F145,"&lt;="&amp;$F145)/AVERAGEIFS($AZ$2:AZ145,$A$2:A145,$A145,$F$2:F145,"&lt;="&amp;$F145)-1),"")</f>
        <v>-</v>
      </c>
      <c r="BD145" s="269" t="str">
        <f>IFERROR(IF(R145=0,"-",AVERAGEIFS($BA$2:BA145,$A$2:A145,A145,$C$2:C145,C145)/AVERAGEIFS($AZ$2:AZ145,$A$2:A145,A145,$C$2:C145,C145)-1),"")</f>
        <v>-</v>
      </c>
    </row>
    <row r="146" spans="1:56" ht="16.350000000000001" customHeight="1">
      <c r="A146" s="175">
        <f t="shared" si="46"/>
        <v>2023</v>
      </c>
      <c r="B146" s="447" t="str">
        <f t="shared" si="47"/>
        <v>41</v>
      </c>
      <c r="C146" s="447" t="str">
        <f t="array" ref="C146">_xlfn.IFS(_xlfn.NUMBERVALUE(B146)&lt;=13,"Q1",AND(_xlfn.NUMBERVALUE(B146)&gt;13,_xlfn.NUMBERVALUE(B146)&lt;=26),"Q2", AND(_xlfn.NUMBERVALUE(B146)&gt;26,_xlfn.NUMBERVALUE(B146)&lt;=39),"Q3",_xlfn.NUMBERVALUE(B146)&gt;39,"Q4")</f>
        <v>Q4</v>
      </c>
      <c r="D146" s="448">
        <f t="shared" si="68"/>
        <v>44870</v>
      </c>
      <c r="E146" s="448">
        <f t="shared" si="48"/>
        <v>44876</v>
      </c>
      <c r="F146" s="79">
        <v>202241</v>
      </c>
      <c r="G146" s="103"/>
      <c r="H146" s="429"/>
      <c r="I146" s="429"/>
      <c r="J146" s="214">
        <f t="shared" si="49"/>
        <v>0</v>
      </c>
      <c r="K146" s="429"/>
      <c r="L146" s="429"/>
      <c r="M146" s="429"/>
      <c r="N146" s="214">
        <f t="shared" si="50"/>
        <v>0</v>
      </c>
      <c r="O146" s="449">
        <f>'Overall Metrics'!L151</f>
        <v>0</v>
      </c>
      <c r="P146" s="449">
        <f>'Overall Metrics'!M151</f>
        <v>0</v>
      </c>
      <c r="Q146" s="449">
        <f>'Overall Metrics'!N151</f>
        <v>0</v>
      </c>
      <c r="R146" s="449">
        <f t="shared" si="51"/>
        <v>0</v>
      </c>
      <c r="S146" s="180">
        <f t="shared" si="52"/>
        <v>0</v>
      </c>
      <c r="T146" s="449">
        <f t="shared" si="53"/>
        <v>0</v>
      </c>
      <c r="U146" s="449">
        <f t="shared" si="54"/>
        <v>0</v>
      </c>
      <c r="V146" s="450" t="str">
        <f t="shared" si="55"/>
        <v/>
      </c>
      <c r="W146" s="450" t="str">
        <f>IF(R146=0,"-",SUMIFS($R$2:R146,$A$2:A146,A146,$C$2:C146,C146)/SUMIFS($J$2:J146,$A$2:A146,A146,$C$2:C146,C146)-1)</f>
        <v>-</v>
      </c>
      <c r="X146" s="450" t="str">
        <f t="shared" si="56"/>
        <v/>
      </c>
      <c r="Y146" s="450" t="str">
        <f>IFERROR(IF(R146=0,"-",SUMIFS($R$2:R146,$A$2:A146,A146,$C$2:C146,C146)/SUMIFS($N$2:N146,$A$2:A146,A146,$C$2:C146,C146)-1),"")</f>
        <v>-</v>
      </c>
      <c r="Z146" s="269" t="str">
        <f>IF(R146=0,"",(S146/VLOOKUP(_xlfn.NUMBERVALUE(_xlfn.CONCAT(LEFT(F146,4),52)),$F$2:T353,COLUMNS($F$2:T353),FALSE)))</f>
        <v/>
      </c>
      <c r="AA146" s="269" t="str">
        <f>IFERROR(IF(R146=0,"",(S146/VLOOKUP(_xlfn.NUMBERVALUE(_xlfn.CONCAT(LEFT(F146,4),52)),$F$2:U353,COLUMNS($F$2:U353),FALSE))),"")</f>
        <v/>
      </c>
      <c r="AB146" s="268" t="str">
        <f t="shared" si="57"/>
        <v/>
      </c>
      <c r="AC146" s="450" t="str">
        <f t="shared" si="58"/>
        <v/>
      </c>
      <c r="AD146" s="450" t="str">
        <f t="shared" si="59"/>
        <v/>
      </c>
      <c r="AE146" s="269" t="str">
        <f t="shared" si="60"/>
        <v/>
      </c>
      <c r="AF146" s="268" t="str">
        <f t="shared" si="61"/>
        <v/>
      </c>
      <c r="AG146" s="450" t="str">
        <f t="shared" si="62"/>
        <v/>
      </c>
      <c r="AH146" s="450" t="str">
        <f t="shared" si="63"/>
        <v/>
      </c>
      <c r="AI146" s="269" t="str">
        <f t="shared" si="64"/>
        <v/>
      </c>
      <c r="AJ146" s="450" t="str">
        <f>IF(O146=0,"-",SUMIFS($O$2:O146,$A$2:A146,$A146,$F$2:F146,"&lt;="&amp;$F146)/SUMIFS($G$2:G146,$A$2:A146,$A146,$F$2:F146,"&lt;="&amp;$F146)-1)</f>
        <v>-</v>
      </c>
      <c r="AK146" s="450" t="str">
        <f>IF(P146=0,"-",SUMIFS($P$2:P146,$A$2:A146,$A146,$F$2:F146,"&lt;="&amp;$F146)/SUMIFS($H$2:H146,$A$2:A146,$A146,$F$2:F146,"&lt;="&amp;$F146)-1)</f>
        <v>-</v>
      </c>
      <c r="AL146" s="450" t="str">
        <f>IF(Q146=0,"-",SUMIFS($Q$2:Q146,$A$2:A146,$A146,$F$2:F146,"&lt;="&amp;$F146)/SUMIFS($I$2:I146,$A$2:A146,$A146,$F$2:F146,"&lt;="&amp;$F146)-1)</f>
        <v>-</v>
      </c>
      <c r="AM146" s="450" t="str">
        <f>IFERROR(IF(O146=0,"-",SUMIFS($O$2:O146,$A$2:A146,$A146,$F$2:F146,"&lt;="&amp;$F146)/SUMIFS($K$2:K146,$A$2:A146,$A146,$F$2:F146,"&lt;="&amp;$F146)-1),"")</f>
        <v>-</v>
      </c>
      <c r="AN146" s="450" t="str">
        <f>IFERROR(IF(P146=0,"-",SUMIFS($P$2:P146,$A$2:A146,$A146,$F$2:F146,"&lt;="&amp;$F146)/SUMIFS($L$2:L146,$A$2:A146,$A146,$F$2:F146,"&lt;="&amp;$F146)-1),"")</f>
        <v>-</v>
      </c>
      <c r="AO146" s="450" t="str">
        <f>IFERROR(IF(Q146=0,"-",SUMIFS($Q$2:Q146,$A$2:A146,$A146,$F$2:F146,"&lt;="&amp;$F146)/SUMIFS($M$2:M146,$A$2:A146,$A146,$F$2:F146,"&lt;="&amp;$F146)-1),"")</f>
        <v>-</v>
      </c>
      <c r="AP146" s="239"/>
      <c r="AQ146" s="452" t="str">
        <f>'Overall Metrics'!AO151</f>
        <v/>
      </c>
      <c r="AR146" s="450" t="str">
        <f t="shared" si="65"/>
        <v/>
      </c>
      <c r="AS146" s="453" t="str">
        <f>IFERROR(IF(R147=0,"-",AVERAGEIFS($AQ$2:AQ146,$A$2:A146,$A146,$F$2:F146,"&lt;="&amp;$F146)-AVERAGEIFS($AP$2:AP146,$A$2:A146,$A146,$F$2:F146,"&lt;="&amp;$F146)),"")</f>
        <v>-</v>
      </c>
      <c r="AT146" s="390" t="str">
        <f>IFERROR(IF(R147=0,"-",AVERAGEIFS($AQ$2:AQ146,$A$2:A146,A146,$C$2:C146,C146)-AVERAGEIFS($AP$2:AP146,$A$2:A146,A146,$C$2:C146,C146)),"")</f>
        <v>-</v>
      </c>
      <c r="AU146" s="819"/>
      <c r="AV146" s="452">
        <f>'Overall Metrics'!AS151</f>
        <v>0</v>
      </c>
      <c r="AW146" s="450" t="str">
        <f t="shared" si="66"/>
        <v/>
      </c>
      <c r="AX146" s="453" t="str">
        <f>IFERROR(IF(R150=0,"-",AVERAGEIFS($AV$2:AV146,$A$2:A146,$A146,$F$2:F146,"&lt;="&amp;$F146)-AVERAGEIFS($AU$2:AU146,$A$2:A146,$A146,$F$2:F146,"&lt;="&amp;$F146)),"")</f>
        <v>-</v>
      </c>
      <c r="AY146" s="453" t="str">
        <f>IFERROR(IF(R150=0,"-",AVERAGEIFS($AV$2:AV146,$A$2:A146,A146,$C$2:C146,C146)-AVERAGEIFS($AU$2:AU146,$A$2:A146,A146,$C$2:C146,C146)),"")</f>
        <v>-</v>
      </c>
      <c r="AZ146" s="86"/>
      <c r="BA146" s="449">
        <f>'Glass Metrics'!AC151</f>
        <v>0</v>
      </c>
      <c r="BB146" s="450" t="str">
        <f t="shared" si="67"/>
        <v/>
      </c>
      <c r="BC146" s="450" t="str">
        <f>IFERROR(IF(R146=0,"-",AVERAGEIFS($BA$2:BA146,$A$2:A146,$A146,$F$2:F146,"&lt;="&amp;$F146)/AVERAGEIFS($AZ$2:AZ146,$A$2:A146,$A146,$F$2:F146,"&lt;="&amp;$F146)-1),"")</f>
        <v>-</v>
      </c>
      <c r="BD146" s="269" t="str">
        <f>IFERROR(IF(R146=0,"-",AVERAGEIFS($BA$2:BA146,$A$2:A146,A146,$C$2:C146,C146)/AVERAGEIFS($AZ$2:AZ146,$A$2:A146,A146,$C$2:C146,C146)-1),"")</f>
        <v>-</v>
      </c>
    </row>
    <row r="147" spans="1:56" ht="16.350000000000001" customHeight="1">
      <c r="A147" s="175">
        <f t="shared" si="46"/>
        <v>2023</v>
      </c>
      <c r="B147" s="447" t="str">
        <f t="shared" si="47"/>
        <v>42</v>
      </c>
      <c r="C147" s="447" t="str">
        <f t="array" ref="C147">_xlfn.IFS(_xlfn.NUMBERVALUE(B147)&lt;=13,"Q1",AND(_xlfn.NUMBERVALUE(B147)&gt;13,_xlfn.NUMBERVALUE(B147)&lt;=26),"Q2", AND(_xlfn.NUMBERVALUE(B147)&gt;26,_xlfn.NUMBERVALUE(B147)&lt;=39),"Q3",_xlfn.NUMBERVALUE(B147)&gt;39,"Q4")</f>
        <v>Q4</v>
      </c>
      <c r="D147" s="448">
        <f t="shared" si="68"/>
        <v>44877</v>
      </c>
      <c r="E147" s="448">
        <f t="shared" si="48"/>
        <v>44883</v>
      </c>
      <c r="F147" s="79">
        <v>202242</v>
      </c>
      <c r="G147" s="103"/>
      <c r="H147" s="429"/>
      <c r="I147" s="429"/>
      <c r="J147" s="214">
        <f t="shared" si="49"/>
        <v>0</v>
      </c>
      <c r="K147" s="429"/>
      <c r="L147" s="429"/>
      <c r="M147" s="429"/>
      <c r="N147" s="214">
        <f t="shared" si="50"/>
        <v>0</v>
      </c>
      <c r="O147" s="449">
        <f>'Overall Metrics'!L152</f>
        <v>0</v>
      </c>
      <c r="P147" s="449">
        <f>'Overall Metrics'!M152</f>
        <v>0</v>
      </c>
      <c r="Q147" s="449">
        <f>'Overall Metrics'!N152</f>
        <v>0</v>
      </c>
      <c r="R147" s="449">
        <f t="shared" si="51"/>
        <v>0</v>
      </c>
      <c r="S147" s="180">
        <f t="shared" si="52"/>
        <v>0</v>
      </c>
      <c r="T147" s="449">
        <f t="shared" si="53"/>
        <v>0</v>
      </c>
      <c r="U147" s="449">
        <f t="shared" si="54"/>
        <v>0</v>
      </c>
      <c r="V147" s="450" t="str">
        <f t="shared" si="55"/>
        <v/>
      </c>
      <c r="W147" s="450" t="str">
        <f>IF(R147=0,"-",SUMIFS($R$2:R147,$A$2:A147,A147,$C$2:C147,C147)/SUMIFS($J$2:J147,$A$2:A147,A147,$C$2:C147,C147)-1)</f>
        <v>-</v>
      </c>
      <c r="X147" s="450" t="str">
        <f t="shared" si="56"/>
        <v/>
      </c>
      <c r="Y147" s="450" t="str">
        <f>IFERROR(IF(R147=0,"-",SUMIFS($R$2:R147,$A$2:A147,A147,$C$2:C147,C147)/SUMIFS($N$2:N147,$A$2:A147,A147,$C$2:C147,C147)-1),"")</f>
        <v>-</v>
      </c>
      <c r="Z147" s="269" t="str">
        <f>IF(R147=0,"",(S147/VLOOKUP(_xlfn.NUMBERVALUE(_xlfn.CONCAT(LEFT(F147,4),52)),$F$2:T354,COLUMNS($F$2:T354),FALSE)))</f>
        <v/>
      </c>
      <c r="AA147" s="269" t="str">
        <f>IFERROR(IF(R147=0,"",(S147/VLOOKUP(_xlfn.NUMBERVALUE(_xlfn.CONCAT(LEFT(F147,4),52)),$F$2:U354,COLUMNS($F$2:U354),FALSE))),"")</f>
        <v/>
      </c>
      <c r="AB147" s="268" t="str">
        <f t="shared" si="57"/>
        <v/>
      </c>
      <c r="AC147" s="450" t="str">
        <f t="shared" si="58"/>
        <v/>
      </c>
      <c r="AD147" s="450" t="str">
        <f t="shared" si="59"/>
        <v/>
      </c>
      <c r="AE147" s="269" t="str">
        <f t="shared" si="60"/>
        <v/>
      </c>
      <c r="AF147" s="268" t="str">
        <f t="shared" si="61"/>
        <v/>
      </c>
      <c r="AG147" s="450" t="str">
        <f t="shared" si="62"/>
        <v/>
      </c>
      <c r="AH147" s="450" t="str">
        <f t="shared" si="63"/>
        <v/>
      </c>
      <c r="AI147" s="269" t="str">
        <f t="shared" si="64"/>
        <v/>
      </c>
      <c r="AJ147" s="450" t="str">
        <f>IF(O147=0,"-",SUMIFS($O$2:O147,$A$2:A147,$A147,$F$2:F147,"&lt;="&amp;$F147)/SUMIFS($G$2:G147,$A$2:A147,$A147,$F$2:F147,"&lt;="&amp;$F147)-1)</f>
        <v>-</v>
      </c>
      <c r="AK147" s="450" t="str">
        <f>IF(P147=0,"-",SUMIFS($P$2:P147,$A$2:A147,$A147,$F$2:F147,"&lt;="&amp;$F147)/SUMIFS($H$2:H147,$A$2:A147,$A147,$F$2:F147,"&lt;="&amp;$F147)-1)</f>
        <v>-</v>
      </c>
      <c r="AL147" s="450" t="str">
        <f>IF(Q147=0,"-",SUMIFS($Q$2:Q147,$A$2:A147,$A147,$F$2:F147,"&lt;="&amp;$F147)/SUMIFS($I$2:I147,$A$2:A147,$A147,$F$2:F147,"&lt;="&amp;$F147)-1)</f>
        <v>-</v>
      </c>
      <c r="AM147" s="450" t="str">
        <f>IFERROR(IF(O147=0,"-",SUMIFS($O$2:O147,$A$2:A147,$A147,$F$2:F147,"&lt;="&amp;$F147)/SUMIFS($K$2:K147,$A$2:A147,$A147,$F$2:F147,"&lt;="&amp;$F147)-1),"")</f>
        <v>-</v>
      </c>
      <c r="AN147" s="450" t="str">
        <f>IFERROR(IF(P147=0,"-",SUMIFS($P$2:P147,$A$2:A147,$A147,$F$2:F147,"&lt;="&amp;$F147)/SUMIFS($L$2:L147,$A$2:A147,$A147,$F$2:F147,"&lt;="&amp;$F147)-1),"")</f>
        <v>-</v>
      </c>
      <c r="AO147" s="450" t="str">
        <f>IFERROR(IF(Q147=0,"-",SUMIFS($Q$2:Q147,$A$2:A147,$A147,$F$2:F147,"&lt;="&amp;$F147)/SUMIFS($M$2:M147,$A$2:A147,$A147,$F$2:F147,"&lt;="&amp;$F147)-1),"")</f>
        <v>-</v>
      </c>
      <c r="AP147" s="239"/>
      <c r="AQ147" s="452" t="str">
        <f>'Overall Metrics'!AO152</f>
        <v/>
      </c>
      <c r="AR147" s="450" t="str">
        <f t="shared" si="65"/>
        <v/>
      </c>
      <c r="AS147" s="453" t="str">
        <f>IFERROR(IF(R148=0,"-",AVERAGEIFS($AQ$2:AQ147,$A$2:A147,$A147,$F$2:F147,"&lt;="&amp;$F147)-AVERAGEIFS($AP$2:AP147,$A$2:A147,$A147,$F$2:F147,"&lt;="&amp;$F147)),"")</f>
        <v>-</v>
      </c>
      <c r="AT147" s="390" t="str">
        <f>IFERROR(IF(R148=0,"-",AVERAGEIFS($AQ$2:AQ147,$A$2:A147,A147,$C$2:C147,C147)-AVERAGEIFS($AP$2:AP147,$A$2:A147,A147,$C$2:C147,C147)),"")</f>
        <v>-</v>
      </c>
      <c r="AU147" s="819"/>
      <c r="AV147" s="452">
        <f>'Overall Metrics'!AS152</f>
        <v>0</v>
      </c>
      <c r="AW147" s="450" t="str">
        <f t="shared" si="66"/>
        <v/>
      </c>
      <c r="AX147" s="453" t="str">
        <f>IFERROR(IF(R151=0,"-",AVERAGEIFS($AV$2:AV147,$A$2:A147,$A147,$F$2:F147,"&lt;="&amp;$F147)-AVERAGEIFS($AU$2:AU147,$A$2:A147,$A147,$F$2:F147,"&lt;="&amp;$F147)),"")</f>
        <v>-</v>
      </c>
      <c r="AY147" s="453" t="str">
        <f>IFERROR(IF(R151=0,"-",AVERAGEIFS($AV$2:AV147,$A$2:A147,A147,$C$2:C147,C147)-AVERAGEIFS($AU$2:AU147,$A$2:A147,A147,$C$2:C147,C147)),"")</f>
        <v>-</v>
      </c>
      <c r="AZ147" s="86"/>
      <c r="BA147" s="449">
        <f>'Glass Metrics'!AC152</f>
        <v>0</v>
      </c>
      <c r="BB147" s="450" t="str">
        <f t="shared" si="67"/>
        <v/>
      </c>
      <c r="BC147" s="450" t="str">
        <f>IFERROR(IF(R147=0,"-",AVERAGEIFS($BA$2:BA147,$A$2:A147,$A147,$F$2:F147,"&lt;="&amp;$F147)/AVERAGEIFS($AZ$2:AZ147,$A$2:A147,$A147,$F$2:F147,"&lt;="&amp;$F147)-1),"")</f>
        <v>-</v>
      </c>
      <c r="BD147" s="269" t="str">
        <f>IFERROR(IF(R147=0,"-",AVERAGEIFS($BA$2:BA147,$A$2:A147,A147,$C$2:C147,C147)/AVERAGEIFS($AZ$2:AZ147,$A$2:A147,A147,$C$2:C147,C147)-1),"")</f>
        <v>-</v>
      </c>
    </row>
    <row r="148" spans="1:56" ht="16.350000000000001" customHeight="1">
      <c r="A148" s="175">
        <f t="shared" si="46"/>
        <v>2023</v>
      </c>
      <c r="B148" s="447" t="str">
        <f t="shared" si="47"/>
        <v>43</v>
      </c>
      <c r="C148" s="447" t="str">
        <f t="array" ref="C148">_xlfn.IFS(_xlfn.NUMBERVALUE(B148)&lt;=13,"Q1",AND(_xlfn.NUMBERVALUE(B148)&gt;13,_xlfn.NUMBERVALUE(B148)&lt;=26),"Q2", AND(_xlfn.NUMBERVALUE(B148)&gt;26,_xlfn.NUMBERVALUE(B148)&lt;=39),"Q3",_xlfn.NUMBERVALUE(B148)&gt;39,"Q4")</f>
        <v>Q4</v>
      </c>
      <c r="D148" s="448">
        <f t="shared" si="68"/>
        <v>44884</v>
      </c>
      <c r="E148" s="448">
        <f t="shared" si="48"/>
        <v>44890</v>
      </c>
      <c r="F148" s="79">
        <v>202243</v>
      </c>
      <c r="G148" s="103"/>
      <c r="H148" s="429"/>
      <c r="I148" s="429"/>
      <c r="J148" s="214">
        <f t="shared" si="49"/>
        <v>0</v>
      </c>
      <c r="K148" s="429"/>
      <c r="L148" s="429"/>
      <c r="M148" s="429"/>
      <c r="N148" s="214">
        <f t="shared" si="50"/>
        <v>0</v>
      </c>
      <c r="O148" s="449">
        <f>'Overall Metrics'!L153</f>
        <v>0</v>
      </c>
      <c r="P148" s="449">
        <f>'Overall Metrics'!M153</f>
        <v>0</v>
      </c>
      <c r="Q148" s="449">
        <f>'Overall Metrics'!N153</f>
        <v>0</v>
      </c>
      <c r="R148" s="449">
        <f t="shared" si="51"/>
        <v>0</v>
      </c>
      <c r="S148" s="180">
        <f t="shared" si="52"/>
        <v>0</v>
      </c>
      <c r="T148" s="449">
        <f t="shared" si="53"/>
        <v>0</v>
      </c>
      <c r="U148" s="449">
        <f t="shared" si="54"/>
        <v>0</v>
      </c>
      <c r="V148" s="450" t="str">
        <f t="shared" si="55"/>
        <v/>
      </c>
      <c r="W148" s="450" t="str">
        <f>IF(R148=0,"-",SUMIFS($R$2:R148,$A$2:A148,A148,$C$2:C148,C148)/SUMIFS($J$2:J148,$A$2:A148,A148,$C$2:C148,C148)-1)</f>
        <v>-</v>
      </c>
      <c r="X148" s="450" t="str">
        <f t="shared" si="56"/>
        <v/>
      </c>
      <c r="Y148" s="450" t="str">
        <f>IFERROR(IF(R148=0,"-",SUMIFS($R$2:R148,$A$2:A148,A148,$C$2:C148,C148)/SUMIFS($N$2:N148,$A$2:A148,A148,$C$2:C148,C148)-1),"")</f>
        <v>-</v>
      </c>
      <c r="Z148" s="269" t="str">
        <f>IF(R148=0,"",(S148/VLOOKUP(_xlfn.NUMBERVALUE(_xlfn.CONCAT(LEFT(F148,4),52)),$F$2:T355,COLUMNS($F$2:T355),FALSE)))</f>
        <v/>
      </c>
      <c r="AA148" s="269" t="str">
        <f>IFERROR(IF(R148=0,"",(S148/VLOOKUP(_xlfn.NUMBERVALUE(_xlfn.CONCAT(LEFT(F148,4),52)),$F$2:U355,COLUMNS($F$2:U355),FALSE))),"")</f>
        <v/>
      </c>
      <c r="AB148" s="268" t="str">
        <f t="shared" si="57"/>
        <v/>
      </c>
      <c r="AC148" s="450" t="str">
        <f t="shared" si="58"/>
        <v/>
      </c>
      <c r="AD148" s="450" t="str">
        <f t="shared" si="59"/>
        <v/>
      </c>
      <c r="AE148" s="269" t="str">
        <f t="shared" si="60"/>
        <v/>
      </c>
      <c r="AF148" s="268" t="str">
        <f t="shared" si="61"/>
        <v/>
      </c>
      <c r="AG148" s="450" t="str">
        <f t="shared" si="62"/>
        <v/>
      </c>
      <c r="AH148" s="450" t="str">
        <f t="shared" si="63"/>
        <v/>
      </c>
      <c r="AI148" s="269" t="str">
        <f t="shared" si="64"/>
        <v/>
      </c>
      <c r="AJ148" s="450" t="str">
        <f>IF(O148=0,"-",SUMIFS($O$2:O148,$A$2:A148,$A148,$F$2:F148,"&lt;="&amp;$F148)/SUMIFS($G$2:G148,$A$2:A148,$A148,$F$2:F148,"&lt;="&amp;$F148)-1)</f>
        <v>-</v>
      </c>
      <c r="AK148" s="450" t="str">
        <f>IF(P148=0,"-",SUMIFS($P$2:P148,$A$2:A148,$A148,$F$2:F148,"&lt;="&amp;$F148)/SUMIFS($H$2:H148,$A$2:A148,$A148,$F$2:F148,"&lt;="&amp;$F148)-1)</f>
        <v>-</v>
      </c>
      <c r="AL148" s="450" t="str">
        <f>IF(Q148=0,"-",SUMIFS($Q$2:Q148,$A$2:A148,$A148,$F$2:F148,"&lt;="&amp;$F148)/SUMIFS($I$2:I148,$A$2:A148,$A148,$F$2:F148,"&lt;="&amp;$F148)-1)</f>
        <v>-</v>
      </c>
      <c r="AM148" s="450" t="str">
        <f>IFERROR(IF(O148=0,"-",SUMIFS($O$2:O148,$A$2:A148,$A148,$F$2:F148,"&lt;="&amp;$F148)/SUMIFS($K$2:K148,$A$2:A148,$A148,$F$2:F148,"&lt;="&amp;$F148)-1),"")</f>
        <v>-</v>
      </c>
      <c r="AN148" s="450" t="str">
        <f>IFERROR(IF(P148=0,"-",SUMIFS($P$2:P148,$A$2:A148,$A148,$F$2:F148,"&lt;="&amp;$F148)/SUMIFS($L$2:L148,$A$2:A148,$A148,$F$2:F148,"&lt;="&amp;$F148)-1),"")</f>
        <v>-</v>
      </c>
      <c r="AO148" s="450" t="str">
        <f>IFERROR(IF(Q148=0,"-",SUMIFS($Q$2:Q148,$A$2:A148,$A148,$F$2:F148,"&lt;="&amp;$F148)/SUMIFS($M$2:M148,$A$2:A148,$A148,$F$2:F148,"&lt;="&amp;$F148)-1),"")</f>
        <v>-</v>
      </c>
      <c r="AP148" s="239"/>
      <c r="AQ148" s="452" t="str">
        <f>'Overall Metrics'!AO153</f>
        <v/>
      </c>
      <c r="AR148" s="450" t="str">
        <f t="shared" si="65"/>
        <v/>
      </c>
      <c r="AS148" s="453" t="str">
        <f>IFERROR(IF(R149=0,"-",AVERAGEIFS($AQ$2:AQ148,$A$2:A148,$A148,$F$2:F148,"&lt;="&amp;$F148)-AVERAGEIFS($AP$2:AP148,$A$2:A148,$A148,$F$2:F148,"&lt;="&amp;$F148)),"")</f>
        <v>-</v>
      </c>
      <c r="AT148" s="390" t="str">
        <f>IFERROR(IF(R149=0,"-",AVERAGEIFS($AQ$2:AQ148,$A$2:A148,A148,$C$2:C148,C148)-AVERAGEIFS($AP$2:AP148,$A$2:A148,A148,$C$2:C148,C148)),"")</f>
        <v>-</v>
      </c>
      <c r="AU148" s="819"/>
      <c r="AV148" s="452">
        <f>'Overall Metrics'!AS153</f>
        <v>0</v>
      </c>
      <c r="AW148" s="450" t="str">
        <f t="shared" si="66"/>
        <v/>
      </c>
      <c r="AX148" s="453" t="str">
        <f>IFERROR(IF(R152=0,"-",AVERAGEIFS($AV$2:AV148,$A$2:A148,$A148,$F$2:F148,"&lt;="&amp;$F148)-AVERAGEIFS($AU$2:AU148,$A$2:A148,$A148,$F$2:F148,"&lt;="&amp;$F148)),"")</f>
        <v>-</v>
      </c>
      <c r="AY148" s="453" t="str">
        <f>IFERROR(IF(R152=0,"-",AVERAGEIFS($AV$2:AV148,$A$2:A148,A148,$C$2:C148,C148)-AVERAGEIFS($AU$2:AU148,$A$2:A148,A148,$C$2:C148,C148)),"")</f>
        <v>-</v>
      </c>
      <c r="AZ148" s="86"/>
      <c r="BA148" s="449">
        <f>'Glass Metrics'!AC153</f>
        <v>0</v>
      </c>
      <c r="BB148" s="450" t="str">
        <f t="shared" si="67"/>
        <v/>
      </c>
      <c r="BC148" s="450" t="str">
        <f>IFERROR(IF(R148=0,"-",AVERAGEIFS($BA$2:BA148,$A$2:A148,$A148,$F$2:F148,"&lt;="&amp;$F148)/AVERAGEIFS($AZ$2:AZ148,$A$2:A148,$A148,$F$2:F148,"&lt;="&amp;$F148)-1),"")</f>
        <v>-</v>
      </c>
      <c r="BD148" s="269" t="str">
        <f>IFERROR(IF(R148=0,"-",AVERAGEIFS($BA$2:BA148,$A$2:A148,A148,$C$2:C148,C148)/AVERAGEIFS($AZ$2:AZ148,$A$2:A148,A148,$C$2:C148,C148)-1),"")</f>
        <v>-</v>
      </c>
    </row>
    <row r="149" spans="1:56" ht="16.350000000000001" customHeight="1">
      <c r="A149" s="175">
        <f t="shared" si="46"/>
        <v>2023</v>
      </c>
      <c r="B149" s="447" t="str">
        <f t="shared" si="47"/>
        <v>44</v>
      </c>
      <c r="C149" s="447" t="str">
        <f t="array" ref="C149">_xlfn.IFS(_xlfn.NUMBERVALUE(B149)&lt;=13,"Q1",AND(_xlfn.NUMBERVALUE(B149)&gt;13,_xlfn.NUMBERVALUE(B149)&lt;=26),"Q2", AND(_xlfn.NUMBERVALUE(B149)&gt;26,_xlfn.NUMBERVALUE(B149)&lt;=39),"Q3",_xlfn.NUMBERVALUE(B149)&gt;39,"Q4")</f>
        <v>Q4</v>
      </c>
      <c r="D149" s="448">
        <f t="shared" si="68"/>
        <v>44891</v>
      </c>
      <c r="E149" s="448">
        <f t="shared" si="48"/>
        <v>44897</v>
      </c>
      <c r="F149" s="79">
        <v>202244</v>
      </c>
      <c r="G149" s="103"/>
      <c r="H149" s="429"/>
      <c r="I149" s="429"/>
      <c r="J149" s="214">
        <f t="shared" si="49"/>
        <v>0</v>
      </c>
      <c r="K149" s="429"/>
      <c r="L149" s="429"/>
      <c r="M149" s="429"/>
      <c r="N149" s="214">
        <f t="shared" si="50"/>
        <v>0</v>
      </c>
      <c r="O149" s="449">
        <f>'Overall Metrics'!L154</f>
        <v>0</v>
      </c>
      <c r="P149" s="449">
        <f>'Overall Metrics'!M154</f>
        <v>0</v>
      </c>
      <c r="Q149" s="449">
        <f>'Overall Metrics'!N154</f>
        <v>0</v>
      </c>
      <c r="R149" s="449">
        <f t="shared" si="51"/>
        <v>0</v>
      </c>
      <c r="S149" s="180">
        <f t="shared" si="52"/>
        <v>0</v>
      </c>
      <c r="T149" s="449">
        <f t="shared" si="53"/>
        <v>0</v>
      </c>
      <c r="U149" s="449">
        <f t="shared" si="54"/>
        <v>0</v>
      </c>
      <c r="V149" s="450" t="str">
        <f t="shared" si="55"/>
        <v/>
      </c>
      <c r="W149" s="450" t="str">
        <f>IF(R149=0,"-",SUMIFS($R$2:R149,$A$2:A149,A149,$C$2:C149,C149)/SUMIFS($J$2:J149,$A$2:A149,A149,$C$2:C149,C149)-1)</f>
        <v>-</v>
      </c>
      <c r="X149" s="450" t="str">
        <f t="shared" si="56"/>
        <v/>
      </c>
      <c r="Y149" s="450" t="str">
        <f>IFERROR(IF(R149=0,"-",SUMIFS($R$2:R149,$A$2:A149,A149,$C$2:C149,C149)/SUMIFS($N$2:N149,$A$2:A149,A149,$C$2:C149,C149)-1),"")</f>
        <v>-</v>
      </c>
      <c r="Z149" s="269" t="str">
        <f>IF(R149=0,"",(S149/VLOOKUP(_xlfn.NUMBERVALUE(_xlfn.CONCAT(LEFT(F149,4),52)),$F$2:T356,COLUMNS($F$2:T356),FALSE)))</f>
        <v/>
      </c>
      <c r="AA149" s="269" t="str">
        <f>IFERROR(IF(R149=0,"",(S149/VLOOKUP(_xlfn.NUMBERVALUE(_xlfn.CONCAT(LEFT(F149,4),52)),$F$2:U356,COLUMNS($F$2:U356),FALSE))),"")</f>
        <v/>
      </c>
      <c r="AB149" s="268" t="str">
        <f t="shared" si="57"/>
        <v/>
      </c>
      <c r="AC149" s="450" t="str">
        <f t="shared" si="58"/>
        <v/>
      </c>
      <c r="AD149" s="450" t="str">
        <f t="shared" si="59"/>
        <v/>
      </c>
      <c r="AE149" s="269" t="str">
        <f t="shared" si="60"/>
        <v/>
      </c>
      <c r="AF149" s="268" t="str">
        <f t="shared" si="61"/>
        <v/>
      </c>
      <c r="AG149" s="450" t="str">
        <f t="shared" si="62"/>
        <v/>
      </c>
      <c r="AH149" s="450" t="str">
        <f t="shared" si="63"/>
        <v/>
      </c>
      <c r="AI149" s="269" t="str">
        <f t="shared" si="64"/>
        <v/>
      </c>
      <c r="AJ149" s="450" t="str">
        <f>IF(O149=0,"-",SUMIFS($O$2:O149,$A$2:A149,$A149,$F$2:F149,"&lt;="&amp;$F149)/SUMIFS($G$2:G149,$A$2:A149,$A149,$F$2:F149,"&lt;="&amp;$F149)-1)</f>
        <v>-</v>
      </c>
      <c r="AK149" s="450" t="str">
        <f>IF(P149=0,"-",SUMIFS($P$2:P149,$A$2:A149,$A149,$F$2:F149,"&lt;="&amp;$F149)/SUMIFS($H$2:H149,$A$2:A149,$A149,$F$2:F149,"&lt;="&amp;$F149)-1)</f>
        <v>-</v>
      </c>
      <c r="AL149" s="450" t="str">
        <f>IF(Q149=0,"-",SUMIFS($Q$2:Q149,$A$2:A149,$A149,$F$2:F149,"&lt;="&amp;$F149)/SUMIFS($I$2:I149,$A$2:A149,$A149,$F$2:F149,"&lt;="&amp;$F149)-1)</f>
        <v>-</v>
      </c>
      <c r="AM149" s="450" t="str">
        <f>IFERROR(IF(O149=0,"-",SUMIFS($O$2:O149,$A$2:A149,$A149,$F$2:F149,"&lt;="&amp;$F149)/SUMIFS($K$2:K149,$A$2:A149,$A149,$F$2:F149,"&lt;="&amp;$F149)-1),"")</f>
        <v>-</v>
      </c>
      <c r="AN149" s="450" t="str">
        <f>IFERROR(IF(P149=0,"-",SUMIFS($P$2:P149,$A$2:A149,$A149,$F$2:F149,"&lt;="&amp;$F149)/SUMIFS($L$2:L149,$A$2:A149,$A149,$F$2:F149,"&lt;="&amp;$F149)-1),"")</f>
        <v>-</v>
      </c>
      <c r="AO149" s="450" t="str">
        <f>IFERROR(IF(Q149=0,"-",SUMIFS($Q$2:Q149,$A$2:A149,$A149,$F$2:F149,"&lt;="&amp;$F149)/SUMIFS($M$2:M149,$A$2:A149,$A149,$F$2:F149,"&lt;="&amp;$F149)-1),"")</f>
        <v>-</v>
      </c>
      <c r="AP149" s="239"/>
      <c r="AQ149" s="452" t="str">
        <f>'Overall Metrics'!AO154</f>
        <v/>
      </c>
      <c r="AR149" s="450" t="str">
        <f t="shared" si="65"/>
        <v/>
      </c>
      <c r="AS149" s="453" t="str">
        <f>IFERROR(IF(R150=0,"-",AVERAGEIFS($AQ$2:AQ149,$A$2:A149,$A149,$F$2:F149,"&lt;="&amp;$F149)-AVERAGEIFS($AP$2:AP149,$A$2:A149,$A149,$F$2:F149,"&lt;="&amp;$F149)),"")</f>
        <v>-</v>
      </c>
      <c r="AT149" s="390" t="str">
        <f>IFERROR(IF(R150=0,"-",AVERAGEIFS($AQ$2:AQ149,$A$2:A149,A149,$C$2:C149,C149)-AVERAGEIFS($AP$2:AP149,$A$2:A149,A149,$C$2:C149,C149)),"")</f>
        <v>-</v>
      </c>
      <c r="AU149" s="819"/>
      <c r="AV149" s="452">
        <f>'Overall Metrics'!AS154</f>
        <v>0</v>
      </c>
      <c r="AW149" s="450" t="str">
        <f t="shared" si="66"/>
        <v/>
      </c>
      <c r="AX149" s="453" t="str">
        <f>IFERROR(IF(R153=0,"-",AVERAGEIFS($AV$2:AV149,$A$2:A149,$A149,$F$2:F149,"&lt;="&amp;$F149)-AVERAGEIFS($AU$2:AU149,$A$2:A149,$A149,$F$2:F149,"&lt;="&amp;$F149)),"")</f>
        <v>-</v>
      </c>
      <c r="AY149" s="453" t="str">
        <f>IFERROR(IF(R153=0,"-",AVERAGEIFS($AV$2:AV149,$A$2:A149,A149,$C$2:C149,C149)-AVERAGEIFS($AU$2:AU149,$A$2:A149,A149,$C$2:C149,C149)),"")</f>
        <v>-</v>
      </c>
      <c r="AZ149" s="86"/>
      <c r="BA149" s="449">
        <f>'Glass Metrics'!AC154</f>
        <v>0</v>
      </c>
      <c r="BB149" s="450" t="str">
        <f t="shared" si="67"/>
        <v/>
      </c>
      <c r="BC149" s="450" t="str">
        <f>IFERROR(IF(R149=0,"-",AVERAGEIFS($BA$2:BA149,$A$2:A149,$A149,$F$2:F149,"&lt;="&amp;$F149)/AVERAGEIFS($AZ$2:AZ149,$A$2:A149,$A149,$F$2:F149,"&lt;="&amp;$F149)-1),"")</f>
        <v>-</v>
      </c>
      <c r="BD149" s="269" t="str">
        <f>IFERROR(IF(R149=0,"-",AVERAGEIFS($BA$2:BA149,$A$2:A149,A149,$C$2:C149,C149)/AVERAGEIFS($AZ$2:AZ149,$A$2:A149,A149,$C$2:C149,C149)-1),"")</f>
        <v>-</v>
      </c>
    </row>
    <row r="150" spans="1:56" ht="16.350000000000001" customHeight="1">
      <c r="A150" s="175">
        <f t="shared" si="46"/>
        <v>2023</v>
      </c>
      <c r="B150" s="447" t="str">
        <f t="shared" si="47"/>
        <v>45</v>
      </c>
      <c r="C150" s="447" t="str">
        <f t="array" ref="C150">_xlfn.IFS(_xlfn.NUMBERVALUE(B150)&lt;=13,"Q1",AND(_xlfn.NUMBERVALUE(B150)&gt;13,_xlfn.NUMBERVALUE(B150)&lt;=26),"Q2", AND(_xlfn.NUMBERVALUE(B150)&gt;26,_xlfn.NUMBERVALUE(B150)&lt;=39),"Q3",_xlfn.NUMBERVALUE(B150)&gt;39,"Q4")</f>
        <v>Q4</v>
      </c>
      <c r="D150" s="448">
        <f t="shared" si="68"/>
        <v>44898</v>
      </c>
      <c r="E150" s="448">
        <f t="shared" si="48"/>
        <v>44904</v>
      </c>
      <c r="F150" s="79">
        <v>202245</v>
      </c>
      <c r="G150" s="103"/>
      <c r="H150" s="429"/>
      <c r="I150" s="429"/>
      <c r="J150" s="214">
        <f t="shared" si="49"/>
        <v>0</v>
      </c>
      <c r="K150" s="429"/>
      <c r="L150" s="429"/>
      <c r="M150" s="429"/>
      <c r="N150" s="214">
        <f t="shared" si="50"/>
        <v>0</v>
      </c>
      <c r="O150" s="449">
        <f>'Overall Metrics'!L155</f>
        <v>0</v>
      </c>
      <c r="P150" s="449">
        <f>'Overall Metrics'!M155</f>
        <v>0</v>
      </c>
      <c r="Q150" s="449">
        <f>'Overall Metrics'!N155</f>
        <v>0</v>
      </c>
      <c r="R150" s="449">
        <f t="shared" si="51"/>
        <v>0</v>
      </c>
      <c r="S150" s="180">
        <f t="shared" si="52"/>
        <v>0</v>
      </c>
      <c r="T150" s="449">
        <f t="shared" si="53"/>
        <v>0</v>
      </c>
      <c r="U150" s="449">
        <f t="shared" si="54"/>
        <v>0</v>
      </c>
      <c r="V150" s="450" t="str">
        <f t="shared" si="55"/>
        <v/>
      </c>
      <c r="W150" s="450" t="str">
        <f>IF(R150=0,"-",SUMIFS($R$2:R150,$A$2:A150,A150,$C$2:C150,C150)/SUMIFS($J$2:J150,$A$2:A150,A150,$C$2:C150,C150)-1)</f>
        <v>-</v>
      </c>
      <c r="X150" s="450" t="str">
        <f t="shared" si="56"/>
        <v/>
      </c>
      <c r="Y150" s="450" t="str">
        <f>IFERROR(IF(R150=0,"-",SUMIFS($R$2:R150,$A$2:A150,A150,$C$2:C150,C150)/SUMIFS($N$2:N150,$A$2:A150,A150,$C$2:C150,C150)-1),"")</f>
        <v>-</v>
      </c>
      <c r="Z150" s="269" t="str">
        <f>IF(R150=0,"",(S150/VLOOKUP(_xlfn.NUMBERVALUE(_xlfn.CONCAT(LEFT(F150,4),52)),$F$2:T357,COLUMNS($F$2:T357),FALSE)))</f>
        <v/>
      </c>
      <c r="AA150" s="269" t="str">
        <f>IFERROR(IF(R150=0,"",(S150/VLOOKUP(_xlfn.NUMBERVALUE(_xlfn.CONCAT(LEFT(F150,4),52)),$F$2:U357,COLUMNS($F$2:U357),FALSE))),"")</f>
        <v/>
      </c>
      <c r="AB150" s="268" t="str">
        <f t="shared" si="57"/>
        <v/>
      </c>
      <c r="AC150" s="450" t="str">
        <f t="shared" si="58"/>
        <v/>
      </c>
      <c r="AD150" s="450" t="str">
        <f t="shared" si="59"/>
        <v/>
      </c>
      <c r="AE150" s="269" t="str">
        <f t="shared" si="60"/>
        <v/>
      </c>
      <c r="AF150" s="268" t="str">
        <f t="shared" si="61"/>
        <v/>
      </c>
      <c r="AG150" s="450" t="str">
        <f t="shared" si="62"/>
        <v/>
      </c>
      <c r="AH150" s="450" t="str">
        <f t="shared" si="63"/>
        <v/>
      </c>
      <c r="AI150" s="269" t="str">
        <f t="shared" si="64"/>
        <v/>
      </c>
      <c r="AJ150" s="450" t="str">
        <f>IF(O150=0,"-",SUMIFS($O$2:O150,$A$2:A150,$A150,$F$2:F150,"&lt;="&amp;$F150)/SUMIFS($G$2:G150,$A$2:A150,$A150,$F$2:F150,"&lt;="&amp;$F150)-1)</f>
        <v>-</v>
      </c>
      <c r="AK150" s="450" t="str">
        <f>IF(P150=0,"-",SUMIFS($P$2:P150,$A$2:A150,$A150,$F$2:F150,"&lt;="&amp;$F150)/SUMIFS($H$2:H150,$A$2:A150,$A150,$F$2:F150,"&lt;="&amp;$F150)-1)</f>
        <v>-</v>
      </c>
      <c r="AL150" s="450" t="str">
        <f>IF(Q150=0,"-",SUMIFS($Q$2:Q150,$A$2:A150,$A150,$F$2:F150,"&lt;="&amp;$F150)/SUMIFS($I$2:I150,$A$2:A150,$A150,$F$2:F150,"&lt;="&amp;$F150)-1)</f>
        <v>-</v>
      </c>
      <c r="AM150" s="450" t="str">
        <f>IFERROR(IF(O150=0,"-",SUMIFS($O$2:O150,$A$2:A150,$A150,$F$2:F150,"&lt;="&amp;$F150)/SUMIFS($K$2:K150,$A$2:A150,$A150,$F$2:F150,"&lt;="&amp;$F150)-1),"")</f>
        <v>-</v>
      </c>
      <c r="AN150" s="450" t="str">
        <f>IFERROR(IF(P150=0,"-",SUMIFS($P$2:P150,$A$2:A150,$A150,$F$2:F150,"&lt;="&amp;$F150)/SUMIFS($L$2:L150,$A$2:A150,$A150,$F$2:F150,"&lt;="&amp;$F150)-1),"")</f>
        <v>-</v>
      </c>
      <c r="AO150" s="450" t="str">
        <f>IFERROR(IF(Q150=0,"-",SUMIFS($Q$2:Q150,$A$2:A150,$A150,$F$2:F150,"&lt;="&amp;$F150)/SUMIFS($M$2:M150,$A$2:A150,$A150,$F$2:F150,"&lt;="&amp;$F150)-1),"")</f>
        <v>-</v>
      </c>
      <c r="AP150" s="239"/>
      <c r="AQ150" s="452" t="str">
        <f>'Overall Metrics'!AO155</f>
        <v/>
      </c>
      <c r="AR150" s="450" t="str">
        <f t="shared" si="65"/>
        <v/>
      </c>
      <c r="AS150" s="453" t="str">
        <f>IFERROR(IF(R151=0,"-",AVERAGEIFS($AQ$2:AQ150,$A$2:A150,$A150,$F$2:F150,"&lt;="&amp;$F150)-AVERAGEIFS($AP$2:AP150,$A$2:A150,$A150,$F$2:F150,"&lt;="&amp;$F150)),"")</f>
        <v>-</v>
      </c>
      <c r="AT150" s="390" t="str">
        <f>IFERROR(IF(R151=0,"-",AVERAGEIFS($AQ$2:AQ150,$A$2:A150,A150,$C$2:C150,C150)-AVERAGEIFS($AP$2:AP150,$A$2:A150,A150,$C$2:C150,C150)),"")</f>
        <v>-</v>
      </c>
      <c r="AU150" s="819"/>
      <c r="AV150" s="452">
        <f>'Overall Metrics'!AS155</f>
        <v>0</v>
      </c>
      <c r="AW150" s="450" t="str">
        <f t="shared" si="66"/>
        <v/>
      </c>
      <c r="AX150" s="453" t="str">
        <f>IFERROR(IF(R154=0,"-",AVERAGEIFS($AV$2:AV150,$A$2:A150,$A150,$F$2:F150,"&lt;="&amp;$F150)-AVERAGEIFS($AU$2:AU150,$A$2:A150,$A150,$F$2:F150,"&lt;="&amp;$F150)),"")</f>
        <v>-</v>
      </c>
      <c r="AY150" s="453" t="str">
        <f>IFERROR(IF(R154=0,"-",AVERAGEIFS($AV$2:AV150,$A$2:A150,A150,$C$2:C150,C150)-AVERAGEIFS($AU$2:AU150,$A$2:A150,A150,$C$2:C150,C150)),"")</f>
        <v>-</v>
      </c>
      <c r="AZ150" s="86"/>
      <c r="BA150" s="449">
        <f>'Glass Metrics'!AC155</f>
        <v>0</v>
      </c>
      <c r="BB150" s="450" t="str">
        <f t="shared" si="67"/>
        <v/>
      </c>
      <c r="BC150" s="450" t="str">
        <f>IFERROR(IF(R150=0,"-",AVERAGEIFS($BA$2:BA150,$A$2:A150,$A150,$F$2:F150,"&lt;="&amp;$F150)/AVERAGEIFS($AZ$2:AZ150,$A$2:A150,$A150,$F$2:F150,"&lt;="&amp;$F150)-1),"")</f>
        <v>-</v>
      </c>
      <c r="BD150" s="269" t="str">
        <f>IFERROR(IF(R150=0,"-",AVERAGEIFS($BA$2:BA150,$A$2:A150,A150,$C$2:C150,C150)/AVERAGEIFS($AZ$2:AZ150,$A$2:A150,A150,$C$2:C150,C150)-1),"")</f>
        <v>-</v>
      </c>
    </row>
    <row r="151" spans="1:56" ht="16.350000000000001" customHeight="1">
      <c r="A151" s="175">
        <f t="shared" si="46"/>
        <v>2023</v>
      </c>
      <c r="B151" s="447" t="str">
        <f t="shared" si="47"/>
        <v>46</v>
      </c>
      <c r="C151" s="447" t="str">
        <f t="array" ref="C151">_xlfn.IFS(_xlfn.NUMBERVALUE(B151)&lt;=13,"Q1",AND(_xlfn.NUMBERVALUE(B151)&gt;13,_xlfn.NUMBERVALUE(B151)&lt;=26),"Q2", AND(_xlfn.NUMBERVALUE(B151)&gt;26,_xlfn.NUMBERVALUE(B151)&lt;=39),"Q3",_xlfn.NUMBERVALUE(B151)&gt;39,"Q4")</f>
        <v>Q4</v>
      </c>
      <c r="D151" s="448">
        <f t="shared" si="68"/>
        <v>44905</v>
      </c>
      <c r="E151" s="448">
        <f t="shared" si="48"/>
        <v>44911</v>
      </c>
      <c r="F151" s="79">
        <v>202246</v>
      </c>
      <c r="G151" s="103"/>
      <c r="H151" s="429"/>
      <c r="I151" s="429"/>
      <c r="J151" s="214">
        <f t="shared" si="49"/>
        <v>0</v>
      </c>
      <c r="K151" s="429"/>
      <c r="L151" s="429"/>
      <c r="M151" s="429"/>
      <c r="N151" s="214">
        <f t="shared" si="50"/>
        <v>0</v>
      </c>
      <c r="O151" s="449">
        <f>'Overall Metrics'!L156</f>
        <v>0</v>
      </c>
      <c r="P151" s="449">
        <f>'Overall Metrics'!M156</f>
        <v>0</v>
      </c>
      <c r="Q151" s="449">
        <f>'Overall Metrics'!N156</f>
        <v>0</v>
      </c>
      <c r="R151" s="449">
        <f t="shared" si="51"/>
        <v>0</v>
      </c>
      <c r="S151" s="180">
        <f t="shared" si="52"/>
        <v>0</v>
      </c>
      <c r="T151" s="449">
        <f t="shared" si="53"/>
        <v>0</v>
      </c>
      <c r="U151" s="449">
        <f t="shared" si="54"/>
        <v>0</v>
      </c>
      <c r="V151" s="450" t="str">
        <f t="shared" si="55"/>
        <v/>
      </c>
      <c r="W151" s="450" t="str">
        <f>IF(R151=0,"-",SUMIFS($R$2:R151,$A$2:A151,A151,$C$2:C151,C151)/SUMIFS($J$2:J151,$A$2:A151,A151,$C$2:C151,C151)-1)</f>
        <v>-</v>
      </c>
      <c r="X151" s="450" t="str">
        <f t="shared" si="56"/>
        <v/>
      </c>
      <c r="Y151" s="450" t="str">
        <f>IFERROR(IF(R151=0,"-",SUMIFS($R$2:R151,$A$2:A151,A151,$C$2:C151,C151)/SUMIFS($N$2:N151,$A$2:A151,A151,$C$2:C151,C151)-1),"")</f>
        <v>-</v>
      </c>
      <c r="Z151" s="269" t="str">
        <f>IF(R151=0,"",(S151/VLOOKUP(_xlfn.NUMBERVALUE(_xlfn.CONCAT(LEFT(F151,4),52)),$F$2:T358,COLUMNS($F$2:T358),FALSE)))</f>
        <v/>
      </c>
      <c r="AA151" s="269" t="str">
        <f>IFERROR(IF(R151=0,"",(S151/VLOOKUP(_xlfn.NUMBERVALUE(_xlfn.CONCAT(LEFT(F151,4),52)),$F$2:U358,COLUMNS($F$2:U358),FALSE))),"")</f>
        <v/>
      </c>
      <c r="AB151" s="268" t="str">
        <f t="shared" si="57"/>
        <v/>
      </c>
      <c r="AC151" s="450" t="str">
        <f t="shared" si="58"/>
        <v/>
      </c>
      <c r="AD151" s="450" t="str">
        <f t="shared" si="59"/>
        <v/>
      </c>
      <c r="AE151" s="269" t="str">
        <f t="shared" si="60"/>
        <v/>
      </c>
      <c r="AF151" s="268" t="str">
        <f t="shared" si="61"/>
        <v/>
      </c>
      <c r="AG151" s="450" t="str">
        <f t="shared" si="62"/>
        <v/>
      </c>
      <c r="AH151" s="450" t="str">
        <f t="shared" si="63"/>
        <v/>
      </c>
      <c r="AI151" s="269" t="str">
        <f t="shared" si="64"/>
        <v/>
      </c>
      <c r="AJ151" s="450" t="str">
        <f>IF(O151=0,"-",SUMIFS($O$2:O151,$A$2:A151,$A151,$F$2:F151,"&lt;="&amp;$F151)/SUMIFS($G$2:G151,$A$2:A151,$A151,$F$2:F151,"&lt;="&amp;$F151)-1)</f>
        <v>-</v>
      </c>
      <c r="AK151" s="450" t="str">
        <f>IF(P151=0,"-",SUMIFS($P$2:P151,$A$2:A151,$A151,$F$2:F151,"&lt;="&amp;$F151)/SUMIFS($H$2:H151,$A$2:A151,$A151,$F$2:F151,"&lt;="&amp;$F151)-1)</f>
        <v>-</v>
      </c>
      <c r="AL151" s="450" t="str">
        <f>IF(Q151=0,"-",SUMIFS($Q$2:Q151,$A$2:A151,$A151,$F$2:F151,"&lt;="&amp;$F151)/SUMIFS($I$2:I151,$A$2:A151,$A151,$F$2:F151,"&lt;="&amp;$F151)-1)</f>
        <v>-</v>
      </c>
      <c r="AM151" s="450" t="str">
        <f>IFERROR(IF(O151=0,"-",SUMIFS($O$2:O151,$A$2:A151,$A151,$F$2:F151,"&lt;="&amp;$F151)/SUMIFS($K$2:K151,$A$2:A151,$A151,$F$2:F151,"&lt;="&amp;$F151)-1),"")</f>
        <v>-</v>
      </c>
      <c r="AN151" s="450" t="str">
        <f>IFERROR(IF(P151=0,"-",SUMIFS($P$2:P151,$A$2:A151,$A151,$F$2:F151,"&lt;="&amp;$F151)/SUMIFS($L$2:L151,$A$2:A151,$A151,$F$2:F151,"&lt;="&amp;$F151)-1),"")</f>
        <v>-</v>
      </c>
      <c r="AO151" s="450" t="str">
        <f>IFERROR(IF(Q151=0,"-",SUMIFS($Q$2:Q151,$A$2:A151,$A151,$F$2:F151,"&lt;="&amp;$F151)/SUMIFS($M$2:M151,$A$2:A151,$A151,$F$2:F151,"&lt;="&amp;$F151)-1),"")</f>
        <v>-</v>
      </c>
      <c r="AP151" s="239"/>
      <c r="AQ151" s="452" t="str">
        <f>'Overall Metrics'!AO156</f>
        <v/>
      </c>
      <c r="AR151" s="450" t="str">
        <f t="shared" si="65"/>
        <v/>
      </c>
      <c r="AS151" s="453" t="str">
        <f>IFERROR(IF(R152=0,"-",AVERAGEIFS($AQ$2:AQ151,$A$2:A151,$A151,$F$2:F151,"&lt;="&amp;$F151)-AVERAGEIFS($AP$2:AP151,$A$2:A151,$A151,$F$2:F151,"&lt;="&amp;$F151)),"")</f>
        <v>-</v>
      </c>
      <c r="AT151" s="390" t="str">
        <f>IFERROR(IF(R152=0,"-",AVERAGEIFS($AQ$2:AQ151,$A$2:A151,A151,$C$2:C151,C151)-AVERAGEIFS($AP$2:AP151,$A$2:A151,A151,$C$2:C151,C151)),"")</f>
        <v>-</v>
      </c>
      <c r="AU151" s="819"/>
      <c r="AV151" s="452">
        <f>'Overall Metrics'!AS156</f>
        <v>0</v>
      </c>
      <c r="AW151" s="450" t="str">
        <f t="shared" si="66"/>
        <v/>
      </c>
      <c r="AX151" s="453" t="str">
        <f>IFERROR(IF(R155=0,"-",AVERAGEIFS($AV$2:AV151,$A$2:A151,$A151,$F$2:F151,"&lt;="&amp;$F151)-AVERAGEIFS($AU$2:AU151,$A$2:A151,$A151,$F$2:F151,"&lt;="&amp;$F151)),"")</f>
        <v>-</v>
      </c>
      <c r="AY151" s="453" t="str">
        <f>IFERROR(IF(R155=0,"-",AVERAGEIFS($AV$2:AV151,$A$2:A151,A151,$C$2:C151,C151)-AVERAGEIFS($AU$2:AU151,$A$2:A151,A151,$C$2:C151,C151)),"")</f>
        <v>-</v>
      </c>
      <c r="AZ151" s="86"/>
      <c r="BA151" s="449">
        <f>'Glass Metrics'!AC156</f>
        <v>0</v>
      </c>
      <c r="BB151" s="450" t="str">
        <f t="shared" si="67"/>
        <v/>
      </c>
      <c r="BC151" s="450" t="str">
        <f>IFERROR(IF(R151=0,"-",AVERAGEIFS($BA$2:BA151,$A$2:A151,$A151,$F$2:F151,"&lt;="&amp;$F151)/AVERAGEIFS($AZ$2:AZ151,$A$2:A151,$A151,$F$2:F151,"&lt;="&amp;$F151)-1),"")</f>
        <v>-</v>
      </c>
      <c r="BD151" s="269" t="str">
        <f>IFERROR(IF(R151=0,"-",AVERAGEIFS($BA$2:BA151,$A$2:A151,A151,$C$2:C151,C151)/AVERAGEIFS($AZ$2:AZ151,$A$2:A151,A151,$C$2:C151,C151)-1),"")</f>
        <v>-</v>
      </c>
    </row>
    <row r="152" spans="1:56" ht="16.350000000000001" customHeight="1">
      <c r="A152" s="175">
        <f t="shared" si="46"/>
        <v>2023</v>
      </c>
      <c r="B152" s="447" t="str">
        <f t="shared" si="47"/>
        <v>47</v>
      </c>
      <c r="C152" s="447" t="str">
        <f t="array" ref="C152">_xlfn.IFS(_xlfn.NUMBERVALUE(B152)&lt;=13,"Q1",AND(_xlfn.NUMBERVALUE(B152)&gt;13,_xlfn.NUMBERVALUE(B152)&lt;=26),"Q2", AND(_xlfn.NUMBERVALUE(B152)&gt;26,_xlfn.NUMBERVALUE(B152)&lt;=39),"Q3",_xlfn.NUMBERVALUE(B152)&gt;39,"Q4")</f>
        <v>Q4</v>
      </c>
      <c r="D152" s="448">
        <f t="shared" si="68"/>
        <v>44912</v>
      </c>
      <c r="E152" s="448">
        <f t="shared" si="48"/>
        <v>44918</v>
      </c>
      <c r="F152" s="79">
        <v>202247</v>
      </c>
      <c r="G152" s="103"/>
      <c r="H152" s="429"/>
      <c r="I152" s="429"/>
      <c r="J152" s="214">
        <f t="shared" si="49"/>
        <v>0</v>
      </c>
      <c r="K152" s="429"/>
      <c r="L152" s="429"/>
      <c r="M152" s="429"/>
      <c r="N152" s="214">
        <f t="shared" si="50"/>
        <v>0</v>
      </c>
      <c r="O152" s="449">
        <f>'Overall Metrics'!L157</f>
        <v>0</v>
      </c>
      <c r="P152" s="449">
        <f>'Overall Metrics'!M157</f>
        <v>0</v>
      </c>
      <c r="Q152" s="449">
        <f>'Overall Metrics'!N157</f>
        <v>0</v>
      </c>
      <c r="R152" s="449">
        <f t="shared" si="51"/>
        <v>0</v>
      </c>
      <c r="S152" s="180">
        <f t="shared" si="52"/>
        <v>0</v>
      </c>
      <c r="T152" s="449">
        <f t="shared" si="53"/>
        <v>0</v>
      </c>
      <c r="U152" s="449">
        <f t="shared" si="54"/>
        <v>0</v>
      </c>
      <c r="V152" s="450" t="str">
        <f t="shared" si="55"/>
        <v/>
      </c>
      <c r="W152" s="450" t="str">
        <f>IF(R152=0,"-",SUMIFS($R$2:R152,$A$2:A152,A152,$C$2:C152,C152)/SUMIFS($J$2:J152,$A$2:A152,A152,$C$2:C152,C152)-1)</f>
        <v>-</v>
      </c>
      <c r="X152" s="450" t="str">
        <f t="shared" si="56"/>
        <v/>
      </c>
      <c r="Y152" s="450" t="str">
        <f>IFERROR(IF(R152=0,"-",SUMIFS($R$2:R152,$A$2:A152,A152,$C$2:C152,C152)/SUMIFS($N$2:N152,$A$2:A152,A152,$C$2:C152,C152)-1),"")</f>
        <v>-</v>
      </c>
      <c r="Z152" s="269" t="str">
        <f>IF(R152=0,"",(S152/VLOOKUP(_xlfn.NUMBERVALUE(_xlfn.CONCAT(LEFT(F152,4),52)),$F$2:T359,COLUMNS($F$2:T359),FALSE)))</f>
        <v/>
      </c>
      <c r="AA152" s="269" t="str">
        <f>IFERROR(IF(R152=0,"",(S152/VLOOKUP(_xlfn.NUMBERVALUE(_xlfn.CONCAT(LEFT(F152,4),52)),$F$2:U359,COLUMNS($F$2:U359),FALSE))),"")</f>
        <v/>
      </c>
      <c r="AB152" s="268" t="str">
        <f t="shared" si="57"/>
        <v/>
      </c>
      <c r="AC152" s="450" t="str">
        <f t="shared" si="58"/>
        <v/>
      </c>
      <c r="AD152" s="450" t="str">
        <f t="shared" si="59"/>
        <v/>
      </c>
      <c r="AE152" s="269" t="str">
        <f t="shared" si="60"/>
        <v/>
      </c>
      <c r="AF152" s="268" t="str">
        <f t="shared" si="61"/>
        <v/>
      </c>
      <c r="AG152" s="450" t="str">
        <f t="shared" si="62"/>
        <v/>
      </c>
      <c r="AH152" s="450" t="str">
        <f t="shared" si="63"/>
        <v/>
      </c>
      <c r="AI152" s="269" t="str">
        <f t="shared" si="64"/>
        <v/>
      </c>
      <c r="AJ152" s="450" t="str">
        <f>IF(O152=0,"-",SUMIFS($O$2:O152,$A$2:A152,$A152,$F$2:F152,"&lt;="&amp;$F152)/SUMIFS($G$2:G152,$A$2:A152,$A152,$F$2:F152,"&lt;="&amp;$F152)-1)</f>
        <v>-</v>
      </c>
      <c r="AK152" s="450" t="str">
        <f>IF(P152=0,"-",SUMIFS($P$2:P152,$A$2:A152,$A152,$F$2:F152,"&lt;="&amp;$F152)/SUMIFS($H$2:H152,$A$2:A152,$A152,$F$2:F152,"&lt;="&amp;$F152)-1)</f>
        <v>-</v>
      </c>
      <c r="AL152" s="450" t="str">
        <f>IF(Q152=0,"-",SUMIFS($Q$2:Q152,$A$2:A152,$A152,$F$2:F152,"&lt;="&amp;$F152)/SUMIFS($I$2:I152,$A$2:A152,$A152,$F$2:F152,"&lt;="&amp;$F152)-1)</f>
        <v>-</v>
      </c>
      <c r="AM152" s="450" t="str">
        <f>IFERROR(IF(O152=0,"-",SUMIFS($O$2:O152,$A$2:A152,$A152,$F$2:F152,"&lt;="&amp;$F152)/SUMIFS($K$2:K152,$A$2:A152,$A152,$F$2:F152,"&lt;="&amp;$F152)-1),"")</f>
        <v>-</v>
      </c>
      <c r="AN152" s="450" t="str">
        <f>IFERROR(IF(P152=0,"-",SUMIFS($P$2:P152,$A$2:A152,$A152,$F$2:F152,"&lt;="&amp;$F152)/SUMIFS($L$2:L152,$A$2:A152,$A152,$F$2:F152,"&lt;="&amp;$F152)-1),"")</f>
        <v>-</v>
      </c>
      <c r="AO152" s="450" t="str">
        <f>IFERROR(IF(Q152=0,"-",SUMIFS($Q$2:Q152,$A$2:A152,$A152,$F$2:F152,"&lt;="&amp;$F152)/SUMIFS($M$2:M152,$A$2:A152,$A152,$F$2:F152,"&lt;="&amp;$F152)-1),"")</f>
        <v>-</v>
      </c>
      <c r="AP152" s="239"/>
      <c r="AQ152" s="452" t="str">
        <f>'Overall Metrics'!AO157</f>
        <v/>
      </c>
      <c r="AR152" s="450" t="str">
        <f t="shared" si="65"/>
        <v/>
      </c>
      <c r="AS152" s="453" t="str">
        <f>IFERROR(IF(R153=0,"-",AVERAGEIFS($AQ$2:AQ152,$A$2:A152,$A152,$F$2:F152,"&lt;="&amp;$F152)-AVERAGEIFS($AP$2:AP152,$A$2:A152,$A152,$F$2:F152,"&lt;="&amp;$F152)),"")</f>
        <v>-</v>
      </c>
      <c r="AT152" s="390" t="str">
        <f>IFERROR(IF(R153=0,"-",AVERAGEIFS($AQ$2:AQ152,$A$2:A152,A152,$C$2:C152,C152)-AVERAGEIFS($AP$2:AP152,$A$2:A152,A152,$C$2:C152,C152)),"")</f>
        <v>-</v>
      </c>
      <c r="AU152" s="819"/>
      <c r="AV152" s="452">
        <f>'Overall Metrics'!AS157</f>
        <v>0</v>
      </c>
      <c r="AW152" s="450" t="str">
        <f t="shared" si="66"/>
        <v/>
      </c>
      <c r="AX152" s="453" t="str">
        <f>IFERROR(IF(R156=0,"-",AVERAGEIFS($AV$2:AV152,$A$2:A152,$A152,$F$2:F152,"&lt;="&amp;$F152)-AVERAGEIFS($AU$2:AU152,$A$2:A152,$A152,$F$2:F152,"&lt;="&amp;$F152)),"")</f>
        <v>-</v>
      </c>
      <c r="AY152" s="453" t="str">
        <f>IFERROR(IF(R156=0,"-",AVERAGEIFS($AV$2:AV152,$A$2:A152,A152,$C$2:C152,C152)-AVERAGEIFS($AU$2:AU152,$A$2:A152,A152,$C$2:C152,C152)),"")</f>
        <v>-</v>
      </c>
      <c r="AZ152" s="86"/>
      <c r="BA152" s="449">
        <f>'Glass Metrics'!AC157</f>
        <v>0</v>
      </c>
      <c r="BB152" s="450" t="str">
        <f t="shared" si="67"/>
        <v/>
      </c>
      <c r="BC152" s="450" t="str">
        <f>IFERROR(IF(R152=0,"-",AVERAGEIFS($BA$2:BA152,$A$2:A152,$A152,$F$2:F152,"&lt;="&amp;$F152)/AVERAGEIFS($AZ$2:AZ152,$A$2:A152,$A152,$F$2:F152,"&lt;="&amp;$F152)-1),"")</f>
        <v>-</v>
      </c>
      <c r="BD152" s="269" t="str">
        <f>IFERROR(IF(R152=0,"-",AVERAGEIFS($BA$2:BA152,$A$2:A152,A152,$C$2:C152,C152)/AVERAGEIFS($AZ$2:AZ152,$A$2:A152,A152,$C$2:C152,C152)-1),"")</f>
        <v>-</v>
      </c>
    </row>
    <row r="153" spans="1:56" ht="16.350000000000001" customHeight="1">
      <c r="A153" s="175">
        <f t="shared" si="46"/>
        <v>2023</v>
      </c>
      <c r="B153" s="447" t="str">
        <f t="shared" si="47"/>
        <v>48</v>
      </c>
      <c r="C153" s="447" t="str">
        <f t="array" ref="C153">_xlfn.IFS(_xlfn.NUMBERVALUE(B153)&lt;=13,"Q1",AND(_xlfn.NUMBERVALUE(B153)&gt;13,_xlfn.NUMBERVALUE(B153)&lt;=26),"Q2", AND(_xlfn.NUMBERVALUE(B153)&gt;26,_xlfn.NUMBERVALUE(B153)&lt;=39),"Q3",_xlfn.NUMBERVALUE(B153)&gt;39,"Q4")</f>
        <v>Q4</v>
      </c>
      <c r="D153" s="448">
        <f t="shared" si="68"/>
        <v>44919</v>
      </c>
      <c r="E153" s="448">
        <f t="shared" si="48"/>
        <v>44925</v>
      </c>
      <c r="F153" s="79">
        <v>202248</v>
      </c>
      <c r="G153" s="103"/>
      <c r="H153" s="429"/>
      <c r="I153" s="429"/>
      <c r="J153" s="214">
        <f t="shared" si="49"/>
        <v>0</v>
      </c>
      <c r="K153" s="429"/>
      <c r="L153" s="429"/>
      <c r="M153" s="429"/>
      <c r="N153" s="214">
        <f t="shared" si="50"/>
        <v>0</v>
      </c>
      <c r="O153" s="449">
        <f>'Overall Metrics'!L158</f>
        <v>0</v>
      </c>
      <c r="P153" s="449">
        <f>'Overall Metrics'!M158</f>
        <v>0</v>
      </c>
      <c r="Q153" s="449">
        <f>'Overall Metrics'!N158</f>
        <v>0</v>
      </c>
      <c r="R153" s="449">
        <f t="shared" si="51"/>
        <v>0</v>
      </c>
      <c r="S153" s="180">
        <f t="shared" si="52"/>
        <v>0</v>
      </c>
      <c r="T153" s="449">
        <f t="shared" si="53"/>
        <v>0</v>
      </c>
      <c r="U153" s="449">
        <f t="shared" si="54"/>
        <v>0</v>
      </c>
      <c r="V153" s="450" t="str">
        <f t="shared" si="55"/>
        <v/>
      </c>
      <c r="W153" s="450" t="str">
        <f>IF(R153=0,"-",SUMIFS($R$2:R153,$A$2:A153,A153,$C$2:C153,C153)/SUMIFS($J$2:J153,$A$2:A153,A153,$C$2:C153,C153)-1)</f>
        <v>-</v>
      </c>
      <c r="X153" s="450" t="str">
        <f t="shared" si="56"/>
        <v/>
      </c>
      <c r="Y153" s="450" t="str">
        <f>IFERROR(IF(R153=0,"-",SUMIFS($R$2:R153,$A$2:A153,A153,$C$2:C153,C153)/SUMIFS($N$2:N153,$A$2:A153,A153,$C$2:C153,C153)-1),"")</f>
        <v>-</v>
      </c>
      <c r="Z153" s="269" t="str">
        <f>IF(R153=0,"",(S153/VLOOKUP(_xlfn.NUMBERVALUE(_xlfn.CONCAT(LEFT(F153,4),52)),$F$2:T360,COLUMNS($F$2:T360),FALSE)))</f>
        <v/>
      </c>
      <c r="AA153" s="269" t="str">
        <f>IFERROR(IF(R153=0,"",(S153/VLOOKUP(_xlfn.NUMBERVALUE(_xlfn.CONCAT(LEFT(F153,4),52)),$F$2:U360,COLUMNS($F$2:U360),FALSE))),"")</f>
        <v/>
      </c>
      <c r="AB153" s="268" t="str">
        <f t="shared" si="57"/>
        <v/>
      </c>
      <c r="AC153" s="450" t="str">
        <f t="shared" si="58"/>
        <v/>
      </c>
      <c r="AD153" s="450" t="str">
        <f t="shared" si="59"/>
        <v/>
      </c>
      <c r="AE153" s="269" t="str">
        <f t="shared" si="60"/>
        <v/>
      </c>
      <c r="AF153" s="268" t="str">
        <f t="shared" si="61"/>
        <v/>
      </c>
      <c r="AG153" s="450" t="str">
        <f t="shared" si="62"/>
        <v/>
      </c>
      <c r="AH153" s="450" t="str">
        <f t="shared" si="63"/>
        <v/>
      </c>
      <c r="AI153" s="269" t="str">
        <f t="shared" si="64"/>
        <v/>
      </c>
      <c r="AJ153" s="450" t="str">
        <f>IF(O153=0,"-",SUMIFS($O$2:O153,$A$2:A153,$A153,$F$2:F153,"&lt;="&amp;$F153)/SUMIFS($G$2:G153,$A$2:A153,$A153,$F$2:F153,"&lt;="&amp;$F153)-1)</f>
        <v>-</v>
      </c>
      <c r="AK153" s="450" t="str">
        <f>IF(P153=0,"-",SUMIFS($P$2:P153,$A$2:A153,$A153,$F$2:F153,"&lt;="&amp;$F153)/SUMIFS($H$2:H153,$A$2:A153,$A153,$F$2:F153,"&lt;="&amp;$F153)-1)</f>
        <v>-</v>
      </c>
      <c r="AL153" s="450" t="str">
        <f>IF(Q153=0,"-",SUMIFS($Q$2:Q153,$A$2:A153,$A153,$F$2:F153,"&lt;="&amp;$F153)/SUMIFS($I$2:I153,$A$2:A153,$A153,$F$2:F153,"&lt;="&amp;$F153)-1)</f>
        <v>-</v>
      </c>
      <c r="AM153" s="450" t="str">
        <f>IFERROR(IF(O153=0,"-",SUMIFS($O$2:O153,$A$2:A153,$A153,$F$2:F153,"&lt;="&amp;$F153)/SUMIFS($K$2:K153,$A$2:A153,$A153,$F$2:F153,"&lt;="&amp;$F153)-1),"")</f>
        <v>-</v>
      </c>
      <c r="AN153" s="450" t="str">
        <f>IFERROR(IF(P153=0,"-",SUMIFS($P$2:P153,$A$2:A153,$A153,$F$2:F153,"&lt;="&amp;$F153)/SUMIFS($L$2:L153,$A$2:A153,$A153,$F$2:F153,"&lt;="&amp;$F153)-1),"")</f>
        <v>-</v>
      </c>
      <c r="AO153" s="450" t="str">
        <f>IFERROR(IF(Q153=0,"-",SUMIFS($Q$2:Q153,$A$2:A153,$A153,$F$2:F153,"&lt;="&amp;$F153)/SUMIFS($M$2:M153,$A$2:A153,$A153,$F$2:F153,"&lt;="&amp;$F153)-1),"")</f>
        <v>-</v>
      </c>
      <c r="AP153" s="239"/>
      <c r="AQ153" s="452" t="str">
        <f>'Overall Metrics'!AO158</f>
        <v/>
      </c>
      <c r="AR153" s="450" t="str">
        <f t="shared" si="65"/>
        <v/>
      </c>
      <c r="AS153" s="453" t="str">
        <f>IFERROR(IF(R154=0,"-",AVERAGEIFS($AQ$2:AQ153,$A$2:A153,$A153,$F$2:F153,"&lt;="&amp;$F153)-AVERAGEIFS($AP$2:AP153,$A$2:A153,$A153,$F$2:F153,"&lt;="&amp;$F153)),"")</f>
        <v>-</v>
      </c>
      <c r="AT153" s="390" t="str">
        <f>IFERROR(IF(R154=0,"-",AVERAGEIFS($AQ$2:AQ153,$A$2:A153,A153,$C$2:C153,C153)-AVERAGEIFS($AP$2:AP153,$A$2:A153,A153,$C$2:C153,C153)),"")</f>
        <v>-</v>
      </c>
      <c r="AU153" s="819"/>
      <c r="AV153" s="452">
        <f>'Overall Metrics'!AS158</f>
        <v>0</v>
      </c>
      <c r="AW153" s="450" t="str">
        <f t="shared" si="66"/>
        <v/>
      </c>
      <c r="AX153" s="453" t="str">
        <f>IFERROR(IF(R157=0,"-",AVERAGEIFS($AV$2:AV153,$A$2:A153,$A153,$F$2:F153,"&lt;="&amp;$F153)-AVERAGEIFS($AU$2:AU153,$A$2:A153,$A153,$F$2:F153,"&lt;="&amp;$F153)),"")</f>
        <v>-</v>
      </c>
      <c r="AY153" s="453" t="str">
        <f>IFERROR(IF(R157=0,"-",AVERAGEIFS($AV$2:AV153,$A$2:A153,A153,$C$2:C153,C153)-AVERAGEIFS($AU$2:AU153,$A$2:A153,A153,$C$2:C153,C153)),"")</f>
        <v>-</v>
      </c>
      <c r="AZ153" s="86"/>
      <c r="BA153" s="449">
        <f>'Glass Metrics'!AC158</f>
        <v>0</v>
      </c>
      <c r="BB153" s="450" t="str">
        <f t="shared" si="67"/>
        <v/>
      </c>
      <c r="BC153" s="450" t="str">
        <f>IFERROR(IF(R153=0,"-",AVERAGEIFS($BA$2:BA153,$A$2:A153,$A153,$F$2:F153,"&lt;="&amp;$F153)/AVERAGEIFS($AZ$2:AZ153,$A$2:A153,$A153,$F$2:F153,"&lt;="&amp;$F153)-1),"")</f>
        <v>-</v>
      </c>
      <c r="BD153" s="269" t="str">
        <f>IFERROR(IF(R153=0,"-",AVERAGEIFS($BA$2:BA153,$A$2:A153,A153,$C$2:C153,C153)/AVERAGEIFS($AZ$2:AZ153,$A$2:A153,A153,$C$2:C153,C153)-1),"")</f>
        <v>-</v>
      </c>
    </row>
    <row r="154" spans="1:56" ht="16.350000000000001" customHeight="1">
      <c r="A154" s="175">
        <f t="shared" si="46"/>
        <v>2023</v>
      </c>
      <c r="B154" s="447" t="str">
        <f t="shared" si="47"/>
        <v>49</v>
      </c>
      <c r="C154" s="447" t="str">
        <f t="array" ref="C154">_xlfn.IFS(_xlfn.NUMBERVALUE(B154)&lt;=13,"Q1",AND(_xlfn.NUMBERVALUE(B154)&gt;13,_xlfn.NUMBERVALUE(B154)&lt;=26),"Q2", AND(_xlfn.NUMBERVALUE(B154)&gt;26,_xlfn.NUMBERVALUE(B154)&lt;=39),"Q3",_xlfn.NUMBERVALUE(B154)&gt;39,"Q4")</f>
        <v>Q4</v>
      </c>
      <c r="D154" s="448">
        <f t="shared" si="68"/>
        <v>44926</v>
      </c>
      <c r="E154" s="448">
        <f t="shared" si="48"/>
        <v>44932</v>
      </c>
      <c r="F154" s="79">
        <v>202249</v>
      </c>
      <c r="G154" s="103"/>
      <c r="H154" s="429"/>
      <c r="I154" s="429"/>
      <c r="J154" s="214">
        <f t="shared" si="49"/>
        <v>0</v>
      </c>
      <c r="K154" s="429"/>
      <c r="L154" s="429"/>
      <c r="M154" s="429"/>
      <c r="N154" s="214">
        <f t="shared" si="50"/>
        <v>0</v>
      </c>
      <c r="O154" s="449">
        <f>'Overall Metrics'!L159</f>
        <v>0</v>
      </c>
      <c r="P154" s="449">
        <f>'Overall Metrics'!M159</f>
        <v>0</v>
      </c>
      <c r="Q154" s="449">
        <f>'Overall Metrics'!N159</f>
        <v>0</v>
      </c>
      <c r="R154" s="449">
        <f t="shared" si="51"/>
        <v>0</v>
      </c>
      <c r="S154" s="180">
        <f t="shared" si="52"/>
        <v>0</v>
      </c>
      <c r="T154" s="449">
        <f t="shared" si="53"/>
        <v>0</v>
      </c>
      <c r="U154" s="449">
        <f t="shared" si="54"/>
        <v>0</v>
      </c>
      <c r="V154" s="450" t="str">
        <f t="shared" si="55"/>
        <v/>
      </c>
      <c r="W154" s="450" t="str">
        <f>IF(R154=0,"-",SUMIFS($R$2:R154,$A$2:A154,A154,$C$2:C154,C154)/SUMIFS($J$2:J154,$A$2:A154,A154,$C$2:C154,C154)-1)</f>
        <v>-</v>
      </c>
      <c r="X154" s="450" t="str">
        <f t="shared" si="56"/>
        <v/>
      </c>
      <c r="Y154" s="450" t="str">
        <f>IFERROR(IF(R154=0,"-",SUMIFS($R$2:R154,$A$2:A154,A154,$C$2:C154,C154)/SUMIFS($N$2:N154,$A$2:A154,A154,$C$2:C154,C154)-1),"")</f>
        <v>-</v>
      </c>
      <c r="Z154" s="269" t="str">
        <f>IF(R154=0,"",(S154/VLOOKUP(_xlfn.NUMBERVALUE(_xlfn.CONCAT(LEFT(F154,4),52)),$F$2:T361,COLUMNS($F$2:T361),FALSE)))</f>
        <v/>
      </c>
      <c r="AA154" s="269" t="str">
        <f>IFERROR(IF(R154=0,"",(S154/VLOOKUP(_xlfn.NUMBERVALUE(_xlfn.CONCAT(LEFT(F154,4),52)),$F$2:U361,COLUMNS($F$2:U361),FALSE))),"")</f>
        <v/>
      </c>
      <c r="AB154" s="268" t="str">
        <f t="shared" si="57"/>
        <v/>
      </c>
      <c r="AC154" s="450" t="str">
        <f t="shared" si="58"/>
        <v/>
      </c>
      <c r="AD154" s="450" t="str">
        <f t="shared" si="59"/>
        <v/>
      </c>
      <c r="AE154" s="269" t="str">
        <f t="shared" si="60"/>
        <v/>
      </c>
      <c r="AF154" s="268" t="str">
        <f t="shared" si="61"/>
        <v/>
      </c>
      <c r="AG154" s="450" t="str">
        <f t="shared" si="62"/>
        <v/>
      </c>
      <c r="AH154" s="450" t="str">
        <f t="shared" si="63"/>
        <v/>
      </c>
      <c r="AI154" s="269" t="str">
        <f t="shared" si="64"/>
        <v/>
      </c>
      <c r="AJ154" s="450" t="str">
        <f>IF(O154=0,"-",SUMIFS($O$2:O154,$A$2:A154,$A154,$F$2:F154,"&lt;="&amp;$F154)/SUMIFS($G$2:G154,$A$2:A154,$A154,$F$2:F154,"&lt;="&amp;$F154)-1)</f>
        <v>-</v>
      </c>
      <c r="AK154" s="450" t="str">
        <f>IF(P154=0,"-",SUMIFS($P$2:P154,$A$2:A154,$A154,$F$2:F154,"&lt;="&amp;$F154)/SUMIFS($H$2:H154,$A$2:A154,$A154,$F$2:F154,"&lt;="&amp;$F154)-1)</f>
        <v>-</v>
      </c>
      <c r="AL154" s="450" t="str">
        <f>IF(Q154=0,"-",SUMIFS($Q$2:Q154,$A$2:A154,$A154,$F$2:F154,"&lt;="&amp;$F154)/SUMIFS($I$2:I154,$A$2:A154,$A154,$F$2:F154,"&lt;="&amp;$F154)-1)</f>
        <v>-</v>
      </c>
      <c r="AM154" s="450" t="str">
        <f>IFERROR(IF(O154=0,"-",SUMIFS($O$2:O154,$A$2:A154,$A154,$F$2:F154,"&lt;="&amp;$F154)/SUMIFS($K$2:K154,$A$2:A154,$A154,$F$2:F154,"&lt;="&amp;$F154)-1),"")</f>
        <v>-</v>
      </c>
      <c r="AN154" s="450" t="str">
        <f>IFERROR(IF(P154=0,"-",SUMIFS($P$2:P154,$A$2:A154,$A154,$F$2:F154,"&lt;="&amp;$F154)/SUMIFS($L$2:L154,$A$2:A154,$A154,$F$2:F154,"&lt;="&amp;$F154)-1),"")</f>
        <v>-</v>
      </c>
      <c r="AO154" s="450" t="str">
        <f>IFERROR(IF(Q154=0,"-",SUMIFS($Q$2:Q154,$A$2:A154,$A154,$F$2:F154,"&lt;="&amp;$F154)/SUMIFS($M$2:M154,$A$2:A154,$A154,$F$2:F154,"&lt;="&amp;$F154)-1),"")</f>
        <v>-</v>
      </c>
      <c r="AP154" s="239"/>
      <c r="AQ154" s="452" t="str">
        <f>'Overall Metrics'!AO159</f>
        <v/>
      </c>
      <c r="AR154" s="450" t="str">
        <f t="shared" si="65"/>
        <v/>
      </c>
      <c r="AS154" s="453" t="str">
        <f>IFERROR(IF(R155=0,"-",AVERAGEIFS($AQ$2:AQ154,$A$2:A154,$A154,$F$2:F154,"&lt;="&amp;$F154)-AVERAGEIFS($AP$2:AP154,$A$2:A154,$A154,$F$2:F154,"&lt;="&amp;$F154)),"")</f>
        <v>-</v>
      </c>
      <c r="AT154" s="390" t="str">
        <f>IFERROR(IF(R155=0,"-",AVERAGEIFS($AQ$2:AQ154,$A$2:A154,A154,$C$2:C154,C154)-AVERAGEIFS($AP$2:AP154,$A$2:A154,A154,$C$2:C154,C154)),"")</f>
        <v>-</v>
      </c>
      <c r="AU154" s="819"/>
      <c r="AV154" s="452">
        <f>'Overall Metrics'!AS159</f>
        <v>0</v>
      </c>
      <c r="AW154" s="450" t="str">
        <f t="shared" si="66"/>
        <v/>
      </c>
      <c r="AX154" s="453" t="str">
        <f>IFERROR(IF(R158=0,"-",AVERAGEIFS($AV$2:AV154,$A$2:A154,$A154,$F$2:F154,"&lt;="&amp;$F154)-AVERAGEIFS($AU$2:AU154,$A$2:A154,$A154,$F$2:F154,"&lt;="&amp;$F154)),"")</f>
        <v>-</v>
      </c>
      <c r="AY154" s="453" t="str">
        <f>IFERROR(IF(R158=0,"-",AVERAGEIFS($AV$2:AV154,$A$2:A154,A154,$C$2:C154,C154)-AVERAGEIFS($AU$2:AU154,$A$2:A154,A154,$C$2:C154,C154)),"")</f>
        <v>-</v>
      </c>
      <c r="AZ154" s="86"/>
      <c r="BA154" s="449">
        <f>'Glass Metrics'!AC159</f>
        <v>0</v>
      </c>
      <c r="BB154" s="450" t="str">
        <f t="shared" si="67"/>
        <v/>
      </c>
      <c r="BC154" s="450" t="str">
        <f>IFERROR(IF(R154=0,"-",AVERAGEIFS($BA$2:BA154,$A$2:A154,$A154,$F$2:F154,"&lt;="&amp;$F154)/AVERAGEIFS($AZ$2:AZ154,$A$2:A154,$A154,$F$2:F154,"&lt;="&amp;$F154)-1),"")</f>
        <v>-</v>
      </c>
      <c r="BD154" s="269" t="str">
        <f>IFERROR(IF(R154=0,"-",AVERAGEIFS($BA$2:BA154,$A$2:A154,A154,$C$2:C154,C154)/AVERAGEIFS($AZ$2:AZ154,$A$2:A154,A154,$C$2:C154,C154)-1),"")</f>
        <v>-</v>
      </c>
    </row>
    <row r="155" spans="1:56" ht="16.350000000000001" customHeight="1">
      <c r="A155" s="175">
        <f t="shared" si="46"/>
        <v>2023</v>
      </c>
      <c r="B155" s="447" t="str">
        <f t="shared" si="47"/>
        <v>50</v>
      </c>
      <c r="C155" s="447" t="str">
        <f t="array" ref="C155">_xlfn.IFS(_xlfn.NUMBERVALUE(B155)&lt;=13,"Q1",AND(_xlfn.NUMBERVALUE(B155)&gt;13,_xlfn.NUMBERVALUE(B155)&lt;=26),"Q2", AND(_xlfn.NUMBERVALUE(B155)&gt;26,_xlfn.NUMBERVALUE(B155)&lt;=39),"Q3",_xlfn.NUMBERVALUE(B155)&gt;39,"Q4")</f>
        <v>Q4</v>
      </c>
      <c r="D155" s="448">
        <f t="shared" si="68"/>
        <v>44933</v>
      </c>
      <c r="E155" s="448">
        <f t="shared" si="48"/>
        <v>44939</v>
      </c>
      <c r="F155" s="79">
        <v>202250</v>
      </c>
      <c r="G155" s="103"/>
      <c r="H155" s="429"/>
      <c r="I155" s="429"/>
      <c r="J155" s="214">
        <f t="shared" si="49"/>
        <v>0</v>
      </c>
      <c r="K155" s="429"/>
      <c r="L155" s="429"/>
      <c r="M155" s="429"/>
      <c r="N155" s="214">
        <f t="shared" si="50"/>
        <v>0</v>
      </c>
      <c r="O155" s="449">
        <f>'Overall Metrics'!L160</f>
        <v>0</v>
      </c>
      <c r="P155" s="449">
        <f>'Overall Metrics'!M160</f>
        <v>0</v>
      </c>
      <c r="Q155" s="449">
        <f>'Overall Metrics'!N160</f>
        <v>0</v>
      </c>
      <c r="R155" s="449">
        <f t="shared" si="51"/>
        <v>0</v>
      </c>
      <c r="S155" s="180">
        <f t="shared" si="52"/>
        <v>0</v>
      </c>
      <c r="T155" s="449">
        <f t="shared" si="53"/>
        <v>0</v>
      </c>
      <c r="U155" s="449">
        <f t="shared" si="54"/>
        <v>0</v>
      </c>
      <c r="V155" s="450" t="str">
        <f t="shared" si="55"/>
        <v/>
      </c>
      <c r="W155" s="450" t="str">
        <f>IF(R155=0,"-",SUMIFS($R$2:R155,$A$2:A155,A155,$C$2:C155,C155)/SUMIFS($J$2:J155,$A$2:A155,A155,$C$2:C155,C155)-1)</f>
        <v>-</v>
      </c>
      <c r="X155" s="450" t="str">
        <f t="shared" si="56"/>
        <v/>
      </c>
      <c r="Y155" s="450" t="str">
        <f>IFERROR(IF(R155=0,"-",SUMIFS($R$2:R155,$A$2:A155,A155,$C$2:C155,C155)/SUMIFS($N$2:N155,$A$2:A155,A155,$C$2:C155,C155)-1),"")</f>
        <v>-</v>
      </c>
      <c r="Z155" s="269" t="str">
        <f>IF(R155=0,"",(S155/VLOOKUP(_xlfn.NUMBERVALUE(_xlfn.CONCAT(LEFT(F155,4),52)),$F$2:T362,COLUMNS($F$2:T362),FALSE)))</f>
        <v/>
      </c>
      <c r="AA155" s="269" t="str">
        <f>IFERROR(IF(R155=0,"",(S155/VLOOKUP(_xlfn.NUMBERVALUE(_xlfn.CONCAT(LEFT(F155,4),52)),$F$2:U362,COLUMNS($F$2:U362),FALSE))),"")</f>
        <v/>
      </c>
      <c r="AB155" s="268" t="str">
        <f t="shared" si="57"/>
        <v/>
      </c>
      <c r="AC155" s="450" t="str">
        <f t="shared" si="58"/>
        <v/>
      </c>
      <c r="AD155" s="450" t="str">
        <f t="shared" si="59"/>
        <v/>
      </c>
      <c r="AE155" s="269" t="str">
        <f t="shared" si="60"/>
        <v/>
      </c>
      <c r="AF155" s="268" t="str">
        <f t="shared" si="61"/>
        <v/>
      </c>
      <c r="AG155" s="450" t="str">
        <f t="shared" si="62"/>
        <v/>
      </c>
      <c r="AH155" s="450" t="str">
        <f t="shared" si="63"/>
        <v/>
      </c>
      <c r="AI155" s="269" t="str">
        <f t="shared" si="64"/>
        <v/>
      </c>
      <c r="AJ155" s="450" t="str">
        <f>IF(O155=0,"-",SUMIFS($O$2:O155,$A$2:A155,$A155,$F$2:F155,"&lt;="&amp;$F155)/SUMIFS($G$2:G155,$A$2:A155,$A155,$F$2:F155,"&lt;="&amp;$F155)-1)</f>
        <v>-</v>
      </c>
      <c r="AK155" s="450" t="str">
        <f>IF(P155=0,"-",SUMIFS($P$2:P155,$A$2:A155,$A155,$F$2:F155,"&lt;="&amp;$F155)/SUMIFS($H$2:H155,$A$2:A155,$A155,$F$2:F155,"&lt;="&amp;$F155)-1)</f>
        <v>-</v>
      </c>
      <c r="AL155" s="450" t="str">
        <f>IF(Q155=0,"-",SUMIFS($Q$2:Q155,$A$2:A155,$A155,$F$2:F155,"&lt;="&amp;$F155)/SUMIFS($I$2:I155,$A$2:A155,$A155,$F$2:F155,"&lt;="&amp;$F155)-1)</f>
        <v>-</v>
      </c>
      <c r="AM155" s="450" t="str">
        <f>IFERROR(IF(O155=0,"-",SUMIFS($O$2:O155,$A$2:A155,$A155,$F$2:F155,"&lt;="&amp;$F155)/SUMIFS($K$2:K155,$A$2:A155,$A155,$F$2:F155,"&lt;="&amp;$F155)-1),"")</f>
        <v>-</v>
      </c>
      <c r="AN155" s="450" t="str">
        <f>IFERROR(IF(P155=0,"-",SUMIFS($P$2:P155,$A$2:A155,$A155,$F$2:F155,"&lt;="&amp;$F155)/SUMIFS($L$2:L155,$A$2:A155,$A155,$F$2:F155,"&lt;="&amp;$F155)-1),"")</f>
        <v>-</v>
      </c>
      <c r="AO155" s="450" t="str">
        <f>IFERROR(IF(Q155=0,"-",SUMIFS($Q$2:Q155,$A$2:A155,$A155,$F$2:F155,"&lt;="&amp;$F155)/SUMIFS($M$2:M155,$A$2:A155,$A155,$F$2:F155,"&lt;="&amp;$F155)-1),"")</f>
        <v>-</v>
      </c>
      <c r="AP155" s="239"/>
      <c r="AQ155" s="452" t="str">
        <f>'Overall Metrics'!AO160</f>
        <v/>
      </c>
      <c r="AR155" s="450" t="str">
        <f t="shared" si="65"/>
        <v/>
      </c>
      <c r="AS155" s="453" t="str">
        <f>IFERROR(IF(R156=0,"-",AVERAGEIFS($AQ$2:AQ155,$A$2:A155,$A155,$F$2:F155,"&lt;="&amp;$F155)-AVERAGEIFS($AP$2:AP155,$A$2:A155,$A155,$F$2:F155,"&lt;="&amp;$F155)),"")</f>
        <v>-</v>
      </c>
      <c r="AT155" s="390" t="str">
        <f>IFERROR(IF(R156=0,"-",AVERAGEIFS($AQ$2:AQ155,$A$2:A155,A155,$C$2:C155,C155)-AVERAGEIFS($AP$2:AP155,$A$2:A155,A155,$C$2:C155,C155)),"")</f>
        <v>-</v>
      </c>
      <c r="AU155" s="819"/>
      <c r="AV155" s="452">
        <f>'Overall Metrics'!AS160</f>
        <v>0</v>
      </c>
      <c r="AW155" s="450" t="str">
        <f t="shared" si="66"/>
        <v/>
      </c>
      <c r="AX155" s="453" t="str">
        <f>IFERROR(IF(R159=0,"-",AVERAGEIFS($AV$2:AV155,$A$2:A155,$A155,$F$2:F155,"&lt;="&amp;$F155)-AVERAGEIFS($AU$2:AU155,$A$2:A155,$A155,$F$2:F155,"&lt;="&amp;$F155)),"")</f>
        <v>-</v>
      </c>
      <c r="AY155" s="453" t="str">
        <f>IFERROR(IF(R159=0,"-",AVERAGEIFS($AV$2:AV155,$A$2:A155,A155,$C$2:C155,C155)-AVERAGEIFS($AU$2:AU155,$A$2:A155,A155,$C$2:C155,C155)),"")</f>
        <v>-</v>
      </c>
      <c r="AZ155" s="86"/>
      <c r="BA155" s="449">
        <f>'Glass Metrics'!AC160</f>
        <v>0</v>
      </c>
      <c r="BB155" s="450" t="str">
        <f t="shared" si="67"/>
        <v/>
      </c>
      <c r="BC155" s="450" t="str">
        <f>IFERROR(IF(R155=0,"-",AVERAGEIFS($BA$2:BA155,$A$2:A155,$A155,$F$2:F155,"&lt;="&amp;$F155)/AVERAGEIFS($AZ$2:AZ155,$A$2:A155,$A155,$F$2:F155,"&lt;="&amp;$F155)-1),"")</f>
        <v>-</v>
      </c>
      <c r="BD155" s="269" t="str">
        <f>IFERROR(IF(R155=0,"-",AVERAGEIFS($BA$2:BA155,$A$2:A155,A155,$C$2:C155,C155)/AVERAGEIFS($AZ$2:AZ155,$A$2:A155,A155,$C$2:C155,C155)-1),"")</f>
        <v>-</v>
      </c>
    </row>
    <row r="156" spans="1:56" ht="16.350000000000001" customHeight="1">
      <c r="A156" s="175">
        <f t="shared" si="46"/>
        <v>2023</v>
      </c>
      <c r="B156" s="447" t="str">
        <f t="shared" si="47"/>
        <v>51</v>
      </c>
      <c r="C156" s="447" t="str">
        <f t="array" ref="C156">_xlfn.IFS(_xlfn.NUMBERVALUE(B156)&lt;=13,"Q1",AND(_xlfn.NUMBERVALUE(B156)&gt;13,_xlfn.NUMBERVALUE(B156)&lt;=26),"Q2", AND(_xlfn.NUMBERVALUE(B156)&gt;26,_xlfn.NUMBERVALUE(B156)&lt;=39),"Q3",_xlfn.NUMBERVALUE(B156)&gt;39,"Q4")</f>
        <v>Q4</v>
      </c>
      <c r="D156" s="448">
        <f t="shared" si="68"/>
        <v>44940</v>
      </c>
      <c r="E156" s="448">
        <f t="shared" si="48"/>
        <v>44946</v>
      </c>
      <c r="F156" s="79">
        <v>202251</v>
      </c>
      <c r="G156" s="103"/>
      <c r="H156" s="429"/>
      <c r="I156" s="429"/>
      <c r="J156" s="214">
        <f t="shared" si="49"/>
        <v>0</v>
      </c>
      <c r="K156" s="429"/>
      <c r="L156" s="429"/>
      <c r="M156" s="429"/>
      <c r="N156" s="214">
        <f t="shared" si="50"/>
        <v>0</v>
      </c>
      <c r="O156" s="449">
        <f>'Overall Metrics'!L161</f>
        <v>0</v>
      </c>
      <c r="P156" s="449">
        <f>'Overall Metrics'!M161</f>
        <v>0</v>
      </c>
      <c r="Q156" s="449">
        <f>'Overall Metrics'!N161</f>
        <v>0</v>
      </c>
      <c r="R156" s="449">
        <f t="shared" si="51"/>
        <v>0</v>
      </c>
      <c r="S156" s="180">
        <f t="shared" si="52"/>
        <v>0</v>
      </c>
      <c r="T156" s="449">
        <f t="shared" si="53"/>
        <v>0</v>
      </c>
      <c r="U156" s="449">
        <f t="shared" si="54"/>
        <v>0</v>
      </c>
      <c r="V156" s="450" t="str">
        <f t="shared" si="55"/>
        <v/>
      </c>
      <c r="W156" s="450" t="str">
        <f>IF(R156=0,"-",SUMIFS($R$2:R156,$A$2:A156,A156,$C$2:C156,C156)/SUMIFS($J$2:J156,$A$2:A156,A156,$C$2:C156,C156)-1)</f>
        <v>-</v>
      </c>
      <c r="X156" s="450" t="str">
        <f t="shared" si="56"/>
        <v/>
      </c>
      <c r="Y156" s="450" t="str">
        <f>IFERROR(IF(R156=0,"-",SUMIFS($R$2:R156,$A$2:A156,A156,$C$2:C156,C156)/SUMIFS($N$2:N156,$A$2:A156,A156,$C$2:C156,C156)-1),"")</f>
        <v>-</v>
      </c>
      <c r="Z156" s="269" t="str">
        <f>IF(R156=0,"",(S156/VLOOKUP(_xlfn.NUMBERVALUE(_xlfn.CONCAT(LEFT(F156,4),52)),$F$2:T363,COLUMNS($F$2:T363),FALSE)))</f>
        <v/>
      </c>
      <c r="AA156" s="269" t="str">
        <f>IFERROR(IF(R156=0,"",(S156/VLOOKUP(_xlfn.NUMBERVALUE(_xlfn.CONCAT(LEFT(F156,4),52)),$F$2:U363,COLUMNS($F$2:U363),FALSE))),"")</f>
        <v/>
      </c>
      <c r="AB156" s="268" t="str">
        <f t="shared" si="57"/>
        <v/>
      </c>
      <c r="AC156" s="450" t="str">
        <f t="shared" si="58"/>
        <v/>
      </c>
      <c r="AD156" s="450" t="str">
        <f t="shared" si="59"/>
        <v/>
      </c>
      <c r="AE156" s="269" t="str">
        <f t="shared" si="60"/>
        <v/>
      </c>
      <c r="AF156" s="268" t="str">
        <f t="shared" si="61"/>
        <v/>
      </c>
      <c r="AG156" s="450" t="str">
        <f t="shared" si="62"/>
        <v/>
      </c>
      <c r="AH156" s="450" t="str">
        <f t="shared" si="63"/>
        <v/>
      </c>
      <c r="AI156" s="269" t="str">
        <f t="shared" si="64"/>
        <v/>
      </c>
      <c r="AJ156" s="450" t="str">
        <f>IF(O156=0,"-",SUMIFS($O$2:O156,$A$2:A156,$A156,$F$2:F156,"&lt;="&amp;$F156)/SUMIFS($G$2:G156,$A$2:A156,$A156,$F$2:F156,"&lt;="&amp;$F156)-1)</f>
        <v>-</v>
      </c>
      <c r="AK156" s="450" t="str">
        <f>IF(P156=0,"-",SUMIFS($P$2:P156,$A$2:A156,$A156,$F$2:F156,"&lt;="&amp;$F156)/SUMIFS($H$2:H156,$A$2:A156,$A156,$F$2:F156,"&lt;="&amp;$F156)-1)</f>
        <v>-</v>
      </c>
      <c r="AL156" s="450" t="str">
        <f>IF(Q156=0,"-",SUMIFS($Q$2:Q156,$A$2:A156,$A156,$F$2:F156,"&lt;="&amp;$F156)/SUMIFS($I$2:I156,$A$2:A156,$A156,$F$2:F156,"&lt;="&amp;$F156)-1)</f>
        <v>-</v>
      </c>
      <c r="AM156" s="450" t="str">
        <f>IFERROR(IF(O156=0,"-",SUMIFS($O$2:O156,$A$2:A156,$A156,$F$2:F156,"&lt;="&amp;$F156)/SUMIFS($K$2:K156,$A$2:A156,$A156,$F$2:F156,"&lt;="&amp;$F156)-1),"")</f>
        <v>-</v>
      </c>
      <c r="AN156" s="450" t="str">
        <f>IFERROR(IF(P156=0,"-",SUMIFS($P$2:P156,$A$2:A156,$A156,$F$2:F156,"&lt;="&amp;$F156)/SUMIFS($L$2:L156,$A$2:A156,$A156,$F$2:F156,"&lt;="&amp;$F156)-1),"")</f>
        <v>-</v>
      </c>
      <c r="AO156" s="450" t="str">
        <f>IFERROR(IF(Q156=0,"-",SUMIFS($Q$2:Q156,$A$2:A156,$A156,$F$2:F156,"&lt;="&amp;$F156)/SUMIFS($M$2:M156,$A$2:A156,$A156,$F$2:F156,"&lt;="&amp;$F156)-1),"")</f>
        <v>-</v>
      </c>
      <c r="AP156" s="239"/>
      <c r="AQ156" s="452" t="str">
        <f>'Overall Metrics'!AO161</f>
        <v/>
      </c>
      <c r="AR156" s="450" t="str">
        <f t="shared" si="65"/>
        <v/>
      </c>
      <c r="AS156" s="453" t="str">
        <f>IFERROR(IF(R157=0,"-",AVERAGEIFS($AQ$2:AQ156,$A$2:A156,$A156,$F$2:F156,"&lt;="&amp;$F156)-AVERAGEIFS($AP$2:AP156,$A$2:A156,$A156,$F$2:F156,"&lt;="&amp;$F156)),"")</f>
        <v>-</v>
      </c>
      <c r="AT156" s="390" t="str">
        <f>IFERROR(IF(R157=0,"-",AVERAGEIFS($AQ$2:AQ156,$A$2:A156,A156,$C$2:C156,C156)-AVERAGEIFS($AP$2:AP156,$A$2:A156,A156,$C$2:C156,C156)),"")</f>
        <v>-</v>
      </c>
      <c r="AU156" s="819"/>
      <c r="AV156" s="452">
        <f>'Overall Metrics'!AS161</f>
        <v>0</v>
      </c>
      <c r="AW156" s="450" t="str">
        <f t="shared" si="66"/>
        <v/>
      </c>
      <c r="AX156" s="453" t="str">
        <f>IFERROR(IF(R160=0,"-",AVERAGEIFS($AV$2:AV156,$A$2:A156,$A156,$F$2:F156,"&lt;="&amp;$F156)-AVERAGEIFS($AU$2:AU156,$A$2:A156,$A156,$F$2:F156,"&lt;="&amp;$F156)),"")</f>
        <v>-</v>
      </c>
      <c r="AY156" s="453" t="str">
        <f>IFERROR(IF(R160=0,"-",AVERAGEIFS($AV$2:AV156,$A$2:A156,A156,$C$2:C156,C156)-AVERAGEIFS($AU$2:AU156,$A$2:A156,A156,$C$2:C156,C156)),"")</f>
        <v>-</v>
      </c>
      <c r="AZ156" s="86"/>
      <c r="BA156" s="449">
        <f>'Glass Metrics'!AC161</f>
        <v>0</v>
      </c>
      <c r="BB156" s="450" t="str">
        <f t="shared" si="67"/>
        <v/>
      </c>
      <c r="BC156" s="450" t="str">
        <f>IFERROR(IF(R156=0,"-",AVERAGEIFS($BA$2:BA156,$A$2:A156,$A156,$F$2:F156,"&lt;="&amp;$F156)/AVERAGEIFS($AZ$2:AZ156,$A$2:A156,$A156,$F$2:F156,"&lt;="&amp;$F156)-1),"")</f>
        <v>-</v>
      </c>
      <c r="BD156" s="269" t="str">
        <f>IFERROR(IF(R156=0,"-",AVERAGEIFS($BA$2:BA156,$A$2:A156,A156,$C$2:C156,C156)/AVERAGEIFS($AZ$2:AZ156,$A$2:A156,A156,$C$2:C156,C156)-1),"")</f>
        <v>-</v>
      </c>
    </row>
    <row r="157" spans="1:56" ht="16.350000000000001" customHeight="1">
      <c r="A157" s="175">
        <f t="shared" si="46"/>
        <v>2023</v>
      </c>
      <c r="B157" s="447" t="str">
        <f t="shared" si="47"/>
        <v>52</v>
      </c>
      <c r="C157" s="447" t="str">
        <f t="array" ref="C157">_xlfn.IFS(_xlfn.NUMBERVALUE(B157)&lt;=13,"Q1",AND(_xlfn.NUMBERVALUE(B157)&gt;13,_xlfn.NUMBERVALUE(B157)&lt;=26),"Q2", AND(_xlfn.NUMBERVALUE(B157)&gt;26,_xlfn.NUMBERVALUE(B157)&lt;=39),"Q3",_xlfn.NUMBERVALUE(B157)&gt;39,"Q4")</f>
        <v>Q4</v>
      </c>
      <c r="D157" s="448">
        <f t="shared" si="68"/>
        <v>44947</v>
      </c>
      <c r="E157" s="448">
        <f t="shared" si="48"/>
        <v>44953</v>
      </c>
      <c r="F157" s="79">
        <v>202252</v>
      </c>
      <c r="G157" s="103"/>
      <c r="H157" s="429"/>
      <c r="I157" s="429"/>
      <c r="J157" s="214">
        <f t="shared" si="49"/>
        <v>0</v>
      </c>
      <c r="K157" s="429"/>
      <c r="L157" s="429"/>
      <c r="M157" s="429"/>
      <c r="N157" s="214">
        <f t="shared" si="50"/>
        <v>0</v>
      </c>
      <c r="O157" s="449">
        <f>'Overall Metrics'!L162</f>
        <v>0</v>
      </c>
      <c r="P157" s="449">
        <f>'Overall Metrics'!M162</f>
        <v>0</v>
      </c>
      <c r="Q157" s="449">
        <f>'Overall Metrics'!N162</f>
        <v>0</v>
      </c>
      <c r="R157" s="449">
        <f t="shared" si="51"/>
        <v>0</v>
      </c>
      <c r="S157" s="180">
        <f t="shared" si="52"/>
        <v>0</v>
      </c>
      <c r="T157" s="449">
        <f t="shared" si="53"/>
        <v>0</v>
      </c>
      <c r="U157" s="449">
        <f t="shared" si="54"/>
        <v>0</v>
      </c>
      <c r="V157" s="450" t="str">
        <f t="shared" si="55"/>
        <v/>
      </c>
      <c r="W157" s="450" t="str">
        <f>IF(R157=0,"-",SUMIFS($R$2:R157,$A$2:A157,A157,$C$2:C157,C157)/SUMIFS($J$2:J157,$A$2:A157,A157,$C$2:C157,C157)-1)</f>
        <v>-</v>
      </c>
      <c r="X157" s="450" t="str">
        <f t="shared" si="56"/>
        <v/>
      </c>
      <c r="Y157" s="450" t="str">
        <f>IFERROR(IF(R157=0,"-",SUMIFS($R$2:R157,$A$2:A157,A157,$C$2:C157,C157)/SUMIFS($N$2:N157,$A$2:A157,A157,$C$2:C157,C157)-1),"")</f>
        <v>-</v>
      </c>
      <c r="Z157" s="269" t="str">
        <f>IF(R157=0,"",(S157/VLOOKUP(_xlfn.NUMBERVALUE(_xlfn.CONCAT(LEFT(F157,4),52)),$F$2:T364,COLUMNS($F$2:T364),FALSE)))</f>
        <v/>
      </c>
      <c r="AA157" s="269" t="str">
        <f>IFERROR(IF(R157=0,"",(S157/VLOOKUP(_xlfn.NUMBERVALUE(_xlfn.CONCAT(LEFT(F157,4),52)),$F$2:U364,COLUMNS($F$2:U364),FALSE))),"")</f>
        <v/>
      </c>
      <c r="AB157" s="268" t="str">
        <f t="shared" si="57"/>
        <v/>
      </c>
      <c r="AC157" s="450" t="str">
        <f t="shared" si="58"/>
        <v/>
      </c>
      <c r="AD157" s="450" t="str">
        <f t="shared" si="59"/>
        <v/>
      </c>
      <c r="AE157" s="269" t="str">
        <f t="shared" si="60"/>
        <v/>
      </c>
      <c r="AF157" s="268" t="str">
        <f t="shared" si="61"/>
        <v/>
      </c>
      <c r="AG157" s="450" t="str">
        <f t="shared" si="62"/>
        <v/>
      </c>
      <c r="AH157" s="450" t="str">
        <f t="shared" si="63"/>
        <v/>
      </c>
      <c r="AI157" s="269" t="str">
        <f t="shared" si="64"/>
        <v/>
      </c>
      <c r="AJ157" s="450" t="str">
        <f>IF(O157=0,"-",SUMIFS($O$2:O157,$A$2:A157,$A157,$F$2:F157,"&lt;="&amp;$F157)/SUMIFS($G$2:G157,$A$2:A157,$A157,$F$2:F157,"&lt;="&amp;$F157)-1)</f>
        <v>-</v>
      </c>
      <c r="AK157" s="450" t="str">
        <f>IF(P157=0,"-",SUMIFS($P$2:P157,$A$2:A157,$A157,$F$2:F157,"&lt;="&amp;$F157)/SUMIFS($H$2:H157,$A$2:A157,$A157,$F$2:F157,"&lt;="&amp;$F157)-1)</f>
        <v>-</v>
      </c>
      <c r="AL157" s="450" t="str">
        <f>IF(Q157=0,"-",SUMIFS($Q$2:Q157,$A$2:A157,$A157,$F$2:F157,"&lt;="&amp;$F157)/SUMIFS($I$2:I157,$A$2:A157,$A157,$F$2:F157,"&lt;="&amp;$F157)-1)</f>
        <v>-</v>
      </c>
      <c r="AM157" s="450" t="str">
        <f>IFERROR(IF(O157=0,"-",SUMIFS($O$2:O157,$A$2:A157,$A157,$F$2:F157,"&lt;="&amp;$F157)/SUMIFS($K$2:K157,$A$2:A157,$A157,$F$2:F157,"&lt;="&amp;$F157)-1),"")</f>
        <v>-</v>
      </c>
      <c r="AN157" s="450" t="str">
        <f>IFERROR(IF(P157=0,"-",SUMIFS($P$2:P157,$A$2:A157,$A157,$F$2:F157,"&lt;="&amp;$F157)/SUMIFS($L$2:L157,$A$2:A157,$A157,$F$2:F157,"&lt;="&amp;$F157)-1),"")</f>
        <v>-</v>
      </c>
      <c r="AO157" s="450" t="str">
        <f>IFERROR(IF(Q157=0,"-",SUMIFS($Q$2:Q157,$A$2:A157,$A157,$F$2:F157,"&lt;="&amp;$F157)/SUMIFS($M$2:M157,$A$2:A157,$A157,$F$2:F157,"&lt;="&amp;$F157)-1),"")</f>
        <v>-</v>
      </c>
      <c r="AP157" s="239"/>
      <c r="AQ157" s="452" t="str">
        <f>'Overall Metrics'!AO162</f>
        <v/>
      </c>
      <c r="AR157" s="450" t="str">
        <f t="shared" si="65"/>
        <v/>
      </c>
      <c r="AS157" s="453" t="str">
        <f>IFERROR(IF(R158=0,"-",AVERAGEIFS($AQ$2:AQ157,$A$2:A157,$A157,$F$2:F157,"&lt;="&amp;$F157)-AVERAGEIFS($AP$2:AP157,$A$2:A157,$A157,$F$2:F157,"&lt;="&amp;$F157)),"")</f>
        <v>-</v>
      </c>
      <c r="AT157" s="390" t="str">
        <f>IFERROR(IF(R158=0,"-",AVERAGEIFS($AQ$2:AQ157,$A$2:A157,A157,$C$2:C157,C157)-AVERAGEIFS($AP$2:AP157,$A$2:A157,A157,$C$2:C157,C157)),"")</f>
        <v>-</v>
      </c>
      <c r="AU157" s="819"/>
      <c r="AV157" s="452">
        <f>'Overall Metrics'!AS162</f>
        <v>0</v>
      </c>
      <c r="AW157" s="450" t="str">
        <f t="shared" si="66"/>
        <v/>
      </c>
      <c r="AX157" s="453" t="str">
        <f>IFERROR(IF(R161=0,"-",AVERAGEIFS($AV$2:AV157,$A$2:A157,$A157,$F$2:F157,"&lt;="&amp;$F157)-AVERAGEIFS($AU$2:AU157,$A$2:A157,$A157,$F$2:F157,"&lt;="&amp;$F157)),"")</f>
        <v>-</v>
      </c>
      <c r="AY157" s="453" t="str">
        <f>IFERROR(IF(R161=0,"-",AVERAGEIFS($AV$2:AV157,$A$2:A157,A157,$C$2:C157,C157)-AVERAGEIFS($AU$2:AU157,$A$2:A157,A157,$C$2:C157,C157)),"")</f>
        <v>-</v>
      </c>
      <c r="AZ157" s="86"/>
      <c r="BA157" s="449">
        <f>'Glass Metrics'!AC162</f>
        <v>0</v>
      </c>
      <c r="BB157" s="450" t="str">
        <f t="shared" si="67"/>
        <v/>
      </c>
      <c r="BC157" s="450" t="str">
        <f>IFERROR(IF(R157=0,"-",AVERAGEIFS($BA$2:BA157,$A$2:A157,$A157,$F$2:F157,"&lt;="&amp;$F157)/AVERAGEIFS($AZ$2:AZ157,$A$2:A157,$A157,$F$2:F157,"&lt;="&amp;$F157)-1),"")</f>
        <v>-</v>
      </c>
      <c r="BD157" s="269" t="str">
        <f>IFERROR(IF(R157=0,"-",AVERAGEIFS($BA$2:BA157,$A$2:A157,A157,$C$2:C157,C157)/AVERAGEIFS($AZ$2:AZ157,$A$2:A157,A157,$C$2:C157,C157)-1),"")</f>
        <v>-</v>
      </c>
    </row>
    <row r="158" spans="1:56" ht="16.350000000000001" customHeight="1">
      <c r="A158" s="175">
        <f t="shared" si="46"/>
        <v>2024</v>
      </c>
      <c r="B158" s="447" t="str">
        <f t="shared" si="47"/>
        <v>01</v>
      </c>
      <c r="C158" s="447" t="str">
        <f t="array" ref="C158">_xlfn.IFS(_xlfn.NUMBERVALUE(B158)&lt;=13,"Q1",AND(_xlfn.NUMBERVALUE(B158)&gt;13,_xlfn.NUMBERVALUE(B158)&lt;=26),"Q2", AND(_xlfn.NUMBERVALUE(B158)&gt;26,_xlfn.NUMBERVALUE(B158)&lt;=39),"Q3",_xlfn.NUMBERVALUE(B158)&gt;39,"Q4")</f>
        <v>Q1</v>
      </c>
      <c r="D158" s="448">
        <f t="shared" si="68"/>
        <v>44954</v>
      </c>
      <c r="E158" s="448">
        <f t="shared" si="48"/>
        <v>44960</v>
      </c>
      <c r="F158" s="79">
        <v>202301</v>
      </c>
      <c r="G158" s="103"/>
      <c r="H158" s="429"/>
      <c r="I158" s="429"/>
      <c r="J158" s="214">
        <f t="shared" si="49"/>
        <v>0</v>
      </c>
      <c r="K158" s="429"/>
      <c r="L158" s="429"/>
      <c r="M158" s="429"/>
      <c r="N158" s="214">
        <f t="shared" si="50"/>
        <v>0</v>
      </c>
      <c r="O158" s="449">
        <f>'Overall Metrics'!L163</f>
        <v>0</v>
      </c>
      <c r="P158" s="449">
        <f>'Overall Metrics'!M163</f>
        <v>0</v>
      </c>
      <c r="Q158" s="449">
        <f>'Overall Metrics'!N163</f>
        <v>0</v>
      </c>
      <c r="R158" s="449">
        <f t="shared" si="51"/>
        <v>0</v>
      </c>
      <c r="S158" s="180">
        <f t="shared" si="52"/>
        <v>0</v>
      </c>
      <c r="T158" s="449">
        <f t="shared" si="53"/>
        <v>0</v>
      </c>
      <c r="U158" s="449">
        <f t="shared" si="54"/>
        <v>0</v>
      </c>
      <c r="V158" s="450" t="str">
        <f t="shared" si="55"/>
        <v/>
      </c>
      <c r="W158" s="450" t="str">
        <f>IF(R158=0,"-",SUMIFS($R$2:R158,$A$2:A158,A158,$C$2:C158,C158)/SUMIFS($J$2:J158,$A$2:A158,A158,$C$2:C158,C158)-1)</f>
        <v>-</v>
      </c>
      <c r="X158" s="450" t="str">
        <f t="shared" si="56"/>
        <v/>
      </c>
      <c r="Y158" s="450" t="str">
        <f>IFERROR(IF(R158=0,"-",SUMIFS($R$2:R158,$A$2:A158,A158,$C$2:C158,C158)/SUMIFS($N$2:N158,$A$2:A158,A158,$C$2:C158,C158)-1),"")</f>
        <v>-</v>
      </c>
      <c r="Z158" s="269" t="str">
        <f>IF(R158=0,"",(S158/VLOOKUP(_xlfn.NUMBERVALUE(_xlfn.CONCAT(LEFT(F158,4),52)),$F$2:T365,COLUMNS($F$2:T365),FALSE)))</f>
        <v/>
      </c>
      <c r="AA158" s="269" t="str">
        <f>IFERROR(IF(R158=0,"",(S158/VLOOKUP(_xlfn.NUMBERVALUE(_xlfn.CONCAT(LEFT(F158,4),52)),$F$2:U365,COLUMNS($F$2:U365),FALSE))),"")</f>
        <v/>
      </c>
      <c r="AB158" s="268" t="str">
        <f t="shared" si="57"/>
        <v/>
      </c>
      <c r="AC158" s="450" t="str">
        <f t="shared" si="58"/>
        <v/>
      </c>
      <c r="AD158" s="450" t="str">
        <f t="shared" si="59"/>
        <v/>
      </c>
      <c r="AE158" s="269" t="str">
        <f t="shared" si="60"/>
        <v/>
      </c>
      <c r="AF158" s="268" t="str">
        <f t="shared" si="61"/>
        <v/>
      </c>
      <c r="AG158" s="450" t="str">
        <f t="shared" si="62"/>
        <v/>
      </c>
      <c r="AH158" s="450" t="str">
        <f t="shared" si="63"/>
        <v/>
      </c>
      <c r="AI158" s="269" t="str">
        <f t="shared" si="64"/>
        <v/>
      </c>
      <c r="AJ158" s="450" t="str">
        <f>IF(O158=0,"-",SUMIFS($O$2:O158,$A$2:A158,$A158,$F$2:F158,"&lt;="&amp;$F158)/SUMIFS($G$2:G158,$A$2:A158,$A158,$F$2:F158,"&lt;="&amp;$F158)-1)</f>
        <v>-</v>
      </c>
      <c r="AK158" s="450" t="str">
        <f>IF(P158=0,"-",SUMIFS($P$2:P158,$A$2:A158,$A158,$F$2:F158,"&lt;="&amp;$F158)/SUMIFS($H$2:H158,$A$2:A158,$A158,$F$2:F158,"&lt;="&amp;$F158)-1)</f>
        <v>-</v>
      </c>
      <c r="AL158" s="450" t="str">
        <f>IF(Q158=0,"-",SUMIFS($Q$2:Q158,$A$2:A158,$A158,$F$2:F158,"&lt;="&amp;$F158)/SUMIFS($I$2:I158,$A$2:A158,$A158,$F$2:F158,"&lt;="&amp;$F158)-1)</f>
        <v>-</v>
      </c>
      <c r="AM158" s="450" t="str">
        <f>IFERROR(IF(O158=0,"-",SUMIFS($O$2:O158,$A$2:A158,$A158,$F$2:F158,"&lt;="&amp;$F158)/SUMIFS($K$2:K158,$A$2:A158,$A158,$F$2:F158,"&lt;="&amp;$F158)-1),"")</f>
        <v>-</v>
      </c>
      <c r="AN158" s="450" t="str">
        <f>IFERROR(IF(P158=0,"-",SUMIFS($P$2:P158,$A$2:A158,$A158,$F$2:F158,"&lt;="&amp;$F158)/SUMIFS($L$2:L158,$A$2:A158,$A158,$F$2:F158,"&lt;="&amp;$F158)-1),"")</f>
        <v>-</v>
      </c>
      <c r="AO158" s="450" t="str">
        <f>IFERROR(IF(Q158=0,"-",SUMIFS($Q$2:Q158,$A$2:A158,$A158,$F$2:F158,"&lt;="&amp;$F158)/SUMIFS($M$2:M158,$A$2:A158,$A158,$F$2:F158,"&lt;="&amp;$F158)-1),"")</f>
        <v>-</v>
      </c>
      <c r="AP158" s="134"/>
      <c r="AQ158" s="452" t="str">
        <f>'Overall Metrics'!AO163</f>
        <v/>
      </c>
      <c r="AR158" s="450" t="str">
        <f t="shared" si="65"/>
        <v/>
      </c>
      <c r="AS158" s="453" t="str">
        <f>IFERROR(IF(R159=0,"-",AVERAGEIFS($AQ$2:AQ158,$A$2:A158,$A158,$F$2:F158,"&lt;="&amp;$F158)-AVERAGEIFS($AP$2:AP158,$A$2:A158,$A158,$F$2:F158,"&lt;="&amp;$F158)),"")</f>
        <v>-</v>
      </c>
      <c r="AT158" s="390" t="str">
        <f>IFERROR(IF(R159=0,"-",AVERAGEIFS($AQ$2:AQ158,$A$2:A158,A158,$C$2:C158,C158)-AVERAGEIFS($AP$2:AP158,$A$2:A158,A158,$C$2:C158,C158)),"")</f>
        <v>-</v>
      </c>
      <c r="AU158" s="451"/>
      <c r="AV158" s="452">
        <f>'Overall Metrics'!AS163</f>
        <v>0</v>
      </c>
      <c r="AW158" s="450" t="str">
        <f t="shared" si="66"/>
        <v/>
      </c>
      <c r="AX158" s="453" t="str">
        <f>IFERROR(IF(R162=0,"-",AVERAGEIFS($AV$2:AV158,$A$2:A158,$A158,$F$2:F158,"&lt;="&amp;$F158)-AVERAGEIFS($AU$2:AU158,$A$2:A158,$A158,$F$2:F158,"&lt;="&amp;$F158)),"")</f>
        <v>-</v>
      </c>
      <c r="AY158" s="453" t="str">
        <f>IFERROR(IF(R162=0,"-",AVERAGEIFS($AV$2:AV158,$A$2:A158,A158,$C$2:C158,C158)-AVERAGEIFS($AU$2:AU158,$A$2:A158,A158,$C$2:C158,C158)),"")</f>
        <v>-</v>
      </c>
      <c r="AZ158" s="103"/>
      <c r="BA158" s="449">
        <f>'Glass Metrics'!AC163</f>
        <v>0</v>
      </c>
      <c r="BB158" s="450" t="str">
        <f t="shared" si="67"/>
        <v/>
      </c>
      <c r="BC158" s="450" t="str">
        <f>IFERROR(IF(R158=0,"-",AVERAGEIFS($BA$2:BA158,$A$2:A158,$A158,$F$2:F158,"&lt;="&amp;$F158)/AVERAGEIFS($AZ$2:AZ158,$A$2:A158,$A158,$F$2:F158,"&lt;="&amp;$F158)-1),"")</f>
        <v>-</v>
      </c>
      <c r="BD158" s="269" t="str">
        <f>IFERROR(IF(R158=0,"-",AVERAGEIFS($BA$2:BA158,$A$2:A158,A158,$C$2:C158,C158)/AVERAGEIFS($AZ$2:AZ158,$A$2:A158,A158,$C$2:C158,C158)-1),"")</f>
        <v>-</v>
      </c>
    </row>
    <row r="159" spans="1:56" ht="16.350000000000001" customHeight="1">
      <c r="A159" s="175">
        <f t="shared" si="46"/>
        <v>2024</v>
      </c>
      <c r="B159" s="447" t="str">
        <f t="shared" si="47"/>
        <v>02</v>
      </c>
      <c r="C159" s="447" t="str">
        <f t="array" ref="C159">_xlfn.IFS(_xlfn.NUMBERVALUE(B159)&lt;=13,"Q1",AND(_xlfn.NUMBERVALUE(B159)&gt;13,_xlfn.NUMBERVALUE(B159)&lt;=26),"Q2", AND(_xlfn.NUMBERVALUE(B159)&gt;26,_xlfn.NUMBERVALUE(B159)&lt;=39),"Q3",_xlfn.NUMBERVALUE(B159)&gt;39,"Q4")</f>
        <v>Q1</v>
      </c>
      <c r="D159" s="448">
        <f t="shared" si="68"/>
        <v>44961</v>
      </c>
      <c r="E159" s="448">
        <f t="shared" si="48"/>
        <v>44967</v>
      </c>
      <c r="F159" s="79">
        <v>202302</v>
      </c>
      <c r="G159" s="103"/>
      <c r="H159" s="429"/>
      <c r="I159" s="429"/>
      <c r="J159" s="214">
        <f t="shared" si="49"/>
        <v>0</v>
      </c>
      <c r="K159" s="429"/>
      <c r="L159" s="429"/>
      <c r="M159" s="429"/>
      <c r="N159" s="214">
        <f t="shared" si="50"/>
        <v>0</v>
      </c>
      <c r="O159" s="449">
        <f>'Overall Metrics'!L164</f>
        <v>0</v>
      </c>
      <c r="P159" s="449">
        <f>'Overall Metrics'!M164</f>
        <v>0</v>
      </c>
      <c r="Q159" s="449">
        <f>'Overall Metrics'!N164</f>
        <v>0</v>
      </c>
      <c r="R159" s="449">
        <f t="shared" si="51"/>
        <v>0</v>
      </c>
      <c r="S159" s="180">
        <f t="shared" si="52"/>
        <v>0</v>
      </c>
      <c r="T159" s="449">
        <f t="shared" si="53"/>
        <v>0</v>
      </c>
      <c r="U159" s="449">
        <f t="shared" si="54"/>
        <v>0</v>
      </c>
      <c r="V159" s="450" t="str">
        <f t="shared" si="55"/>
        <v/>
      </c>
      <c r="W159" s="450" t="str">
        <f>IF(R159=0,"-",SUMIFS($R$2:R159,$A$2:A159,A159,$C$2:C159,C159)/SUMIFS($J$2:J159,$A$2:A159,A159,$C$2:C159,C159)-1)</f>
        <v>-</v>
      </c>
      <c r="X159" s="450" t="str">
        <f t="shared" si="56"/>
        <v/>
      </c>
      <c r="Y159" s="450" t="str">
        <f>IFERROR(IF(R159=0,"-",SUMIFS($R$2:R159,$A$2:A159,A159,$C$2:C159,C159)/SUMIFS($N$2:N159,$A$2:A159,A159,$C$2:C159,C159)-1),"")</f>
        <v>-</v>
      </c>
      <c r="Z159" s="269" t="str">
        <f>IF(R159=0,"",(S159/VLOOKUP(_xlfn.NUMBERVALUE(_xlfn.CONCAT(LEFT(F159,4),52)),$F$2:T366,COLUMNS($F$2:T366),FALSE)))</f>
        <v/>
      </c>
      <c r="AA159" s="269" t="str">
        <f>IFERROR(IF(R159=0,"",(S159/VLOOKUP(_xlfn.NUMBERVALUE(_xlfn.CONCAT(LEFT(F159,4),52)),$F$2:U366,COLUMNS($F$2:U366),FALSE))),"")</f>
        <v/>
      </c>
      <c r="AB159" s="268" t="str">
        <f t="shared" si="57"/>
        <v/>
      </c>
      <c r="AC159" s="450" t="str">
        <f t="shared" si="58"/>
        <v/>
      </c>
      <c r="AD159" s="450" t="str">
        <f t="shared" si="59"/>
        <v/>
      </c>
      <c r="AE159" s="269" t="str">
        <f t="shared" si="60"/>
        <v/>
      </c>
      <c r="AF159" s="268" t="str">
        <f t="shared" si="61"/>
        <v/>
      </c>
      <c r="AG159" s="450" t="str">
        <f t="shared" si="62"/>
        <v/>
      </c>
      <c r="AH159" s="450" t="str">
        <f t="shared" si="63"/>
        <v/>
      </c>
      <c r="AI159" s="269" t="str">
        <f t="shared" si="64"/>
        <v/>
      </c>
      <c r="AJ159" s="450" t="str">
        <f>IF(O159=0,"-",SUMIFS($O$2:O159,$A$2:A159,$A159,$F$2:F159,"&lt;="&amp;$F159)/SUMIFS($G$2:G159,$A$2:A159,$A159,$F$2:F159,"&lt;="&amp;$F159)-1)</f>
        <v>-</v>
      </c>
      <c r="AK159" s="450" t="str">
        <f>IF(P159=0,"-",SUMIFS($P$2:P159,$A$2:A159,$A159,$F$2:F159,"&lt;="&amp;$F159)/SUMIFS($H$2:H159,$A$2:A159,$A159,$F$2:F159,"&lt;="&amp;$F159)-1)</f>
        <v>-</v>
      </c>
      <c r="AL159" s="450" t="str">
        <f>IF(Q159=0,"-",SUMIFS($Q$2:Q159,$A$2:A159,$A159,$F$2:F159,"&lt;="&amp;$F159)/SUMIFS($I$2:I159,$A$2:A159,$A159,$F$2:F159,"&lt;="&amp;$F159)-1)</f>
        <v>-</v>
      </c>
      <c r="AM159" s="450" t="str">
        <f>IFERROR(IF(O159=0,"-",SUMIFS($O$2:O159,$A$2:A159,$A159,$F$2:F159,"&lt;="&amp;$F159)/SUMIFS($K$2:K159,$A$2:A159,$A159,$F$2:F159,"&lt;="&amp;$F159)-1),"")</f>
        <v>-</v>
      </c>
      <c r="AN159" s="450" t="str">
        <f>IFERROR(IF(P159=0,"-",SUMIFS($P$2:P159,$A$2:A159,$A159,$F$2:F159,"&lt;="&amp;$F159)/SUMIFS($L$2:L159,$A$2:A159,$A159,$F$2:F159,"&lt;="&amp;$F159)-1),"")</f>
        <v>-</v>
      </c>
      <c r="AO159" s="450" t="str">
        <f>IFERROR(IF(Q159=0,"-",SUMIFS($Q$2:Q159,$A$2:A159,$A159,$F$2:F159,"&lt;="&amp;$F159)/SUMIFS($M$2:M159,$A$2:A159,$A159,$F$2:F159,"&lt;="&amp;$F159)-1),"")</f>
        <v>-</v>
      </c>
      <c r="AP159" s="134"/>
      <c r="AQ159" s="452" t="str">
        <f>'Overall Metrics'!AO164</f>
        <v/>
      </c>
      <c r="AR159" s="450" t="str">
        <f t="shared" si="65"/>
        <v/>
      </c>
      <c r="AS159" s="453" t="str">
        <f>IFERROR(IF(R160=0,"-",AVERAGEIFS($AQ$2:AQ159,$A$2:A159,$A159,$F$2:F159,"&lt;="&amp;$F159)-AVERAGEIFS($AP$2:AP159,$A$2:A159,$A159,$F$2:F159,"&lt;="&amp;$F159)),"")</f>
        <v>-</v>
      </c>
      <c r="AT159" s="390" t="str">
        <f>IFERROR(IF(R160=0,"-",AVERAGEIFS($AQ$2:AQ159,$A$2:A159,A159,$C$2:C159,C159)-AVERAGEIFS($AP$2:AP159,$A$2:A159,A159,$C$2:C159,C159)),"")</f>
        <v>-</v>
      </c>
      <c r="AU159" s="451"/>
      <c r="AV159" s="452">
        <f>'Overall Metrics'!AS164</f>
        <v>0</v>
      </c>
      <c r="AW159" s="450" t="str">
        <f t="shared" si="66"/>
        <v/>
      </c>
      <c r="AX159" s="453" t="str">
        <f>IFERROR(IF(R163=0,"-",AVERAGEIFS($AV$2:AV159,$A$2:A159,$A159,$F$2:F159,"&lt;="&amp;$F159)-AVERAGEIFS($AU$2:AU159,$A$2:A159,$A159,$F$2:F159,"&lt;="&amp;$F159)),"")</f>
        <v>-</v>
      </c>
      <c r="AY159" s="453" t="str">
        <f>IFERROR(IF(R163=0,"-",AVERAGEIFS($AV$2:AV159,$A$2:A159,A159,$C$2:C159,C159)-AVERAGEIFS($AU$2:AU159,$A$2:A159,A159,$C$2:C159,C159)),"")</f>
        <v>-</v>
      </c>
      <c r="AZ159" s="103"/>
      <c r="BA159" s="449">
        <f>'Glass Metrics'!AC164</f>
        <v>0</v>
      </c>
      <c r="BB159" s="450" t="str">
        <f t="shared" si="67"/>
        <v/>
      </c>
      <c r="BC159" s="450" t="str">
        <f>IFERROR(IF(R159=0,"-",AVERAGEIFS($BA$2:BA159,$A$2:A159,$A159,$F$2:F159,"&lt;="&amp;$F159)/AVERAGEIFS($AZ$2:AZ159,$A$2:A159,$A159,$F$2:F159,"&lt;="&amp;$F159)-1),"")</f>
        <v>-</v>
      </c>
      <c r="BD159" s="269" t="str">
        <f>IFERROR(IF(R159=0,"-",AVERAGEIFS($BA$2:BA159,$A$2:A159,A159,$C$2:C159,C159)/AVERAGEIFS($AZ$2:AZ159,$A$2:A159,A159,$C$2:C159,C159)-1),"")</f>
        <v>-</v>
      </c>
    </row>
    <row r="160" spans="1:56" ht="16.350000000000001" customHeight="1">
      <c r="A160" s="175">
        <f t="shared" si="46"/>
        <v>2024</v>
      </c>
      <c r="B160" s="447" t="str">
        <f t="shared" si="47"/>
        <v>03</v>
      </c>
      <c r="C160" s="447" t="str">
        <f t="array" ref="C160">_xlfn.IFS(_xlfn.NUMBERVALUE(B160)&lt;=13,"Q1",AND(_xlfn.NUMBERVALUE(B160)&gt;13,_xlfn.NUMBERVALUE(B160)&lt;=26),"Q2", AND(_xlfn.NUMBERVALUE(B160)&gt;26,_xlfn.NUMBERVALUE(B160)&lt;=39),"Q3",_xlfn.NUMBERVALUE(B160)&gt;39,"Q4")</f>
        <v>Q1</v>
      </c>
      <c r="D160" s="448">
        <f t="shared" si="68"/>
        <v>44968</v>
      </c>
      <c r="E160" s="448">
        <f t="shared" si="48"/>
        <v>44974</v>
      </c>
      <c r="F160" s="79">
        <v>202303</v>
      </c>
      <c r="G160" s="103"/>
      <c r="H160" s="429"/>
      <c r="I160" s="429"/>
      <c r="J160" s="214">
        <f t="shared" si="49"/>
        <v>0</v>
      </c>
      <c r="K160" s="429"/>
      <c r="L160" s="429"/>
      <c r="M160" s="429"/>
      <c r="N160" s="214">
        <f t="shared" si="50"/>
        <v>0</v>
      </c>
      <c r="O160" s="449">
        <f>'Overall Metrics'!L165</f>
        <v>0</v>
      </c>
      <c r="P160" s="449">
        <f>'Overall Metrics'!M165</f>
        <v>0</v>
      </c>
      <c r="Q160" s="449">
        <f>'Overall Metrics'!N165</f>
        <v>0</v>
      </c>
      <c r="R160" s="449">
        <f t="shared" si="51"/>
        <v>0</v>
      </c>
      <c r="S160" s="180">
        <f t="shared" si="52"/>
        <v>0</v>
      </c>
      <c r="T160" s="449">
        <f t="shared" si="53"/>
        <v>0</v>
      </c>
      <c r="U160" s="449">
        <f t="shared" si="54"/>
        <v>0</v>
      </c>
      <c r="V160" s="450" t="str">
        <f t="shared" si="55"/>
        <v/>
      </c>
      <c r="W160" s="450" t="str">
        <f>IF(R160=0,"-",SUMIFS($R$2:R160,$A$2:A160,A160,$C$2:C160,C160)/SUMIFS($J$2:J160,$A$2:A160,A160,$C$2:C160,C160)-1)</f>
        <v>-</v>
      </c>
      <c r="X160" s="450" t="str">
        <f t="shared" si="56"/>
        <v/>
      </c>
      <c r="Y160" s="450" t="str">
        <f>IFERROR(IF(R160=0,"-",SUMIFS($R$2:R160,$A$2:A160,A160,$C$2:C160,C160)/SUMIFS($N$2:N160,$A$2:A160,A160,$C$2:C160,C160)-1),"")</f>
        <v>-</v>
      </c>
      <c r="Z160" s="269" t="str">
        <f>IF(R160=0,"",(S160/VLOOKUP(_xlfn.NUMBERVALUE(_xlfn.CONCAT(LEFT(F160,4),52)),$F$2:T367,COLUMNS($F$2:T367),FALSE)))</f>
        <v/>
      </c>
      <c r="AA160" s="269" t="str">
        <f>IFERROR(IF(R160=0,"",(S160/VLOOKUP(_xlfn.NUMBERVALUE(_xlfn.CONCAT(LEFT(F160,4),52)),$F$2:U367,COLUMNS($F$2:U367),FALSE))),"")</f>
        <v/>
      </c>
      <c r="AB160" s="268" t="str">
        <f t="shared" si="57"/>
        <v/>
      </c>
      <c r="AC160" s="450" t="str">
        <f t="shared" si="58"/>
        <v/>
      </c>
      <c r="AD160" s="450" t="str">
        <f t="shared" si="59"/>
        <v/>
      </c>
      <c r="AE160" s="269" t="str">
        <f t="shared" si="60"/>
        <v/>
      </c>
      <c r="AF160" s="268" t="str">
        <f t="shared" si="61"/>
        <v/>
      </c>
      <c r="AG160" s="450" t="str">
        <f t="shared" si="62"/>
        <v/>
      </c>
      <c r="AH160" s="450" t="str">
        <f t="shared" si="63"/>
        <v/>
      </c>
      <c r="AI160" s="269" t="str">
        <f t="shared" si="64"/>
        <v/>
      </c>
      <c r="AJ160" s="450" t="str">
        <f>IF(O160=0,"-",SUMIFS($O$2:O160,$A$2:A160,$A160,$F$2:F160,"&lt;="&amp;$F160)/SUMIFS($G$2:G160,$A$2:A160,$A160,$F$2:F160,"&lt;="&amp;$F160)-1)</f>
        <v>-</v>
      </c>
      <c r="AK160" s="450" t="str">
        <f>IF(P160=0,"-",SUMIFS($P$2:P160,$A$2:A160,$A160,$F$2:F160,"&lt;="&amp;$F160)/SUMIFS($H$2:H160,$A$2:A160,$A160,$F$2:F160,"&lt;="&amp;$F160)-1)</f>
        <v>-</v>
      </c>
      <c r="AL160" s="450" t="str">
        <f>IF(Q160=0,"-",SUMIFS($Q$2:Q160,$A$2:A160,$A160,$F$2:F160,"&lt;="&amp;$F160)/SUMIFS($I$2:I160,$A$2:A160,$A160,$F$2:F160,"&lt;="&amp;$F160)-1)</f>
        <v>-</v>
      </c>
      <c r="AM160" s="450" t="str">
        <f>IFERROR(IF(O160=0,"-",SUMIFS($O$2:O160,$A$2:A160,$A160,$F$2:F160,"&lt;="&amp;$F160)/SUMIFS($K$2:K160,$A$2:A160,$A160,$F$2:F160,"&lt;="&amp;$F160)-1),"")</f>
        <v>-</v>
      </c>
      <c r="AN160" s="450" t="str">
        <f>IFERROR(IF(P160=0,"-",SUMIFS($P$2:P160,$A$2:A160,$A160,$F$2:F160,"&lt;="&amp;$F160)/SUMIFS($L$2:L160,$A$2:A160,$A160,$F$2:F160,"&lt;="&amp;$F160)-1),"")</f>
        <v>-</v>
      </c>
      <c r="AO160" s="450" t="str">
        <f>IFERROR(IF(Q160=0,"-",SUMIFS($Q$2:Q160,$A$2:A160,$A160,$F$2:F160,"&lt;="&amp;$F160)/SUMIFS($M$2:M160,$A$2:A160,$A160,$F$2:F160,"&lt;="&amp;$F160)-1),"")</f>
        <v>-</v>
      </c>
      <c r="AP160" s="134"/>
      <c r="AQ160" s="452" t="str">
        <f>'Overall Metrics'!AO165</f>
        <v/>
      </c>
      <c r="AR160" s="450" t="str">
        <f t="shared" si="65"/>
        <v/>
      </c>
      <c r="AS160" s="453" t="str">
        <f>IFERROR(IF(R161=0,"-",AVERAGEIFS($AQ$2:AQ160,$A$2:A160,$A160,$F$2:F160,"&lt;="&amp;$F160)-AVERAGEIFS($AP$2:AP160,$A$2:A160,$A160,$F$2:F160,"&lt;="&amp;$F160)),"")</f>
        <v>-</v>
      </c>
      <c r="AT160" s="390" t="str">
        <f>IFERROR(IF(R161=0,"-",AVERAGEIFS($AQ$2:AQ160,$A$2:A160,A160,$C$2:C160,C160)-AVERAGEIFS($AP$2:AP160,$A$2:A160,A160,$C$2:C160,C160)),"")</f>
        <v>-</v>
      </c>
      <c r="AU160" s="451"/>
      <c r="AV160" s="452">
        <f>'Overall Metrics'!AS165</f>
        <v>0</v>
      </c>
      <c r="AW160" s="450" t="str">
        <f t="shared" si="66"/>
        <v/>
      </c>
      <c r="AX160" s="453" t="str">
        <f>IFERROR(IF(R164=0,"-",AVERAGEIFS($AV$2:AV160,$A$2:A160,$A160,$F$2:F160,"&lt;="&amp;$F160)-AVERAGEIFS($AU$2:AU160,$A$2:A160,$A160,$F$2:F160,"&lt;="&amp;$F160)),"")</f>
        <v>-</v>
      </c>
      <c r="AY160" s="453" t="str">
        <f>IFERROR(IF(R164=0,"-",AVERAGEIFS($AV$2:AV160,$A$2:A160,A160,$C$2:C160,C160)-AVERAGEIFS($AU$2:AU160,$A$2:A160,A160,$C$2:C160,C160)),"")</f>
        <v>-</v>
      </c>
      <c r="AZ160" s="103"/>
      <c r="BA160" s="449">
        <f>'Glass Metrics'!AC165</f>
        <v>0</v>
      </c>
      <c r="BB160" s="450" t="str">
        <f t="shared" si="67"/>
        <v/>
      </c>
      <c r="BC160" s="450" t="str">
        <f>IFERROR(IF(R160=0,"-",AVERAGEIFS($BA$2:BA160,$A$2:A160,$A160,$F$2:F160,"&lt;="&amp;$F160)/AVERAGEIFS($AZ$2:AZ160,$A$2:A160,$A160,$F$2:F160,"&lt;="&amp;$F160)-1),"")</f>
        <v>-</v>
      </c>
      <c r="BD160" s="269" t="str">
        <f>IFERROR(IF(R160=0,"-",AVERAGEIFS($BA$2:BA160,$A$2:A160,A160,$C$2:C160,C160)/AVERAGEIFS($AZ$2:AZ160,$A$2:A160,A160,$C$2:C160,C160)-1),"")</f>
        <v>-</v>
      </c>
    </row>
    <row r="161" spans="1:56" ht="16.350000000000001" customHeight="1">
      <c r="A161" s="175">
        <f t="shared" si="46"/>
        <v>2024</v>
      </c>
      <c r="B161" s="447" t="str">
        <f t="shared" si="47"/>
        <v>04</v>
      </c>
      <c r="C161" s="447" t="str">
        <f t="array" ref="C161">_xlfn.IFS(_xlfn.NUMBERVALUE(B161)&lt;=13,"Q1",AND(_xlfn.NUMBERVALUE(B161)&gt;13,_xlfn.NUMBERVALUE(B161)&lt;=26),"Q2", AND(_xlfn.NUMBERVALUE(B161)&gt;26,_xlfn.NUMBERVALUE(B161)&lt;=39),"Q3",_xlfn.NUMBERVALUE(B161)&gt;39,"Q4")</f>
        <v>Q1</v>
      </c>
      <c r="D161" s="448">
        <f t="shared" si="68"/>
        <v>44975</v>
      </c>
      <c r="E161" s="448">
        <f t="shared" si="48"/>
        <v>44981</v>
      </c>
      <c r="F161" s="79">
        <v>202304</v>
      </c>
      <c r="G161" s="103"/>
      <c r="H161" s="429"/>
      <c r="I161" s="429"/>
      <c r="J161" s="214">
        <f t="shared" si="49"/>
        <v>0</v>
      </c>
      <c r="K161" s="429"/>
      <c r="L161" s="429"/>
      <c r="M161" s="429"/>
      <c r="N161" s="214">
        <f t="shared" si="50"/>
        <v>0</v>
      </c>
      <c r="O161" s="449">
        <f>'Overall Metrics'!L166</f>
        <v>0</v>
      </c>
      <c r="P161" s="449">
        <f>'Overall Metrics'!M166</f>
        <v>0</v>
      </c>
      <c r="Q161" s="449">
        <f>'Overall Metrics'!N166</f>
        <v>0</v>
      </c>
      <c r="R161" s="449">
        <f t="shared" si="51"/>
        <v>0</v>
      </c>
      <c r="S161" s="180">
        <f t="shared" si="52"/>
        <v>0</v>
      </c>
      <c r="T161" s="449">
        <f t="shared" si="53"/>
        <v>0</v>
      </c>
      <c r="U161" s="449">
        <f t="shared" si="54"/>
        <v>0</v>
      </c>
      <c r="V161" s="450" t="str">
        <f t="shared" si="55"/>
        <v/>
      </c>
      <c r="W161" s="450" t="str">
        <f>IF(R161=0,"-",SUMIFS($R$2:R161,$A$2:A161,A161,$C$2:C161,C161)/SUMIFS($J$2:J161,$A$2:A161,A161,$C$2:C161,C161)-1)</f>
        <v>-</v>
      </c>
      <c r="X161" s="450" t="str">
        <f t="shared" si="56"/>
        <v/>
      </c>
      <c r="Y161" s="450" t="str">
        <f>IFERROR(IF(R161=0,"-",SUMIFS($R$2:R161,$A$2:A161,A161,$C$2:C161,C161)/SUMIFS($N$2:N161,$A$2:A161,A161,$C$2:C161,C161)-1),"")</f>
        <v>-</v>
      </c>
      <c r="Z161" s="269" t="str">
        <f>IF(R161=0,"",(S161/VLOOKUP(_xlfn.NUMBERVALUE(_xlfn.CONCAT(LEFT(F161,4),52)),$F$2:T368,COLUMNS($F$2:T368),FALSE)))</f>
        <v/>
      </c>
      <c r="AA161" s="269" t="str">
        <f>IFERROR(IF(R161=0,"",(S161/VLOOKUP(_xlfn.NUMBERVALUE(_xlfn.CONCAT(LEFT(F161,4),52)),$F$2:U368,COLUMNS($F$2:U368),FALSE))),"")</f>
        <v/>
      </c>
      <c r="AB161" s="268" t="str">
        <f t="shared" si="57"/>
        <v/>
      </c>
      <c r="AC161" s="450" t="str">
        <f t="shared" si="58"/>
        <v/>
      </c>
      <c r="AD161" s="450" t="str">
        <f t="shared" si="59"/>
        <v/>
      </c>
      <c r="AE161" s="269" t="str">
        <f t="shared" si="60"/>
        <v/>
      </c>
      <c r="AF161" s="268" t="str">
        <f t="shared" si="61"/>
        <v/>
      </c>
      <c r="AG161" s="450" t="str">
        <f t="shared" si="62"/>
        <v/>
      </c>
      <c r="AH161" s="450" t="str">
        <f t="shared" si="63"/>
        <v/>
      </c>
      <c r="AI161" s="269" t="str">
        <f t="shared" si="64"/>
        <v/>
      </c>
      <c r="AJ161" s="450" t="str">
        <f>IF(O161=0,"-",SUMIFS($O$2:O161,$A$2:A161,$A161,$F$2:F161,"&lt;="&amp;$F161)/SUMIFS($G$2:G161,$A$2:A161,$A161,$F$2:F161,"&lt;="&amp;$F161)-1)</f>
        <v>-</v>
      </c>
      <c r="AK161" s="450" t="str">
        <f>IF(P161=0,"-",SUMIFS($P$2:P161,$A$2:A161,$A161,$F$2:F161,"&lt;="&amp;$F161)/SUMIFS($H$2:H161,$A$2:A161,$A161,$F$2:F161,"&lt;="&amp;$F161)-1)</f>
        <v>-</v>
      </c>
      <c r="AL161" s="450" t="str">
        <f>IF(Q161=0,"-",SUMIFS($Q$2:Q161,$A$2:A161,$A161,$F$2:F161,"&lt;="&amp;$F161)/SUMIFS($I$2:I161,$A$2:A161,$A161,$F$2:F161,"&lt;="&amp;$F161)-1)</f>
        <v>-</v>
      </c>
      <c r="AM161" s="450" t="str">
        <f>IFERROR(IF(O161=0,"-",SUMIFS($O$2:O161,$A$2:A161,$A161,$F$2:F161,"&lt;="&amp;$F161)/SUMIFS($K$2:K161,$A$2:A161,$A161,$F$2:F161,"&lt;="&amp;$F161)-1),"")</f>
        <v>-</v>
      </c>
      <c r="AN161" s="450" t="str">
        <f>IFERROR(IF(P161=0,"-",SUMIFS($P$2:P161,$A$2:A161,$A161,$F$2:F161,"&lt;="&amp;$F161)/SUMIFS($L$2:L161,$A$2:A161,$A161,$F$2:F161,"&lt;="&amp;$F161)-1),"")</f>
        <v>-</v>
      </c>
      <c r="AO161" s="450" t="str">
        <f>IFERROR(IF(Q161=0,"-",SUMIFS($Q$2:Q161,$A$2:A161,$A161,$F$2:F161,"&lt;="&amp;$F161)/SUMIFS($M$2:M161,$A$2:A161,$A161,$F$2:F161,"&lt;="&amp;$F161)-1),"")</f>
        <v>-</v>
      </c>
      <c r="AP161" s="134"/>
      <c r="AQ161" s="452" t="str">
        <f>'Overall Metrics'!AO166</f>
        <v/>
      </c>
      <c r="AR161" s="450" t="str">
        <f t="shared" si="65"/>
        <v/>
      </c>
      <c r="AS161" s="453" t="str">
        <f>IFERROR(IF(R162=0,"-",AVERAGEIFS($AQ$2:AQ161,$A$2:A161,$A161,$F$2:F161,"&lt;="&amp;$F161)-AVERAGEIFS($AP$2:AP161,$A$2:A161,$A161,$F$2:F161,"&lt;="&amp;$F161)),"")</f>
        <v>-</v>
      </c>
      <c r="AT161" s="390" t="str">
        <f>IFERROR(IF(R162=0,"-",AVERAGEIFS($AQ$2:AQ161,$A$2:A161,A161,$C$2:C161,C161)-AVERAGEIFS($AP$2:AP161,$A$2:A161,A161,$C$2:C161,C161)),"")</f>
        <v>-</v>
      </c>
      <c r="AU161" s="451"/>
      <c r="AV161" s="452">
        <f>'Overall Metrics'!AS166</f>
        <v>0</v>
      </c>
      <c r="AW161" s="450" t="str">
        <f t="shared" si="66"/>
        <v/>
      </c>
      <c r="AX161" s="453" t="str">
        <f>IFERROR(IF(R165=0,"-",AVERAGEIFS($AV$2:AV161,$A$2:A161,$A161,$F$2:F161,"&lt;="&amp;$F161)-AVERAGEIFS($AU$2:AU161,$A$2:A161,$A161,$F$2:F161,"&lt;="&amp;$F161)),"")</f>
        <v>-</v>
      </c>
      <c r="AY161" s="453" t="str">
        <f>IFERROR(IF(R165=0,"-",AVERAGEIFS($AV$2:AV161,$A$2:A161,A161,$C$2:C161,C161)-AVERAGEIFS($AU$2:AU161,$A$2:A161,A161,$C$2:C161,C161)),"")</f>
        <v>-</v>
      </c>
      <c r="AZ161" s="103"/>
      <c r="BA161" s="449">
        <f>'Glass Metrics'!AC166</f>
        <v>0</v>
      </c>
      <c r="BB161" s="450" t="str">
        <f t="shared" si="67"/>
        <v/>
      </c>
      <c r="BC161" s="450" t="str">
        <f>IFERROR(IF(R161=0,"-",AVERAGEIFS($BA$2:BA161,$A$2:A161,$A161,$F$2:F161,"&lt;="&amp;$F161)/AVERAGEIFS($AZ$2:AZ161,$A$2:A161,$A161,$F$2:F161,"&lt;="&amp;$F161)-1),"")</f>
        <v>-</v>
      </c>
      <c r="BD161" s="269" t="str">
        <f>IFERROR(IF(R161=0,"-",AVERAGEIFS($BA$2:BA161,$A$2:A161,A161,$C$2:C161,C161)/AVERAGEIFS($AZ$2:AZ161,$A$2:A161,A161,$C$2:C161,C161)-1),"")</f>
        <v>-</v>
      </c>
    </row>
    <row r="162" spans="1:56" ht="16.350000000000001" customHeight="1">
      <c r="A162" s="175">
        <f t="shared" si="46"/>
        <v>2024</v>
      </c>
      <c r="B162" s="447" t="str">
        <f t="shared" si="47"/>
        <v>05</v>
      </c>
      <c r="C162" s="447" t="str">
        <f t="array" ref="C162">_xlfn.IFS(_xlfn.NUMBERVALUE(B162)&lt;=13,"Q1",AND(_xlfn.NUMBERVALUE(B162)&gt;13,_xlfn.NUMBERVALUE(B162)&lt;=26),"Q2", AND(_xlfn.NUMBERVALUE(B162)&gt;26,_xlfn.NUMBERVALUE(B162)&lt;=39),"Q3",_xlfn.NUMBERVALUE(B162)&gt;39,"Q4")</f>
        <v>Q1</v>
      </c>
      <c r="D162" s="448">
        <f t="shared" si="68"/>
        <v>44982</v>
      </c>
      <c r="E162" s="448">
        <f t="shared" si="48"/>
        <v>44988</v>
      </c>
      <c r="F162" s="79">
        <v>202305</v>
      </c>
      <c r="G162" s="103"/>
      <c r="H162" s="429"/>
      <c r="I162" s="429"/>
      <c r="J162" s="214">
        <f t="shared" si="49"/>
        <v>0</v>
      </c>
      <c r="K162" s="429"/>
      <c r="L162" s="429"/>
      <c r="M162" s="429"/>
      <c r="N162" s="214">
        <f t="shared" si="50"/>
        <v>0</v>
      </c>
      <c r="O162" s="449">
        <f>'Overall Metrics'!L167</f>
        <v>0</v>
      </c>
      <c r="P162" s="449">
        <f>'Overall Metrics'!M167</f>
        <v>0</v>
      </c>
      <c r="Q162" s="449">
        <f>'Overall Metrics'!N167</f>
        <v>0</v>
      </c>
      <c r="R162" s="449">
        <f t="shared" si="51"/>
        <v>0</v>
      </c>
      <c r="S162" s="180">
        <f t="shared" si="52"/>
        <v>0</v>
      </c>
      <c r="T162" s="449">
        <f t="shared" si="53"/>
        <v>0</v>
      </c>
      <c r="U162" s="449">
        <f t="shared" si="54"/>
        <v>0</v>
      </c>
      <c r="V162" s="450" t="str">
        <f t="shared" si="55"/>
        <v/>
      </c>
      <c r="W162" s="450" t="str">
        <f>IF(R162=0,"-",SUMIFS($R$2:R162,$A$2:A162,A162,$C$2:C162,C162)/SUMIFS($J$2:J162,$A$2:A162,A162,$C$2:C162,C162)-1)</f>
        <v>-</v>
      </c>
      <c r="X162" s="450" t="str">
        <f t="shared" si="56"/>
        <v/>
      </c>
      <c r="Y162" s="450" t="str">
        <f>IFERROR(IF(R162=0,"-",SUMIFS($R$2:R162,$A$2:A162,A162,$C$2:C162,C162)/SUMIFS($N$2:N162,$A$2:A162,A162,$C$2:C162,C162)-1),"")</f>
        <v>-</v>
      </c>
      <c r="Z162" s="269" t="str">
        <f>IF(R162=0,"",(S162/VLOOKUP(_xlfn.NUMBERVALUE(_xlfn.CONCAT(LEFT(F162,4),52)),$F$2:T369,COLUMNS($F$2:T369),FALSE)))</f>
        <v/>
      </c>
      <c r="AA162" s="269" t="str">
        <f>IFERROR(IF(R162=0,"",(S162/VLOOKUP(_xlfn.NUMBERVALUE(_xlfn.CONCAT(LEFT(F162,4),52)),$F$2:U369,COLUMNS($F$2:U369),FALSE))),"")</f>
        <v/>
      </c>
      <c r="AB162" s="268" t="str">
        <f t="shared" si="57"/>
        <v/>
      </c>
      <c r="AC162" s="450" t="str">
        <f t="shared" si="58"/>
        <v/>
      </c>
      <c r="AD162" s="450" t="str">
        <f t="shared" si="59"/>
        <v/>
      </c>
      <c r="AE162" s="269" t="str">
        <f t="shared" si="60"/>
        <v/>
      </c>
      <c r="AF162" s="268" t="str">
        <f t="shared" si="61"/>
        <v/>
      </c>
      <c r="AG162" s="450" t="str">
        <f t="shared" si="62"/>
        <v/>
      </c>
      <c r="AH162" s="450" t="str">
        <f t="shared" si="63"/>
        <v/>
      </c>
      <c r="AI162" s="269" t="str">
        <f t="shared" si="64"/>
        <v/>
      </c>
      <c r="AJ162" s="450" t="str">
        <f>IF(O162=0,"-",SUMIFS($O$2:O162,$A$2:A162,$A162,$F$2:F162,"&lt;="&amp;$F162)/SUMIFS($G$2:G162,$A$2:A162,$A162,$F$2:F162,"&lt;="&amp;$F162)-1)</f>
        <v>-</v>
      </c>
      <c r="AK162" s="450" t="str">
        <f>IF(P162=0,"-",SUMIFS($P$2:P162,$A$2:A162,$A162,$F$2:F162,"&lt;="&amp;$F162)/SUMIFS($H$2:H162,$A$2:A162,$A162,$F$2:F162,"&lt;="&amp;$F162)-1)</f>
        <v>-</v>
      </c>
      <c r="AL162" s="450" t="str">
        <f>IF(Q162=0,"-",SUMIFS($Q$2:Q162,$A$2:A162,$A162,$F$2:F162,"&lt;="&amp;$F162)/SUMIFS($I$2:I162,$A$2:A162,$A162,$F$2:F162,"&lt;="&amp;$F162)-1)</f>
        <v>-</v>
      </c>
      <c r="AM162" s="450" t="str">
        <f>IFERROR(IF(O162=0,"-",SUMIFS($O$2:O162,$A$2:A162,$A162,$F$2:F162,"&lt;="&amp;$F162)/SUMIFS($K$2:K162,$A$2:A162,$A162,$F$2:F162,"&lt;="&amp;$F162)-1),"")</f>
        <v>-</v>
      </c>
      <c r="AN162" s="450" t="str">
        <f>IFERROR(IF(P162=0,"-",SUMIFS($P$2:P162,$A$2:A162,$A162,$F$2:F162,"&lt;="&amp;$F162)/SUMIFS($L$2:L162,$A$2:A162,$A162,$F$2:F162,"&lt;="&amp;$F162)-1),"")</f>
        <v>-</v>
      </c>
      <c r="AO162" s="450" t="str">
        <f>IFERROR(IF(Q162=0,"-",SUMIFS($Q$2:Q162,$A$2:A162,$A162,$F$2:F162,"&lt;="&amp;$F162)/SUMIFS($M$2:M162,$A$2:A162,$A162,$F$2:F162,"&lt;="&amp;$F162)-1),"")</f>
        <v>-</v>
      </c>
      <c r="AP162" s="134"/>
      <c r="AQ162" s="452" t="str">
        <f>'Overall Metrics'!AO167</f>
        <v/>
      </c>
      <c r="AR162" s="450" t="str">
        <f t="shared" si="65"/>
        <v/>
      </c>
      <c r="AS162" s="453" t="str">
        <f>IFERROR(IF(R163=0,"-",AVERAGEIFS($AQ$2:AQ162,$A$2:A162,$A162,$F$2:F162,"&lt;="&amp;$F162)-AVERAGEIFS($AP$2:AP162,$A$2:A162,$A162,$F$2:F162,"&lt;="&amp;$F162)),"")</f>
        <v>-</v>
      </c>
      <c r="AT162" s="390" t="str">
        <f>IFERROR(IF(R163=0,"-",AVERAGEIFS($AQ$2:AQ162,$A$2:A162,A162,$C$2:C162,C162)-AVERAGEIFS($AP$2:AP162,$A$2:A162,A162,$C$2:C162,C162)),"")</f>
        <v>-</v>
      </c>
      <c r="AU162" s="451"/>
      <c r="AV162" s="452">
        <f>'Overall Metrics'!AS167</f>
        <v>0</v>
      </c>
      <c r="AW162" s="450" t="str">
        <f t="shared" si="66"/>
        <v/>
      </c>
      <c r="AX162" s="453" t="str">
        <f>IFERROR(IF(R166=0,"-",AVERAGEIFS($AV$2:AV162,$A$2:A162,$A162,$F$2:F162,"&lt;="&amp;$F162)-AVERAGEIFS($AU$2:AU162,$A$2:A162,$A162,$F$2:F162,"&lt;="&amp;$F162)),"")</f>
        <v>-</v>
      </c>
      <c r="AY162" s="453" t="str">
        <f>IFERROR(IF(R166=0,"-",AVERAGEIFS($AV$2:AV162,$A$2:A162,A162,$C$2:C162,C162)-AVERAGEIFS($AU$2:AU162,$A$2:A162,A162,$C$2:C162,C162)),"")</f>
        <v>-</v>
      </c>
      <c r="AZ162" s="103"/>
      <c r="BA162" s="449">
        <f>'Glass Metrics'!AC167</f>
        <v>0</v>
      </c>
      <c r="BB162" s="450" t="str">
        <f t="shared" si="67"/>
        <v/>
      </c>
      <c r="BC162" s="450" t="str">
        <f>IFERROR(IF(R162=0,"-",AVERAGEIFS($BA$2:BA162,$A$2:A162,$A162,$F$2:F162,"&lt;="&amp;$F162)/AVERAGEIFS($AZ$2:AZ162,$A$2:A162,$A162,$F$2:F162,"&lt;="&amp;$F162)-1),"")</f>
        <v>-</v>
      </c>
      <c r="BD162" s="269" t="str">
        <f>IFERROR(IF(R162=0,"-",AVERAGEIFS($BA$2:BA162,$A$2:A162,A162,$C$2:C162,C162)/AVERAGEIFS($AZ$2:AZ162,$A$2:A162,A162,$C$2:C162,C162)-1),"")</f>
        <v>-</v>
      </c>
    </row>
    <row r="163" spans="1:56" ht="16.350000000000001" customHeight="1">
      <c r="A163" s="175">
        <f t="shared" si="46"/>
        <v>2024</v>
      </c>
      <c r="B163" s="447" t="str">
        <f t="shared" si="47"/>
        <v>06</v>
      </c>
      <c r="C163" s="447" t="str">
        <f t="array" ref="C163">_xlfn.IFS(_xlfn.NUMBERVALUE(B163)&lt;=13,"Q1",AND(_xlfn.NUMBERVALUE(B163)&gt;13,_xlfn.NUMBERVALUE(B163)&lt;=26),"Q2", AND(_xlfn.NUMBERVALUE(B163)&gt;26,_xlfn.NUMBERVALUE(B163)&lt;=39),"Q3",_xlfn.NUMBERVALUE(B163)&gt;39,"Q4")</f>
        <v>Q1</v>
      </c>
      <c r="D163" s="448">
        <f t="shared" si="68"/>
        <v>44989</v>
      </c>
      <c r="E163" s="448">
        <f t="shared" si="48"/>
        <v>44995</v>
      </c>
      <c r="F163" s="79">
        <v>202306</v>
      </c>
      <c r="G163" s="103"/>
      <c r="H163" s="429"/>
      <c r="I163" s="429"/>
      <c r="J163" s="214">
        <f t="shared" si="49"/>
        <v>0</v>
      </c>
      <c r="K163" s="429"/>
      <c r="L163" s="429"/>
      <c r="M163" s="429"/>
      <c r="N163" s="214">
        <f t="shared" si="50"/>
        <v>0</v>
      </c>
      <c r="O163" s="449">
        <f>'Overall Metrics'!L168</f>
        <v>0</v>
      </c>
      <c r="P163" s="449">
        <f>'Overall Metrics'!M168</f>
        <v>0</v>
      </c>
      <c r="Q163" s="449">
        <f>'Overall Metrics'!N168</f>
        <v>0</v>
      </c>
      <c r="R163" s="449">
        <f t="shared" si="51"/>
        <v>0</v>
      </c>
      <c r="S163" s="180">
        <f t="shared" si="52"/>
        <v>0</v>
      </c>
      <c r="T163" s="449">
        <f t="shared" si="53"/>
        <v>0</v>
      </c>
      <c r="U163" s="449">
        <f t="shared" si="54"/>
        <v>0</v>
      </c>
      <c r="V163" s="450" t="str">
        <f t="shared" si="55"/>
        <v/>
      </c>
      <c r="W163" s="450" t="str">
        <f>IF(R163=0,"-",SUMIFS($R$2:R163,$A$2:A163,A163,$C$2:C163,C163)/SUMIFS($J$2:J163,$A$2:A163,A163,$C$2:C163,C163)-1)</f>
        <v>-</v>
      </c>
      <c r="X163" s="450" t="str">
        <f t="shared" si="56"/>
        <v/>
      </c>
      <c r="Y163" s="450" t="str">
        <f>IFERROR(IF(R163=0,"-",SUMIFS($R$2:R163,$A$2:A163,A163,$C$2:C163,C163)/SUMIFS($N$2:N163,$A$2:A163,A163,$C$2:C163,C163)-1),"")</f>
        <v>-</v>
      </c>
      <c r="Z163" s="269" t="str">
        <f>IF(R163=0,"",(S163/VLOOKUP(_xlfn.NUMBERVALUE(_xlfn.CONCAT(LEFT(F163,4),52)),$F$2:T370,COLUMNS($F$2:T370),FALSE)))</f>
        <v/>
      </c>
      <c r="AA163" s="269" t="str">
        <f>IFERROR(IF(R163=0,"",(S163/VLOOKUP(_xlfn.NUMBERVALUE(_xlfn.CONCAT(LEFT(F163,4),52)),$F$2:U370,COLUMNS($F$2:U370),FALSE))),"")</f>
        <v/>
      </c>
      <c r="AB163" s="268" t="str">
        <f t="shared" si="57"/>
        <v/>
      </c>
      <c r="AC163" s="450" t="str">
        <f t="shared" si="58"/>
        <v/>
      </c>
      <c r="AD163" s="450" t="str">
        <f t="shared" si="59"/>
        <v/>
      </c>
      <c r="AE163" s="269" t="str">
        <f t="shared" si="60"/>
        <v/>
      </c>
      <c r="AF163" s="268" t="str">
        <f t="shared" si="61"/>
        <v/>
      </c>
      <c r="AG163" s="450" t="str">
        <f t="shared" si="62"/>
        <v/>
      </c>
      <c r="AH163" s="450" t="str">
        <f t="shared" si="63"/>
        <v/>
      </c>
      <c r="AI163" s="269" t="str">
        <f t="shared" si="64"/>
        <v/>
      </c>
      <c r="AJ163" s="450" t="str">
        <f>IF(O163=0,"-",SUMIFS($O$2:O163,$A$2:A163,$A163,$F$2:F163,"&lt;="&amp;$F163)/SUMIFS($G$2:G163,$A$2:A163,$A163,$F$2:F163,"&lt;="&amp;$F163)-1)</f>
        <v>-</v>
      </c>
      <c r="AK163" s="450" t="str">
        <f>IF(P163=0,"-",SUMIFS($P$2:P163,$A$2:A163,$A163,$F$2:F163,"&lt;="&amp;$F163)/SUMIFS($H$2:H163,$A$2:A163,$A163,$F$2:F163,"&lt;="&amp;$F163)-1)</f>
        <v>-</v>
      </c>
      <c r="AL163" s="450" t="str">
        <f>IF(Q163=0,"-",SUMIFS($Q$2:Q163,$A$2:A163,$A163,$F$2:F163,"&lt;="&amp;$F163)/SUMIFS($I$2:I163,$A$2:A163,$A163,$F$2:F163,"&lt;="&amp;$F163)-1)</f>
        <v>-</v>
      </c>
      <c r="AM163" s="450" t="str">
        <f>IFERROR(IF(O163=0,"-",SUMIFS($O$2:O163,$A$2:A163,$A163,$F$2:F163,"&lt;="&amp;$F163)/SUMIFS($K$2:K163,$A$2:A163,$A163,$F$2:F163,"&lt;="&amp;$F163)-1),"")</f>
        <v>-</v>
      </c>
      <c r="AN163" s="450" t="str">
        <f>IFERROR(IF(P163=0,"-",SUMIFS($P$2:P163,$A$2:A163,$A163,$F$2:F163,"&lt;="&amp;$F163)/SUMIFS($L$2:L163,$A$2:A163,$A163,$F$2:F163,"&lt;="&amp;$F163)-1),"")</f>
        <v>-</v>
      </c>
      <c r="AO163" s="450" t="str">
        <f>IFERROR(IF(Q163=0,"-",SUMIFS($Q$2:Q163,$A$2:A163,$A163,$F$2:F163,"&lt;="&amp;$F163)/SUMIFS($M$2:M163,$A$2:A163,$A163,$F$2:F163,"&lt;="&amp;$F163)-1),"")</f>
        <v>-</v>
      </c>
      <c r="AP163" s="134"/>
      <c r="AQ163" s="452" t="str">
        <f>'Overall Metrics'!AO168</f>
        <v/>
      </c>
      <c r="AR163" s="450" t="str">
        <f t="shared" si="65"/>
        <v/>
      </c>
      <c r="AS163" s="453" t="str">
        <f>IFERROR(IF(R164=0,"-",AVERAGEIFS($AQ$2:AQ163,$A$2:A163,$A163,$F$2:F163,"&lt;="&amp;$F163)-AVERAGEIFS($AP$2:AP163,$A$2:A163,$A163,$F$2:F163,"&lt;="&amp;$F163)),"")</f>
        <v>-</v>
      </c>
      <c r="AT163" s="390" t="str">
        <f>IFERROR(IF(R164=0,"-",AVERAGEIFS($AQ$2:AQ163,$A$2:A163,A163,$C$2:C163,C163)-AVERAGEIFS($AP$2:AP163,$A$2:A163,A163,$C$2:C163,C163)),"")</f>
        <v>-</v>
      </c>
      <c r="AU163" s="451"/>
      <c r="AV163" s="452">
        <f>'Overall Metrics'!AS168</f>
        <v>0</v>
      </c>
      <c r="AW163" s="450" t="str">
        <f t="shared" si="66"/>
        <v/>
      </c>
      <c r="AX163" s="453" t="str">
        <f>IFERROR(IF(R167=0,"-",AVERAGEIFS($AV$2:AV163,$A$2:A163,$A163,$F$2:F163,"&lt;="&amp;$F163)-AVERAGEIFS($AU$2:AU163,$A$2:A163,$A163,$F$2:F163,"&lt;="&amp;$F163)),"")</f>
        <v>-</v>
      </c>
      <c r="AY163" s="453" t="str">
        <f>IFERROR(IF(R167=0,"-",AVERAGEIFS($AV$2:AV163,$A$2:A163,A163,$C$2:C163,C163)-AVERAGEIFS($AU$2:AU163,$A$2:A163,A163,$C$2:C163,C163)),"")</f>
        <v>-</v>
      </c>
      <c r="AZ163" s="103"/>
      <c r="BA163" s="449">
        <f>'Glass Metrics'!AC168</f>
        <v>0</v>
      </c>
      <c r="BB163" s="450" t="str">
        <f t="shared" si="67"/>
        <v/>
      </c>
      <c r="BC163" s="450" t="str">
        <f>IFERROR(IF(R163=0,"-",AVERAGEIFS($BA$2:BA163,$A$2:A163,$A163,$F$2:F163,"&lt;="&amp;$F163)/AVERAGEIFS($AZ$2:AZ163,$A$2:A163,$A163,$F$2:F163,"&lt;="&amp;$F163)-1),"")</f>
        <v>-</v>
      </c>
      <c r="BD163" s="269" t="str">
        <f>IFERROR(IF(R163=0,"-",AVERAGEIFS($BA$2:BA163,$A$2:A163,A163,$C$2:C163,C163)/AVERAGEIFS($AZ$2:AZ163,$A$2:A163,A163,$C$2:C163,C163)-1),"")</f>
        <v>-</v>
      </c>
    </row>
    <row r="164" spans="1:56" ht="16.350000000000001" customHeight="1">
      <c r="A164" s="175">
        <f t="shared" si="46"/>
        <v>2024</v>
      </c>
      <c r="B164" s="447" t="str">
        <f t="shared" si="47"/>
        <v>07</v>
      </c>
      <c r="C164" s="447" t="str">
        <f t="array" ref="C164">_xlfn.IFS(_xlfn.NUMBERVALUE(B164)&lt;=13,"Q1",AND(_xlfn.NUMBERVALUE(B164)&gt;13,_xlfn.NUMBERVALUE(B164)&lt;=26),"Q2", AND(_xlfn.NUMBERVALUE(B164)&gt;26,_xlfn.NUMBERVALUE(B164)&lt;=39),"Q3",_xlfn.NUMBERVALUE(B164)&gt;39,"Q4")</f>
        <v>Q1</v>
      </c>
      <c r="D164" s="448">
        <f t="shared" si="68"/>
        <v>44996</v>
      </c>
      <c r="E164" s="448">
        <f t="shared" si="48"/>
        <v>45002</v>
      </c>
      <c r="F164" s="79">
        <v>202307</v>
      </c>
      <c r="G164" s="103"/>
      <c r="H164" s="429"/>
      <c r="I164" s="429"/>
      <c r="J164" s="214">
        <f t="shared" si="49"/>
        <v>0</v>
      </c>
      <c r="K164" s="429"/>
      <c r="L164" s="429"/>
      <c r="M164" s="429"/>
      <c r="N164" s="214">
        <f t="shared" si="50"/>
        <v>0</v>
      </c>
      <c r="O164" s="449">
        <f>'Overall Metrics'!L169</f>
        <v>0</v>
      </c>
      <c r="P164" s="449">
        <f>'Overall Metrics'!M169</f>
        <v>0</v>
      </c>
      <c r="Q164" s="449">
        <f>'Overall Metrics'!N169</f>
        <v>0</v>
      </c>
      <c r="R164" s="449">
        <f t="shared" si="51"/>
        <v>0</v>
      </c>
      <c r="S164" s="180">
        <f t="shared" si="52"/>
        <v>0</v>
      </c>
      <c r="T164" s="449">
        <f t="shared" si="53"/>
        <v>0</v>
      </c>
      <c r="U164" s="449">
        <f t="shared" si="54"/>
        <v>0</v>
      </c>
      <c r="V164" s="450" t="str">
        <f t="shared" si="55"/>
        <v/>
      </c>
      <c r="W164" s="450" t="str">
        <f>IF(R164=0,"-",SUMIFS($R$2:R164,$A$2:A164,A164,$C$2:C164,C164)/SUMIFS($J$2:J164,$A$2:A164,A164,$C$2:C164,C164)-1)</f>
        <v>-</v>
      </c>
      <c r="X164" s="450" t="str">
        <f t="shared" si="56"/>
        <v/>
      </c>
      <c r="Y164" s="450" t="str">
        <f>IFERROR(IF(R164=0,"-",SUMIFS($R$2:R164,$A$2:A164,A164,$C$2:C164,C164)/SUMIFS($N$2:N164,$A$2:A164,A164,$C$2:C164,C164)-1),"")</f>
        <v>-</v>
      </c>
      <c r="Z164" s="269" t="str">
        <f>IF(R164=0,"",(S164/VLOOKUP(_xlfn.NUMBERVALUE(_xlfn.CONCAT(LEFT(F164,4),52)),$F$2:T371,COLUMNS($F$2:T371),FALSE)))</f>
        <v/>
      </c>
      <c r="AA164" s="269" t="str">
        <f>IFERROR(IF(R164=0,"",(S164/VLOOKUP(_xlfn.NUMBERVALUE(_xlfn.CONCAT(LEFT(F164,4),52)),$F$2:U371,COLUMNS($F$2:U371),FALSE))),"")</f>
        <v/>
      </c>
      <c r="AB164" s="268" t="str">
        <f t="shared" si="57"/>
        <v/>
      </c>
      <c r="AC164" s="450" t="str">
        <f t="shared" si="58"/>
        <v/>
      </c>
      <c r="AD164" s="450" t="str">
        <f t="shared" si="59"/>
        <v/>
      </c>
      <c r="AE164" s="269" t="str">
        <f t="shared" si="60"/>
        <v/>
      </c>
      <c r="AF164" s="268" t="str">
        <f t="shared" si="61"/>
        <v/>
      </c>
      <c r="AG164" s="450" t="str">
        <f t="shared" si="62"/>
        <v/>
      </c>
      <c r="AH164" s="450" t="str">
        <f t="shared" si="63"/>
        <v/>
      </c>
      <c r="AI164" s="269" t="str">
        <f t="shared" si="64"/>
        <v/>
      </c>
      <c r="AJ164" s="450" t="str">
        <f>IF(O164=0,"-",SUMIFS($O$2:O164,$A$2:A164,$A164,$F$2:F164,"&lt;="&amp;$F164)/SUMIFS($G$2:G164,$A$2:A164,$A164,$F$2:F164,"&lt;="&amp;$F164)-1)</f>
        <v>-</v>
      </c>
      <c r="AK164" s="450" t="str">
        <f>IF(P164=0,"-",SUMIFS($P$2:P164,$A$2:A164,$A164,$F$2:F164,"&lt;="&amp;$F164)/SUMIFS($H$2:H164,$A$2:A164,$A164,$F$2:F164,"&lt;="&amp;$F164)-1)</f>
        <v>-</v>
      </c>
      <c r="AL164" s="450" t="str">
        <f>IF(Q164=0,"-",SUMIFS($Q$2:Q164,$A$2:A164,$A164,$F$2:F164,"&lt;="&amp;$F164)/SUMIFS($I$2:I164,$A$2:A164,$A164,$F$2:F164,"&lt;="&amp;$F164)-1)</f>
        <v>-</v>
      </c>
      <c r="AM164" s="450" t="str">
        <f>IFERROR(IF(O164=0,"-",SUMIFS($O$2:O164,$A$2:A164,$A164,$F$2:F164,"&lt;="&amp;$F164)/SUMIFS($K$2:K164,$A$2:A164,$A164,$F$2:F164,"&lt;="&amp;$F164)-1),"")</f>
        <v>-</v>
      </c>
      <c r="AN164" s="450" t="str">
        <f>IFERROR(IF(P164=0,"-",SUMIFS($P$2:P164,$A$2:A164,$A164,$F$2:F164,"&lt;="&amp;$F164)/SUMIFS($L$2:L164,$A$2:A164,$A164,$F$2:F164,"&lt;="&amp;$F164)-1),"")</f>
        <v>-</v>
      </c>
      <c r="AO164" s="450" t="str">
        <f>IFERROR(IF(Q164=0,"-",SUMIFS($Q$2:Q164,$A$2:A164,$A164,$F$2:F164,"&lt;="&amp;$F164)/SUMIFS($M$2:M164,$A$2:A164,$A164,$F$2:F164,"&lt;="&amp;$F164)-1),"")</f>
        <v>-</v>
      </c>
      <c r="AP164" s="134"/>
      <c r="AQ164" s="452" t="str">
        <f>'Overall Metrics'!AO169</f>
        <v/>
      </c>
      <c r="AR164" s="450" t="str">
        <f t="shared" si="65"/>
        <v/>
      </c>
      <c r="AS164" s="453" t="str">
        <f>IFERROR(IF(R165=0,"-",AVERAGEIFS($AQ$2:AQ164,$A$2:A164,$A164,$F$2:F164,"&lt;="&amp;$F164)-AVERAGEIFS($AP$2:AP164,$A$2:A164,$A164,$F$2:F164,"&lt;="&amp;$F164)),"")</f>
        <v>-</v>
      </c>
      <c r="AT164" s="390" t="str">
        <f>IFERROR(IF(R165=0,"-",AVERAGEIFS($AQ$2:AQ164,$A$2:A164,A164,$C$2:C164,C164)-AVERAGEIFS($AP$2:AP164,$A$2:A164,A164,$C$2:C164,C164)),"")</f>
        <v>-</v>
      </c>
      <c r="AU164" s="451"/>
      <c r="AV164" s="452">
        <f>'Overall Metrics'!AS169</f>
        <v>0</v>
      </c>
      <c r="AW164" s="450" t="str">
        <f t="shared" si="66"/>
        <v/>
      </c>
      <c r="AX164" s="453" t="str">
        <f>IFERROR(IF(R168=0,"-",AVERAGEIFS($AV$2:AV164,$A$2:A164,$A164,$F$2:F164,"&lt;="&amp;$F164)-AVERAGEIFS($AU$2:AU164,$A$2:A164,$A164,$F$2:F164,"&lt;="&amp;$F164)),"")</f>
        <v>-</v>
      </c>
      <c r="AY164" s="453" t="str">
        <f>IFERROR(IF(R168=0,"-",AVERAGEIFS($AV$2:AV164,$A$2:A164,A164,$C$2:C164,C164)-AVERAGEIFS($AU$2:AU164,$A$2:A164,A164,$C$2:C164,C164)),"")</f>
        <v>-</v>
      </c>
      <c r="AZ164" s="103"/>
      <c r="BA164" s="449">
        <f>'Glass Metrics'!AC169</f>
        <v>0</v>
      </c>
      <c r="BB164" s="450" t="str">
        <f t="shared" si="67"/>
        <v/>
      </c>
      <c r="BC164" s="450" t="str">
        <f>IFERROR(IF(R164=0,"-",AVERAGEIFS($BA$2:BA164,$A$2:A164,$A164,$F$2:F164,"&lt;="&amp;$F164)/AVERAGEIFS($AZ$2:AZ164,$A$2:A164,$A164,$F$2:F164,"&lt;="&amp;$F164)-1),"")</f>
        <v>-</v>
      </c>
      <c r="BD164" s="269" t="str">
        <f>IFERROR(IF(R164=0,"-",AVERAGEIFS($BA$2:BA164,$A$2:A164,A164,$C$2:C164,C164)/AVERAGEIFS($AZ$2:AZ164,$A$2:A164,A164,$C$2:C164,C164)-1),"")</f>
        <v>-</v>
      </c>
    </row>
    <row r="165" spans="1:56" ht="14.1" customHeight="1">
      <c r="A165" s="175">
        <f t="shared" si="46"/>
        <v>2024</v>
      </c>
      <c r="B165" s="447" t="str">
        <f t="shared" si="47"/>
        <v>08</v>
      </c>
      <c r="C165" s="447" t="str">
        <f t="array" ref="C165">_xlfn.IFS(_xlfn.NUMBERVALUE(B165)&lt;=13,"Q1",AND(_xlfn.NUMBERVALUE(B165)&gt;13,_xlfn.NUMBERVALUE(B165)&lt;=26),"Q2", AND(_xlfn.NUMBERVALUE(B165)&gt;26,_xlfn.NUMBERVALUE(B165)&lt;=39),"Q3",_xlfn.NUMBERVALUE(B165)&gt;39,"Q4")</f>
        <v>Q1</v>
      </c>
      <c r="D165" s="448">
        <f t="shared" si="68"/>
        <v>45003</v>
      </c>
      <c r="E165" s="448">
        <f t="shared" si="48"/>
        <v>45009</v>
      </c>
      <c r="F165" s="79">
        <v>202308</v>
      </c>
      <c r="G165" s="103"/>
      <c r="H165" s="429"/>
      <c r="I165" s="429"/>
      <c r="J165" s="214">
        <f t="shared" si="49"/>
        <v>0</v>
      </c>
      <c r="K165" s="429"/>
      <c r="L165" s="429"/>
      <c r="M165" s="429"/>
      <c r="N165" s="214">
        <f t="shared" si="50"/>
        <v>0</v>
      </c>
      <c r="O165" s="449">
        <f>'Overall Metrics'!L170</f>
        <v>0</v>
      </c>
      <c r="P165" s="449">
        <f>'Overall Metrics'!M170</f>
        <v>0</v>
      </c>
      <c r="Q165" s="449">
        <f>'Overall Metrics'!N170</f>
        <v>0</v>
      </c>
      <c r="R165" s="449">
        <f t="shared" si="51"/>
        <v>0</v>
      </c>
      <c r="S165" s="180">
        <f t="shared" si="52"/>
        <v>0</v>
      </c>
      <c r="T165" s="449">
        <f t="shared" si="53"/>
        <v>0</v>
      </c>
      <c r="U165" s="449">
        <f t="shared" si="54"/>
        <v>0</v>
      </c>
      <c r="V165" s="450" t="str">
        <f t="shared" si="55"/>
        <v/>
      </c>
      <c r="W165" s="450" t="str">
        <f>IF(R165=0,"-",SUMIFS($R$2:R165,$A$2:A165,A165,$C$2:C165,C165)/SUMIFS($J$2:J165,$A$2:A165,A165,$C$2:C165,C165)-1)</f>
        <v>-</v>
      </c>
      <c r="X165" s="450" t="str">
        <f t="shared" si="56"/>
        <v/>
      </c>
      <c r="Y165" s="450" t="str">
        <f>IFERROR(IF(R165=0,"-",SUMIFS($R$2:R165,$A$2:A165,A165,$C$2:C165,C165)/SUMIFS($N$2:N165,$A$2:A165,A165,$C$2:C165,C165)-1),"")</f>
        <v>-</v>
      </c>
      <c r="Z165" s="269" t="str">
        <f>IF(R165=0,"",(S165/VLOOKUP(_xlfn.NUMBERVALUE(_xlfn.CONCAT(LEFT(F165,4),52)),$F$2:T372,COLUMNS($F$2:T372),FALSE)))</f>
        <v/>
      </c>
      <c r="AA165" s="269" t="str">
        <f>IFERROR(IF(R165=0,"",(S165/VLOOKUP(_xlfn.NUMBERVALUE(_xlfn.CONCAT(LEFT(F165,4),52)),$F$2:U372,COLUMNS($F$2:U372),FALSE))),"")</f>
        <v/>
      </c>
      <c r="AB165" s="268" t="str">
        <f t="shared" si="57"/>
        <v/>
      </c>
      <c r="AC165" s="450" t="str">
        <f t="shared" si="58"/>
        <v/>
      </c>
      <c r="AD165" s="450" t="str">
        <f t="shared" si="59"/>
        <v/>
      </c>
      <c r="AE165" s="269" t="str">
        <f t="shared" si="60"/>
        <v/>
      </c>
      <c r="AF165" s="268" t="str">
        <f t="shared" si="61"/>
        <v/>
      </c>
      <c r="AG165" s="450" t="str">
        <f t="shared" si="62"/>
        <v/>
      </c>
      <c r="AH165" s="450" t="str">
        <f t="shared" si="63"/>
        <v/>
      </c>
      <c r="AI165" s="269" t="str">
        <f t="shared" si="64"/>
        <v/>
      </c>
      <c r="AJ165" s="450" t="str">
        <f>IF(O165=0,"-",SUMIFS($O$2:O165,$A$2:A165,$A165,$F$2:F165,"&lt;="&amp;$F165)/SUMIFS($G$2:G165,$A$2:A165,$A165,$F$2:F165,"&lt;="&amp;$F165)-1)</f>
        <v>-</v>
      </c>
      <c r="AK165" s="450" t="str">
        <f>IF(P165=0,"-",SUMIFS($P$2:P165,$A$2:A165,$A165,$F$2:F165,"&lt;="&amp;$F165)/SUMIFS($H$2:H165,$A$2:A165,$A165,$F$2:F165,"&lt;="&amp;$F165)-1)</f>
        <v>-</v>
      </c>
      <c r="AL165" s="450" t="str">
        <f>IF(Q165=0,"-",SUMIFS($Q$2:Q165,$A$2:A165,$A165,$F$2:F165,"&lt;="&amp;$F165)/SUMIFS($I$2:I165,$A$2:A165,$A165,$F$2:F165,"&lt;="&amp;$F165)-1)</f>
        <v>-</v>
      </c>
      <c r="AM165" s="450" t="str">
        <f>IFERROR(IF(O165=0,"-",SUMIFS($O$2:O165,$A$2:A165,$A165,$F$2:F165,"&lt;="&amp;$F165)/SUMIFS($K$2:K165,$A$2:A165,$A165,$F$2:F165,"&lt;="&amp;$F165)-1),"")</f>
        <v>-</v>
      </c>
      <c r="AN165" s="450" t="str">
        <f>IFERROR(IF(P165=0,"-",SUMIFS($P$2:P165,$A$2:A165,$A165,$F$2:F165,"&lt;="&amp;$F165)/SUMIFS($L$2:L165,$A$2:A165,$A165,$F$2:F165,"&lt;="&amp;$F165)-1),"")</f>
        <v>-</v>
      </c>
      <c r="AO165" s="450" t="str">
        <f>IFERROR(IF(Q165=0,"-",SUMIFS($Q$2:Q165,$A$2:A165,$A165,$F$2:F165,"&lt;="&amp;$F165)/SUMIFS($M$2:M165,$A$2:A165,$A165,$F$2:F165,"&lt;="&amp;$F165)-1),"")</f>
        <v>-</v>
      </c>
      <c r="AP165" s="134"/>
      <c r="AQ165" s="452" t="str">
        <f>'Overall Metrics'!AO170</f>
        <v/>
      </c>
      <c r="AR165" s="450" t="str">
        <f t="shared" si="65"/>
        <v/>
      </c>
      <c r="AS165" s="453" t="str">
        <f>IFERROR(IF(R166=0,"-",AVERAGEIFS($AQ$2:AQ165,$A$2:A165,$A165,$F$2:F165,"&lt;="&amp;$F165)-AVERAGEIFS($AP$2:AP165,$A$2:A165,$A165,$F$2:F165,"&lt;="&amp;$F165)),"")</f>
        <v>-</v>
      </c>
      <c r="AT165" s="390" t="str">
        <f>IFERROR(IF(R166=0,"-",AVERAGEIFS($AQ$2:AQ165,$A$2:A165,A165,$C$2:C165,C165)-AVERAGEIFS($AP$2:AP165,$A$2:A165,A165,$C$2:C165,C165)),"")</f>
        <v>-</v>
      </c>
      <c r="AU165" s="451"/>
      <c r="AV165" s="452">
        <f>'Overall Metrics'!AS170</f>
        <v>0</v>
      </c>
      <c r="AW165" s="450" t="str">
        <f t="shared" si="66"/>
        <v/>
      </c>
      <c r="AX165" s="453" t="str">
        <f>IFERROR(IF(R169=0,"-",AVERAGEIFS($AV$2:AV165,$A$2:A165,$A165,$F$2:F165,"&lt;="&amp;$F165)-AVERAGEIFS($AU$2:AU165,$A$2:A165,$A165,$F$2:F165,"&lt;="&amp;$F165)),"")</f>
        <v>-</v>
      </c>
      <c r="AY165" s="453" t="str">
        <f>IFERROR(IF(R169=0,"-",AVERAGEIFS($AV$2:AV165,$A$2:A165,A165,$C$2:C165,C165)-AVERAGEIFS($AU$2:AU165,$A$2:A165,A165,$C$2:C165,C165)),"")</f>
        <v>-</v>
      </c>
      <c r="AZ165" s="103"/>
      <c r="BA165" s="449">
        <f>'Glass Metrics'!AC170</f>
        <v>0</v>
      </c>
      <c r="BB165" s="450" t="str">
        <f t="shared" si="67"/>
        <v/>
      </c>
      <c r="BC165" s="450" t="str">
        <f>IFERROR(IF(R165=0,"-",AVERAGEIFS($BA$2:BA165,$A$2:A165,$A165,$F$2:F165,"&lt;="&amp;$F165)/AVERAGEIFS($AZ$2:AZ165,$A$2:A165,$A165,$F$2:F165,"&lt;="&amp;$F165)-1),"")</f>
        <v>-</v>
      </c>
      <c r="BD165" s="269" t="str">
        <f>IFERROR(IF(R165=0,"-",AVERAGEIFS($BA$2:BA165,$A$2:A165,A165,$C$2:C165,C165)/AVERAGEIFS($AZ$2:AZ165,$A$2:A165,A165,$C$2:C165,C165)-1),"")</f>
        <v>-</v>
      </c>
    </row>
    <row r="166" spans="1:56" ht="16.350000000000001" customHeight="1">
      <c r="A166" s="175">
        <f t="shared" si="46"/>
        <v>2024</v>
      </c>
      <c r="B166" s="447" t="str">
        <f t="shared" si="47"/>
        <v>09</v>
      </c>
      <c r="C166" s="447" t="str">
        <f t="array" ref="C166">_xlfn.IFS(_xlfn.NUMBERVALUE(B166)&lt;=13,"Q1",AND(_xlfn.NUMBERVALUE(B166)&gt;13,_xlfn.NUMBERVALUE(B166)&lt;=26),"Q2", AND(_xlfn.NUMBERVALUE(B166)&gt;26,_xlfn.NUMBERVALUE(B166)&lt;=39),"Q3",_xlfn.NUMBERVALUE(B166)&gt;39,"Q4")</f>
        <v>Q1</v>
      </c>
      <c r="D166" s="448">
        <f t="shared" si="68"/>
        <v>45010</v>
      </c>
      <c r="E166" s="448">
        <f t="shared" si="48"/>
        <v>45016</v>
      </c>
      <c r="F166" s="79">
        <v>202309</v>
      </c>
      <c r="G166" s="103"/>
      <c r="H166" s="429"/>
      <c r="I166" s="429"/>
      <c r="J166" s="214">
        <f t="shared" si="49"/>
        <v>0</v>
      </c>
      <c r="K166" s="429"/>
      <c r="L166" s="429"/>
      <c r="M166" s="429"/>
      <c r="N166" s="214">
        <f t="shared" si="50"/>
        <v>0</v>
      </c>
      <c r="O166" s="449">
        <f>'Overall Metrics'!L171</f>
        <v>0</v>
      </c>
      <c r="P166" s="449">
        <f>'Overall Metrics'!M171</f>
        <v>0</v>
      </c>
      <c r="Q166" s="449">
        <f>'Overall Metrics'!N171</f>
        <v>0</v>
      </c>
      <c r="R166" s="449">
        <f t="shared" si="51"/>
        <v>0</v>
      </c>
      <c r="S166" s="180">
        <f t="shared" si="52"/>
        <v>0</v>
      </c>
      <c r="T166" s="449">
        <f t="shared" si="53"/>
        <v>0</v>
      </c>
      <c r="U166" s="449">
        <f t="shared" si="54"/>
        <v>0</v>
      </c>
      <c r="V166" s="450" t="str">
        <f t="shared" si="55"/>
        <v/>
      </c>
      <c r="W166" s="450" t="str">
        <f>IF(R166=0,"-",SUMIFS($R$2:R166,$A$2:A166,A166,$C$2:C166,C166)/SUMIFS($J$2:J166,$A$2:A166,A166,$C$2:C166,C166)-1)</f>
        <v>-</v>
      </c>
      <c r="X166" s="450" t="str">
        <f t="shared" si="56"/>
        <v/>
      </c>
      <c r="Y166" s="450" t="str">
        <f>IFERROR(IF(R166=0,"-",SUMIFS($R$2:R166,$A$2:A166,A166,$C$2:C166,C166)/SUMIFS($N$2:N166,$A$2:A166,A166,$C$2:C166,C166)-1),"")</f>
        <v>-</v>
      </c>
      <c r="Z166" s="269" t="str">
        <f>IF(R166=0,"",(S166/VLOOKUP(_xlfn.NUMBERVALUE(_xlfn.CONCAT(LEFT(F166,4),52)),$F$2:T373,COLUMNS($F$2:T373),FALSE)))</f>
        <v/>
      </c>
      <c r="AA166" s="269" t="str">
        <f>IFERROR(IF(R166=0,"",(S166/VLOOKUP(_xlfn.NUMBERVALUE(_xlfn.CONCAT(LEFT(F166,4),52)),$F$2:U373,COLUMNS($F$2:U373),FALSE))),"")</f>
        <v/>
      </c>
      <c r="AB166" s="268" t="str">
        <f t="shared" si="57"/>
        <v/>
      </c>
      <c r="AC166" s="450" t="str">
        <f t="shared" si="58"/>
        <v/>
      </c>
      <c r="AD166" s="450" t="str">
        <f t="shared" si="59"/>
        <v/>
      </c>
      <c r="AE166" s="269" t="str">
        <f t="shared" si="60"/>
        <v/>
      </c>
      <c r="AF166" s="268" t="str">
        <f t="shared" si="61"/>
        <v/>
      </c>
      <c r="AG166" s="450" t="str">
        <f t="shared" si="62"/>
        <v/>
      </c>
      <c r="AH166" s="450" t="str">
        <f t="shared" si="63"/>
        <v/>
      </c>
      <c r="AI166" s="269" t="str">
        <f t="shared" si="64"/>
        <v/>
      </c>
      <c r="AJ166" s="450" t="str">
        <f>IF(O166=0,"-",SUMIFS($O$2:O166,$A$2:A166,$A166,$F$2:F166,"&lt;="&amp;$F166)/SUMIFS($G$2:G166,$A$2:A166,$A166,$F$2:F166,"&lt;="&amp;$F166)-1)</f>
        <v>-</v>
      </c>
      <c r="AK166" s="450" t="str">
        <f>IF(P166=0,"-",SUMIFS($P$2:P166,$A$2:A166,$A166,$F$2:F166,"&lt;="&amp;$F166)/SUMIFS($H$2:H166,$A$2:A166,$A166,$F$2:F166,"&lt;="&amp;$F166)-1)</f>
        <v>-</v>
      </c>
      <c r="AL166" s="450" t="str">
        <f>IF(Q166=0,"-",SUMIFS($Q$2:Q166,$A$2:A166,$A166,$F$2:F166,"&lt;="&amp;$F166)/SUMIFS($I$2:I166,$A$2:A166,$A166,$F$2:F166,"&lt;="&amp;$F166)-1)</f>
        <v>-</v>
      </c>
      <c r="AM166" s="450" t="str">
        <f>IFERROR(IF(O166=0,"-",SUMIFS($O$2:O166,$A$2:A166,$A166,$F$2:F166,"&lt;="&amp;$F166)/SUMIFS($K$2:K166,$A$2:A166,$A166,$F$2:F166,"&lt;="&amp;$F166)-1),"")</f>
        <v>-</v>
      </c>
      <c r="AN166" s="450" t="str">
        <f>IFERROR(IF(P166=0,"-",SUMIFS($P$2:P166,$A$2:A166,$A166,$F$2:F166,"&lt;="&amp;$F166)/SUMIFS($L$2:L166,$A$2:A166,$A166,$F$2:F166,"&lt;="&amp;$F166)-1),"")</f>
        <v>-</v>
      </c>
      <c r="AO166" s="450" t="str">
        <f>IFERROR(IF(Q166=0,"-",SUMIFS($Q$2:Q166,$A$2:A166,$A166,$F$2:F166,"&lt;="&amp;$F166)/SUMIFS($M$2:M166,$A$2:A166,$A166,$F$2:F166,"&lt;="&amp;$F166)-1),"")</f>
        <v>-</v>
      </c>
      <c r="AP166" s="134"/>
      <c r="AQ166" s="452" t="str">
        <f>'Overall Metrics'!AO171</f>
        <v/>
      </c>
      <c r="AR166" s="450" t="str">
        <f t="shared" si="65"/>
        <v/>
      </c>
      <c r="AS166" s="453" t="str">
        <f>IFERROR(IF(R167=0,"-",AVERAGEIFS($AQ$2:AQ166,$A$2:A166,$A166,$F$2:F166,"&lt;="&amp;$F166)-AVERAGEIFS($AP$2:AP166,$A$2:A166,$A166,$F$2:F166,"&lt;="&amp;$F166)),"")</f>
        <v>-</v>
      </c>
      <c r="AT166" s="390" t="str">
        <f>IFERROR(IF(R167=0,"-",AVERAGEIFS($AQ$2:AQ166,$A$2:A166,A166,$C$2:C166,C166)-AVERAGEIFS($AP$2:AP166,$A$2:A166,A166,$C$2:C166,C166)),"")</f>
        <v>-</v>
      </c>
      <c r="AU166" s="451"/>
      <c r="AV166" s="452">
        <f>'Overall Metrics'!AS171</f>
        <v>0</v>
      </c>
      <c r="AW166" s="450" t="str">
        <f t="shared" si="66"/>
        <v/>
      </c>
      <c r="AX166" s="453" t="str">
        <f>IFERROR(IF(R170=0,"-",AVERAGEIFS($AV$2:AV166,$A$2:A166,$A166,$F$2:F166,"&lt;="&amp;$F166)-AVERAGEIFS($AU$2:AU166,$A$2:A166,$A166,$F$2:F166,"&lt;="&amp;$F166)),"")</f>
        <v>-</v>
      </c>
      <c r="AY166" s="453" t="str">
        <f>IFERROR(IF(R170=0,"-",AVERAGEIFS($AV$2:AV166,$A$2:A166,A166,$C$2:C166,C166)-AVERAGEIFS($AU$2:AU166,$A$2:A166,A166,$C$2:C166,C166)),"")</f>
        <v>-</v>
      </c>
      <c r="AZ166" s="103"/>
      <c r="BA166" s="449">
        <f>'Glass Metrics'!AC171</f>
        <v>0</v>
      </c>
      <c r="BB166" s="450" t="str">
        <f t="shared" si="67"/>
        <v/>
      </c>
      <c r="BC166" s="450" t="str">
        <f>IFERROR(IF(R166=0,"-",AVERAGEIFS($BA$2:BA166,$A$2:A166,$A166,$F$2:F166,"&lt;="&amp;$F166)/AVERAGEIFS($AZ$2:AZ166,$A$2:A166,$A166,$F$2:F166,"&lt;="&amp;$F166)-1),"")</f>
        <v>-</v>
      </c>
      <c r="BD166" s="269" t="str">
        <f>IFERROR(IF(R166=0,"-",AVERAGEIFS($BA$2:BA166,$A$2:A166,A166,$C$2:C166,C166)/AVERAGEIFS($AZ$2:AZ166,$A$2:A166,A166,$C$2:C166,C166)-1),"")</f>
        <v>-</v>
      </c>
    </row>
    <row r="167" spans="1:56" ht="16.350000000000001" customHeight="1">
      <c r="A167" s="175">
        <f t="shared" si="46"/>
        <v>2024</v>
      </c>
      <c r="B167" s="447" t="str">
        <f t="shared" si="47"/>
        <v>10</v>
      </c>
      <c r="C167" s="447" t="str">
        <f t="array" ref="C167">_xlfn.IFS(_xlfn.NUMBERVALUE(B167)&lt;=13,"Q1",AND(_xlfn.NUMBERVALUE(B167)&gt;13,_xlfn.NUMBERVALUE(B167)&lt;=26),"Q2", AND(_xlfn.NUMBERVALUE(B167)&gt;26,_xlfn.NUMBERVALUE(B167)&lt;=39),"Q3",_xlfn.NUMBERVALUE(B167)&gt;39,"Q4")</f>
        <v>Q1</v>
      </c>
      <c r="D167" s="448">
        <f t="shared" si="68"/>
        <v>45017</v>
      </c>
      <c r="E167" s="448">
        <f t="shared" si="48"/>
        <v>45023</v>
      </c>
      <c r="F167" s="79">
        <v>202310</v>
      </c>
      <c r="G167" s="103"/>
      <c r="H167" s="429"/>
      <c r="I167" s="429"/>
      <c r="J167" s="214">
        <f t="shared" si="49"/>
        <v>0</v>
      </c>
      <c r="K167" s="429"/>
      <c r="L167" s="429"/>
      <c r="M167" s="429"/>
      <c r="N167" s="214">
        <f t="shared" si="50"/>
        <v>0</v>
      </c>
      <c r="O167" s="449">
        <f>'Overall Metrics'!L172</f>
        <v>0</v>
      </c>
      <c r="P167" s="449">
        <f>'Overall Metrics'!M172</f>
        <v>0</v>
      </c>
      <c r="Q167" s="449">
        <f>'Overall Metrics'!N172</f>
        <v>0</v>
      </c>
      <c r="R167" s="449">
        <f t="shared" si="51"/>
        <v>0</v>
      </c>
      <c r="S167" s="180">
        <f t="shared" si="52"/>
        <v>0</v>
      </c>
      <c r="T167" s="449">
        <f t="shared" si="53"/>
        <v>0</v>
      </c>
      <c r="U167" s="449">
        <f t="shared" si="54"/>
        <v>0</v>
      </c>
      <c r="V167" s="450" t="str">
        <f t="shared" si="55"/>
        <v/>
      </c>
      <c r="W167" s="450" t="str">
        <f>IF(R167=0,"-",SUMIFS($R$2:R167,$A$2:A167,A167,$C$2:C167,C167)/SUMIFS($J$2:J167,$A$2:A167,A167,$C$2:C167,C167)-1)</f>
        <v>-</v>
      </c>
      <c r="X167" s="450" t="str">
        <f t="shared" si="56"/>
        <v/>
      </c>
      <c r="Y167" s="450" t="str">
        <f>IFERROR(IF(R167=0,"-",SUMIFS($R$2:R167,$A$2:A167,A167,$C$2:C167,C167)/SUMIFS($N$2:N167,$A$2:A167,A167,$C$2:C167,C167)-1),"")</f>
        <v>-</v>
      </c>
      <c r="Z167" s="269" t="str">
        <f>IF(R167=0,"",(S167/VLOOKUP(_xlfn.NUMBERVALUE(_xlfn.CONCAT(LEFT(F167,4),52)),$F$2:T374,COLUMNS($F$2:T374),FALSE)))</f>
        <v/>
      </c>
      <c r="AA167" s="269" t="str">
        <f>IFERROR(IF(R167=0,"",(S167/VLOOKUP(_xlfn.NUMBERVALUE(_xlfn.CONCAT(LEFT(F167,4),52)),$F$2:U374,COLUMNS($F$2:U374),FALSE))),"")</f>
        <v/>
      </c>
      <c r="AB167" s="268" t="str">
        <f t="shared" si="57"/>
        <v/>
      </c>
      <c r="AC167" s="450" t="str">
        <f t="shared" si="58"/>
        <v/>
      </c>
      <c r="AD167" s="450" t="str">
        <f t="shared" si="59"/>
        <v/>
      </c>
      <c r="AE167" s="269" t="str">
        <f t="shared" si="60"/>
        <v/>
      </c>
      <c r="AF167" s="268" t="str">
        <f t="shared" si="61"/>
        <v/>
      </c>
      <c r="AG167" s="450" t="str">
        <f t="shared" si="62"/>
        <v/>
      </c>
      <c r="AH167" s="450" t="str">
        <f t="shared" si="63"/>
        <v/>
      </c>
      <c r="AI167" s="269" t="str">
        <f t="shared" si="64"/>
        <v/>
      </c>
      <c r="AJ167" s="450" t="str">
        <f>IF(O167=0,"-",SUMIFS($O$2:O167,$A$2:A167,$A167,$F$2:F167,"&lt;="&amp;$F167)/SUMIFS($G$2:G167,$A$2:A167,$A167,$F$2:F167,"&lt;="&amp;$F167)-1)</f>
        <v>-</v>
      </c>
      <c r="AK167" s="450" t="str">
        <f>IF(P167=0,"-",SUMIFS($P$2:P167,$A$2:A167,$A167,$F$2:F167,"&lt;="&amp;$F167)/SUMIFS($H$2:H167,$A$2:A167,$A167,$F$2:F167,"&lt;="&amp;$F167)-1)</f>
        <v>-</v>
      </c>
      <c r="AL167" s="450" t="str">
        <f>IF(Q167=0,"-",SUMIFS($Q$2:Q167,$A$2:A167,$A167,$F$2:F167,"&lt;="&amp;$F167)/SUMIFS($I$2:I167,$A$2:A167,$A167,$F$2:F167,"&lt;="&amp;$F167)-1)</f>
        <v>-</v>
      </c>
      <c r="AM167" s="450" t="str">
        <f>IFERROR(IF(O167=0,"-",SUMIFS($O$2:O167,$A$2:A167,$A167,$F$2:F167,"&lt;="&amp;$F167)/SUMIFS($K$2:K167,$A$2:A167,$A167,$F$2:F167,"&lt;="&amp;$F167)-1),"")</f>
        <v>-</v>
      </c>
      <c r="AN167" s="450" t="str">
        <f>IFERROR(IF(P167=0,"-",SUMIFS($P$2:P167,$A$2:A167,$A167,$F$2:F167,"&lt;="&amp;$F167)/SUMIFS($L$2:L167,$A$2:A167,$A167,$F$2:F167,"&lt;="&amp;$F167)-1),"")</f>
        <v>-</v>
      </c>
      <c r="AO167" s="450" t="str">
        <f>IFERROR(IF(Q167=0,"-",SUMIFS($Q$2:Q167,$A$2:A167,$A167,$F$2:F167,"&lt;="&amp;$F167)/SUMIFS($M$2:M167,$A$2:A167,$A167,$F$2:F167,"&lt;="&amp;$F167)-1),"")</f>
        <v>-</v>
      </c>
      <c r="AP167" s="134"/>
      <c r="AQ167" s="452" t="str">
        <f>'Overall Metrics'!AO172</f>
        <v/>
      </c>
      <c r="AR167" s="450" t="str">
        <f t="shared" si="65"/>
        <v/>
      </c>
      <c r="AS167" s="453" t="str">
        <f>IFERROR(IF(R168=0,"-",AVERAGEIFS($AQ$2:AQ167,$A$2:A167,$A167,$F$2:F167,"&lt;="&amp;$F167)-AVERAGEIFS($AP$2:AP167,$A$2:A167,$A167,$F$2:F167,"&lt;="&amp;$F167)),"")</f>
        <v>-</v>
      </c>
      <c r="AT167" s="390" t="str">
        <f>IFERROR(IF(R168=0,"-",AVERAGEIFS($AQ$2:AQ167,$A$2:A167,A167,$C$2:C167,C167)-AVERAGEIFS($AP$2:AP167,$A$2:A167,A167,$C$2:C167,C167)),"")</f>
        <v>-</v>
      </c>
      <c r="AU167" s="451"/>
      <c r="AV167" s="452">
        <f>'Overall Metrics'!AS172</f>
        <v>0</v>
      </c>
      <c r="AW167" s="450" t="str">
        <f t="shared" si="66"/>
        <v/>
      </c>
      <c r="AX167" s="453" t="str">
        <f>IFERROR(IF(R171=0,"-",AVERAGEIFS($AV$2:AV167,$A$2:A167,$A167,$F$2:F167,"&lt;="&amp;$F167)-AVERAGEIFS($AU$2:AU167,$A$2:A167,$A167,$F$2:F167,"&lt;="&amp;$F167)),"")</f>
        <v>-</v>
      </c>
      <c r="AY167" s="453" t="str">
        <f>IFERROR(IF(R171=0,"-",AVERAGEIFS($AV$2:AV167,$A$2:A167,A167,$C$2:C167,C167)-AVERAGEIFS($AU$2:AU167,$A$2:A167,A167,$C$2:C167,C167)),"")</f>
        <v>-</v>
      </c>
      <c r="AZ167" s="103"/>
      <c r="BA167" s="449">
        <f>'Glass Metrics'!AC172</f>
        <v>0</v>
      </c>
      <c r="BB167" s="450" t="str">
        <f t="shared" si="67"/>
        <v/>
      </c>
      <c r="BC167" s="450" t="str">
        <f>IFERROR(IF(R167=0,"-",AVERAGEIFS($BA$2:BA167,$A$2:A167,$A167,$F$2:F167,"&lt;="&amp;$F167)/AVERAGEIFS($AZ$2:AZ167,$A$2:A167,$A167,$F$2:F167,"&lt;="&amp;$F167)-1),"")</f>
        <v>-</v>
      </c>
      <c r="BD167" s="269" t="str">
        <f>IFERROR(IF(R167=0,"-",AVERAGEIFS($BA$2:BA167,$A$2:A167,A167,$C$2:C167,C167)/AVERAGEIFS($AZ$2:AZ167,$A$2:A167,A167,$C$2:C167,C167)-1),"")</f>
        <v>-</v>
      </c>
    </row>
    <row r="168" spans="1:56" ht="16.350000000000001" customHeight="1">
      <c r="A168" s="175">
        <f t="shared" si="46"/>
        <v>2024</v>
      </c>
      <c r="B168" s="447" t="str">
        <f t="shared" si="47"/>
        <v>11</v>
      </c>
      <c r="C168" s="447" t="str">
        <f t="array" ref="C168">_xlfn.IFS(_xlfn.NUMBERVALUE(B168)&lt;=13,"Q1",AND(_xlfn.NUMBERVALUE(B168)&gt;13,_xlfn.NUMBERVALUE(B168)&lt;=26),"Q2", AND(_xlfn.NUMBERVALUE(B168)&gt;26,_xlfn.NUMBERVALUE(B168)&lt;=39),"Q3",_xlfn.NUMBERVALUE(B168)&gt;39,"Q4")</f>
        <v>Q1</v>
      </c>
      <c r="D168" s="448">
        <f t="shared" si="68"/>
        <v>45024</v>
      </c>
      <c r="E168" s="448">
        <f t="shared" si="48"/>
        <v>45030</v>
      </c>
      <c r="F168" s="79">
        <v>202311</v>
      </c>
      <c r="G168" s="103"/>
      <c r="H168" s="429"/>
      <c r="I168" s="429"/>
      <c r="J168" s="214">
        <f t="shared" si="49"/>
        <v>0</v>
      </c>
      <c r="K168" s="429"/>
      <c r="L168" s="429"/>
      <c r="M168" s="429"/>
      <c r="N168" s="214">
        <f t="shared" si="50"/>
        <v>0</v>
      </c>
      <c r="O168" s="449">
        <f>'Overall Metrics'!L173</f>
        <v>0</v>
      </c>
      <c r="P168" s="449">
        <f>'Overall Metrics'!M173</f>
        <v>0</v>
      </c>
      <c r="Q168" s="449">
        <f>'Overall Metrics'!N173</f>
        <v>0</v>
      </c>
      <c r="R168" s="449">
        <f t="shared" si="51"/>
        <v>0</v>
      </c>
      <c r="S168" s="180">
        <f t="shared" si="52"/>
        <v>0</v>
      </c>
      <c r="T168" s="449">
        <f t="shared" si="53"/>
        <v>0</v>
      </c>
      <c r="U168" s="449">
        <f t="shared" si="54"/>
        <v>0</v>
      </c>
      <c r="V168" s="450" t="str">
        <f t="shared" si="55"/>
        <v/>
      </c>
      <c r="W168" s="450" t="str">
        <f>IF(R168=0,"-",SUMIFS($R$2:R168,$A$2:A168,A168,$C$2:C168,C168)/SUMIFS($J$2:J168,$A$2:A168,A168,$C$2:C168,C168)-1)</f>
        <v>-</v>
      </c>
      <c r="X168" s="450" t="str">
        <f t="shared" si="56"/>
        <v/>
      </c>
      <c r="Y168" s="450" t="str">
        <f>IFERROR(IF(R168=0,"-",SUMIFS($R$2:R168,$A$2:A168,A168,$C$2:C168,C168)/SUMIFS($N$2:N168,$A$2:A168,A168,$C$2:C168,C168)-1),"")</f>
        <v>-</v>
      </c>
      <c r="Z168" s="269" t="str">
        <f>IF(R168=0,"",(S168/VLOOKUP(_xlfn.NUMBERVALUE(_xlfn.CONCAT(LEFT(F168,4),52)),$F$2:T375,COLUMNS($F$2:T375),FALSE)))</f>
        <v/>
      </c>
      <c r="AA168" s="269" t="str">
        <f>IFERROR(IF(R168=0,"",(S168/VLOOKUP(_xlfn.NUMBERVALUE(_xlfn.CONCAT(LEFT(F168,4),52)),$F$2:U375,COLUMNS($F$2:U375),FALSE))),"")</f>
        <v/>
      </c>
      <c r="AB168" s="268" t="str">
        <f t="shared" si="57"/>
        <v/>
      </c>
      <c r="AC168" s="450" t="str">
        <f t="shared" si="58"/>
        <v/>
      </c>
      <c r="AD168" s="450" t="str">
        <f t="shared" si="59"/>
        <v/>
      </c>
      <c r="AE168" s="269" t="str">
        <f t="shared" si="60"/>
        <v/>
      </c>
      <c r="AF168" s="268" t="str">
        <f t="shared" si="61"/>
        <v/>
      </c>
      <c r="AG168" s="450" t="str">
        <f t="shared" si="62"/>
        <v/>
      </c>
      <c r="AH168" s="450" t="str">
        <f t="shared" si="63"/>
        <v/>
      </c>
      <c r="AI168" s="269" t="str">
        <f t="shared" si="64"/>
        <v/>
      </c>
      <c r="AJ168" s="450" t="str">
        <f>IF(O168=0,"-",SUMIFS($O$2:O168,$A$2:A168,$A168,$F$2:F168,"&lt;="&amp;$F168)/SUMIFS($G$2:G168,$A$2:A168,$A168,$F$2:F168,"&lt;="&amp;$F168)-1)</f>
        <v>-</v>
      </c>
      <c r="AK168" s="450" t="str">
        <f>IF(P168=0,"-",SUMIFS($P$2:P168,$A$2:A168,$A168,$F$2:F168,"&lt;="&amp;$F168)/SUMIFS($H$2:H168,$A$2:A168,$A168,$F$2:F168,"&lt;="&amp;$F168)-1)</f>
        <v>-</v>
      </c>
      <c r="AL168" s="450" t="str">
        <f>IF(Q168=0,"-",SUMIFS($Q$2:Q168,$A$2:A168,$A168,$F$2:F168,"&lt;="&amp;$F168)/SUMIFS($I$2:I168,$A$2:A168,$A168,$F$2:F168,"&lt;="&amp;$F168)-1)</f>
        <v>-</v>
      </c>
      <c r="AM168" s="450" t="str">
        <f>IFERROR(IF(O168=0,"-",SUMIFS($O$2:O168,$A$2:A168,$A168,$F$2:F168,"&lt;="&amp;$F168)/SUMIFS($K$2:K168,$A$2:A168,$A168,$F$2:F168,"&lt;="&amp;$F168)-1),"")</f>
        <v>-</v>
      </c>
      <c r="AN168" s="450" t="str">
        <f>IFERROR(IF(P168=0,"-",SUMIFS($P$2:P168,$A$2:A168,$A168,$F$2:F168,"&lt;="&amp;$F168)/SUMIFS($L$2:L168,$A$2:A168,$A168,$F$2:F168,"&lt;="&amp;$F168)-1),"")</f>
        <v>-</v>
      </c>
      <c r="AO168" s="450" t="str">
        <f>IFERROR(IF(Q168=0,"-",SUMIFS($Q$2:Q168,$A$2:A168,$A168,$F$2:F168,"&lt;="&amp;$F168)/SUMIFS($M$2:M168,$A$2:A168,$A168,$F$2:F168,"&lt;="&amp;$F168)-1),"")</f>
        <v>-</v>
      </c>
      <c r="AP168" s="134"/>
      <c r="AQ168" s="452" t="str">
        <f>'Overall Metrics'!AO173</f>
        <v/>
      </c>
      <c r="AR168" s="450" t="str">
        <f t="shared" si="65"/>
        <v/>
      </c>
      <c r="AS168" s="453" t="str">
        <f>IFERROR(IF(R169=0,"-",AVERAGEIFS($AQ$2:AQ168,$A$2:A168,$A168,$F$2:F168,"&lt;="&amp;$F168)-AVERAGEIFS($AP$2:AP168,$A$2:A168,$A168,$F$2:F168,"&lt;="&amp;$F168)),"")</f>
        <v>-</v>
      </c>
      <c r="AT168" s="390" t="str">
        <f>IFERROR(IF(R169=0,"-",AVERAGEIFS($AQ$2:AQ168,$A$2:A168,A168,$C$2:C168,C168)-AVERAGEIFS($AP$2:AP168,$A$2:A168,A168,$C$2:C168,C168)),"")</f>
        <v>-</v>
      </c>
      <c r="AU168" s="451"/>
      <c r="AV168" s="452">
        <f>'Overall Metrics'!AS173</f>
        <v>0</v>
      </c>
      <c r="AW168" s="450" t="str">
        <f t="shared" si="66"/>
        <v/>
      </c>
      <c r="AX168" s="453" t="str">
        <f>IFERROR(IF(R172=0,"-",AVERAGEIFS($AV$2:AV168,$A$2:A168,$A168,$F$2:F168,"&lt;="&amp;$F168)-AVERAGEIFS($AU$2:AU168,$A$2:A168,$A168,$F$2:F168,"&lt;="&amp;$F168)),"")</f>
        <v>-</v>
      </c>
      <c r="AY168" s="453" t="str">
        <f>IFERROR(IF(R172=0,"-",AVERAGEIFS($AV$2:AV168,$A$2:A168,A168,$C$2:C168,C168)-AVERAGEIFS($AU$2:AU168,$A$2:A168,A168,$C$2:C168,C168)),"")</f>
        <v>-</v>
      </c>
      <c r="AZ168" s="103"/>
      <c r="BA168" s="449">
        <f>'Glass Metrics'!AC173</f>
        <v>0</v>
      </c>
      <c r="BB168" s="450" t="str">
        <f t="shared" si="67"/>
        <v/>
      </c>
      <c r="BC168" s="450" t="str">
        <f>IFERROR(IF(R168=0,"-",AVERAGEIFS($BA$2:BA168,$A$2:A168,$A168,$F$2:F168,"&lt;="&amp;$F168)/AVERAGEIFS($AZ$2:AZ168,$A$2:A168,$A168,$F$2:F168,"&lt;="&amp;$F168)-1),"")</f>
        <v>-</v>
      </c>
      <c r="BD168" s="269" t="str">
        <f>IFERROR(IF(R168=0,"-",AVERAGEIFS($BA$2:BA168,$A$2:A168,A168,$C$2:C168,C168)/AVERAGEIFS($AZ$2:AZ168,$A$2:A168,A168,$C$2:C168,C168)-1),"")</f>
        <v>-</v>
      </c>
    </row>
    <row r="169" spans="1:56" ht="16.350000000000001" customHeight="1">
      <c r="A169" s="175">
        <f t="shared" si="46"/>
        <v>2024</v>
      </c>
      <c r="B169" s="447" t="str">
        <f t="shared" si="47"/>
        <v>12</v>
      </c>
      <c r="C169" s="447" t="str">
        <f t="array" ref="C169">_xlfn.IFS(_xlfn.NUMBERVALUE(B169)&lt;=13,"Q1",AND(_xlfn.NUMBERVALUE(B169)&gt;13,_xlfn.NUMBERVALUE(B169)&lt;=26),"Q2", AND(_xlfn.NUMBERVALUE(B169)&gt;26,_xlfn.NUMBERVALUE(B169)&lt;=39),"Q3",_xlfn.NUMBERVALUE(B169)&gt;39,"Q4")</f>
        <v>Q1</v>
      </c>
      <c r="D169" s="448">
        <f t="shared" si="68"/>
        <v>45031</v>
      </c>
      <c r="E169" s="448">
        <f t="shared" si="48"/>
        <v>45037</v>
      </c>
      <c r="F169" s="79">
        <v>202312</v>
      </c>
      <c r="G169" s="103"/>
      <c r="H169" s="429"/>
      <c r="I169" s="429"/>
      <c r="J169" s="214">
        <f t="shared" si="49"/>
        <v>0</v>
      </c>
      <c r="K169" s="429"/>
      <c r="L169" s="429"/>
      <c r="M169" s="429"/>
      <c r="N169" s="214">
        <f t="shared" si="50"/>
        <v>0</v>
      </c>
      <c r="O169" s="449">
        <f>'Overall Metrics'!L174</f>
        <v>0</v>
      </c>
      <c r="P169" s="449">
        <f>'Overall Metrics'!M174</f>
        <v>0</v>
      </c>
      <c r="Q169" s="449">
        <f>'Overall Metrics'!N174</f>
        <v>0</v>
      </c>
      <c r="R169" s="449">
        <f t="shared" si="51"/>
        <v>0</v>
      </c>
      <c r="S169" s="180">
        <f t="shared" si="52"/>
        <v>0</v>
      </c>
      <c r="T169" s="449">
        <f t="shared" si="53"/>
        <v>0</v>
      </c>
      <c r="U169" s="449">
        <f t="shared" si="54"/>
        <v>0</v>
      </c>
      <c r="V169" s="450" t="str">
        <f t="shared" si="55"/>
        <v/>
      </c>
      <c r="W169" s="450" t="str">
        <f>IF(R169=0,"-",SUMIFS($R$2:R169,$A$2:A169,A169,$C$2:C169,C169)/SUMIFS($J$2:J169,$A$2:A169,A169,$C$2:C169,C169)-1)</f>
        <v>-</v>
      </c>
      <c r="X169" s="450" t="str">
        <f t="shared" si="56"/>
        <v/>
      </c>
      <c r="Y169" s="450" t="str">
        <f>IFERROR(IF(R169=0,"-",SUMIFS($R$2:R169,$A$2:A169,A169,$C$2:C169,C169)/SUMIFS($N$2:N169,$A$2:A169,A169,$C$2:C169,C169)-1),"")</f>
        <v>-</v>
      </c>
      <c r="Z169" s="269" t="str">
        <f>IF(R169=0,"",(S169/VLOOKUP(_xlfn.NUMBERVALUE(_xlfn.CONCAT(LEFT(F169,4),52)),$F$2:T376,COLUMNS($F$2:T376),FALSE)))</f>
        <v/>
      </c>
      <c r="AA169" s="269" t="str">
        <f>IFERROR(IF(R169=0,"",(S169/VLOOKUP(_xlfn.NUMBERVALUE(_xlfn.CONCAT(LEFT(F169,4),52)),$F$2:U376,COLUMNS($F$2:U376),FALSE))),"")</f>
        <v/>
      </c>
      <c r="AB169" s="268" t="str">
        <f t="shared" si="57"/>
        <v/>
      </c>
      <c r="AC169" s="450" t="str">
        <f t="shared" si="58"/>
        <v/>
      </c>
      <c r="AD169" s="450" t="str">
        <f t="shared" si="59"/>
        <v/>
      </c>
      <c r="AE169" s="269" t="str">
        <f t="shared" si="60"/>
        <v/>
      </c>
      <c r="AF169" s="268" t="str">
        <f t="shared" si="61"/>
        <v/>
      </c>
      <c r="AG169" s="450" t="str">
        <f t="shared" si="62"/>
        <v/>
      </c>
      <c r="AH169" s="450" t="str">
        <f t="shared" si="63"/>
        <v/>
      </c>
      <c r="AI169" s="269" t="str">
        <f t="shared" si="64"/>
        <v/>
      </c>
      <c r="AJ169" s="450" t="str">
        <f>IF(O169=0,"-",SUMIFS($O$2:O169,$A$2:A169,$A169,$F$2:F169,"&lt;="&amp;$F169)/SUMIFS($G$2:G169,$A$2:A169,$A169,$F$2:F169,"&lt;="&amp;$F169)-1)</f>
        <v>-</v>
      </c>
      <c r="AK169" s="450" t="str">
        <f>IF(P169=0,"-",SUMIFS($P$2:P169,$A$2:A169,$A169,$F$2:F169,"&lt;="&amp;$F169)/SUMIFS($H$2:H169,$A$2:A169,$A169,$F$2:F169,"&lt;="&amp;$F169)-1)</f>
        <v>-</v>
      </c>
      <c r="AL169" s="450" t="str">
        <f>IF(Q169=0,"-",SUMIFS($Q$2:Q169,$A$2:A169,$A169,$F$2:F169,"&lt;="&amp;$F169)/SUMIFS($I$2:I169,$A$2:A169,$A169,$F$2:F169,"&lt;="&amp;$F169)-1)</f>
        <v>-</v>
      </c>
      <c r="AM169" s="450" t="str">
        <f>IFERROR(IF(O169=0,"-",SUMIFS($O$2:O169,$A$2:A169,$A169,$F$2:F169,"&lt;="&amp;$F169)/SUMIFS($K$2:K169,$A$2:A169,$A169,$F$2:F169,"&lt;="&amp;$F169)-1),"")</f>
        <v>-</v>
      </c>
      <c r="AN169" s="450" t="str">
        <f>IFERROR(IF(P169=0,"-",SUMIFS($P$2:P169,$A$2:A169,$A169,$F$2:F169,"&lt;="&amp;$F169)/SUMIFS($L$2:L169,$A$2:A169,$A169,$F$2:F169,"&lt;="&amp;$F169)-1),"")</f>
        <v>-</v>
      </c>
      <c r="AO169" s="450" t="str">
        <f>IFERROR(IF(Q169=0,"-",SUMIFS($Q$2:Q169,$A$2:A169,$A169,$F$2:F169,"&lt;="&amp;$F169)/SUMIFS($M$2:M169,$A$2:A169,$A169,$F$2:F169,"&lt;="&amp;$F169)-1),"")</f>
        <v>-</v>
      </c>
      <c r="AP169" s="134"/>
      <c r="AQ169" s="452" t="str">
        <f>'Overall Metrics'!AO174</f>
        <v/>
      </c>
      <c r="AR169" s="450" t="str">
        <f t="shared" si="65"/>
        <v/>
      </c>
      <c r="AS169" s="453" t="str">
        <f>IFERROR(IF(R170=0,"-",AVERAGEIFS($AQ$2:AQ169,$A$2:A169,$A169,$F$2:F169,"&lt;="&amp;$F169)-AVERAGEIFS($AP$2:AP169,$A$2:A169,$A169,$F$2:F169,"&lt;="&amp;$F169)),"")</f>
        <v>-</v>
      </c>
      <c r="AT169" s="390" t="str">
        <f>IFERROR(IF(R170=0,"-",AVERAGEIFS($AQ$2:AQ169,$A$2:A169,A169,$C$2:C169,C169)-AVERAGEIFS($AP$2:AP169,$A$2:A169,A169,$C$2:C169,C169)),"")</f>
        <v>-</v>
      </c>
      <c r="AU169" s="451"/>
      <c r="AV169" s="452">
        <f>'Overall Metrics'!AS174</f>
        <v>0</v>
      </c>
      <c r="AW169" s="450" t="str">
        <f t="shared" si="66"/>
        <v/>
      </c>
      <c r="AX169" s="453" t="str">
        <f>IFERROR(IF(R173=0,"-",AVERAGEIFS($AV$2:AV169,$A$2:A169,$A169,$F$2:F169,"&lt;="&amp;$F169)-AVERAGEIFS($AU$2:AU169,$A$2:A169,$A169,$F$2:F169,"&lt;="&amp;$F169)),"")</f>
        <v>-</v>
      </c>
      <c r="AY169" s="453" t="str">
        <f>IFERROR(IF(R173=0,"-",AVERAGEIFS($AV$2:AV169,$A$2:A169,A169,$C$2:C169,C169)-AVERAGEIFS($AU$2:AU169,$A$2:A169,A169,$C$2:C169,C169)),"")</f>
        <v>-</v>
      </c>
      <c r="AZ169" s="103"/>
      <c r="BA169" s="449">
        <f>'Glass Metrics'!AC174</f>
        <v>0</v>
      </c>
      <c r="BB169" s="450" t="str">
        <f t="shared" si="67"/>
        <v/>
      </c>
      <c r="BC169" s="450" t="str">
        <f>IFERROR(IF(R169=0,"-",AVERAGEIFS($BA$2:BA169,$A$2:A169,$A169,$F$2:F169,"&lt;="&amp;$F169)/AVERAGEIFS($AZ$2:AZ169,$A$2:A169,$A169,$F$2:F169,"&lt;="&amp;$F169)-1),"")</f>
        <v>-</v>
      </c>
      <c r="BD169" s="269" t="str">
        <f>IFERROR(IF(R169=0,"-",AVERAGEIFS($BA$2:BA169,$A$2:A169,A169,$C$2:C169,C169)/AVERAGEIFS($AZ$2:AZ169,$A$2:A169,A169,$C$2:C169,C169)-1),"")</f>
        <v>-</v>
      </c>
    </row>
    <row r="170" spans="1:56" ht="16.350000000000001" customHeight="1">
      <c r="A170" s="175">
        <f t="shared" si="46"/>
        <v>2024</v>
      </c>
      <c r="B170" s="447" t="str">
        <f t="shared" si="47"/>
        <v>13</v>
      </c>
      <c r="C170" s="447" t="str">
        <f t="array" ref="C170">_xlfn.IFS(_xlfn.NUMBERVALUE(B170)&lt;=13,"Q1",AND(_xlfn.NUMBERVALUE(B170)&gt;13,_xlfn.NUMBERVALUE(B170)&lt;=26),"Q2", AND(_xlfn.NUMBERVALUE(B170)&gt;26,_xlfn.NUMBERVALUE(B170)&lt;=39),"Q3",_xlfn.NUMBERVALUE(B170)&gt;39,"Q4")</f>
        <v>Q1</v>
      </c>
      <c r="D170" s="448">
        <f t="shared" si="68"/>
        <v>45038</v>
      </c>
      <c r="E170" s="448">
        <f t="shared" si="48"/>
        <v>45044</v>
      </c>
      <c r="F170" s="79">
        <v>202313</v>
      </c>
      <c r="G170" s="103"/>
      <c r="H170" s="429"/>
      <c r="I170" s="429"/>
      <c r="J170" s="214">
        <f t="shared" si="49"/>
        <v>0</v>
      </c>
      <c r="K170" s="429"/>
      <c r="L170" s="429"/>
      <c r="M170" s="429"/>
      <c r="N170" s="214">
        <f t="shared" si="50"/>
        <v>0</v>
      </c>
      <c r="O170" s="449">
        <f>'Overall Metrics'!L175</f>
        <v>0</v>
      </c>
      <c r="P170" s="449">
        <f>'Overall Metrics'!M175</f>
        <v>0</v>
      </c>
      <c r="Q170" s="449">
        <f>'Overall Metrics'!N175</f>
        <v>0</v>
      </c>
      <c r="R170" s="449">
        <f t="shared" si="51"/>
        <v>0</v>
      </c>
      <c r="S170" s="180">
        <f t="shared" si="52"/>
        <v>0</v>
      </c>
      <c r="T170" s="449">
        <f t="shared" si="53"/>
        <v>0</v>
      </c>
      <c r="U170" s="449">
        <f t="shared" si="54"/>
        <v>0</v>
      </c>
      <c r="V170" s="450" t="str">
        <f t="shared" si="55"/>
        <v/>
      </c>
      <c r="W170" s="450" t="str">
        <f>IF(R170=0,"-",SUMIFS($R$2:R170,$A$2:A170,A170,$C$2:C170,C170)/SUMIFS($J$2:J170,$A$2:A170,A170,$C$2:C170,C170)-1)</f>
        <v>-</v>
      </c>
      <c r="X170" s="450" t="str">
        <f t="shared" si="56"/>
        <v/>
      </c>
      <c r="Y170" s="450" t="str">
        <f>IFERROR(IF(R170=0,"-",SUMIFS($R$2:R170,$A$2:A170,A170,$C$2:C170,C170)/SUMIFS($N$2:N170,$A$2:A170,A170,$C$2:C170,C170)-1),"")</f>
        <v>-</v>
      </c>
      <c r="Z170" s="269" t="str">
        <f>IF(R170=0,"",(S170/VLOOKUP(_xlfn.NUMBERVALUE(_xlfn.CONCAT(LEFT(F170,4),52)),$F$2:T377,COLUMNS($F$2:T377),FALSE)))</f>
        <v/>
      </c>
      <c r="AA170" s="269" t="str">
        <f>IFERROR(IF(R170=0,"",(S170/VLOOKUP(_xlfn.NUMBERVALUE(_xlfn.CONCAT(LEFT(F170,4),52)),$F$2:U377,COLUMNS($F$2:U377),FALSE))),"")</f>
        <v/>
      </c>
      <c r="AB170" s="268" t="str">
        <f t="shared" si="57"/>
        <v/>
      </c>
      <c r="AC170" s="450" t="str">
        <f t="shared" si="58"/>
        <v/>
      </c>
      <c r="AD170" s="450" t="str">
        <f t="shared" si="59"/>
        <v/>
      </c>
      <c r="AE170" s="269" t="str">
        <f t="shared" si="60"/>
        <v/>
      </c>
      <c r="AF170" s="268" t="str">
        <f t="shared" si="61"/>
        <v/>
      </c>
      <c r="AG170" s="450" t="str">
        <f t="shared" si="62"/>
        <v/>
      </c>
      <c r="AH170" s="450" t="str">
        <f t="shared" si="63"/>
        <v/>
      </c>
      <c r="AI170" s="269" t="str">
        <f t="shared" si="64"/>
        <v/>
      </c>
      <c r="AJ170" s="450" t="str">
        <f>IF(O170=0,"-",SUMIFS($O$2:O170,$A$2:A170,$A170,$F$2:F170,"&lt;="&amp;$F170)/SUMIFS($G$2:G170,$A$2:A170,$A170,$F$2:F170,"&lt;="&amp;$F170)-1)</f>
        <v>-</v>
      </c>
      <c r="AK170" s="450" t="str">
        <f>IF(P170=0,"-",SUMIFS($P$2:P170,$A$2:A170,$A170,$F$2:F170,"&lt;="&amp;$F170)/SUMIFS($H$2:H170,$A$2:A170,$A170,$F$2:F170,"&lt;="&amp;$F170)-1)</f>
        <v>-</v>
      </c>
      <c r="AL170" s="450" t="str">
        <f>IF(Q170=0,"-",SUMIFS($Q$2:Q170,$A$2:A170,$A170,$F$2:F170,"&lt;="&amp;$F170)/SUMIFS($I$2:I170,$A$2:A170,$A170,$F$2:F170,"&lt;="&amp;$F170)-1)</f>
        <v>-</v>
      </c>
      <c r="AM170" s="450" t="str">
        <f>IFERROR(IF(O170=0,"-",SUMIFS($O$2:O170,$A$2:A170,$A170,$F$2:F170,"&lt;="&amp;$F170)/SUMIFS($K$2:K170,$A$2:A170,$A170,$F$2:F170,"&lt;="&amp;$F170)-1),"")</f>
        <v>-</v>
      </c>
      <c r="AN170" s="450" t="str">
        <f>IFERROR(IF(P170=0,"-",SUMIFS($P$2:P170,$A$2:A170,$A170,$F$2:F170,"&lt;="&amp;$F170)/SUMIFS($L$2:L170,$A$2:A170,$A170,$F$2:F170,"&lt;="&amp;$F170)-1),"")</f>
        <v>-</v>
      </c>
      <c r="AO170" s="450" t="str">
        <f>IFERROR(IF(Q170=0,"-",SUMIFS($Q$2:Q170,$A$2:A170,$A170,$F$2:F170,"&lt;="&amp;$F170)/SUMIFS($M$2:M170,$A$2:A170,$A170,$F$2:F170,"&lt;="&amp;$F170)-1),"")</f>
        <v>-</v>
      </c>
      <c r="AP170" s="134"/>
      <c r="AQ170" s="452" t="str">
        <f>'Overall Metrics'!AO175</f>
        <v/>
      </c>
      <c r="AR170" s="450" t="str">
        <f t="shared" si="65"/>
        <v/>
      </c>
      <c r="AS170" s="453" t="str">
        <f>IFERROR(IF(R171=0,"-",AVERAGEIFS($AQ$2:AQ170,$A$2:A170,$A170,$F$2:F170,"&lt;="&amp;$F170)-AVERAGEIFS($AP$2:AP170,$A$2:A170,$A170,$F$2:F170,"&lt;="&amp;$F170)),"")</f>
        <v>-</v>
      </c>
      <c r="AT170" s="390" t="str">
        <f>IFERROR(IF(R171=0,"-",AVERAGEIFS($AQ$2:AQ170,$A$2:A170,A170,$C$2:C170,C170)-AVERAGEIFS($AP$2:AP170,$A$2:A170,A170,$C$2:C170,C170)),"")</f>
        <v>-</v>
      </c>
      <c r="AU170" s="451"/>
      <c r="AV170" s="452">
        <f>'Overall Metrics'!AS175</f>
        <v>0</v>
      </c>
      <c r="AW170" s="450" t="str">
        <f t="shared" si="66"/>
        <v/>
      </c>
      <c r="AX170" s="453" t="str">
        <f>IFERROR(IF(R174=0,"-",AVERAGEIFS($AV$2:AV170,$A$2:A170,$A170,$F$2:F170,"&lt;="&amp;$F170)-AVERAGEIFS($AU$2:AU170,$A$2:A170,$A170,$F$2:F170,"&lt;="&amp;$F170)),"")</f>
        <v>-</v>
      </c>
      <c r="AY170" s="453" t="str">
        <f>IFERROR(IF(R174=0,"-",AVERAGEIFS($AV$2:AV170,$A$2:A170,A170,$C$2:C170,C170)-AVERAGEIFS($AU$2:AU170,$A$2:A170,A170,$C$2:C170,C170)),"")</f>
        <v>-</v>
      </c>
      <c r="AZ170" s="103"/>
      <c r="BA170" s="449">
        <f>'Glass Metrics'!AC175</f>
        <v>0</v>
      </c>
      <c r="BB170" s="450" t="str">
        <f t="shared" si="67"/>
        <v/>
      </c>
      <c r="BC170" s="450" t="str">
        <f>IFERROR(IF(R170=0,"-",AVERAGEIFS($BA$2:BA170,$A$2:A170,$A170,$F$2:F170,"&lt;="&amp;$F170)/AVERAGEIFS($AZ$2:AZ170,$A$2:A170,$A170,$F$2:F170,"&lt;="&amp;$F170)-1),"")</f>
        <v>-</v>
      </c>
      <c r="BD170" s="269" t="str">
        <f>IFERROR(IF(R170=0,"-",AVERAGEIFS($BA$2:BA170,$A$2:A170,A170,$C$2:C170,C170)/AVERAGEIFS($AZ$2:AZ170,$A$2:A170,A170,$C$2:C170,C170)-1),"")</f>
        <v>-</v>
      </c>
    </row>
    <row r="171" spans="1:56" ht="16.350000000000001" customHeight="1">
      <c r="A171" s="175">
        <f t="shared" si="46"/>
        <v>2024</v>
      </c>
      <c r="B171" s="447" t="str">
        <f t="shared" si="47"/>
        <v>14</v>
      </c>
      <c r="C171" s="447" t="str">
        <f t="array" ref="C171">_xlfn.IFS(_xlfn.NUMBERVALUE(B171)&lt;=13,"Q1",AND(_xlfn.NUMBERVALUE(B171)&gt;13,_xlfn.NUMBERVALUE(B171)&lt;=26),"Q2", AND(_xlfn.NUMBERVALUE(B171)&gt;26,_xlfn.NUMBERVALUE(B171)&lt;=39),"Q3",_xlfn.NUMBERVALUE(B171)&gt;39,"Q4")</f>
        <v>Q2</v>
      </c>
      <c r="D171" s="448">
        <f t="shared" si="68"/>
        <v>45045</v>
      </c>
      <c r="E171" s="448">
        <f t="shared" si="48"/>
        <v>45051</v>
      </c>
      <c r="F171" s="79">
        <v>202314</v>
      </c>
      <c r="G171" s="103"/>
      <c r="H171" s="429"/>
      <c r="I171" s="429"/>
      <c r="J171" s="214">
        <f t="shared" si="49"/>
        <v>0</v>
      </c>
      <c r="K171" s="429"/>
      <c r="L171" s="429"/>
      <c r="M171" s="429"/>
      <c r="N171" s="214">
        <f t="shared" si="50"/>
        <v>0</v>
      </c>
      <c r="O171" s="449">
        <f>'Overall Metrics'!L176</f>
        <v>0</v>
      </c>
      <c r="P171" s="449">
        <f>'Overall Metrics'!M176</f>
        <v>0</v>
      </c>
      <c r="Q171" s="449">
        <f>'Overall Metrics'!N176</f>
        <v>0</v>
      </c>
      <c r="R171" s="449">
        <f t="shared" si="51"/>
        <v>0</v>
      </c>
      <c r="S171" s="180">
        <f t="shared" si="52"/>
        <v>0</v>
      </c>
      <c r="T171" s="449">
        <f t="shared" si="53"/>
        <v>0</v>
      </c>
      <c r="U171" s="449">
        <f t="shared" si="54"/>
        <v>0</v>
      </c>
      <c r="V171" s="450" t="str">
        <f t="shared" si="55"/>
        <v/>
      </c>
      <c r="W171" s="450" t="str">
        <f>IF(R171=0,"-",SUMIFS($R$2:R171,$A$2:A171,A171,$C$2:C171,C171)/SUMIFS($J$2:J171,$A$2:A171,A171,$C$2:C171,C171)-1)</f>
        <v>-</v>
      </c>
      <c r="X171" s="450" t="str">
        <f t="shared" si="56"/>
        <v/>
      </c>
      <c r="Y171" s="450" t="str">
        <f>IFERROR(IF(R171=0,"-",SUMIFS($R$2:R171,$A$2:A171,A171,$C$2:C171,C171)/SUMIFS($N$2:N171,$A$2:A171,A171,$C$2:C171,C171)-1),"")</f>
        <v>-</v>
      </c>
      <c r="Z171" s="269" t="str">
        <f>IF(R171=0,"",(S171/VLOOKUP(_xlfn.NUMBERVALUE(_xlfn.CONCAT(LEFT(F171,4),52)),$F$2:T378,COLUMNS($F$2:T378),FALSE)))</f>
        <v/>
      </c>
      <c r="AA171" s="269" t="str">
        <f>IFERROR(IF(R171=0,"",(S171/VLOOKUP(_xlfn.NUMBERVALUE(_xlfn.CONCAT(LEFT(F171,4),52)),$F$2:U378,COLUMNS($F$2:U378),FALSE))),"")</f>
        <v/>
      </c>
      <c r="AB171" s="268" t="str">
        <f t="shared" si="57"/>
        <v/>
      </c>
      <c r="AC171" s="450" t="str">
        <f t="shared" si="58"/>
        <v/>
      </c>
      <c r="AD171" s="450" t="str">
        <f t="shared" si="59"/>
        <v/>
      </c>
      <c r="AE171" s="269" t="str">
        <f t="shared" si="60"/>
        <v/>
      </c>
      <c r="AF171" s="268" t="str">
        <f t="shared" si="61"/>
        <v/>
      </c>
      <c r="AG171" s="450" t="str">
        <f t="shared" si="62"/>
        <v/>
      </c>
      <c r="AH171" s="450" t="str">
        <f t="shared" si="63"/>
        <v/>
      </c>
      <c r="AI171" s="269" t="str">
        <f t="shared" si="64"/>
        <v/>
      </c>
      <c r="AJ171" s="450" t="str">
        <f>IF(O171=0,"-",SUMIFS($O$2:O171,$A$2:A171,$A171,$F$2:F171,"&lt;="&amp;$F171)/SUMIFS($G$2:G171,$A$2:A171,$A171,$F$2:F171,"&lt;="&amp;$F171)-1)</f>
        <v>-</v>
      </c>
      <c r="AK171" s="450" t="str">
        <f>IF(P171=0,"-",SUMIFS($P$2:P171,$A$2:A171,$A171,$F$2:F171,"&lt;="&amp;$F171)/SUMIFS($H$2:H171,$A$2:A171,$A171,$F$2:F171,"&lt;="&amp;$F171)-1)</f>
        <v>-</v>
      </c>
      <c r="AL171" s="450" t="str">
        <f>IF(Q171=0,"-",SUMIFS($Q$2:Q171,$A$2:A171,$A171,$F$2:F171,"&lt;="&amp;$F171)/SUMIFS($I$2:I171,$A$2:A171,$A171,$F$2:F171,"&lt;="&amp;$F171)-1)</f>
        <v>-</v>
      </c>
      <c r="AM171" s="450" t="str">
        <f>IFERROR(IF(O171=0,"-",SUMIFS($O$2:O171,$A$2:A171,$A171,$F$2:F171,"&lt;="&amp;$F171)/SUMIFS($K$2:K171,$A$2:A171,$A171,$F$2:F171,"&lt;="&amp;$F171)-1),"")</f>
        <v>-</v>
      </c>
      <c r="AN171" s="450" t="str">
        <f>IFERROR(IF(P171=0,"-",SUMIFS($P$2:P171,$A$2:A171,$A171,$F$2:F171,"&lt;="&amp;$F171)/SUMIFS($L$2:L171,$A$2:A171,$A171,$F$2:F171,"&lt;="&amp;$F171)-1),"")</f>
        <v>-</v>
      </c>
      <c r="AO171" s="450" t="str">
        <f>IFERROR(IF(Q171=0,"-",SUMIFS($Q$2:Q171,$A$2:A171,$A171,$F$2:F171,"&lt;="&amp;$F171)/SUMIFS($M$2:M171,$A$2:A171,$A171,$F$2:F171,"&lt;="&amp;$F171)-1),"")</f>
        <v>-</v>
      </c>
      <c r="AP171" s="134"/>
      <c r="AQ171" s="452" t="str">
        <f>'Overall Metrics'!AO176</f>
        <v/>
      </c>
      <c r="AR171" s="450" t="str">
        <f t="shared" si="65"/>
        <v/>
      </c>
      <c r="AS171" s="453" t="str">
        <f>IFERROR(IF(R172=0,"-",AVERAGEIFS($AQ$2:AQ171,$A$2:A171,$A171,$F$2:F171,"&lt;="&amp;$F171)-AVERAGEIFS($AP$2:AP171,$A$2:A171,$A171,$F$2:F171,"&lt;="&amp;$F171)),"")</f>
        <v>-</v>
      </c>
      <c r="AT171" s="390" t="str">
        <f>IFERROR(IF(R172=0,"-",AVERAGEIFS($AQ$2:AQ171,$A$2:A171,A171,$C$2:C171,C171)-AVERAGEIFS($AP$2:AP171,$A$2:A171,A171,$C$2:C171,C171)),"")</f>
        <v>-</v>
      </c>
      <c r="AU171" s="451"/>
      <c r="AV171" s="452">
        <f>'Overall Metrics'!AS176</f>
        <v>0</v>
      </c>
      <c r="AW171" s="450" t="str">
        <f t="shared" si="66"/>
        <v/>
      </c>
      <c r="AX171" s="453" t="str">
        <f>IFERROR(IF(R175=0,"-",AVERAGEIFS($AV$2:AV171,$A$2:A171,$A171,$F$2:F171,"&lt;="&amp;$F171)-AVERAGEIFS($AU$2:AU171,$A$2:A171,$A171,$F$2:F171,"&lt;="&amp;$F171)),"")</f>
        <v>-</v>
      </c>
      <c r="AY171" s="453" t="str">
        <f>IFERROR(IF(R175=0,"-",AVERAGEIFS($AV$2:AV171,$A$2:A171,A171,$C$2:C171,C171)-AVERAGEIFS($AU$2:AU171,$A$2:A171,A171,$C$2:C171,C171)),"")</f>
        <v>-</v>
      </c>
      <c r="AZ171" s="103"/>
      <c r="BA171" s="449">
        <f>'Glass Metrics'!AC176</f>
        <v>0</v>
      </c>
      <c r="BB171" s="450" t="str">
        <f t="shared" si="67"/>
        <v/>
      </c>
      <c r="BC171" s="450" t="str">
        <f>IFERROR(IF(R171=0,"-",AVERAGEIFS($BA$2:BA171,$A$2:A171,$A171,$F$2:F171,"&lt;="&amp;$F171)/AVERAGEIFS($AZ$2:AZ171,$A$2:A171,$A171,$F$2:F171,"&lt;="&amp;$F171)-1),"")</f>
        <v>-</v>
      </c>
      <c r="BD171" s="269" t="str">
        <f>IFERROR(IF(R171=0,"-",AVERAGEIFS($BA$2:BA171,$A$2:A171,A171,$C$2:C171,C171)/AVERAGEIFS($AZ$2:AZ171,$A$2:A171,A171,$C$2:C171,C171)-1),"")</f>
        <v>-</v>
      </c>
    </row>
    <row r="172" spans="1:56" ht="16.350000000000001" customHeight="1">
      <c r="A172" s="175">
        <f t="shared" si="46"/>
        <v>2024</v>
      </c>
      <c r="B172" s="447" t="str">
        <f t="shared" si="47"/>
        <v>15</v>
      </c>
      <c r="C172" s="447" t="str">
        <f t="array" ref="C172">_xlfn.IFS(_xlfn.NUMBERVALUE(B172)&lt;=13,"Q1",AND(_xlfn.NUMBERVALUE(B172)&gt;13,_xlfn.NUMBERVALUE(B172)&lt;=26),"Q2", AND(_xlfn.NUMBERVALUE(B172)&gt;26,_xlfn.NUMBERVALUE(B172)&lt;=39),"Q3",_xlfn.NUMBERVALUE(B172)&gt;39,"Q4")</f>
        <v>Q2</v>
      </c>
      <c r="D172" s="448">
        <f t="shared" si="68"/>
        <v>45052</v>
      </c>
      <c r="E172" s="448">
        <f t="shared" si="48"/>
        <v>45058</v>
      </c>
      <c r="F172" s="79">
        <v>202315</v>
      </c>
      <c r="G172" s="103"/>
      <c r="H172" s="429"/>
      <c r="I172" s="429"/>
      <c r="J172" s="214">
        <f t="shared" si="49"/>
        <v>0</v>
      </c>
      <c r="K172" s="429"/>
      <c r="L172" s="429"/>
      <c r="M172" s="429"/>
      <c r="N172" s="214">
        <f t="shared" si="50"/>
        <v>0</v>
      </c>
      <c r="O172" s="449">
        <f>'Overall Metrics'!L177</f>
        <v>0</v>
      </c>
      <c r="P172" s="449">
        <f>'Overall Metrics'!M177</f>
        <v>0</v>
      </c>
      <c r="Q172" s="449">
        <f>'Overall Metrics'!N177</f>
        <v>0</v>
      </c>
      <c r="R172" s="449">
        <f t="shared" si="51"/>
        <v>0</v>
      </c>
      <c r="S172" s="180">
        <f t="shared" si="52"/>
        <v>0</v>
      </c>
      <c r="T172" s="449">
        <f t="shared" si="53"/>
        <v>0</v>
      </c>
      <c r="U172" s="449">
        <f t="shared" si="54"/>
        <v>0</v>
      </c>
      <c r="V172" s="450" t="str">
        <f t="shared" si="55"/>
        <v/>
      </c>
      <c r="W172" s="450" t="str">
        <f>IF(R172=0,"-",SUMIFS($R$2:R172,$A$2:A172,A172,$C$2:C172,C172)/SUMIFS($J$2:J172,$A$2:A172,A172,$C$2:C172,C172)-1)</f>
        <v>-</v>
      </c>
      <c r="X172" s="450" t="str">
        <f t="shared" si="56"/>
        <v/>
      </c>
      <c r="Y172" s="450" t="str">
        <f>IFERROR(IF(R172=0,"-",SUMIFS($R$2:R172,$A$2:A172,A172,$C$2:C172,C172)/SUMIFS($N$2:N172,$A$2:A172,A172,$C$2:C172,C172)-1),"")</f>
        <v>-</v>
      </c>
      <c r="Z172" s="269" t="str">
        <f>IF(R172=0,"",(S172/VLOOKUP(_xlfn.NUMBERVALUE(_xlfn.CONCAT(LEFT(F172,4),52)),$F$2:T379,COLUMNS($F$2:T379),FALSE)))</f>
        <v/>
      </c>
      <c r="AA172" s="269" t="str">
        <f>IFERROR(IF(R172=0,"",(S172/VLOOKUP(_xlfn.NUMBERVALUE(_xlfn.CONCAT(LEFT(F172,4),52)),$F$2:U379,COLUMNS($F$2:U379),FALSE))),"")</f>
        <v/>
      </c>
      <c r="AB172" s="268" t="str">
        <f t="shared" si="57"/>
        <v/>
      </c>
      <c r="AC172" s="450" t="str">
        <f t="shared" si="58"/>
        <v/>
      </c>
      <c r="AD172" s="450" t="str">
        <f t="shared" si="59"/>
        <v/>
      </c>
      <c r="AE172" s="269" t="str">
        <f t="shared" si="60"/>
        <v/>
      </c>
      <c r="AF172" s="268" t="str">
        <f t="shared" si="61"/>
        <v/>
      </c>
      <c r="AG172" s="450" t="str">
        <f t="shared" si="62"/>
        <v/>
      </c>
      <c r="AH172" s="450" t="str">
        <f t="shared" si="63"/>
        <v/>
      </c>
      <c r="AI172" s="269" t="str">
        <f t="shared" si="64"/>
        <v/>
      </c>
      <c r="AJ172" s="450" t="str">
        <f>IF(O172=0,"-",SUMIFS($O$2:O172,$A$2:A172,$A172,$F$2:F172,"&lt;="&amp;$F172)/SUMIFS($G$2:G172,$A$2:A172,$A172,$F$2:F172,"&lt;="&amp;$F172)-1)</f>
        <v>-</v>
      </c>
      <c r="AK172" s="450" t="str">
        <f>IF(P172=0,"-",SUMIFS($P$2:P172,$A$2:A172,$A172,$F$2:F172,"&lt;="&amp;$F172)/SUMIFS($H$2:H172,$A$2:A172,$A172,$F$2:F172,"&lt;="&amp;$F172)-1)</f>
        <v>-</v>
      </c>
      <c r="AL172" s="450" t="str">
        <f>IF(Q172=0,"-",SUMIFS($Q$2:Q172,$A$2:A172,$A172,$F$2:F172,"&lt;="&amp;$F172)/SUMIFS($I$2:I172,$A$2:A172,$A172,$F$2:F172,"&lt;="&amp;$F172)-1)</f>
        <v>-</v>
      </c>
      <c r="AM172" s="450" t="str">
        <f>IFERROR(IF(O172=0,"-",SUMIFS($O$2:O172,$A$2:A172,$A172,$F$2:F172,"&lt;="&amp;$F172)/SUMIFS($K$2:K172,$A$2:A172,$A172,$F$2:F172,"&lt;="&amp;$F172)-1),"")</f>
        <v>-</v>
      </c>
      <c r="AN172" s="450" t="str">
        <f>IFERROR(IF(P172=0,"-",SUMIFS($P$2:P172,$A$2:A172,$A172,$F$2:F172,"&lt;="&amp;$F172)/SUMIFS($L$2:L172,$A$2:A172,$A172,$F$2:F172,"&lt;="&amp;$F172)-1),"")</f>
        <v>-</v>
      </c>
      <c r="AO172" s="450" t="str">
        <f>IFERROR(IF(Q172=0,"-",SUMIFS($Q$2:Q172,$A$2:A172,$A172,$F$2:F172,"&lt;="&amp;$F172)/SUMIFS($M$2:M172,$A$2:A172,$A172,$F$2:F172,"&lt;="&amp;$F172)-1),"")</f>
        <v>-</v>
      </c>
      <c r="AP172" s="134"/>
      <c r="AQ172" s="452" t="str">
        <f>'Overall Metrics'!AO177</f>
        <v/>
      </c>
      <c r="AR172" s="450" t="str">
        <f t="shared" si="65"/>
        <v/>
      </c>
      <c r="AS172" s="453" t="str">
        <f>IFERROR(IF(R173=0,"-",AVERAGEIFS($AQ$2:AQ172,$A$2:A172,$A172,$F$2:F172,"&lt;="&amp;$F172)-AVERAGEIFS($AP$2:AP172,$A$2:A172,$A172,$F$2:F172,"&lt;="&amp;$F172)),"")</f>
        <v>-</v>
      </c>
      <c r="AT172" s="390" t="str">
        <f>IFERROR(IF(R173=0,"-",AVERAGEIFS($AQ$2:AQ172,$A$2:A172,A172,$C$2:C172,C172)-AVERAGEIFS($AP$2:AP172,$A$2:A172,A172,$C$2:C172,C172)),"")</f>
        <v>-</v>
      </c>
      <c r="AU172" s="451"/>
      <c r="AV172" s="452">
        <f>'Overall Metrics'!AS177</f>
        <v>0</v>
      </c>
      <c r="AW172" s="450" t="str">
        <f t="shared" si="66"/>
        <v/>
      </c>
      <c r="AX172" s="453" t="str">
        <f>IFERROR(IF(R176=0,"-",AVERAGEIFS($AV$2:AV172,$A$2:A172,$A172,$F$2:F172,"&lt;="&amp;$F172)-AVERAGEIFS($AU$2:AU172,$A$2:A172,$A172,$F$2:F172,"&lt;="&amp;$F172)),"")</f>
        <v>-</v>
      </c>
      <c r="AY172" s="453" t="str">
        <f>IFERROR(IF(R176=0,"-",AVERAGEIFS($AV$2:AV172,$A$2:A172,A172,$C$2:C172,C172)-AVERAGEIFS($AU$2:AU172,$A$2:A172,A172,$C$2:C172,C172)),"")</f>
        <v>-</v>
      </c>
      <c r="AZ172" s="103"/>
      <c r="BA172" s="449">
        <f>'Glass Metrics'!AC177</f>
        <v>0</v>
      </c>
      <c r="BB172" s="450" t="str">
        <f t="shared" si="67"/>
        <v/>
      </c>
      <c r="BC172" s="450" t="str">
        <f>IFERROR(IF(R172=0,"-",AVERAGEIFS($BA$2:BA172,$A$2:A172,$A172,$F$2:F172,"&lt;="&amp;$F172)/AVERAGEIFS($AZ$2:AZ172,$A$2:A172,$A172,$F$2:F172,"&lt;="&amp;$F172)-1),"")</f>
        <v>-</v>
      </c>
      <c r="BD172" s="269" t="str">
        <f>IFERROR(IF(R172=0,"-",AVERAGEIFS($BA$2:BA172,$A$2:A172,A172,$C$2:C172,C172)/AVERAGEIFS($AZ$2:AZ172,$A$2:A172,A172,$C$2:C172,C172)-1),"")</f>
        <v>-</v>
      </c>
    </row>
    <row r="173" spans="1:56" ht="16.350000000000001" customHeight="1">
      <c r="A173" s="175">
        <f t="shared" si="46"/>
        <v>2024</v>
      </c>
      <c r="B173" s="447" t="str">
        <f t="shared" si="47"/>
        <v>16</v>
      </c>
      <c r="C173" s="447" t="str">
        <f t="array" ref="C173">_xlfn.IFS(_xlfn.NUMBERVALUE(B173)&lt;=13,"Q1",AND(_xlfn.NUMBERVALUE(B173)&gt;13,_xlfn.NUMBERVALUE(B173)&lt;=26),"Q2", AND(_xlfn.NUMBERVALUE(B173)&gt;26,_xlfn.NUMBERVALUE(B173)&lt;=39),"Q3",_xlfn.NUMBERVALUE(B173)&gt;39,"Q4")</f>
        <v>Q2</v>
      </c>
      <c r="D173" s="448">
        <f t="shared" si="68"/>
        <v>45059</v>
      </c>
      <c r="E173" s="448">
        <f t="shared" si="48"/>
        <v>45065</v>
      </c>
      <c r="F173" s="79">
        <v>202316</v>
      </c>
      <c r="G173" s="103"/>
      <c r="H173" s="429"/>
      <c r="I173" s="429"/>
      <c r="J173" s="214">
        <f t="shared" si="49"/>
        <v>0</v>
      </c>
      <c r="K173" s="429"/>
      <c r="L173" s="429"/>
      <c r="M173" s="429"/>
      <c r="N173" s="214">
        <f t="shared" si="50"/>
        <v>0</v>
      </c>
      <c r="O173" s="449">
        <f>'Overall Metrics'!L178</f>
        <v>0</v>
      </c>
      <c r="P173" s="449">
        <f>'Overall Metrics'!M178</f>
        <v>0</v>
      </c>
      <c r="Q173" s="449">
        <f>'Overall Metrics'!N178</f>
        <v>0</v>
      </c>
      <c r="R173" s="449">
        <f t="shared" si="51"/>
        <v>0</v>
      </c>
      <c r="S173" s="180">
        <f t="shared" si="52"/>
        <v>0</v>
      </c>
      <c r="T173" s="449">
        <f t="shared" si="53"/>
        <v>0</v>
      </c>
      <c r="U173" s="449">
        <f t="shared" si="54"/>
        <v>0</v>
      </c>
      <c r="V173" s="450" t="str">
        <f t="shared" si="55"/>
        <v/>
      </c>
      <c r="W173" s="450" t="str">
        <f>IF(R173=0,"-",SUMIFS($R$2:R173,$A$2:A173,A173,$C$2:C173,C173)/SUMIFS($J$2:J173,$A$2:A173,A173,$C$2:C173,C173)-1)</f>
        <v>-</v>
      </c>
      <c r="X173" s="450" t="str">
        <f t="shared" si="56"/>
        <v/>
      </c>
      <c r="Y173" s="450" t="str">
        <f>IFERROR(IF(R173=0,"-",SUMIFS($R$2:R173,$A$2:A173,A173,$C$2:C173,C173)/SUMIFS($N$2:N173,$A$2:A173,A173,$C$2:C173,C173)-1),"")</f>
        <v>-</v>
      </c>
      <c r="Z173" s="269" t="str">
        <f>IF(R173=0,"",(S173/VLOOKUP(_xlfn.NUMBERVALUE(_xlfn.CONCAT(LEFT(F173,4),52)),$F$2:T380,COLUMNS($F$2:T380),FALSE)))</f>
        <v/>
      </c>
      <c r="AA173" s="269" t="str">
        <f>IFERROR(IF(R173=0,"",(S173/VLOOKUP(_xlfn.NUMBERVALUE(_xlfn.CONCAT(LEFT(F173,4),52)),$F$2:U380,COLUMNS($F$2:U380),FALSE))),"")</f>
        <v/>
      </c>
      <c r="AB173" s="268" t="str">
        <f t="shared" si="57"/>
        <v/>
      </c>
      <c r="AC173" s="450" t="str">
        <f t="shared" si="58"/>
        <v/>
      </c>
      <c r="AD173" s="450" t="str">
        <f t="shared" si="59"/>
        <v/>
      </c>
      <c r="AE173" s="269" t="str">
        <f t="shared" si="60"/>
        <v/>
      </c>
      <c r="AF173" s="268" t="str">
        <f t="shared" si="61"/>
        <v/>
      </c>
      <c r="AG173" s="450" t="str">
        <f t="shared" si="62"/>
        <v/>
      </c>
      <c r="AH173" s="450" t="str">
        <f t="shared" si="63"/>
        <v/>
      </c>
      <c r="AI173" s="269" t="str">
        <f t="shared" si="64"/>
        <v/>
      </c>
      <c r="AJ173" s="450" t="str">
        <f>IF(O173=0,"-",SUMIFS($O$2:O173,$A$2:A173,$A173,$F$2:F173,"&lt;="&amp;$F173)/SUMIFS($G$2:G173,$A$2:A173,$A173,$F$2:F173,"&lt;="&amp;$F173)-1)</f>
        <v>-</v>
      </c>
      <c r="AK173" s="450" t="str">
        <f>IF(P173=0,"-",SUMIFS($P$2:P173,$A$2:A173,$A173,$F$2:F173,"&lt;="&amp;$F173)/SUMIFS($H$2:H173,$A$2:A173,$A173,$F$2:F173,"&lt;="&amp;$F173)-1)</f>
        <v>-</v>
      </c>
      <c r="AL173" s="450" t="str">
        <f>IF(Q173=0,"-",SUMIFS($Q$2:Q173,$A$2:A173,$A173,$F$2:F173,"&lt;="&amp;$F173)/SUMIFS($I$2:I173,$A$2:A173,$A173,$F$2:F173,"&lt;="&amp;$F173)-1)</f>
        <v>-</v>
      </c>
      <c r="AM173" s="450" t="str">
        <f>IFERROR(IF(O173=0,"-",SUMIFS($O$2:O173,$A$2:A173,$A173,$F$2:F173,"&lt;="&amp;$F173)/SUMIFS($K$2:K173,$A$2:A173,$A173,$F$2:F173,"&lt;="&amp;$F173)-1),"")</f>
        <v>-</v>
      </c>
      <c r="AN173" s="450" t="str">
        <f>IFERROR(IF(P173=0,"-",SUMIFS($P$2:P173,$A$2:A173,$A173,$F$2:F173,"&lt;="&amp;$F173)/SUMIFS($L$2:L173,$A$2:A173,$A173,$F$2:F173,"&lt;="&amp;$F173)-1),"")</f>
        <v>-</v>
      </c>
      <c r="AO173" s="450" t="str">
        <f>IFERROR(IF(Q173=0,"-",SUMIFS($Q$2:Q173,$A$2:A173,$A173,$F$2:F173,"&lt;="&amp;$F173)/SUMIFS($M$2:M173,$A$2:A173,$A173,$F$2:F173,"&lt;="&amp;$F173)-1),"")</f>
        <v>-</v>
      </c>
      <c r="AP173" s="134"/>
      <c r="AQ173" s="452" t="str">
        <f>'Overall Metrics'!AO178</f>
        <v/>
      </c>
      <c r="AR173" s="450" t="str">
        <f t="shared" si="65"/>
        <v/>
      </c>
      <c r="AS173" s="453" t="str">
        <f>IFERROR(IF(R174=0,"-",AVERAGEIFS($AQ$2:AQ173,$A$2:A173,$A173,$F$2:F173,"&lt;="&amp;$F173)-AVERAGEIFS($AP$2:AP173,$A$2:A173,$A173,$F$2:F173,"&lt;="&amp;$F173)),"")</f>
        <v>-</v>
      </c>
      <c r="AT173" s="390" t="str">
        <f>IFERROR(IF(R174=0,"-",AVERAGEIFS($AQ$2:AQ173,$A$2:A173,A173,$C$2:C173,C173)-AVERAGEIFS($AP$2:AP173,$A$2:A173,A173,$C$2:C173,C173)),"")</f>
        <v>-</v>
      </c>
      <c r="AU173" s="451"/>
      <c r="AV173" s="452">
        <f>'Overall Metrics'!AS178</f>
        <v>0</v>
      </c>
      <c r="AW173" s="450" t="str">
        <f t="shared" si="66"/>
        <v/>
      </c>
      <c r="AX173" s="453" t="str">
        <f>IFERROR(IF(R177=0,"-",AVERAGEIFS($AV$2:AV173,$A$2:A173,$A173,$F$2:F173,"&lt;="&amp;$F173)-AVERAGEIFS($AU$2:AU173,$A$2:A173,$A173,$F$2:F173,"&lt;="&amp;$F173)),"")</f>
        <v>-</v>
      </c>
      <c r="AY173" s="453" t="str">
        <f>IFERROR(IF(R177=0,"-",AVERAGEIFS($AV$2:AV173,$A$2:A173,A173,$C$2:C173,C173)-AVERAGEIFS($AU$2:AU173,$A$2:A173,A173,$C$2:C173,C173)),"")</f>
        <v>-</v>
      </c>
      <c r="AZ173" s="103"/>
      <c r="BA173" s="449">
        <f>'Glass Metrics'!AC178</f>
        <v>0</v>
      </c>
      <c r="BB173" s="450" t="str">
        <f t="shared" si="67"/>
        <v/>
      </c>
      <c r="BC173" s="450" t="str">
        <f>IFERROR(IF(R173=0,"-",AVERAGEIFS($BA$2:BA173,$A$2:A173,$A173,$F$2:F173,"&lt;="&amp;$F173)/AVERAGEIFS($AZ$2:AZ173,$A$2:A173,$A173,$F$2:F173,"&lt;="&amp;$F173)-1),"")</f>
        <v>-</v>
      </c>
      <c r="BD173" s="269" t="str">
        <f>IFERROR(IF(R173=0,"-",AVERAGEIFS($BA$2:BA173,$A$2:A173,A173,$C$2:C173,C173)/AVERAGEIFS($AZ$2:AZ173,$A$2:A173,A173,$C$2:C173,C173)-1),"")</f>
        <v>-</v>
      </c>
    </row>
    <row r="174" spans="1:56" ht="16.350000000000001" customHeight="1">
      <c r="A174" s="175">
        <f t="shared" si="46"/>
        <v>2024</v>
      </c>
      <c r="B174" s="447" t="str">
        <f t="shared" si="47"/>
        <v>17</v>
      </c>
      <c r="C174" s="447" t="str">
        <f t="array" ref="C174">_xlfn.IFS(_xlfn.NUMBERVALUE(B174)&lt;=13,"Q1",AND(_xlfn.NUMBERVALUE(B174)&gt;13,_xlfn.NUMBERVALUE(B174)&lt;=26),"Q2", AND(_xlfn.NUMBERVALUE(B174)&gt;26,_xlfn.NUMBERVALUE(B174)&lt;=39),"Q3",_xlfn.NUMBERVALUE(B174)&gt;39,"Q4")</f>
        <v>Q2</v>
      </c>
      <c r="D174" s="448">
        <f t="shared" si="68"/>
        <v>45066</v>
      </c>
      <c r="E174" s="448">
        <f t="shared" si="48"/>
        <v>45072</v>
      </c>
      <c r="F174" s="79">
        <v>202317</v>
      </c>
      <c r="G174" s="103"/>
      <c r="H174" s="429"/>
      <c r="I174" s="429"/>
      <c r="J174" s="214">
        <f t="shared" si="49"/>
        <v>0</v>
      </c>
      <c r="K174" s="429"/>
      <c r="L174" s="429"/>
      <c r="M174" s="429"/>
      <c r="N174" s="214">
        <f t="shared" si="50"/>
        <v>0</v>
      </c>
      <c r="O174" s="449">
        <f>'Overall Metrics'!L179</f>
        <v>0</v>
      </c>
      <c r="P174" s="449">
        <f>'Overall Metrics'!M179</f>
        <v>0</v>
      </c>
      <c r="Q174" s="449">
        <f>'Overall Metrics'!N179</f>
        <v>0</v>
      </c>
      <c r="R174" s="449">
        <f t="shared" si="51"/>
        <v>0</v>
      </c>
      <c r="S174" s="180">
        <f t="shared" si="52"/>
        <v>0</v>
      </c>
      <c r="T174" s="449">
        <f t="shared" si="53"/>
        <v>0</v>
      </c>
      <c r="U174" s="449">
        <f t="shared" si="54"/>
        <v>0</v>
      </c>
      <c r="V174" s="450" t="str">
        <f t="shared" si="55"/>
        <v/>
      </c>
      <c r="W174" s="450" t="str">
        <f>IF(R174=0,"-",SUMIFS($R$2:R174,$A$2:A174,A174,$C$2:C174,C174)/SUMIFS($J$2:J174,$A$2:A174,A174,$C$2:C174,C174)-1)</f>
        <v>-</v>
      </c>
      <c r="X174" s="450" t="str">
        <f t="shared" si="56"/>
        <v/>
      </c>
      <c r="Y174" s="450" t="str">
        <f>IFERROR(IF(R174=0,"-",SUMIFS($R$2:R174,$A$2:A174,A174,$C$2:C174,C174)/SUMIFS($N$2:N174,$A$2:A174,A174,$C$2:C174,C174)-1),"")</f>
        <v>-</v>
      </c>
      <c r="Z174" s="269" t="str">
        <f>IF(R174=0,"",(S174/VLOOKUP(_xlfn.NUMBERVALUE(_xlfn.CONCAT(LEFT(F174,4),52)),$F$2:T381,COLUMNS($F$2:T381),FALSE)))</f>
        <v/>
      </c>
      <c r="AA174" s="269" t="str">
        <f>IFERROR(IF(R174=0,"",(S174/VLOOKUP(_xlfn.NUMBERVALUE(_xlfn.CONCAT(LEFT(F174,4),52)),$F$2:U381,COLUMNS($F$2:U381),FALSE))),"")</f>
        <v/>
      </c>
      <c r="AB174" s="268" t="str">
        <f t="shared" si="57"/>
        <v/>
      </c>
      <c r="AC174" s="450" t="str">
        <f t="shared" si="58"/>
        <v/>
      </c>
      <c r="AD174" s="450" t="str">
        <f t="shared" si="59"/>
        <v/>
      </c>
      <c r="AE174" s="269" t="str">
        <f t="shared" si="60"/>
        <v/>
      </c>
      <c r="AF174" s="268" t="str">
        <f t="shared" si="61"/>
        <v/>
      </c>
      <c r="AG174" s="450" t="str">
        <f t="shared" si="62"/>
        <v/>
      </c>
      <c r="AH174" s="450" t="str">
        <f t="shared" si="63"/>
        <v/>
      </c>
      <c r="AI174" s="269" t="str">
        <f t="shared" si="64"/>
        <v/>
      </c>
      <c r="AJ174" s="450" t="str">
        <f>IF(O174=0,"-",SUMIFS($O$2:O174,$A$2:A174,$A174,$F$2:F174,"&lt;="&amp;$F174)/SUMIFS($G$2:G174,$A$2:A174,$A174,$F$2:F174,"&lt;="&amp;$F174)-1)</f>
        <v>-</v>
      </c>
      <c r="AK174" s="450" t="str">
        <f>IF(P174=0,"-",SUMIFS($P$2:P174,$A$2:A174,$A174,$F$2:F174,"&lt;="&amp;$F174)/SUMIFS($H$2:H174,$A$2:A174,$A174,$F$2:F174,"&lt;="&amp;$F174)-1)</f>
        <v>-</v>
      </c>
      <c r="AL174" s="450" t="str">
        <f>IF(Q174=0,"-",SUMIFS($Q$2:Q174,$A$2:A174,$A174,$F$2:F174,"&lt;="&amp;$F174)/SUMIFS($I$2:I174,$A$2:A174,$A174,$F$2:F174,"&lt;="&amp;$F174)-1)</f>
        <v>-</v>
      </c>
      <c r="AM174" s="450" t="str">
        <f>IFERROR(IF(O174=0,"-",SUMIFS($O$2:O174,$A$2:A174,$A174,$F$2:F174,"&lt;="&amp;$F174)/SUMIFS($K$2:K174,$A$2:A174,$A174,$F$2:F174,"&lt;="&amp;$F174)-1),"")</f>
        <v>-</v>
      </c>
      <c r="AN174" s="450" t="str">
        <f>IFERROR(IF(P174=0,"-",SUMIFS($P$2:P174,$A$2:A174,$A174,$F$2:F174,"&lt;="&amp;$F174)/SUMIFS($L$2:L174,$A$2:A174,$A174,$F$2:F174,"&lt;="&amp;$F174)-1),"")</f>
        <v>-</v>
      </c>
      <c r="AO174" s="450" t="str">
        <f>IFERROR(IF(Q174=0,"-",SUMIFS($Q$2:Q174,$A$2:A174,$A174,$F$2:F174,"&lt;="&amp;$F174)/SUMIFS($M$2:M174,$A$2:A174,$A174,$F$2:F174,"&lt;="&amp;$F174)-1),"")</f>
        <v>-</v>
      </c>
      <c r="AP174" s="134"/>
      <c r="AQ174" s="452" t="str">
        <f>'Overall Metrics'!AO179</f>
        <v/>
      </c>
      <c r="AR174" s="450" t="str">
        <f t="shared" si="65"/>
        <v/>
      </c>
      <c r="AS174" s="453" t="str">
        <f>IFERROR(IF(R175=0,"-",AVERAGEIFS($AQ$2:AQ174,$A$2:A174,$A174,$F$2:F174,"&lt;="&amp;$F174)-AVERAGEIFS($AP$2:AP174,$A$2:A174,$A174,$F$2:F174,"&lt;="&amp;$F174)),"")</f>
        <v>-</v>
      </c>
      <c r="AT174" s="390" t="str">
        <f>IFERROR(IF(R175=0,"-",AVERAGEIFS($AQ$2:AQ174,$A$2:A174,A174,$C$2:C174,C174)-AVERAGEIFS($AP$2:AP174,$A$2:A174,A174,$C$2:C174,C174)),"")</f>
        <v>-</v>
      </c>
      <c r="AU174" s="451"/>
      <c r="AV174" s="452">
        <f>'Overall Metrics'!AS179</f>
        <v>0</v>
      </c>
      <c r="AW174" s="450" t="str">
        <f t="shared" si="66"/>
        <v/>
      </c>
      <c r="AX174" s="453" t="str">
        <f>IFERROR(IF(R178=0,"-",AVERAGEIFS($AV$2:AV174,$A$2:A174,$A174,$F$2:F174,"&lt;="&amp;$F174)-AVERAGEIFS($AU$2:AU174,$A$2:A174,$A174,$F$2:F174,"&lt;="&amp;$F174)),"")</f>
        <v>-</v>
      </c>
      <c r="AY174" s="453" t="str">
        <f>IFERROR(IF(R178=0,"-",AVERAGEIFS($AV$2:AV174,$A$2:A174,A174,$C$2:C174,C174)-AVERAGEIFS($AU$2:AU174,$A$2:A174,A174,$C$2:C174,C174)),"")</f>
        <v>-</v>
      </c>
      <c r="AZ174" s="103"/>
      <c r="BA174" s="449">
        <f>'Glass Metrics'!AC179</f>
        <v>0</v>
      </c>
      <c r="BB174" s="450" t="str">
        <f t="shared" si="67"/>
        <v/>
      </c>
      <c r="BC174" s="450" t="str">
        <f>IFERROR(IF(R174=0,"-",AVERAGEIFS($BA$2:BA174,$A$2:A174,$A174,$F$2:F174,"&lt;="&amp;$F174)/AVERAGEIFS($AZ$2:AZ174,$A$2:A174,$A174,$F$2:F174,"&lt;="&amp;$F174)-1),"")</f>
        <v>-</v>
      </c>
      <c r="BD174" s="269" t="str">
        <f>IFERROR(IF(R174=0,"-",AVERAGEIFS($BA$2:BA174,$A$2:A174,A174,$C$2:C174,C174)/AVERAGEIFS($AZ$2:AZ174,$A$2:A174,A174,$C$2:C174,C174)-1),"")</f>
        <v>-</v>
      </c>
    </row>
    <row r="175" spans="1:56" ht="16.350000000000001" customHeight="1">
      <c r="A175" s="175">
        <f t="shared" si="46"/>
        <v>2024</v>
      </c>
      <c r="B175" s="447" t="str">
        <f t="shared" si="47"/>
        <v>18</v>
      </c>
      <c r="C175" s="447" t="str">
        <f t="array" ref="C175">_xlfn.IFS(_xlfn.NUMBERVALUE(B175)&lt;=13,"Q1",AND(_xlfn.NUMBERVALUE(B175)&gt;13,_xlfn.NUMBERVALUE(B175)&lt;=26),"Q2", AND(_xlfn.NUMBERVALUE(B175)&gt;26,_xlfn.NUMBERVALUE(B175)&lt;=39),"Q3",_xlfn.NUMBERVALUE(B175)&gt;39,"Q4")</f>
        <v>Q2</v>
      </c>
      <c r="D175" s="448">
        <f t="shared" si="68"/>
        <v>45073</v>
      </c>
      <c r="E175" s="448">
        <f t="shared" si="48"/>
        <v>45079</v>
      </c>
      <c r="F175" s="79">
        <v>202318</v>
      </c>
      <c r="G175" s="103"/>
      <c r="H175" s="429"/>
      <c r="I175" s="429"/>
      <c r="J175" s="214">
        <f t="shared" si="49"/>
        <v>0</v>
      </c>
      <c r="K175" s="429"/>
      <c r="L175" s="429"/>
      <c r="M175" s="429"/>
      <c r="N175" s="214">
        <f t="shared" si="50"/>
        <v>0</v>
      </c>
      <c r="O175" s="449">
        <f>'Overall Metrics'!L180</f>
        <v>0</v>
      </c>
      <c r="P175" s="449">
        <f>'Overall Metrics'!M180</f>
        <v>0</v>
      </c>
      <c r="Q175" s="449">
        <f>'Overall Metrics'!N180</f>
        <v>0</v>
      </c>
      <c r="R175" s="449">
        <f t="shared" si="51"/>
        <v>0</v>
      </c>
      <c r="S175" s="180">
        <f t="shared" si="52"/>
        <v>0</v>
      </c>
      <c r="T175" s="449">
        <f t="shared" si="53"/>
        <v>0</v>
      </c>
      <c r="U175" s="449">
        <f t="shared" si="54"/>
        <v>0</v>
      </c>
      <c r="V175" s="450" t="str">
        <f t="shared" si="55"/>
        <v/>
      </c>
      <c r="W175" s="450" t="str">
        <f>IF(R175=0,"-",SUMIFS($R$2:R175,$A$2:A175,A175,$C$2:C175,C175)/SUMIFS($J$2:J175,$A$2:A175,A175,$C$2:C175,C175)-1)</f>
        <v>-</v>
      </c>
      <c r="X175" s="450" t="str">
        <f t="shared" si="56"/>
        <v/>
      </c>
      <c r="Y175" s="450" t="str">
        <f>IFERROR(IF(R175=0,"-",SUMIFS($R$2:R175,$A$2:A175,A175,$C$2:C175,C175)/SUMIFS($N$2:N175,$A$2:A175,A175,$C$2:C175,C175)-1),"")</f>
        <v>-</v>
      </c>
      <c r="Z175" s="269" t="str">
        <f>IF(R175=0,"",(S175/VLOOKUP(_xlfn.NUMBERVALUE(_xlfn.CONCAT(LEFT(F175,4),52)),$F$2:T382,COLUMNS($F$2:T382),FALSE)))</f>
        <v/>
      </c>
      <c r="AA175" s="269" t="str">
        <f>IFERROR(IF(R175=0,"",(S175/VLOOKUP(_xlfn.NUMBERVALUE(_xlfn.CONCAT(LEFT(F175,4),52)),$F$2:U382,COLUMNS($F$2:U382),FALSE))),"")</f>
        <v/>
      </c>
      <c r="AB175" s="268" t="str">
        <f t="shared" si="57"/>
        <v/>
      </c>
      <c r="AC175" s="450" t="str">
        <f t="shared" si="58"/>
        <v/>
      </c>
      <c r="AD175" s="450" t="str">
        <f t="shared" si="59"/>
        <v/>
      </c>
      <c r="AE175" s="269" t="str">
        <f t="shared" si="60"/>
        <v/>
      </c>
      <c r="AF175" s="268" t="str">
        <f t="shared" si="61"/>
        <v/>
      </c>
      <c r="AG175" s="450" t="str">
        <f t="shared" si="62"/>
        <v/>
      </c>
      <c r="AH175" s="450" t="str">
        <f t="shared" si="63"/>
        <v/>
      </c>
      <c r="AI175" s="269" t="str">
        <f t="shared" si="64"/>
        <v/>
      </c>
      <c r="AJ175" s="450" t="str">
        <f>IF(O175=0,"-",SUMIFS($O$2:O175,$A$2:A175,$A175,$F$2:F175,"&lt;="&amp;$F175)/SUMIFS($G$2:G175,$A$2:A175,$A175,$F$2:F175,"&lt;="&amp;$F175)-1)</f>
        <v>-</v>
      </c>
      <c r="AK175" s="450" t="str">
        <f>IF(P175=0,"-",SUMIFS($P$2:P175,$A$2:A175,$A175,$F$2:F175,"&lt;="&amp;$F175)/SUMIFS($H$2:H175,$A$2:A175,$A175,$F$2:F175,"&lt;="&amp;$F175)-1)</f>
        <v>-</v>
      </c>
      <c r="AL175" s="450" t="str">
        <f>IF(Q175=0,"-",SUMIFS($Q$2:Q175,$A$2:A175,$A175,$F$2:F175,"&lt;="&amp;$F175)/SUMIFS($I$2:I175,$A$2:A175,$A175,$F$2:F175,"&lt;="&amp;$F175)-1)</f>
        <v>-</v>
      </c>
      <c r="AM175" s="450" t="str">
        <f>IFERROR(IF(O175=0,"-",SUMIFS($O$2:O175,$A$2:A175,$A175,$F$2:F175,"&lt;="&amp;$F175)/SUMIFS($K$2:K175,$A$2:A175,$A175,$F$2:F175,"&lt;="&amp;$F175)-1),"")</f>
        <v>-</v>
      </c>
      <c r="AN175" s="450" t="str">
        <f>IFERROR(IF(P175=0,"-",SUMIFS($P$2:P175,$A$2:A175,$A175,$F$2:F175,"&lt;="&amp;$F175)/SUMIFS($L$2:L175,$A$2:A175,$A175,$F$2:F175,"&lt;="&amp;$F175)-1),"")</f>
        <v>-</v>
      </c>
      <c r="AO175" s="450" t="str">
        <f>IFERROR(IF(Q175=0,"-",SUMIFS($Q$2:Q175,$A$2:A175,$A175,$F$2:F175,"&lt;="&amp;$F175)/SUMIFS($M$2:M175,$A$2:A175,$A175,$F$2:F175,"&lt;="&amp;$F175)-1),"")</f>
        <v>-</v>
      </c>
      <c r="AP175" s="134"/>
      <c r="AQ175" s="452" t="str">
        <f>'Overall Metrics'!AO180</f>
        <v/>
      </c>
      <c r="AR175" s="450" t="str">
        <f t="shared" si="65"/>
        <v/>
      </c>
      <c r="AS175" s="453" t="str">
        <f>IFERROR(IF(R176=0,"-",AVERAGEIFS($AQ$2:AQ175,$A$2:A175,$A175,$F$2:F175,"&lt;="&amp;$F175)-AVERAGEIFS($AP$2:AP175,$A$2:A175,$A175,$F$2:F175,"&lt;="&amp;$F175)),"")</f>
        <v>-</v>
      </c>
      <c r="AT175" s="390" t="str">
        <f>IFERROR(IF(R176=0,"-",AVERAGEIFS($AQ$2:AQ175,$A$2:A175,A175,$C$2:C175,C175)-AVERAGEIFS($AP$2:AP175,$A$2:A175,A175,$C$2:C175,C175)),"")</f>
        <v>-</v>
      </c>
      <c r="AU175" s="451"/>
      <c r="AV175" s="452">
        <f>'Overall Metrics'!AS180</f>
        <v>0</v>
      </c>
      <c r="AW175" s="450" t="str">
        <f t="shared" si="66"/>
        <v/>
      </c>
      <c r="AX175" s="453" t="str">
        <f>IFERROR(IF(R179=0,"-",AVERAGEIFS($AV$2:AV175,$A$2:A175,$A175,$F$2:F175,"&lt;="&amp;$F175)-AVERAGEIFS($AU$2:AU175,$A$2:A175,$A175,$F$2:F175,"&lt;="&amp;$F175)),"")</f>
        <v>-</v>
      </c>
      <c r="AY175" s="453" t="str">
        <f>IFERROR(IF(R179=0,"-",AVERAGEIFS($AV$2:AV175,$A$2:A175,A175,$C$2:C175,C175)-AVERAGEIFS($AU$2:AU175,$A$2:A175,A175,$C$2:C175,C175)),"")</f>
        <v>-</v>
      </c>
      <c r="AZ175" s="103"/>
      <c r="BA175" s="449">
        <f>'Glass Metrics'!AC180</f>
        <v>0</v>
      </c>
      <c r="BB175" s="450" t="str">
        <f t="shared" si="67"/>
        <v/>
      </c>
      <c r="BC175" s="450" t="str">
        <f>IFERROR(IF(R175=0,"-",AVERAGEIFS($BA$2:BA175,$A$2:A175,$A175,$F$2:F175,"&lt;="&amp;$F175)/AVERAGEIFS($AZ$2:AZ175,$A$2:A175,$A175,$F$2:F175,"&lt;="&amp;$F175)-1),"")</f>
        <v>-</v>
      </c>
      <c r="BD175" s="269" t="str">
        <f>IFERROR(IF(R175=0,"-",AVERAGEIFS($BA$2:BA175,$A$2:A175,A175,$C$2:C175,C175)/AVERAGEIFS($AZ$2:AZ175,$A$2:A175,A175,$C$2:C175,C175)-1),"")</f>
        <v>-</v>
      </c>
    </row>
    <row r="176" spans="1:56" ht="16.350000000000001" customHeight="1">
      <c r="A176" s="175">
        <f t="shared" si="46"/>
        <v>2024</v>
      </c>
      <c r="B176" s="447" t="str">
        <f t="shared" si="47"/>
        <v>19</v>
      </c>
      <c r="C176" s="447" t="str">
        <f t="array" ref="C176">_xlfn.IFS(_xlfn.NUMBERVALUE(B176)&lt;=13,"Q1",AND(_xlfn.NUMBERVALUE(B176)&gt;13,_xlfn.NUMBERVALUE(B176)&lt;=26),"Q2", AND(_xlfn.NUMBERVALUE(B176)&gt;26,_xlfn.NUMBERVALUE(B176)&lt;=39),"Q3",_xlfn.NUMBERVALUE(B176)&gt;39,"Q4")</f>
        <v>Q2</v>
      </c>
      <c r="D176" s="448">
        <f t="shared" si="68"/>
        <v>45080</v>
      </c>
      <c r="E176" s="448">
        <f t="shared" si="48"/>
        <v>45086</v>
      </c>
      <c r="F176" s="79">
        <v>202319</v>
      </c>
      <c r="G176" s="103"/>
      <c r="H176" s="429"/>
      <c r="I176" s="429"/>
      <c r="J176" s="214">
        <f t="shared" si="49"/>
        <v>0</v>
      </c>
      <c r="K176" s="429"/>
      <c r="L176" s="429"/>
      <c r="M176" s="429"/>
      <c r="N176" s="214">
        <f t="shared" si="50"/>
        <v>0</v>
      </c>
      <c r="O176" s="449">
        <f>'Overall Metrics'!L181</f>
        <v>0</v>
      </c>
      <c r="P176" s="449">
        <f>'Overall Metrics'!M181</f>
        <v>0</v>
      </c>
      <c r="Q176" s="449">
        <f>'Overall Metrics'!N181</f>
        <v>0</v>
      </c>
      <c r="R176" s="449">
        <f t="shared" si="51"/>
        <v>0</v>
      </c>
      <c r="S176" s="180">
        <f t="shared" si="52"/>
        <v>0</v>
      </c>
      <c r="T176" s="449">
        <f t="shared" si="53"/>
        <v>0</v>
      </c>
      <c r="U176" s="449">
        <f t="shared" si="54"/>
        <v>0</v>
      </c>
      <c r="V176" s="450" t="str">
        <f t="shared" si="55"/>
        <v/>
      </c>
      <c r="W176" s="450" t="str">
        <f>IF(R176=0,"-",SUMIFS($R$2:R176,$A$2:A176,A176,$C$2:C176,C176)/SUMIFS($J$2:J176,$A$2:A176,A176,$C$2:C176,C176)-1)</f>
        <v>-</v>
      </c>
      <c r="X176" s="450" t="str">
        <f t="shared" si="56"/>
        <v/>
      </c>
      <c r="Y176" s="450" t="str">
        <f>IFERROR(IF(R176=0,"-",SUMIFS($R$2:R176,$A$2:A176,A176,$C$2:C176,C176)/SUMIFS($N$2:N176,$A$2:A176,A176,$C$2:C176,C176)-1),"")</f>
        <v>-</v>
      </c>
      <c r="Z176" s="269" t="str">
        <f>IF(R176=0,"",(S176/VLOOKUP(_xlfn.NUMBERVALUE(_xlfn.CONCAT(LEFT(F176,4),52)),$F$2:T383,COLUMNS($F$2:T383),FALSE)))</f>
        <v/>
      </c>
      <c r="AA176" s="269" t="str">
        <f>IFERROR(IF(R176=0,"",(S176/VLOOKUP(_xlfn.NUMBERVALUE(_xlfn.CONCAT(LEFT(F176,4),52)),$F$2:U383,COLUMNS($F$2:U383),FALSE))),"")</f>
        <v/>
      </c>
      <c r="AB176" s="268" t="str">
        <f t="shared" si="57"/>
        <v/>
      </c>
      <c r="AC176" s="450" t="str">
        <f t="shared" si="58"/>
        <v/>
      </c>
      <c r="AD176" s="450" t="str">
        <f t="shared" si="59"/>
        <v/>
      </c>
      <c r="AE176" s="269" t="str">
        <f t="shared" si="60"/>
        <v/>
      </c>
      <c r="AF176" s="268" t="str">
        <f t="shared" si="61"/>
        <v/>
      </c>
      <c r="AG176" s="450" t="str">
        <f t="shared" si="62"/>
        <v/>
      </c>
      <c r="AH176" s="450" t="str">
        <f t="shared" si="63"/>
        <v/>
      </c>
      <c r="AI176" s="269" t="str">
        <f t="shared" si="64"/>
        <v/>
      </c>
      <c r="AJ176" s="450" t="str">
        <f>IF(O176=0,"-",SUMIFS($O$2:O176,$A$2:A176,$A176,$F$2:F176,"&lt;="&amp;$F176)/SUMIFS($G$2:G176,$A$2:A176,$A176,$F$2:F176,"&lt;="&amp;$F176)-1)</f>
        <v>-</v>
      </c>
      <c r="AK176" s="450" t="str">
        <f>IF(P176=0,"-",SUMIFS($P$2:P176,$A$2:A176,$A176,$F$2:F176,"&lt;="&amp;$F176)/SUMIFS($H$2:H176,$A$2:A176,$A176,$F$2:F176,"&lt;="&amp;$F176)-1)</f>
        <v>-</v>
      </c>
      <c r="AL176" s="450" t="str">
        <f>IF(Q176=0,"-",SUMIFS($Q$2:Q176,$A$2:A176,$A176,$F$2:F176,"&lt;="&amp;$F176)/SUMIFS($I$2:I176,$A$2:A176,$A176,$F$2:F176,"&lt;="&amp;$F176)-1)</f>
        <v>-</v>
      </c>
      <c r="AM176" s="450" t="str">
        <f>IFERROR(IF(O176=0,"-",SUMIFS($O$2:O176,$A$2:A176,$A176,$F$2:F176,"&lt;="&amp;$F176)/SUMIFS($K$2:K176,$A$2:A176,$A176,$F$2:F176,"&lt;="&amp;$F176)-1),"")</f>
        <v>-</v>
      </c>
      <c r="AN176" s="450" t="str">
        <f>IFERROR(IF(P176=0,"-",SUMIFS($P$2:P176,$A$2:A176,$A176,$F$2:F176,"&lt;="&amp;$F176)/SUMIFS($L$2:L176,$A$2:A176,$A176,$F$2:F176,"&lt;="&amp;$F176)-1),"")</f>
        <v>-</v>
      </c>
      <c r="AO176" s="450" t="str">
        <f>IFERROR(IF(Q176=0,"-",SUMIFS($Q$2:Q176,$A$2:A176,$A176,$F$2:F176,"&lt;="&amp;$F176)/SUMIFS($M$2:M176,$A$2:A176,$A176,$F$2:F176,"&lt;="&amp;$F176)-1),"")</f>
        <v>-</v>
      </c>
      <c r="AP176" s="134"/>
      <c r="AQ176" s="452" t="str">
        <f>'Overall Metrics'!AO181</f>
        <v/>
      </c>
      <c r="AR176" s="450" t="str">
        <f t="shared" si="65"/>
        <v/>
      </c>
      <c r="AS176" s="453" t="str">
        <f>IFERROR(IF(R177=0,"-",AVERAGEIFS($AQ$2:AQ176,$A$2:A176,$A176,$F$2:F176,"&lt;="&amp;$F176)-AVERAGEIFS($AP$2:AP176,$A$2:A176,$A176,$F$2:F176,"&lt;="&amp;$F176)),"")</f>
        <v>-</v>
      </c>
      <c r="AT176" s="390" t="str">
        <f>IFERROR(IF(R177=0,"-",AVERAGEIFS($AQ$2:AQ176,$A$2:A176,A176,$C$2:C176,C176)-AVERAGEIFS($AP$2:AP176,$A$2:A176,A176,$C$2:C176,C176)),"")</f>
        <v>-</v>
      </c>
      <c r="AU176" s="451"/>
      <c r="AV176" s="452">
        <f>'Overall Metrics'!AS181</f>
        <v>0</v>
      </c>
      <c r="AW176" s="450" t="str">
        <f t="shared" si="66"/>
        <v/>
      </c>
      <c r="AX176" s="453" t="str">
        <f>IFERROR(IF(R180=0,"-",AVERAGEIFS($AV$2:AV176,$A$2:A176,$A176,$F$2:F176,"&lt;="&amp;$F176)-AVERAGEIFS($AU$2:AU176,$A$2:A176,$A176,$F$2:F176,"&lt;="&amp;$F176)),"")</f>
        <v>-</v>
      </c>
      <c r="AY176" s="453" t="str">
        <f>IFERROR(IF(R180=0,"-",AVERAGEIFS($AV$2:AV176,$A$2:A176,A176,$C$2:C176,C176)-AVERAGEIFS($AU$2:AU176,$A$2:A176,A176,$C$2:C176,C176)),"")</f>
        <v>-</v>
      </c>
      <c r="AZ176" s="103"/>
      <c r="BA176" s="449">
        <f>'Glass Metrics'!AC181</f>
        <v>0</v>
      </c>
      <c r="BB176" s="450" t="str">
        <f t="shared" si="67"/>
        <v/>
      </c>
      <c r="BC176" s="450" t="str">
        <f>IFERROR(IF(R176=0,"-",AVERAGEIFS($BA$2:BA176,$A$2:A176,$A176,$F$2:F176,"&lt;="&amp;$F176)/AVERAGEIFS($AZ$2:AZ176,$A$2:A176,$A176,$F$2:F176,"&lt;="&amp;$F176)-1),"")</f>
        <v>-</v>
      </c>
      <c r="BD176" s="269" t="str">
        <f>IFERROR(IF(R176=0,"-",AVERAGEIFS($BA$2:BA176,$A$2:A176,A176,$C$2:C176,C176)/AVERAGEIFS($AZ$2:AZ176,$A$2:A176,A176,$C$2:C176,C176)-1),"")</f>
        <v>-</v>
      </c>
    </row>
    <row r="177" spans="1:56" ht="16.350000000000001" customHeight="1">
      <c r="A177" s="175">
        <f t="shared" si="46"/>
        <v>2024</v>
      </c>
      <c r="B177" s="447" t="str">
        <f t="shared" si="47"/>
        <v>20</v>
      </c>
      <c r="C177" s="447" t="str">
        <f t="array" ref="C177">_xlfn.IFS(_xlfn.NUMBERVALUE(B177)&lt;=13,"Q1",AND(_xlfn.NUMBERVALUE(B177)&gt;13,_xlfn.NUMBERVALUE(B177)&lt;=26),"Q2", AND(_xlfn.NUMBERVALUE(B177)&gt;26,_xlfn.NUMBERVALUE(B177)&lt;=39),"Q3",_xlfn.NUMBERVALUE(B177)&gt;39,"Q4")</f>
        <v>Q2</v>
      </c>
      <c r="D177" s="448">
        <f t="shared" si="68"/>
        <v>45087</v>
      </c>
      <c r="E177" s="448">
        <f t="shared" si="48"/>
        <v>45093</v>
      </c>
      <c r="F177" s="79">
        <v>202320</v>
      </c>
      <c r="G177" s="103"/>
      <c r="H177" s="429"/>
      <c r="I177" s="429"/>
      <c r="J177" s="214">
        <f t="shared" si="49"/>
        <v>0</v>
      </c>
      <c r="K177" s="429"/>
      <c r="L177" s="429"/>
      <c r="M177" s="429"/>
      <c r="N177" s="214">
        <f t="shared" si="50"/>
        <v>0</v>
      </c>
      <c r="O177" s="449">
        <f>'Overall Metrics'!L182</f>
        <v>0</v>
      </c>
      <c r="P177" s="449">
        <f>'Overall Metrics'!M182</f>
        <v>0</v>
      </c>
      <c r="Q177" s="449">
        <f>'Overall Metrics'!N182</f>
        <v>0</v>
      </c>
      <c r="R177" s="449">
        <f t="shared" si="51"/>
        <v>0</v>
      </c>
      <c r="S177" s="180">
        <f t="shared" si="52"/>
        <v>0</v>
      </c>
      <c r="T177" s="449">
        <f t="shared" si="53"/>
        <v>0</v>
      </c>
      <c r="U177" s="449">
        <f t="shared" si="54"/>
        <v>0</v>
      </c>
      <c r="V177" s="450" t="str">
        <f t="shared" si="55"/>
        <v/>
      </c>
      <c r="W177" s="450" t="str">
        <f>IF(R177=0,"-",SUMIFS($R$2:R177,$A$2:A177,A177,$C$2:C177,C177)/SUMIFS($J$2:J177,$A$2:A177,A177,$C$2:C177,C177)-1)</f>
        <v>-</v>
      </c>
      <c r="X177" s="450" t="str">
        <f t="shared" si="56"/>
        <v/>
      </c>
      <c r="Y177" s="450" t="str">
        <f>IFERROR(IF(R177=0,"-",SUMIFS($R$2:R177,$A$2:A177,A177,$C$2:C177,C177)/SUMIFS($N$2:N177,$A$2:A177,A177,$C$2:C177,C177)-1),"")</f>
        <v>-</v>
      </c>
      <c r="Z177" s="269" t="str">
        <f>IF(R177=0,"",(S177/VLOOKUP(_xlfn.NUMBERVALUE(_xlfn.CONCAT(LEFT(F177,4),52)),$F$2:T384,COLUMNS($F$2:T384),FALSE)))</f>
        <v/>
      </c>
      <c r="AA177" s="269" t="str">
        <f>IFERROR(IF(R177=0,"",(S177/VLOOKUP(_xlfn.NUMBERVALUE(_xlfn.CONCAT(LEFT(F177,4),52)),$F$2:U384,COLUMNS($F$2:U384),FALSE))),"")</f>
        <v/>
      </c>
      <c r="AB177" s="268" t="str">
        <f t="shared" si="57"/>
        <v/>
      </c>
      <c r="AC177" s="450" t="str">
        <f t="shared" si="58"/>
        <v/>
      </c>
      <c r="AD177" s="450" t="str">
        <f t="shared" si="59"/>
        <v/>
      </c>
      <c r="AE177" s="269" t="str">
        <f t="shared" si="60"/>
        <v/>
      </c>
      <c r="AF177" s="268" t="str">
        <f t="shared" si="61"/>
        <v/>
      </c>
      <c r="AG177" s="450" t="str">
        <f t="shared" si="62"/>
        <v/>
      </c>
      <c r="AH177" s="450" t="str">
        <f t="shared" si="63"/>
        <v/>
      </c>
      <c r="AI177" s="269" t="str">
        <f t="shared" si="64"/>
        <v/>
      </c>
      <c r="AJ177" s="450" t="str">
        <f>IF(O177=0,"-",SUMIFS($O$2:O177,$A$2:A177,$A177,$F$2:F177,"&lt;="&amp;$F177)/SUMIFS($G$2:G177,$A$2:A177,$A177,$F$2:F177,"&lt;="&amp;$F177)-1)</f>
        <v>-</v>
      </c>
      <c r="AK177" s="450" t="str">
        <f>IF(P177=0,"-",SUMIFS($P$2:P177,$A$2:A177,$A177,$F$2:F177,"&lt;="&amp;$F177)/SUMIFS($H$2:H177,$A$2:A177,$A177,$F$2:F177,"&lt;="&amp;$F177)-1)</f>
        <v>-</v>
      </c>
      <c r="AL177" s="450" t="str">
        <f>IF(Q177=0,"-",SUMIFS($Q$2:Q177,$A$2:A177,$A177,$F$2:F177,"&lt;="&amp;$F177)/SUMIFS($I$2:I177,$A$2:A177,$A177,$F$2:F177,"&lt;="&amp;$F177)-1)</f>
        <v>-</v>
      </c>
      <c r="AM177" s="450" t="str">
        <f>IFERROR(IF(O177=0,"-",SUMIFS($O$2:O177,$A$2:A177,$A177,$F$2:F177,"&lt;="&amp;$F177)/SUMIFS($K$2:K177,$A$2:A177,$A177,$F$2:F177,"&lt;="&amp;$F177)-1),"")</f>
        <v>-</v>
      </c>
      <c r="AN177" s="450" t="str">
        <f>IFERROR(IF(P177=0,"-",SUMIFS($P$2:P177,$A$2:A177,$A177,$F$2:F177,"&lt;="&amp;$F177)/SUMIFS($L$2:L177,$A$2:A177,$A177,$F$2:F177,"&lt;="&amp;$F177)-1),"")</f>
        <v>-</v>
      </c>
      <c r="AO177" s="450" t="str">
        <f>IFERROR(IF(Q177=0,"-",SUMIFS($Q$2:Q177,$A$2:A177,$A177,$F$2:F177,"&lt;="&amp;$F177)/SUMIFS($M$2:M177,$A$2:A177,$A177,$F$2:F177,"&lt;="&amp;$F177)-1),"")</f>
        <v>-</v>
      </c>
      <c r="AP177" s="134"/>
      <c r="AQ177" s="452" t="str">
        <f>'Overall Metrics'!AO182</f>
        <v/>
      </c>
      <c r="AR177" s="450" t="str">
        <f t="shared" si="65"/>
        <v/>
      </c>
      <c r="AS177" s="453" t="str">
        <f>IFERROR(IF(R178=0,"-",AVERAGEIFS($AQ$2:AQ177,$A$2:A177,$A177,$F$2:F177,"&lt;="&amp;$F177)-AVERAGEIFS($AP$2:AP177,$A$2:A177,$A177,$F$2:F177,"&lt;="&amp;$F177)),"")</f>
        <v>-</v>
      </c>
      <c r="AT177" s="390" t="str">
        <f>IFERROR(IF(R178=0,"-",AVERAGEIFS($AQ$2:AQ177,$A$2:A177,A177,$C$2:C177,C177)-AVERAGEIFS($AP$2:AP177,$A$2:A177,A177,$C$2:C177,C177)),"")</f>
        <v>-</v>
      </c>
      <c r="AU177" s="451"/>
      <c r="AV177" s="452">
        <f>'Overall Metrics'!AS182</f>
        <v>0</v>
      </c>
      <c r="AW177" s="450" t="str">
        <f t="shared" si="66"/>
        <v/>
      </c>
      <c r="AX177" s="453" t="str">
        <f>IFERROR(IF(R181=0,"-",AVERAGEIFS($AV$2:AV177,$A$2:A177,$A177,$F$2:F177,"&lt;="&amp;$F177)-AVERAGEIFS($AU$2:AU177,$A$2:A177,$A177,$F$2:F177,"&lt;="&amp;$F177)),"")</f>
        <v>-</v>
      </c>
      <c r="AY177" s="453" t="str">
        <f>IFERROR(IF(R181=0,"-",AVERAGEIFS($AV$2:AV177,$A$2:A177,A177,$C$2:C177,C177)-AVERAGEIFS($AU$2:AU177,$A$2:A177,A177,$C$2:C177,C177)),"")</f>
        <v>-</v>
      </c>
      <c r="AZ177" s="103"/>
      <c r="BA177" s="449">
        <f>'Glass Metrics'!AC182</f>
        <v>0</v>
      </c>
      <c r="BB177" s="450" t="str">
        <f t="shared" si="67"/>
        <v/>
      </c>
      <c r="BC177" s="450" t="str">
        <f>IFERROR(IF(R177=0,"-",AVERAGEIFS($BA$2:BA177,$A$2:A177,$A177,$F$2:F177,"&lt;="&amp;$F177)/AVERAGEIFS($AZ$2:AZ177,$A$2:A177,$A177,$F$2:F177,"&lt;="&amp;$F177)-1),"")</f>
        <v>-</v>
      </c>
      <c r="BD177" s="269" t="str">
        <f>IFERROR(IF(R177=0,"-",AVERAGEIFS($BA$2:BA177,$A$2:A177,A177,$C$2:C177,C177)/AVERAGEIFS($AZ$2:AZ177,$A$2:A177,A177,$C$2:C177,C177)-1),"")</f>
        <v>-</v>
      </c>
    </row>
    <row r="178" spans="1:56" ht="16.350000000000001" customHeight="1">
      <c r="A178" s="175">
        <f t="shared" si="46"/>
        <v>2024</v>
      </c>
      <c r="B178" s="447" t="str">
        <f t="shared" si="47"/>
        <v>21</v>
      </c>
      <c r="C178" s="447" t="str">
        <f t="array" ref="C178">_xlfn.IFS(_xlfn.NUMBERVALUE(B178)&lt;=13,"Q1",AND(_xlfn.NUMBERVALUE(B178)&gt;13,_xlfn.NUMBERVALUE(B178)&lt;=26),"Q2", AND(_xlfn.NUMBERVALUE(B178)&gt;26,_xlfn.NUMBERVALUE(B178)&lt;=39),"Q3",_xlfn.NUMBERVALUE(B178)&gt;39,"Q4")</f>
        <v>Q2</v>
      </c>
      <c r="D178" s="448">
        <f t="shared" si="68"/>
        <v>45094</v>
      </c>
      <c r="E178" s="448">
        <f t="shared" si="48"/>
        <v>45100</v>
      </c>
      <c r="F178" s="79">
        <v>202321</v>
      </c>
      <c r="G178" s="103"/>
      <c r="H178" s="429"/>
      <c r="I178" s="429"/>
      <c r="J178" s="214">
        <f t="shared" si="49"/>
        <v>0</v>
      </c>
      <c r="K178" s="429"/>
      <c r="L178" s="429"/>
      <c r="M178" s="429"/>
      <c r="N178" s="214">
        <f t="shared" si="50"/>
        <v>0</v>
      </c>
      <c r="O178" s="449">
        <f>'Overall Metrics'!L183</f>
        <v>0</v>
      </c>
      <c r="P178" s="449">
        <f>'Overall Metrics'!M183</f>
        <v>0</v>
      </c>
      <c r="Q178" s="449">
        <f>'Overall Metrics'!N183</f>
        <v>0</v>
      </c>
      <c r="R178" s="449">
        <f t="shared" si="51"/>
        <v>0</v>
      </c>
      <c r="S178" s="180">
        <f t="shared" si="52"/>
        <v>0</v>
      </c>
      <c r="T178" s="449">
        <f t="shared" si="53"/>
        <v>0</v>
      </c>
      <c r="U178" s="449">
        <f t="shared" si="54"/>
        <v>0</v>
      </c>
      <c r="V178" s="450" t="str">
        <f t="shared" si="55"/>
        <v/>
      </c>
      <c r="W178" s="450" t="str">
        <f>IF(R178=0,"-",SUMIFS($R$2:R178,$A$2:A178,A178,$C$2:C178,C178)/SUMIFS($J$2:J178,$A$2:A178,A178,$C$2:C178,C178)-1)</f>
        <v>-</v>
      </c>
      <c r="X178" s="450" t="str">
        <f t="shared" si="56"/>
        <v/>
      </c>
      <c r="Y178" s="450" t="str">
        <f>IFERROR(IF(R178=0,"-",SUMIFS($R$2:R178,$A$2:A178,A178,$C$2:C178,C178)/SUMIFS($N$2:N178,$A$2:A178,A178,$C$2:C178,C178)-1),"")</f>
        <v>-</v>
      </c>
      <c r="Z178" s="269" t="str">
        <f>IF(R178=0,"",(S178/VLOOKUP(_xlfn.NUMBERVALUE(_xlfn.CONCAT(LEFT(F178,4),52)),$F$2:T385,COLUMNS($F$2:T385),FALSE)))</f>
        <v/>
      </c>
      <c r="AA178" s="269" t="str">
        <f>IFERROR(IF(R178=0,"",(S178/VLOOKUP(_xlfn.NUMBERVALUE(_xlfn.CONCAT(LEFT(F178,4),52)),$F$2:U385,COLUMNS($F$2:U385),FALSE))),"")</f>
        <v/>
      </c>
      <c r="AB178" s="268" t="str">
        <f t="shared" si="57"/>
        <v/>
      </c>
      <c r="AC178" s="450" t="str">
        <f t="shared" si="58"/>
        <v/>
      </c>
      <c r="AD178" s="450" t="str">
        <f t="shared" si="59"/>
        <v/>
      </c>
      <c r="AE178" s="269" t="str">
        <f t="shared" si="60"/>
        <v/>
      </c>
      <c r="AF178" s="268" t="str">
        <f t="shared" si="61"/>
        <v/>
      </c>
      <c r="AG178" s="450" t="str">
        <f t="shared" si="62"/>
        <v/>
      </c>
      <c r="AH178" s="450" t="str">
        <f t="shared" si="63"/>
        <v/>
      </c>
      <c r="AI178" s="269" t="str">
        <f t="shared" si="64"/>
        <v/>
      </c>
      <c r="AJ178" s="450" t="str">
        <f>IF(O178=0,"-",SUMIFS($O$2:O178,$A$2:A178,$A178,$F$2:F178,"&lt;="&amp;$F178)/SUMIFS($G$2:G178,$A$2:A178,$A178,$F$2:F178,"&lt;="&amp;$F178)-1)</f>
        <v>-</v>
      </c>
      <c r="AK178" s="450" t="str">
        <f>IF(P178=0,"-",SUMIFS($P$2:P178,$A$2:A178,$A178,$F$2:F178,"&lt;="&amp;$F178)/SUMIFS($H$2:H178,$A$2:A178,$A178,$F$2:F178,"&lt;="&amp;$F178)-1)</f>
        <v>-</v>
      </c>
      <c r="AL178" s="450" t="str">
        <f>IF(Q178=0,"-",SUMIFS($Q$2:Q178,$A$2:A178,$A178,$F$2:F178,"&lt;="&amp;$F178)/SUMIFS($I$2:I178,$A$2:A178,$A178,$F$2:F178,"&lt;="&amp;$F178)-1)</f>
        <v>-</v>
      </c>
      <c r="AM178" s="450" t="str">
        <f>IFERROR(IF(O178=0,"-",SUMIFS($O$2:O178,$A$2:A178,$A178,$F$2:F178,"&lt;="&amp;$F178)/SUMIFS($K$2:K178,$A$2:A178,$A178,$F$2:F178,"&lt;="&amp;$F178)-1),"")</f>
        <v>-</v>
      </c>
      <c r="AN178" s="450" t="str">
        <f>IFERROR(IF(P178=0,"-",SUMIFS($P$2:P178,$A$2:A178,$A178,$F$2:F178,"&lt;="&amp;$F178)/SUMIFS($L$2:L178,$A$2:A178,$A178,$F$2:F178,"&lt;="&amp;$F178)-1),"")</f>
        <v>-</v>
      </c>
      <c r="AO178" s="450" t="str">
        <f>IFERROR(IF(Q178=0,"-",SUMIFS($Q$2:Q178,$A$2:A178,$A178,$F$2:F178,"&lt;="&amp;$F178)/SUMIFS($M$2:M178,$A$2:A178,$A178,$F$2:F178,"&lt;="&amp;$F178)-1),"")</f>
        <v>-</v>
      </c>
      <c r="AP178" s="134"/>
      <c r="AQ178" s="452" t="str">
        <f>'Overall Metrics'!AO183</f>
        <v/>
      </c>
      <c r="AR178" s="450" t="str">
        <f t="shared" si="65"/>
        <v/>
      </c>
      <c r="AS178" s="453" t="str">
        <f>IFERROR(IF(R179=0,"-",AVERAGEIFS($AQ$2:AQ178,$A$2:A178,$A178,$F$2:F178,"&lt;="&amp;$F178)-AVERAGEIFS($AP$2:AP178,$A$2:A178,$A178,$F$2:F178,"&lt;="&amp;$F178)),"")</f>
        <v>-</v>
      </c>
      <c r="AT178" s="390" t="str">
        <f>IFERROR(IF(R179=0,"-",AVERAGEIFS($AQ$2:AQ178,$A$2:A178,A178,$C$2:C178,C178)-AVERAGEIFS($AP$2:AP178,$A$2:A178,A178,$C$2:C178,C178)),"")</f>
        <v>-</v>
      </c>
      <c r="AU178" s="451"/>
      <c r="AV178" s="452">
        <f>'Overall Metrics'!AS183</f>
        <v>0</v>
      </c>
      <c r="AW178" s="450" t="str">
        <f t="shared" si="66"/>
        <v/>
      </c>
      <c r="AX178" s="453" t="str">
        <f>IFERROR(IF(R182=0,"-",AVERAGEIFS($AV$2:AV178,$A$2:A178,$A178,$F$2:F178,"&lt;="&amp;$F178)-AVERAGEIFS($AU$2:AU178,$A$2:A178,$A178,$F$2:F178,"&lt;="&amp;$F178)),"")</f>
        <v>-</v>
      </c>
      <c r="AY178" s="453" t="str">
        <f>IFERROR(IF(R182=0,"-",AVERAGEIFS($AV$2:AV178,$A$2:A178,A178,$C$2:C178,C178)-AVERAGEIFS($AU$2:AU178,$A$2:A178,A178,$C$2:C178,C178)),"")</f>
        <v>-</v>
      </c>
      <c r="AZ178" s="103"/>
      <c r="BA178" s="449">
        <f>'Glass Metrics'!AC183</f>
        <v>0</v>
      </c>
      <c r="BB178" s="450" t="str">
        <f t="shared" si="67"/>
        <v/>
      </c>
      <c r="BC178" s="450" t="str">
        <f>IFERROR(IF(R178=0,"-",AVERAGEIFS($BA$2:BA178,$A$2:A178,$A178,$F$2:F178,"&lt;="&amp;$F178)/AVERAGEIFS($AZ$2:AZ178,$A$2:A178,$A178,$F$2:F178,"&lt;="&amp;$F178)-1),"")</f>
        <v>-</v>
      </c>
      <c r="BD178" s="269" t="str">
        <f>IFERROR(IF(R178=0,"-",AVERAGEIFS($BA$2:BA178,$A$2:A178,A178,$C$2:C178,C178)/AVERAGEIFS($AZ$2:AZ178,$A$2:A178,A178,$C$2:C178,C178)-1),"")</f>
        <v>-</v>
      </c>
    </row>
    <row r="179" spans="1:56" ht="16.350000000000001" customHeight="1">
      <c r="A179" s="175">
        <f t="shared" si="46"/>
        <v>2024</v>
      </c>
      <c r="B179" s="447" t="str">
        <f t="shared" si="47"/>
        <v>22</v>
      </c>
      <c r="C179" s="447" t="str">
        <f t="array" ref="C179">_xlfn.IFS(_xlfn.NUMBERVALUE(B179)&lt;=13,"Q1",AND(_xlfn.NUMBERVALUE(B179)&gt;13,_xlfn.NUMBERVALUE(B179)&lt;=26),"Q2", AND(_xlfn.NUMBERVALUE(B179)&gt;26,_xlfn.NUMBERVALUE(B179)&lt;=39),"Q3",_xlfn.NUMBERVALUE(B179)&gt;39,"Q4")</f>
        <v>Q2</v>
      </c>
      <c r="D179" s="448">
        <f t="shared" si="68"/>
        <v>45101</v>
      </c>
      <c r="E179" s="448">
        <f t="shared" si="48"/>
        <v>45107</v>
      </c>
      <c r="F179" s="79">
        <v>202322</v>
      </c>
      <c r="G179" s="103"/>
      <c r="H179" s="429"/>
      <c r="I179" s="429"/>
      <c r="J179" s="214">
        <f t="shared" si="49"/>
        <v>0</v>
      </c>
      <c r="K179" s="429"/>
      <c r="L179" s="429"/>
      <c r="M179" s="429"/>
      <c r="N179" s="214">
        <f t="shared" si="50"/>
        <v>0</v>
      </c>
      <c r="O179" s="449">
        <f>'Overall Metrics'!L184</f>
        <v>0</v>
      </c>
      <c r="P179" s="449">
        <f>'Overall Metrics'!M184</f>
        <v>0</v>
      </c>
      <c r="Q179" s="449">
        <f>'Overall Metrics'!N184</f>
        <v>0</v>
      </c>
      <c r="R179" s="449">
        <f t="shared" si="51"/>
        <v>0</v>
      </c>
      <c r="S179" s="180">
        <f t="shared" si="52"/>
        <v>0</v>
      </c>
      <c r="T179" s="449">
        <f t="shared" si="53"/>
        <v>0</v>
      </c>
      <c r="U179" s="449">
        <f t="shared" si="54"/>
        <v>0</v>
      </c>
      <c r="V179" s="450" t="str">
        <f t="shared" si="55"/>
        <v/>
      </c>
      <c r="W179" s="450" t="str">
        <f>IF(R179=0,"-",SUMIFS($R$2:R179,$A$2:A179,A179,$C$2:C179,C179)/SUMIFS($J$2:J179,$A$2:A179,A179,$C$2:C179,C179)-1)</f>
        <v>-</v>
      </c>
      <c r="X179" s="450" t="str">
        <f t="shared" si="56"/>
        <v/>
      </c>
      <c r="Y179" s="450" t="str">
        <f>IFERROR(IF(R179=0,"-",SUMIFS($R$2:R179,$A$2:A179,A179,$C$2:C179,C179)/SUMIFS($N$2:N179,$A$2:A179,A179,$C$2:C179,C179)-1),"")</f>
        <v>-</v>
      </c>
      <c r="Z179" s="269" t="str">
        <f>IF(R179=0,"",(S179/VLOOKUP(_xlfn.NUMBERVALUE(_xlfn.CONCAT(LEFT(F179,4),52)),$F$2:T386,COLUMNS($F$2:T386),FALSE)))</f>
        <v/>
      </c>
      <c r="AA179" s="269" t="str">
        <f>IFERROR(IF(R179=0,"",(S179/VLOOKUP(_xlfn.NUMBERVALUE(_xlfn.CONCAT(LEFT(F179,4),52)),$F$2:U386,COLUMNS($F$2:U386),FALSE))),"")</f>
        <v/>
      </c>
      <c r="AB179" s="268" t="str">
        <f t="shared" si="57"/>
        <v/>
      </c>
      <c r="AC179" s="450" t="str">
        <f t="shared" si="58"/>
        <v/>
      </c>
      <c r="AD179" s="450" t="str">
        <f t="shared" si="59"/>
        <v/>
      </c>
      <c r="AE179" s="269" t="str">
        <f t="shared" si="60"/>
        <v/>
      </c>
      <c r="AF179" s="268" t="str">
        <f t="shared" si="61"/>
        <v/>
      </c>
      <c r="AG179" s="450" t="str">
        <f t="shared" si="62"/>
        <v/>
      </c>
      <c r="AH179" s="450" t="str">
        <f t="shared" si="63"/>
        <v/>
      </c>
      <c r="AI179" s="269" t="str">
        <f t="shared" si="64"/>
        <v/>
      </c>
      <c r="AJ179" s="450" t="str">
        <f>IF(O179=0,"-",SUMIFS($O$2:O179,$A$2:A179,$A179,$F$2:F179,"&lt;="&amp;$F179)/SUMIFS($G$2:G179,$A$2:A179,$A179,$F$2:F179,"&lt;="&amp;$F179)-1)</f>
        <v>-</v>
      </c>
      <c r="AK179" s="450" t="str">
        <f>IF(P179=0,"-",SUMIFS($P$2:P179,$A$2:A179,$A179,$F$2:F179,"&lt;="&amp;$F179)/SUMIFS($H$2:H179,$A$2:A179,$A179,$F$2:F179,"&lt;="&amp;$F179)-1)</f>
        <v>-</v>
      </c>
      <c r="AL179" s="450" t="str">
        <f>IF(Q179=0,"-",SUMIFS($Q$2:Q179,$A$2:A179,$A179,$F$2:F179,"&lt;="&amp;$F179)/SUMIFS($I$2:I179,$A$2:A179,$A179,$F$2:F179,"&lt;="&amp;$F179)-1)</f>
        <v>-</v>
      </c>
      <c r="AM179" s="450" t="str">
        <f>IFERROR(IF(O179=0,"-",SUMIFS($O$2:O179,$A$2:A179,$A179,$F$2:F179,"&lt;="&amp;$F179)/SUMIFS($K$2:K179,$A$2:A179,$A179,$F$2:F179,"&lt;="&amp;$F179)-1),"")</f>
        <v>-</v>
      </c>
      <c r="AN179" s="450" t="str">
        <f>IFERROR(IF(P179=0,"-",SUMIFS($P$2:P179,$A$2:A179,$A179,$F$2:F179,"&lt;="&amp;$F179)/SUMIFS($L$2:L179,$A$2:A179,$A179,$F$2:F179,"&lt;="&amp;$F179)-1),"")</f>
        <v>-</v>
      </c>
      <c r="AO179" s="450" t="str">
        <f>IFERROR(IF(Q179=0,"-",SUMIFS($Q$2:Q179,$A$2:A179,$A179,$F$2:F179,"&lt;="&amp;$F179)/SUMIFS($M$2:M179,$A$2:A179,$A179,$F$2:F179,"&lt;="&amp;$F179)-1),"")</f>
        <v>-</v>
      </c>
      <c r="AP179" s="134"/>
      <c r="AQ179" s="452" t="str">
        <f>'Overall Metrics'!AO184</f>
        <v/>
      </c>
      <c r="AR179" s="450" t="str">
        <f t="shared" si="65"/>
        <v/>
      </c>
      <c r="AS179" s="453" t="str">
        <f>IFERROR(IF(R180=0,"-",AVERAGEIFS($AQ$2:AQ179,$A$2:A179,$A179,$F$2:F179,"&lt;="&amp;$F179)-AVERAGEIFS($AP$2:AP179,$A$2:A179,$A179,$F$2:F179,"&lt;="&amp;$F179)),"")</f>
        <v>-</v>
      </c>
      <c r="AT179" s="390" t="str">
        <f>IFERROR(IF(R180=0,"-",AVERAGEIFS($AQ$2:AQ179,$A$2:A179,A179,$C$2:C179,C179)-AVERAGEIFS($AP$2:AP179,$A$2:A179,A179,$C$2:C179,C179)),"")</f>
        <v>-</v>
      </c>
      <c r="AU179" s="451"/>
      <c r="AV179" s="452">
        <f>'Overall Metrics'!AS184</f>
        <v>0</v>
      </c>
      <c r="AW179" s="450" t="str">
        <f t="shared" si="66"/>
        <v/>
      </c>
      <c r="AX179" s="453" t="str">
        <f>IFERROR(IF(R183=0,"-",AVERAGEIFS($AV$2:AV179,$A$2:A179,$A179,$F$2:F179,"&lt;="&amp;$F179)-AVERAGEIFS($AU$2:AU179,$A$2:A179,$A179,$F$2:F179,"&lt;="&amp;$F179)),"")</f>
        <v>-</v>
      </c>
      <c r="AY179" s="453" t="str">
        <f>IFERROR(IF(R183=0,"-",AVERAGEIFS($AV$2:AV179,$A$2:A179,A179,$C$2:C179,C179)-AVERAGEIFS($AU$2:AU179,$A$2:A179,A179,$C$2:C179,C179)),"")</f>
        <v>-</v>
      </c>
      <c r="AZ179" s="103"/>
      <c r="BA179" s="449">
        <f>'Glass Metrics'!AC184</f>
        <v>0</v>
      </c>
      <c r="BB179" s="450" t="str">
        <f t="shared" si="67"/>
        <v/>
      </c>
      <c r="BC179" s="450" t="str">
        <f>IFERROR(IF(R179=0,"-",AVERAGEIFS($BA$2:BA179,$A$2:A179,$A179,$F$2:F179,"&lt;="&amp;$F179)/AVERAGEIFS($AZ$2:AZ179,$A$2:A179,$A179,$F$2:F179,"&lt;="&amp;$F179)-1),"")</f>
        <v>-</v>
      </c>
      <c r="BD179" s="269" t="str">
        <f>IFERROR(IF(R179=0,"-",AVERAGEIFS($BA$2:BA179,$A$2:A179,A179,$C$2:C179,C179)/AVERAGEIFS($AZ$2:AZ179,$A$2:A179,A179,$C$2:C179,C179)-1),"")</f>
        <v>-</v>
      </c>
    </row>
    <row r="180" spans="1:56" ht="16.350000000000001" customHeight="1">
      <c r="A180" s="175">
        <f t="shared" si="46"/>
        <v>2024</v>
      </c>
      <c r="B180" s="447" t="str">
        <f t="shared" si="47"/>
        <v>23</v>
      </c>
      <c r="C180" s="447" t="str">
        <f t="array" ref="C180">_xlfn.IFS(_xlfn.NUMBERVALUE(B180)&lt;=13,"Q1",AND(_xlfn.NUMBERVALUE(B180)&gt;13,_xlfn.NUMBERVALUE(B180)&lt;=26),"Q2", AND(_xlfn.NUMBERVALUE(B180)&gt;26,_xlfn.NUMBERVALUE(B180)&lt;=39),"Q3",_xlfn.NUMBERVALUE(B180)&gt;39,"Q4")</f>
        <v>Q2</v>
      </c>
      <c r="D180" s="448">
        <f t="shared" si="68"/>
        <v>45108</v>
      </c>
      <c r="E180" s="448">
        <f t="shared" si="48"/>
        <v>45114</v>
      </c>
      <c r="F180" s="79">
        <v>202323</v>
      </c>
      <c r="G180" s="103"/>
      <c r="H180" s="429"/>
      <c r="I180" s="429"/>
      <c r="J180" s="214">
        <f t="shared" si="49"/>
        <v>0</v>
      </c>
      <c r="K180" s="429"/>
      <c r="L180" s="429"/>
      <c r="M180" s="429"/>
      <c r="N180" s="214">
        <f t="shared" si="50"/>
        <v>0</v>
      </c>
      <c r="O180" s="449">
        <f>'Overall Metrics'!L185</f>
        <v>0</v>
      </c>
      <c r="P180" s="449">
        <f>'Overall Metrics'!M185</f>
        <v>0</v>
      </c>
      <c r="Q180" s="449">
        <f>'Overall Metrics'!N185</f>
        <v>0</v>
      </c>
      <c r="R180" s="449">
        <f t="shared" si="51"/>
        <v>0</v>
      </c>
      <c r="S180" s="180">
        <f t="shared" si="52"/>
        <v>0</v>
      </c>
      <c r="T180" s="449">
        <f t="shared" si="53"/>
        <v>0</v>
      </c>
      <c r="U180" s="449">
        <f t="shared" si="54"/>
        <v>0</v>
      </c>
      <c r="V180" s="450" t="str">
        <f t="shared" si="55"/>
        <v/>
      </c>
      <c r="W180" s="450" t="str">
        <f>IF(R180=0,"-",SUMIFS($R$2:R180,$A$2:A180,A180,$C$2:C180,C180)/SUMIFS($J$2:J180,$A$2:A180,A180,$C$2:C180,C180)-1)</f>
        <v>-</v>
      </c>
      <c r="X180" s="450" t="str">
        <f t="shared" si="56"/>
        <v/>
      </c>
      <c r="Y180" s="450" t="str">
        <f>IFERROR(IF(R180=0,"-",SUMIFS($R$2:R180,$A$2:A180,A180,$C$2:C180,C180)/SUMIFS($N$2:N180,$A$2:A180,A180,$C$2:C180,C180)-1),"")</f>
        <v>-</v>
      </c>
      <c r="Z180" s="269" t="str">
        <f>IF(R180=0,"",(S180/VLOOKUP(_xlfn.NUMBERVALUE(_xlfn.CONCAT(LEFT(F180,4),52)),$F$2:T387,COLUMNS($F$2:T387),FALSE)))</f>
        <v/>
      </c>
      <c r="AA180" s="269" t="str">
        <f>IFERROR(IF(R180=0,"",(S180/VLOOKUP(_xlfn.NUMBERVALUE(_xlfn.CONCAT(LEFT(F180,4),52)),$F$2:U387,COLUMNS($F$2:U387),FALSE))),"")</f>
        <v/>
      </c>
      <c r="AB180" s="268" t="str">
        <f t="shared" si="57"/>
        <v/>
      </c>
      <c r="AC180" s="450" t="str">
        <f t="shared" si="58"/>
        <v/>
      </c>
      <c r="AD180" s="450" t="str">
        <f t="shared" si="59"/>
        <v/>
      </c>
      <c r="AE180" s="269" t="str">
        <f t="shared" si="60"/>
        <v/>
      </c>
      <c r="AF180" s="268" t="str">
        <f t="shared" si="61"/>
        <v/>
      </c>
      <c r="AG180" s="450" t="str">
        <f t="shared" si="62"/>
        <v/>
      </c>
      <c r="AH180" s="450" t="str">
        <f t="shared" si="63"/>
        <v/>
      </c>
      <c r="AI180" s="269" t="str">
        <f t="shared" si="64"/>
        <v/>
      </c>
      <c r="AJ180" s="450" t="str">
        <f>IF(O180=0,"-",SUMIFS($O$2:O180,$A$2:A180,$A180,$F$2:F180,"&lt;="&amp;$F180)/SUMIFS($G$2:G180,$A$2:A180,$A180,$F$2:F180,"&lt;="&amp;$F180)-1)</f>
        <v>-</v>
      </c>
      <c r="AK180" s="450" t="str">
        <f>IF(P180=0,"-",SUMIFS($P$2:P180,$A$2:A180,$A180,$F$2:F180,"&lt;="&amp;$F180)/SUMIFS($H$2:H180,$A$2:A180,$A180,$F$2:F180,"&lt;="&amp;$F180)-1)</f>
        <v>-</v>
      </c>
      <c r="AL180" s="450" t="str">
        <f>IF(Q180=0,"-",SUMIFS($Q$2:Q180,$A$2:A180,$A180,$F$2:F180,"&lt;="&amp;$F180)/SUMIFS($I$2:I180,$A$2:A180,$A180,$F$2:F180,"&lt;="&amp;$F180)-1)</f>
        <v>-</v>
      </c>
      <c r="AM180" s="450" t="str">
        <f>IFERROR(IF(O180=0,"-",SUMIFS($O$2:O180,$A$2:A180,$A180,$F$2:F180,"&lt;="&amp;$F180)/SUMIFS($K$2:K180,$A$2:A180,$A180,$F$2:F180,"&lt;="&amp;$F180)-1),"")</f>
        <v>-</v>
      </c>
      <c r="AN180" s="450" t="str">
        <f>IFERROR(IF(P180=0,"-",SUMIFS($P$2:P180,$A$2:A180,$A180,$F$2:F180,"&lt;="&amp;$F180)/SUMIFS($L$2:L180,$A$2:A180,$A180,$F$2:F180,"&lt;="&amp;$F180)-1),"")</f>
        <v>-</v>
      </c>
      <c r="AO180" s="450" t="str">
        <f>IFERROR(IF(Q180=0,"-",SUMIFS($Q$2:Q180,$A$2:A180,$A180,$F$2:F180,"&lt;="&amp;$F180)/SUMIFS($M$2:M180,$A$2:A180,$A180,$F$2:F180,"&lt;="&amp;$F180)-1),"")</f>
        <v>-</v>
      </c>
      <c r="AP180" s="134"/>
      <c r="AQ180" s="452" t="str">
        <f>'Overall Metrics'!AO185</f>
        <v/>
      </c>
      <c r="AR180" s="450" t="str">
        <f t="shared" si="65"/>
        <v/>
      </c>
      <c r="AS180" s="453" t="str">
        <f>IFERROR(IF(R181=0,"-",AVERAGEIFS($AQ$2:AQ180,$A$2:A180,$A180,$F$2:F180,"&lt;="&amp;$F180)-AVERAGEIFS($AP$2:AP180,$A$2:A180,$A180,$F$2:F180,"&lt;="&amp;$F180)),"")</f>
        <v>-</v>
      </c>
      <c r="AT180" s="390" t="str">
        <f>IFERROR(IF(R181=0,"-",AVERAGEIFS($AQ$2:AQ180,$A$2:A180,A180,$C$2:C180,C180)-AVERAGEIFS($AP$2:AP180,$A$2:A180,A180,$C$2:C180,C180)),"")</f>
        <v>-</v>
      </c>
      <c r="AU180" s="451"/>
      <c r="AV180" s="452">
        <f>'Overall Metrics'!AS185</f>
        <v>0</v>
      </c>
      <c r="AW180" s="450" t="str">
        <f t="shared" si="66"/>
        <v/>
      </c>
      <c r="AX180" s="453" t="str">
        <f>IFERROR(IF(R184=0,"-",AVERAGEIFS($AV$2:AV180,$A$2:A180,$A180,$F$2:F180,"&lt;="&amp;$F180)-AVERAGEIFS($AU$2:AU180,$A$2:A180,$A180,$F$2:F180,"&lt;="&amp;$F180)),"")</f>
        <v>-</v>
      </c>
      <c r="AY180" s="453" t="str">
        <f>IFERROR(IF(R184=0,"-",AVERAGEIFS($AV$2:AV180,$A$2:A180,A180,$C$2:C180,C180)-AVERAGEIFS($AU$2:AU180,$A$2:A180,A180,$C$2:C180,C180)),"")</f>
        <v>-</v>
      </c>
      <c r="AZ180" s="103"/>
      <c r="BA180" s="449">
        <f>'Glass Metrics'!AC185</f>
        <v>0</v>
      </c>
      <c r="BB180" s="450" t="str">
        <f t="shared" si="67"/>
        <v/>
      </c>
      <c r="BC180" s="450" t="str">
        <f>IFERROR(IF(R180=0,"-",AVERAGEIFS($BA$2:BA180,$A$2:A180,$A180,$F$2:F180,"&lt;="&amp;$F180)/AVERAGEIFS($AZ$2:AZ180,$A$2:A180,$A180,$F$2:F180,"&lt;="&amp;$F180)-1),"")</f>
        <v>-</v>
      </c>
      <c r="BD180" s="269" t="str">
        <f>IFERROR(IF(R180=0,"-",AVERAGEIFS($BA$2:BA180,$A$2:A180,A180,$C$2:C180,C180)/AVERAGEIFS($AZ$2:AZ180,$A$2:A180,A180,$C$2:C180,C180)-1),"")</f>
        <v>-</v>
      </c>
    </row>
    <row r="181" spans="1:56" ht="16.350000000000001" customHeight="1">
      <c r="A181" s="175">
        <f t="shared" si="46"/>
        <v>2024</v>
      </c>
      <c r="B181" s="447" t="str">
        <f t="shared" si="47"/>
        <v>24</v>
      </c>
      <c r="C181" s="447" t="str">
        <f t="array" ref="C181">_xlfn.IFS(_xlfn.NUMBERVALUE(B181)&lt;=13,"Q1",AND(_xlfn.NUMBERVALUE(B181)&gt;13,_xlfn.NUMBERVALUE(B181)&lt;=26),"Q2", AND(_xlfn.NUMBERVALUE(B181)&gt;26,_xlfn.NUMBERVALUE(B181)&lt;=39),"Q3",_xlfn.NUMBERVALUE(B181)&gt;39,"Q4")</f>
        <v>Q2</v>
      </c>
      <c r="D181" s="448">
        <f t="shared" si="68"/>
        <v>45115</v>
      </c>
      <c r="E181" s="448">
        <f t="shared" si="48"/>
        <v>45121</v>
      </c>
      <c r="F181" s="79">
        <v>202324</v>
      </c>
      <c r="G181" s="103"/>
      <c r="H181" s="429"/>
      <c r="I181" s="429"/>
      <c r="J181" s="214">
        <f t="shared" si="49"/>
        <v>0</v>
      </c>
      <c r="K181" s="429"/>
      <c r="L181" s="429"/>
      <c r="M181" s="429"/>
      <c r="N181" s="214">
        <f t="shared" si="50"/>
        <v>0</v>
      </c>
      <c r="O181" s="449">
        <f>'Overall Metrics'!L186</f>
        <v>0</v>
      </c>
      <c r="P181" s="449">
        <f>'Overall Metrics'!M186</f>
        <v>0</v>
      </c>
      <c r="Q181" s="449">
        <f>'Overall Metrics'!N186</f>
        <v>0</v>
      </c>
      <c r="R181" s="449">
        <f t="shared" si="51"/>
        <v>0</v>
      </c>
      <c r="S181" s="180">
        <f t="shared" si="52"/>
        <v>0</v>
      </c>
      <c r="T181" s="449">
        <f t="shared" si="53"/>
        <v>0</v>
      </c>
      <c r="U181" s="449">
        <f t="shared" si="54"/>
        <v>0</v>
      </c>
      <c r="V181" s="450" t="str">
        <f t="shared" si="55"/>
        <v/>
      </c>
      <c r="W181" s="450" t="str">
        <f>IF(R181=0,"-",SUMIFS($R$2:R181,$A$2:A181,A181,$C$2:C181,C181)/SUMIFS($J$2:J181,$A$2:A181,A181,$C$2:C181,C181)-1)</f>
        <v>-</v>
      </c>
      <c r="X181" s="450" t="str">
        <f t="shared" si="56"/>
        <v/>
      </c>
      <c r="Y181" s="450" t="str">
        <f>IFERROR(IF(R181=0,"-",SUMIFS($R$2:R181,$A$2:A181,A181,$C$2:C181,C181)/SUMIFS($N$2:N181,$A$2:A181,A181,$C$2:C181,C181)-1),"")</f>
        <v>-</v>
      </c>
      <c r="Z181" s="269" t="str">
        <f>IF(R181=0,"",(S181/VLOOKUP(_xlfn.NUMBERVALUE(_xlfn.CONCAT(LEFT(F181,4),52)),$F$2:T388,COLUMNS($F$2:T388),FALSE)))</f>
        <v/>
      </c>
      <c r="AA181" s="269" t="str">
        <f>IFERROR(IF(R181=0,"",(S181/VLOOKUP(_xlfn.NUMBERVALUE(_xlfn.CONCAT(LEFT(F181,4),52)),$F$2:U388,COLUMNS($F$2:U388),FALSE))),"")</f>
        <v/>
      </c>
      <c r="AB181" s="268" t="str">
        <f t="shared" si="57"/>
        <v/>
      </c>
      <c r="AC181" s="450" t="str">
        <f t="shared" si="58"/>
        <v/>
      </c>
      <c r="AD181" s="450" t="str">
        <f t="shared" si="59"/>
        <v/>
      </c>
      <c r="AE181" s="269" t="str">
        <f t="shared" si="60"/>
        <v/>
      </c>
      <c r="AF181" s="268" t="str">
        <f t="shared" si="61"/>
        <v/>
      </c>
      <c r="AG181" s="450" t="str">
        <f t="shared" si="62"/>
        <v/>
      </c>
      <c r="AH181" s="450" t="str">
        <f t="shared" si="63"/>
        <v/>
      </c>
      <c r="AI181" s="269" t="str">
        <f t="shared" si="64"/>
        <v/>
      </c>
      <c r="AJ181" s="450" t="str">
        <f>IF(O181=0,"-",SUMIFS($O$2:O181,$A$2:A181,$A181,$F$2:F181,"&lt;="&amp;$F181)/SUMIFS($G$2:G181,$A$2:A181,$A181,$F$2:F181,"&lt;="&amp;$F181)-1)</f>
        <v>-</v>
      </c>
      <c r="AK181" s="450" t="str">
        <f>IF(P181=0,"-",SUMIFS($P$2:P181,$A$2:A181,$A181,$F$2:F181,"&lt;="&amp;$F181)/SUMIFS($H$2:H181,$A$2:A181,$A181,$F$2:F181,"&lt;="&amp;$F181)-1)</f>
        <v>-</v>
      </c>
      <c r="AL181" s="450" t="str">
        <f>IF(Q181=0,"-",SUMIFS($Q$2:Q181,$A$2:A181,$A181,$F$2:F181,"&lt;="&amp;$F181)/SUMIFS($I$2:I181,$A$2:A181,$A181,$F$2:F181,"&lt;="&amp;$F181)-1)</f>
        <v>-</v>
      </c>
      <c r="AM181" s="450" t="str">
        <f>IFERROR(IF(O181=0,"-",SUMIFS($O$2:O181,$A$2:A181,$A181,$F$2:F181,"&lt;="&amp;$F181)/SUMIFS($K$2:K181,$A$2:A181,$A181,$F$2:F181,"&lt;="&amp;$F181)-1),"")</f>
        <v>-</v>
      </c>
      <c r="AN181" s="450" t="str">
        <f>IFERROR(IF(P181=0,"-",SUMIFS($P$2:P181,$A$2:A181,$A181,$F$2:F181,"&lt;="&amp;$F181)/SUMIFS($L$2:L181,$A$2:A181,$A181,$F$2:F181,"&lt;="&amp;$F181)-1),"")</f>
        <v>-</v>
      </c>
      <c r="AO181" s="450" t="str">
        <f>IFERROR(IF(Q181=0,"-",SUMIFS($Q$2:Q181,$A$2:A181,$A181,$F$2:F181,"&lt;="&amp;$F181)/SUMIFS($M$2:M181,$A$2:A181,$A181,$F$2:F181,"&lt;="&amp;$F181)-1),"")</f>
        <v>-</v>
      </c>
      <c r="AP181" s="134"/>
      <c r="AQ181" s="452" t="str">
        <f>'Overall Metrics'!AO186</f>
        <v/>
      </c>
      <c r="AR181" s="450" t="str">
        <f t="shared" si="65"/>
        <v/>
      </c>
      <c r="AS181" s="453" t="str">
        <f>IFERROR(IF(R182=0,"-",AVERAGEIFS($AQ$2:AQ181,$A$2:A181,$A181,$F$2:F181,"&lt;="&amp;$F181)-AVERAGEIFS($AP$2:AP181,$A$2:A181,$A181,$F$2:F181,"&lt;="&amp;$F181)),"")</f>
        <v>-</v>
      </c>
      <c r="AT181" s="390" t="str">
        <f>IFERROR(IF(R182=0,"-",AVERAGEIFS($AQ$2:AQ181,$A$2:A181,A181,$C$2:C181,C181)-AVERAGEIFS($AP$2:AP181,$A$2:A181,A181,$C$2:C181,C181)),"")</f>
        <v>-</v>
      </c>
      <c r="AU181" s="451"/>
      <c r="AV181" s="452">
        <f>'Overall Metrics'!AS186</f>
        <v>0</v>
      </c>
      <c r="AW181" s="450" t="str">
        <f t="shared" si="66"/>
        <v/>
      </c>
      <c r="AX181" s="453" t="str">
        <f>IFERROR(IF(R185=0,"-",AVERAGEIFS($AV$2:AV181,$A$2:A181,$A181,$F$2:F181,"&lt;="&amp;$F181)-AVERAGEIFS($AU$2:AU181,$A$2:A181,$A181,$F$2:F181,"&lt;="&amp;$F181)),"")</f>
        <v>-</v>
      </c>
      <c r="AY181" s="453" t="str">
        <f>IFERROR(IF(R185=0,"-",AVERAGEIFS($AV$2:AV181,$A$2:A181,A181,$C$2:C181,C181)-AVERAGEIFS($AU$2:AU181,$A$2:A181,A181,$C$2:C181,C181)),"")</f>
        <v>-</v>
      </c>
      <c r="AZ181" s="103"/>
      <c r="BA181" s="449">
        <f>'Glass Metrics'!AC186</f>
        <v>0</v>
      </c>
      <c r="BB181" s="450" t="str">
        <f t="shared" si="67"/>
        <v/>
      </c>
      <c r="BC181" s="450" t="str">
        <f>IFERROR(IF(R181=0,"-",AVERAGEIFS($BA$2:BA181,$A$2:A181,$A181,$F$2:F181,"&lt;="&amp;$F181)/AVERAGEIFS($AZ$2:AZ181,$A$2:A181,$A181,$F$2:F181,"&lt;="&amp;$F181)-1),"")</f>
        <v>-</v>
      </c>
      <c r="BD181" s="269" t="str">
        <f>IFERROR(IF(R181=0,"-",AVERAGEIFS($BA$2:BA181,$A$2:A181,A181,$C$2:C181,C181)/AVERAGEIFS($AZ$2:AZ181,$A$2:A181,A181,$C$2:C181,C181)-1),"")</f>
        <v>-</v>
      </c>
    </row>
    <row r="182" spans="1:56" ht="16.350000000000001" customHeight="1">
      <c r="A182" s="175">
        <f t="shared" si="46"/>
        <v>2024</v>
      </c>
      <c r="B182" s="447" t="str">
        <f t="shared" si="47"/>
        <v>25</v>
      </c>
      <c r="C182" s="447" t="str">
        <f t="array" ref="C182">_xlfn.IFS(_xlfn.NUMBERVALUE(B182)&lt;=13,"Q1",AND(_xlfn.NUMBERVALUE(B182)&gt;13,_xlfn.NUMBERVALUE(B182)&lt;=26),"Q2", AND(_xlfn.NUMBERVALUE(B182)&gt;26,_xlfn.NUMBERVALUE(B182)&lt;=39),"Q3",_xlfn.NUMBERVALUE(B182)&gt;39,"Q4")</f>
        <v>Q2</v>
      </c>
      <c r="D182" s="448">
        <f t="shared" si="68"/>
        <v>45122</v>
      </c>
      <c r="E182" s="448">
        <f t="shared" si="48"/>
        <v>45128</v>
      </c>
      <c r="F182" s="79">
        <v>202325</v>
      </c>
      <c r="G182" s="103"/>
      <c r="H182" s="429"/>
      <c r="I182" s="429"/>
      <c r="J182" s="214">
        <f t="shared" si="49"/>
        <v>0</v>
      </c>
      <c r="K182" s="429"/>
      <c r="L182" s="429"/>
      <c r="M182" s="429"/>
      <c r="N182" s="214">
        <f t="shared" si="50"/>
        <v>0</v>
      </c>
      <c r="O182" s="449">
        <f>'Overall Metrics'!L187</f>
        <v>0</v>
      </c>
      <c r="P182" s="449">
        <f>'Overall Metrics'!M187</f>
        <v>0</v>
      </c>
      <c r="Q182" s="449">
        <f>'Overall Metrics'!N187</f>
        <v>0</v>
      </c>
      <c r="R182" s="449">
        <f t="shared" si="51"/>
        <v>0</v>
      </c>
      <c r="S182" s="180">
        <f t="shared" si="52"/>
        <v>0</v>
      </c>
      <c r="T182" s="449">
        <f t="shared" si="53"/>
        <v>0</v>
      </c>
      <c r="U182" s="449">
        <f t="shared" si="54"/>
        <v>0</v>
      </c>
      <c r="V182" s="450" t="str">
        <f t="shared" si="55"/>
        <v/>
      </c>
      <c r="W182" s="450" t="str">
        <f>IF(R182=0,"-",SUMIFS($R$2:R182,$A$2:A182,A182,$C$2:C182,C182)/SUMIFS($J$2:J182,$A$2:A182,A182,$C$2:C182,C182)-1)</f>
        <v>-</v>
      </c>
      <c r="X182" s="450" t="str">
        <f t="shared" si="56"/>
        <v/>
      </c>
      <c r="Y182" s="450" t="str">
        <f>IFERROR(IF(R182=0,"-",SUMIFS($R$2:R182,$A$2:A182,A182,$C$2:C182,C182)/SUMIFS($N$2:N182,$A$2:A182,A182,$C$2:C182,C182)-1),"")</f>
        <v>-</v>
      </c>
      <c r="Z182" s="269" t="str">
        <f>IF(R182=0,"",(S182/VLOOKUP(_xlfn.NUMBERVALUE(_xlfn.CONCAT(LEFT(F182,4),52)),$F$2:T389,COLUMNS($F$2:T389),FALSE)))</f>
        <v/>
      </c>
      <c r="AA182" s="269" t="str">
        <f>IFERROR(IF(R182=0,"",(S182/VLOOKUP(_xlfn.NUMBERVALUE(_xlfn.CONCAT(LEFT(F182,4),52)),$F$2:U389,COLUMNS($F$2:U389),FALSE))),"")</f>
        <v/>
      </c>
      <c r="AB182" s="268" t="str">
        <f t="shared" si="57"/>
        <v/>
      </c>
      <c r="AC182" s="450" t="str">
        <f t="shared" si="58"/>
        <v/>
      </c>
      <c r="AD182" s="450" t="str">
        <f t="shared" si="59"/>
        <v/>
      </c>
      <c r="AE182" s="269" t="str">
        <f t="shared" si="60"/>
        <v/>
      </c>
      <c r="AF182" s="268" t="str">
        <f t="shared" si="61"/>
        <v/>
      </c>
      <c r="AG182" s="450" t="str">
        <f t="shared" si="62"/>
        <v/>
      </c>
      <c r="AH182" s="450" t="str">
        <f t="shared" si="63"/>
        <v/>
      </c>
      <c r="AI182" s="269" t="str">
        <f t="shared" si="64"/>
        <v/>
      </c>
      <c r="AJ182" s="450" t="str">
        <f>IF(O182=0,"-",SUMIFS($O$2:O182,$A$2:A182,$A182,$F$2:F182,"&lt;="&amp;$F182)/SUMIFS($G$2:G182,$A$2:A182,$A182,$F$2:F182,"&lt;="&amp;$F182)-1)</f>
        <v>-</v>
      </c>
      <c r="AK182" s="450" t="str">
        <f>IF(P182=0,"-",SUMIFS($P$2:P182,$A$2:A182,$A182,$F$2:F182,"&lt;="&amp;$F182)/SUMIFS($H$2:H182,$A$2:A182,$A182,$F$2:F182,"&lt;="&amp;$F182)-1)</f>
        <v>-</v>
      </c>
      <c r="AL182" s="450" t="str">
        <f>IF(Q182=0,"-",SUMIFS($Q$2:Q182,$A$2:A182,$A182,$F$2:F182,"&lt;="&amp;$F182)/SUMIFS($I$2:I182,$A$2:A182,$A182,$F$2:F182,"&lt;="&amp;$F182)-1)</f>
        <v>-</v>
      </c>
      <c r="AM182" s="450" t="str">
        <f>IFERROR(IF(O182=0,"-",SUMIFS($O$2:O182,$A$2:A182,$A182,$F$2:F182,"&lt;="&amp;$F182)/SUMIFS($K$2:K182,$A$2:A182,$A182,$F$2:F182,"&lt;="&amp;$F182)-1),"")</f>
        <v>-</v>
      </c>
      <c r="AN182" s="450" t="str">
        <f>IFERROR(IF(P182=0,"-",SUMIFS($P$2:P182,$A$2:A182,$A182,$F$2:F182,"&lt;="&amp;$F182)/SUMIFS($L$2:L182,$A$2:A182,$A182,$F$2:F182,"&lt;="&amp;$F182)-1),"")</f>
        <v>-</v>
      </c>
      <c r="AO182" s="450" t="str">
        <f>IFERROR(IF(Q182=0,"-",SUMIFS($Q$2:Q182,$A$2:A182,$A182,$F$2:F182,"&lt;="&amp;$F182)/SUMIFS($M$2:M182,$A$2:A182,$A182,$F$2:F182,"&lt;="&amp;$F182)-1),"")</f>
        <v>-</v>
      </c>
      <c r="AP182" s="134"/>
      <c r="AQ182" s="452" t="str">
        <f>'Overall Metrics'!AO187</f>
        <v/>
      </c>
      <c r="AR182" s="450" t="str">
        <f t="shared" si="65"/>
        <v/>
      </c>
      <c r="AS182" s="453" t="str">
        <f>IFERROR(IF(R183=0,"-",AVERAGEIFS($AQ$2:AQ182,$A$2:A182,$A182,$F$2:F182,"&lt;="&amp;$F182)-AVERAGEIFS($AP$2:AP182,$A$2:A182,$A182,$F$2:F182,"&lt;="&amp;$F182)),"")</f>
        <v>-</v>
      </c>
      <c r="AT182" s="390" t="str">
        <f>IFERROR(IF(R183=0,"-",AVERAGEIFS($AQ$2:AQ182,$A$2:A182,A182,$C$2:C182,C182)-AVERAGEIFS($AP$2:AP182,$A$2:A182,A182,$C$2:C182,C182)),"")</f>
        <v>-</v>
      </c>
      <c r="AU182" s="451"/>
      <c r="AV182" s="452">
        <f>'Overall Metrics'!AS187</f>
        <v>0</v>
      </c>
      <c r="AW182" s="450" t="str">
        <f t="shared" si="66"/>
        <v/>
      </c>
      <c r="AX182" s="453" t="str">
        <f>IFERROR(IF(R186=0,"-",AVERAGEIFS($AV$2:AV182,$A$2:A182,$A182,$F$2:F182,"&lt;="&amp;$F182)-AVERAGEIFS($AU$2:AU182,$A$2:A182,$A182,$F$2:F182,"&lt;="&amp;$F182)),"")</f>
        <v>-</v>
      </c>
      <c r="AY182" s="453" t="str">
        <f>IFERROR(IF(R186=0,"-",AVERAGEIFS($AV$2:AV182,$A$2:A182,A182,$C$2:C182,C182)-AVERAGEIFS($AU$2:AU182,$A$2:A182,A182,$C$2:C182,C182)),"")</f>
        <v>-</v>
      </c>
      <c r="AZ182" s="103"/>
      <c r="BA182" s="449">
        <f>'Glass Metrics'!AC187</f>
        <v>0</v>
      </c>
      <c r="BB182" s="450" t="str">
        <f t="shared" si="67"/>
        <v/>
      </c>
      <c r="BC182" s="450" t="str">
        <f>IFERROR(IF(R182=0,"-",AVERAGEIFS($BA$2:BA182,$A$2:A182,$A182,$F$2:F182,"&lt;="&amp;$F182)/AVERAGEIFS($AZ$2:AZ182,$A$2:A182,$A182,$F$2:F182,"&lt;="&amp;$F182)-1),"")</f>
        <v>-</v>
      </c>
      <c r="BD182" s="269" t="str">
        <f>IFERROR(IF(R182=0,"-",AVERAGEIFS($BA$2:BA182,$A$2:A182,A182,$C$2:C182,C182)/AVERAGEIFS($AZ$2:AZ182,$A$2:A182,A182,$C$2:C182,C182)-1),"")</f>
        <v>-</v>
      </c>
    </row>
    <row r="183" spans="1:56" ht="16.350000000000001" customHeight="1">
      <c r="A183" s="175">
        <f t="shared" si="46"/>
        <v>2024</v>
      </c>
      <c r="B183" s="447" t="str">
        <f t="shared" si="47"/>
        <v>26</v>
      </c>
      <c r="C183" s="447" t="str">
        <f t="array" ref="C183">_xlfn.IFS(_xlfn.NUMBERVALUE(B183)&lt;=13,"Q1",AND(_xlfn.NUMBERVALUE(B183)&gt;13,_xlfn.NUMBERVALUE(B183)&lt;=26),"Q2", AND(_xlfn.NUMBERVALUE(B183)&gt;26,_xlfn.NUMBERVALUE(B183)&lt;=39),"Q3",_xlfn.NUMBERVALUE(B183)&gt;39,"Q4")</f>
        <v>Q2</v>
      </c>
      <c r="D183" s="448">
        <f t="shared" si="68"/>
        <v>45129</v>
      </c>
      <c r="E183" s="448">
        <f t="shared" si="48"/>
        <v>45135</v>
      </c>
      <c r="F183" s="79">
        <v>202326</v>
      </c>
      <c r="G183" s="103"/>
      <c r="H183" s="429"/>
      <c r="I183" s="429"/>
      <c r="J183" s="214">
        <f t="shared" si="49"/>
        <v>0</v>
      </c>
      <c r="K183" s="429"/>
      <c r="L183" s="429"/>
      <c r="M183" s="429"/>
      <c r="N183" s="214">
        <f t="shared" si="50"/>
        <v>0</v>
      </c>
      <c r="O183" s="449">
        <f>'Overall Metrics'!L188</f>
        <v>0</v>
      </c>
      <c r="P183" s="449">
        <f>'Overall Metrics'!M188</f>
        <v>0</v>
      </c>
      <c r="Q183" s="449">
        <f>'Overall Metrics'!N188</f>
        <v>0</v>
      </c>
      <c r="R183" s="449">
        <f t="shared" si="51"/>
        <v>0</v>
      </c>
      <c r="S183" s="180">
        <f t="shared" si="52"/>
        <v>0</v>
      </c>
      <c r="T183" s="449">
        <f t="shared" si="53"/>
        <v>0</v>
      </c>
      <c r="U183" s="449">
        <f t="shared" si="54"/>
        <v>0</v>
      </c>
      <c r="V183" s="450" t="str">
        <f t="shared" si="55"/>
        <v/>
      </c>
      <c r="W183" s="450" t="str">
        <f>IF(R183=0,"-",SUMIFS($R$2:R183,$A$2:A183,A183,$C$2:C183,C183)/SUMIFS($J$2:J183,$A$2:A183,A183,$C$2:C183,C183)-1)</f>
        <v>-</v>
      </c>
      <c r="X183" s="450" t="str">
        <f t="shared" si="56"/>
        <v/>
      </c>
      <c r="Y183" s="450" t="str">
        <f>IFERROR(IF(R183=0,"-",SUMIFS($R$2:R183,$A$2:A183,A183,$C$2:C183,C183)/SUMIFS($N$2:N183,$A$2:A183,A183,$C$2:C183,C183)-1),"")</f>
        <v>-</v>
      </c>
      <c r="Z183" s="269" t="str">
        <f>IF(R183=0,"",(S183/VLOOKUP(_xlfn.NUMBERVALUE(_xlfn.CONCAT(LEFT(F183,4),52)),$F$2:T390,COLUMNS($F$2:T390),FALSE)))</f>
        <v/>
      </c>
      <c r="AA183" s="269" t="str">
        <f>IFERROR(IF(R183=0,"",(S183/VLOOKUP(_xlfn.NUMBERVALUE(_xlfn.CONCAT(LEFT(F183,4),52)),$F$2:U390,COLUMNS($F$2:U390),FALSE))),"")</f>
        <v/>
      </c>
      <c r="AB183" s="268" t="str">
        <f t="shared" si="57"/>
        <v/>
      </c>
      <c r="AC183" s="450" t="str">
        <f t="shared" si="58"/>
        <v/>
      </c>
      <c r="AD183" s="450" t="str">
        <f t="shared" si="59"/>
        <v/>
      </c>
      <c r="AE183" s="269" t="str">
        <f t="shared" si="60"/>
        <v/>
      </c>
      <c r="AF183" s="268" t="str">
        <f t="shared" si="61"/>
        <v/>
      </c>
      <c r="AG183" s="450" t="str">
        <f t="shared" si="62"/>
        <v/>
      </c>
      <c r="AH183" s="450" t="str">
        <f t="shared" si="63"/>
        <v/>
      </c>
      <c r="AI183" s="269" t="str">
        <f t="shared" si="64"/>
        <v/>
      </c>
      <c r="AJ183" s="450" t="str">
        <f>IF(O183=0,"-",SUMIFS($O$2:O183,$A$2:A183,$A183,$F$2:F183,"&lt;="&amp;$F183)/SUMIFS($G$2:G183,$A$2:A183,$A183,$F$2:F183,"&lt;="&amp;$F183)-1)</f>
        <v>-</v>
      </c>
      <c r="AK183" s="450" t="str">
        <f>IF(P183=0,"-",SUMIFS($P$2:P183,$A$2:A183,$A183,$F$2:F183,"&lt;="&amp;$F183)/SUMIFS($H$2:H183,$A$2:A183,$A183,$F$2:F183,"&lt;="&amp;$F183)-1)</f>
        <v>-</v>
      </c>
      <c r="AL183" s="450" t="str">
        <f>IF(Q183=0,"-",SUMIFS($Q$2:Q183,$A$2:A183,$A183,$F$2:F183,"&lt;="&amp;$F183)/SUMIFS($I$2:I183,$A$2:A183,$A183,$F$2:F183,"&lt;="&amp;$F183)-1)</f>
        <v>-</v>
      </c>
      <c r="AM183" s="450" t="str">
        <f>IFERROR(IF(O183=0,"-",SUMIFS($O$2:O183,$A$2:A183,$A183,$F$2:F183,"&lt;="&amp;$F183)/SUMIFS($K$2:K183,$A$2:A183,$A183,$F$2:F183,"&lt;="&amp;$F183)-1),"")</f>
        <v>-</v>
      </c>
      <c r="AN183" s="450" t="str">
        <f>IFERROR(IF(P183=0,"-",SUMIFS($P$2:P183,$A$2:A183,$A183,$F$2:F183,"&lt;="&amp;$F183)/SUMIFS($L$2:L183,$A$2:A183,$A183,$F$2:F183,"&lt;="&amp;$F183)-1),"")</f>
        <v>-</v>
      </c>
      <c r="AO183" s="450" t="str">
        <f>IFERROR(IF(Q183=0,"-",SUMIFS($Q$2:Q183,$A$2:A183,$A183,$F$2:F183,"&lt;="&amp;$F183)/SUMIFS($M$2:M183,$A$2:A183,$A183,$F$2:F183,"&lt;="&amp;$F183)-1),"")</f>
        <v>-</v>
      </c>
      <c r="AP183" s="134"/>
      <c r="AQ183" s="452" t="str">
        <f>'Overall Metrics'!AO188</f>
        <v/>
      </c>
      <c r="AR183" s="450" t="str">
        <f t="shared" si="65"/>
        <v/>
      </c>
      <c r="AS183" s="453" t="str">
        <f>IFERROR(IF(R184=0,"-",AVERAGEIFS($AQ$2:AQ183,$A$2:A183,$A183,$F$2:F183,"&lt;="&amp;$F183)-AVERAGEIFS($AP$2:AP183,$A$2:A183,$A183,$F$2:F183,"&lt;="&amp;$F183)),"")</f>
        <v>-</v>
      </c>
      <c r="AT183" s="390" t="str">
        <f>IFERROR(IF(R184=0,"-",AVERAGEIFS($AQ$2:AQ183,$A$2:A183,A183,$C$2:C183,C183)-AVERAGEIFS($AP$2:AP183,$A$2:A183,A183,$C$2:C183,C183)),"")</f>
        <v>-</v>
      </c>
      <c r="AU183" s="451"/>
      <c r="AV183" s="452">
        <f>'Overall Metrics'!AS188</f>
        <v>0</v>
      </c>
      <c r="AW183" s="450" t="str">
        <f t="shared" si="66"/>
        <v/>
      </c>
      <c r="AX183" s="453" t="str">
        <f>IFERROR(IF(R187=0,"-",AVERAGEIFS($AV$2:AV183,$A$2:A183,$A183,$F$2:F183,"&lt;="&amp;$F183)-AVERAGEIFS($AU$2:AU183,$A$2:A183,$A183,$F$2:F183,"&lt;="&amp;$F183)),"")</f>
        <v>-</v>
      </c>
      <c r="AY183" s="453" t="str">
        <f>IFERROR(IF(R187=0,"-",AVERAGEIFS($AV$2:AV183,$A$2:A183,A183,$C$2:C183,C183)-AVERAGEIFS($AU$2:AU183,$A$2:A183,A183,$C$2:C183,C183)),"")</f>
        <v>-</v>
      </c>
      <c r="AZ183" s="103"/>
      <c r="BA183" s="449">
        <f>'Glass Metrics'!AC188</f>
        <v>0</v>
      </c>
      <c r="BB183" s="450" t="str">
        <f t="shared" si="67"/>
        <v/>
      </c>
      <c r="BC183" s="450" t="str">
        <f>IFERROR(IF(R183=0,"-",AVERAGEIFS($BA$2:BA183,$A$2:A183,$A183,$F$2:F183,"&lt;="&amp;$F183)/AVERAGEIFS($AZ$2:AZ183,$A$2:A183,$A183,$F$2:F183,"&lt;="&amp;$F183)-1),"")</f>
        <v>-</v>
      </c>
      <c r="BD183" s="269" t="str">
        <f>IFERROR(IF(R183=0,"-",AVERAGEIFS($BA$2:BA183,$A$2:A183,A183,$C$2:C183,C183)/AVERAGEIFS($AZ$2:AZ183,$A$2:A183,A183,$C$2:C183,C183)-1),"")</f>
        <v>-</v>
      </c>
    </row>
    <row r="184" spans="1:56" ht="16.350000000000001" customHeight="1">
      <c r="A184" s="175">
        <f t="shared" si="46"/>
        <v>2024</v>
      </c>
      <c r="B184" s="447" t="str">
        <f t="shared" si="47"/>
        <v>27</v>
      </c>
      <c r="C184" s="447" t="str">
        <f t="array" ref="C184">_xlfn.IFS(_xlfn.NUMBERVALUE(B184)&lt;=13,"Q1",AND(_xlfn.NUMBERVALUE(B184)&gt;13,_xlfn.NUMBERVALUE(B184)&lt;=26),"Q2", AND(_xlfn.NUMBERVALUE(B184)&gt;26,_xlfn.NUMBERVALUE(B184)&lt;=39),"Q3",_xlfn.NUMBERVALUE(B184)&gt;39,"Q4")</f>
        <v>Q3</v>
      </c>
      <c r="D184" s="448">
        <f t="shared" si="68"/>
        <v>45136</v>
      </c>
      <c r="E184" s="448">
        <f t="shared" si="48"/>
        <v>45142</v>
      </c>
      <c r="F184" s="79">
        <v>202327</v>
      </c>
      <c r="G184" s="103"/>
      <c r="H184" s="429"/>
      <c r="I184" s="429"/>
      <c r="J184" s="214">
        <f t="shared" si="49"/>
        <v>0</v>
      </c>
      <c r="K184" s="429"/>
      <c r="L184" s="429"/>
      <c r="M184" s="429"/>
      <c r="N184" s="214">
        <f t="shared" si="50"/>
        <v>0</v>
      </c>
      <c r="O184" s="449">
        <f>'Overall Metrics'!L189</f>
        <v>0</v>
      </c>
      <c r="P184" s="449">
        <f>'Overall Metrics'!M189</f>
        <v>0</v>
      </c>
      <c r="Q184" s="449">
        <f>'Overall Metrics'!N189</f>
        <v>0</v>
      </c>
      <c r="R184" s="449">
        <f t="shared" si="51"/>
        <v>0</v>
      </c>
      <c r="S184" s="180">
        <f t="shared" si="52"/>
        <v>0</v>
      </c>
      <c r="T184" s="449">
        <f t="shared" si="53"/>
        <v>0</v>
      </c>
      <c r="U184" s="449">
        <f t="shared" si="54"/>
        <v>0</v>
      </c>
      <c r="V184" s="450" t="str">
        <f t="shared" si="55"/>
        <v/>
      </c>
      <c r="W184" s="450" t="str">
        <f>IF(R184=0,"-",SUMIFS($R$2:R184,$A$2:A184,A184,$C$2:C184,C184)/SUMIFS($J$2:J184,$A$2:A184,A184,$C$2:C184,C184)-1)</f>
        <v>-</v>
      </c>
      <c r="X184" s="450" t="str">
        <f t="shared" si="56"/>
        <v/>
      </c>
      <c r="Y184" s="450" t="str">
        <f>IFERROR(IF(R184=0,"-",SUMIFS($R$2:R184,$A$2:A184,A184,$C$2:C184,C184)/SUMIFS($N$2:N184,$A$2:A184,A184,$C$2:C184,C184)-1),"")</f>
        <v>-</v>
      </c>
      <c r="Z184" s="269" t="str">
        <f>IF(R184=0,"",(S184/VLOOKUP(_xlfn.NUMBERVALUE(_xlfn.CONCAT(LEFT(F184,4),52)),$F$2:T391,COLUMNS($F$2:T391),FALSE)))</f>
        <v/>
      </c>
      <c r="AA184" s="269" t="str">
        <f>IFERROR(IF(R184=0,"",(S184/VLOOKUP(_xlfn.NUMBERVALUE(_xlfn.CONCAT(LEFT(F184,4),52)),$F$2:U391,COLUMNS($F$2:U391),FALSE))),"")</f>
        <v/>
      </c>
      <c r="AB184" s="268" t="str">
        <f t="shared" si="57"/>
        <v/>
      </c>
      <c r="AC184" s="450" t="str">
        <f t="shared" si="58"/>
        <v/>
      </c>
      <c r="AD184" s="450" t="str">
        <f t="shared" si="59"/>
        <v/>
      </c>
      <c r="AE184" s="269" t="str">
        <f t="shared" si="60"/>
        <v/>
      </c>
      <c r="AF184" s="268" t="str">
        <f t="shared" si="61"/>
        <v/>
      </c>
      <c r="AG184" s="450" t="str">
        <f t="shared" si="62"/>
        <v/>
      </c>
      <c r="AH184" s="450" t="str">
        <f t="shared" si="63"/>
        <v/>
      </c>
      <c r="AI184" s="269" t="str">
        <f t="shared" si="64"/>
        <v/>
      </c>
      <c r="AJ184" s="450" t="str">
        <f>IF(O184=0,"-",SUMIFS($O$2:O184,$A$2:A184,$A184,$F$2:F184,"&lt;="&amp;$F184)/SUMIFS($G$2:G184,$A$2:A184,$A184,$F$2:F184,"&lt;="&amp;$F184)-1)</f>
        <v>-</v>
      </c>
      <c r="AK184" s="450" t="str">
        <f>IF(P184=0,"-",SUMIFS($P$2:P184,$A$2:A184,$A184,$F$2:F184,"&lt;="&amp;$F184)/SUMIFS($H$2:H184,$A$2:A184,$A184,$F$2:F184,"&lt;="&amp;$F184)-1)</f>
        <v>-</v>
      </c>
      <c r="AL184" s="450" t="str">
        <f>IF(Q184=0,"-",SUMIFS($Q$2:Q184,$A$2:A184,$A184,$F$2:F184,"&lt;="&amp;$F184)/SUMIFS($I$2:I184,$A$2:A184,$A184,$F$2:F184,"&lt;="&amp;$F184)-1)</f>
        <v>-</v>
      </c>
      <c r="AM184" s="450" t="str">
        <f>IFERROR(IF(O184=0,"-",SUMIFS($O$2:O184,$A$2:A184,$A184,$F$2:F184,"&lt;="&amp;$F184)/SUMIFS($K$2:K184,$A$2:A184,$A184,$F$2:F184,"&lt;="&amp;$F184)-1),"")</f>
        <v>-</v>
      </c>
      <c r="AN184" s="450" t="str">
        <f>IFERROR(IF(P184=0,"-",SUMIFS($P$2:P184,$A$2:A184,$A184,$F$2:F184,"&lt;="&amp;$F184)/SUMIFS($L$2:L184,$A$2:A184,$A184,$F$2:F184,"&lt;="&amp;$F184)-1),"")</f>
        <v>-</v>
      </c>
      <c r="AO184" s="450" t="str">
        <f>IFERROR(IF(Q184=0,"-",SUMIFS($Q$2:Q184,$A$2:A184,$A184,$F$2:F184,"&lt;="&amp;$F184)/SUMIFS($M$2:M184,$A$2:A184,$A184,$F$2:F184,"&lt;="&amp;$F184)-1),"")</f>
        <v>-</v>
      </c>
      <c r="AP184" s="134"/>
      <c r="AQ184" s="452" t="str">
        <f>'Overall Metrics'!AO189</f>
        <v/>
      </c>
      <c r="AR184" s="450" t="str">
        <f t="shared" si="65"/>
        <v/>
      </c>
      <c r="AS184" s="453" t="str">
        <f>IFERROR(IF(R185=0,"-",AVERAGEIFS($AQ$2:AQ184,$A$2:A184,$A184,$F$2:F184,"&lt;="&amp;$F184)-AVERAGEIFS($AP$2:AP184,$A$2:A184,$A184,$F$2:F184,"&lt;="&amp;$F184)),"")</f>
        <v>-</v>
      </c>
      <c r="AT184" s="390" t="str">
        <f>IFERROR(IF(R185=0,"-",AVERAGEIFS($AQ$2:AQ184,$A$2:A184,A184,$C$2:C184,C184)-AVERAGEIFS($AP$2:AP184,$A$2:A184,A184,$C$2:C184,C184)),"")</f>
        <v>-</v>
      </c>
      <c r="AU184" s="451"/>
      <c r="AV184" s="452">
        <f>'Overall Metrics'!AS189</f>
        <v>0</v>
      </c>
      <c r="AW184" s="450" t="str">
        <f t="shared" si="66"/>
        <v/>
      </c>
      <c r="AX184" s="453" t="str">
        <f>IFERROR(IF(R188=0,"-",AVERAGEIFS($AV$2:AV184,$A$2:A184,$A184,$F$2:F184,"&lt;="&amp;$F184)-AVERAGEIFS($AU$2:AU184,$A$2:A184,$A184,$F$2:F184,"&lt;="&amp;$F184)),"")</f>
        <v>-</v>
      </c>
      <c r="AY184" s="453" t="str">
        <f>IFERROR(IF(R188=0,"-",AVERAGEIFS($AV$2:AV184,$A$2:A184,A184,$C$2:C184,C184)-AVERAGEIFS($AU$2:AU184,$A$2:A184,A184,$C$2:C184,C184)),"")</f>
        <v>-</v>
      </c>
      <c r="AZ184" s="103"/>
      <c r="BA184" s="449">
        <f>'Glass Metrics'!AC189</f>
        <v>0</v>
      </c>
      <c r="BB184" s="450" t="str">
        <f t="shared" si="67"/>
        <v/>
      </c>
      <c r="BC184" s="450" t="str">
        <f>IFERROR(IF(R184=0,"-",AVERAGEIFS($BA$2:BA184,$A$2:A184,$A184,$F$2:F184,"&lt;="&amp;$F184)/AVERAGEIFS($AZ$2:AZ184,$A$2:A184,$A184,$F$2:F184,"&lt;="&amp;$F184)-1),"")</f>
        <v>-</v>
      </c>
      <c r="BD184" s="269" t="str">
        <f>IFERROR(IF(R184=0,"-",AVERAGEIFS($BA$2:BA184,$A$2:A184,A184,$C$2:C184,C184)/AVERAGEIFS($AZ$2:AZ184,$A$2:A184,A184,$C$2:C184,C184)-1),"")</f>
        <v>-</v>
      </c>
    </row>
    <row r="185" spans="1:56" ht="16.350000000000001" customHeight="1">
      <c r="A185" s="175">
        <f t="shared" si="46"/>
        <v>2024</v>
      </c>
      <c r="B185" s="447" t="str">
        <f t="shared" si="47"/>
        <v>28</v>
      </c>
      <c r="C185" s="447" t="str">
        <f t="array" ref="C185">_xlfn.IFS(_xlfn.NUMBERVALUE(B185)&lt;=13,"Q1",AND(_xlfn.NUMBERVALUE(B185)&gt;13,_xlfn.NUMBERVALUE(B185)&lt;=26),"Q2", AND(_xlfn.NUMBERVALUE(B185)&gt;26,_xlfn.NUMBERVALUE(B185)&lt;=39),"Q3",_xlfn.NUMBERVALUE(B185)&gt;39,"Q4")</f>
        <v>Q3</v>
      </c>
      <c r="D185" s="448">
        <f t="shared" si="68"/>
        <v>45143</v>
      </c>
      <c r="E185" s="448">
        <f t="shared" si="48"/>
        <v>45149</v>
      </c>
      <c r="F185" s="79">
        <v>202328</v>
      </c>
      <c r="G185" s="103"/>
      <c r="H185" s="429"/>
      <c r="I185" s="429"/>
      <c r="J185" s="214">
        <f t="shared" si="49"/>
        <v>0</v>
      </c>
      <c r="K185" s="429"/>
      <c r="L185" s="429"/>
      <c r="M185" s="429"/>
      <c r="N185" s="214">
        <f t="shared" si="50"/>
        <v>0</v>
      </c>
      <c r="O185" s="449">
        <f>'Overall Metrics'!L190</f>
        <v>0</v>
      </c>
      <c r="P185" s="449">
        <f>'Overall Metrics'!M190</f>
        <v>0</v>
      </c>
      <c r="Q185" s="449">
        <f>'Overall Metrics'!N190</f>
        <v>0</v>
      </c>
      <c r="R185" s="449">
        <f t="shared" si="51"/>
        <v>0</v>
      </c>
      <c r="S185" s="180">
        <f t="shared" si="52"/>
        <v>0</v>
      </c>
      <c r="T185" s="449">
        <f t="shared" si="53"/>
        <v>0</v>
      </c>
      <c r="U185" s="449">
        <f t="shared" si="54"/>
        <v>0</v>
      </c>
      <c r="V185" s="450" t="str">
        <f t="shared" si="55"/>
        <v/>
      </c>
      <c r="W185" s="450" t="str">
        <f>IF(R185=0,"-",SUMIFS($R$2:R185,$A$2:A185,A185,$C$2:C185,C185)/SUMIFS($J$2:J185,$A$2:A185,A185,$C$2:C185,C185)-1)</f>
        <v>-</v>
      </c>
      <c r="X185" s="450" t="str">
        <f t="shared" si="56"/>
        <v/>
      </c>
      <c r="Y185" s="450" t="str">
        <f>IFERROR(IF(R185=0,"-",SUMIFS($R$2:R185,$A$2:A185,A185,$C$2:C185,C185)/SUMIFS($N$2:N185,$A$2:A185,A185,$C$2:C185,C185)-1),"")</f>
        <v>-</v>
      </c>
      <c r="Z185" s="269" t="str">
        <f>IF(R185=0,"",(S185/VLOOKUP(_xlfn.NUMBERVALUE(_xlfn.CONCAT(LEFT(F185,4),52)),$F$2:T392,COLUMNS($F$2:T392),FALSE)))</f>
        <v/>
      </c>
      <c r="AA185" s="269" t="str">
        <f>IFERROR(IF(R185=0,"",(S185/VLOOKUP(_xlfn.NUMBERVALUE(_xlfn.CONCAT(LEFT(F185,4),52)),$F$2:U392,COLUMNS($F$2:U392),FALSE))),"")</f>
        <v/>
      </c>
      <c r="AB185" s="268" t="str">
        <f t="shared" si="57"/>
        <v/>
      </c>
      <c r="AC185" s="450" t="str">
        <f t="shared" si="58"/>
        <v/>
      </c>
      <c r="AD185" s="450" t="str">
        <f t="shared" si="59"/>
        <v/>
      </c>
      <c r="AE185" s="269" t="str">
        <f t="shared" si="60"/>
        <v/>
      </c>
      <c r="AF185" s="268" t="str">
        <f t="shared" si="61"/>
        <v/>
      </c>
      <c r="AG185" s="450" t="str">
        <f t="shared" si="62"/>
        <v/>
      </c>
      <c r="AH185" s="450" t="str">
        <f t="shared" si="63"/>
        <v/>
      </c>
      <c r="AI185" s="269" t="str">
        <f t="shared" si="64"/>
        <v/>
      </c>
      <c r="AJ185" s="450" t="str">
        <f>IF(O185=0,"-",SUMIFS($O$2:O185,$A$2:A185,$A185,$F$2:F185,"&lt;="&amp;$F185)/SUMIFS($G$2:G185,$A$2:A185,$A185,$F$2:F185,"&lt;="&amp;$F185)-1)</f>
        <v>-</v>
      </c>
      <c r="AK185" s="450" t="str">
        <f>IF(P185=0,"-",SUMIFS($P$2:P185,$A$2:A185,$A185,$F$2:F185,"&lt;="&amp;$F185)/SUMIFS($H$2:H185,$A$2:A185,$A185,$F$2:F185,"&lt;="&amp;$F185)-1)</f>
        <v>-</v>
      </c>
      <c r="AL185" s="450" t="str">
        <f>IF(Q185=0,"-",SUMIFS($Q$2:Q185,$A$2:A185,$A185,$F$2:F185,"&lt;="&amp;$F185)/SUMIFS($I$2:I185,$A$2:A185,$A185,$F$2:F185,"&lt;="&amp;$F185)-1)</f>
        <v>-</v>
      </c>
      <c r="AM185" s="450" t="str">
        <f>IFERROR(IF(O185=0,"-",SUMIFS($O$2:O185,$A$2:A185,$A185,$F$2:F185,"&lt;="&amp;$F185)/SUMIFS($K$2:K185,$A$2:A185,$A185,$F$2:F185,"&lt;="&amp;$F185)-1),"")</f>
        <v>-</v>
      </c>
      <c r="AN185" s="450" t="str">
        <f>IFERROR(IF(P185=0,"-",SUMIFS($P$2:P185,$A$2:A185,$A185,$F$2:F185,"&lt;="&amp;$F185)/SUMIFS($L$2:L185,$A$2:A185,$A185,$F$2:F185,"&lt;="&amp;$F185)-1),"")</f>
        <v>-</v>
      </c>
      <c r="AO185" s="450" t="str">
        <f>IFERROR(IF(Q185=0,"-",SUMIFS($Q$2:Q185,$A$2:A185,$A185,$F$2:F185,"&lt;="&amp;$F185)/SUMIFS($M$2:M185,$A$2:A185,$A185,$F$2:F185,"&lt;="&amp;$F185)-1),"")</f>
        <v>-</v>
      </c>
      <c r="AP185" s="134"/>
      <c r="AQ185" s="452" t="str">
        <f>'Overall Metrics'!AO190</f>
        <v/>
      </c>
      <c r="AR185" s="450" t="str">
        <f t="shared" si="65"/>
        <v/>
      </c>
      <c r="AS185" s="453" t="str">
        <f>IFERROR(IF(R186=0,"-",AVERAGEIFS($AQ$2:AQ185,$A$2:A185,$A185,$F$2:F185,"&lt;="&amp;$F185)-AVERAGEIFS($AP$2:AP185,$A$2:A185,$A185,$F$2:F185,"&lt;="&amp;$F185)),"")</f>
        <v>-</v>
      </c>
      <c r="AT185" s="390" t="str">
        <f>IFERROR(IF(R186=0,"-",AVERAGEIFS($AQ$2:AQ185,$A$2:A185,A185,$C$2:C185,C185)-AVERAGEIFS($AP$2:AP185,$A$2:A185,A185,$C$2:C185,C185)),"")</f>
        <v>-</v>
      </c>
      <c r="AU185" s="451"/>
      <c r="AV185" s="452">
        <f>'Overall Metrics'!AS190</f>
        <v>0</v>
      </c>
      <c r="AW185" s="450" t="str">
        <f t="shared" si="66"/>
        <v/>
      </c>
      <c r="AX185" s="453" t="str">
        <f>IFERROR(IF(R189=0,"-",AVERAGEIFS($AV$2:AV185,$A$2:A185,$A185,$F$2:F185,"&lt;="&amp;$F185)-AVERAGEIFS($AU$2:AU185,$A$2:A185,$A185,$F$2:F185,"&lt;="&amp;$F185)),"")</f>
        <v>-</v>
      </c>
      <c r="AY185" s="453" t="str">
        <f>IFERROR(IF(R189=0,"-",AVERAGEIFS($AV$2:AV185,$A$2:A185,A185,$C$2:C185,C185)-AVERAGEIFS($AU$2:AU185,$A$2:A185,A185,$C$2:C185,C185)),"")</f>
        <v>-</v>
      </c>
      <c r="AZ185" s="103"/>
      <c r="BA185" s="449">
        <f>'Glass Metrics'!AC190</f>
        <v>0</v>
      </c>
      <c r="BB185" s="450" t="str">
        <f t="shared" si="67"/>
        <v/>
      </c>
      <c r="BC185" s="450" t="str">
        <f>IFERROR(IF(R185=0,"-",AVERAGEIFS($BA$2:BA185,$A$2:A185,$A185,$F$2:F185,"&lt;="&amp;$F185)/AVERAGEIFS($AZ$2:AZ185,$A$2:A185,$A185,$F$2:F185,"&lt;="&amp;$F185)-1),"")</f>
        <v>-</v>
      </c>
      <c r="BD185" s="269" t="str">
        <f>IFERROR(IF(R185=0,"-",AVERAGEIFS($BA$2:BA185,$A$2:A185,A185,$C$2:C185,C185)/AVERAGEIFS($AZ$2:AZ185,$A$2:A185,A185,$C$2:C185,C185)-1),"")</f>
        <v>-</v>
      </c>
    </row>
    <row r="186" spans="1:56" ht="16.350000000000001" customHeight="1">
      <c r="A186" s="175">
        <f t="shared" si="46"/>
        <v>2024</v>
      </c>
      <c r="B186" s="447" t="str">
        <f t="shared" si="47"/>
        <v>29</v>
      </c>
      <c r="C186" s="447" t="str">
        <f t="array" ref="C186">_xlfn.IFS(_xlfn.NUMBERVALUE(B186)&lt;=13,"Q1",AND(_xlfn.NUMBERVALUE(B186)&gt;13,_xlfn.NUMBERVALUE(B186)&lt;=26),"Q2", AND(_xlfn.NUMBERVALUE(B186)&gt;26,_xlfn.NUMBERVALUE(B186)&lt;=39),"Q3",_xlfn.NUMBERVALUE(B186)&gt;39,"Q4")</f>
        <v>Q3</v>
      </c>
      <c r="D186" s="448">
        <f t="shared" si="68"/>
        <v>45150</v>
      </c>
      <c r="E186" s="448">
        <f t="shared" si="48"/>
        <v>45156</v>
      </c>
      <c r="F186" s="79">
        <v>202329</v>
      </c>
      <c r="G186" s="103"/>
      <c r="H186" s="429"/>
      <c r="I186" s="429"/>
      <c r="J186" s="214">
        <f t="shared" si="49"/>
        <v>0</v>
      </c>
      <c r="K186" s="429"/>
      <c r="L186" s="429"/>
      <c r="M186" s="429"/>
      <c r="N186" s="214">
        <f t="shared" si="50"/>
        <v>0</v>
      </c>
      <c r="O186" s="449">
        <f>'Overall Metrics'!L191</f>
        <v>0</v>
      </c>
      <c r="P186" s="449">
        <f>'Overall Metrics'!M191</f>
        <v>0</v>
      </c>
      <c r="Q186" s="449">
        <f>'Overall Metrics'!N191</f>
        <v>0</v>
      </c>
      <c r="R186" s="449">
        <f t="shared" si="51"/>
        <v>0</v>
      </c>
      <c r="S186" s="180">
        <f t="shared" si="52"/>
        <v>0</v>
      </c>
      <c r="T186" s="449">
        <f t="shared" si="53"/>
        <v>0</v>
      </c>
      <c r="U186" s="449">
        <f t="shared" si="54"/>
        <v>0</v>
      </c>
      <c r="V186" s="450" t="str">
        <f t="shared" si="55"/>
        <v/>
      </c>
      <c r="W186" s="450" t="str">
        <f>IF(R186=0,"-",SUMIFS($R$2:R186,$A$2:A186,A186,$C$2:C186,C186)/SUMIFS($J$2:J186,$A$2:A186,A186,$C$2:C186,C186)-1)</f>
        <v>-</v>
      </c>
      <c r="X186" s="450" t="str">
        <f t="shared" si="56"/>
        <v/>
      </c>
      <c r="Y186" s="450" t="str">
        <f>IFERROR(IF(R186=0,"-",SUMIFS($R$2:R186,$A$2:A186,A186,$C$2:C186,C186)/SUMIFS($N$2:N186,$A$2:A186,A186,$C$2:C186,C186)-1),"")</f>
        <v>-</v>
      </c>
      <c r="Z186" s="269" t="str">
        <f>IF(R186=0,"",(S186/VLOOKUP(_xlfn.NUMBERVALUE(_xlfn.CONCAT(LEFT(F186,4),52)),$F$2:T393,COLUMNS($F$2:T393),FALSE)))</f>
        <v/>
      </c>
      <c r="AA186" s="269" t="str">
        <f>IFERROR(IF(R186=0,"",(S186/VLOOKUP(_xlfn.NUMBERVALUE(_xlfn.CONCAT(LEFT(F186,4),52)),$F$2:U393,COLUMNS($F$2:U393),FALSE))),"")</f>
        <v/>
      </c>
      <c r="AB186" s="268" t="str">
        <f t="shared" si="57"/>
        <v/>
      </c>
      <c r="AC186" s="450" t="str">
        <f t="shared" si="58"/>
        <v/>
      </c>
      <c r="AD186" s="450" t="str">
        <f t="shared" si="59"/>
        <v/>
      </c>
      <c r="AE186" s="269" t="str">
        <f t="shared" si="60"/>
        <v/>
      </c>
      <c r="AF186" s="268" t="str">
        <f t="shared" si="61"/>
        <v/>
      </c>
      <c r="AG186" s="450" t="str">
        <f t="shared" si="62"/>
        <v/>
      </c>
      <c r="AH186" s="450" t="str">
        <f t="shared" si="63"/>
        <v/>
      </c>
      <c r="AI186" s="269" t="str">
        <f t="shared" si="64"/>
        <v/>
      </c>
      <c r="AJ186" s="450" t="str">
        <f>IF(O186=0,"-",SUMIFS($O$2:O186,$A$2:A186,$A186,$F$2:F186,"&lt;="&amp;$F186)/SUMIFS($G$2:G186,$A$2:A186,$A186,$F$2:F186,"&lt;="&amp;$F186)-1)</f>
        <v>-</v>
      </c>
      <c r="AK186" s="450" t="str">
        <f>IF(P186=0,"-",SUMIFS($P$2:P186,$A$2:A186,$A186,$F$2:F186,"&lt;="&amp;$F186)/SUMIFS($H$2:H186,$A$2:A186,$A186,$F$2:F186,"&lt;="&amp;$F186)-1)</f>
        <v>-</v>
      </c>
      <c r="AL186" s="450" t="str">
        <f>IF(Q186=0,"-",SUMIFS($Q$2:Q186,$A$2:A186,$A186,$F$2:F186,"&lt;="&amp;$F186)/SUMIFS($I$2:I186,$A$2:A186,$A186,$F$2:F186,"&lt;="&amp;$F186)-1)</f>
        <v>-</v>
      </c>
      <c r="AM186" s="450" t="str">
        <f>IFERROR(IF(O186=0,"-",SUMIFS($O$2:O186,$A$2:A186,$A186,$F$2:F186,"&lt;="&amp;$F186)/SUMIFS($K$2:K186,$A$2:A186,$A186,$F$2:F186,"&lt;="&amp;$F186)-1),"")</f>
        <v>-</v>
      </c>
      <c r="AN186" s="450" t="str">
        <f>IFERROR(IF(P186=0,"-",SUMIFS($P$2:P186,$A$2:A186,$A186,$F$2:F186,"&lt;="&amp;$F186)/SUMIFS($L$2:L186,$A$2:A186,$A186,$F$2:F186,"&lt;="&amp;$F186)-1),"")</f>
        <v>-</v>
      </c>
      <c r="AO186" s="450" t="str">
        <f>IFERROR(IF(Q186=0,"-",SUMIFS($Q$2:Q186,$A$2:A186,$A186,$F$2:F186,"&lt;="&amp;$F186)/SUMIFS($M$2:M186,$A$2:A186,$A186,$F$2:F186,"&lt;="&amp;$F186)-1),"")</f>
        <v>-</v>
      </c>
      <c r="AP186" s="134"/>
      <c r="AQ186" s="452" t="str">
        <f>'Overall Metrics'!AO191</f>
        <v/>
      </c>
      <c r="AR186" s="450" t="str">
        <f t="shared" si="65"/>
        <v/>
      </c>
      <c r="AS186" s="453" t="str">
        <f>IFERROR(IF(R187=0,"-",AVERAGEIFS($AQ$2:AQ186,$A$2:A186,$A186,$F$2:F186,"&lt;="&amp;$F186)-AVERAGEIFS($AP$2:AP186,$A$2:A186,$A186,$F$2:F186,"&lt;="&amp;$F186)),"")</f>
        <v>-</v>
      </c>
      <c r="AT186" s="390" t="str">
        <f>IFERROR(IF(R187=0,"-",AVERAGEIFS($AQ$2:AQ186,$A$2:A186,A186,$C$2:C186,C186)-AVERAGEIFS($AP$2:AP186,$A$2:A186,A186,$C$2:C186,C186)),"")</f>
        <v>-</v>
      </c>
      <c r="AU186" s="451"/>
      <c r="AV186" s="452">
        <f>'Overall Metrics'!AS191</f>
        <v>0</v>
      </c>
      <c r="AW186" s="450" t="str">
        <f t="shared" si="66"/>
        <v/>
      </c>
      <c r="AX186" s="453" t="str">
        <f>IFERROR(IF(R190=0,"-",AVERAGEIFS($AV$2:AV186,$A$2:A186,$A186,$F$2:F186,"&lt;="&amp;$F186)-AVERAGEIFS($AU$2:AU186,$A$2:A186,$A186,$F$2:F186,"&lt;="&amp;$F186)),"")</f>
        <v>-</v>
      </c>
      <c r="AY186" s="453" t="str">
        <f>IFERROR(IF(R190=0,"-",AVERAGEIFS($AV$2:AV186,$A$2:A186,A186,$C$2:C186,C186)-AVERAGEIFS($AU$2:AU186,$A$2:A186,A186,$C$2:C186,C186)),"")</f>
        <v>-</v>
      </c>
      <c r="AZ186" s="103"/>
      <c r="BA186" s="449">
        <f>'Glass Metrics'!AC191</f>
        <v>0</v>
      </c>
      <c r="BB186" s="450" t="str">
        <f t="shared" si="67"/>
        <v/>
      </c>
      <c r="BC186" s="450" t="str">
        <f>IFERROR(IF(R186=0,"-",AVERAGEIFS($BA$2:BA186,$A$2:A186,$A186,$F$2:F186,"&lt;="&amp;$F186)/AVERAGEIFS($AZ$2:AZ186,$A$2:A186,$A186,$F$2:F186,"&lt;="&amp;$F186)-1),"")</f>
        <v>-</v>
      </c>
      <c r="BD186" s="269" t="str">
        <f>IFERROR(IF(R186=0,"-",AVERAGEIFS($BA$2:BA186,$A$2:A186,A186,$C$2:C186,C186)/AVERAGEIFS($AZ$2:AZ186,$A$2:A186,A186,$C$2:C186,C186)-1),"")</f>
        <v>-</v>
      </c>
    </row>
    <row r="187" spans="1:56" ht="16.350000000000001" customHeight="1">
      <c r="A187" s="175">
        <f t="shared" si="46"/>
        <v>2024</v>
      </c>
      <c r="B187" s="447" t="str">
        <f t="shared" si="47"/>
        <v>30</v>
      </c>
      <c r="C187" s="447" t="str">
        <f t="array" ref="C187">_xlfn.IFS(_xlfn.NUMBERVALUE(B187)&lt;=13,"Q1",AND(_xlfn.NUMBERVALUE(B187)&gt;13,_xlfn.NUMBERVALUE(B187)&lt;=26),"Q2", AND(_xlfn.NUMBERVALUE(B187)&gt;26,_xlfn.NUMBERVALUE(B187)&lt;=39),"Q3",_xlfn.NUMBERVALUE(B187)&gt;39,"Q4")</f>
        <v>Q3</v>
      </c>
      <c r="D187" s="448">
        <f t="shared" si="68"/>
        <v>45157</v>
      </c>
      <c r="E187" s="448">
        <f t="shared" si="48"/>
        <v>45163</v>
      </c>
      <c r="F187" s="79">
        <v>202330</v>
      </c>
      <c r="G187" s="103"/>
      <c r="H187" s="429"/>
      <c r="I187" s="429"/>
      <c r="J187" s="214">
        <f t="shared" si="49"/>
        <v>0</v>
      </c>
      <c r="K187" s="429"/>
      <c r="L187" s="429"/>
      <c r="M187" s="429"/>
      <c r="N187" s="214">
        <f t="shared" si="50"/>
        <v>0</v>
      </c>
      <c r="O187" s="449">
        <f>'Overall Metrics'!L192</f>
        <v>0</v>
      </c>
      <c r="P187" s="449">
        <f>'Overall Metrics'!M192</f>
        <v>0</v>
      </c>
      <c r="Q187" s="449">
        <f>'Overall Metrics'!N192</f>
        <v>0</v>
      </c>
      <c r="R187" s="449">
        <f t="shared" si="51"/>
        <v>0</v>
      </c>
      <c r="S187" s="180">
        <f t="shared" si="52"/>
        <v>0</v>
      </c>
      <c r="T187" s="449">
        <f t="shared" si="53"/>
        <v>0</v>
      </c>
      <c r="U187" s="449">
        <f t="shared" si="54"/>
        <v>0</v>
      </c>
      <c r="V187" s="450" t="str">
        <f t="shared" si="55"/>
        <v/>
      </c>
      <c r="W187" s="450" t="str">
        <f>IF(R187=0,"-",SUMIFS($R$2:R187,$A$2:A187,A187,$C$2:C187,C187)/SUMIFS($J$2:J187,$A$2:A187,A187,$C$2:C187,C187)-1)</f>
        <v>-</v>
      </c>
      <c r="X187" s="450" t="str">
        <f t="shared" si="56"/>
        <v/>
      </c>
      <c r="Y187" s="450" t="str">
        <f>IFERROR(IF(R187=0,"-",SUMIFS($R$2:R187,$A$2:A187,A187,$C$2:C187,C187)/SUMIFS($N$2:N187,$A$2:A187,A187,$C$2:C187,C187)-1),"")</f>
        <v>-</v>
      </c>
      <c r="Z187" s="269" t="str">
        <f>IF(R187=0,"",(S187/VLOOKUP(_xlfn.NUMBERVALUE(_xlfn.CONCAT(LEFT(F187,4),52)),$F$2:T394,COLUMNS($F$2:T394),FALSE)))</f>
        <v/>
      </c>
      <c r="AA187" s="269" t="str">
        <f>IFERROR(IF(R187=0,"",(S187/VLOOKUP(_xlfn.NUMBERVALUE(_xlfn.CONCAT(LEFT(F187,4),52)),$F$2:U394,COLUMNS($F$2:U394),FALSE))),"")</f>
        <v/>
      </c>
      <c r="AB187" s="268" t="str">
        <f t="shared" si="57"/>
        <v/>
      </c>
      <c r="AC187" s="450" t="str">
        <f t="shared" si="58"/>
        <v/>
      </c>
      <c r="AD187" s="450" t="str">
        <f t="shared" si="59"/>
        <v/>
      </c>
      <c r="AE187" s="269" t="str">
        <f t="shared" si="60"/>
        <v/>
      </c>
      <c r="AF187" s="268" t="str">
        <f t="shared" si="61"/>
        <v/>
      </c>
      <c r="AG187" s="450" t="str">
        <f t="shared" si="62"/>
        <v/>
      </c>
      <c r="AH187" s="450" t="str">
        <f t="shared" si="63"/>
        <v/>
      </c>
      <c r="AI187" s="269" t="str">
        <f t="shared" si="64"/>
        <v/>
      </c>
      <c r="AJ187" s="450" t="str">
        <f>IF(O187=0,"-",SUMIFS($O$2:O187,$A$2:A187,$A187,$F$2:F187,"&lt;="&amp;$F187)/SUMIFS($G$2:G187,$A$2:A187,$A187,$F$2:F187,"&lt;="&amp;$F187)-1)</f>
        <v>-</v>
      </c>
      <c r="AK187" s="450" t="str">
        <f>IF(P187=0,"-",SUMIFS($P$2:P187,$A$2:A187,$A187,$F$2:F187,"&lt;="&amp;$F187)/SUMIFS($H$2:H187,$A$2:A187,$A187,$F$2:F187,"&lt;="&amp;$F187)-1)</f>
        <v>-</v>
      </c>
      <c r="AL187" s="450" t="str">
        <f>IF(Q187=0,"-",SUMIFS($Q$2:Q187,$A$2:A187,$A187,$F$2:F187,"&lt;="&amp;$F187)/SUMIFS($I$2:I187,$A$2:A187,$A187,$F$2:F187,"&lt;="&amp;$F187)-1)</f>
        <v>-</v>
      </c>
      <c r="AM187" s="450" t="str">
        <f>IFERROR(IF(O187=0,"-",SUMIFS($O$2:O187,$A$2:A187,$A187,$F$2:F187,"&lt;="&amp;$F187)/SUMIFS($K$2:K187,$A$2:A187,$A187,$F$2:F187,"&lt;="&amp;$F187)-1),"")</f>
        <v>-</v>
      </c>
      <c r="AN187" s="450" t="str">
        <f>IFERROR(IF(P187=0,"-",SUMIFS($P$2:P187,$A$2:A187,$A187,$F$2:F187,"&lt;="&amp;$F187)/SUMIFS($L$2:L187,$A$2:A187,$A187,$F$2:F187,"&lt;="&amp;$F187)-1),"")</f>
        <v>-</v>
      </c>
      <c r="AO187" s="450" t="str">
        <f>IFERROR(IF(Q187=0,"-",SUMIFS($Q$2:Q187,$A$2:A187,$A187,$F$2:F187,"&lt;="&amp;$F187)/SUMIFS($M$2:M187,$A$2:A187,$A187,$F$2:F187,"&lt;="&amp;$F187)-1),"")</f>
        <v>-</v>
      </c>
      <c r="AP187" s="134"/>
      <c r="AQ187" s="452" t="str">
        <f>'Overall Metrics'!AO192</f>
        <v/>
      </c>
      <c r="AR187" s="450" t="str">
        <f t="shared" si="65"/>
        <v/>
      </c>
      <c r="AS187" s="453" t="str">
        <f>IFERROR(IF(R188=0,"-",AVERAGEIFS($AQ$2:AQ187,$A$2:A187,$A187,$F$2:F187,"&lt;="&amp;$F187)-AVERAGEIFS($AP$2:AP187,$A$2:A187,$A187,$F$2:F187,"&lt;="&amp;$F187)),"")</f>
        <v>-</v>
      </c>
      <c r="AT187" s="390" t="str">
        <f>IFERROR(IF(R188=0,"-",AVERAGEIFS($AQ$2:AQ187,$A$2:A187,A187,$C$2:C187,C187)-AVERAGEIFS($AP$2:AP187,$A$2:A187,A187,$C$2:C187,C187)),"")</f>
        <v>-</v>
      </c>
      <c r="AU187" s="451"/>
      <c r="AV187" s="452">
        <f>'Overall Metrics'!AS192</f>
        <v>0</v>
      </c>
      <c r="AW187" s="450" t="str">
        <f t="shared" si="66"/>
        <v/>
      </c>
      <c r="AX187" s="453" t="str">
        <f>IFERROR(IF(R191=0,"-",AVERAGEIFS($AV$2:AV187,$A$2:A187,$A187,$F$2:F187,"&lt;="&amp;$F187)-AVERAGEIFS($AU$2:AU187,$A$2:A187,$A187,$F$2:F187,"&lt;="&amp;$F187)),"")</f>
        <v>-</v>
      </c>
      <c r="AY187" s="453" t="str">
        <f>IFERROR(IF(R191=0,"-",AVERAGEIFS($AV$2:AV187,$A$2:A187,A187,$C$2:C187,C187)-AVERAGEIFS($AU$2:AU187,$A$2:A187,A187,$C$2:C187,C187)),"")</f>
        <v>-</v>
      </c>
      <c r="AZ187" s="103"/>
      <c r="BA187" s="449">
        <f>'Glass Metrics'!AC192</f>
        <v>0</v>
      </c>
      <c r="BB187" s="450" t="str">
        <f t="shared" si="67"/>
        <v/>
      </c>
      <c r="BC187" s="450" t="str">
        <f>IFERROR(IF(R187=0,"-",AVERAGEIFS($BA$2:BA187,$A$2:A187,$A187,$F$2:F187,"&lt;="&amp;$F187)/AVERAGEIFS($AZ$2:AZ187,$A$2:A187,$A187,$F$2:F187,"&lt;="&amp;$F187)-1),"")</f>
        <v>-</v>
      </c>
      <c r="BD187" s="269" t="str">
        <f>IFERROR(IF(R187=0,"-",AVERAGEIFS($BA$2:BA187,$A$2:A187,A187,$C$2:C187,C187)/AVERAGEIFS($AZ$2:AZ187,$A$2:A187,A187,$C$2:C187,C187)-1),"")</f>
        <v>-</v>
      </c>
    </row>
    <row r="188" spans="1:56" ht="16.350000000000001" customHeight="1">
      <c r="A188" s="175">
        <f t="shared" si="46"/>
        <v>2024</v>
      </c>
      <c r="B188" s="447" t="str">
        <f t="shared" si="47"/>
        <v>31</v>
      </c>
      <c r="C188" s="447" t="str">
        <f t="array" ref="C188">_xlfn.IFS(_xlfn.NUMBERVALUE(B188)&lt;=13,"Q1",AND(_xlfn.NUMBERVALUE(B188)&gt;13,_xlfn.NUMBERVALUE(B188)&lt;=26),"Q2", AND(_xlfn.NUMBERVALUE(B188)&gt;26,_xlfn.NUMBERVALUE(B188)&lt;=39),"Q3",_xlfn.NUMBERVALUE(B188)&gt;39,"Q4")</f>
        <v>Q3</v>
      </c>
      <c r="D188" s="448">
        <f t="shared" si="68"/>
        <v>45164</v>
      </c>
      <c r="E188" s="448">
        <f t="shared" si="48"/>
        <v>45170</v>
      </c>
      <c r="F188" s="79">
        <v>202331</v>
      </c>
      <c r="G188" s="103"/>
      <c r="H188" s="429"/>
      <c r="I188" s="429"/>
      <c r="J188" s="214">
        <f t="shared" si="49"/>
        <v>0</v>
      </c>
      <c r="K188" s="429"/>
      <c r="L188" s="429"/>
      <c r="M188" s="429"/>
      <c r="N188" s="214">
        <f t="shared" si="50"/>
        <v>0</v>
      </c>
      <c r="O188" s="449">
        <f>'Overall Metrics'!L193</f>
        <v>0</v>
      </c>
      <c r="P188" s="449">
        <f>'Overall Metrics'!M193</f>
        <v>0</v>
      </c>
      <c r="Q188" s="449">
        <f>'Overall Metrics'!N193</f>
        <v>0</v>
      </c>
      <c r="R188" s="449">
        <f t="shared" si="51"/>
        <v>0</v>
      </c>
      <c r="S188" s="180">
        <f t="shared" si="52"/>
        <v>0</v>
      </c>
      <c r="T188" s="449">
        <f t="shared" si="53"/>
        <v>0</v>
      </c>
      <c r="U188" s="449">
        <f t="shared" si="54"/>
        <v>0</v>
      </c>
      <c r="V188" s="450" t="str">
        <f t="shared" si="55"/>
        <v/>
      </c>
      <c r="W188" s="450" t="str">
        <f>IF(R188=0,"-",SUMIFS($R$2:R188,$A$2:A188,A188,$C$2:C188,C188)/SUMIFS($J$2:J188,$A$2:A188,A188,$C$2:C188,C188)-1)</f>
        <v>-</v>
      </c>
      <c r="X188" s="450" t="str">
        <f t="shared" si="56"/>
        <v/>
      </c>
      <c r="Y188" s="450" t="str">
        <f>IFERROR(IF(R188=0,"-",SUMIFS($R$2:R188,$A$2:A188,A188,$C$2:C188,C188)/SUMIFS($N$2:N188,$A$2:A188,A188,$C$2:C188,C188)-1),"")</f>
        <v>-</v>
      </c>
      <c r="Z188" s="269" t="str">
        <f>IF(R188=0,"",(S188/VLOOKUP(_xlfn.NUMBERVALUE(_xlfn.CONCAT(LEFT(F188,4),52)),$F$2:T395,COLUMNS($F$2:T395),FALSE)))</f>
        <v/>
      </c>
      <c r="AA188" s="269" t="str">
        <f>IFERROR(IF(R188=0,"",(S188/VLOOKUP(_xlfn.NUMBERVALUE(_xlfn.CONCAT(LEFT(F188,4),52)),$F$2:U395,COLUMNS($F$2:U395),FALSE))),"")</f>
        <v/>
      </c>
      <c r="AB188" s="268" t="str">
        <f t="shared" si="57"/>
        <v/>
      </c>
      <c r="AC188" s="450" t="str">
        <f t="shared" si="58"/>
        <v/>
      </c>
      <c r="AD188" s="450" t="str">
        <f t="shared" si="59"/>
        <v/>
      </c>
      <c r="AE188" s="269" t="str">
        <f t="shared" si="60"/>
        <v/>
      </c>
      <c r="AF188" s="268" t="str">
        <f t="shared" si="61"/>
        <v/>
      </c>
      <c r="AG188" s="450" t="str">
        <f t="shared" si="62"/>
        <v/>
      </c>
      <c r="AH188" s="450" t="str">
        <f t="shared" si="63"/>
        <v/>
      </c>
      <c r="AI188" s="269" t="str">
        <f t="shared" si="64"/>
        <v/>
      </c>
      <c r="AJ188" s="450" t="str">
        <f>IF(O188=0,"-",SUMIFS($O$2:O188,$A$2:A188,$A188,$F$2:F188,"&lt;="&amp;$F188)/SUMIFS($G$2:G188,$A$2:A188,$A188,$F$2:F188,"&lt;="&amp;$F188)-1)</f>
        <v>-</v>
      </c>
      <c r="AK188" s="450" t="str">
        <f>IF(P188=0,"-",SUMIFS($P$2:P188,$A$2:A188,$A188,$F$2:F188,"&lt;="&amp;$F188)/SUMIFS($H$2:H188,$A$2:A188,$A188,$F$2:F188,"&lt;="&amp;$F188)-1)</f>
        <v>-</v>
      </c>
      <c r="AL188" s="450" t="str">
        <f>IF(Q188=0,"-",SUMIFS($Q$2:Q188,$A$2:A188,$A188,$F$2:F188,"&lt;="&amp;$F188)/SUMIFS($I$2:I188,$A$2:A188,$A188,$F$2:F188,"&lt;="&amp;$F188)-1)</f>
        <v>-</v>
      </c>
      <c r="AM188" s="450" t="str">
        <f>IFERROR(IF(O188=0,"-",SUMIFS($O$2:O188,$A$2:A188,$A188,$F$2:F188,"&lt;="&amp;$F188)/SUMIFS($K$2:K188,$A$2:A188,$A188,$F$2:F188,"&lt;="&amp;$F188)-1),"")</f>
        <v>-</v>
      </c>
      <c r="AN188" s="450" t="str">
        <f>IFERROR(IF(P188=0,"-",SUMIFS($P$2:P188,$A$2:A188,$A188,$F$2:F188,"&lt;="&amp;$F188)/SUMIFS($L$2:L188,$A$2:A188,$A188,$F$2:F188,"&lt;="&amp;$F188)-1),"")</f>
        <v>-</v>
      </c>
      <c r="AO188" s="450" t="str">
        <f>IFERROR(IF(Q188=0,"-",SUMIFS($Q$2:Q188,$A$2:A188,$A188,$F$2:F188,"&lt;="&amp;$F188)/SUMIFS($M$2:M188,$A$2:A188,$A188,$F$2:F188,"&lt;="&amp;$F188)-1),"")</f>
        <v>-</v>
      </c>
      <c r="AP188" s="134"/>
      <c r="AQ188" s="452" t="str">
        <f>'Overall Metrics'!AO193</f>
        <v/>
      </c>
      <c r="AR188" s="450" t="str">
        <f t="shared" si="65"/>
        <v/>
      </c>
      <c r="AS188" s="453" t="str">
        <f>IFERROR(IF(R189=0,"-",AVERAGEIFS($AQ$2:AQ188,$A$2:A188,$A188,$F$2:F188,"&lt;="&amp;$F188)-AVERAGEIFS($AP$2:AP188,$A$2:A188,$A188,$F$2:F188,"&lt;="&amp;$F188)),"")</f>
        <v>-</v>
      </c>
      <c r="AT188" s="390" t="str">
        <f>IFERROR(IF(R189=0,"-",AVERAGEIFS($AQ$2:AQ188,$A$2:A188,A188,$C$2:C188,C188)-AVERAGEIFS($AP$2:AP188,$A$2:A188,A188,$C$2:C188,C188)),"")</f>
        <v>-</v>
      </c>
      <c r="AU188" s="451"/>
      <c r="AV188" s="452">
        <f>'Overall Metrics'!AS193</f>
        <v>0</v>
      </c>
      <c r="AW188" s="450" t="str">
        <f t="shared" si="66"/>
        <v/>
      </c>
      <c r="AX188" s="453" t="str">
        <f>IFERROR(IF(R192=0,"-",AVERAGEIFS($AV$2:AV188,$A$2:A188,$A188,$F$2:F188,"&lt;="&amp;$F188)-AVERAGEIFS($AU$2:AU188,$A$2:A188,$A188,$F$2:F188,"&lt;="&amp;$F188)),"")</f>
        <v>-</v>
      </c>
      <c r="AY188" s="453" t="str">
        <f>IFERROR(IF(R192=0,"-",AVERAGEIFS($AV$2:AV188,$A$2:A188,A188,$C$2:C188,C188)-AVERAGEIFS($AU$2:AU188,$A$2:A188,A188,$C$2:C188,C188)),"")</f>
        <v>-</v>
      </c>
      <c r="AZ188" s="103"/>
      <c r="BA188" s="449">
        <f>'Glass Metrics'!AC193</f>
        <v>0</v>
      </c>
      <c r="BB188" s="450" t="str">
        <f t="shared" si="67"/>
        <v/>
      </c>
      <c r="BC188" s="450" t="str">
        <f>IFERROR(IF(R188=0,"-",AVERAGEIFS($BA$2:BA188,$A$2:A188,$A188,$F$2:F188,"&lt;="&amp;$F188)/AVERAGEIFS($AZ$2:AZ188,$A$2:A188,$A188,$F$2:F188,"&lt;="&amp;$F188)-1),"")</f>
        <v>-</v>
      </c>
      <c r="BD188" s="269" t="str">
        <f>IFERROR(IF(R188=0,"-",AVERAGEIFS($BA$2:BA188,$A$2:A188,A188,$C$2:C188,C188)/AVERAGEIFS($AZ$2:AZ188,$A$2:A188,A188,$C$2:C188,C188)-1),"")</f>
        <v>-</v>
      </c>
    </row>
    <row r="189" spans="1:56" ht="16.350000000000001" customHeight="1">
      <c r="A189" s="175">
        <f t="shared" si="46"/>
        <v>2024</v>
      </c>
      <c r="B189" s="447" t="str">
        <f t="shared" si="47"/>
        <v>32</v>
      </c>
      <c r="C189" s="447" t="str">
        <f t="array" ref="C189">_xlfn.IFS(_xlfn.NUMBERVALUE(B189)&lt;=13,"Q1",AND(_xlfn.NUMBERVALUE(B189)&gt;13,_xlfn.NUMBERVALUE(B189)&lt;=26),"Q2", AND(_xlfn.NUMBERVALUE(B189)&gt;26,_xlfn.NUMBERVALUE(B189)&lt;=39),"Q3",_xlfn.NUMBERVALUE(B189)&gt;39,"Q4")</f>
        <v>Q3</v>
      </c>
      <c r="D189" s="448">
        <f t="shared" si="68"/>
        <v>45171</v>
      </c>
      <c r="E189" s="448">
        <f t="shared" si="48"/>
        <v>45177</v>
      </c>
      <c r="F189" s="79">
        <v>202332</v>
      </c>
      <c r="G189" s="103"/>
      <c r="H189" s="429"/>
      <c r="I189" s="429"/>
      <c r="J189" s="214">
        <f t="shared" si="49"/>
        <v>0</v>
      </c>
      <c r="K189" s="429"/>
      <c r="L189" s="429"/>
      <c r="M189" s="429"/>
      <c r="N189" s="214">
        <f t="shared" si="50"/>
        <v>0</v>
      </c>
      <c r="O189" s="449">
        <f>'Overall Metrics'!L194</f>
        <v>0</v>
      </c>
      <c r="P189" s="449">
        <f>'Overall Metrics'!M194</f>
        <v>0</v>
      </c>
      <c r="Q189" s="449">
        <f>'Overall Metrics'!N194</f>
        <v>0</v>
      </c>
      <c r="R189" s="449">
        <f t="shared" si="51"/>
        <v>0</v>
      </c>
      <c r="S189" s="180">
        <f t="shared" si="52"/>
        <v>0</v>
      </c>
      <c r="T189" s="449">
        <f t="shared" si="53"/>
        <v>0</v>
      </c>
      <c r="U189" s="449">
        <f t="shared" si="54"/>
        <v>0</v>
      </c>
      <c r="V189" s="450" t="str">
        <f t="shared" si="55"/>
        <v/>
      </c>
      <c r="W189" s="450" t="str">
        <f>IF(R189=0,"-",SUMIFS($R$2:R189,$A$2:A189,A189,$C$2:C189,C189)/SUMIFS($J$2:J189,$A$2:A189,A189,$C$2:C189,C189)-1)</f>
        <v>-</v>
      </c>
      <c r="X189" s="450" t="str">
        <f t="shared" si="56"/>
        <v/>
      </c>
      <c r="Y189" s="450" t="str">
        <f>IFERROR(IF(R189=0,"-",SUMIFS($R$2:R189,$A$2:A189,A189,$C$2:C189,C189)/SUMIFS($N$2:N189,$A$2:A189,A189,$C$2:C189,C189)-1),"")</f>
        <v>-</v>
      </c>
      <c r="Z189" s="269" t="str">
        <f>IF(R189=0,"",(S189/VLOOKUP(_xlfn.NUMBERVALUE(_xlfn.CONCAT(LEFT(F189,4),52)),$F$2:T396,COLUMNS($F$2:T396),FALSE)))</f>
        <v/>
      </c>
      <c r="AA189" s="269" t="str">
        <f>IFERROR(IF(R189=0,"",(S189/VLOOKUP(_xlfn.NUMBERVALUE(_xlfn.CONCAT(LEFT(F189,4),52)),$F$2:U396,COLUMNS($F$2:U396),FALSE))),"")</f>
        <v/>
      </c>
      <c r="AB189" s="268" t="str">
        <f t="shared" si="57"/>
        <v/>
      </c>
      <c r="AC189" s="450" t="str">
        <f t="shared" si="58"/>
        <v/>
      </c>
      <c r="AD189" s="450" t="str">
        <f t="shared" si="59"/>
        <v/>
      </c>
      <c r="AE189" s="269" t="str">
        <f t="shared" si="60"/>
        <v/>
      </c>
      <c r="AF189" s="268" t="str">
        <f t="shared" si="61"/>
        <v/>
      </c>
      <c r="AG189" s="450" t="str">
        <f t="shared" si="62"/>
        <v/>
      </c>
      <c r="AH189" s="450" t="str">
        <f t="shared" si="63"/>
        <v/>
      </c>
      <c r="AI189" s="269" t="str">
        <f t="shared" si="64"/>
        <v/>
      </c>
      <c r="AJ189" s="450" t="str">
        <f>IF(O189=0,"-",SUMIFS($O$2:O189,$A$2:A189,$A189,$F$2:F189,"&lt;="&amp;$F189)/SUMIFS($G$2:G189,$A$2:A189,$A189,$F$2:F189,"&lt;="&amp;$F189)-1)</f>
        <v>-</v>
      </c>
      <c r="AK189" s="450" t="str">
        <f>IF(P189=0,"-",SUMIFS($P$2:P189,$A$2:A189,$A189,$F$2:F189,"&lt;="&amp;$F189)/SUMIFS($H$2:H189,$A$2:A189,$A189,$F$2:F189,"&lt;="&amp;$F189)-1)</f>
        <v>-</v>
      </c>
      <c r="AL189" s="450" t="str">
        <f>IF(Q189=0,"-",SUMIFS($Q$2:Q189,$A$2:A189,$A189,$F$2:F189,"&lt;="&amp;$F189)/SUMIFS($I$2:I189,$A$2:A189,$A189,$F$2:F189,"&lt;="&amp;$F189)-1)</f>
        <v>-</v>
      </c>
      <c r="AM189" s="450" t="str">
        <f>IFERROR(IF(O189=0,"-",SUMIFS($O$2:O189,$A$2:A189,$A189,$F$2:F189,"&lt;="&amp;$F189)/SUMIFS($K$2:K189,$A$2:A189,$A189,$F$2:F189,"&lt;="&amp;$F189)-1),"")</f>
        <v>-</v>
      </c>
      <c r="AN189" s="450" t="str">
        <f>IFERROR(IF(P189=0,"-",SUMIFS($P$2:P189,$A$2:A189,$A189,$F$2:F189,"&lt;="&amp;$F189)/SUMIFS($L$2:L189,$A$2:A189,$A189,$F$2:F189,"&lt;="&amp;$F189)-1),"")</f>
        <v>-</v>
      </c>
      <c r="AO189" s="450" t="str">
        <f>IFERROR(IF(Q189=0,"-",SUMIFS($Q$2:Q189,$A$2:A189,$A189,$F$2:F189,"&lt;="&amp;$F189)/SUMIFS($M$2:M189,$A$2:A189,$A189,$F$2:F189,"&lt;="&amp;$F189)-1),"")</f>
        <v>-</v>
      </c>
      <c r="AP189" s="134"/>
      <c r="AQ189" s="452" t="str">
        <f>'Overall Metrics'!AO194</f>
        <v/>
      </c>
      <c r="AR189" s="450" t="str">
        <f t="shared" si="65"/>
        <v/>
      </c>
      <c r="AS189" s="453" t="str">
        <f>IFERROR(IF(R190=0,"-",AVERAGEIFS($AQ$2:AQ189,$A$2:A189,$A189,$F$2:F189,"&lt;="&amp;$F189)-AVERAGEIFS($AP$2:AP189,$A$2:A189,$A189,$F$2:F189,"&lt;="&amp;$F189)),"")</f>
        <v>-</v>
      </c>
      <c r="AT189" s="390" t="str">
        <f>IFERROR(IF(R190=0,"-",AVERAGEIFS($AQ$2:AQ189,$A$2:A189,A189,$C$2:C189,C189)-AVERAGEIFS($AP$2:AP189,$A$2:A189,A189,$C$2:C189,C189)),"")</f>
        <v>-</v>
      </c>
      <c r="AU189" s="451"/>
      <c r="AV189" s="452">
        <f>'Overall Metrics'!AS194</f>
        <v>0</v>
      </c>
      <c r="AW189" s="450" t="str">
        <f t="shared" si="66"/>
        <v/>
      </c>
      <c r="AX189" s="453" t="str">
        <f>IFERROR(IF(R193=0,"-",AVERAGEIFS($AV$2:AV189,$A$2:A189,$A189,$F$2:F189,"&lt;="&amp;$F189)-AVERAGEIFS($AU$2:AU189,$A$2:A189,$A189,$F$2:F189,"&lt;="&amp;$F189)),"")</f>
        <v>-</v>
      </c>
      <c r="AY189" s="453" t="str">
        <f>IFERROR(IF(R193=0,"-",AVERAGEIFS($AV$2:AV189,$A$2:A189,A189,$C$2:C189,C189)-AVERAGEIFS($AU$2:AU189,$A$2:A189,A189,$C$2:C189,C189)),"")</f>
        <v>-</v>
      </c>
      <c r="AZ189" s="103"/>
      <c r="BA189" s="449">
        <f>'Glass Metrics'!AC194</f>
        <v>0</v>
      </c>
      <c r="BB189" s="450" t="str">
        <f t="shared" si="67"/>
        <v/>
      </c>
      <c r="BC189" s="450" t="str">
        <f>IFERROR(IF(R189=0,"-",AVERAGEIFS($BA$2:BA189,$A$2:A189,$A189,$F$2:F189,"&lt;="&amp;$F189)/AVERAGEIFS($AZ$2:AZ189,$A$2:A189,$A189,$F$2:F189,"&lt;="&amp;$F189)-1),"")</f>
        <v>-</v>
      </c>
      <c r="BD189" s="269" t="str">
        <f>IFERROR(IF(R189=0,"-",AVERAGEIFS($BA$2:BA189,$A$2:A189,A189,$C$2:C189,C189)/AVERAGEIFS($AZ$2:AZ189,$A$2:A189,A189,$C$2:C189,C189)-1),"")</f>
        <v>-</v>
      </c>
    </row>
    <row r="190" spans="1:56" ht="16.350000000000001" customHeight="1">
      <c r="A190" s="175">
        <f t="shared" si="46"/>
        <v>2024</v>
      </c>
      <c r="B190" s="447" t="str">
        <f t="shared" si="47"/>
        <v>33</v>
      </c>
      <c r="C190" s="447" t="str">
        <f t="array" ref="C190">_xlfn.IFS(_xlfn.NUMBERVALUE(B190)&lt;=13,"Q1",AND(_xlfn.NUMBERVALUE(B190)&gt;13,_xlfn.NUMBERVALUE(B190)&lt;=26),"Q2", AND(_xlfn.NUMBERVALUE(B190)&gt;26,_xlfn.NUMBERVALUE(B190)&lt;=39),"Q3",_xlfn.NUMBERVALUE(B190)&gt;39,"Q4")</f>
        <v>Q3</v>
      </c>
      <c r="D190" s="448">
        <f t="shared" si="68"/>
        <v>45178</v>
      </c>
      <c r="E190" s="448">
        <f t="shared" si="48"/>
        <v>45184</v>
      </c>
      <c r="F190" s="79">
        <v>202333</v>
      </c>
      <c r="G190" s="103"/>
      <c r="H190" s="429"/>
      <c r="I190" s="429"/>
      <c r="J190" s="214">
        <f t="shared" si="49"/>
        <v>0</v>
      </c>
      <c r="K190" s="429"/>
      <c r="L190" s="429"/>
      <c r="M190" s="429"/>
      <c r="N190" s="214">
        <f t="shared" si="50"/>
        <v>0</v>
      </c>
      <c r="O190" s="449">
        <f>'Overall Metrics'!L195</f>
        <v>0</v>
      </c>
      <c r="P190" s="449">
        <f>'Overall Metrics'!M195</f>
        <v>0</v>
      </c>
      <c r="Q190" s="449">
        <f>'Overall Metrics'!N195</f>
        <v>0</v>
      </c>
      <c r="R190" s="449">
        <f t="shared" si="51"/>
        <v>0</v>
      </c>
      <c r="S190" s="180">
        <f t="shared" si="52"/>
        <v>0</v>
      </c>
      <c r="T190" s="449">
        <f t="shared" si="53"/>
        <v>0</v>
      </c>
      <c r="U190" s="449">
        <f t="shared" si="54"/>
        <v>0</v>
      </c>
      <c r="V190" s="450" t="str">
        <f t="shared" si="55"/>
        <v/>
      </c>
      <c r="W190" s="450" t="str">
        <f>IF(R190=0,"-",SUMIFS($R$2:R190,$A$2:A190,A190,$C$2:C190,C190)/SUMIFS($J$2:J190,$A$2:A190,A190,$C$2:C190,C190)-1)</f>
        <v>-</v>
      </c>
      <c r="X190" s="450" t="str">
        <f t="shared" si="56"/>
        <v/>
      </c>
      <c r="Y190" s="450" t="str">
        <f>IFERROR(IF(R190=0,"-",SUMIFS($R$2:R190,$A$2:A190,A190,$C$2:C190,C190)/SUMIFS($N$2:N190,$A$2:A190,A190,$C$2:C190,C190)-1),"")</f>
        <v>-</v>
      </c>
      <c r="Z190" s="269" t="str">
        <f>IF(R190=0,"",(S190/VLOOKUP(_xlfn.NUMBERVALUE(_xlfn.CONCAT(LEFT(F190,4),52)),$F$2:T397,COLUMNS($F$2:T397),FALSE)))</f>
        <v/>
      </c>
      <c r="AA190" s="269" t="str">
        <f>IFERROR(IF(R190=0,"",(S190/VLOOKUP(_xlfn.NUMBERVALUE(_xlfn.CONCAT(LEFT(F190,4),52)),$F$2:U397,COLUMNS($F$2:U397),FALSE))),"")</f>
        <v/>
      </c>
      <c r="AB190" s="268" t="str">
        <f t="shared" si="57"/>
        <v/>
      </c>
      <c r="AC190" s="450" t="str">
        <f t="shared" si="58"/>
        <v/>
      </c>
      <c r="AD190" s="450" t="str">
        <f t="shared" si="59"/>
        <v/>
      </c>
      <c r="AE190" s="269" t="str">
        <f t="shared" si="60"/>
        <v/>
      </c>
      <c r="AF190" s="268" t="str">
        <f t="shared" si="61"/>
        <v/>
      </c>
      <c r="AG190" s="450" t="str">
        <f t="shared" si="62"/>
        <v/>
      </c>
      <c r="AH190" s="450" t="str">
        <f t="shared" si="63"/>
        <v/>
      </c>
      <c r="AI190" s="269" t="str">
        <f t="shared" si="64"/>
        <v/>
      </c>
      <c r="AJ190" s="450" t="str">
        <f>IF(O190=0,"-",SUMIFS($O$2:O190,$A$2:A190,$A190,$F$2:F190,"&lt;="&amp;$F190)/SUMIFS($G$2:G190,$A$2:A190,$A190,$F$2:F190,"&lt;="&amp;$F190)-1)</f>
        <v>-</v>
      </c>
      <c r="AK190" s="450" t="str">
        <f>IF(P190=0,"-",SUMIFS($P$2:P190,$A$2:A190,$A190,$F$2:F190,"&lt;="&amp;$F190)/SUMIFS($H$2:H190,$A$2:A190,$A190,$F$2:F190,"&lt;="&amp;$F190)-1)</f>
        <v>-</v>
      </c>
      <c r="AL190" s="450" t="str">
        <f>IF(Q190=0,"-",SUMIFS($Q$2:Q190,$A$2:A190,$A190,$F$2:F190,"&lt;="&amp;$F190)/SUMIFS($I$2:I190,$A$2:A190,$A190,$F$2:F190,"&lt;="&amp;$F190)-1)</f>
        <v>-</v>
      </c>
      <c r="AM190" s="450" t="str">
        <f>IFERROR(IF(O190=0,"-",SUMIFS($O$2:O190,$A$2:A190,$A190,$F$2:F190,"&lt;="&amp;$F190)/SUMIFS($K$2:K190,$A$2:A190,$A190,$F$2:F190,"&lt;="&amp;$F190)-1),"")</f>
        <v>-</v>
      </c>
      <c r="AN190" s="450" t="str">
        <f>IFERROR(IF(P190=0,"-",SUMIFS($P$2:P190,$A$2:A190,$A190,$F$2:F190,"&lt;="&amp;$F190)/SUMIFS($L$2:L190,$A$2:A190,$A190,$F$2:F190,"&lt;="&amp;$F190)-1),"")</f>
        <v>-</v>
      </c>
      <c r="AO190" s="450" t="str">
        <f>IFERROR(IF(Q190=0,"-",SUMIFS($Q$2:Q190,$A$2:A190,$A190,$F$2:F190,"&lt;="&amp;$F190)/SUMIFS($M$2:M190,$A$2:A190,$A190,$F$2:F190,"&lt;="&amp;$F190)-1),"")</f>
        <v>-</v>
      </c>
      <c r="AP190" s="134"/>
      <c r="AQ190" s="452" t="str">
        <f>'Overall Metrics'!AO195</f>
        <v/>
      </c>
      <c r="AR190" s="450" t="str">
        <f t="shared" si="65"/>
        <v/>
      </c>
      <c r="AS190" s="453" t="str">
        <f>IFERROR(IF(R191=0,"-",AVERAGEIFS($AQ$2:AQ190,$A$2:A190,$A190,$F$2:F190,"&lt;="&amp;$F190)-AVERAGEIFS($AP$2:AP190,$A$2:A190,$A190,$F$2:F190,"&lt;="&amp;$F190)),"")</f>
        <v>-</v>
      </c>
      <c r="AT190" s="390" t="str">
        <f>IFERROR(IF(R191=0,"-",AVERAGEIFS($AQ$2:AQ190,$A$2:A190,A190,$C$2:C190,C190)-AVERAGEIFS($AP$2:AP190,$A$2:A190,A190,$C$2:C190,C190)),"")</f>
        <v>-</v>
      </c>
      <c r="AU190" s="451"/>
      <c r="AV190" s="452">
        <f>'Overall Metrics'!AS195</f>
        <v>0</v>
      </c>
      <c r="AW190" s="450" t="str">
        <f t="shared" si="66"/>
        <v/>
      </c>
      <c r="AX190" s="453" t="str">
        <f>IFERROR(IF(R194=0,"-",AVERAGEIFS($AV$2:AV190,$A$2:A190,$A190,$F$2:F190,"&lt;="&amp;$F190)-AVERAGEIFS($AU$2:AU190,$A$2:A190,$A190,$F$2:F190,"&lt;="&amp;$F190)),"")</f>
        <v>-</v>
      </c>
      <c r="AY190" s="453" t="str">
        <f>IFERROR(IF(R194=0,"-",AVERAGEIFS($AV$2:AV190,$A$2:A190,A190,$C$2:C190,C190)-AVERAGEIFS($AU$2:AU190,$A$2:A190,A190,$C$2:C190,C190)),"")</f>
        <v>-</v>
      </c>
      <c r="AZ190" s="103"/>
      <c r="BA190" s="449">
        <f>'Glass Metrics'!AC195</f>
        <v>0</v>
      </c>
      <c r="BB190" s="450" t="str">
        <f t="shared" si="67"/>
        <v/>
      </c>
      <c r="BC190" s="450" t="str">
        <f>IFERROR(IF(R190=0,"-",AVERAGEIFS($BA$2:BA190,$A$2:A190,$A190,$F$2:F190,"&lt;="&amp;$F190)/AVERAGEIFS($AZ$2:AZ190,$A$2:A190,$A190,$F$2:F190,"&lt;="&amp;$F190)-1),"")</f>
        <v>-</v>
      </c>
      <c r="BD190" s="269" t="str">
        <f>IFERROR(IF(R190=0,"-",AVERAGEIFS($BA$2:BA190,$A$2:A190,A190,$C$2:C190,C190)/AVERAGEIFS($AZ$2:AZ190,$A$2:A190,A190,$C$2:C190,C190)-1),"")</f>
        <v>-</v>
      </c>
    </row>
    <row r="191" spans="1:56" ht="16.350000000000001" customHeight="1">
      <c r="A191" s="175">
        <f t="shared" si="46"/>
        <v>2024</v>
      </c>
      <c r="B191" s="447" t="str">
        <f t="shared" si="47"/>
        <v>34</v>
      </c>
      <c r="C191" s="447" t="str">
        <f t="array" ref="C191">_xlfn.IFS(_xlfn.NUMBERVALUE(B191)&lt;=13,"Q1",AND(_xlfn.NUMBERVALUE(B191)&gt;13,_xlfn.NUMBERVALUE(B191)&lt;=26),"Q2", AND(_xlfn.NUMBERVALUE(B191)&gt;26,_xlfn.NUMBERVALUE(B191)&lt;=39),"Q3",_xlfn.NUMBERVALUE(B191)&gt;39,"Q4")</f>
        <v>Q3</v>
      </c>
      <c r="D191" s="448">
        <f t="shared" si="68"/>
        <v>45185</v>
      </c>
      <c r="E191" s="448">
        <f t="shared" si="48"/>
        <v>45191</v>
      </c>
      <c r="F191" s="79">
        <v>202334</v>
      </c>
      <c r="G191" s="103"/>
      <c r="H191" s="429"/>
      <c r="I191" s="429"/>
      <c r="J191" s="214">
        <f t="shared" si="49"/>
        <v>0</v>
      </c>
      <c r="K191" s="429"/>
      <c r="L191" s="429"/>
      <c r="M191" s="429"/>
      <c r="N191" s="214">
        <f t="shared" si="50"/>
        <v>0</v>
      </c>
      <c r="O191" s="449">
        <f>'Overall Metrics'!L196</f>
        <v>0</v>
      </c>
      <c r="P191" s="449">
        <f>'Overall Metrics'!M196</f>
        <v>0</v>
      </c>
      <c r="Q191" s="449">
        <f>'Overall Metrics'!N196</f>
        <v>0</v>
      </c>
      <c r="R191" s="449">
        <f t="shared" si="51"/>
        <v>0</v>
      </c>
      <c r="S191" s="180">
        <f t="shared" si="52"/>
        <v>0</v>
      </c>
      <c r="T191" s="449">
        <f t="shared" si="53"/>
        <v>0</v>
      </c>
      <c r="U191" s="449">
        <f t="shared" si="54"/>
        <v>0</v>
      </c>
      <c r="V191" s="450" t="str">
        <f t="shared" si="55"/>
        <v/>
      </c>
      <c r="W191" s="450" t="str">
        <f>IF(R191=0,"-",SUMIFS($R$2:R191,$A$2:A191,A191,$C$2:C191,C191)/SUMIFS($J$2:J191,$A$2:A191,A191,$C$2:C191,C191)-1)</f>
        <v>-</v>
      </c>
      <c r="X191" s="450" t="str">
        <f t="shared" si="56"/>
        <v/>
      </c>
      <c r="Y191" s="450" t="str">
        <f>IFERROR(IF(R191=0,"-",SUMIFS($R$2:R191,$A$2:A191,A191,$C$2:C191,C191)/SUMIFS($N$2:N191,$A$2:A191,A191,$C$2:C191,C191)-1),"")</f>
        <v>-</v>
      </c>
      <c r="Z191" s="269" t="str">
        <f>IF(R191=0,"",(S191/VLOOKUP(_xlfn.NUMBERVALUE(_xlfn.CONCAT(LEFT(F191,4),52)),$F$2:T398,COLUMNS($F$2:T398),FALSE)))</f>
        <v/>
      </c>
      <c r="AA191" s="269" t="str">
        <f>IFERROR(IF(R191=0,"",(S191/VLOOKUP(_xlfn.NUMBERVALUE(_xlfn.CONCAT(LEFT(F191,4),52)),$F$2:U398,COLUMNS($F$2:U398),FALSE))),"")</f>
        <v/>
      </c>
      <c r="AB191" s="268" t="str">
        <f t="shared" si="57"/>
        <v/>
      </c>
      <c r="AC191" s="450" t="str">
        <f t="shared" si="58"/>
        <v/>
      </c>
      <c r="AD191" s="450" t="str">
        <f t="shared" si="59"/>
        <v/>
      </c>
      <c r="AE191" s="269" t="str">
        <f t="shared" si="60"/>
        <v/>
      </c>
      <c r="AF191" s="268" t="str">
        <f t="shared" si="61"/>
        <v/>
      </c>
      <c r="AG191" s="450" t="str">
        <f t="shared" si="62"/>
        <v/>
      </c>
      <c r="AH191" s="450" t="str">
        <f t="shared" si="63"/>
        <v/>
      </c>
      <c r="AI191" s="269" t="str">
        <f t="shared" si="64"/>
        <v/>
      </c>
      <c r="AJ191" s="450" t="str">
        <f>IF(O191=0,"-",SUMIFS($O$2:O191,$A$2:A191,$A191,$F$2:F191,"&lt;="&amp;$F191)/SUMIFS($G$2:G191,$A$2:A191,$A191,$F$2:F191,"&lt;="&amp;$F191)-1)</f>
        <v>-</v>
      </c>
      <c r="AK191" s="450" t="str">
        <f>IF(P191=0,"-",SUMIFS($P$2:P191,$A$2:A191,$A191,$F$2:F191,"&lt;="&amp;$F191)/SUMIFS($H$2:H191,$A$2:A191,$A191,$F$2:F191,"&lt;="&amp;$F191)-1)</f>
        <v>-</v>
      </c>
      <c r="AL191" s="450" t="str">
        <f>IF(Q191=0,"-",SUMIFS($Q$2:Q191,$A$2:A191,$A191,$F$2:F191,"&lt;="&amp;$F191)/SUMIFS($I$2:I191,$A$2:A191,$A191,$F$2:F191,"&lt;="&amp;$F191)-1)</f>
        <v>-</v>
      </c>
      <c r="AM191" s="450" t="str">
        <f>IFERROR(IF(O191=0,"-",SUMIFS($O$2:O191,$A$2:A191,$A191,$F$2:F191,"&lt;="&amp;$F191)/SUMIFS($K$2:K191,$A$2:A191,$A191,$F$2:F191,"&lt;="&amp;$F191)-1),"")</f>
        <v>-</v>
      </c>
      <c r="AN191" s="450" t="str">
        <f>IFERROR(IF(P191=0,"-",SUMIFS($P$2:P191,$A$2:A191,$A191,$F$2:F191,"&lt;="&amp;$F191)/SUMIFS($L$2:L191,$A$2:A191,$A191,$F$2:F191,"&lt;="&amp;$F191)-1),"")</f>
        <v>-</v>
      </c>
      <c r="AO191" s="450" t="str">
        <f>IFERROR(IF(Q191=0,"-",SUMIFS($Q$2:Q191,$A$2:A191,$A191,$F$2:F191,"&lt;="&amp;$F191)/SUMIFS($M$2:M191,$A$2:A191,$A191,$F$2:F191,"&lt;="&amp;$F191)-1),"")</f>
        <v>-</v>
      </c>
      <c r="AP191" s="134"/>
      <c r="AQ191" s="452" t="str">
        <f>'Overall Metrics'!AO196</f>
        <v/>
      </c>
      <c r="AR191" s="450" t="str">
        <f t="shared" si="65"/>
        <v/>
      </c>
      <c r="AS191" s="453" t="str">
        <f>IFERROR(IF(R192=0,"-",AVERAGEIFS($AQ$2:AQ191,$A$2:A191,$A191,$F$2:F191,"&lt;="&amp;$F191)-AVERAGEIFS($AP$2:AP191,$A$2:A191,$A191,$F$2:F191,"&lt;="&amp;$F191)),"")</f>
        <v>-</v>
      </c>
      <c r="AT191" s="390" t="str">
        <f>IFERROR(IF(R192=0,"-",AVERAGEIFS($AQ$2:AQ191,$A$2:A191,A191,$C$2:C191,C191)-AVERAGEIFS($AP$2:AP191,$A$2:A191,A191,$C$2:C191,C191)),"")</f>
        <v>-</v>
      </c>
      <c r="AU191" s="451"/>
      <c r="AV191" s="452">
        <f>'Overall Metrics'!AS196</f>
        <v>0</v>
      </c>
      <c r="AW191" s="450" t="str">
        <f t="shared" si="66"/>
        <v/>
      </c>
      <c r="AX191" s="453" t="str">
        <f>IFERROR(IF(R195=0,"-",AVERAGEIFS($AV$2:AV191,$A$2:A191,$A191,$F$2:F191,"&lt;="&amp;$F191)-AVERAGEIFS($AU$2:AU191,$A$2:A191,$A191,$F$2:F191,"&lt;="&amp;$F191)),"")</f>
        <v>-</v>
      </c>
      <c r="AY191" s="453" t="str">
        <f>IFERROR(IF(R195=0,"-",AVERAGEIFS($AV$2:AV191,$A$2:A191,A191,$C$2:C191,C191)-AVERAGEIFS($AU$2:AU191,$A$2:A191,A191,$C$2:C191,C191)),"")</f>
        <v>-</v>
      </c>
      <c r="AZ191" s="103"/>
      <c r="BA191" s="449">
        <f>'Glass Metrics'!AC196</f>
        <v>0</v>
      </c>
      <c r="BB191" s="450" t="str">
        <f t="shared" si="67"/>
        <v/>
      </c>
      <c r="BC191" s="450" t="str">
        <f>IFERROR(IF(R191=0,"-",AVERAGEIFS($BA$2:BA191,$A$2:A191,$A191,$F$2:F191,"&lt;="&amp;$F191)/AVERAGEIFS($AZ$2:AZ191,$A$2:A191,$A191,$F$2:F191,"&lt;="&amp;$F191)-1),"")</f>
        <v>-</v>
      </c>
      <c r="BD191" s="269" t="str">
        <f>IFERROR(IF(R191=0,"-",AVERAGEIFS($BA$2:BA191,$A$2:A191,A191,$C$2:C191,C191)/AVERAGEIFS($AZ$2:AZ191,$A$2:A191,A191,$C$2:C191,C191)-1),"")</f>
        <v>-</v>
      </c>
    </row>
    <row r="192" spans="1:56" ht="16.350000000000001" customHeight="1">
      <c r="A192" s="175">
        <f t="shared" si="46"/>
        <v>2024</v>
      </c>
      <c r="B192" s="447" t="str">
        <f t="shared" si="47"/>
        <v>35</v>
      </c>
      <c r="C192" s="447" t="str">
        <f t="array" ref="C192">_xlfn.IFS(_xlfn.NUMBERVALUE(B192)&lt;=13,"Q1",AND(_xlfn.NUMBERVALUE(B192)&gt;13,_xlfn.NUMBERVALUE(B192)&lt;=26),"Q2", AND(_xlfn.NUMBERVALUE(B192)&gt;26,_xlfn.NUMBERVALUE(B192)&lt;=39),"Q3",_xlfn.NUMBERVALUE(B192)&gt;39,"Q4")</f>
        <v>Q3</v>
      </c>
      <c r="D192" s="448">
        <f t="shared" si="68"/>
        <v>45192</v>
      </c>
      <c r="E192" s="448">
        <f t="shared" si="48"/>
        <v>45198</v>
      </c>
      <c r="F192" s="79">
        <v>202335</v>
      </c>
      <c r="G192" s="103"/>
      <c r="H192" s="429"/>
      <c r="I192" s="429"/>
      <c r="J192" s="214">
        <f t="shared" si="49"/>
        <v>0</v>
      </c>
      <c r="K192" s="429"/>
      <c r="L192" s="429"/>
      <c r="M192" s="429"/>
      <c r="N192" s="214">
        <f t="shared" si="50"/>
        <v>0</v>
      </c>
      <c r="O192" s="449">
        <f>'Overall Metrics'!L197</f>
        <v>0</v>
      </c>
      <c r="P192" s="449">
        <f>'Overall Metrics'!M197</f>
        <v>0</v>
      </c>
      <c r="Q192" s="449">
        <f>'Overall Metrics'!N197</f>
        <v>0</v>
      </c>
      <c r="R192" s="449">
        <f t="shared" si="51"/>
        <v>0</v>
      </c>
      <c r="S192" s="180">
        <f t="shared" si="52"/>
        <v>0</v>
      </c>
      <c r="T192" s="449">
        <f t="shared" si="53"/>
        <v>0</v>
      </c>
      <c r="U192" s="449">
        <f t="shared" si="54"/>
        <v>0</v>
      </c>
      <c r="V192" s="450" t="str">
        <f t="shared" si="55"/>
        <v/>
      </c>
      <c r="W192" s="450" t="str">
        <f>IF(R192=0,"-",SUMIFS($R$2:R192,$A$2:A192,A192,$C$2:C192,C192)/SUMIFS($J$2:J192,$A$2:A192,A192,$C$2:C192,C192)-1)</f>
        <v>-</v>
      </c>
      <c r="X192" s="450" t="str">
        <f t="shared" si="56"/>
        <v/>
      </c>
      <c r="Y192" s="450" t="str">
        <f>IFERROR(IF(R192=0,"-",SUMIFS($R$2:R192,$A$2:A192,A192,$C$2:C192,C192)/SUMIFS($N$2:N192,$A$2:A192,A192,$C$2:C192,C192)-1),"")</f>
        <v>-</v>
      </c>
      <c r="Z192" s="269" t="str">
        <f>IF(R192=0,"",(S192/VLOOKUP(_xlfn.NUMBERVALUE(_xlfn.CONCAT(LEFT(F192,4),52)),$F$2:T399,COLUMNS($F$2:T399),FALSE)))</f>
        <v/>
      </c>
      <c r="AA192" s="269" t="str">
        <f>IFERROR(IF(R192=0,"",(S192/VLOOKUP(_xlfn.NUMBERVALUE(_xlfn.CONCAT(LEFT(F192,4),52)),$F$2:U399,COLUMNS($F$2:U399),FALSE))),"")</f>
        <v/>
      </c>
      <c r="AB192" s="268" t="str">
        <f t="shared" si="57"/>
        <v/>
      </c>
      <c r="AC192" s="450" t="str">
        <f t="shared" si="58"/>
        <v/>
      </c>
      <c r="AD192" s="450" t="str">
        <f t="shared" si="59"/>
        <v/>
      </c>
      <c r="AE192" s="269" t="str">
        <f t="shared" si="60"/>
        <v/>
      </c>
      <c r="AF192" s="268" t="str">
        <f t="shared" si="61"/>
        <v/>
      </c>
      <c r="AG192" s="450" t="str">
        <f t="shared" si="62"/>
        <v/>
      </c>
      <c r="AH192" s="450" t="str">
        <f t="shared" si="63"/>
        <v/>
      </c>
      <c r="AI192" s="269" t="str">
        <f t="shared" si="64"/>
        <v/>
      </c>
      <c r="AJ192" s="450" t="str">
        <f>IF(O192=0,"-",SUMIFS($O$2:O192,$A$2:A192,$A192,$F$2:F192,"&lt;="&amp;$F192)/SUMIFS($G$2:G192,$A$2:A192,$A192,$F$2:F192,"&lt;="&amp;$F192)-1)</f>
        <v>-</v>
      </c>
      <c r="AK192" s="450" t="str">
        <f>IF(P192=0,"-",SUMIFS($P$2:P192,$A$2:A192,$A192,$F$2:F192,"&lt;="&amp;$F192)/SUMIFS($H$2:H192,$A$2:A192,$A192,$F$2:F192,"&lt;="&amp;$F192)-1)</f>
        <v>-</v>
      </c>
      <c r="AL192" s="450" t="str">
        <f>IF(Q192=0,"-",SUMIFS($Q$2:Q192,$A$2:A192,$A192,$F$2:F192,"&lt;="&amp;$F192)/SUMIFS($I$2:I192,$A$2:A192,$A192,$F$2:F192,"&lt;="&amp;$F192)-1)</f>
        <v>-</v>
      </c>
      <c r="AM192" s="450" t="str">
        <f>IFERROR(IF(O192=0,"-",SUMIFS($O$2:O192,$A$2:A192,$A192,$F$2:F192,"&lt;="&amp;$F192)/SUMIFS($K$2:K192,$A$2:A192,$A192,$F$2:F192,"&lt;="&amp;$F192)-1),"")</f>
        <v>-</v>
      </c>
      <c r="AN192" s="450" t="str">
        <f>IFERROR(IF(P192=0,"-",SUMIFS($P$2:P192,$A$2:A192,$A192,$F$2:F192,"&lt;="&amp;$F192)/SUMIFS($L$2:L192,$A$2:A192,$A192,$F$2:F192,"&lt;="&amp;$F192)-1),"")</f>
        <v>-</v>
      </c>
      <c r="AO192" s="450" t="str">
        <f>IFERROR(IF(Q192=0,"-",SUMIFS($Q$2:Q192,$A$2:A192,$A192,$F$2:F192,"&lt;="&amp;$F192)/SUMIFS($M$2:M192,$A$2:A192,$A192,$F$2:F192,"&lt;="&amp;$F192)-1),"")</f>
        <v>-</v>
      </c>
      <c r="AP192" s="134"/>
      <c r="AQ192" s="452" t="str">
        <f>'Overall Metrics'!AO197</f>
        <v/>
      </c>
      <c r="AR192" s="450" t="str">
        <f t="shared" si="65"/>
        <v/>
      </c>
      <c r="AS192" s="453" t="str">
        <f>IFERROR(IF(R193=0,"-",AVERAGEIFS($AQ$2:AQ192,$A$2:A192,$A192,$F$2:F192,"&lt;="&amp;$F192)-AVERAGEIFS($AP$2:AP192,$A$2:A192,$A192,$F$2:F192,"&lt;="&amp;$F192)),"")</f>
        <v>-</v>
      </c>
      <c r="AT192" s="390" t="str">
        <f>IFERROR(IF(R193=0,"-",AVERAGEIFS($AQ$2:AQ192,$A$2:A192,A192,$C$2:C192,C192)-AVERAGEIFS($AP$2:AP192,$A$2:A192,A192,$C$2:C192,C192)),"")</f>
        <v>-</v>
      </c>
      <c r="AU192" s="451"/>
      <c r="AV192" s="452">
        <f>'Overall Metrics'!AS197</f>
        <v>0</v>
      </c>
      <c r="AW192" s="450" t="str">
        <f t="shared" si="66"/>
        <v/>
      </c>
      <c r="AX192" s="453" t="str">
        <f>IFERROR(IF(R196=0,"-",AVERAGEIFS($AV$2:AV192,$A$2:A192,$A192,$F$2:F192,"&lt;="&amp;$F192)-AVERAGEIFS($AU$2:AU192,$A$2:A192,$A192,$F$2:F192,"&lt;="&amp;$F192)),"")</f>
        <v>-</v>
      </c>
      <c r="AY192" s="453" t="str">
        <f>IFERROR(IF(R196=0,"-",AVERAGEIFS($AV$2:AV192,$A$2:A192,A192,$C$2:C192,C192)-AVERAGEIFS($AU$2:AU192,$A$2:A192,A192,$C$2:C192,C192)),"")</f>
        <v>-</v>
      </c>
      <c r="AZ192" s="103"/>
      <c r="BA192" s="449">
        <f>'Glass Metrics'!AC197</f>
        <v>0</v>
      </c>
      <c r="BB192" s="450" t="str">
        <f t="shared" si="67"/>
        <v/>
      </c>
      <c r="BC192" s="450" t="str">
        <f>IFERROR(IF(R192=0,"-",AVERAGEIFS($BA$2:BA192,$A$2:A192,$A192,$F$2:F192,"&lt;="&amp;$F192)/AVERAGEIFS($AZ$2:AZ192,$A$2:A192,$A192,$F$2:F192,"&lt;="&amp;$F192)-1),"")</f>
        <v>-</v>
      </c>
      <c r="BD192" s="269" t="str">
        <f>IFERROR(IF(R192=0,"-",AVERAGEIFS($BA$2:BA192,$A$2:A192,A192,$C$2:C192,C192)/AVERAGEIFS($AZ$2:AZ192,$A$2:A192,A192,$C$2:C192,C192)-1),"")</f>
        <v>-</v>
      </c>
    </row>
    <row r="193" spans="1:56" ht="16.350000000000001" customHeight="1">
      <c r="A193" s="175">
        <f t="shared" si="46"/>
        <v>2024</v>
      </c>
      <c r="B193" s="447" t="str">
        <f t="shared" si="47"/>
        <v>36</v>
      </c>
      <c r="C193" s="447" t="str">
        <f t="array" ref="C193">_xlfn.IFS(_xlfn.NUMBERVALUE(B193)&lt;=13,"Q1",AND(_xlfn.NUMBERVALUE(B193)&gt;13,_xlfn.NUMBERVALUE(B193)&lt;=26),"Q2", AND(_xlfn.NUMBERVALUE(B193)&gt;26,_xlfn.NUMBERVALUE(B193)&lt;=39),"Q3",_xlfn.NUMBERVALUE(B193)&gt;39,"Q4")</f>
        <v>Q3</v>
      </c>
      <c r="D193" s="448">
        <f t="shared" si="68"/>
        <v>45199</v>
      </c>
      <c r="E193" s="448">
        <f t="shared" si="48"/>
        <v>45205</v>
      </c>
      <c r="F193" s="79">
        <v>202336</v>
      </c>
      <c r="G193" s="103"/>
      <c r="H193" s="429"/>
      <c r="I193" s="429"/>
      <c r="J193" s="214">
        <f t="shared" si="49"/>
        <v>0</v>
      </c>
      <c r="K193" s="429"/>
      <c r="L193" s="429"/>
      <c r="M193" s="429"/>
      <c r="N193" s="214">
        <f t="shared" si="50"/>
        <v>0</v>
      </c>
      <c r="O193" s="449">
        <f>'Overall Metrics'!L198</f>
        <v>0</v>
      </c>
      <c r="P193" s="449">
        <f>'Overall Metrics'!M198</f>
        <v>0</v>
      </c>
      <c r="Q193" s="449">
        <f>'Overall Metrics'!N198</f>
        <v>0</v>
      </c>
      <c r="R193" s="449">
        <f t="shared" si="51"/>
        <v>0</v>
      </c>
      <c r="S193" s="180">
        <f t="shared" si="52"/>
        <v>0</v>
      </c>
      <c r="T193" s="449">
        <f t="shared" si="53"/>
        <v>0</v>
      </c>
      <c r="U193" s="449">
        <f t="shared" si="54"/>
        <v>0</v>
      </c>
      <c r="V193" s="450" t="str">
        <f t="shared" si="55"/>
        <v/>
      </c>
      <c r="W193" s="450" t="str">
        <f>IF(R193=0,"-",SUMIFS($R$2:R193,$A$2:A193,A193,$C$2:C193,C193)/SUMIFS($J$2:J193,$A$2:A193,A193,$C$2:C193,C193)-1)</f>
        <v>-</v>
      </c>
      <c r="X193" s="450" t="str">
        <f t="shared" si="56"/>
        <v/>
      </c>
      <c r="Y193" s="450" t="str">
        <f>IFERROR(IF(R193=0,"-",SUMIFS($R$2:R193,$A$2:A193,A193,$C$2:C193,C193)/SUMIFS($N$2:N193,$A$2:A193,A193,$C$2:C193,C193)-1),"")</f>
        <v>-</v>
      </c>
      <c r="Z193" s="269" t="str">
        <f>IF(R193=0,"",(S193/VLOOKUP(_xlfn.NUMBERVALUE(_xlfn.CONCAT(LEFT(F193,4),52)),$F$2:T400,COLUMNS($F$2:T400),FALSE)))</f>
        <v/>
      </c>
      <c r="AA193" s="269" t="str">
        <f>IFERROR(IF(R193=0,"",(S193/VLOOKUP(_xlfn.NUMBERVALUE(_xlfn.CONCAT(LEFT(F193,4),52)),$F$2:U400,COLUMNS($F$2:U400),FALSE))),"")</f>
        <v/>
      </c>
      <c r="AB193" s="268" t="str">
        <f t="shared" si="57"/>
        <v/>
      </c>
      <c r="AC193" s="450" t="str">
        <f t="shared" si="58"/>
        <v/>
      </c>
      <c r="AD193" s="450" t="str">
        <f t="shared" si="59"/>
        <v/>
      </c>
      <c r="AE193" s="269" t="str">
        <f t="shared" si="60"/>
        <v/>
      </c>
      <c r="AF193" s="268" t="str">
        <f t="shared" si="61"/>
        <v/>
      </c>
      <c r="AG193" s="450" t="str">
        <f t="shared" si="62"/>
        <v/>
      </c>
      <c r="AH193" s="450" t="str">
        <f t="shared" si="63"/>
        <v/>
      </c>
      <c r="AI193" s="269" t="str">
        <f t="shared" si="64"/>
        <v/>
      </c>
      <c r="AJ193" s="450" t="str">
        <f>IF(O193=0,"-",SUMIFS($O$2:O193,$A$2:A193,$A193,$F$2:F193,"&lt;="&amp;$F193)/SUMIFS($G$2:G193,$A$2:A193,$A193,$F$2:F193,"&lt;="&amp;$F193)-1)</f>
        <v>-</v>
      </c>
      <c r="AK193" s="450" t="str">
        <f>IF(P193=0,"-",SUMIFS($P$2:P193,$A$2:A193,$A193,$F$2:F193,"&lt;="&amp;$F193)/SUMIFS($H$2:H193,$A$2:A193,$A193,$F$2:F193,"&lt;="&amp;$F193)-1)</f>
        <v>-</v>
      </c>
      <c r="AL193" s="450" t="str">
        <f>IF(Q193=0,"-",SUMIFS($Q$2:Q193,$A$2:A193,$A193,$F$2:F193,"&lt;="&amp;$F193)/SUMIFS($I$2:I193,$A$2:A193,$A193,$F$2:F193,"&lt;="&amp;$F193)-1)</f>
        <v>-</v>
      </c>
      <c r="AM193" s="450" t="str">
        <f>IFERROR(IF(O193=0,"-",SUMIFS($O$2:O193,$A$2:A193,$A193,$F$2:F193,"&lt;="&amp;$F193)/SUMIFS($K$2:K193,$A$2:A193,$A193,$F$2:F193,"&lt;="&amp;$F193)-1),"")</f>
        <v>-</v>
      </c>
      <c r="AN193" s="450" t="str">
        <f>IFERROR(IF(P193=0,"-",SUMIFS($P$2:P193,$A$2:A193,$A193,$F$2:F193,"&lt;="&amp;$F193)/SUMIFS($L$2:L193,$A$2:A193,$A193,$F$2:F193,"&lt;="&amp;$F193)-1),"")</f>
        <v>-</v>
      </c>
      <c r="AO193" s="450" t="str">
        <f>IFERROR(IF(Q193=0,"-",SUMIFS($Q$2:Q193,$A$2:A193,$A193,$F$2:F193,"&lt;="&amp;$F193)/SUMIFS($M$2:M193,$A$2:A193,$A193,$F$2:F193,"&lt;="&amp;$F193)-1),"")</f>
        <v>-</v>
      </c>
      <c r="AP193" s="134"/>
      <c r="AQ193" s="452" t="str">
        <f>'Overall Metrics'!AO198</f>
        <v/>
      </c>
      <c r="AR193" s="450" t="str">
        <f t="shared" si="65"/>
        <v/>
      </c>
      <c r="AS193" s="453" t="str">
        <f>IFERROR(IF(R194=0,"-",AVERAGEIFS($AQ$2:AQ193,$A$2:A193,$A193,$F$2:F193,"&lt;="&amp;$F193)-AVERAGEIFS($AP$2:AP193,$A$2:A193,$A193,$F$2:F193,"&lt;="&amp;$F193)),"")</f>
        <v>-</v>
      </c>
      <c r="AT193" s="390" t="str">
        <f>IFERROR(IF(R194=0,"-",AVERAGEIFS($AQ$2:AQ193,$A$2:A193,A193,$C$2:C193,C193)-AVERAGEIFS($AP$2:AP193,$A$2:A193,A193,$C$2:C193,C193)),"")</f>
        <v>-</v>
      </c>
      <c r="AU193" s="451"/>
      <c r="AV193" s="452">
        <f>'Overall Metrics'!AS198</f>
        <v>0</v>
      </c>
      <c r="AW193" s="450" t="str">
        <f t="shared" si="66"/>
        <v/>
      </c>
      <c r="AX193" s="453" t="str">
        <f>IFERROR(IF(R197=0,"-",AVERAGEIFS($AV$2:AV193,$A$2:A193,$A193,$F$2:F193,"&lt;="&amp;$F193)-AVERAGEIFS($AU$2:AU193,$A$2:A193,$A193,$F$2:F193,"&lt;="&amp;$F193)),"")</f>
        <v>-</v>
      </c>
      <c r="AY193" s="453" t="str">
        <f>IFERROR(IF(R197=0,"-",AVERAGEIFS($AV$2:AV193,$A$2:A193,A193,$C$2:C193,C193)-AVERAGEIFS($AU$2:AU193,$A$2:A193,A193,$C$2:C193,C193)),"")</f>
        <v>-</v>
      </c>
      <c r="AZ193" s="103"/>
      <c r="BA193" s="449">
        <f>'Glass Metrics'!AC198</f>
        <v>0</v>
      </c>
      <c r="BB193" s="450" t="str">
        <f t="shared" si="67"/>
        <v/>
      </c>
      <c r="BC193" s="450" t="str">
        <f>IFERROR(IF(R193=0,"-",AVERAGEIFS($BA$2:BA193,$A$2:A193,$A193,$F$2:F193,"&lt;="&amp;$F193)/AVERAGEIFS($AZ$2:AZ193,$A$2:A193,$A193,$F$2:F193,"&lt;="&amp;$F193)-1),"")</f>
        <v>-</v>
      </c>
      <c r="BD193" s="269" t="str">
        <f>IFERROR(IF(R193=0,"-",AVERAGEIFS($BA$2:BA193,$A$2:A193,A193,$C$2:C193,C193)/AVERAGEIFS($AZ$2:AZ193,$A$2:A193,A193,$C$2:C193,C193)-1),"")</f>
        <v>-</v>
      </c>
    </row>
    <row r="194" spans="1:56" ht="16.350000000000001" customHeight="1">
      <c r="A194" s="175">
        <f t="shared" ref="A194:A257" si="69">LEFT(F194,4)+1</f>
        <v>2024</v>
      </c>
      <c r="B194" s="447" t="str">
        <f t="shared" ref="B194:B257" si="70">RIGHT(F194,2)</f>
        <v>37</v>
      </c>
      <c r="C194" s="447" t="str">
        <f t="array" ref="C194">_xlfn.IFS(_xlfn.NUMBERVALUE(B194)&lt;=13,"Q1",AND(_xlfn.NUMBERVALUE(B194)&gt;13,_xlfn.NUMBERVALUE(B194)&lt;=26),"Q2", AND(_xlfn.NUMBERVALUE(B194)&gt;26,_xlfn.NUMBERVALUE(B194)&lt;=39),"Q3",_xlfn.NUMBERVALUE(B194)&gt;39,"Q4")</f>
        <v>Q3</v>
      </c>
      <c r="D194" s="448">
        <f t="shared" si="68"/>
        <v>45206</v>
      </c>
      <c r="E194" s="448">
        <f t="shared" ref="E194:E257" si="71">D194+6</f>
        <v>45212</v>
      </c>
      <c r="F194" s="79">
        <v>202337</v>
      </c>
      <c r="G194" s="103"/>
      <c r="H194" s="429"/>
      <c r="I194" s="429"/>
      <c r="J194" s="214">
        <f t="shared" ref="J194:J257" si="72">SUM(G194:I194)</f>
        <v>0</v>
      </c>
      <c r="K194" s="429"/>
      <c r="L194" s="429"/>
      <c r="M194" s="429"/>
      <c r="N194" s="214">
        <f t="shared" ref="N194:N257" si="73">SUM(K194:M194)</f>
        <v>0</v>
      </c>
      <c r="O194" s="449">
        <f>'Overall Metrics'!L199</f>
        <v>0</v>
      </c>
      <c r="P194" s="449">
        <f>'Overall Metrics'!M199</f>
        <v>0</v>
      </c>
      <c r="Q194" s="449">
        <f>'Overall Metrics'!N199</f>
        <v>0</v>
      </c>
      <c r="R194" s="449">
        <f t="shared" ref="R194:R257" si="74">SUM(O194:Q194)</f>
        <v>0</v>
      </c>
      <c r="S194" s="180">
        <f t="shared" ref="S194:S257" si="75">IF(OR(RIGHT(F194,2) = "01",R194 = 0),R194,S193+R194)</f>
        <v>0</v>
      </c>
      <c r="T194" s="449">
        <f t="shared" ref="T194:T257" si="76">IF(RIGHT(F194,2) = "01",J194,T193+J194)</f>
        <v>0</v>
      </c>
      <c r="U194" s="449">
        <f t="shared" ref="U194:U257" si="77">IF(RIGHT(F194,2) = "01",N194,U193+N194)</f>
        <v>0</v>
      </c>
      <c r="V194" s="450" t="str">
        <f t="shared" ref="V194:V257" si="78">IF(S194=0,"",S194/T194-1)</f>
        <v/>
      </c>
      <c r="W194" s="450" t="str">
        <f>IF(R194=0,"-",SUMIFS($R$2:R194,$A$2:A194,A194,$C$2:C194,C194)/SUMIFS($J$2:J194,$A$2:A194,A194,$C$2:C194,C194)-1)</f>
        <v>-</v>
      </c>
      <c r="X194" s="450" t="str">
        <f t="shared" ref="X194:X257" si="79">IFERROR(IF(S194=0,"",S194/U194-1),"")</f>
        <v/>
      </c>
      <c r="Y194" s="450" t="str">
        <f>IFERROR(IF(R194=0,"-",SUMIFS($R$2:R194,$A$2:A194,A194,$C$2:C194,C194)/SUMIFS($N$2:N194,$A$2:A194,A194,$C$2:C194,C194)-1),"")</f>
        <v>-</v>
      </c>
      <c r="Z194" s="269" t="str">
        <f>IF(R194=0,"",(S194/VLOOKUP(_xlfn.NUMBERVALUE(_xlfn.CONCAT(LEFT(F194,4),52)),$F$2:T401,COLUMNS($F$2:T401),FALSE)))</f>
        <v/>
      </c>
      <c r="AA194" s="269" t="str">
        <f>IFERROR(IF(R194=0,"",(S194/VLOOKUP(_xlfn.NUMBERVALUE(_xlfn.CONCAT(LEFT(F194,4),52)),$F$2:U401,COLUMNS($F$2:U401),FALSE))),"")</f>
        <v/>
      </c>
      <c r="AB194" s="268" t="str">
        <f t="shared" ref="AB194:AB257" si="80">IF($R194=0,"",O194/G194-1)</f>
        <v/>
      </c>
      <c r="AC194" s="450" t="str">
        <f t="shared" ref="AC194:AC257" si="81">IF($R194=0,"",P194/H194-1)</f>
        <v/>
      </c>
      <c r="AD194" s="450" t="str">
        <f t="shared" ref="AD194:AD257" si="82">IF($R194=0,"",Q194/I194-1)</f>
        <v/>
      </c>
      <c r="AE194" s="269" t="str">
        <f t="shared" ref="AE194:AE257" si="83">IF($R194=0,"",R194/J194-1)</f>
        <v/>
      </c>
      <c r="AF194" s="268" t="str">
        <f t="shared" ref="AF194:AF257" si="84">IFERROR(IF($R194=0,"",O194/K194-1),"")</f>
        <v/>
      </c>
      <c r="AG194" s="450" t="str">
        <f t="shared" ref="AG194:AG257" si="85">IFERROR(IF($R194=0,"",P194/L194-1),"")</f>
        <v/>
      </c>
      <c r="AH194" s="450" t="str">
        <f t="shared" ref="AH194:AH257" si="86">IFERROR(IF($R194=0,"",Q194/M194-1),"")</f>
        <v/>
      </c>
      <c r="AI194" s="269" t="str">
        <f t="shared" ref="AI194:AI257" si="87">IFERROR(IF($R194=0,"",R194/N194-1),"")</f>
        <v/>
      </c>
      <c r="AJ194" s="450" t="str">
        <f>IF(O194=0,"-",SUMIFS($O$2:O194,$A$2:A194,$A194,$F$2:F194,"&lt;="&amp;$F194)/SUMIFS($G$2:G194,$A$2:A194,$A194,$F$2:F194,"&lt;="&amp;$F194)-1)</f>
        <v>-</v>
      </c>
      <c r="AK194" s="450" t="str">
        <f>IF(P194=0,"-",SUMIFS($P$2:P194,$A$2:A194,$A194,$F$2:F194,"&lt;="&amp;$F194)/SUMIFS($H$2:H194,$A$2:A194,$A194,$F$2:F194,"&lt;="&amp;$F194)-1)</f>
        <v>-</v>
      </c>
      <c r="AL194" s="450" t="str">
        <f>IF(Q194=0,"-",SUMIFS($Q$2:Q194,$A$2:A194,$A194,$F$2:F194,"&lt;="&amp;$F194)/SUMIFS($I$2:I194,$A$2:A194,$A194,$F$2:F194,"&lt;="&amp;$F194)-1)</f>
        <v>-</v>
      </c>
      <c r="AM194" s="450" t="str">
        <f>IFERROR(IF(O194=0,"-",SUMIFS($O$2:O194,$A$2:A194,$A194,$F$2:F194,"&lt;="&amp;$F194)/SUMIFS($K$2:K194,$A$2:A194,$A194,$F$2:F194,"&lt;="&amp;$F194)-1),"")</f>
        <v>-</v>
      </c>
      <c r="AN194" s="450" t="str">
        <f>IFERROR(IF(P194=0,"-",SUMIFS($P$2:P194,$A$2:A194,$A194,$F$2:F194,"&lt;="&amp;$F194)/SUMIFS($L$2:L194,$A$2:A194,$A194,$F$2:F194,"&lt;="&amp;$F194)-1),"")</f>
        <v>-</v>
      </c>
      <c r="AO194" s="450" t="str">
        <f>IFERROR(IF(Q194=0,"-",SUMIFS($Q$2:Q194,$A$2:A194,$A194,$F$2:F194,"&lt;="&amp;$F194)/SUMIFS($M$2:M194,$A$2:A194,$A194,$F$2:F194,"&lt;="&amp;$F194)-1),"")</f>
        <v>-</v>
      </c>
      <c r="AP194" s="134"/>
      <c r="AQ194" s="452" t="str">
        <f>'Overall Metrics'!AO199</f>
        <v/>
      </c>
      <c r="AR194" s="450" t="str">
        <f t="shared" ref="AR194:AR257" si="88">IFERROR(AQ194-AP194,"")</f>
        <v/>
      </c>
      <c r="AS194" s="453" t="str">
        <f>IFERROR(IF(R195=0,"-",AVERAGEIFS($AQ$2:AQ194,$A$2:A194,$A194,$F$2:F194,"&lt;="&amp;$F194)-AVERAGEIFS($AP$2:AP194,$A$2:A194,$A194,$F$2:F194,"&lt;="&amp;$F194)),"")</f>
        <v>-</v>
      </c>
      <c r="AT194" s="390" t="str">
        <f>IFERROR(IF(R195=0,"-",AVERAGEIFS($AQ$2:AQ194,$A$2:A194,A194,$C$2:C194,C194)-AVERAGEIFS($AP$2:AP194,$A$2:A194,A194,$C$2:C194,C194)),"")</f>
        <v>-</v>
      </c>
      <c r="AU194" s="451"/>
      <c r="AV194" s="452">
        <f>'Overall Metrics'!AS199</f>
        <v>0</v>
      </c>
      <c r="AW194" s="450" t="str">
        <f t="shared" ref="AW194:AW255" si="89">IFERROR(IF(AV194=0%,"",AV194-AU194),"")</f>
        <v/>
      </c>
      <c r="AX194" s="453" t="str">
        <f>IFERROR(IF(R198=0,"-",AVERAGEIFS($AV$2:AV194,$A$2:A194,$A194,$F$2:F194,"&lt;="&amp;$F194)-AVERAGEIFS($AU$2:AU194,$A$2:A194,$A194,$F$2:F194,"&lt;="&amp;$F194)),"")</f>
        <v>-</v>
      </c>
      <c r="AY194" s="453" t="str">
        <f>IFERROR(IF(R198=0,"-",AVERAGEIFS($AV$2:AV194,$A$2:A194,A194,$C$2:C194,C194)-AVERAGEIFS($AU$2:AU194,$A$2:A194,A194,$C$2:C194,C194)),"")</f>
        <v>-</v>
      </c>
      <c r="AZ194" s="103"/>
      <c r="BA194" s="449">
        <f>'Glass Metrics'!AC199</f>
        <v>0</v>
      </c>
      <c r="BB194" s="450" t="str">
        <f t="shared" ref="BB194:BB257" si="90">IFERROR(IF(BA194=0,"",BA194/AZ194-1),"")</f>
        <v/>
      </c>
      <c r="BC194" s="450" t="str">
        <f>IFERROR(IF(R194=0,"-",AVERAGEIFS($BA$2:BA194,$A$2:A194,$A194,$F$2:F194,"&lt;="&amp;$F194)/AVERAGEIFS($AZ$2:AZ194,$A$2:A194,$A194,$F$2:F194,"&lt;="&amp;$F194)-1),"")</f>
        <v>-</v>
      </c>
      <c r="BD194" s="269" t="str">
        <f>IFERROR(IF(R194=0,"-",AVERAGEIFS($BA$2:BA194,$A$2:A194,A194,$C$2:C194,C194)/AVERAGEIFS($AZ$2:AZ194,$A$2:A194,A194,$C$2:C194,C194)-1),"")</f>
        <v>-</v>
      </c>
    </row>
    <row r="195" spans="1:56" ht="16.350000000000001" customHeight="1">
      <c r="A195" s="175">
        <f t="shared" si="69"/>
        <v>2024</v>
      </c>
      <c r="B195" s="447" t="str">
        <f t="shared" si="70"/>
        <v>38</v>
      </c>
      <c r="C195" s="447" t="str">
        <f t="array" ref="C195">_xlfn.IFS(_xlfn.NUMBERVALUE(B195)&lt;=13,"Q1",AND(_xlfn.NUMBERVALUE(B195)&gt;13,_xlfn.NUMBERVALUE(B195)&lt;=26),"Q2", AND(_xlfn.NUMBERVALUE(B195)&gt;26,_xlfn.NUMBERVALUE(B195)&lt;=39),"Q3",_xlfn.NUMBERVALUE(B195)&gt;39,"Q4")</f>
        <v>Q3</v>
      </c>
      <c r="D195" s="448">
        <f t="shared" ref="D195:D258" si="91">E194+1</f>
        <v>45213</v>
      </c>
      <c r="E195" s="448">
        <f t="shared" si="71"/>
        <v>45219</v>
      </c>
      <c r="F195" s="79">
        <v>202338</v>
      </c>
      <c r="G195" s="103"/>
      <c r="H195" s="429"/>
      <c r="I195" s="429"/>
      <c r="J195" s="214">
        <f t="shared" si="72"/>
        <v>0</v>
      </c>
      <c r="K195" s="429"/>
      <c r="L195" s="429"/>
      <c r="M195" s="429"/>
      <c r="N195" s="214">
        <f t="shared" si="73"/>
        <v>0</v>
      </c>
      <c r="O195" s="449">
        <f>'Overall Metrics'!L200</f>
        <v>0</v>
      </c>
      <c r="P195" s="449">
        <f>'Overall Metrics'!M200</f>
        <v>0</v>
      </c>
      <c r="Q195" s="449">
        <f>'Overall Metrics'!N200</f>
        <v>0</v>
      </c>
      <c r="R195" s="449">
        <f t="shared" si="74"/>
        <v>0</v>
      </c>
      <c r="S195" s="180">
        <f t="shared" si="75"/>
        <v>0</v>
      </c>
      <c r="T195" s="449">
        <f t="shared" si="76"/>
        <v>0</v>
      </c>
      <c r="U195" s="449">
        <f t="shared" si="77"/>
        <v>0</v>
      </c>
      <c r="V195" s="450" t="str">
        <f t="shared" si="78"/>
        <v/>
      </c>
      <c r="W195" s="450" t="str">
        <f>IF(R195=0,"-",SUMIFS($R$2:R195,$A$2:A195,A195,$C$2:C195,C195)/SUMIFS($J$2:J195,$A$2:A195,A195,$C$2:C195,C195)-1)</f>
        <v>-</v>
      </c>
      <c r="X195" s="450" t="str">
        <f t="shared" si="79"/>
        <v/>
      </c>
      <c r="Y195" s="450" t="str">
        <f>IFERROR(IF(R195=0,"-",SUMIFS($R$2:R195,$A$2:A195,A195,$C$2:C195,C195)/SUMIFS($N$2:N195,$A$2:A195,A195,$C$2:C195,C195)-1),"")</f>
        <v>-</v>
      </c>
      <c r="Z195" s="269" t="str">
        <f>IF(R195=0,"",(S195/VLOOKUP(_xlfn.NUMBERVALUE(_xlfn.CONCAT(LEFT(F195,4),52)),$F$2:T402,COLUMNS($F$2:T402),FALSE)))</f>
        <v/>
      </c>
      <c r="AA195" s="269" t="str">
        <f>IFERROR(IF(R195=0,"",(S195/VLOOKUP(_xlfn.NUMBERVALUE(_xlfn.CONCAT(LEFT(F195,4),52)),$F$2:U402,COLUMNS($F$2:U402),FALSE))),"")</f>
        <v/>
      </c>
      <c r="AB195" s="268" t="str">
        <f t="shared" si="80"/>
        <v/>
      </c>
      <c r="AC195" s="450" t="str">
        <f t="shared" si="81"/>
        <v/>
      </c>
      <c r="AD195" s="450" t="str">
        <f t="shared" si="82"/>
        <v/>
      </c>
      <c r="AE195" s="269" t="str">
        <f t="shared" si="83"/>
        <v/>
      </c>
      <c r="AF195" s="268" t="str">
        <f t="shared" si="84"/>
        <v/>
      </c>
      <c r="AG195" s="450" t="str">
        <f t="shared" si="85"/>
        <v/>
      </c>
      <c r="AH195" s="450" t="str">
        <f t="shared" si="86"/>
        <v/>
      </c>
      <c r="AI195" s="269" t="str">
        <f t="shared" si="87"/>
        <v/>
      </c>
      <c r="AJ195" s="450" t="str">
        <f>IF(O195=0,"-",SUMIFS($O$2:O195,$A$2:A195,$A195,$F$2:F195,"&lt;="&amp;$F195)/SUMIFS($G$2:G195,$A$2:A195,$A195,$F$2:F195,"&lt;="&amp;$F195)-1)</f>
        <v>-</v>
      </c>
      <c r="AK195" s="450" t="str">
        <f>IF(P195=0,"-",SUMIFS($P$2:P195,$A$2:A195,$A195,$F$2:F195,"&lt;="&amp;$F195)/SUMIFS($H$2:H195,$A$2:A195,$A195,$F$2:F195,"&lt;="&amp;$F195)-1)</f>
        <v>-</v>
      </c>
      <c r="AL195" s="450" t="str">
        <f>IF(Q195=0,"-",SUMIFS($Q$2:Q195,$A$2:A195,$A195,$F$2:F195,"&lt;="&amp;$F195)/SUMIFS($I$2:I195,$A$2:A195,$A195,$F$2:F195,"&lt;="&amp;$F195)-1)</f>
        <v>-</v>
      </c>
      <c r="AM195" s="450" t="str">
        <f>IFERROR(IF(O195=0,"-",SUMIFS($O$2:O195,$A$2:A195,$A195,$F$2:F195,"&lt;="&amp;$F195)/SUMIFS($K$2:K195,$A$2:A195,$A195,$F$2:F195,"&lt;="&amp;$F195)-1),"")</f>
        <v>-</v>
      </c>
      <c r="AN195" s="450" t="str">
        <f>IFERROR(IF(P195=0,"-",SUMIFS($P$2:P195,$A$2:A195,$A195,$F$2:F195,"&lt;="&amp;$F195)/SUMIFS($L$2:L195,$A$2:A195,$A195,$F$2:F195,"&lt;="&amp;$F195)-1),"")</f>
        <v>-</v>
      </c>
      <c r="AO195" s="450" t="str">
        <f>IFERROR(IF(Q195=0,"-",SUMIFS($Q$2:Q195,$A$2:A195,$A195,$F$2:F195,"&lt;="&amp;$F195)/SUMIFS($M$2:M195,$A$2:A195,$A195,$F$2:F195,"&lt;="&amp;$F195)-1),"")</f>
        <v>-</v>
      </c>
      <c r="AP195" s="134"/>
      <c r="AQ195" s="452" t="str">
        <f>'Overall Metrics'!AO200</f>
        <v/>
      </c>
      <c r="AR195" s="450" t="str">
        <f t="shared" si="88"/>
        <v/>
      </c>
      <c r="AS195" s="453" t="str">
        <f>IFERROR(IF(R196=0,"-",AVERAGEIFS($AQ$2:AQ195,$A$2:A195,$A195,$F$2:F195,"&lt;="&amp;$F195)-AVERAGEIFS($AP$2:AP195,$A$2:A195,$A195,$F$2:F195,"&lt;="&amp;$F195)),"")</f>
        <v>-</v>
      </c>
      <c r="AT195" s="390" t="str">
        <f>IFERROR(IF(R196=0,"-",AVERAGEIFS($AQ$2:AQ195,$A$2:A195,A195,$C$2:C195,C195)-AVERAGEIFS($AP$2:AP195,$A$2:A195,A195,$C$2:C195,C195)),"")</f>
        <v>-</v>
      </c>
      <c r="AU195" s="451"/>
      <c r="AV195" s="452">
        <f>'Overall Metrics'!AS200</f>
        <v>0</v>
      </c>
      <c r="AW195" s="450" t="str">
        <f t="shared" si="89"/>
        <v/>
      </c>
      <c r="AX195" s="453" t="str">
        <f>IFERROR(IF(R199=0,"-",AVERAGEIFS($AV$2:AV195,$A$2:A195,$A195,$F$2:F195,"&lt;="&amp;$F195)-AVERAGEIFS($AU$2:AU195,$A$2:A195,$A195,$F$2:F195,"&lt;="&amp;$F195)),"")</f>
        <v>-</v>
      </c>
      <c r="AY195" s="453" t="str">
        <f>IFERROR(IF(R199=0,"-",AVERAGEIFS($AV$2:AV195,$A$2:A195,A195,$C$2:C195,C195)-AVERAGEIFS($AU$2:AU195,$A$2:A195,A195,$C$2:C195,C195)),"")</f>
        <v>-</v>
      </c>
      <c r="AZ195" s="103"/>
      <c r="BA195" s="449">
        <f>'Glass Metrics'!AC200</f>
        <v>0</v>
      </c>
      <c r="BB195" s="450" t="str">
        <f t="shared" si="90"/>
        <v/>
      </c>
      <c r="BC195" s="450" t="str">
        <f>IFERROR(IF(R195=0,"-",AVERAGEIFS($BA$2:BA195,$A$2:A195,$A195,$F$2:F195,"&lt;="&amp;$F195)/AVERAGEIFS($AZ$2:AZ195,$A$2:A195,$A195,$F$2:F195,"&lt;="&amp;$F195)-1),"")</f>
        <v>-</v>
      </c>
      <c r="BD195" s="269" t="str">
        <f>IFERROR(IF(R195=0,"-",AVERAGEIFS($BA$2:BA195,$A$2:A195,A195,$C$2:C195,C195)/AVERAGEIFS($AZ$2:AZ195,$A$2:A195,A195,$C$2:C195,C195)-1),"")</f>
        <v>-</v>
      </c>
    </row>
    <row r="196" spans="1:56" ht="16.350000000000001" customHeight="1">
      <c r="A196" s="175">
        <f t="shared" si="69"/>
        <v>2024</v>
      </c>
      <c r="B196" s="447" t="str">
        <f t="shared" si="70"/>
        <v>39</v>
      </c>
      <c r="C196" s="447" t="str">
        <f t="array" ref="C196">_xlfn.IFS(_xlfn.NUMBERVALUE(B196)&lt;=13,"Q1",AND(_xlfn.NUMBERVALUE(B196)&gt;13,_xlfn.NUMBERVALUE(B196)&lt;=26),"Q2", AND(_xlfn.NUMBERVALUE(B196)&gt;26,_xlfn.NUMBERVALUE(B196)&lt;=39),"Q3",_xlfn.NUMBERVALUE(B196)&gt;39,"Q4")</f>
        <v>Q3</v>
      </c>
      <c r="D196" s="448">
        <f t="shared" si="91"/>
        <v>45220</v>
      </c>
      <c r="E196" s="448">
        <f t="shared" si="71"/>
        <v>45226</v>
      </c>
      <c r="F196" s="79">
        <v>202339</v>
      </c>
      <c r="G196" s="103"/>
      <c r="H196" s="429"/>
      <c r="I196" s="429"/>
      <c r="J196" s="214">
        <f t="shared" si="72"/>
        <v>0</v>
      </c>
      <c r="K196" s="429"/>
      <c r="L196" s="429"/>
      <c r="M196" s="429"/>
      <c r="N196" s="214">
        <f t="shared" si="73"/>
        <v>0</v>
      </c>
      <c r="O196" s="449">
        <f>'Overall Metrics'!L201</f>
        <v>0</v>
      </c>
      <c r="P196" s="449">
        <f>'Overall Metrics'!M201</f>
        <v>0</v>
      </c>
      <c r="Q196" s="449">
        <f>'Overall Metrics'!N201</f>
        <v>0</v>
      </c>
      <c r="R196" s="449">
        <f t="shared" si="74"/>
        <v>0</v>
      </c>
      <c r="S196" s="180">
        <f t="shared" si="75"/>
        <v>0</v>
      </c>
      <c r="T196" s="449">
        <f t="shared" si="76"/>
        <v>0</v>
      </c>
      <c r="U196" s="449">
        <f t="shared" si="77"/>
        <v>0</v>
      </c>
      <c r="V196" s="450" t="str">
        <f t="shared" si="78"/>
        <v/>
      </c>
      <c r="W196" s="450" t="str">
        <f>IF(R196=0,"-",SUMIFS($R$2:R196,$A$2:A196,A196,$C$2:C196,C196)/SUMIFS($J$2:J196,$A$2:A196,A196,$C$2:C196,C196)-1)</f>
        <v>-</v>
      </c>
      <c r="X196" s="450" t="str">
        <f t="shared" si="79"/>
        <v/>
      </c>
      <c r="Y196" s="450" t="str">
        <f>IFERROR(IF(R196=0,"-",SUMIFS($R$2:R196,$A$2:A196,A196,$C$2:C196,C196)/SUMIFS($N$2:N196,$A$2:A196,A196,$C$2:C196,C196)-1),"")</f>
        <v>-</v>
      </c>
      <c r="Z196" s="269" t="str">
        <f>IF(R196=0,"",(S196/VLOOKUP(_xlfn.NUMBERVALUE(_xlfn.CONCAT(LEFT(F196,4),52)),$F$2:T403,COLUMNS($F$2:T403),FALSE)))</f>
        <v/>
      </c>
      <c r="AA196" s="269" t="str">
        <f>IFERROR(IF(R196=0,"",(S196/VLOOKUP(_xlfn.NUMBERVALUE(_xlfn.CONCAT(LEFT(F196,4),52)),$F$2:U403,COLUMNS($F$2:U403),FALSE))),"")</f>
        <v/>
      </c>
      <c r="AB196" s="268" t="str">
        <f t="shared" si="80"/>
        <v/>
      </c>
      <c r="AC196" s="450" t="str">
        <f t="shared" si="81"/>
        <v/>
      </c>
      <c r="AD196" s="450" t="str">
        <f t="shared" si="82"/>
        <v/>
      </c>
      <c r="AE196" s="269" t="str">
        <f t="shared" si="83"/>
        <v/>
      </c>
      <c r="AF196" s="268" t="str">
        <f t="shared" si="84"/>
        <v/>
      </c>
      <c r="AG196" s="450" t="str">
        <f t="shared" si="85"/>
        <v/>
      </c>
      <c r="AH196" s="450" t="str">
        <f t="shared" si="86"/>
        <v/>
      </c>
      <c r="AI196" s="269" t="str">
        <f t="shared" si="87"/>
        <v/>
      </c>
      <c r="AJ196" s="450" t="str">
        <f>IF(O196=0,"-",SUMIFS($O$2:O196,$A$2:A196,$A196,$F$2:F196,"&lt;="&amp;$F196)/SUMIFS($G$2:G196,$A$2:A196,$A196,$F$2:F196,"&lt;="&amp;$F196)-1)</f>
        <v>-</v>
      </c>
      <c r="AK196" s="450" t="str">
        <f>IF(P196=0,"-",SUMIFS($P$2:P196,$A$2:A196,$A196,$F$2:F196,"&lt;="&amp;$F196)/SUMIFS($H$2:H196,$A$2:A196,$A196,$F$2:F196,"&lt;="&amp;$F196)-1)</f>
        <v>-</v>
      </c>
      <c r="AL196" s="450" t="str">
        <f>IF(Q196=0,"-",SUMIFS($Q$2:Q196,$A$2:A196,$A196,$F$2:F196,"&lt;="&amp;$F196)/SUMIFS($I$2:I196,$A$2:A196,$A196,$F$2:F196,"&lt;="&amp;$F196)-1)</f>
        <v>-</v>
      </c>
      <c r="AM196" s="450" t="str">
        <f>IFERROR(IF(O196=0,"-",SUMIFS($O$2:O196,$A$2:A196,$A196,$F$2:F196,"&lt;="&amp;$F196)/SUMIFS($K$2:K196,$A$2:A196,$A196,$F$2:F196,"&lt;="&amp;$F196)-1),"")</f>
        <v>-</v>
      </c>
      <c r="AN196" s="450" t="str">
        <f>IFERROR(IF(P196=0,"-",SUMIFS($P$2:P196,$A$2:A196,$A196,$F$2:F196,"&lt;="&amp;$F196)/SUMIFS($L$2:L196,$A$2:A196,$A196,$F$2:F196,"&lt;="&amp;$F196)-1),"")</f>
        <v>-</v>
      </c>
      <c r="AO196" s="450" t="str">
        <f>IFERROR(IF(Q196=0,"-",SUMIFS($Q$2:Q196,$A$2:A196,$A196,$F$2:F196,"&lt;="&amp;$F196)/SUMIFS($M$2:M196,$A$2:A196,$A196,$F$2:F196,"&lt;="&amp;$F196)-1),"")</f>
        <v>-</v>
      </c>
      <c r="AP196" s="134"/>
      <c r="AQ196" s="452" t="str">
        <f>'Overall Metrics'!AO201</f>
        <v/>
      </c>
      <c r="AR196" s="450" t="str">
        <f t="shared" si="88"/>
        <v/>
      </c>
      <c r="AS196" s="453" t="str">
        <f>IFERROR(IF(R197=0,"-",AVERAGEIFS($AQ$2:AQ196,$A$2:A196,$A196,$F$2:F196,"&lt;="&amp;$F196)-AVERAGEIFS($AP$2:AP196,$A$2:A196,$A196,$F$2:F196,"&lt;="&amp;$F196)),"")</f>
        <v>-</v>
      </c>
      <c r="AT196" s="390" t="str">
        <f>IFERROR(IF(R197=0,"-",AVERAGEIFS($AQ$2:AQ196,$A$2:A196,A196,$C$2:C196,C196)-AVERAGEIFS($AP$2:AP196,$A$2:A196,A196,$C$2:C196,C196)),"")</f>
        <v>-</v>
      </c>
      <c r="AU196" s="451"/>
      <c r="AV196" s="452">
        <f>'Overall Metrics'!AS201</f>
        <v>0</v>
      </c>
      <c r="AW196" s="450" t="str">
        <f t="shared" si="89"/>
        <v/>
      </c>
      <c r="AX196" s="453" t="str">
        <f>IFERROR(IF(R200=0,"-",AVERAGEIFS($AV$2:AV196,$A$2:A196,$A196,$F$2:F196,"&lt;="&amp;$F196)-AVERAGEIFS($AU$2:AU196,$A$2:A196,$A196,$F$2:F196,"&lt;="&amp;$F196)),"")</f>
        <v>-</v>
      </c>
      <c r="AY196" s="453" t="str">
        <f>IFERROR(IF(R200=0,"-",AVERAGEIFS($AV$2:AV196,$A$2:A196,A196,$C$2:C196,C196)-AVERAGEIFS($AU$2:AU196,$A$2:A196,A196,$C$2:C196,C196)),"")</f>
        <v>-</v>
      </c>
      <c r="AZ196" s="103"/>
      <c r="BA196" s="449">
        <f>'Glass Metrics'!AC201</f>
        <v>0</v>
      </c>
      <c r="BB196" s="450" t="str">
        <f t="shared" si="90"/>
        <v/>
      </c>
      <c r="BC196" s="450" t="str">
        <f>IFERROR(IF(R196=0,"-",AVERAGEIFS($BA$2:BA196,$A$2:A196,$A196,$F$2:F196,"&lt;="&amp;$F196)/AVERAGEIFS($AZ$2:AZ196,$A$2:A196,$A196,$F$2:F196,"&lt;="&amp;$F196)-1),"")</f>
        <v>-</v>
      </c>
      <c r="BD196" s="269" t="str">
        <f>IFERROR(IF(R196=0,"-",AVERAGEIFS($BA$2:BA196,$A$2:A196,A196,$C$2:C196,C196)/AVERAGEIFS($AZ$2:AZ196,$A$2:A196,A196,$C$2:C196,C196)-1),"")</f>
        <v>-</v>
      </c>
    </row>
    <row r="197" spans="1:56" ht="16.350000000000001" customHeight="1">
      <c r="A197" s="175">
        <f t="shared" si="69"/>
        <v>2024</v>
      </c>
      <c r="B197" s="447" t="str">
        <f t="shared" si="70"/>
        <v>40</v>
      </c>
      <c r="C197" s="447" t="str">
        <f t="array" ref="C197">_xlfn.IFS(_xlfn.NUMBERVALUE(B197)&lt;=13,"Q1",AND(_xlfn.NUMBERVALUE(B197)&gt;13,_xlfn.NUMBERVALUE(B197)&lt;=26),"Q2", AND(_xlfn.NUMBERVALUE(B197)&gt;26,_xlfn.NUMBERVALUE(B197)&lt;=39),"Q3",_xlfn.NUMBERVALUE(B197)&gt;39,"Q4")</f>
        <v>Q4</v>
      </c>
      <c r="D197" s="448">
        <f t="shared" si="91"/>
        <v>45227</v>
      </c>
      <c r="E197" s="448">
        <f t="shared" si="71"/>
        <v>45233</v>
      </c>
      <c r="F197" s="79">
        <v>202340</v>
      </c>
      <c r="G197" s="103"/>
      <c r="H197" s="429"/>
      <c r="I197" s="429"/>
      <c r="J197" s="214">
        <f t="shared" si="72"/>
        <v>0</v>
      </c>
      <c r="K197" s="429"/>
      <c r="L197" s="429"/>
      <c r="M197" s="429"/>
      <c r="N197" s="214">
        <f t="shared" si="73"/>
        <v>0</v>
      </c>
      <c r="O197" s="449">
        <f>'Overall Metrics'!L202</f>
        <v>0</v>
      </c>
      <c r="P197" s="449">
        <f>'Overall Metrics'!M202</f>
        <v>0</v>
      </c>
      <c r="Q197" s="449">
        <f>'Overall Metrics'!N202</f>
        <v>0</v>
      </c>
      <c r="R197" s="449">
        <f t="shared" si="74"/>
        <v>0</v>
      </c>
      <c r="S197" s="180">
        <f t="shared" si="75"/>
        <v>0</v>
      </c>
      <c r="T197" s="449">
        <f t="shared" si="76"/>
        <v>0</v>
      </c>
      <c r="U197" s="449">
        <f t="shared" si="77"/>
        <v>0</v>
      </c>
      <c r="V197" s="450" t="str">
        <f t="shared" si="78"/>
        <v/>
      </c>
      <c r="W197" s="450" t="str">
        <f>IF(R197=0,"-",SUMIFS($R$2:R197,$A$2:A197,A197,$C$2:C197,C197)/SUMIFS($J$2:J197,$A$2:A197,A197,$C$2:C197,C197)-1)</f>
        <v>-</v>
      </c>
      <c r="X197" s="450" t="str">
        <f t="shared" si="79"/>
        <v/>
      </c>
      <c r="Y197" s="450" t="str">
        <f>IFERROR(IF(R197=0,"-",SUMIFS($R$2:R197,$A$2:A197,A197,$C$2:C197,C197)/SUMIFS($N$2:N197,$A$2:A197,A197,$C$2:C197,C197)-1),"")</f>
        <v>-</v>
      </c>
      <c r="Z197" s="269" t="str">
        <f>IF(R197=0,"",(S197/VLOOKUP(_xlfn.NUMBERVALUE(_xlfn.CONCAT(LEFT(F197,4),52)),$F$2:T404,COLUMNS($F$2:T404),FALSE)))</f>
        <v/>
      </c>
      <c r="AA197" s="269" t="str">
        <f>IFERROR(IF(R197=0,"",(S197/VLOOKUP(_xlfn.NUMBERVALUE(_xlfn.CONCAT(LEFT(F197,4),52)),$F$2:U404,COLUMNS($F$2:U404),FALSE))),"")</f>
        <v/>
      </c>
      <c r="AB197" s="268" t="str">
        <f t="shared" si="80"/>
        <v/>
      </c>
      <c r="AC197" s="450" t="str">
        <f t="shared" si="81"/>
        <v/>
      </c>
      <c r="AD197" s="450" t="str">
        <f t="shared" si="82"/>
        <v/>
      </c>
      <c r="AE197" s="269" t="str">
        <f t="shared" si="83"/>
        <v/>
      </c>
      <c r="AF197" s="268" t="str">
        <f t="shared" si="84"/>
        <v/>
      </c>
      <c r="AG197" s="450" t="str">
        <f t="shared" si="85"/>
        <v/>
      </c>
      <c r="AH197" s="450" t="str">
        <f t="shared" si="86"/>
        <v/>
      </c>
      <c r="AI197" s="269" t="str">
        <f t="shared" si="87"/>
        <v/>
      </c>
      <c r="AJ197" s="450" t="str">
        <f>IF(O197=0,"-",SUMIFS($O$2:O197,$A$2:A197,$A197,$F$2:F197,"&lt;="&amp;$F197)/SUMIFS($G$2:G197,$A$2:A197,$A197,$F$2:F197,"&lt;="&amp;$F197)-1)</f>
        <v>-</v>
      </c>
      <c r="AK197" s="450" t="str">
        <f>IF(P197=0,"-",SUMIFS($P$2:P197,$A$2:A197,$A197,$F$2:F197,"&lt;="&amp;$F197)/SUMIFS($H$2:H197,$A$2:A197,$A197,$F$2:F197,"&lt;="&amp;$F197)-1)</f>
        <v>-</v>
      </c>
      <c r="AL197" s="450" t="str">
        <f>IF(Q197=0,"-",SUMIFS($Q$2:Q197,$A$2:A197,$A197,$F$2:F197,"&lt;="&amp;$F197)/SUMIFS($I$2:I197,$A$2:A197,$A197,$F$2:F197,"&lt;="&amp;$F197)-1)</f>
        <v>-</v>
      </c>
      <c r="AM197" s="450" t="str">
        <f>IFERROR(IF(O197=0,"-",SUMIFS($O$2:O197,$A$2:A197,$A197,$F$2:F197,"&lt;="&amp;$F197)/SUMIFS($K$2:K197,$A$2:A197,$A197,$F$2:F197,"&lt;="&amp;$F197)-1),"")</f>
        <v>-</v>
      </c>
      <c r="AN197" s="450" t="str">
        <f>IFERROR(IF(P197=0,"-",SUMIFS($P$2:P197,$A$2:A197,$A197,$F$2:F197,"&lt;="&amp;$F197)/SUMIFS($L$2:L197,$A$2:A197,$A197,$F$2:F197,"&lt;="&amp;$F197)-1),"")</f>
        <v>-</v>
      </c>
      <c r="AO197" s="450" t="str">
        <f>IFERROR(IF(Q197=0,"-",SUMIFS($Q$2:Q197,$A$2:A197,$A197,$F$2:F197,"&lt;="&amp;$F197)/SUMIFS($M$2:M197,$A$2:A197,$A197,$F$2:F197,"&lt;="&amp;$F197)-1),"")</f>
        <v>-</v>
      </c>
      <c r="AP197" s="134"/>
      <c r="AQ197" s="452" t="str">
        <f>'Overall Metrics'!AO202</f>
        <v/>
      </c>
      <c r="AR197" s="450" t="str">
        <f t="shared" si="88"/>
        <v/>
      </c>
      <c r="AS197" s="453" t="str">
        <f>IFERROR(IF(R198=0,"-",AVERAGEIFS($AQ$2:AQ197,$A$2:A197,$A197,$F$2:F197,"&lt;="&amp;$F197)-AVERAGEIFS($AP$2:AP197,$A$2:A197,$A197,$F$2:F197,"&lt;="&amp;$F197)),"")</f>
        <v>-</v>
      </c>
      <c r="AT197" s="390" t="str">
        <f>IFERROR(IF(R198=0,"-",AVERAGEIFS($AQ$2:AQ197,$A$2:A197,A197,$C$2:C197,C197)-AVERAGEIFS($AP$2:AP197,$A$2:A197,A197,$C$2:C197,C197)),"")</f>
        <v>-</v>
      </c>
      <c r="AU197" s="451"/>
      <c r="AV197" s="452">
        <f>'Overall Metrics'!AS202</f>
        <v>0</v>
      </c>
      <c r="AW197" s="450" t="str">
        <f t="shared" si="89"/>
        <v/>
      </c>
      <c r="AX197" s="453" t="str">
        <f>IFERROR(IF(R201=0,"-",AVERAGEIFS($AV$2:AV197,$A$2:A197,$A197,$F$2:F197,"&lt;="&amp;$F197)-AVERAGEIFS($AU$2:AU197,$A$2:A197,$A197,$F$2:F197,"&lt;="&amp;$F197)),"")</f>
        <v>-</v>
      </c>
      <c r="AY197" s="453" t="str">
        <f>IFERROR(IF(R201=0,"-",AVERAGEIFS($AV$2:AV197,$A$2:A197,A197,$C$2:C197,C197)-AVERAGEIFS($AU$2:AU197,$A$2:A197,A197,$C$2:C197,C197)),"")</f>
        <v>-</v>
      </c>
      <c r="AZ197" s="103"/>
      <c r="BA197" s="449">
        <f>'Glass Metrics'!AC202</f>
        <v>0</v>
      </c>
      <c r="BB197" s="450" t="str">
        <f t="shared" si="90"/>
        <v/>
      </c>
      <c r="BC197" s="450" t="str">
        <f>IFERROR(IF(R197=0,"-",AVERAGEIFS($BA$2:BA197,$A$2:A197,$A197,$F$2:F197,"&lt;="&amp;$F197)/AVERAGEIFS($AZ$2:AZ197,$A$2:A197,$A197,$F$2:F197,"&lt;="&amp;$F197)-1),"")</f>
        <v>-</v>
      </c>
      <c r="BD197" s="269" t="str">
        <f>IFERROR(IF(R197=0,"-",AVERAGEIFS($BA$2:BA197,$A$2:A197,A197,$C$2:C197,C197)/AVERAGEIFS($AZ$2:AZ197,$A$2:A197,A197,$C$2:C197,C197)-1),"")</f>
        <v>-</v>
      </c>
    </row>
    <row r="198" spans="1:56" ht="16.350000000000001" customHeight="1">
      <c r="A198" s="175">
        <f t="shared" si="69"/>
        <v>2024</v>
      </c>
      <c r="B198" s="447" t="str">
        <f t="shared" si="70"/>
        <v>41</v>
      </c>
      <c r="C198" s="447" t="str">
        <f t="array" ref="C198">_xlfn.IFS(_xlfn.NUMBERVALUE(B198)&lt;=13,"Q1",AND(_xlfn.NUMBERVALUE(B198)&gt;13,_xlfn.NUMBERVALUE(B198)&lt;=26),"Q2", AND(_xlfn.NUMBERVALUE(B198)&gt;26,_xlfn.NUMBERVALUE(B198)&lt;=39),"Q3",_xlfn.NUMBERVALUE(B198)&gt;39,"Q4")</f>
        <v>Q4</v>
      </c>
      <c r="D198" s="448">
        <f t="shared" si="91"/>
        <v>45234</v>
      </c>
      <c r="E198" s="448">
        <f t="shared" si="71"/>
        <v>45240</v>
      </c>
      <c r="F198" s="79">
        <v>202341</v>
      </c>
      <c r="G198" s="103"/>
      <c r="H198" s="429"/>
      <c r="I198" s="429"/>
      <c r="J198" s="214">
        <f t="shared" si="72"/>
        <v>0</v>
      </c>
      <c r="K198" s="429"/>
      <c r="L198" s="429"/>
      <c r="M198" s="429"/>
      <c r="N198" s="214">
        <f t="shared" si="73"/>
        <v>0</v>
      </c>
      <c r="O198" s="449">
        <f>'Overall Metrics'!L203</f>
        <v>0</v>
      </c>
      <c r="P198" s="449">
        <f>'Overall Metrics'!M203</f>
        <v>0</v>
      </c>
      <c r="Q198" s="449">
        <f>'Overall Metrics'!N203</f>
        <v>0</v>
      </c>
      <c r="R198" s="449">
        <f t="shared" si="74"/>
        <v>0</v>
      </c>
      <c r="S198" s="180">
        <f t="shared" si="75"/>
        <v>0</v>
      </c>
      <c r="T198" s="449">
        <f t="shared" si="76"/>
        <v>0</v>
      </c>
      <c r="U198" s="449">
        <f t="shared" si="77"/>
        <v>0</v>
      </c>
      <c r="V198" s="450" t="str">
        <f t="shared" si="78"/>
        <v/>
      </c>
      <c r="W198" s="450" t="str">
        <f>IF(R198=0,"-",SUMIFS($R$2:R198,$A$2:A198,A198,$C$2:C198,C198)/SUMIFS($J$2:J198,$A$2:A198,A198,$C$2:C198,C198)-1)</f>
        <v>-</v>
      </c>
      <c r="X198" s="450" t="str">
        <f t="shared" si="79"/>
        <v/>
      </c>
      <c r="Y198" s="450" t="str">
        <f>IFERROR(IF(R198=0,"-",SUMIFS($R$2:R198,$A$2:A198,A198,$C$2:C198,C198)/SUMIFS($N$2:N198,$A$2:A198,A198,$C$2:C198,C198)-1),"")</f>
        <v>-</v>
      </c>
      <c r="Z198" s="269" t="str">
        <f>IF(R198=0,"",(S198/VLOOKUP(_xlfn.NUMBERVALUE(_xlfn.CONCAT(LEFT(F198,4),52)),$F$2:T405,COLUMNS($F$2:T405),FALSE)))</f>
        <v/>
      </c>
      <c r="AA198" s="269" t="str">
        <f>IFERROR(IF(R198=0,"",(S198/VLOOKUP(_xlfn.NUMBERVALUE(_xlfn.CONCAT(LEFT(F198,4),52)),$F$2:U405,COLUMNS($F$2:U405),FALSE))),"")</f>
        <v/>
      </c>
      <c r="AB198" s="268" t="str">
        <f t="shared" si="80"/>
        <v/>
      </c>
      <c r="AC198" s="450" t="str">
        <f t="shared" si="81"/>
        <v/>
      </c>
      <c r="AD198" s="450" t="str">
        <f t="shared" si="82"/>
        <v/>
      </c>
      <c r="AE198" s="269" t="str">
        <f t="shared" si="83"/>
        <v/>
      </c>
      <c r="AF198" s="268" t="str">
        <f t="shared" si="84"/>
        <v/>
      </c>
      <c r="AG198" s="450" t="str">
        <f t="shared" si="85"/>
        <v/>
      </c>
      <c r="AH198" s="450" t="str">
        <f t="shared" si="86"/>
        <v/>
      </c>
      <c r="AI198" s="269" t="str">
        <f t="shared" si="87"/>
        <v/>
      </c>
      <c r="AJ198" s="450" t="str">
        <f>IF(O198=0,"-",SUMIFS($O$2:O198,$A$2:A198,$A198,$F$2:F198,"&lt;="&amp;$F198)/SUMIFS($G$2:G198,$A$2:A198,$A198,$F$2:F198,"&lt;="&amp;$F198)-1)</f>
        <v>-</v>
      </c>
      <c r="AK198" s="450" t="str">
        <f>IF(P198=0,"-",SUMIFS($P$2:P198,$A$2:A198,$A198,$F$2:F198,"&lt;="&amp;$F198)/SUMIFS($H$2:H198,$A$2:A198,$A198,$F$2:F198,"&lt;="&amp;$F198)-1)</f>
        <v>-</v>
      </c>
      <c r="AL198" s="450" t="str">
        <f>IF(Q198=0,"-",SUMIFS($Q$2:Q198,$A$2:A198,$A198,$F$2:F198,"&lt;="&amp;$F198)/SUMIFS($I$2:I198,$A$2:A198,$A198,$F$2:F198,"&lt;="&amp;$F198)-1)</f>
        <v>-</v>
      </c>
      <c r="AM198" s="450" t="str">
        <f>IFERROR(IF(O198=0,"-",SUMIFS($O$2:O198,$A$2:A198,$A198,$F$2:F198,"&lt;="&amp;$F198)/SUMIFS($K$2:K198,$A$2:A198,$A198,$F$2:F198,"&lt;="&amp;$F198)-1),"")</f>
        <v>-</v>
      </c>
      <c r="AN198" s="450" t="str">
        <f>IFERROR(IF(P198=0,"-",SUMIFS($P$2:P198,$A$2:A198,$A198,$F$2:F198,"&lt;="&amp;$F198)/SUMIFS($L$2:L198,$A$2:A198,$A198,$F$2:F198,"&lt;="&amp;$F198)-1),"")</f>
        <v>-</v>
      </c>
      <c r="AO198" s="450" t="str">
        <f>IFERROR(IF(Q198=0,"-",SUMIFS($Q$2:Q198,$A$2:A198,$A198,$F$2:F198,"&lt;="&amp;$F198)/SUMIFS($M$2:M198,$A$2:A198,$A198,$F$2:F198,"&lt;="&amp;$F198)-1),"")</f>
        <v>-</v>
      </c>
      <c r="AP198" s="134"/>
      <c r="AQ198" s="452" t="str">
        <f>'Overall Metrics'!AO203</f>
        <v/>
      </c>
      <c r="AR198" s="450" t="str">
        <f t="shared" si="88"/>
        <v/>
      </c>
      <c r="AS198" s="453" t="str">
        <f>IFERROR(IF(R199=0,"-",AVERAGEIFS($AQ$2:AQ198,$A$2:A198,$A198,$F$2:F198,"&lt;="&amp;$F198)-AVERAGEIFS($AP$2:AP198,$A$2:A198,$A198,$F$2:F198,"&lt;="&amp;$F198)),"")</f>
        <v>-</v>
      </c>
      <c r="AT198" s="390" t="str">
        <f>IFERROR(IF(R199=0,"-",AVERAGEIFS($AQ$2:AQ198,$A$2:A198,A198,$C$2:C198,C198)-AVERAGEIFS($AP$2:AP198,$A$2:A198,A198,$C$2:C198,C198)),"")</f>
        <v>-</v>
      </c>
      <c r="AU198" s="451"/>
      <c r="AV198" s="452">
        <f>'Overall Metrics'!AS203</f>
        <v>0</v>
      </c>
      <c r="AW198" s="450" t="str">
        <f t="shared" si="89"/>
        <v/>
      </c>
      <c r="AX198" s="453" t="str">
        <f>IFERROR(IF(R202=0,"-",AVERAGEIFS($AV$2:AV198,$A$2:A198,$A198,$F$2:F198,"&lt;="&amp;$F198)-AVERAGEIFS($AU$2:AU198,$A$2:A198,$A198,$F$2:F198,"&lt;="&amp;$F198)),"")</f>
        <v>-</v>
      </c>
      <c r="AY198" s="453" t="str">
        <f>IFERROR(IF(R202=0,"-",AVERAGEIFS($AV$2:AV198,$A$2:A198,A198,$C$2:C198,C198)-AVERAGEIFS($AU$2:AU198,$A$2:A198,A198,$C$2:C198,C198)),"")</f>
        <v>-</v>
      </c>
      <c r="AZ198" s="103"/>
      <c r="BA198" s="449">
        <f>'Glass Metrics'!AC203</f>
        <v>0</v>
      </c>
      <c r="BB198" s="450" t="str">
        <f t="shared" si="90"/>
        <v/>
      </c>
      <c r="BC198" s="450" t="str">
        <f>IFERROR(IF(R198=0,"-",AVERAGEIFS($BA$2:BA198,$A$2:A198,$A198,$F$2:F198,"&lt;="&amp;$F198)/AVERAGEIFS($AZ$2:AZ198,$A$2:A198,$A198,$F$2:F198,"&lt;="&amp;$F198)-1),"")</f>
        <v>-</v>
      </c>
      <c r="BD198" s="269" t="str">
        <f>IFERROR(IF(R198=0,"-",AVERAGEIFS($BA$2:BA198,$A$2:A198,A198,$C$2:C198,C198)/AVERAGEIFS($AZ$2:AZ198,$A$2:A198,A198,$C$2:C198,C198)-1),"")</f>
        <v>-</v>
      </c>
    </row>
    <row r="199" spans="1:56" ht="16.350000000000001" customHeight="1">
      <c r="A199" s="175">
        <f t="shared" si="69"/>
        <v>2024</v>
      </c>
      <c r="B199" s="447" t="str">
        <f t="shared" si="70"/>
        <v>42</v>
      </c>
      <c r="C199" s="447" t="str">
        <f t="array" ref="C199">_xlfn.IFS(_xlfn.NUMBERVALUE(B199)&lt;=13,"Q1",AND(_xlfn.NUMBERVALUE(B199)&gt;13,_xlfn.NUMBERVALUE(B199)&lt;=26),"Q2", AND(_xlfn.NUMBERVALUE(B199)&gt;26,_xlfn.NUMBERVALUE(B199)&lt;=39),"Q3",_xlfn.NUMBERVALUE(B199)&gt;39,"Q4")</f>
        <v>Q4</v>
      </c>
      <c r="D199" s="448">
        <f t="shared" si="91"/>
        <v>45241</v>
      </c>
      <c r="E199" s="448">
        <f t="shared" si="71"/>
        <v>45247</v>
      </c>
      <c r="F199" s="79">
        <v>202342</v>
      </c>
      <c r="G199" s="103"/>
      <c r="H199" s="429"/>
      <c r="I199" s="429"/>
      <c r="J199" s="214">
        <f t="shared" si="72"/>
        <v>0</v>
      </c>
      <c r="K199" s="429"/>
      <c r="L199" s="429"/>
      <c r="M199" s="429"/>
      <c r="N199" s="214">
        <f t="shared" si="73"/>
        <v>0</v>
      </c>
      <c r="O199" s="449">
        <f>'Overall Metrics'!L204</f>
        <v>0</v>
      </c>
      <c r="P199" s="449">
        <f>'Overall Metrics'!M204</f>
        <v>0</v>
      </c>
      <c r="Q199" s="449">
        <f>'Overall Metrics'!N204</f>
        <v>0</v>
      </c>
      <c r="R199" s="449">
        <f t="shared" si="74"/>
        <v>0</v>
      </c>
      <c r="S199" s="180">
        <f t="shared" si="75"/>
        <v>0</v>
      </c>
      <c r="T199" s="449">
        <f t="shared" si="76"/>
        <v>0</v>
      </c>
      <c r="U199" s="449">
        <f t="shared" si="77"/>
        <v>0</v>
      </c>
      <c r="V199" s="450" t="str">
        <f t="shared" si="78"/>
        <v/>
      </c>
      <c r="W199" s="450" t="str">
        <f>IF(R199=0,"-",SUMIFS($R$2:R199,$A$2:A199,A199,$C$2:C199,C199)/SUMIFS($J$2:J199,$A$2:A199,A199,$C$2:C199,C199)-1)</f>
        <v>-</v>
      </c>
      <c r="X199" s="450" t="str">
        <f t="shared" si="79"/>
        <v/>
      </c>
      <c r="Y199" s="450" t="str">
        <f>IFERROR(IF(R199=0,"-",SUMIFS($R$2:R199,$A$2:A199,A199,$C$2:C199,C199)/SUMIFS($N$2:N199,$A$2:A199,A199,$C$2:C199,C199)-1),"")</f>
        <v>-</v>
      </c>
      <c r="Z199" s="269" t="str">
        <f>IF(R199=0,"",(S199/VLOOKUP(_xlfn.NUMBERVALUE(_xlfn.CONCAT(LEFT(F199,4),52)),$F$2:T406,COLUMNS($F$2:T406),FALSE)))</f>
        <v/>
      </c>
      <c r="AA199" s="269" t="str">
        <f>IFERROR(IF(R199=0,"",(S199/VLOOKUP(_xlfn.NUMBERVALUE(_xlfn.CONCAT(LEFT(F199,4),52)),$F$2:U406,COLUMNS($F$2:U406),FALSE))),"")</f>
        <v/>
      </c>
      <c r="AB199" s="268" t="str">
        <f t="shared" si="80"/>
        <v/>
      </c>
      <c r="AC199" s="450" t="str">
        <f t="shared" si="81"/>
        <v/>
      </c>
      <c r="AD199" s="450" t="str">
        <f t="shared" si="82"/>
        <v/>
      </c>
      <c r="AE199" s="269" t="str">
        <f t="shared" si="83"/>
        <v/>
      </c>
      <c r="AF199" s="268" t="str">
        <f t="shared" si="84"/>
        <v/>
      </c>
      <c r="AG199" s="450" t="str">
        <f t="shared" si="85"/>
        <v/>
      </c>
      <c r="AH199" s="450" t="str">
        <f t="shared" si="86"/>
        <v/>
      </c>
      <c r="AI199" s="269" t="str">
        <f t="shared" si="87"/>
        <v/>
      </c>
      <c r="AJ199" s="450" t="str">
        <f>IF(O199=0,"-",SUMIFS($O$2:O199,$A$2:A199,$A199,$F$2:F199,"&lt;="&amp;$F199)/SUMIFS($G$2:G199,$A$2:A199,$A199,$F$2:F199,"&lt;="&amp;$F199)-1)</f>
        <v>-</v>
      </c>
      <c r="AK199" s="450" t="str">
        <f>IF(P199=0,"-",SUMIFS($P$2:P199,$A$2:A199,$A199,$F$2:F199,"&lt;="&amp;$F199)/SUMIFS($H$2:H199,$A$2:A199,$A199,$F$2:F199,"&lt;="&amp;$F199)-1)</f>
        <v>-</v>
      </c>
      <c r="AL199" s="450" t="str">
        <f>IF(Q199=0,"-",SUMIFS($Q$2:Q199,$A$2:A199,$A199,$F$2:F199,"&lt;="&amp;$F199)/SUMIFS($I$2:I199,$A$2:A199,$A199,$F$2:F199,"&lt;="&amp;$F199)-1)</f>
        <v>-</v>
      </c>
      <c r="AM199" s="450" t="str">
        <f>IFERROR(IF(O199=0,"-",SUMIFS($O$2:O199,$A$2:A199,$A199,$F$2:F199,"&lt;="&amp;$F199)/SUMIFS($K$2:K199,$A$2:A199,$A199,$F$2:F199,"&lt;="&amp;$F199)-1),"")</f>
        <v>-</v>
      </c>
      <c r="AN199" s="450" t="str">
        <f>IFERROR(IF(P199=0,"-",SUMIFS($P$2:P199,$A$2:A199,$A199,$F$2:F199,"&lt;="&amp;$F199)/SUMIFS($L$2:L199,$A$2:A199,$A199,$F$2:F199,"&lt;="&amp;$F199)-1),"")</f>
        <v>-</v>
      </c>
      <c r="AO199" s="450" t="str">
        <f>IFERROR(IF(Q199=0,"-",SUMIFS($Q$2:Q199,$A$2:A199,$A199,$F$2:F199,"&lt;="&amp;$F199)/SUMIFS($M$2:M199,$A$2:A199,$A199,$F$2:F199,"&lt;="&amp;$F199)-1),"")</f>
        <v>-</v>
      </c>
      <c r="AP199" s="134"/>
      <c r="AQ199" s="452" t="str">
        <f>'Overall Metrics'!AO204</f>
        <v/>
      </c>
      <c r="AR199" s="450" t="str">
        <f t="shared" si="88"/>
        <v/>
      </c>
      <c r="AS199" s="453" t="str">
        <f>IFERROR(IF(R200=0,"-",AVERAGEIFS($AQ$2:AQ199,$A$2:A199,$A199,$F$2:F199,"&lt;="&amp;$F199)-AVERAGEIFS($AP$2:AP199,$A$2:A199,$A199,$F$2:F199,"&lt;="&amp;$F199)),"")</f>
        <v>-</v>
      </c>
      <c r="AT199" s="390" t="str">
        <f>IFERROR(IF(R200=0,"-",AVERAGEIFS($AQ$2:AQ199,$A$2:A199,A199,$C$2:C199,C199)-AVERAGEIFS($AP$2:AP199,$A$2:A199,A199,$C$2:C199,C199)),"")</f>
        <v>-</v>
      </c>
      <c r="AU199" s="451"/>
      <c r="AV199" s="452">
        <f>'Overall Metrics'!AS204</f>
        <v>0</v>
      </c>
      <c r="AW199" s="450" t="str">
        <f t="shared" si="89"/>
        <v/>
      </c>
      <c r="AX199" s="453" t="str">
        <f>IFERROR(IF(R203=0,"-",AVERAGEIFS($AV$2:AV199,$A$2:A199,$A199,$F$2:F199,"&lt;="&amp;$F199)-AVERAGEIFS($AU$2:AU199,$A$2:A199,$A199,$F$2:F199,"&lt;="&amp;$F199)),"")</f>
        <v>-</v>
      </c>
      <c r="AY199" s="453" t="str">
        <f>IFERROR(IF(R203=0,"-",AVERAGEIFS($AV$2:AV199,$A$2:A199,A199,$C$2:C199,C199)-AVERAGEIFS($AU$2:AU199,$A$2:A199,A199,$C$2:C199,C199)),"")</f>
        <v>-</v>
      </c>
      <c r="AZ199" s="103"/>
      <c r="BA199" s="449">
        <f>'Glass Metrics'!AC204</f>
        <v>0</v>
      </c>
      <c r="BB199" s="450" t="str">
        <f t="shared" si="90"/>
        <v/>
      </c>
      <c r="BC199" s="450" t="str">
        <f>IFERROR(IF(R199=0,"-",AVERAGEIFS($BA$2:BA199,$A$2:A199,$A199,$F$2:F199,"&lt;="&amp;$F199)/AVERAGEIFS($AZ$2:AZ199,$A$2:A199,$A199,$F$2:F199,"&lt;="&amp;$F199)-1),"")</f>
        <v>-</v>
      </c>
      <c r="BD199" s="269" t="str">
        <f>IFERROR(IF(R199=0,"-",AVERAGEIFS($BA$2:BA199,$A$2:A199,A199,$C$2:C199,C199)/AVERAGEIFS($AZ$2:AZ199,$A$2:A199,A199,$C$2:C199,C199)-1),"")</f>
        <v>-</v>
      </c>
    </row>
    <row r="200" spans="1:56" ht="16.350000000000001" customHeight="1">
      <c r="A200" s="175">
        <f t="shared" si="69"/>
        <v>2024</v>
      </c>
      <c r="B200" s="447" t="str">
        <f t="shared" si="70"/>
        <v>43</v>
      </c>
      <c r="C200" s="447" t="str">
        <f t="array" ref="C200">_xlfn.IFS(_xlfn.NUMBERVALUE(B200)&lt;=13,"Q1",AND(_xlfn.NUMBERVALUE(B200)&gt;13,_xlfn.NUMBERVALUE(B200)&lt;=26),"Q2", AND(_xlfn.NUMBERVALUE(B200)&gt;26,_xlfn.NUMBERVALUE(B200)&lt;=39),"Q3",_xlfn.NUMBERVALUE(B200)&gt;39,"Q4")</f>
        <v>Q4</v>
      </c>
      <c r="D200" s="448">
        <f t="shared" si="91"/>
        <v>45248</v>
      </c>
      <c r="E200" s="448">
        <f t="shared" si="71"/>
        <v>45254</v>
      </c>
      <c r="F200" s="79">
        <v>202343</v>
      </c>
      <c r="G200" s="103"/>
      <c r="H200" s="429"/>
      <c r="I200" s="429"/>
      <c r="J200" s="214">
        <f t="shared" si="72"/>
        <v>0</v>
      </c>
      <c r="K200" s="429"/>
      <c r="L200" s="429"/>
      <c r="M200" s="429"/>
      <c r="N200" s="214">
        <f t="shared" si="73"/>
        <v>0</v>
      </c>
      <c r="O200" s="449">
        <f>'Overall Metrics'!L205</f>
        <v>0</v>
      </c>
      <c r="P200" s="449">
        <f>'Overall Metrics'!M205</f>
        <v>0</v>
      </c>
      <c r="Q200" s="449">
        <f>'Overall Metrics'!N205</f>
        <v>0</v>
      </c>
      <c r="R200" s="449">
        <f t="shared" si="74"/>
        <v>0</v>
      </c>
      <c r="S200" s="180">
        <f t="shared" si="75"/>
        <v>0</v>
      </c>
      <c r="T200" s="449">
        <f t="shared" si="76"/>
        <v>0</v>
      </c>
      <c r="U200" s="449">
        <f t="shared" si="77"/>
        <v>0</v>
      </c>
      <c r="V200" s="450" t="str">
        <f t="shared" si="78"/>
        <v/>
      </c>
      <c r="W200" s="450" t="str">
        <f>IF(R200=0,"-",SUMIFS($R$2:R200,$A$2:A200,A200,$C$2:C200,C200)/SUMIFS($J$2:J200,$A$2:A200,A200,$C$2:C200,C200)-1)</f>
        <v>-</v>
      </c>
      <c r="X200" s="450" t="str">
        <f t="shared" si="79"/>
        <v/>
      </c>
      <c r="Y200" s="450" t="str">
        <f>IFERROR(IF(R200=0,"-",SUMIFS($R$2:R200,$A$2:A200,A200,$C$2:C200,C200)/SUMIFS($N$2:N200,$A$2:A200,A200,$C$2:C200,C200)-1),"")</f>
        <v>-</v>
      </c>
      <c r="Z200" s="269" t="str">
        <f>IF(R200=0,"",(S200/VLOOKUP(_xlfn.NUMBERVALUE(_xlfn.CONCAT(LEFT(F200,4),52)),$F$2:T407,COLUMNS($F$2:T407),FALSE)))</f>
        <v/>
      </c>
      <c r="AA200" s="269" t="str">
        <f>IFERROR(IF(R200=0,"",(S200/VLOOKUP(_xlfn.NUMBERVALUE(_xlfn.CONCAT(LEFT(F200,4),52)),$F$2:U407,COLUMNS($F$2:U407),FALSE))),"")</f>
        <v/>
      </c>
      <c r="AB200" s="268" t="str">
        <f t="shared" si="80"/>
        <v/>
      </c>
      <c r="AC200" s="450" t="str">
        <f t="shared" si="81"/>
        <v/>
      </c>
      <c r="AD200" s="450" t="str">
        <f t="shared" si="82"/>
        <v/>
      </c>
      <c r="AE200" s="269" t="str">
        <f t="shared" si="83"/>
        <v/>
      </c>
      <c r="AF200" s="268" t="str">
        <f t="shared" si="84"/>
        <v/>
      </c>
      <c r="AG200" s="450" t="str">
        <f t="shared" si="85"/>
        <v/>
      </c>
      <c r="AH200" s="450" t="str">
        <f t="shared" si="86"/>
        <v/>
      </c>
      <c r="AI200" s="269" t="str">
        <f t="shared" si="87"/>
        <v/>
      </c>
      <c r="AJ200" s="450" t="str">
        <f>IF(O200=0,"-",SUMIFS($O$2:O200,$A$2:A200,$A200,$F$2:F200,"&lt;="&amp;$F200)/SUMIFS($G$2:G200,$A$2:A200,$A200,$F$2:F200,"&lt;="&amp;$F200)-1)</f>
        <v>-</v>
      </c>
      <c r="AK200" s="450" t="str">
        <f>IF(P200=0,"-",SUMIFS($P$2:P200,$A$2:A200,$A200,$F$2:F200,"&lt;="&amp;$F200)/SUMIFS($H$2:H200,$A$2:A200,$A200,$F$2:F200,"&lt;="&amp;$F200)-1)</f>
        <v>-</v>
      </c>
      <c r="AL200" s="450" t="str">
        <f>IF(Q200=0,"-",SUMIFS($Q$2:Q200,$A$2:A200,$A200,$F$2:F200,"&lt;="&amp;$F200)/SUMIFS($I$2:I200,$A$2:A200,$A200,$F$2:F200,"&lt;="&amp;$F200)-1)</f>
        <v>-</v>
      </c>
      <c r="AM200" s="450" t="str">
        <f>IFERROR(IF(O200=0,"-",SUMIFS($O$2:O200,$A$2:A200,$A200,$F$2:F200,"&lt;="&amp;$F200)/SUMIFS($K$2:K200,$A$2:A200,$A200,$F$2:F200,"&lt;="&amp;$F200)-1),"")</f>
        <v>-</v>
      </c>
      <c r="AN200" s="450" t="str">
        <f>IFERROR(IF(P200=0,"-",SUMIFS($P$2:P200,$A$2:A200,$A200,$F$2:F200,"&lt;="&amp;$F200)/SUMIFS($L$2:L200,$A$2:A200,$A200,$F$2:F200,"&lt;="&amp;$F200)-1),"")</f>
        <v>-</v>
      </c>
      <c r="AO200" s="450" t="str">
        <f>IFERROR(IF(Q200=0,"-",SUMIFS($Q$2:Q200,$A$2:A200,$A200,$F$2:F200,"&lt;="&amp;$F200)/SUMIFS($M$2:M200,$A$2:A200,$A200,$F$2:F200,"&lt;="&amp;$F200)-1),"")</f>
        <v>-</v>
      </c>
      <c r="AP200" s="134"/>
      <c r="AQ200" s="452" t="str">
        <f>'Overall Metrics'!AO205</f>
        <v/>
      </c>
      <c r="AR200" s="450" t="str">
        <f t="shared" si="88"/>
        <v/>
      </c>
      <c r="AS200" s="453" t="str">
        <f>IFERROR(IF(R201=0,"-",AVERAGEIFS($AQ$2:AQ200,$A$2:A200,$A200,$F$2:F200,"&lt;="&amp;$F200)-AVERAGEIFS($AP$2:AP200,$A$2:A200,$A200,$F$2:F200,"&lt;="&amp;$F200)),"")</f>
        <v>-</v>
      </c>
      <c r="AT200" s="390" t="str">
        <f>IFERROR(IF(R201=0,"-",AVERAGEIFS($AQ$2:AQ200,$A$2:A200,A200,$C$2:C200,C200)-AVERAGEIFS($AP$2:AP200,$A$2:A200,A200,$C$2:C200,C200)),"")</f>
        <v>-</v>
      </c>
      <c r="AU200" s="451"/>
      <c r="AV200" s="452">
        <f>'Overall Metrics'!AS205</f>
        <v>0</v>
      </c>
      <c r="AW200" s="450" t="str">
        <f t="shared" si="89"/>
        <v/>
      </c>
      <c r="AX200" s="453" t="str">
        <f>IFERROR(IF(R204=0,"-",AVERAGEIFS($AV$2:AV200,$A$2:A200,$A200,$F$2:F200,"&lt;="&amp;$F200)-AVERAGEIFS($AU$2:AU200,$A$2:A200,$A200,$F$2:F200,"&lt;="&amp;$F200)),"")</f>
        <v>-</v>
      </c>
      <c r="AY200" s="453" t="str">
        <f>IFERROR(IF(R204=0,"-",AVERAGEIFS($AV$2:AV200,$A$2:A200,A200,$C$2:C200,C200)-AVERAGEIFS($AU$2:AU200,$A$2:A200,A200,$C$2:C200,C200)),"")</f>
        <v>-</v>
      </c>
      <c r="AZ200" s="103"/>
      <c r="BA200" s="449">
        <f>'Glass Metrics'!AC205</f>
        <v>0</v>
      </c>
      <c r="BB200" s="450" t="str">
        <f t="shared" si="90"/>
        <v/>
      </c>
      <c r="BC200" s="450" t="str">
        <f>IFERROR(IF(R200=0,"-",AVERAGEIFS($BA$2:BA200,$A$2:A200,$A200,$F$2:F200,"&lt;="&amp;$F200)/AVERAGEIFS($AZ$2:AZ200,$A$2:A200,$A200,$F$2:F200,"&lt;="&amp;$F200)-1),"")</f>
        <v>-</v>
      </c>
      <c r="BD200" s="269" t="str">
        <f>IFERROR(IF(R200=0,"-",AVERAGEIFS($BA$2:BA200,$A$2:A200,A200,$C$2:C200,C200)/AVERAGEIFS($AZ$2:AZ200,$A$2:A200,A200,$C$2:C200,C200)-1),"")</f>
        <v>-</v>
      </c>
    </row>
    <row r="201" spans="1:56" ht="16.350000000000001" customHeight="1">
      <c r="A201" s="175">
        <f t="shared" si="69"/>
        <v>2024</v>
      </c>
      <c r="B201" s="447" t="str">
        <f t="shared" si="70"/>
        <v>44</v>
      </c>
      <c r="C201" s="447" t="str">
        <f t="array" ref="C201">_xlfn.IFS(_xlfn.NUMBERVALUE(B201)&lt;=13,"Q1",AND(_xlfn.NUMBERVALUE(B201)&gt;13,_xlfn.NUMBERVALUE(B201)&lt;=26),"Q2", AND(_xlfn.NUMBERVALUE(B201)&gt;26,_xlfn.NUMBERVALUE(B201)&lt;=39),"Q3",_xlfn.NUMBERVALUE(B201)&gt;39,"Q4")</f>
        <v>Q4</v>
      </c>
      <c r="D201" s="448">
        <f t="shared" si="91"/>
        <v>45255</v>
      </c>
      <c r="E201" s="448">
        <f t="shared" si="71"/>
        <v>45261</v>
      </c>
      <c r="F201" s="79">
        <v>202344</v>
      </c>
      <c r="G201" s="103"/>
      <c r="H201" s="429"/>
      <c r="I201" s="429"/>
      <c r="J201" s="214">
        <f t="shared" si="72"/>
        <v>0</v>
      </c>
      <c r="K201" s="429"/>
      <c r="L201" s="429"/>
      <c r="M201" s="429"/>
      <c r="N201" s="214">
        <f t="shared" si="73"/>
        <v>0</v>
      </c>
      <c r="O201" s="449">
        <f>'Overall Metrics'!L206</f>
        <v>0</v>
      </c>
      <c r="P201" s="449">
        <f>'Overall Metrics'!M206</f>
        <v>0</v>
      </c>
      <c r="Q201" s="449">
        <f>'Overall Metrics'!N206</f>
        <v>0</v>
      </c>
      <c r="R201" s="449">
        <f t="shared" si="74"/>
        <v>0</v>
      </c>
      <c r="S201" s="180">
        <f t="shared" si="75"/>
        <v>0</v>
      </c>
      <c r="T201" s="449">
        <f t="shared" si="76"/>
        <v>0</v>
      </c>
      <c r="U201" s="449">
        <f t="shared" si="77"/>
        <v>0</v>
      </c>
      <c r="V201" s="450" t="str">
        <f t="shared" si="78"/>
        <v/>
      </c>
      <c r="W201" s="450" t="str">
        <f>IF(R201=0,"-",SUMIFS($R$2:R201,$A$2:A201,A201,$C$2:C201,C201)/SUMIFS($J$2:J201,$A$2:A201,A201,$C$2:C201,C201)-1)</f>
        <v>-</v>
      </c>
      <c r="X201" s="450" t="str">
        <f t="shared" si="79"/>
        <v/>
      </c>
      <c r="Y201" s="450" t="str">
        <f>IFERROR(IF(R201=0,"-",SUMIFS($R$2:R201,$A$2:A201,A201,$C$2:C201,C201)/SUMIFS($N$2:N201,$A$2:A201,A201,$C$2:C201,C201)-1),"")</f>
        <v>-</v>
      </c>
      <c r="Z201" s="269" t="str">
        <f>IF(R201=0,"",(S201/VLOOKUP(_xlfn.NUMBERVALUE(_xlfn.CONCAT(LEFT(F201,4),52)),$F$2:T408,COLUMNS($F$2:T408),FALSE)))</f>
        <v/>
      </c>
      <c r="AA201" s="269" t="str">
        <f>IFERROR(IF(R201=0,"",(S201/VLOOKUP(_xlfn.NUMBERVALUE(_xlfn.CONCAT(LEFT(F201,4),52)),$F$2:U408,COLUMNS($F$2:U408),FALSE))),"")</f>
        <v/>
      </c>
      <c r="AB201" s="268" t="str">
        <f t="shared" si="80"/>
        <v/>
      </c>
      <c r="AC201" s="450" t="str">
        <f t="shared" si="81"/>
        <v/>
      </c>
      <c r="AD201" s="450" t="str">
        <f t="shared" si="82"/>
        <v/>
      </c>
      <c r="AE201" s="269" t="str">
        <f t="shared" si="83"/>
        <v/>
      </c>
      <c r="AF201" s="268" t="str">
        <f t="shared" si="84"/>
        <v/>
      </c>
      <c r="AG201" s="450" t="str">
        <f t="shared" si="85"/>
        <v/>
      </c>
      <c r="AH201" s="450" t="str">
        <f t="shared" si="86"/>
        <v/>
      </c>
      <c r="AI201" s="269" t="str">
        <f t="shared" si="87"/>
        <v/>
      </c>
      <c r="AJ201" s="450" t="str">
        <f>IF(O201=0,"-",SUMIFS($O$2:O201,$A$2:A201,$A201,$F$2:F201,"&lt;="&amp;$F201)/SUMIFS($G$2:G201,$A$2:A201,$A201,$F$2:F201,"&lt;="&amp;$F201)-1)</f>
        <v>-</v>
      </c>
      <c r="AK201" s="450" t="str">
        <f>IF(P201=0,"-",SUMIFS($P$2:P201,$A$2:A201,$A201,$F$2:F201,"&lt;="&amp;$F201)/SUMIFS($H$2:H201,$A$2:A201,$A201,$F$2:F201,"&lt;="&amp;$F201)-1)</f>
        <v>-</v>
      </c>
      <c r="AL201" s="450" t="str">
        <f>IF(Q201=0,"-",SUMIFS($Q$2:Q201,$A$2:A201,$A201,$F$2:F201,"&lt;="&amp;$F201)/SUMIFS($I$2:I201,$A$2:A201,$A201,$F$2:F201,"&lt;="&amp;$F201)-1)</f>
        <v>-</v>
      </c>
      <c r="AM201" s="450" t="str">
        <f>IFERROR(IF(O201=0,"-",SUMIFS($O$2:O201,$A$2:A201,$A201,$F$2:F201,"&lt;="&amp;$F201)/SUMIFS($K$2:K201,$A$2:A201,$A201,$F$2:F201,"&lt;="&amp;$F201)-1),"")</f>
        <v>-</v>
      </c>
      <c r="AN201" s="450" t="str">
        <f>IFERROR(IF(P201=0,"-",SUMIFS($P$2:P201,$A$2:A201,$A201,$F$2:F201,"&lt;="&amp;$F201)/SUMIFS($L$2:L201,$A$2:A201,$A201,$F$2:F201,"&lt;="&amp;$F201)-1),"")</f>
        <v>-</v>
      </c>
      <c r="AO201" s="450" t="str">
        <f>IFERROR(IF(Q201=0,"-",SUMIFS($Q$2:Q201,$A$2:A201,$A201,$F$2:F201,"&lt;="&amp;$F201)/SUMIFS($M$2:M201,$A$2:A201,$A201,$F$2:F201,"&lt;="&amp;$F201)-1),"")</f>
        <v>-</v>
      </c>
      <c r="AP201" s="134"/>
      <c r="AQ201" s="452" t="str">
        <f>'Overall Metrics'!AO206</f>
        <v/>
      </c>
      <c r="AR201" s="450" t="str">
        <f t="shared" si="88"/>
        <v/>
      </c>
      <c r="AS201" s="453" t="str">
        <f>IFERROR(IF(R202=0,"-",AVERAGEIFS($AQ$2:AQ201,$A$2:A201,$A201,$F$2:F201,"&lt;="&amp;$F201)-AVERAGEIFS($AP$2:AP201,$A$2:A201,$A201,$F$2:F201,"&lt;="&amp;$F201)),"")</f>
        <v>-</v>
      </c>
      <c r="AT201" s="390" t="str">
        <f>IFERROR(IF(R202=0,"-",AVERAGEIFS($AQ$2:AQ201,$A$2:A201,A201,$C$2:C201,C201)-AVERAGEIFS($AP$2:AP201,$A$2:A201,A201,$C$2:C201,C201)),"")</f>
        <v>-</v>
      </c>
      <c r="AU201" s="451"/>
      <c r="AV201" s="452">
        <f>'Overall Metrics'!AS206</f>
        <v>0</v>
      </c>
      <c r="AW201" s="450" t="str">
        <f t="shared" si="89"/>
        <v/>
      </c>
      <c r="AX201" s="453" t="str">
        <f>IFERROR(IF(R205=0,"-",AVERAGEIFS($AV$2:AV201,$A$2:A201,$A201,$F$2:F201,"&lt;="&amp;$F201)-AVERAGEIFS($AU$2:AU201,$A$2:A201,$A201,$F$2:F201,"&lt;="&amp;$F201)),"")</f>
        <v>-</v>
      </c>
      <c r="AY201" s="453" t="str">
        <f>IFERROR(IF(R205=0,"-",AVERAGEIFS($AV$2:AV201,$A$2:A201,A201,$C$2:C201,C201)-AVERAGEIFS($AU$2:AU201,$A$2:A201,A201,$C$2:C201,C201)),"")</f>
        <v>-</v>
      </c>
      <c r="AZ201" s="103"/>
      <c r="BA201" s="449">
        <f>'Glass Metrics'!AC206</f>
        <v>0</v>
      </c>
      <c r="BB201" s="450" t="str">
        <f t="shared" si="90"/>
        <v/>
      </c>
      <c r="BC201" s="450" t="str">
        <f>IFERROR(IF(R201=0,"-",AVERAGEIFS($BA$2:BA201,$A$2:A201,$A201,$F$2:F201,"&lt;="&amp;$F201)/AVERAGEIFS($AZ$2:AZ201,$A$2:A201,$A201,$F$2:F201,"&lt;="&amp;$F201)-1),"")</f>
        <v>-</v>
      </c>
      <c r="BD201" s="269" t="str">
        <f>IFERROR(IF(R201=0,"-",AVERAGEIFS($BA$2:BA201,$A$2:A201,A201,$C$2:C201,C201)/AVERAGEIFS($AZ$2:AZ201,$A$2:A201,A201,$C$2:C201,C201)-1),"")</f>
        <v>-</v>
      </c>
    </row>
    <row r="202" spans="1:56" ht="16.350000000000001" customHeight="1">
      <c r="A202" s="175">
        <f t="shared" si="69"/>
        <v>2024</v>
      </c>
      <c r="B202" s="447" t="str">
        <f t="shared" si="70"/>
        <v>45</v>
      </c>
      <c r="C202" s="447" t="str">
        <f t="array" ref="C202">_xlfn.IFS(_xlfn.NUMBERVALUE(B202)&lt;=13,"Q1",AND(_xlfn.NUMBERVALUE(B202)&gt;13,_xlfn.NUMBERVALUE(B202)&lt;=26),"Q2", AND(_xlfn.NUMBERVALUE(B202)&gt;26,_xlfn.NUMBERVALUE(B202)&lt;=39),"Q3",_xlfn.NUMBERVALUE(B202)&gt;39,"Q4")</f>
        <v>Q4</v>
      </c>
      <c r="D202" s="448">
        <f t="shared" si="91"/>
        <v>45262</v>
      </c>
      <c r="E202" s="448">
        <f t="shared" si="71"/>
        <v>45268</v>
      </c>
      <c r="F202" s="79">
        <v>202345</v>
      </c>
      <c r="G202" s="103"/>
      <c r="H202" s="429"/>
      <c r="I202" s="429"/>
      <c r="J202" s="214">
        <f t="shared" si="72"/>
        <v>0</v>
      </c>
      <c r="K202" s="429"/>
      <c r="L202" s="429"/>
      <c r="M202" s="429"/>
      <c r="N202" s="214">
        <f t="shared" si="73"/>
        <v>0</v>
      </c>
      <c r="O202" s="449">
        <f>'Overall Metrics'!L207</f>
        <v>0</v>
      </c>
      <c r="P202" s="449">
        <f>'Overall Metrics'!M207</f>
        <v>0</v>
      </c>
      <c r="Q202" s="449">
        <f>'Overall Metrics'!N207</f>
        <v>0</v>
      </c>
      <c r="R202" s="449">
        <f t="shared" si="74"/>
        <v>0</v>
      </c>
      <c r="S202" s="180">
        <f t="shared" si="75"/>
        <v>0</v>
      </c>
      <c r="T202" s="449">
        <f t="shared" si="76"/>
        <v>0</v>
      </c>
      <c r="U202" s="449">
        <f t="shared" si="77"/>
        <v>0</v>
      </c>
      <c r="V202" s="450" t="str">
        <f t="shared" si="78"/>
        <v/>
      </c>
      <c r="W202" s="450" t="str">
        <f>IF(R202=0,"-",SUMIFS($R$2:R202,$A$2:A202,A202,$C$2:C202,C202)/SUMIFS($J$2:J202,$A$2:A202,A202,$C$2:C202,C202)-1)</f>
        <v>-</v>
      </c>
      <c r="X202" s="450" t="str">
        <f t="shared" si="79"/>
        <v/>
      </c>
      <c r="Y202" s="450" t="str">
        <f>IFERROR(IF(R202=0,"-",SUMIFS($R$2:R202,$A$2:A202,A202,$C$2:C202,C202)/SUMIFS($N$2:N202,$A$2:A202,A202,$C$2:C202,C202)-1),"")</f>
        <v>-</v>
      </c>
      <c r="Z202" s="269" t="str">
        <f>IF(R202=0,"",(S202/VLOOKUP(_xlfn.NUMBERVALUE(_xlfn.CONCAT(LEFT(F202,4),52)),$F$2:T409,COLUMNS($F$2:T409),FALSE)))</f>
        <v/>
      </c>
      <c r="AA202" s="269" t="str">
        <f>IFERROR(IF(R202=0,"",(S202/VLOOKUP(_xlfn.NUMBERVALUE(_xlfn.CONCAT(LEFT(F202,4),52)),$F$2:U409,COLUMNS($F$2:U409),FALSE))),"")</f>
        <v/>
      </c>
      <c r="AB202" s="268" t="str">
        <f t="shared" si="80"/>
        <v/>
      </c>
      <c r="AC202" s="450" t="str">
        <f t="shared" si="81"/>
        <v/>
      </c>
      <c r="AD202" s="450" t="str">
        <f t="shared" si="82"/>
        <v/>
      </c>
      <c r="AE202" s="269" t="str">
        <f t="shared" si="83"/>
        <v/>
      </c>
      <c r="AF202" s="268" t="str">
        <f t="shared" si="84"/>
        <v/>
      </c>
      <c r="AG202" s="450" t="str">
        <f t="shared" si="85"/>
        <v/>
      </c>
      <c r="AH202" s="450" t="str">
        <f t="shared" si="86"/>
        <v/>
      </c>
      <c r="AI202" s="269" t="str">
        <f t="shared" si="87"/>
        <v/>
      </c>
      <c r="AJ202" s="450" t="str">
        <f>IF(O202=0,"-",SUMIFS($O$2:O202,$A$2:A202,$A202,$F$2:F202,"&lt;="&amp;$F202)/SUMIFS($G$2:G202,$A$2:A202,$A202,$F$2:F202,"&lt;="&amp;$F202)-1)</f>
        <v>-</v>
      </c>
      <c r="AK202" s="450" t="str">
        <f>IF(P202=0,"-",SUMIFS($P$2:P202,$A$2:A202,$A202,$F$2:F202,"&lt;="&amp;$F202)/SUMIFS($H$2:H202,$A$2:A202,$A202,$F$2:F202,"&lt;="&amp;$F202)-1)</f>
        <v>-</v>
      </c>
      <c r="AL202" s="450" t="str">
        <f>IF(Q202=0,"-",SUMIFS($Q$2:Q202,$A$2:A202,$A202,$F$2:F202,"&lt;="&amp;$F202)/SUMIFS($I$2:I202,$A$2:A202,$A202,$F$2:F202,"&lt;="&amp;$F202)-1)</f>
        <v>-</v>
      </c>
      <c r="AM202" s="450" t="str">
        <f>IFERROR(IF(O202=0,"-",SUMIFS($O$2:O202,$A$2:A202,$A202,$F$2:F202,"&lt;="&amp;$F202)/SUMIFS($K$2:K202,$A$2:A202,$A202,$F$2:F202,"&lt;="&amp;$F202)-1),"")</f>
        <v>-</v>
      </c>
      <c r="AN202" s="450" t="str">
        <f>IFERROR(IF(P202=0,"-",SUMIFS($P$2:P202,$A$2:A202,$A202,$F$2:F202,"&lt;="&amp;$F202)/SUMIFS($L$2:L202,$A$2:A202,$A202,$F$2:F202,"&lt;="&amp;$F202)-1),"")</f>
        <v>-</v>
      </c>
      <c r="AO202" s="450" t="str">
        <f>IFERROR(IF(Q202=0,"-",SUMIFS($Q$2:Q202,$A$2:A202,$A202,$F$2:F202,"&lt;="&amp;$F202)/SUMIFS($M$2:M202,$A$2:A202,$A202,$F$2:F202,"&lt;="&amp;$F202)-1),"")</f>
        <v>-</v>
      </c>
      <c r="AP202" s="134"/>
      <c r="AQ202" s="452" t="str">
        <f>'Overall Metrics'!AO207</f>
        <v/>
      </c>
      <c r="AR202" s="450" t="str">
        <f t="shared" si="88"/>
        <v/>
      </c>
      <c r="AS202" s="453" t="str">
        <f>IFERROR(IF(R203=0,"-",AVERAGEIFS($AQ$2:AQ202,$A$2:A202,$A202,$F$2:F202,"&lt;="&amp;$F202)-AVERAGEIFS($AP$2:AP202,$A$2:A202,$A202,$F$2:F202,"&lt;="&amp;$F202)),"")</f>
        <v>-</v>
      </c>
      <c r="AT202" s="390" t="str">
        <f>IFERROR(IF(R203=0,"-",AVERAGEIFS($AQ$2:AQ202,$A$2:A202,A202,$C$2:C202,C202)-AVERAGEIFS($AP$2:AP202,$A$2:A202,A202,$C$2:C202,C202)),"")</f>
        <v>-</v>
      </c>
      <c r="AU202" s="451"/>
      <c r="AV202" s="452">
        <f>'Overall Metrics'!AS207</f>
        <v>0</v>
      </c>
      <c r="AW202" s="450" t="str">
        <f t="shared" si="89"/>
        <v/>
      </c>
      <c r="AX202" s="453" t="str">
        <f>IFERROR(IF(R206=0,"-",AVERAGEIFS($AV$2:AV202,$A$2:A202,$A202,$F$2:F202,"&lt;="&amp;$F202)-AVERAGEIFS($AU$2:AU202,$A$2:A202,$A202,$F$2:F202,"&lt;="&amp;$F202)),"")</f>
        <v/>
      </c>
      <c r="AY202" s="453" t="str">
        <f>IFERROR(IF(R206=0,"-",AVERAGEIFS($AV$2:AV202,$A$2:A202,A202,$C$2:C202,C202)-AVERAGEIFS($AU$2:AU202,$A$2:A202,A202,$C$2:C202,C202)),"")</f>
        <v/>
      </c>
      <c r="AZ202" s="103"/>
      <c r="BA202" s="449">
        <f>'Glass Metrics'!AC207</f>
        <v>0</v>
      </c>
      <c r="BB202" s="450" t="str">
        <f t="shared" si="90"/>
        <v/>
      </c>
      <c r="BC202" s="450" t="str">
        <f>IFERROR(IF(R202=0,"-",AVERAGEIFS($BA$2:BA202,$A$2:A202,$A202,$F$2:F202,"&lt;="&amp;$F202)/AVERAGEIFS($AZ$2:AZ202,$A$2:A202,$A202,$F$2:F202,"&lt;="&amp;$F202)-1),"")</f>
        <v>-</v>
      </c>
      <c r="BD202" s="269" t="str">
        <f>IFERROR(IF(R202=0,"-",AVERAGEIFS($BA$2:BA202,$A$2:A202,A202,$C$2:C202,C202)/AVERAGEIFS($AZ$2:AZ202,$A$2:A202,A202,$C$2:C202,C202)-1),"")</f>
        <v>-</v>
      </c>
    </row>
    <row r="203" spans="1:56" ht="16.350000000000001" customHeight="1">
      <c r="A203" s="175">
        <f t="shared" si="69"/>
        <v>2024</v>
      </c>
      <c r="B203" s="447" t="str">
        <f t="shared" si="70"/>
        <v>46</v>
      </c>
      <c r="C203" s="447" t="str">
        <f t="array" ref="C203">_xlfn.IFS(_xlfn.NUMBERVALUE(B203)&lt;=13,"Q1",AND(_xlfn.NUMBERVALUE(B203)&gt;13,_xlfn.NUMBERVALUE(B203)&lt;=26),"Q2", AND(_xlfn.NUMBERVALUE(B203)&gt;26,_xlfn.NUMBERVALUE(B203)&lt;=39),"Q3",_xlfn.NUMBERVALUE(B203)&gt;39,"Q4")</f>
        <v>Q4</v>
      </c>
      <c r="D203" s="448">
        <f t="shared" si="91"/>
        <v>45269</v>
      </c>
      <c r="E203" s="448">
        <f t="shared" si="71"/>
        <v>45275</v>
      </c>
      <c r="F203" s="79">
        <v>202346</v>
      </c>
      <c r="G203" s="103"/>
      <c r="H203" s="429"/>
      <c r="I203" s="429"/>
      <c r="J203" s="214">
        <f t="shared" si="72"/>
        <v>0</v>
      </c>
      <c r="K203" s="429"/>
      <c r="L203" s="429"/>
      <c r="M203" s="429"/>
      <c r="N203" s="214">
        <f t="shared" si="73"/>
        <v>0</v>
      </c>
      <c r="O203" s="449">
        <f>'Overall Metrics'!L208</f>
        <v>0</v>
      </c>
      <c r="P203" s="449">
        <f>'Overall Metrics'!M208</f>
        <v>0</v>
      </c>
      <c r="Q203" s="449">
        <f>'Overall Metrics'!N208</f>
        <v>0</v>
      </c>
      <c r="R203" s="449">
        <f t="shared" si="74"/>
        <v>0</v>
      </c>
      <c r="S203" s="180">
        <f t="shared" si="75"/>
        <v>0</v>
      </c>
      <c r="T203" s="449">
        <f t="shared" si="76"/>
        <v>0</v>
      </c>
      <c r="U203" s="449">
        <f t="shared" si="77"/>
        <v>0</v>
      </c>
      <c r="V203" s="450" t="str">
        <f t="shared" si="78"/>
        <v/>
      </c>
      <c r="W203" s="450" t="str">
        <f>IF(R203=0,"-",SUMIFS($R$2:R203,$A$2:A203,A203,$C$2:C203,C203)/SUMIFS($J$2:J203,$A$2:A203,A203,$C$2:C203,C203)-1)</f>
        <v>-</v>
      </c>
      <c r="X203" s="450" t="str">
        <f t="shared" si="79"/>
        <v/>
      </c>
      <c r="Y203" s="450" t="str">
        <f>IFERROR(IF(R203=0,"-",SUMIFS($R$2:R203,$A$2:A203,A203,$C$2:C203,C203)/SUMIFS($N$2:N203,$A$2:A203,A203,$C$2:C203,C203)-1),"")</f>
        <v>-</v>
      </c>
      <c r="Z203" s="269" t="str">
        <f>IF(R203=0,"",(S203/VLOOKUP(_xlfn.NUMBERVALUE(_xlfn.CONCAT(LEFT(F203,4),52)),$F$2:T410,COLUMNS($F$2:T410),FALSE)))</f>
        <v/>
      </c>
      <c r="AA203" s="269" t="str">
        <f>IFERROR(IF(R203=0,"",(S203/VLOOKUP(_xlfn.NUMBERVALUE(_xlfn.CONCAT(LEFT(F203,4),52)),$F$2:U410,COLUMNS($F$2:U410),FALSE))),"")</f>
        <v/>
      </c>
      <c r="AB203" s="268" t="str">
        <f t="shared" si="80"/>
        <v/>
      </c>
      <c r="AC203" s="450" t="str">
        <f t="shared" si="81"/>
        <v/>
      </c>
      <c r="AD203" s="450" t="str">
        <f t="shared" si="82"/>
        <v/>
      </c>
      <c r="AE203" s="269" t="str">
        <f t="shared" si="83"/>
        <v/>
      </c>
      <c r="AF203" s="268" t="str">
        <f t="shared" si="84"/>
        <v/>
      </c>
      <c r="AG203" s="450" t="str">
        <f t="shared" si="85"/>
        <v/>
      </c>
      <c r="AH203" s="450" t="str">
        <f t="shared" si="86"/>
        <v/>
      </c>
      <c r="AI203" s="269" t="str">
        <f t="shared" si="87"/>
        <v/>
      </c>
      <c r="AJ203" s="450" t="str">
        <f>IF(O203=0,"-",SUMIFS($O$2:O203,$A$2:A203,$A203,$F$2:F203,"&lt;="&amp;$F203)/SUMIFS($G$2:G203,$A$2:A203,$A203,$F$2:F203,"&lt;="&amp;$F203)-1)</f>
        <v>-</v>
      </c>
      <c r="AK203" s="450" t="str">
        <f>IF(P203=0,"-",SUMIFS($P$2:P203,$A$2:A203,$A203,$F$2:F203,"&lt;="&amp;$F203)/SUMIFS($H$2:H203,$A$2:A203,$A203,$F$2:F203,"&lt;="&amp;$F203)-1)</f>
        <v>-</v>
      </c>
      <c r="AL203" s="450" t="str">
        <f>IF(Q203=0,"-",SUMIFS($Q$2:Q203,$A$2:A203,$A203,$F$2:F203,"&lt;="&amp;$F203)/SUMIFS($I$2:I203,$A$2:A203,$A203,$F$2:F203,"&lt;="&amp;$F203)-1)</f>
        <v>-</v>
      </c>
      <c r="AM203" s="450" t="str">
        <f>IFERROR(IF(O203=0,"-",SUMIFS($O$2:O203,$A$2:A203,$A203,$F$2:F203,"&lt;="&amp;$F203)/SUMIFS($K$2:K203,$A$2:A203,$A203,$F$2:F203,"&lt;="&amp;$F203)-1),"")</f>
        <v>-</v>
      </c>
      <c r="AN203" s="450" t="str">
        <f>IFERROR(IF(P203=0,"-",SUMIFS($P$2:P203,$A$2:A203,$A203,$F$2:F203,"&lt;="&amp;$F203)/SUMIFS($L$2:L203,$A$2:A203,$A203,$F$2:F203,"&lt;="&amp;$F203)-1),"")</f>
        <v>-</v>
      </c>
      <c r="AO203" s="450" t="str">
        <f>IFERROR(IF(Q203=0,"-",SUMIFS($Q$2:Q203,$A$2:A203,$A203,$F$2:F203,"&lt;="&amp;$F203)/SUMIFS($M$2:M203,$A$2:A203,$A203,$F$2:F203,"&lt;="&amp;$F203)-1),"")</f>
        <v>-</v>
      </c>
      <c r="AP203" s="134"/>
      <c r="AQ203" s="452" t="str">
        <f>'Overall Metrics'!AO208</f>
        <v/>
      </c>
      <c r="AR203" s="450" t="str">
        <f t="shared" si="88"/>
        <v/>
      </c>
      <c r="AS203" s="453" t="str">
        <f>IFERROR(IF(R204=0,"-",AVERAGEIFS($AQ$2:AQ203,$A$2:A203,$A203,$F$2:F203,"&lt;="&amp;$F203)-AVERAGEIFS($AP$2:AP203,$A$2:A203,$A203,$F$2:F203,"&lt;="&amp;$F203)),"")</f>
        <v>-</v>
      </c>
      <c r="AT203" s="390" t="str">
        <f>IFERROR(IF(R204=0,"-",AVERAGEIFS($AQ$2:AQ203,$A$2:A203,A203,$C$2:C203,C203)-AVERAGEIFS($AP$2:AP203,$A$2:A203,A203,$C$2:C203,C203)),"")</f>
        <v>-</v>
      </c>
      <c r="AU203" s="451"/>
      <c r="AV203" s="452">
        <f>'Overall Metrics'!AS208</f>
        <v>0</v>
      </c>
      <c r="AW203" s="450" t="str">
        <f t="shared" si="89"/>
        <v/>
      </c>
      <c r="AX203" s="453" t="str">
        <f>IFERROR(IF(R207=0,"-",AVERAGEIFS($AV$2:AV203,$A$2:A203,$A203,$F$2:F203,"&lt;="&amp;$F203)-AVERAGEIFS($AU$2:AU203,$A$2:A203,$A203,$F$2:F203,"&lt;="&amp;$F203)),"")</f>
        <v/>
      </c>
      <c r="AY203" s="453" t="str">
        <f>IFERROR(IF(R207=0,"-",AVERAGEIFS($AV$2:AV203,$A$2:A203,A203,$C$2:C203,C203)-AVERAGEIFS($AU$2:AU203,$A$2:A203,A203,$C$2:C203,C203)),"")</f>
        <v/>
      </c>
      <c r="AZ203" s="103"/>
      <c r="BA203" s="449">
        <f>'Glass Metrics'!AC208</f>
        <v>0</v>
      </c>
      <c r="BB203" s="450" t="str">
        <f t="shared" si="90"/>
        <v/>
      </c>
      <c r="BC203" s="450" t="str">
        <f>IFERROR(IF(R203=0,"-",AVERAGEIFS($BA$2:BA203,$A$2:A203,$A203,$F$2:F203,"&lt;="&amp;$F203)/AVERAGEIFS($AZ$2:AZ203,$A$2:A203,$A203,$F$2:F203,"&lt;="&amp;$F203)-1),"")</f>
        <v>-</v>
      </c>
      <c r="BD203" s="269" t="str">
        <f>IFERROR(IF(R203=0,"-",AVERAGEIFS($BA$2:BA203,$A$2:A203,A203,$C$2:C203,C203)/AVERAGEIFS($AZ$2:AZ203,$A$2:A203,A203,$C$2:C203,C203)-1),"")</f>
        <v>-</v>
      </c>
    </row>
    <row r="204" spans="1:56" ht="16.350000000000001" customHeight="1">
      <c r="A204" s="175">
        <f t="shared" si="69"/>
        <v>2024</v>
      </c>
      <c r="B204" s="447" t="str">
        <f t="shared" si="70"/>
        <v>47</v>
      </c>
      <c r="C204" s="447" t="str">
        <f t="array" ref="C204">_xlfn.IFS(_xlfn.NUMBERVALUE(B204)&lt;=13,"Q1",AND(_xlfn.NUMBERVALUE(B204)&gt;13,_xlfn.NUMBERVALUE(B204)&lt;=26),"Q2", AND(_xlfn.NUMBERVALUE(B204)&gt;26,_xlfn.NUMBERVALUE(B204)&lt;=39),"Q3",_xlfn.NUMBERVALUE(B204)&gt;39,"Q4")</f>
        <v>Q4</v>
      </c>
      <c r="D204" s="448">
        <f t="shared" si="91"/>
        <v>45276</v>
      </c>
      <c r="E204" s="448">
        <f t="shared" si="71"/>
        <v>45282</v>
      </c>
      <c r="F204" s="79">
        <v>202347</v>
      </c>
      <c r="G204" s="103"/>
      <c r="H204" s="429"/>
      <c r="I204" s="429"/>
      <c r="J204" s="214">
        <f t="shared" si="72"/>
        <v>0</v>
      </c>
      <c r="K204" s="429"/>
      <c r="L204" s="429"/>
      <c r="M204" s="429"/>
      <c r="N204" s="214">
        <f t="shared" si="73"/>
        <v>0</v>
      </c>
      <c r="O204" s="449">
        <f>'Overall Metrics'!L209</f>
        <v>0</v>
      </c>
      <c r="P204" s="449">
        <f>'Overall Metrics'!M209</f>
        <v>0</v>
      </c>
      <c r="Q204" s="449">
        <f>'Overall Metrics'!N209</f>
        <v>0</v>
      </c>
      <c r="R204" s="449">
        <f t="shared" si="74"/>
        <v>0</v>
      </c>
      <c r="S204" s="180">
        <f t="shared" si="75"/>
        <v>0</v>
      </c>
      <c r="T204" s="449">
        <f t="shared" si="76"/>
        <v>0</v>
      </c>
      <c r="U204" s="449">
        <f t="shared" si="77"/>
        <v>0</v>
      </c>
      <c r="V204" s="450" t="str">
        <f t="shared" si="78"/>
        <v/>
      </c>
      <c r="W204" s="450" t="str">
        <f>IF(R204=0,"-",SUMIFS($R$2:R204,$A$2:A204,A204,$C$2:C204,C204)/SUMIFS($J$2:J204,$A$2:A204,A204,$C$2:C204,C204)-1)</f>
        <v>-</v>
      </c>
      <c r="X204" s="450" t="str">
        <f t="shared" si="79"/>
        <v/>
      </c>
      <c r="Y204" s="450" t="str">
        <f>IFERROR(IF(R204=0,"-",SUMIFS($R$2:R204,$A$2:A204,A204,$C$2:C204,C204)/SUMIFS($N$2:N204,$A$2:A204,A204,$C$2:C204,C204)-1),"")</f>
        <v>-</v>
      </c>
      <c r="Z204" s="269" t="str">
        <f>IF(R204=0,"",(S204/VLOOKUP(_xlfn.NUMBERVALUE(_xlfn.CONCAT(LEFT(F204,4),52)),$F$2:T411,COLUMNS($F$2:T411),FALSE)))</f>
        <v/>
      </c>
      <c r="AA204" s="269" t="str">
        <f>IFERROR(IF(R204=0,"",(S204/VLOOKUP(_xlfn.NUMBERVALUE(_xlfn.CONCAT(LEFT(F204,4),52)),$F$2:U411,COLUMNS($F$2:U411),FALSE))),"")</f>
        <v/>
      </c>
      <c r="AB204" s="268" t="str">
        <f t="shared" si="80"/>
        <v/>
      </c>
      <c r="AC204" s="450" t="str">
        <f t="shared" si="81"/>
        <v/>
      </c>
      <c r="AD204" s="450" t="str">
        <f t="shared" si="82"/>
        <v/>
      </c>
      <c r="AE204" s="269" t="str">
        <f t="shared" si="83"/>
        <v/>
      </c>
      <c r="AF204" s="268" t="str">
        <f t="shared" si="84"/>
        <v/>
      </c>
      <c r="AG204" s="450" t="str">
        <f t="shared" si="85"/>
        <v/>
      </c>
      <c r="AH204" s="450" t="str">
        <f t="shared" si="86"/>
        <v/>
      </c>
      <c r="AI204" s="269" t="str">
        <f t="shared" si="87"/>
        <v/>
      </c>
      <c r="AJ204" s="450" t="str">
        <f>IF(O204=0,"-",SUMIFS($O$2:O204,$A$2:A204,$A204,$F$2:F204,"&lt;="&amp;$F204)/SUMIFS($G$2:G204,$A$2:A204,$A204,$F$2:F204,"&lt;="&amp;$F204)-1)</f>
        <v>-</v>
      </c>
      <c r="AK204" s="450" t="str">
        <f>IF(P204=0,"-",SUMIFS($P$2:P204,$A$2:A204,$A204,$F$2:F204,"&lt;="&amp;$F204)/SUMIFS($H$2:H204,$A$2:A204,$A204,$F$2:F204,"&lt;="&amp;$F204)-1)</f>
        <v>-</v>
      </c>
      <c r="AL204" s="450" t="str">
        <f>IF(Q204=0,"-",SUMIFS($Q$2:Q204,$A$2:A204,$A204,$F$2:F204,"&lt;="&amp;$F204)/SUMIFS($I$2:I204,$A$2:A204,$A204,$F$2:F204,"&lt;="&amp;$F204)-1)</f>
        <v>-</v>
      </c>
      <c r="AM204" s="450" t="str">
        <f>IFERROR(IF(O204=0,"-",SUMIFS($O$2:O204,$A$2:A204,$A204,$F$2:F204,"&lt;="&amp;$F204)/SUMIFS($K$2:K204,$A$2:A204,$A204,$F$2:F204,"&lt;="&amp;$F204)-1),"")</f>
        <v>-</v>
      </c>
      <c r="AN204" s="450" t="str">
        <f>IFERROR(IF(P204=0,"-",SUMIFS($P$2:P204,$A$2:A204,$A204,$F$2:F204,"&lt;="&amp;$F204)/SUMIFS($L$2:L204,$A$2:A204,$A204,$F$2:F204,"&lt;="&amp;$F204)-1),"")</f>
        <v>-</v>
      </c>
      <c r="AO204" s="450" t="str">
        <f>IFERROR(IF(Q204=0,"-",SUMIFS($Q$2:Q204,$A$2:A204,$A204,$F$2:F204,"&lt;="&amp;$F204)/SUMIFS($M$2:M204,$A$2:A204,$A204,$F$2:F204,"&lt;="&amp;$F204)-1),"")</f>
        <v>-</v>
      </c>
      <c r="AP204" s="134"/>
      <c r="AQ204" s="452" t="str">
        <f>'Overall Metrics'!AO209</f>
        <v/>
      </c>
      <c r="AR204" s="450" t="str">
        <f t="shared" si="88"/>
        <v/>
      </c>
      <c r="AS204" s="453" t="str">
        <f>IFERROR(IF(R205=0,"-",AVERAGEIFS($AQ$2:AQ204,$A$2:A204,$A204,$F$2:F204,"&lt;="&amp;$F204)-AVERAGEIFS($AP$2:AP204,$A$2:A204,$A204,$F$2:F204,"&lt;="&amp;$F204)),"")</f>
        <v>-</v>
      </c>
      <c r="AT204" s="390" t="str">
        <f>IFERROR(IF(R205=0,"-",AVERAGEIFS($AQ$2:AQ204,$A$2:A204,A204,$C$2:C204,C204)-AVERAGEIFS($AP$2:AP204,$A$2:A204,A204,$C$2:C204,C204)),"")</f>
        <v>-</v>
      </c>
      <c r="AU204" s="451"/>
      <c r="AV204" s="452">
        <f>'Overall Metrics'!AS209</f>
        <v>0</v>
      </c>
      <c r="AW204" s="450" t="str">
        <f t="shared" si="89"/>
        <v/>
      </c>
      <c r="AX204" s="453" t="str">
        <f>IFERROR(IF(R208=0,"-",AVERAGEIFS($AV$2:AV204,$A$2:A204,$A204,$F$2:F204,"&lt;="&amp;$F204)-AVERAGEIFS($AU$2:AU204,$A$2:A204,$A204,$F$2:F204,"&lt;="&amp;$F204)),"")</f>
        <v/>
      </c>
      <c r="AY204" s="453" t="str">
        <f>IFERROR(IF(R208=0,"-",AVERAGEIFS($AV$2:AV204,$A$2:A204,A204,$C$2:C204,C204)-AVERAGEIFS($AU$2:AU204,$A$2:A204,A204,$C$2:C204,C204)),"")</f>
        <v/>
      </c>
      <c r="AZ204" s="103"/>
      <c r="BA204" s="449">
        <f>'Glass Metrics'!AC209</f>
        <v>0</v>
      </c>
      <c r="BB204" s="450" t="str">
        <f t="shared" si="90"/>
        <v/>
      </c>
      <c r="BC204" s="450" t="str">
        <f>IFERROR(IF(R204=0,"-",AVERAGEIFS($BA$2:BA204,$A$2:A204,$A204,$F$2:F204,"&lt;="&amp;$F204)/AVERAGEIFS($AZ$2:AZ204,$A$2:A204,$A204,$F$2:F204,"&lt;="&amp;$F204)-1),"")</f>
        <v>-</v>
      </c>
      <c r="BD204" s="269" t="str">
        <f>IFERROR(IF(R204=0,"-",AVERAGEIFS($BA$2:BA204,$A$2:A204,A204,$C$2:C204,C204)/AVERAGEIFS($AZ$2:AZ204,$A$2:A204,A204,$C$2:C204,C204)-1),"")</f>
        <v>-</v>
      </c>
    </row>
    <row r="205" spans="1:56" ht="16.350000000000001" customHeight="1">
      <c r="A205" s="175">
        <f t="shared" si="69"/>
        <v>2024</v>
      </c>
      <c r="B205" s="447" t="str">
        <f t="shared" si="70"/>
        <v>48</v>
      </c>
      <c r="C205" s="447" t="str">
        <f t="array" ref="C205">_xlfn.IFS(_xlfn.NUMBERVALUE(B205)&lt;=13,"Q1",AND(_xlfn.NUMBERVALUE(B205)&gt;13,_xlfn.NUMBERVALUE(B205)&lt;=26),"Q2", AND(_xlfn.NUMBERVALUE(B205)&gt;26,_xlfn.NUMBERVALUE(B205)&lt;=39),"Q3",_xlfn.NUMBERVALUE(B205)&gt;39,"Q4")</f>
        <v>Q4</v>
      </c>
      <c r="D205" s="448">
        <f t="shared" si="91"/>
        <v>45283</v>
      </c>
      <c r="E205" s="448">
        <f t="shared" si="71"/>
        <v>45289</v>
      </c>
      <c r="F205" s="79">
        <v>202348</v>
      </c>
      <c r="G205" s="103"/>
      <c r="H205" s="429"/>
      <c r="I205" s="429"/>
      <c r="J205" s="214">
        <f t="shared" si="72"/>
        <v>0</v>
      </c>
      <c r="K205" s="429"/>
      <c r="L205" s="429"/>
      <c r="M205" s="429"/>
      <c r="N205" s="214">
        <f t="shared" si="73"/>
        <v>0</v>
      </c>
      <c r="O205" s="449">
        <f>'Overall Metrics'!L210</f>
        <v>0</v>
      </c>
      <c r="P205" s="449">
        <f>'Overall Metrics'!M210</f>
        <v>0</v>
      </c>
      <c r="Q205" s="449">
        <f>'Overall Metrics'!N210</f>
        <v>0</v>
      </c>
      <c r="R205" s="449">
        <f t="shared" si="74"/>
        <v>0</v>
      </c>
      <c r="S205" s="180">
        <f t="shared" si="75"/>
        <v>0</v>
      </c>
      <c r="T205" s="449">
        <f t="shared" si="76"/>
        <v>0</v>
      </c>
      <c r="U205" s="449">
        <f t="shared" si="77"/>
        <v>0</v>
      </c>
      <c r="V205" s="450" t="str">
        <f t="shared" si="78"/>
        <v/>
      </c>
      <c r="W205" s="450" t="str">
        <f>IF(R205=0,"-",SUMIFS($R$2:R205,$A$2:A205,A205,$C$2:C205,C205)/SUMIFS($J$2:J205,$A$2:A205,A205,$C$2:C205,C205)-1)</f>
        <v>-</v>
      </c>
      <c r="X205" s="450" t="str">
        <f t="shared" si="79"/>
        <v/>
      </c>
      <c r="Y205" s="450" t="str">
        <f>IFERROR(IF(R205=0,"-",SUMIFS($R$2:R205,$A$2:A205,A205,$C$2:C205,C205)/SUMIFS($N$2:N205,$A$2:A205,A205,$C$2:C205,C205)-1),"")</f>
        <v>-</v>
      </c>
      <c r="Z205" s="269" t="str">
        <f>IF(R205=0,"",(S205/VLOOKUP(_xlfn.NUMBERVALUE(_xlfn.CONCAT(LEFT(F205,4),52)),$F$2:T412,COLUMNS($F$2:T412),FALSE)))</f>
        <v/>
      </c>
      <c r="AA205" s="269" t="str">
        <f>IFERROR(IF(R205=0,"",(S205/VLOOKUP(_xlfn.NUMBERVALUE(_xlfn.CONCAT(LEFT(F205,4),52)),$F$2:U412,COLUMNS($F$2:U412),FALSE))),"")</f>
        <v/>
      </c>
      <c r="AB205" s="268" t="str">
        <f t="shared" si="80"/>
        <v/>
      </c>
      <c r="AC205" s="450" t="str">
        <f t="shared" si="81"/>
        <v/>
      </c>
      <c r="AD205" s="450" t="str">
        <f t="shared" si="82"/>
        <v/>
      </c>
      <c r="AE205" s="269" t="str">
        <f t="shared" si="83"/>
        <v/>
      </c>
      <c r="AF205" s="268" t="str">
        <f t="shared" si="84"/>
        <v/>
      </c>
      <c r="AG205" s="450" t="str">
        <f t="shared" si="85"/>
        <v/>
      </c>
      <c r="AH205" s="450" t="str">
        <f t="shared" si="86"/>
        <v/>
      </c>
      <c r="AI205" s="269" t="str">
        <f t="shared" si="87"/>
        <v/>
      </c>
      <c r="AJ205" s="450" t="str">
        <f>IF(O205=0,"-",SUMIFS($O$2:O205,$A$2:A205,$A205,$F$2:F205,"&lt;="&amp;$F205)/SUMIFS($G$2:G205,$A$2:A205,$A205,$F$2:F205,"&lt;="&amp;$F205)-1)</f>
        <v>-</v>
      </c>
      <c r="AK205" s="450" t="str">
        <f>IF(P205=0,"-",SUMIFS($P$2:P205,$A$2:A205,$A205,$F$2:F205,"&lt;="&amp;$F205)/SUMIFS($H$2:H205,$A$2:A205,$A205,$F$2:F205,"&lt;="&amp;$F205)-1)</f>
        <v>-</v>
      </c>
      <c r="AL205" s="450" t="str">
        <f>IF(Q205=0,"-",SUMIFS($Q$2:Q205,$A$2:A205,$A205,$F$2:F205,"&lt;="&amp;$F205)/SUMIFS($I$2:I205,$A$2:A205,$A205,$F$2:F205,"&lt;="&amp;$F205)-1)</f>
        <v>-</v>
      </c>
      <c r="AM205" s="450" t="str">
        <f>IFERROR(IF(O205=0,"-",SUMIFS($O$2:O205,$A$2:A205,$A205,$F$2:F205,"&lt;="&amp;$F205)/SUMIFS($K$2:K205,$A$2:A205,$A205,$F$2:F205,"&lt;="&amp;$F205)-1),"")</f>
        <v>-</v>
      </c>
      <c r="AN205" s="450" t="str">
        <f>IFERROR(IF(P205=0,"-",SUMIFS($P$2:P205,$A$2:A205,$A205,$F$2:F205,"&lt;="&amp;$F205)/SUMIFS($L$2:L205,$A$2:A205,$A205,$F$2:F205,"&lt;="&amp;$F205)-1),"")</f>
        <v>-</v>
      </c>
      <c r="AO205" s="450" t="str">
        <f>IFERROR(IF(Q205=0,"-",SUMIFS($Q$2:Q205,$A$2:A205,$A205,$F$2:F205,"&lt;="&amp;$F205)/SUMIFS($M$2:M205,$A$2:A205,$A205,$F$2:F205,"&lt;="&amp;$F205)-1),"")</f>
        <v>-</v>
      </c>
      <c r="AP205" s="134"/>
      <c r="AQ205" s="452" t="str">
        <f>'Overall Metrics'!AO210</f>
        <v/>
      </c>
      <c r="AR205" s="450" t="str">
        <f t="shared" si="88"/>
        <v/>
      </c>
      <c r="AS205" s="453" t="str">
        <f>IFERROR(IF(R206=0,"-",AVERAGEIFS($AQ$2:AQ205,$A$2:A205,$A205,$F$2:F205,"&lt;="&amp;$F205)-AVERAGEIFS($AP$2:AP205,$A$2:A205,$A205,$F$2:F205,"&lt;="&amp;$F205)),"")</f>
        <v/>
      </c>
      <c r="AT205" s="390" t="str">
        <f>IFERROR(IF(R206=0,"-",AVERAGEIFS($AQ$2:AQ205,$A$2:A205,A205,$C$2:C205,C205)-AVERAGEIFS($AP$2:AP205,$A$2:A205,A205,$C$2:C205,C205)),"")</f>
        <v/>
      </c>
      <c r="AU205" s="451"/>
      <c r="AV205" s="452">
        <f>'Overall Metrics'!AS210</f>
        <v>0</v>
      </c>
      <c r="AW205" s="450" t="str">
        <f t="shared" si="89"/>
        <v/>
      </c>
      <c r="AX205" s="453" t="str">
        <f>IFERROR(IF(R209=0,"-",AVERAGEIFS($AV$2:AV205,$A$2:A205,$A205,$F$2:F205,"&lt;="&amp;$F205)-AVERAGEIFS($AU$2:AU205,$A$2:A205,$A205,$F$2:F205,"&lt;="&amp;$F205)),"")</f>
        <v/>
      </c>
      <c r="AY205" s="453" t="str">
        <f>IFERROR(IF(R209=0,"-",AVERAGEIFS($AV$2:AV205,$A$2:A205,A205,$C$2:C205,C205)-AVERAGEIFS($AU$2:AU205,$A$2:A205,A205,$C$2:C205,C205)),"")</f>
        <v/>
      </c>
      <c r="AZ205" s="103"/>
      <c r="BA205" s="449">
        <f>'Glass Metrics'!AC210</f>
        <v>0</v>
      </c>
      <c r="BB205" s="450" t="str">
        <f t="shared" si="90"/>
        <v/>
      </c>
      <c r="BC205" s="450" t="str">
        <f>IFERROR(IF(R205=0,"-",AVERAGEIFS($BA$2:BA205,$A$2:A205,$A205,$F$2:F205,"&lt;="&amp;$F205)/AVERAGEIFS($AZ$2:AZ205,$A$2:A205,$A205,$F$2:F205,"&lt;="&amp;$F205)-1),"")</f>
        <v>-</v>
      </c>
      <c r="BD205" s="269" t="str">
        <f>IFERROR(IF(R205=0,"-",AVERAGEIFS($BA$2:BA205,$A$2:A205,A205,$C$2:C205,C205)/AVERAGEIFS($AZ$2:AZ205,$A$2:A205,A205,$C$2:C205,C205)-1),"")</f>
        <v>-</v>
      </c>
    </row>
    <row r="206" spans="1:56" ht="16.350000000000001" customHeight="1">
      <c r="A206" s="175">
        <f t="shared" si="69"/>
        <v>2024</v>
      </c>
      <c r="B206" s="447" t="str">
        <f t="shared" si="70"/>
        <v>49</v>
      </c>
      <c r="C206" s="447" t="str">
        <f t="array" ref="C206">_xlfn.IFS(_xlfn.NUMBERVALUE(B206)&lt;=13,"Q1",AND(_xlfn.NUMBERVALUE(B206)&gt;13,_xlfn.NUMBERVALUE(B206)&lt;=26),"Q2", AND(_xlfn.NUMBERVALUE(B206)&gt;26,_xlfn.NUMBERVALUE(B206)&lt;=39),"Q3",_xlfn.NUMBERVALUE(B206)&gt;39,"Q4")</f>
        <v>Q4</v>
      </c>
      <c r="D206" s="448">
        <f t="shared" si="91"/>
        <v>45290</v>
      </c>
      <c r="E206" s="448">
        <f t="shared" si="71"/>
        <v>45296</v>
      </c>
      <c r="F206" s="79">
        <v>202349</v>
      </c>
      <c r="G206" s="103"/>
      <c r="H206" s="429"/>
      <c r="I206" s="429"/>
      <c r="J206" s="214">
        <f t="shared" si="72"/>
        <v>0</v>
      </c>
      <c r="K206" s="429"/>
      <c r="L206" s="429"/>
      <c r="M206" s="429"/>
      <c r="N206" s="214">
        <f t="shared" si="73"/>
        <v>0</v>
      </c>
      <c r="O206" s="449">
        <f>'Overall Metrics'!L211</f>
        <v>110251.34999999999</v>
      </c>
      <c r="P206" s="449">
        <f>'Overall Metrics'!M211</f>
        <v>163031</v>
      </c>
      <c r="Q206" s="449">
        <f>'Overall Metrics'!N211</f>
        <v>57471.7</v>
      </c>
      <c r="R206" s="449">
        <f t="shared" si="74"/>
        <v>330754.05</v>
      </c>
      <c r="S206" s="180">
        <f t="shared" si="75"/>
        <v>330754.05</v>
      </c>
      <c r="T206" s="449">
        <f t="shared" si="76"/>
        <v>0</v>
      </c>
      <c r="U206" s="449">
        <f t="shared" si="77"/>
        <v>0</v>
      </c>
      <c r="V206" s="450" t="e">
        <f t="shared" si="78"/>
        <v>#DIV/0!</v>
      </c>
      <c r="W206" s="450" t="e">
        <f>IF(R206=0,"-",SUMIFS($R$2:R206,$A$2:A206,A206,$C$2:C206,C206)/SUMIFS($J$2:J206,$A$2:A206,A206,$C$2:C206,C206)-1)</f>
        <v>#DIV/0!</v>
      </c>
      <c r="X206" s="450" t="str">
        <f t="shared" si="79"/>
        <v/>
      </c>
      <c r="Y206" s="450" t="str">
        <f>IFERROR(IF(R206=0,"-",SUMIFS($R$2:R206,$A$2:A206,A206,$C$2:C206,C206)/SUMIFS($N$2:N206,$A$2:A206,A206,$C$2:C206,C206)-1),"")</f>
        <v/>
      </c>
      <c r="Z206" s="269">
        <f>IF(R206=0,"",(S206/VLOOKUP(_xlfn.NUMBERVALUE(_xlfn.CONCAT(LEFT(F206,4),52)),$F$2:T413,COLUMNS($F$2:T413),FALSE)))</f>
        <v>0.50025114341718391</v>
      </c>
      <c r="AA206" s="269">
        <f>IFERROR(IF(R206=0,"",(S206/VLOOKUP(_xlfn.NUMBERVALUE(_xlfn.CONCAT(LEFT(F206,4),52)),$F$2:U413,COLUMNS($F$2:U413),FALSE))),"")</f>
        <v>0.45252053932399799</v>
      </c>
      <c r="AB206" s="268" t="e">
        <f t="shared" si="80"/>
        <v>#DIV/0!</v>
      </c>
      <c r="AC206" s="450" t="e">
        <f t="shared" si="81"/>
        <v>#DIV/0!</v>
      </c>
      <c r="AD206" s="450" t="e">
        <f t="shared" si="82"/>
        <v>#DIV/0!</v>
      </c>
      <c r="AE206" s="269" t="e">
        <f t="shared" si="83"/>
        <v>#DIV/0!</v>
      </c>
      <c r="AF206" s="268" t="str">
        <f t="shared" si="84"/>
        <v/>
      </c>
      <c r="AG206" s="450" t="str">
        <f t="shared" si="85"/>
        <v/>
      </c>
      <c r="AH206" s="450" t="str">
        <f t="shared" si="86"/>
        <v/>
      </c>
      <c r="AI206" s="269" t="str">
        <f t="shared" si="87"/>
        <v/>
      </c>
      <c r="AJ206" s="450" t="e">
        <f>IF(O206=0,"-",SUMIFS($O$2:O206,$A$2:A206,$A206,$F$2:F206,"&lt;="&amp;$F206)/SUMIFS($G$2:G206,$A$2:A206,$A206,$F$2:F206,"&lt;="&amp;$F206)-1)</f>
        <v>#DIV/0!</v>
      </c>
      <c r="AK206" s="450" t="e">
        <f>IF(P206=0,"-",SUMIFS($P$2:P206,$A$2:A206,$A206,$F$2:F206,"&lt;="&amp;$F206)/SUMIFS($H$2:H206,$A$2:A206,$A206,$F$2:F206,"&lt;="&amp;$F206)-1)</f>
        <v>#DIV/0!</v>
      </c>
      <c r="AL206" s="450" t="e">
        <f>IF(Q206=0,"-",SUMIFS($Q$2:Q206,$A$2:A206,$A206,$F$2:F206,"&lt;="&amp;$F206)/SUMIFS($I$2:I206,$A$2:A206,$A206,$F$2:F206,"&lt;="&amp;$F206)-1)</f>
        <v>#DIV/0!</v>
      </c>
      <c r="AM206" s="450" t="str">
        <f>IFERROR(IF(O206=0,"-",SUMIFS($O$2:O206,$A$2:A206,$A206,$F$2:F206,"&lt;="&amp;$F206)/SUMIFS($K$2:K206,$A$2:A206,$A206,$F$2:F206,"&lt;="&amp;$F206)-1),"")</f>
        <v/>
      </c>
      <c r="AN206" s="450" t="str">
        <f>IFERROR(IF(P206=0,"-",SUMIFS($P$2:P206,$A$2:A206,$A206,$F$2:F206,"&lt;="&amp;$F206)/SUMIFS($L$2:L206,$A$2:A206,$A206,$F$2:F206,"&lt;="&amp;$F206)-1),"")</f>
        <v/>
      </c>
      <c r="AO206" s="450" t="str">
        <f>IFERROR(IF(Q206=0,"-",SUMIFS($Q$2:Q206,$A$2:A206,$A206,$F$2:F206,"&lt;="&amp;$F206)/SUMIFS($M$2:M206,$A$2:A206,$A206,$F$2:F206,"&lt;="&amp;$F206)-1),"")</f>
        <v/>
      </c>
      <c r="AP206" s="134"/>
      <c r="AQ206" s="452">
        <f>'Overall Metrics'!AO211</f>
        <v>0.50468092408678122</v>
      </c>
      <c r="AR206" s="450">
        <f t="shared" si="88"/>
        <v>0.50468092408678122</v>
      </c>
      <c r="AS206" s="453" t="str">
        <f>IFERROR(IF(R207=0,"-",AVERAGEIFS($AQ$2:AQ206,$A$2:A206,$A206,$F$2:F206,"&lt;="&amp;$F206)-AVERAGEIFS($AP$2:AP206,$A$2:A206,$A206,$F$2:F206,"&lt;="&amp;$F206)),"")</f>
        <v/>
      </c>
      <c r="AT206" s="390" t="str">
        <f>IFERROR(IF(R207=0,"-",AVERAGEIFS($AQ$2:AQ206,$A$2:A206,A206,$C$2:C206,C206)-AVERAGEIFS($AP$2:AP206,$A$2:A206,A206,$C$2:C206,C206)),"")</f>
        <v/>
      </c>
      <c r="AU206" s="451"/>
      <c r="AV206" s="452">
        <f>'Overall Metrics'!AS211</f>
        <v>0</v>
      </c>
      <c r="AW206" s="450" t="str">
        <f t="shared" si="89"/>
        <v/>
      </c>
      <c r="AX206" s="453" t="str">
        <f>IFERROR(IF(R210=0,"-",AVERAGEIFS($AV$2:AV206,$A$2:A206,$A206,$F$2:F206,"&lt;="&amp;$F206)-AVERAGEIFS($AU$2:AU206,$A$2:A206,$A206,$F$2:F206,"&lt;="&amp;$F206)),"")</f>
        <v/>
      </c>
      <c r="AY206" s="453" t="str">
        <f>IFERROR(IF(R210=0,"-",AVERAGEIFS($AV$2:AV206,$A$2:A206,A206,$C$2:C206,C206)-AVERAGEIFS($AU$2:AU206,$A$2:A206,A206,$C$2:C206,C206)),"")</f>
        <v/>
      </c>
      <c r="AZ206" s="103"/>
      <c r="BA206" s="449">
        <f>'Glass Metrics'!AC211</f>
        <v>122171</v>
      </c>
      <c r="BB206" s="450" t="str">
        <f t="shared" si="90"/>
        <v/>
      </c>
      <c r="BC206" s="450" t="str">
        <f>IFERROR(IF(R206=0,"-",AVERAGEIFS($BA$2:BA206,$A$2:A206,$A206,$F$2:F206,"&lt;="&amp;$F206)/AVERAGEIFS($AZ$2:AZ206,$A$2:A206,$A206,$F$2:F206,"&lt;="&amp;$F206)-1),"")</f>
        <v/>
      </c>
      <c r="BD206" s="269" t="str">
        <f>IFERROR(IF(R206=0,"-",AVERAGEIFS($BA$2:BA206,$A$2:A206,A206,$C$2:C206,C206)/AVERAGEIFS($AZ$2:AZ206,$A$2:A206,A206,$C$2:C206,C206)-1),"")</f>
        <v/>
      </c>
    </row>
    <row r="207" spans="1:56" ht="16.350000000000001" customHeight="1">
      <c r="A207" s="175">
        <f t="shared" si="69"/>
        <v>2024</v>
      </c>
      <c r="B207" s="447" t="str">
        <f t="shared" si="70"/>
        <v>50</v>
      </c>
      <c r="C207" s="447" t="str">
        <f t="array" ref="C207">_xlfn.IFS(_xlfn.NUMBERVALUE(B207)&lt;=13,"Q1",AND(_xlfn.NUMBERVALUE(B207)&gt;13,_xlfn.NUMBERVALUE(B207)&lt;=26),"Q2", AND(_xlfn.NUMBERVALUE(B207)&gt;26,_xlfn.NUMBERVALUE(B207)&lt;=39),"Q3",_xlfn.NUMBERVALUE(B207)&gt;39,"Q4")</f>
        <v>Q4</v>
      </c>
      <c r="D207" s="448">
        <f t="shared" si="91"/>
        <v>45297</v>
      </c>
      <c r="E207" s="448">
        <f t="shared" si="71"/>
        <v>45303</v>
      </c>
      <c r="F207" s="79">
        <v>202350</v>
      </c>
      <c r="G207" s="103">
        <v>64848</v>
      </c>
      <c r="H207" s="429">
        <v>82207</v>
      </c>
      <c r="I207" s="429">
        <v>92884</v>
      </c>
      <c r="J207" s="214">
        <f t="shared" si="72"/>
        <v>239939</v>
      </c>
      <c r="K207" s="858">
        <v>96169</v>
      </c>
      <c r="L207" s="874">
        <v>59808</v>
      </c>
      <c r="M207" s="874">
        <v>79032</v>
      </c>
      <c r="N207" s="214">
        <f t="shared" si="73"/>
        <v>235009</v>
      </c>
      <c r="O207" s="449">
        <f>'Overall Metrics'!L212</f>
        <v>119155.75000000001</v>
      </c>
      <c r="P207" s="449">
        <f>'Overall Metrics'!M212</f>
        <v>162008</v>
      </c>
      <c r="Q207" s="449">
        <f>'Overall Metrics'!N212</f>
        <v>76303.5</v>
      </c>
      <c r="R207" s="449">
        <f t="shared" si="74"/>
        <v>357467.25</v>
      </c>
      <c r="S207" s="180">
        <f t="shared" si="75"/>
        <v>688221.3</v>
      </c>
      <c r="T207" s="449">
        <f t="shared" si="76"/>
        <v>239939</v>
      </c>
      <c r="U207" s="449">
        <f t="shared" si="77"/>
        <v>235009</v>
      </c>
      <c r="V207" s="450">
        <f t="shared" si="78"/>
        <v>1.8683177807692792</v>
      </c>
      <c r="W207" s="450">
        <f>IF(R207=0,"-",SUMIFS($R$2:R207,$A$2:A207,A207,$C$2:C207,C207)/SUMIFS($J$2:J207,$A$2:A207,A207,$C$2:C207,C207)-1)</f>
        <v>1.8683177807692792</v>
      </c>
      <c r="X207" s="450">
        <f t="shared" si="79"/>
        <v>1.9284891216932118</v>
      </c>
      <c r="Y207" s="450">
        <f>IFERROR(IF(R207=0,"-",SUMIFS($R$2:R207,$A$2:A207,A207,$C$2:C207,C207)/SUMIFS($N$2:N207,$A$2:A207,A207,$C$2:C207,C207)-1),"")</f>
        <v>1.9284891216932118</v>
      </c>
      <c r="Z207" s="269">
        <f>IF(R207=0,"",(S207/VLOOKUP(_xlfn.NUMBERVALUE(_xlfn.CONCAT(LEFT(F207,4),52)),$F$2:T414,COLUMNS($F$2:T414),FALSE)))</f>
        <v>1.0409048422810265</v>
      </c>
      <c r="AA207" s="269">
        <f>IFERROR(IF(R207=0,"",(S207/VLOOKUP(_xlfn.NUMBERVALUE(_xlfn.CONCAT(LEFT(F207,4),52)),$F$2:U414,COLUMNS($F$2:U414),FALSE))),"")</f>
        <v>0.94158869362374564</v>
      </c>
      <c r="AB207" s="268">
        <f t="shared" si="80"/>
        <v>0.83746221934369625</v>
      </c>
      <c r="AC207" s="450">
        <f t="shared" si="81"/>
        <v>0.97073241938034482</v>
      </c>
      <c r="AD207" s="450">
        <f t="shared" si="82"/>
        <v>-0.17850760087851514</v>
      </c>
      <c r="AE207" s="269">
        <f t="shared" si="83"/>
        <v>0.48982553899116033</v>
      </c>
      <c r="AF207" s="268">
        <f t="shared" si="84"/>
        <v>0.23902452973411403</v>
      </c>
      <c r="AG207" s="450">
        <f t="shared" si="85"/>
        <v>1.7088014981273409</v>
      </c>
      <c r="AH207" s="450">
        <f t="shared" si="86"/>
        <v>-3.4523990282417261E-2</v>
      </c>
      <c r="AI207" s="269">
        <f t="shared" si="87"/>
        <v>0.52107897995395924</v>
      </c>
      <c r="AJ207" s="450">
        <f>IF(O207=0,"-",SUMIFS($O$2:O207,$A$2:A207,$A207,$F$2:F207,"&lt;="&amp;$F207)/SUMIFS($G$2:G207,$A$2:A207,$A207,$F$2:F207,"&lt;="&amp;$F207)-1)</f>
        <v>2.5376125709351101</v>
      </c>
      <c r="AK207" s="450">
        <f>IF(P207=0,"-",SUMIFS($P$2:P207,$A$2:A207,$A207,$F$2:F207,"&lt;="&amp;$F207)/SUMIFS($H$2:H207,$A$2:A207,$A207,$F$2:F207,"&lt;="&amp;$F207)-1)</f>
        <v>2.9539090345104433</v>
      </c>
      <c r="AL207" s="450">
        <f>IF(Q207=0,"-",SUMIFS($Q$2:Q207,$A$2:A207,$A207,$F$2:F207,"&lt;="&amp;$F207)/SUMIFS($I$2:I207,$A$2:A207,$A207,$F$2:F207,"&lt;="&amp;$F207)-1)</f>
        <v>0.44023943843934377</v>
      </c>
      <c r="AM207" s="450">
        <f>IFERROR(IF(O207=0,"-",SUMIFS($O$2:O207,$A$2:A207,$A207,$F$2:F207,"&lt;="&amp;$F207)/SUMIFS($K$2:K207,$A$2:A207,$A207,$F$2:F207,"&lt;="&amp;$F207)-1),"")</f>
        <v>1.3854578918362468</v>
      </c>
      <c r="AN207" s="450">
        <f>IFERROR(IF(P207=0,"-",SUMIFS($P$2:P207,$A$2:A207,$A207,$F$2:F207,"&lt;="&amp;$F207)/SUMIFS($L$2:L207,$A$2:A207,$A207,$F$2:F207,"&lt;="&amp;$F207)-1),"")</f>
        <v>4.4347077314071699</v>
      </c>
      <c r="AO207" s="450">
        <f>IFERROR(IF(Q207=0,"-",SUMIFS($Q$2:Q207,$A$2:A207,$A207,$F$2:F207,"&lt;="&amp;$F207)/SUMIFS($M$2:M207,$A$2:A207,$A207,$F$2:F207,"&lt;="&amp;$F207)-1),"")</f>
        <v>0.69267132300840184</v>
      </c>
      <c r="AP207" s="858">
        <v>70815</v>
      </c>
      <c r="AQ207" s="452">
        <f>'Overall Metrics'!AO212</f>
        <v>0.77624912733764984</v>
      </c>
      <c r="AR207" s="450">
        <f t="shared" si="88"/>
        <v>-70814.223750872668</v>
      </c>
      <c r="AS207" s="453">
        <f>IFERROR(IF(R208=0,"-",AVERAGEIFS($AQ$2:AQ207,$A$2:A207,$A207,$F$2:F207,"&lt;="&amp;$F207)-AVERAGEIFS($AP$2:AP207,$A$2:A207,$A207,$F$2:F207,"&lt;="&amp;$F207)),"")</f>
        <v>-70814.359534974283</v>
      </c>
      <c r="AT207" s="390">
        <f>IFERROR(IF(R208=0,"-",AVERAGEIFS($AQ$2:AQ207,$A$2:A207,A207,$C$2:C207,C207)-AVERAGEIFS($AP$2:AP207,$A$2:A207,A207,$C$2:C207,C207)),"")</f>
        <v>-70814.359534974283</v>
      </c>
      <c r="AU207" s="858">
        <v>85173</v>
      </c>
      <c r="AV207" s="452">
        <f>'Overall Metrics'!AS212</f>
        <v>0</v>
      </c>
      <c r="AW207" s="450" t="str">
        <f t="shared" si="89"/>
        <v/>
      </c>
      <c r="AX207" s="453">
        <f>IFERROR(IF(R211=0,"-",AVERAGEIFS($AV$2:AV207,$A$2:A207,$A207,$F$2:F207,"&lt;="&amp;$F207)-AVERAGEIFS($AU$2:AU207,$A$2:A207,$A207,$F$2:F207,"&lt;="&amp;$F207)),"")</f>
        <v>-85173</v>
      </c>
      <c r="AY207" s="453">
        <f>IFERROR(IF(R211=0,"-",AVERAGEIFS($AV$2:AV207,$A$2:A207,A207,$C$2:C207,C207)-AVERAGEIFS($AU$2:AU207,$A$2:A207,A207,$C$2:C207,C207)),"")</f>
        <v>-85173</v>
      </c>
      <c r="AZ207" s="103">
        <v>64014</v>
      </c>
      <c r="BA207" s="449">
        <f>'Glass Metrics'!AC212</f>
        <v>147642</v>
      </c>
      <c r="BB207" s="450">
        <f t="shared" si="90"/>
        <v>1.3064017246227388</v>
      </c>
      <c r="BC207" s="450">
        <f>IFERROR(IF(R207=0,"-",AVERAGEIFS($BA$2:BA207,$A$2:A207,$A207,$F$2:F207,"&lt;="&amp;$F207)/AVERAGEIFS($AZ$2:AZ207,$A$2:A207,$A207,$F$2:F207,"&lt;="&amp;$F207)-1),"")</f>
        <v>-0.91570187771425005</v>
      </c>
      <c r="BD207" s="269">
        <f>IFERROR(IF(R207=0,"-",AVERAGEIFS($BA$2:BA207,$A$2:A207,A207,$C$2:C207,C207)/AVERAGEIFS($AZ$2:AZ207,$A$2:A207,A207,$C$2:C207,C207)-1),"")</f>
        <v>-0.61682671688295465</v>
      </c>
    </row>
    <row r="208" spans="1:56" ht="16.350000000000001" customHeight="1">
      <c r="A208" s="175">
        <f t="shared" si="69"/>
        <v>2024</v>
      </c>
      <c r="B208" s="447" t="str">
        <f t="shared" si="70"/>
        <v>51</v>
      </c>
      <c r="C208" s="447" t="str">
        <f t="array" ref="C208">_xlfn.IFS(_xlfn.NUMBERVALUE(B208)&lt;=13,"Q1",AND(_xlfn.NUMBERVALUE(B208)&gt;13,_xlfn.NUMBERVALUE(B208)&lt;=26),"Q2", AND(_xlfn.NUMBERVALUE(B208)&gt;26,_xlfn.NUMBERVALUE(B208)&lt;=39),"Q3",_xlfn.NUMBERVALUE(B208)&gt;39,"Q4")</f>
        <v>Q4</v>
      </c>
      <c r="D208" s="448">
        <f t="shared" si="91"/>
        <v>45304</v>
      </c>
      <c r="E208" s="448">
        <f t="shared" si="71"/>
        <v>45310</v>
      </c>
      <c r="F208" s="79">
        <v>202351</v>
      </c>
      <c r="G208" s="103">
        <v>69805</v>
      </c>
      <c r="H208" s="429">
        <v>64337</v>
      </c>
      <c r="I208" s="429">
        <v>95363</v>
      </c>
      <c r="J208" s="214">
        <f t="shared" si="72"/>
        <v>229505</v>
      </c>
      <c r="K208" s="858">
        <v>83349</v>
      </c>
      <c r="L208" s="874">
        <v>92710</v>
      </c>
      <c r="M208" s="874">
        <v>95112</v>
      </c>
      <c r="N208" s="214">
        <f t="shared" si="73"/>
        <v>271171</v>
      </c>
      <c r="O208" s="449">
        <f>'Overall Metrics'!L213</f>
        <v>101692.45000000003</v>
      </c>
      <c r="P208" s="449">
        <f>'Overall Metrics'!M213</f>
        <v>141761</v>
      </c>
      <c r="Q208" s="449">
        <f>'Overall Metrics'!N213</f>
        <v>61623.899999999994</v>
      </c>
      <c r="R208" s="449">
        <f t="shared" si="74"/>
        <v>305077.34999999998</v>
      </c>
      <c r="S208" s="180">
        <f t="shared" si="75"/>
        <v>993298.65</v>
      </c>
      <c r="T208" s="449">
        <f t="shared" si="76"/>
        <v>469444</v>
      </c>
      <c r="U208" s="449">
        <f t="shared" si="77"/>
        <v>506180</v>
      </c>
      <c r="V208" s="450">
        <f t="shared" si="78"/>
        <v>1.1159044529272926</v>
      </c>
      <c r="W208" s="450">
        <f>IF(R208=0,"-",SUMIFS($R$2:R208,$A$2:A208,A208,$C$2:C208,C208)/SUMIFS($J$2:J208,$A$2:A208,A208,$C$2:C208,C208)-1)</f>
        <v>1.1159044529272926</v>
      </c>
      <c r="X208" s="450">
        <f t="shared" si="79"/>
        <v>0.96234274368801609</v>
      </c>
      <c r="Y208" s="450">
        <f>IFERROR(IF(R208=0,"-",SUMIFS($R$2:R208,$A$2:A208,A208,$C$2:C208,C208)/SUMIFS($N$2:N208,$A$2:A208,A208,$C$2:C208,C208)-1),"")</f>
        <v>0.96234274368801609</v>
      </c>
      <c r="Z208" s="269">
        <f>IF(R208=0,"",(S208/VLOOKUP(_xlfn.NUMBERVALUE(_xlfn.CONCAT(LEFT(F208,4),52)),$F$2:T415,COLUMNS($F$2:T415),FALSE)))</f>
        <v>1.5023210915096736</v>
      </c>
      <c r="AA208" s="269">
        <f>IFERROR(IF(R208=0,"",(S208/VLOOKUP(_xlfn.NUMBERVALUE(_xlfn.CONCAT(LEFT(F208,4),52)),$F$2:U415,COLUMNS($F$2:U415),FALSE))),"")</f>
        <v>1.3589797035222975</v>
      </c>
      <c r="AB208" s="268">
        <f t="shared" si="80"/>
        <v>0.45680753527684304</v>
      </c>
      <c r="AC208" s="450">
        <f t="shared" si="81"/>
        <v>1.2034132769634893</v>
      </c>
      <c r="AD208" s="450">
        <f t="shared" si="82"/>
        <v>-0.35379654583014386</v>
      </c>
      <c r="AE208" s="269">
        <f t="shared" si="83"/>
        <v>0.32928411145726666</v>
      </c>
      <c r="AF208" s="268">
        <f t="shared" si="84"/>
        <v>0.22008002495530876</v>
      </c>
      <c r="AG208" s="450">
        <f t="shared" si="85"/>
        <v>0.52907992665300396</v>
      </c>
      <c r="AH208" s="450">
        <f t="shared" si="86"/>
        <v>-0.35209121877365634</v>
      </c>
      <c r="AI208" s="269">
        <f t="shared" si="87"/>
        <v>0.12503678490694048</v>
      </c>
      <c r="AJ208" s="450">
        <f>IF(O208=0,"-",SUMIFS($O$2:O208,$A$2:A208,$A208,$F$2:F208,"&lt;="&amp;$F208)/SUMIFS($G$2:G208,$A$2:A208,$A208,$F$2:F208,"&lt;="&amp;$F208)-1)</f>
        <v>1.4589095675551236</v>
      </c>
      <c r="AK208" s="450">
        <f>IF(P208=0,"-",SUMIFS($P$2:P208,$A$2:A208,$A208,$F$2:F208,"&lt;="&amp;$F208)/SUMIFS($H$2:H208,$A$2:A208,$A208,$F$2:F208,"&lt;="&amp;$F208)-1)</f>
        <v>2.1853914182771046</v>
      </c>
      <c r="AL208" s="450">
        <f>IF(Q208=0,"-",SUMIFS($Q$2:Q208,$A$2:A208,$A208,$F$2:F208,"&lt;="&amp;$F208)/SUMIFS($I$2:I208,$A$2:A208,$A208,$F$2:F208,"&lt;="&amp;$F208)-1)</f>
        <v>3.7993168549830925E-2</v>
      </c>
      <c r="AM208" s="450">
        <f>IFERROR(IF(O208=0,"-",SUMIFS($O$2:O208,$A$2:A208,$A208,$F$2:F208,"&lt;="&amp;$F208)/SUMIFS($K$2:K208,$A$2:A208,$A208,$F$2:F208,"&lt;="&amp;$F208)-1),"")</f>
        <v>0.84438078632783364</v>
      </c>
      <c r="AN208" s="450">
        <f>IFERROR(IF(P208=0,"-",SUMIFS($P$2:P208,$A$2:A208,$A208,$F$2:F208,"&lt;="&amp;$F208)/SUMIFS($L$2:L208,$A$2:A208,$A208,$F$2:F208,"&lt;="&amp;$F208)-1),"")</f>
        <v>2.060622352771476</v>
      </c>
      <c r="AO208" s="450">
        <f>IFERROR(IF(Q208=0,"-",SUMIFS($Q$2:Q208,$A$2:A208,$A208,$F$2:F208,"&lt;="&amp;$F208)/SUMIFS($M$2:M208,$A$2:A208,$A208,$F$2:F208,"&lt;="&amp;$F208)-1),"")</f>
        <v>0.12205473631018005</v>
      </c>
      <c r="AP208" s="858">
        <v>92200</v>
      </c>
      <c r="AQ208" s="452">
        <f>'Overall Metrics'!AO213</f>
        <v>0.40153540296894202</v>
      </c>
      <c r="AR208" s="450">
        <f t="shared" si="88"/>
        <v>-92199.598464597031</v>
      </c>
      <c r="AS208" s="453">
        <f>IFERROR(IF(R209=0,"-",AVERAGEIFS($AQ$2:AQ208,$A$2:A208,$A208,$F$2:F208,"&lt;="&amp;$F208)-AVERAGEIFS($AP$2:AP208,$A$2:A208,$A208,$F$2:F208,"&lt;="&amp;$F208)),"")</f>
        <v>-81506.93917818187</v>
      </c>
      <c r="AT208" s="390">
        <f>IFERROR(IF(R209=0,"-",AVERAGEIFS($AQ$2:AQ208,$A$2:A208,A208,$C$2:C208,C208)-AVERAGEIFS($AP$2:AP208,$A$2:A208,A208,$C$2:C208,C208)),"")</f>
        <v>-81506.93917818187</v>
      </c>
      <c r="AU208" s="858">
        <v>85756</v>
      </c>
      <c r="AV208" s="452">
        <f>'Overall Metrics'!AS213</f>
        <v>0</v>
      </c>
      <c r="AW208" s="450" t="str">
        <f t="shared" si="89"/>
        <v/>
      </c>
      <c r="AX208" s="453">
        <f>IFERROR(IF(R212=0,"-",AVERAGEIFS($AV$2:AV208,$A$2:A208,$A208,$F$2:F208,"&lt;="&amp;$F208)-AVERAGEIFS($AU$2:AU208,$A$2:A208,$A208,$F$2:F208,"&lt;="&amp;$F208)),"")</f>
        <v>-85464.5</v>
      </c>
      <c r="AY208" s="453">
        <f>IFERROR(IF(R212=0,"-",AVERAGEIFS($AV$2:AV208,$A$2:A208,A208,$C$2:C208,C208)-AVERAGEIFS($AU$2:AU208,$A$2:A208,A208,$C$2:C208,C208)),"")</f>
        <v>-85464.5</v>
      </c>
      <c r="AZ208" s="103">
        <v>66575</v>
      </c>
      <c r="BA208" s="449">
        <f>'Glass Metrics'!AC213</f>
        <v>115674</v>
      </c>
      <c r="BB208" s="450">
        <f t="shared" si="90"/>
        <v>0.73749906120916253</v>
      </c>
      <c r="BC208" s="450">
        <f>IFERROR(IF(R208=0,"-",AVERAGEIFS($BA$2:BA208,$A$2:A208,$A208,$F$2:F208,"&lt;="&amp;$F208)/AVERAGEIFS($AZ$2:AZ208,$A$2:A208,$A208,$F$2:F208,"&lt;="&amp;$F208)-1),"")</f>
        <v>-0.88423881601894527</v>
      </c>
      <c r="BD208" s="269">
        <f>IFERROR(IF(R208=0,"-",AVERAGEIFS($BA$2:BA208,$A$2:A208,A208,$C$2:C208,C208)/AVERAGEIFS($AZ$2:AZ208,$A$2:A208,A208,$C$2:C208,C208)-1),"")</f>
        <v>-0.50801496808051727</v>
      </c>
    </row>
    <row r="209" spans="1:56" ht="15.75" customHeight="1">
      <c r="A209" s="175">
        <f t="shared" si="69"/>
        <v>2024</v>
      </c>
      <c r="B209" s="447" t="str">
        <f t="shared" si="70"/>
        <v>52</v>
      </c>
      <c r="C209" s="447" t="str">
        <f t="array" ref="C209">_xlfn.IFS(_xlfn.NUMBERVALUE(B209)&lt;=13,"Q1",AND(_xlfn.NUMBERVALUE(B209)&gt;13,_xlfn.NUMBERVALUE(B209)&lt;=26),"Q2", AND(_xlfn.NUMBERVALUE(B209)&gt;26,_xlfn.NUMBERVALUE(B209)&lt;=39),"Q3",_xlfn.NUMBERVALUE(B209)&gt;39,"Q4")</f>
        <v>Q4</v>
      </c>
      <c r="D209" s="448">
        <f t="shared" si="91"/>
        <v>45311</v>
      </c>
      <c r="E209" s="448">
        <f t="shared" si="71"/>
        <v>45317</v>
      </c>
      <c r="F209" s="79">
        <v>202352</v>
      </c>
      <c r="G209" s="103">
        <v>51257</v>
      </c>
      <c r="H209" s="429">
        <v>72159</v>
      </c>
      <c r="I209" s="429">
        <v>68316</v>
      </c>
      <c r="J209" s="214">
        <f t="shared" si="72"/>
        <v>191732</v>
      </c>
      <c r="K209" s="858">
        <v>63914</v>
      </c>
      <c r="L209" s="874">
        <v>69494</v>
      </c>
      <c r="M209" s="874">
        <v>91327</v>
      </c>
      <c r="N209" s="214">
        <f t="shared" si="73"/>
        <v>224735</v>
      </c>
      <c r="O209" s="449">
        <f>'Overall Metrics'!L214</f>
        <v>103303</v>
      </c>
      <c r="P209" s="449">
        <f>'Overall Metrics'!M214</f>
        <v>142776</v>
      </c>
      <c r="Q209" s="449">
        <f>'Overall Metrics'!N214</f>
        <v>63830</v>
      </c>
      <c r="R209" s="449">
        <f t="shared" si="74"/>
        <v>309909</v>
      </c>
      <c r="S209" s="180">
        <f t="shared" si="75"/>
        <v>1303207.6499999999</v>
      </c>
      <c r="T209" s="449">
        <f t="shared" si="76"/>
        <v>661176</v>
      </c>
      <c r="U209" s="449">
        <f t="shared" si="77"/>
        <v>730915</v>
      </c>
      <c r="V209" s="450">
        <f t="shared" si="78"/>
        <v>0.97104500163345309</v>
      </c>
      <c r="W209" s="450">
        <f>IF(R209=0,"-",SUMIFS($R$2:R209,$A$2:A209,A209,$C$2:C209,C209)/SUMIFS($J$2:J209,$A$2:A209,A209,$C$2:C209,C209)-1)</f>
        <v>0.97104500163345309</v>
      </c>
      <c r="X209" s="450">
        <f t="shared" si="79"/>
        <v>0.78298112639636597</v>
      </c>
      <c r="Y209" s="450">
        <f>IFERROR(IF(R209=0,"-",SUMIFS($R$2:R209,$A$2:A209,A209,$C$2:C209,C209)/SUMIFS($N$2:N209,$A$2:A209,A209,$C$2:C209,C209)-1),"")</f>
        <v>0.78298112639636597</v>
      </c>
      <c r="Z209" s="269">
        <f>IF(R209=0,"",(S209/VLOOKUP(_xlfn.NUMBERVALUE(_xlfn.CONCAT(LEFT(F209,4),52)),$F$2:T416,COLUMNS($F$2:T416),FALSE)))</f>
        <v>1.9710450016334531</v>
      </c>
      <c r="AA209" s="269">
        <f>IFERROR(IF(R209=0,"",(S209/VLOOKUP(_xlfn.NUMBERVALUE(_xlfn.CONCAT(LEFT(F209,4),52)),$F$2:U416,COLUMNS($F$2:U416),FALSE))),"")</f>
        <v>1.782981126396366</v>
      </c>
      <c r="AB209" s="268">
        <f t="shared" si="80"/>
        <v>1.0153930194900207</v>
      </c>
      <c r="AC209" s="450">
        <f t="shared" si="81"/>
        <v>0.97863052425892816</v>
      </c>
      <c r="AD209" s="450">
        <f t="shared" si="82"/>
        <v>-6.5665437086480427E-2</v>
      </c>
      <c r="AE209" s="269">
        <f t="shared" si="83"/>
        <v>0.61636555191621634</v>
      </c>
      <c r="AF209" s="268">
        <f t="shared" si="84"/>
        <v>0.61628125293362968</v>
      </c>
      <c r="AG209" s="450">
        <f t="shared" si="85"/>
        <v>1.0545083028750684</v>
      </c>
      <c r="AH209" s="450">
        <f t="shared" si="86"/>
        <v>-0.30108292180844654</v>
      </c>
      <c r="AI209" s="269">
        <f t="shared" si="87"/>
        <v>0.37899748592787064</v>
      </c>
      <c r="AJ209" s="450">
        <f>IF(O209=0,"-",SUMIFS($O$2:O209,$A$2:A209,$A209,$F$2:F209,"&lt;="&amp;$F209)/SUMIFS($G$2:G209,$A$2:A209,$A209,$F$2:F209,"&lt;="&amp;$F209)-1)</f>
        <v>1.3366282071970312</v>
      </c>
      <c r="AK209" s="450">
        <f>IF(P209=0,"-",SUMIFS($P$2:P209,$A$2:A209,$A209,$F$2:F209,"&lt;="&amp;$F209)/SUMIFS($H$2:H209,$A$2:A209,$A209,$F$2:F209,"&lt;="&amp;$F209)-1)</f>
        <v>1.7872319995610484</v>
      </c>
      <c r="AL209" s="450">
        <f>IF(Q209=0,"-",SUMIFS($Q$2:Q209,$A$2:A209,$A209,$F$2:F209,"&lt;="&amp;$F209)/SUMIFS($I$2:I209,$A$2:A209,$A209,$F$2:F209,"&lt;="&amp;$F209)-1)</f>
        <v>1.0391599724044465E-2</v>
      </c>
      <c r="AM209" s="450">
        <f>IFERROR(IF(O209=0,"-",SUMIFS($O$2:O209,$A$2:A209,$A209,$F$2:F209,"&lt;="&amp;$F209)/SUMIFS($K$2:K209,$A$2:A209,$A209,$F$2:F209,"&lt;="&amp;$F209)-1),"")</f>
        <v>0.78449238391008591</v>
      </c>
      <c r="AN209" s="450">
        <f>IFERROR(IF(P209=0,"-",SUMIFS($P$2:P209,$A$2:A209,$A209,$F$2:F209,"&lt;="&amp;$F209)/SUMIFS($L$2:L209,$A$2:A209,$A209,$F$2:F209,"&lt;="&amp;$F209)-1),"")</f>
        <v>1.745689422193395</v>
      </c>
      <c r="AO209" s="450">
        <f>IFERROR(IF(Q209=0,"-",SUMIFS($Q$2:Q209,$A$2:A209,$A209,$F$2:F209,"&lt;="&amp;$F209)/SUMIFS($M$2:M209,$A$2:A209,$A209,$F$2:F209,"&lt;="&amp;$F209)-1),"")</f>
        <v>-2.3512549393342352E-2</v>
      </c>
      <c r="AP209" s="858">
        <v>55710</v>
      </c>
      <c r="AQ209" s="452">
        <f>'Overall Metrics'!AO214</f>
        <v>0.1823045177943782</v>
      </c>
      <c r="AR209" s="450">
        <f t="shared" si="88"/>
        <v>-55709.817695482205</v>
      </c>
      <c r="AS209" s="453">
        <f>IFERROR(IF(R210=0,"-",AVERAGEIFS($AQ$2:AQ209,$A$2:A209,$A209,$F$2:F209,"&lt;="&amp;$F209)-AVERAGEIFS($AP$2:AP209,$A$2:A209,$A209,$F$2:F209,"&lt;="&amp;$F209)),"")</f>
        <v>-72907.867140840288</v>
      </c>
      <c r="AT209" s="390">
        <f>IFERROR(IF(R210=0,"-",AVERAGEIFS($AQ$2:AQ209,$A$2:A209,A209,$C$2:C209,C209)-AVERAGEIFS($AP$2:AP209,$A$2:A209,A209,$C$2:C209,C209)),"")</f>
        <v>-72907.867140840288</v>
      </c>
      <c r="AU209" s="858">
        <v>83876</v>
      </c>
      <c r="AV209" s="452">
        <f>'Overall Metrics'!AS214</f>
        <v>0</v>
      </c>
      <c r="AW209" s="450" t="str">
        <f t="shared" si="89"/>
        <v/>
      </c>
      <c r="AX209" s="453">
        <f>IFERROR(IF(R213=0,"-",AVERAGEIFS($AV$2:AV209,$A$2:A209,$A209,$F$2:F209,"&lt;="&amp;$F209)-AVERAGEIFS($AU$2:AU209,$A$2:A209,$A209,$F$2:F209,"&lt;="&amp;$F209)),"")</f>
        <v>-84935</v>
      </c>
      <c r="AY209" s="453">
        <f>IFERROR(IF(R213=0,"-",AVERAGEIFS($AV$2:AV209,$A$2:A209,A209,$C$2:C209,C209)-AVERAGEIFS($AU$2:AU209,$A$2:A209,A209,$C$2:C209,C209)),"")</f>
        <v>-84935</v>
      </c>
      <c r="AZ209" s="103">
        <v>93958</v>
      </c>
      <c r="BA209" s="449">
        <f>'Glass Metrics'!AC214</f>
        <v>158838</v>
      </c>
      <c r="BB209" s="450">
        <f t="shared" si="90"/>
        <v>0.69052129674961149</v>
      </c>
      <c r="BC209" s="450">
        <f>IFERROR(IF(R209=0,"-",AVERAGEIFS($BA$2:BA209,$A$2:A209,$A209,$F$2:F209,"&lt;="&amp;$F209)/AVERAGEIFS($AZ$2:AZ209,$A$2:A209,$A209,$F$2:F209,"&lt;="&amp;$F209)-1),"")</f>
        <v>-0.86014791832170823</v>
      </c>
      <c r="BD209" s="269">
        <f>IFERROR(IF(R209=0,"-",AVERAGEIFS($BA$2:BA209,$A$2:A209,A209,$C$2:C209,C209)/AVERAGEIFS($AZ$2:AZ209,$A$2:A209,A209,$C$2:C209,C209)-1),"")</f>
        <v>-0.44059167328683291</v>
      </c>
    </row>
    <row r="210" spans="1:56" ht="16.350000000000001" customHeight="1">
      <c r="A210" s="175">
        <f t="shared" si="69"/>
        <v>2025</v>
      </c>
      <c r="B210" s="447" t="str">
        <f t="shared" si="70"/>
        <v>01</v>
      </c>
      <c r="C210" s="447" t="str">
        <f t="array" ref="C210">_xlfn.IFS(_xlfn.NUMBERVALUE(B210)&lt;=13,"Q1",AND(_xlfn.NUMBERVALUE(B210)&gt;13,_xlfn.NUMBERVALUE(B210)&lt;=26),"Q2", AND(_xlfn.NUMBERVALUE(B210)&gt;26,_xlfn.NUMBERVALUE(B210)&lt;=39),"Q3",_xlfn.NUMBERVALUE(B210)&gt;39,"Q4")</f>
        <v>Q1</v>
      </c>
      <c r="D210" s="448">
        <f t="shared" si="91"/>
        <v>45318</v>
      </c>
      <c r="E210" s="448">
        <f t="shared" si="71"/>
        <v>45324</v>
      </c>
      <c r="F210" s="79">
        <v>202401</v>
      </c>
      <c r="G210" s="103">
        <v>83846</v>
      </c>
      <c r="H210" s="429">
        <v>81158</v>
      </c>
      <c r="I210" s="429">
        <v>63187</v>
      </c>
      <c r="J210" s="214">
        <f t="shared" si="72"/>
        <v>228191</v>
      </c>
      <c r="K210" s="103">
        <v>54800</v>
      </c>
      <c r="L210" s="429">
        <v>76033</v>
      </c>
      <c r="M210" s="429">
        <v>93737</v>
      </c>
      <c r="N210" s="214">
        <f t="shared" si="73"/>
        <v>224570</v>
      </c>
      <c r="O210" s="449">
        <f>'Overall Metrics'!L215</f>
        <v>105461.09999999999</v>
      </c>
      <c r="P210" s="449">
        <f>'Overall Metrics'!M215</f>
        <v>118252</v>
      </c>
      <c r="Q210" s="449">
        <f>'Overall Metrics'!N215</f>
        <v>63107.199999999997</v>
      </c>
      <c r="R210" s="449">
        <f t="shared" si="74"/>
        <v>286820.3</v>
      </c>
      <c r="S210" s="180">
        <f t="shared" si="75"/>
        <v>286820.3</v>
      </c>
      <c r="T210" s="449">
        <f t="shared" si="76"/>
        <v>228191</v>
      </c>
      <c r="U210" s="449">
        <f t="shared" si="77"/>
        <v>224570</v>
      </c>
      <c r="V210" s="450">
        <f t="shared" si="78"/>
        <v>0.2569308167280917</v>
      </c>
      <c r="W210" s="450">
        <f>IF(R210=0,"-",SUMIFS($R$2:R210,$A$2:A210,A210,$C$2:C210,C210)/SUMIFS($J$2:J210,$A$2:A210,A210,$C$2:C210,C210)-1)</f>
        <v>0.2569308167280917</v>
      </c>
      <c r="X210" s="450">
        <f t="shared" si="79"/>
        <v>0.27719775571091421</v>
      </c>
      <c r="Y210" s="450">
        <f>IFERROR(IF(R210=0,"-",SUMIFS($R$2:R210,$A$2:A210,A210,$C$2:C210,C210)/SUMIFS($N$2:N210,$A$2:A210,A210,$C$2:C210,C210)-1),"")</f>
        <v>0.27719775571091421</v>
      </c>
      <c r="Z210" s="269">
        <f>IF(R210=0,"",(S210/VLOOKUP(_xlfn.NUMBERVALUE(_xlfn.CONCAT(LEFT(F210,4),52)),$F$2:T417,COLUMNS($F$2:T417),FALSE)))</f>
        <v>2.4418070783726285E-2</v>
      </c>
      <c r="AA210" s="269">
        <f>IFERROR(IF(R210=0,"",(S210/VLOOKUP(_xlfn.NUMBERVALUE(_xlfn.CONCAT(LEFT(F210,4),52)),$F$2:U417,COLUMNS($F$2:U417),FALSE))),"")</f>
        <v>2.4656600757337332E-2</v>
      </c>
      <c r="AB210" s="268">
        <f t="shared" si="80"/>
        <v>0.25779524366099738</v>
      </c>
      <c r="AC210" s="450">
        <f t="shared" si="81"/>
        <v>0.45705906996229584</v>
      </c>
      <c r="AD210" s="450">
        <f t="shared" si="82"/>
        <v>-1.2629180052859956E-3</v>
      </c>
      <c r="AE210" s="269">
        <f t="shared" si="83"/>
        <v>0.2569308167280917</v>
      </c>
      <c r="AF210" s="268">
        <f t="shared" si="84"/>
        <v>0.92447262773722616</v>
      </c>
      <c r="AG210" s="450">
        <f t="shared" si="85"/>
        <v>0.55527205292438819</v>
      </c>
      <c r="AH210" s="450">
        <f t="shared" si="86"/>
        <v>-0.32676317782732545</v>
      </c>
      <c r="AI210" s="269">
        <f t="shared" si="87"/>
        <v>0.27719775571091421</v>
      </c>
      <c r="AJ210" s="450">
        <f>IF(O210=0,"-",SUMIFS($O$2:O210,$A$2:A210,$A210,$F$2:F210,"&lt;="&amp;$F210)/SUMIFS($G$2:G210,$A$2:A210,$A210,$F$2:F210,"&lt;="&amp;$F210)-1)</f>
        <v>0.25779524366099738</v>
      </c>
      <c r="AK210" s="450">
        <f>IF(P210=0,"-",SUMIFS($P$2:P210,$A$2:A210,$A210,$F$2:F210,"&lt;="&amp;$F210)/SUMIFS($H$2:H210,$A$2:A210,$A210,$F$2:F210,"&lt;="&amp;$F210)-1)</f>
        <v>0.45705906996229584</v>
      </c>
      <c r="AL210" s="450">
        <f>IF(Q210=0,"-",SUMIFS($Q$2:Q210,$A$2:A210,$A210,$F$2:F210,"&lt;="&amp;$F210)/SUMIFS($I$2:I210,$A$2:A210,$A210,$F$2:F210,"&lt;="&amp;$F210)-1)</f>
        <v>-1.2629180052859956E-3</v>
      </c>
      <c r="AM210" s="450">
        <f>IFERROR(IF(O210=0,"-",SUMIFS($O$2:O210,$A$2:A210,$A210,$F$2:F210,"&lt;="&amp;$F210)/SUMIFS($K$2:K210,$A$2:A210,$A210,$F$2:F210,"&lt;="&amp;$F210)-1),"")</f>
        <v>0.92447262773722616</v>
      </c>
      <c r="AN210" s="450">
        <f>IFERROR(IF(P210=0,"-",SUMIFS($P$2:P210,$A$2:A210,$A210,$F$2:F210,"&lt;="&amp;$F210)/SUMIFS($L$2:L210,$A$2:A210,$A210,$F$2:F210,"&lt;="&amp;$F210)-1),"")</f>
        <v>0.55527205292438819</v>
      </c>
      <c r="AO210" s="450">
        <f>IFERROR(IF(Q210=0,"-",SUMIFS($Q$2:Q210,$A$2:A210,$A210,$F$2:F210,"&lt;="&amp;$F210)/SUMIFS($M$2:M210,$A$2:A210,$A210,$F$2:F210,"&lt;="&amp;$F210)-1),"")</f>
        <v>-0.32676317782732545</v>
      </c>
      <c r="AP210" s="103">
        <v>68634</v>
      </c>
      <c r="AQ210" s="452">
        <f>'Overall Metrics'!AO215</f>
        <v>0.70947060604985035</v>
      </c>
      <c r="AR210" s="450">
        <f t="shared" si="88"/>
        <v>-68633.290529393955</v>
      </c>
      <c r="AS210" s="453">
        <f>IFERROR(IF(R211=0,"-",AVERAGEIFS($AQ$2:AQ210,$A$2:A210,$A210,$F$2:F210,"&lt;="&amp;$F210)-AVERAGEIFS($AP$2:AP210,$A$2:A210,$A210,$F$2:F210,"&lt;="&amp;$F210)),"")</f>
        <v>-68633.290529393955</v>
      </c>
      <c r="AT210" s="390">
        <f>IFERROR(IF(R211=0,"-",AVERAGEIFS($AQ$2:AQ210,$A$2:A210,A210,$C$2:C210,C210)-AVERAGEIFS($AP$2:AP210,$A$2:A210,A210,$C$2:C210,C210)),"")</f>
        <v>-68633.290529393955</v>
      </c>
      <c r="AU210" s="103">
        <v>60860</v>
      </c>
      <c r="AV210" s="452">
        <f>'Overall Metrics'!AS215</f>
        <v>0</v>
      </c>
      <c r="AW210" s="450" t="str">
        <f t="shared" si="89"/>
        <v/>
      </c>
      <c r="AX210" s="453">
        <f>IFERROR(IF(R214=0,"-",AVERAGEIFS($AV$2:AV210,$A$2:A210,$A210,$F$2:F210,"&lt;="&amp;$F210)-AVERAGEIFS($AU$2:AU210,$A$2:A210,$A210,$F$2:F210,"&lt;="&amp;$F210)),"")</f>
        <v>-60860</v>
      </c>
      <c r="AY210" s="453">
        <f>IFERROR(IF(R214=0,"-",AVERAGEIFS($AV$2:AV210,$A$2:A210,A210,$C$2:C210,C210)-AVERAGEIFS($AU$2:AU210,$A$2:A210,A210,$C$2:C210,C210)),"")</f>
        <v>-60860</v>
      </c>
      <c r="AZ210" s="103">
        <v>59955</v>
      </c>
      <c r="BA210" s="449">
        <f>'Glass Metrics'!AC215</f>
        <v>156918</v>
      </c>
      <c r="BB210" s="450">
        <f t="shared" si="90"/>
        <v>1.6172629472104076</v>
      </c>
      <c r="BC210" s="450">
        <f>IFERROR(IF(R210=0,"-",AVERAGEIFS($BA$2:BA210,$A$2:A210,$A210,$F$2:F210,"&lt;="&amp;$F210)/AVERAGEIFS($AZ$2:AZ210,$A$2:A210,$A210,$F$2:F210,"&lt;="&amp;$F210)-1),"")</f>
        <v>1.6172629472104076</v>
      </c>
      <c r="BD210" s="269">
        <f>IFERROR(IF(R210=0,"-",AVERAGEIFS($BA$2:BA210,$A$2:A210,A210,$C$2:C210,C210)/AVERAGEIFS($AZ$2:AZ210,$A$2:A210,A210,$C$2:C210,C210)-1),"")</f>
        <v>1.6172629472104076</v>
      </c>
    </row>
    <row r="211" spans="1:56" ht="16.350000000000001" customHeight="1">
      <c r="A211" s="175">
        <f t="shared" si="69"/>
        <v>2025</v>
      </c>
      <c r="B211" s="447" t="str">
        <f t="shared" si="70"/>
        <v>02</v>
      </c>
      <c r="C211" s="447" t="str">
        <f t="array" ref="C211">_xlfn.IFS(_xlfn.NUMBERVALUE(B211)&lt;=13,"Q1",AND(_xlfn.NUMBERVALUE(B211)&gt;13,_xlfn.NUMBERVALUE(B211)&lt;=26),"Q2", AND(_xlfn.NUMBERVALUE(B211)&gt;26,_xlfn.NUMBERVALUE(B211)&lt;=39),"Q3",_xlfn.NUMBERVALUE(B211)&gt;39,"Q4")</f>
        <v>Q1</v>
      </c>
      <c r="D211" s="448">
        <f t="shared" si="91"/>
        <v>45325</v>
      </c>
      <c r="E211" s="448">
        <f t="shared" si="71"/>
        <v>45331</v>
      </c>
      <c r="F211" s="79">
        <v>202402</v>
      </c>
      <c r="G211" s="103">
        <v>67068</v>
      </c>
      <c r="H211" s="429">
        <v>65431</v>
      </c>
      <c r="I211" s="429">
        <v>96574</v>
      </c>
      <c r="J211" s="214">
        <f t="shared" si="72"/>
        <v>229073</v>
      </c>
      <c r="K211" s="103">
        <v>61977</v>
      </c>
      <c r="L211" s="429">
        <v>59706</v>
      </c>
      <c r="M211" s="429">
        <v>90040</v>
      </c>
      <c r="N211" s="214">
        <f t="shared" si="73"/>
        <v>211723</v>
      </c>
      <c r="O211" s="449">
        <f>'Overall Metrics'!L216</f>
        <v>93331.89999999998</v>
      </c>
      <c r="P211" s="449">
        <f>'Overall Metrics'!M216</f>
        <v>102972</v>
      </c>
      <c r="Q211" s="449">
        <f>'Overall Metrics'!N216</f>
        <v>57948.800000000003</v>
      </c>
      <c r="R211" s="449">
        <f t="shared" si="74"/>
        <v>254252.69999999995</v>
      </c>
      <c r="S211" s="180">
        <f t="shared" si="75"/>
        <v>541073</v>
      </c>
      <c r="T211" s="449">
        <f t="shared" si="76"/>
        <v>457264</v>
      </c>
      <c r="U211" s="449">
        <f t="shared" si="77"/>
        <v>436293</v>
      </c>
      <c r="V211" s="450">
        <f t="shared" si="78"/>
        <v>0.18328361734140453</v>
      </c>
      <c r="W211" s="450">
        <f>IF(R211=0,"-",SUMIFS($R$2:R211,$A$2:A211,A211,$C$2:C211,C211)/SUMIFS($J$2:J211,$A$2:A211,A211,$C$2:C211,C211)-1)</f>
        <v>0.18328361734140453</v>
      </c>
      <c r="X211" s="450">
        <f t="shared" si="79"/>
        <v>0.24015970918625795</v>
      </c>
      <c r="Y211" s="450">
        <f>IFERROR(IF(R211=0,"-",SUMIFS($R$2:R211,$A$2:A211,A211,$C$2:C211,C211)/SUMIFS($N$2:N211,$A$2:A211,A211,$C$2:C211,C211)-1),"")</f>
        <v>0.24015970918625795</v>
      </c>
      <c r="Z211" s="269">
        <f>IF(R211=0,"",(S211/VLOOKUP(_xlfn.NUMBERVALUE(_xlfn.CONCAT(LEFT(F211,4),52)),$F$2:T418,COLUMNS($F$2:T418),FALSE)))</f>
        <v>4.6063541573463013E-2</v>
      </c>
      <c r="AA211" s="269">
        <f>IFERROR(IF(R211=0,"",(S211/VLOOKUP(_xlfn.NUMBERVALUE(_xlfn.CONCAT(LEFT(F211,4),52)),$F$2:U418,COLUMNS($F$2:U418),FALSE))),"")</f>
        <v>4.6513517144967716E-2</v>
      </c>
      <c r="AB211" s="268">
        <f t="shared" si="80"/>
        <v>0.39160106160911279</v>
      </c>
      <c r="AC211" s="450">
        <f t="shared" si="81"/>
        <v>0.57374944598126265</v>
      </c>
      <c r="AD211" s="450">
        <f t="shared" si="82"/>
        <v>-0.399954439082983</v>
      </c>
      <c r="AE211" s="269">
        <f t="shared" si="83"/>
        <v>0.10991998183984997</v>
      </c>
      <c r="AF211" s="268">
        <f t="shared" si="84"/>
        <v>0.50591187053261666</v>
      </c>
      <c r="AG211" s="450">
        <f t="shared" si="85"/>
        <v>0.72465078886544076</v>
      </c>
      <c r="AH211" s="450">
        <f t="shared" si="86"/>
        <v>-0.35641048422923138</v>
      </c>
      <c r="AI211" s="269">
        <f t="shared" si="87"/>
        <v>0.20087425551309934</v>
      </c>
      <c r="AJ211" s="450">
        <f>IF(O211=0,"-",SUMIFS($O$2:O211,$A$2:A211,$A211,$F$2:F211,"&lt;="&amp;$F211)/SUMIFS($G$2:G211,$A$2:A211,$A211,$F$2:F211,"&lt;="&amp;$F211)-1)</f>
        <v>0.31726016141643565</v>
      </c>
      <c r="AK211" s="450">
        <f>IF(P211=0,"-",SUMIFS($P$2:P211,$A$2:A211,$A211,$F$2:F211,"&lt;="&amp;$F211)/SUMIFS($H$2:H211,$A$2:A211,$A211,$F$2:F211,"&lt;="&amp;$F211)-1)</f>
        <v>0.5091446152166943</v>
      </c>
      <c r="AL211" s="450">
        <f>IF(Q211=0,"-",SUMIFS($Q$2:Q211,$A$2:A211,$A211,$F$2:F211,"&lt;="&amp;$F211)/SUMIFS($I$2:I211,$A$2:A211,$A211,$F$2:F211,"&lt;="&amp;$F211)-1)</f>
        <v>-0.24226813803118408</v>
      </c>
      <c r="AM211" s="450">
        <f>IFERROR(IF(O211=0,"-",SUMIFS($O$2:O211,$A$2:A211,$A211,$F$2:F211,"&lt;="&amp;$F211)/SUMIFS($K$2:K211,$A$2:A211,$A211,$F$2:F211,"&lt;="&amp;$F211)-1),"")</f>
        <v>0.7023300821223355</v>
      </c>
      <c r="AN211" s="450">
        <f>IFERROR(IF(P211=0,"-",SUMIFS($P$2:P211,$A$2:A211,$A211,$F$2:F211,"&lt;="&amp;$F211)/SUMIFS($L$2:L211,$A$2:A211,$A211,$F$2:F211,"&lt;="&amp;$F211)-1),"")</f>
        <v>0.62977478838064216</v>
      </c>
      <c r="AO211" s="450">
        <f>IFERROR(IF(Q211=0,"-",SUMIFS($Q$2:Q211,$A$2:A211,$A211,$F$2:F211,"&lt;="&amp;$F211)/SUMIFS($M$2:M211,$A$2:A211,$A211,$F$2:F211,"&lt;="&amp;$F211)-1),"")</f>
        <v>-0.34128862697726048</v>
      </c>
      <c r="AP211" s="103">
        <v>68621</v>
      </c>
      <c r="AQ211" s="452">
        <f>'Overall Metrics'!AO216</f>
        <v>0.28093824650666188</v>
      </c>
      <c r="AR211" s="450">
        <f t="shared" si="88"/>
        <v>-68620.719061753494</v>
      </c>
      <c r="AS211" s="453">
        <f>IFERROR(IF(R212=0,"-",AVERAGEIFS($AQ$2:AQ211,$A$2:A211,$A211,$F$2:F211,"&lt;="&amp;$F211)-AVERAGEIFS($AP$2:AP211,$A$2:A211,$A211,$F$2:F211,"&lt;="&amp;$F211)),"")</f>
        <v>-68627.004795573725</v>
      </c>
      <c r="AT211" s="390">
        <f>IFERROR(IF(R212=0,"-",AVERAGEIFS($AQ$2:AQ211,$A$2:A211,A211,$C$2:C211,C211)-AVERAGEIFS($AP$2:AP211,$A$2:A211,A211,$C$2:C211,C211)),"")</f>
        <v>-68627.004795573725</v>
      </c>
      <c r="AU211" s="103">
        <v>51031</v>
      </c>
      <c r="AV211" s="452">
        <f>'Overall Metrics'!AS216</f>
        <v>0</v>
      </c>
      <c r="AW211" s="450" t="str">
        <f t="shared" si="89"/>
        <v/>
      </c>
      <c r="AX211" s="453">
        <f>IFERROR(IF(R215=0,"-",AVERAGEIFS($AV$2:AV211,$A$2:A211,$A211,$F$2:F211,"&lt;="&amp;$F211)-AVERAGEIFS($AU$2:AU211,$A$2:A211,$A211,$F$2:F211,"&lt;="&amp;$F211)),"")</f>
        <v>-55945.5</v>
      </c>
      <c r="AY211" s="453">
        <f>IFERROR(IF(R215=0,"-",AVERAGEIFS($AV$2:AV211,$A$2:A211,A211,$C$2:C211,C211)-AVERAGEIFS($AU$2:AU211,$A$2:A211,A211,$C$2:C211,C211)),"")</f>
        <v>-55945.5</v>
      </c>
      <c r="AZ211" s="103">
        <v>175861</v>
      </c>
      <c r="BA211" s="449">
        <f>'Glass Metrics'!AC216</f>
        <v>137938</v>
      </c>
      <c r="BB211" s="450">
        <f t="shared" si="90"/>
        <v>-0.21564189899977826</v>
      </c>
      <c r="BC211" s="450">
        <f>IFERROR(IF(R211=0,"-",AVERAGEIFS($BA$2:BA211,$A$2:A211,$A211,$F$2:F211,"&lt;="&amp;$F211)/AVERAGEIFS($AZ$2:AZ211,$A$2:A211,$A211,$F$2:F211,"&lt;="&amp;$F211)-1),"")</f>
        <v>0.25036469111510673</v>
      </c>
      <c r="BD211" s="269">
        <f>IFERROR(IF(R211=0,"-",AVERAGEIFS($BA$2:BA211,$A$2:A211,A211,$C$2:C211,C211)/AVERAGEIFS($AZ$2:AZ211,$A$2:A211,A211,$C$2:C211,C211)-1),"")</f>
        <v>0.25036469111510673</v>
      </c>
    </row>
    <row r="212" spans="1:56" ht="16.350000000000001" customHeight="1">
      <c r="A212" s="175">
        <f t="shared" si="69"/>
        <v>2025</v>
      </c>
      <c r="B212" s="447" t="str">
        <f t="shared" si="70"/>
        <v>03</v>
      </c>
      <c r="C212" s="447" t="str">
        <f t="array" ref="C212">_xlfn.IFS(_xlfn.NUMBERVALUE(B212)&lt;=13,"Q1",AND(_xlfn.NUMBERVALUE(B212)&gt;13,_xlfn.NUMBERVALUE(B212)&lt;=26),"Q2", AND(_xlfn.NUMBERVALUE(B212)&gt;26,_xlfn.NUMBERVALUE(B212)&lt;=39),"Q3",_xlfn.NUMBERVALUE(B212)&gt;39,"Q4")</f>
        <v>Q1</v>
      </c>
      <c r="D212" s="448">
        <f t="shared" si="91"/>
        <v>45332</v>
      </c>
      <c r="E212" s="448">
        <f t="shared" si="71"/>
        <v>45338</v>
      </c>
      <c r="F212" s="79">
        <v>202403</v>
      </c>
      <c r="G212" s="103">
        <v>88376</v>
      </c>
      <c r="H212" s="429">
        <v>53428</v>
      </c>
      <c r="I212" s="429">
        <v>96093</v>
      </c>
      <c r="J212" s="214">
        <f t="shared" si="72"/>
        <v>237897</v>
      </c>
      <c r="K212" s="103">
        <v>56787</v>
      </c>
      <c r="L212" s="429">
        <v>52232</v>
      </c>
      <c r="M212" s="429">
        <v>73144</v>
      </c>
      <c r="N212" s="214">
        <f t="shared" si="73"/>
        <v>182163</v>
      </c>
      <c r="O212" s="449">
        <f>'Overall Metrics'!L217</f>
        <v>105529.5</v>
      </c>
      <c r="P212" s="449">
        <f>'Overall Metrics'!M217</f>
        <v>117721</v>
      </c>
      <c r="Q212" s="449">
        <f>'Overall Metrics'!N217</f>
        <v>63908</v>
      </c>
      <c r="R212" s="449">
        <f t="shared" si="74"/>
        <v>287158.5</v>
      </c>
      <c r="S212" s="180">
        <f t="shared" si="75"/>
        <v>828231.5</v>
      </c>
      <c r="T212" s="449">
        <f t="shared" si="76"/>
        <v>695161</v>
      </c>
      <c r="U212" s="449">
        <f t="shared" si="77"/>
        <v>618456</v>
      </c>
      <c r="V212" s="450">
        <f t="shared" si="78"/>
        <v>0.19142400105874757</v>
      </c>
      <c r="W212" s="450">
        <f>IF(R212=0,"-",SUMIFS($R$2:R212,$A$2:A212,A212,$C$2:C212,C212)/SUMIFS($J$2:J212,$A$2:A212,A212,$C$2:C212,C212)-1)</f>
        <v>0.19142400105874757</v>
      </c>
      <c r="X212" s="450">
        <f t="shared" si="79"/>
        <v>0.33919227883632797</v>
      </c>
      <c r="Y212" s="450">
        <f>IFERROR(IF(R212=0,"-",SUMIFS($R$2:R212,$A$2:A212,A212,$C$2:C212,C212)/SUMIFS($N$2:N212,$A$2:A212,A212,$C$2:C212,C212)-1),"")</f>
        <v>0.33919227883632797</v>
      </c>
      <c r="Z212" s="269">
        <f>IF(R212=0,"",(S212/VLOOKUP(_xlfn.NUMBERVALUE(_xlfn.CONCAT(LEFT(F212,4),52)),$F$2:T419,COLUMNS($F$2:T419),FALSE)))</f>
        <v>7.051040457147488E-2</v>
      </c>
      <c r="AA212" s="269">
        <f>IFERROR(IF(R212=0,"",(S212/VLOOKUP(_xlfn.NUMBERVALUE(_xlfn.CONCAT(LEFT(F212,4),52)),$F$2:U419,COLUMNS($F$2:U419),FALSE))),"")</f>
        <v>7.1199191375752119E-2</v>
      </c>
      <c r="AB212" s="268">
        <f t="shared" si="80"/>
        <v>0.194096813614556</v>
      </c>
      <c r="AC212" s="450">
        <f t="shared" si="81"/>
        <v>1.2033577899228867</v>
      </c>
      <c r="AD212" s="450">
        <f t="shared" si="82"/>
        <v>-0.3349359474675575</v>
      </c>
      <c r="AE212" s="269">
        <f t="shared" si="83"/>
        <v>0.20707070707070696</v>
      </c>
      <c r="AF212" s="268">
        <f t="shared" si="84"/>
        <v>0.85833905647419306</v>
      </c>
      <c r="AG212" s="450">
        <f t="shared" si="85"/>
        <v>1.2538099249502221</v>
      </c>
      <c r="AH212" s="450">
        <f t="shared" si="86"/>
        <v>-0.12627146450836702</v>
      </c>
      <c r="AI212" s="269">
        <f t="shared" si="87"/>
        <v>0.57638214126908327</v>
      </c>
      <c r="AJ212" s="450">
        <f>IF(O212=0,"-",SUMIFS($O$2:O212,$A$2:A212,$A212,$F$2:F212,"&lt;="&amp;$F212)/SUMIFS($G$2:G212,$A$2:A212,$A212,$F$2:F212,"&lt;="&amp;$F212)-1)</f>
        <v>0.27177274436875765</v>
      </c>
      <c r="AK212" s="450">
        <f>IF(P212=0,"-",SUMIFS($P$2:P212,$A$2:A212,$A212,$F$2:F212,"&lt;="&amp;$F212)/SUMIFS($H$2:H212,$A$2:A212,$A212,$F$2:F212,"&lt;="&amp;$F212)-1)</f>
        <v>0.69458096061834751</v>
      </c>
      <c r="AL212" s="450">
        <f>IF(Q212=0,"-",SUMIFS($Q$2:Q212,$A$2:A212,$A212,$F$2:F212,"&lt;="&amp;$F212)/SUMIFS($I$2:I212,$A$2:A212,$A212,$F$2:F212,"&lt;="&amp;$F212)-1)</f>
        <v>-0.27707208017072238</v>
      </c>
      <c r="AM212" s="450">
        <f>IFERROR(IF(O212=0,"-",SUMIFS($O$2:O212,$A$2:A212,$A212,$F$2:F212,"&lt;="&amp;$F212)/SUMIFS($K$2:K212,$A$2:A212,$A212,$F$2:F212,"&lt;="&amp;$F212)-1),"")</f>
        <v>0.75337339540457693</v>
      </c>
      <c r="AN212" s="450">
        <f>IFERROR(IF(P212=0,"-",SUMIFS($P$2:P212,$A$2:A212,$A212,$F$2:F212,"&lt;="&amp;$F212)/SUMIFS($L$2:L212,$A$2:A212,$A212,$F$2:F212,"&lt;="&amp;$F212)-1),"")</f>
        <v>0.80317708582706904</v>
      </c>
      <c r="AO212" s="450">
        <f>IFERROR(IF(Q212=0,"-",SUMIFS($Q$2:Q212,$A$2:A212,$A212,$F$2:F212,"&lt;="&amp;$F212)/SUMIFS($M$2:M212,$A$2:A212,$A212,$F$2:F212,"&lt;="&amp;$F212)-1),"")</f>
        <v>-0.28007441976327352</v>
      </c>
      <c r="AP212" s="103">
        <v>86976</v>
      </c>
      <c r="AQ212" s="452">
        <f>'Overall Metrics'!AO217</f>
        <v>0.73441114958044507</v>
      </c>
      <c r="AR212" s="450">
        <f t="shared" si="88"/>
        <v>-86975.265588850423</v>
      </c>
      <c r="AS212" s="453">
        <f>IFERROR(IF(R213=0,"-",AVERAGEIFS($AQ$2:AQ212,$A$2:A212,$A212,$F$2:F212,"&lt;="&amp;$F212)-AVERAGEIFS($AP$2:AP212,$A$2:A212,$A212,$F$2:F212,"&lt;="&amp;$F212)),"")</f>
        <v>-74743.091726665953</v>
      </c>
      <c r="AT212" s="390">
        <f>IFERROR(IF(R213=0,"-",AVERAGEIFS($AQ$2:AQ212,$A$2:A212,A212,$C$2:C212,C212)-AVERAGEIFS($AP$2:AP212,$A$2:A212,A212,$C$2:C212,C212)),"")</f>
        <v>-74743.091726665953</v>
      </c>
      <c r="AU212" s="103">
        <v>72421</v>
      </c>
      <c r="AV212" s="452">
        <f>'Overall Metrics'!AS217</f>
        <v>0</v>
      </c>
      <c r="AW212" s="450" t="str">
        <f t="shared" si="89"/>
        <v/>
      </c>
      <c r="AX212" s="453">
        <f>IFERROR(IF(R216=0,"-",AVERAGEIFS($AV$2:AV212,$A$2:A212,$A212,$F$2:F212,"&lt;="&amp;$F212)-AVERAGEIFS($AU$2:AU212,$A$2:A212,$A212,$F$2:F212,"&lt;="&amp;$F212)),"")</f>
        <v>-61437.333333333336</v>
      </c>
      <c r="AY212" s="453">
        <f>IFERROR(IF(R216=0,"-",AVERAGEIFS($AV$2:AV212,$A$2:A212,A212,$C$2:C212,C212)-AVERAGEIFS($AU$2:AU212,$A$2:A212,A212,$C$2:C212,C212)),"")</f>
        <v>-61437.333333333336</v>
      </c>
      <c r="AZ212" s="103">
        <v>196813</v>
      </c>
      <c r="BA212" s="449">
        <f>'Glass Metrics'!AC217</f>
        <v>177817</v>
      </c>
      <c r="BB212" s="450">
        <f t="shared" si="90"/>
        <v>-9.6518014562046228E-2</v>
      </c>
      <c r="BC212" s="450">
        <f>IFERROR(IF(R212=0,"-",AVERAGEIFS($BA$2:BA212,$A$2:A212,$A212,$F$2:F212,"&lt;="&amp;$F212)/AVERAGEIFS($AZ$2:AZ212,$A$2:A212,$A212,$F$2:F212,"&lt;="&amp;$F212)-1),"")</f>
        <v>9.255967584234992E-2</v>
      </c>
      <c r="BD212" s="269">
        <f>IFERROR(IF(R212=0,"-",AVERAGEIFS($BA$2:BA212,$A$2:A212,A212,$C$2:C212,C212)/AVERAGEIFS($AZ$2:AZ212,$A$2:A212,A212,$C$2:C212,C212)-1),"")</f>
        <v>9.255967584234992E-2</v>
      </c>
    </row>
    <row r="213" spans="1:56" ht="16.350000000000001" customHeight="1">
      <c r="A213" s="175">
        <f t="shared" si="69"/>
        <v>2025</v>
      </c>
      <c r="B213" s="447" t="str">
        <f t="shared" si="70"/>
        <v>04</v>
      </c>
      <c r="C213" s="447" t="str">
        <f t="array" ref="C213">_xlfn.IFS(_xlfn.NUMBERVALUE(B213)&lt;=13,"Q1",AND(_xlfn.NUMBERVALUE(B213)&gt;13,_xlfn.NUMBERVALUE(B213)&lt;=26),"Q2", AND(_xlfn.NUMBERVALUE(B213)&gt;26,_xlfn.NUMBERVALUE(B213)&lt;=39),"Q3",_xlfn.NUMBERVALUE(B213)&gt;39,"Q4")</f>
        <v>Q1</v>
      </c>
      <c r="D213" s="448">
        <f t="shared" si="91"/>
        <v>45339</v>
      </c>
      <c r="E213" s="448">
        <f t="shared" si="71"/>
        <v>45345</v>
      </c>
      <c r="F213" s="79">
        <v>202404</v>
      </c>
      <c r="G213" s="103">
        <v>78148</v>
      </c>
      <c r="H213" s="429">
        <v>50260</v>
      </c>
      <c r="I213" s="429">
        <v>94205</v>
      </c>
      <c r="J213" s="214">
        <f t="shared" si="72"/>
        <v>222613</v>
      </c>
      <c r="K213" s="103">
        <v>57372</v>
      </c>
      <c r="L213" s="429">
        <v>91094</v>
      </c>
      <c r="M213" s="429">
        <v>73907</v>
      </c>
      <c r="N213" s="214">
        <f t="shared" si="73"/>
        <v>222373</v>
      </c>
      <c r="O213" s="449">
        <f>'Overall Metrics'!L218</f>
        <v>103947.75000000001</v>
      </c>
      <c r="P213" s="449">
        <f>'Overall Metrics'!M218</f>
        <v>107697</v>
      </c>
      <c r="Q213" s="449">
        <f>'Overall Metrics'!N218</f>
        <v>73274.5</v>
      </c>
      <c r="R213" s="449">
        <f t="shared" si="74"/>
        <v>284919.25</v>
      </c>
      <c r="S213" s="180">
        <f t="shared" si="75"/>
        <v>1113150.75</v>
      </c>
      <c r="T213" s="449">
        <f t="shared" si="76"/>
        <v>917774</v>
      </c>
      <c r="U213" s="449">
        <f t="shared" si="77"/>
        <v>840829</v>
      </c>
      <c r="V213" s="450">
        <f t="shared" si="78"/>
        <v>0.21288111234356166</v>
      </c>
      <c r="W213" s="450">
        <f>IF(R213=0,"-",SUMIFS($R$2:R213,$A$2:A213,A213,$C$2:C213,C213)/SUMIFS($J$2:J213,$A$2:A213,A213,$C$2:C213,C213)-1)</f>
        <v>0.21288111234356166</v>
      </c>
      <c r="X213" s="450">
        <f t="shared" si="79"/>
        <v>0.32387292778912236</v>
      </c>
      <c r="Y213" s="450">
        <f>IFERROR(IF(R213=0,"-",SUMIFS($R$2:R213,$A$2:A213,A213,$C$2:C213,C213)/SUMIFS($N$2:N213,$A$2:A213,A213,$C$2:C213,C213)-1),"")</f>
        <v>0.32387292778912236</v>
      </c>
      <c r="Z213" s="269">
        <f>IF(R213=0,"",(S213/VLOOKUP(_xlfn.NUMBERVALUE(_xlfn.CONCAT(LEFT(F213,4),52)),$F$2:T420,COLUMNS($F$2:T420),FALSE)))</f>
        <v>9.4766631951985286E-2</v>
      </c>
      <c r="AA213" s="269">
        <f>IFERROR(IF(R213=0,"",(S213/VLOOKUP(_xlfn.NUMBERVALUE(_xlfn.CONCAT(LEFT(F213,4),52)),$F$2:U420,COLUMNS($F$2:U420),FALSE))),"")</f>
        <v>9.5692367749007384E-2</v>
      </c>
      <c r="AB213" s="268">
        <f t="shared" si="80"/>
        <v>0.33013960689972888</v>
      </c>
      <c r="AC213" s="450">
        <f t="shared" si="81"/>
        <v>1.1427974532431358</v>
      </c>
      <c r="AD213" s="450">
        <f t="shared" si="82"/>
        <v>-0.22218035136139269</v>
      </c>
      <c r="AE213" s="269">
        <f t="shared" si="83"/>
        <v>0.27988594556472446</v>
      </c>
      <c r="AF213" s="268">
        <f t="shared" si="84"/>
        <v>0.81182022589416469</v>
      </c>
      <c r="AG213" s="450">
        <f t="shared" si="85"/>
        <v>0.18226227852547927</v>
      </c>
      <c r="AH213" s="450">
        <f t="shared" si="86"/>
        <v>-8.5580526878373808E-3</v>
      </c>
      <c r="AI213" s="269">
        <f t="shared" si="87"/>
        <v>0.2812672851470277</v>
      </c>
      <c r="AJ213" s="450">
        <f>IF(O213=0,"-",SUMIFS($O$2:O213,$A$2:A213,$A213,$F$2:F213,"&lt;="&amp;$F213)/SUMIFS($G$2:G213,$A$2:A213,$A213,$F$2:F213,"&lt;="&amp;$F213)-1)</f>
        <v>0.28614170326173927</v>
      </c>
      <c r="AK213" s="450">
        <f>IF(P213=0,"-",SUMIFS($P$2:P213,$A$2:A213,$A213,$F$2:F213,"&lt;="&amp;$F213)/SUMIFS($H$2:H213,$A$2:A213,$A213,$F$2:F213,"&lt;="&amp;$F213)-1)</f>
        <v>0.78459067353372469</v>
      </c>
      <c r="AL213" s="450">
        <f>IF(Q213=0,"-",SUMIFS($Q$2:Q213,$A$2:A213,$A213,$F$2:F213,"&lt;="&amp;$F213)/SUMIFS($I$2:I213,$A$2:A213,$A213,$F$2:F213,"&lt;="&amp;$F213)-1)</f>
        <v>-0.26230006941686967</v>
      </c>
      <c r="AM213" s="450">
        <f>IFERROR(IF(O213=0,"-",SUMIFS($O$2:O213,$A$2:A213,$A213,$F$2:F213,"&lt;="&amp;$F213)/SUMIFS($K$2:K213,$A$2:A213,$A213,$F$2:F213,"&lt;="&amp;$F213)-1),"")</f>
        <v>0.76789348564104332</v>
      </c>
      <c r="AN213" s="450">
        <f>IFERROR(IF(P213=0,"-",SUMIFS($P$2:P213,$A$2:A213,$A213,$F$2:F213,"&lt;="&amp;$F213)/SUMIFS($L$2:L213,$A$2:A213,$A213,$F$2:F213,"&lt;="&amp;$F213)-1),"")</f>
        <v>0.60049450844785257</v>
      </c>
      <c r="AO213" s="450">
        <f>IFERROR(IF(Q213=0,"-",SUMIFS($Q$2:Q213,$A$2:A213,$A213,$F$2:F213,"&lt;="&amp;$F213)/SUMIFS($M$2:M213,$A$2:A213,$A213,$F$2:F213,"&lt;="&amp;$F213)-1),"")</f>
        <v>-0.21941764300482425</v>
      </c>
      <c r="AP213" s="103">
        <v>99858</v>
      </c>
      <c r="AQ213" s="452">
        <f>'Overall Metrics'!AO218</f>
        <v>0.35344772567536697</v>
      </c>
      <c r="AR213" s="450">
        <f t="shared" si="88"/>
        <v>-99857.646552274324</v>
      </c>
      <c r="AS213" s="453">
        <f>IFERROR(IF(R214=0,"-",AVERAGEIFS($AQ$2:AQ213,$A$2:A213,$A213,$F$2:F213,"&lt;="&amp;$F213)-AVERAGEIFS($AP$2:AP213,$A$2:A213,$A213,$F$2:F213,"&lt;="&amp;$F213)),"")</f>
        <v>-81021.730433068049</v>
      </c>
      <c r="AT213" s="390">
        <f>IFERROR(IF(R214=0,"-",AVERAGEIFS($AQ$2:AQ213,$A$2:A213,A213,$C$2:C213,C213)-AVERAGEIFS($AP$2:AP213,$A$2:A213,A213,$C$2:C213,C213)),"")</f>
        <v>-81021.730433068049</v>
      </c>
      <c r="AU213" s="103">
        <v>57323</v>
      </c>
      <c r="AV213" s="452">
        <f>'Overall Metrics'!AS218</f>
        <v>0</v>
      </c>
      <c r="AW213" s="450" t="str">
        <f t="shared" si="89"/>
        <v/>
      </c>
      <c r="AX213" s="453">
        <f>IFERROR(IF(R217=0,"-",AVERAGEIFS($AV$2:AV213,$A$2:A213,$A213,$F$2:F213,"&lt;="&amp;$F213)-AVERAGEIFS($AU$2:AU213,$A$2:A213,$A213,$F$2:F213,"&lt;="&amp;$F213)),"")</f>
        <v>-60408.75</v>
      </c>
      <c r="AY213" s="453">
        <f>IFERROR(IF(R217=0,"-",AVERAGEIFS($AV$2:AV213,$A$2:A213,A213,$C$2:C213,C213)-AVERAGEIFS($AU$2:AU213,$A$2:A213,A213,$C$2:C213,C213)),"")</f>
        <v>-60408.75</v>
      </c>
      <c r="AZ213" s="103">
        <v>105438</v>
      </c>
      <c r="BA213" s="449">
        <f>'Glass Metrics'!AC218</f>
        <v>172517</v>
      </c>
      <c r="BB213" s="450">
        <f t="shared" si="90"/>
        <v>0.63619378212788558</v>
      </c>
      <c r="BC213" s="450">
        <f>IFERROR(IF(R213=0,"-",AVERAGEIFS($BA$2:BA213,$A$2:A213,$A213,$F$2:F213,"&lt;="&amp;$F213)/AVERAGEIFS($AZ$2:AZ213,$A$2:A213,$A213,$F$2:F213,"&lt;="&amp;$F213)-1),"")</f>
        <v>0.19908858933924578</v>
      </c>
      <c r="BD213" s="269">
        <f>IFERROR(IF(R213=0,"-",AVERAGEIFS($BA$2:BA213,$A$2:A213,A213,$C$2:C213,C213)/AVERAGEIFS($AZ$2:AZ213,$A$2:A213,A213,$C$2:C213,C213)-1),"")</f>
        <v>0.19908858933924578</v>
      </c>
    </row>
    <row r="214" spans="1:56" ht="16.350000000000001" customHeight="1">
      <c r="A214" s="175">
        <f t="shared" si="69"/>
        <v>2025</v>
      </c>
      <c r="B214" s="447" t="str">
        <f t="shared" si="70"/>
        <v>05</v>
      </c>
      <c r="C214" s="447" t="str">
        <f t="array" ref="C214">_xlfn.IFS(_xlfn.NUMBERVALUE(B214)&lt;=13,"Q1",AND(_xlfn.NUMBERVALUE(B214)&gt;13,_xlfn.NUMBERVALUE(B214)&lt;=26),"Q2", AND(_xlfn.NUMBERVALUE(B214)&gt;26,_xlfn.NUMBERVALUE(B214)&lt;=39),"Q3",_xlfn.NUMBERVALUE(B214)&gt;39,"Q4")</f>
        <v>Q1</v>
      </c>
      <c r="D214" s="448">
        <f t="shared" si="91"/>
        <v>45346</v>
      </c>
      <c r="E214" s="448">
        <f t="shared" si="71"/>
        <v>45352</v>
      </c>
      <c r="F214" s="79">
        <v>202405</v>
      </c>
      <c r="G214" s="103">
        <v>50937</v>
      </c>
      <c r="H214" s="429">
        <v>71204</v>
      </c>
      <c r="I214" s="429">
        <v>96345</v>
      </c>
      <c r="J214" s="214">
        <f t="shared" si="72"/>
        <v>218486</v>
      </c>
      <c r="K214" s="103">
        <v>82358</v>
      </c>
      <c r="L214" s="429">
        <v>71781</v>
      </c>
      <c r="M214" s="429">
        <v>58071</v>
      </c>
      <c r="N214" s="214">
        <f t="shared" si="73"/>
        <v>212210</v>
      </c>
      <c r="O214" s="449">
        <f>'Overall Metrics'!L219</f>
        <v>118580.90000000001</v>
      </c>
      <c r="P214" s="449">
        <f>'Overall Metrics'!M219</f>
        <v>143786</v>
      </c>
      <c r="Q214" s="449">
        <f>'Overall Metrics'!N219</f>
        <v>57428.800000000003</v>
      </c>
      <c r="R214" s="449">
        <f t="shared" si="74"/>
        <v>319795.7</v>
      </c>
      <c r="S214" s="180">
        <f t="shared" si="75"/>
        <v>1432946.45</v>
      </c>
      <c r="T214" s="449">
        <f t="shared" si="76"/>
        <v>1136260</v>
      </c>
      <c r="U214" s="449">
        <f t="shared" si="77"/>
        <v>1053039</v>
      </c>
      <c r="V214" s="450">
        <f t="shared" si="78"/>
        <v>0.26110788903948046</v>
      </c>
      <c r="W214" s="450">
        <f>IF(R214=0,"-",SUMIFS($R$2:R214,$A$2:A214,A214,$C$2:C214,C214)/SUMIFS($J$2:J214,$A$2:A214,A214,$C$2:C214,C214)-1)</f>
        <v>0.26110788903948046</v>
      </c>
      <c r="X214" s="450">
        <f t="shared" si="79"/>
        <v>0.36077244052689394</v>
      </c>
      <c r="Y214" s="450">
        <f>IFERROR(IF(R214=0,"-",SUMIFS($R$2:R214,$A$2:A214,A214,$C$2:C214,C214)/SUMIFS($N$2:N214,$A$2:A214,A214,$C$2:C214,C214)-1),"")</f>
        <v>0.36077244052689394</v>
      </c>
      <c r="Z214" s="269">
        <f>IF(R214=0,"",(S214/VLOOKUP(_xlfn.NUMBERVALUE(_xlfn.CONCAT(LEFT(F214,4),52)),$F$2:T421,COLUMNS($F$2:T421),FALSE)))</f>
        <v>0.12199202024887812</v>
      </c>
      <c r="AA214" s="269">
        <f>IFERROR(IF(R214=0,"",(S214/VLOOKUP(_xlfn.NUMBERVALUE(_xlfn.CONCAT(LEFT(F214,4),52)),$F$2:U421,COLUMNS($F$2:U421),FALSE))),"")</f>
        <v>0.12318370953622823</v>
      </c>
      <c r="AB214" s="268">
        <f t="shared" si="80"/>
        <v>1.3279914404067772</v>
      </c>
      <c r="AC214" s="450">
        <f t="shared" si="81"/>
        <v>1.0193528453457672</v>
      </c>
      <c r="AD214" s="450">
        <f t="shared" si="82"/>
        <v>-0.40392547615340701</v>
      </c>
      <c r="AE214" s="269">
        <f t="shared" si="83"/>
        <v>0.46368966432631842</v>
      </c>
      <c r="AF214" s="268">
        <f t="shared" si="84"/>
        <v>0.43982248233322818</v>
      </c>
      <c r="AG214" s="450">
        <f t="shared" si="85"/>
        <v>1.003120602945069</v>
      </c>
      <c r="AH214" s="450">
        <f t="shared" si="86"/>
        <v>-1.1058876203268397E-2</v>
      </c>
      <c r="AI214" s="269">
        <f t="shared" si="87"/>
        <v>0.50697752226568027</v>
      </c>
      <c r="AJ214" s="450">
        <f>IF(O214=0,"-",SUMIFS($O$2:O214,$A$2:A214,$A214,$F$2:F214,"&lt;="&amp;$F214)/SUMIFS($G$2:G214,$A$2:A214,$A214,$F$2:F214,"&lt;="&amp;$F214)-1)</f>
        <v>0.43020332541567696</v>
      </c>
      <c r="AK214" s="450">
        <f>IF(P214=0,"-",SUMIFS($P$2:P214,$A$2:A214,$A214,$F$2:F214,"&lt;="&amp;$F214)/SUMIFS($H$2:H214,$A$2:A214,$A214,$F$2:F214,"&lt;="&amp;$F214)-1)</f>
        <v>0.83658754327627438</v>
      </c>
      <c r="AL214" s="450">
        <f>IF(Q214=0,"-",SUMIFS($Q$2:Q214,$A$2:A214,$A214,$F$2:F214,"&lt;="&amp;$F214)/SUMIFS($I$2:I214,$A$2:A214,$A214,$F$2:F214,"&lt;="&amp;$F214)-1)</f>
        <v>-0.29286632736265805</v>
      </c>
      <c r="AM214" s="450">
        <f>IFERROR(IF(O214=0,"-",SUMIFS($O$2:O214,$A$2:A214,$A214,$F$2:F214,"&lt;="&amp;$F214)/SUMIFS($K$2:K214,$A$2:A214,$A214,$F$2:F214,"&lt;="&amp;$F214)-1),"")</f>
        <v>0.68165094128837467</v>
      </c>
      <c r="AN214" s="450">
        <f>IFERROR(IF(P214=0,"-",SUMIFS($P$2:P214,$A$2:A214,$A214,$F$2:F214,"&lt;="&amp;$F214)/SUMIFS($L$2:L214,$A$2:A214,$A214,$F$2:F214,"&lt;="&amp;$F214)-1),"")</f>
        <v>0.68286940709029031</v>
      </c>
      <c r="AO214" s="450">
        <f>IFERROR(IF(Q214=0,"-",SUMIFS($Q$2:Q214,$A$2:A214,$A214,$F$2:F214,"&lt;="&amp;$F214)/SUMIFS($M$2:M214,$A$2:A214,$A214,$F$2:F214,"&lt;="&amp;$F214)-1),"")</f>
        <v>-0.18830518977935151</v>
      </c>
      <c r="AP214" s="103">
        <v>74205</v>
      </c>
      <c r="AQ214" s="452">
        <f>'Overall Metrics'!AO219</f>
        <v>0.7471376203894633</v>
      </c>
      <c r="AR214" s="450">
        <f t="shared" si="88"/>
        <v>-74204.25286237961</v>
      </c>
      <c r="AS214" s="453">
        <f>IFERROR(IF(R215=0,"-",AVERAGEIFS($AQ$2:AQ214,$A$2:A214,$A214,$F$2:F214,"&lt;="&amp;$F214)-AVERAGEIFS($AP$2:AP214,$A$2:A214,$A214,$F$2:F214,"&lt;="&amp;$F214)),"")</f>
        <v>-79658.234918930364</v>
      </c>
      <c r="AT214" s="390">
        <f>IFERROR(IF(R215=0,"-",AVERAGEIFS($AQ$2:AQ214,$A$2:A214,A214,$C$2:C214,C214)-AVERAGEIFS($AP$2:AP214,$A$2:A214,A214,$C$2:C214,C214)),"")</f>
        <v>-79658.234918930364</v>
      </c>
      <c r="AU214" s="103">
        <v>91514</v>
      </c>
      <c r="AV214" s="452">
        <f>'Overall Metrics'!AS219</f>
        <v>0</v>
      </c>
      <c r="AW214" s="450" t="str">
        <f t="shared" si="89"/>
        <v/>
      </c>
      <c r="AX214" s="453">
        <f>IFERROR(IF(R218=0,"-",AVERAGEIFS($AV$2:AV214,$A$2:A214,$A214,$F$2:F214,"&lt;="&amp;$F214)-AVERAGEIFS($AU$2:AU214,$A$2:A214,$A214,$F$2:F214,"&lt;="&amp;$F214)),"")</f>
        <v>-66629.8</v>
      </c>
      <c r="AY214" s="453">
        <f>IFERROR(IF(R218=0,"-",AVERAGEIFS($AV$2:AV214,$A$2:A214,A214,$C$2:C214,C214)-AVERAGEIFS($AU$2:AU214,$A$2:A214,A214,$C$2:C214,C214)),"")</f>
        <v>-66629.8</v>
      </c>
      <c r="AZ214" s="103">
        <v>176850</v>
      </c>
      <c r="BA214" s="449">
        <f>'Glass Metrics'!AC219</f>
        <v>142350</v>
      </c>
      <c r="BB214" s="450">
        <f t="shared" si="90"/>
        <v>-0.19508057675996604</v>
      </c>
      <c r="BC214" s="450">
        <f>IFERROR(IF(R214=0,"-",AVERAGEIFS($BA$2:BA214,$A$2:A214,$A214,$F$2:F214,"&lt;="&amp;$F214)/AVERAGEIFS($AZ$2:AZ214,$A$2:A214,$A214,$F$2:F214,"&lt;="&amp;$F214)-1),"")</f>
        <v>0.10158242145591734</v>
      </c>
      <c r="BD214" s="269">
        <f>IFERROR(IF(R214=0,"-",AVERAGEIFS($BA$2:BA214,$A$2:A214,A214,$C$2:C214,C214)/AVERAGEIFS($AZ$2:AZ214,$A$2:A214,A214,$C$2:C214,C214)-1),"")</f>
        <v>0.10158242145591734</v>
      </c>
    </row>
    <row r="215" spans="1:56" ht="16.350000000000001" customHeight="1">
      <c r="A215" s="175">
        <f t="shared" si="69"/>
        <v>2025</v>
      </c>
      <c r="B215" s="447" t="str">
        <f t="shared" si="70"/>
        <v>06</v>
      </c>
      <c r="C215" s="447" t="str">
        <f t="array" ref="C215">_xlfn.IFS(_xlfn.NUMBERVALUE(B215)&lt;=13,"Q1",AND(_xlfn.NUMBERVALUE(B215)&gt;13,_xlfn.NUMBERVALUE(B215)&lt;=26),"Q2", AND(_xlfn.NUMBERVALUE(B215)&gt;26,_xlfn.NUMBERVALUE(B215)&lt;=39),"Q3",_xlfn.NUMBERVALUE(B215)&gt;39,"Q4")</f>
        <v>Q1</v>
      </c>
      <c r="D215" s="448">
        <f t="shared" si="91"/>
        <v>45353</v>
      </c>
      <c r="E215" s="448">
        <f t="shared" si="71"/>
        <v>45359</v>
      </c>
      <c r="F215" s="79">
        <v>202406</v>
      </c>
      <c r="G215" s="103">
        <v>76533</v>
      </c>
      <c r="H215" s="429">
        <v>66221</v>
      </c>
      <c r="I215" s="429">
        <v>93914</v>
      </c>
      <c r="J215" s="214">
        <f t="shared" si="72"/>
        <v>236668</v>
      </c>
      <c r="K215" s="103">
        <v>95332</v>
      </c>
      <c r="L215" s="429">
        <v>62295</v>
      </c>
      <c r="M215" s="429">
        <v>69364</v>
      </c>
      <c r="N215" s="214">
        <f t="shared" si="73"/>
        <v>226991</v>
      </c>
      <c r="O215" s="449">
        <f>'Overall Metrics'!L220</f>
        <v>105356.69999999998</v>
      </c>
      <c r="P215" s="449">
        <f>'Overall Metrics'!M220</f>
        <v>110874</v>
      </c>
      <c r="Q215" s="449">
        <f>'Overall Metrics'!N220</f>
        <v>72121.399999999994</v>
      </c>
      <c r="R215" s="449">
        <f t="shared" si="74"/>
        <v>288352.09999999998</v>
      </c>
      <c r="S215" s="180">
        <f t="shared" si="75"/>
        <v>1721298.5499999998</v>
      </c>
      <c r="T215" s="449">
        <f t="shared" si="76"/>
        <v>1372928</v>
      </c>
      <c r="U215" s="449">
        <f t="shared" si="77"/>
        <v>1280030</v>
      </c>
      <c r="V215" s="450">
        <f t="shared" si="78"/>
        <v>0.25374276728277079</v>
      </c>
      <c r="W215" s="450">
        <f>IF(R215=0,"-",SUMIFS($R$2:R215,$A$2:A215,A215,$C$2:C215,C215)/SUMIFS($J$2:J215,$A$2:A215,A215,$C$2:C215,C215)-1)</f>
        <v>0.25374276728277079</v>
      </c>
      <c r="X215" s="450">
        <f t="shared" si="79"/>
        <v>0.34473297500839806</v>
      </c>
      <c r="Y215" s="450">
        <f>IFERROR(IF(R215=0,"-",SUMIFS($R$2:R215,$A$2:A215,A215,$C$2:C215,C215)/SUMIFS($N$2:N215,$A$2:A215,A215,$C$2:C215,C215)-1),"")</f>
        <v>0.34473297500839806</v>
      </c>
      <c r="Z215" s="269">
        <f>IF(R215=0,"",(S215/VLOOKUP(_xlfn.NUMBERVALUE(_xlfn.CONCAT(LEFT(F215,4),52)),$F$2:T422,COLUMNS($F$2:T422),FALSE)))</f>
        <v>0.14654049882043013</v>
      </c>
      <c r="AA215" s="269">
        <f>IFERROR(IF(R215=0,"",(S215/VLOOKUP(_xlfn.NUMBERVALUE(_xlfn.CONCAT(LEFT(F215,4),52)),$F$2:U422,COLUMNS($F$2:U422),FALSE))),"")</f>
        <v>0.14797199198081046</v>
      </c>
      <c r="AB215" s="268">
        <f t="shared" si="80"/>
        <v>0.37661792952059869</v>
      </c>
      <c r="AC215" s="450">
        <f t="shared" si="81"/>
        <v>0.67430271364068806</v>
      </c>
      <c r="AD215" s="450">
        <f t="shared" si="82"/>
        <v>-0.23204846987669581</v>
      </c>
      <c r="AE215" s="269">
        <f t="shared" si="83"/>
        <v>0.2183822908039954</v>
      </c>
      <c r="AF215" s="268">
        <f t="shared" si="84"/>
        <v>0.10515566651281816</v>
      </c>
      <c r="AG215" s="450">
        <f t="shared" si="85"/>
        <v>0.7798218155550205</v>
      </c>
      <c r="AH215" s="450">
        <f t="shared" si="86"/>
        <v>3.9752609422755159E-2</v>
      </c>
      <c r="AI215" s="269">
        <f t="shared" si="87"/>
        <v>0.27032393354802609</v>
      </c>
      <c r="AJ215" s="450">
        <f>IF(O215=0,"-",SUMIFS($O$2:O215,$A$2:A215,$A215,$F$2:F215,"&lt;="&amp;$F215)/SUMIFS($G$2:G215,$A$2:A215,$A215,$F$2:F215,"&lt;="&amp;$F215)-1)</f>
        <v>0.4209855745457487</v>
      </c>
      <c r="AK215" s="450">
        <f>IF(P215=0,"-",SUMIFS($P$2:P215,$A$2:A215,$A215,$F$2:F215,"&lt;="&amp;$F215)/SUMIFS($H$2:H215,$A$2:A215,$A215,$F$2:F215,"&lt;="&amp;$F215)-1)</f>
        <v>0.80886866717220962</v>
      </c>
      <c r="AL215" s="450">
        <f>IF(Q215=0,"-",SUMIFS($Q$2:Q215,$A$2:A215,$A215,$F$2:F215,"&lt;="&amp;$F215)/SUMIFS($I$2:I215,$A$2:A215,$A215,$F$2:F215,"&lt;="&amp;$F215)-1)</f>
        <v>-0.28229542602689539</v>
      </c>
      <c r="AM215" s="450">
        <f>IFERROR(IF(O215=0,"-",SUMIFS($O$2:O215,$A$2:A215,$A215,$F$2:F215,"&lt;="&amp;$F215)/SUMIFS($K$2:K215,$A$2:A215,$A215,$F$2:F215,"&lt;="&amp;$F215)-1),"")</f>
        <v>0.54715522262411098</v>
      </c>
      <c r="AN215" s="450">
        <f>IFERROR(IF(P215=0,"-",SUMIFS($P$2:P215,$A$2:A215,$A215,$F$2:F215,"&lt;="&amp;$F215)/SUMIFS($L$2:L215,$A$2:A215,$A215,$F$2:F215,"&lt;="&amp;$F215)-1),"")</f>
        <v>0.69748826671765807</v>
      </c>
      <c r="AO215" s="450">
        <f>IFERROR(IF(Q215=0,"-",SUMIFS($Q$2:Q215,$A$2:A215,$A215,$F$2:F215,"&lt;="&amp;$F215)/SUMIFS($M$2:M215,$A$2:A215,$A215,$F$2:F215,"&lt;="&amp;$F215)-1),"")</f>
        <v>-0.15378570820685944</v>
      </c>
      <c r="AP215" s="103">
        <v>86851</v>
      </c>
      <c r="AQ215" s="452">
        <f>'Overall Metrics'!AO220</f>
        <v>0.79190726160566394</v>
      </c>
      <c r="AR215" s="450">
        <f t="shared" si="88"/>
        <v>-86850.208092738394</v>
      </c>
      <c r="AS215" s="453">
        <f>IFERROR(IF(R216=0,"-",AVERAGEIFS($AQ$2:AQ215,$A$2:A215,$A215,$F$2:F215,"&lt;="&amp;$F215)-AVERAGEIFS($AP$2:AP215,$A$2:A215,$A215,$F$2:F215,"&lt;="&amp;$F215)),"")</f>
        <v>-80856.897114565028</v>
      </c>
      <c r="AT215" s="390">
        <f>IFERROR(IF(R216=0,"-",AVERAGEIFS($AQ$2:AQ215,$A$2:A215,A215,$C$2:C215,C215)-AVERAGEIFS($AP$2:AP215,$A$2:A215,A215,$C$2:C215,C215)),"")</f>
        <v>-80856.897114565028</v>
      </c>
      <c r="AU215" s="103">
        <v>93184</v>
      </c>
      <c r="AV215" s="452">
        <f>'Overall Metrics'!AS220</f>
        <v>0</v>
      </c>
      <c r="AW215" s="450" t="str">
        <f t="shared" si="89"/>
        <v/>
      </c>
      <c r="AX215" s="453">
        <f>IFERROR(IF(R219=0,"-",AVERAGEIFS($AV$2:AV215,$A$2:A215,$A215,$F$2:F215,"&lt;="&amp;$F215)-AVERAGEIFS($AU$2:AU215,$A$2:A215,$A215,$F$2:F215,"&lt;="&amp;$F215)),"")</f>
        <v>-71055.5</v>
      </c>
      <c r="AY215" s="453">
        <f>IFERROR(IF(R219=0,"-",AVERAGEIFS($AV$2:AV215,$A$2:A215,A215,$C$2:C215,C215)-AVERAGEIFS($AU$2:AU215,$A$2:A215,A215,$C$2:C215,C215)),"")</f>
        <v>-71055.5</v>
      </c>
      <c r="AZ215" s="103">
        <v>153525</v>
      </c>
      <c r="BA215" s="449">
        <f>'Glass Metrics'!AC220</f>
        <v>142626</v>
      </c>
      <c r="BB215" s="450">
        <f t="shared" si="90"/>
        <v>-7.0991695163654112E-2</v>
      </c>
      <c r="BC215" s="450">
        <f>IFERROR(IF(R215=0,"-",AVERAGEIFS($BA$2:BA215,$A$2:A215,$A215,$F$2:F215,"&lt;="&amp;$F215)/AVERAGEIFS($AZ$2:AZ215,$A$2:A215,$A215,$F$2:F215,"&lt;="&amp;$F215)-1),"")</f>
        <v>7.1074406811278079E-2</v>
      </c>
      <c r="BD215" s="269">
        <f>IFERROR(IF(R215=0,"-",AVERAGEIFS($BA$2:BA215,$A$2:A215,A215,$C$2:C215,C215)/AVERAGEIFS($AZ$2:AZ215,$A$2:A215,A215,$C$2:C215,C215)-1),"")</f>
        <v>7.1074406811278079E-2</v>
      </c>
    </row>
    <row r="216" spans="1:56" ht="16.350000000000001" customHeight="1">
      <c r="A216" s="175">
        <f t="shared" si="69"/>
        <v>2025</v>
      </c>
      <c r="B216" s="447" t="str">
        <f t="shared" si="70"/>
        <v>07</v>
      </c>
      <c r="C216" s="447" t="str">
        <f t="array" ref="C216">_xlfn.IFS(_xlfn.NUMBERVALUE(B216)&lt;=13,"Q1",AND(_xlfn.NUMBERVALUE(B216)&gt;13,_xlfn.NUMBERVALUE(B216)&lt;=26),"Q2", AND(_xlfn.NUMBERVALUE(B216)&gt;26,_xlfn.NUMBERVALUE(B216)&lt;=39),"Q3",_xlfn.NUMBERVALUE(B216)&gt;39,"Q4")</f>
        <v>Q1</v>
      </c>
      <c r="D216" s="448">
        <f t="shared" si="91"/>
        <v>45360</v>
      </c>
      <c r="E216" s="448">
        <f t="shared" si="71"/>
        <v>45366</v>
      </c>
      <c r="F216" s="79">
        <v>202407</v>
      </c>
      <c r="G216" s="103">
        <v>82416</v>
      </c>
      <c r="H216" s="429">
        <v>55110</v>
      </c>
      <c r="I216" s="429">
        <v>61931</v>
      </c>
      <c r="J216" s="214">
        <f t="shared" si="72"/>
        <v>199457</v>
      </c>
      <c r="K216" s="103">
        <v>63618</v>
      </c>
      <c r="L216" s="429">
        <v>91185</v>
      </c>
      <c r="M216" s="429">
        <v>77731</v>
      </c>
      <c r="N216" s="214">
        <f t="shared" si="73"/>
        <v>232534</v>
      </c>
      <c r="O216" s="449">
        <f>'Overall Metrics'!L221</f>
        <v>149864.29999999999</v>
      </c>
      <c r="P216" s="449">
        <f>'Overall Metrics'!M221</f>
        <v>105184</v>
      </c>
      <c r="Q216" s="449">
        <f>'Overall Metrics'!N221</f>
        <v>73500</v>
      </c>
      <c r="R216" s="449">
        <f t="shared" si="74"/>
        <v>328548.3</v>
      </c>
      <c r="S216" s="180">
        <f t="shared" si="75"/>
        <v>2049846.8499999999</v>
      </c>
      <c r="T216" s="449">
        <f t="shared" si="76"/>
        <v>1572385</v>
      </c>
      <c r="U216" s="449">
        <f t="shared" si="77"/>
        <v>1512564</v>
      </c>
      <c r="V216" s="450">
        <f t="shared" si="78"/>
        <v>0.3036545438935121</v>
      </c>
      <c r="W216" s="450">
        <f>IF(R216=0,"-",SUMIFS($R$2:R216,$A$2:A216,A216,$C$2:C216,C216)/SUMIFS($J$2:J216,$A$2:A216,A216,$C$2:C216,C216)-1)</f>
        <v>0.3036545438935121</v>
      </c>
      <c r="X216" s="450">
        <f t="shared" si="79"/>
        <v>0.35521330006531948</v>
      </c>
      <c r="Y216" s="450">
        <f>IFERROR(IF(R216=0,"-",SUMIFS($R$2:R216,$A$2:A216,A216,$C$2:C216,C216)/SUMIFS($N$2:N216,$A$2:A216,A216,$C$2:C216,C216)-1),"")</f>
        <v>0.35521330006531948</v>
      </c>
      <c r="Z216" s="269">
        <f>IF(R216=0,"",(S216/VLOOKUP(_xlfn.NUMBERVALUE(_xlfn.CONCAT(LEFT(F216,4),52)),$F$2:T423,COLUMNS($F$2:T423),FALSE)))</f>
        <v>0.1745110282608949</v>
      </c>
      <c r="AA216" s="269">
        <f>IFERROR(IF(R216=0,"",(S216/VLOOKUP(_xlfn.NUMBERVALUE(_xlfn.CONCAT(LEFT(F216,4),52)),$F$2:U423,COLUMNS($F$2:U423),FALSE))),"")</f>
        <v>0.17621575388539634</v>
      </c>
      <c r="AB216" s="268">
        <f t="shared" si="80"/>
        <v>0.81838841972432519</v>
      </c>
      <c r="AC216" s="450">
        <f t="shared" si="81"/>
        <v>0.90861912538559242</v>
      </c>
      <c r="AD216" s="450">
        <f t="shared" si="82"/>
        <v>0.18680466971306786</v>
      </c>
      <c r="AE216" s="269">
        <f t="shared" si="83"/>
        <v>0.64721368515519639</v>
      </c>
      <c r="AF216" s="268">
        <f t="shared" si="84"/>
        <v>1.3556902134615987</v>
      </c>
      <c r="AG216" s="450">
        <f t="shared" si="85"/>
        <v>0.15352305752042561</v>
      </c>
      <c r="AH216" s="450">
        <f t="shared" si="86"/>
        <v>-5.4431307972366283E-2</v>
      </c>
      <c r="AI216" s="269">
        <f t="shared" si="87"/>
        <v>0.41290434947147503</v>
      </c>
      <c r="AJ216" s="450">
        <f>IF(O216=0,"-",SUMIFS($O$2:O216,$A$2:A216,$A216,$F$2:F216,"&lt;="&amp;$F216)/SUMIFS($G$2:G216,$A$2:A216,$A216,$F$2:F216,"&lt;="&amp;$F216)-1)</f>
        <v>0.48309606617563383</v>
      </c>
      <c r="AK216" s="450">
        <f>IF(P216=0,"-",SUMIFS($P$2:P216,$A$2:A216,$A216,$F$2:F216,"&lt;="&amp;$F216)/SUMIFS($H$2:H216,$A$2:A216,$A216,$F$2:F216,"&lt;="&amp;$F216)-1)</f>
        <v>0.82128307272612311</v>
      </c>
      <c r="AL216" s="450">
        <f>IF(Q216=0,"-",SUMIFS($Q$2:Q216,$A$2:A216,$A216,$F$2:F216,"&lt;="&amp;$F216)/SUMIFS($I$2:I216,$A$2:A216,$A216,$F$2:F216,"&lt;="&amp;$F216)-1)</f>
        <v>-0.23405651150935913</v>
      </c>
      <c r="AM216" s="450">
        <f>IFERROR(IF(O216=0,"-",SUMIFS($O$2:O216,$A$2:A216,$A216,$F$2:F216,"&lt;="&amp;$F216)/SUMIFS($K$2:K216,$A$2:A216,$A216,$F$2:F216,"&lt;="&amp;$F216)-1),"")</f>
        <v>0.65607641388773574</v>
      </c>
      <c r="AN216" s="450">
        <f>IFERROR(IF(P216=0,"-",SUMIFS($P$2:P216,$A$2:A216,$A216,$F$2:F216,"&lt;="&amp;$F216)/SUMIFS($L$2:L216,$A$2:A216,$A216,$F$2:F216,"&lt;="&amp;$F216)-1),"")</f>
        <v>0.59913627296629568</v>
      </c>
      <c r="AO216" s="450">
        <f>IFERROR(IF(Q216=0,"-",SUMIFS($Q$2:Q216,$A$2:A216,$A216,$F$2:F216,"&lt;="&amp;$F216)/SUMIFS($M$2:M216,$A$2:A216,$A216,$F$2:F216,"&lt;="&amp;$F216)-1),"")</f>
        <v>-0.13937711989313317</v>
      </c>
      <c r="AP216" s="103">
        <v>73069</v>
      </c>
      <c r="AQ216" s="452">
        <f>'Overall Metrics'!AO221</f>
        <v>0.59452576550141667</v>
      </c>
      <c r="AR216" s="450">
        <f t="shared" si="88"/>
        <v>-73068.405474234503</v>
      </c>
      <c r="AS216" s="453">
        <f>IFERROR(IF(R217=0,"-",AVERAGEIFS($AQ$2:AQ216,$A$2:A216,$A216,$F$2:F216,"&lt;="&amp;$F216)-AVERAGEIFS($AP$2:AP216,$A$2:A216,$A216,$F$2:F216,"&lt;="&amp;$F216)),"")</f>
        <v>-79744.255451660676</v>
      </c>
      <c r="AT216" s="390">
        <f>IFERROR(IF(R217=0,"-",AVERAGEIFS($AQ$2:AQ216,$A$2:A216,A216,$C$2:C216,C216)-AVERAGEIFS($AP$2:AP216,$A$2:A216,A216,$C$2:C216,C216)),"")</f>
        <v>-79744.255451660676</v>
      </c>
      <c r="AU216" s="103">
        <v>68923</v>
      </c>
      <c r="AV216" s="452">
        <f>'Overall Metrics'!AS221</f>
        <v>0</v>
      </c>
      <c r="AW216" s="450" t="str">
        <f t="shared" si="89"/>
        <v/>
      </c>
      <c r="AX216" s="453">
        <f>IFERROR(IF(R220=0,"-",AVERAGEIFS($AV$2:AV216,$A$2:A216,$A216,$F$2:F216,"&lt;="&amp;$F216)-AVERAGEIFS($AU$2:AU216,$A$2:A216,$A216,$F$2:F216,"&lt;="&amp;$F216)),"")</f>
        <v>-70750.857142857145</v>
      </c>
      <c r="AY216" s="453">
        <f>IFERROR(IF(R220=0,"-",AVERAGEIFS($AV$2:AV216,$A$2:A216,A216,$C$2:C216,C216)-AVERAGEIFS($AU$2:AU216,$A$2:A216,A216,$C$2:C216,C216)),"")</f>
        <v>-70750.857142857145</v>
      </c>
      <c r="AZ216" s="103">
        <v>115310</v>
      </c>
      <c r="BA216" s="449">
        <f>'Glass Metrics'!AC221</f>
        <v>158838</v>
      </c>
      <c r="BB216" s="450">
        <f t="shared" si="90"/>
        <v>0.3774867747810251</v>
      </c>
      <c r="BC216" s="450">
        <f>IFERROR(IF(R216=0,"-",AVERAGEIFS($BA$2:BA216,$A$2:A216,$A216,$F$2:F216,"&lt;="&amp;$F216)/AVERAGEIFS($AZ$2:AZ216,$A$2:A216,$A216,$F$2:F216,"&lt;="&amp;$F216)-1),"")</f>
        <v>0.10699037968919001</v>
      </c>
      <c r="BD216" s="269">
        <f>IFERROR(IF(R216=0,"-",AVERAGEIFS($BA$2:BA216,$A$2:A216,A216,$C$2:C216,C216)/AVERAGEIFS($AZ$2:AZ216,$A$2:A216,A216,$C$2:C216,C216)-1),"")</f>
        <v>0.10699037968919001</v>
      </c>
    </row>
    <row r="217" spans="1:56" ht="16.350000000000001" customHeight="1">
      <c r="A217" s="175">
        <f t="shared" si="69"/>
        <v>2025</v>
      </c>
      <c r="B217" s="447" t="str">
        <f t="shared" si="70"/>
        <v>08</v>
      </c>
      <c r="C217" s="447" t="str">
        <f t="array" ref="C217">_xlfn.IFS(_xlfn.NUMBERVALUE(B217)&lt;=13,"Q1",AND(_xlfn.NUMBERVALUE(B217)&gt;13,_xlfn.NUMBERVALUE(B217)&lt;=26),"Q2", AND(_xlfn.NUMBERVALUE(B217)&gt;26,_xlfn.NUMBERVALUE(B217)&lt;=39),"Q3",_xlfn.NUMBERVALUE(B217)&gt;39,"Q4")</f>
        <v>Q1</v>
      </c>
      <c r="D217" s="448">
        <f t="shared" si="91"/>
        <v>45367</v>
      </c>
      <c r="E217" s="448">
        <f t="shared" si="71"/>
        <v>45373</v>
      </c>
      <c r="F217" s="79">
        <v>202408</v>
      </c>
      <c r="G217" s="103">
        <v>53493</v>
      </c>
      <c r="H217" s="429">
        <v>82207</v>
      </c>
      <c r="I217" s="429">
        <v>72760</v>
      </c>
      <c r="J217" s="214">
        <f t="shared" si="72"/>
        <v>208460</v>
      </c>
      <c r="K217" s="103">
        <v>94921</v>
      </c>
      <c r="L217" s="429">
        <v>66596</v>
      </c>
      <c r="M217" s="429">
        <v>73324</v>
      </c>
      <c r="N217" s="214">
        <f t="shared" si="73"/>
        <v>234841</v>
      </c>
      <c r="O217" s="449">
        <f>'Overall Metrics'!L222</f>
        <v>135369.65</v>
      </c>
      <c r="P217" s="449">
        <f>'Overall Metrics'!M222</f>
        <v>156239</v>
      </c>
      <c r="Q217" s="449">
        <f>'Overall Metrics'!N222</f>
        <v>75440.3</v>
      </c>
      <c r="R217" s="449">
        <f t="shared" si="74"/>
        <v>367048.95</v>
      </c>
      <c r="S217" s="180">
        <f t="shared" si="75"/>
        <v>2416895.7999999998</v>
      </c>
      <c r="T217" s="449">
        <f t="shared" si="76"/>
        <v>1780845</v>
      </c>
      <c r="U217" s="449">
        <f t="shared" si="77"/>
        <v>1747405</v>
      </c>
      <c r="V217" s="450">
        <f t="shared" si="78"/>
        <v>0.35716235831866316</v>
      </c>
      <c r="W217" s="450">
        <f>IF(R217=0,"-",SUMIFS($R$2:R217,$A$2:A217,A217,$C$2:C217,C217)/SUMIFS($J$2:J217,$A$2:A217,A217,$C$2:C217,C217)-1)</f>
        <v>0.35716235831866316</v>
      </c>
      <c r="X217" s="450">
        <f t="shared" si="79"/>
        <v>0.38313430486922018</v>
      </c>
      <c r="Y217" s="450">
        <f>IFERROR(IF(R217=0,"-",SUMIFS($R$2:R217,$A$2:A217,A217,$C$2:C217,C217)/SUMIFS($N$2:N217,$A$2:A217,A217,$C$2:C217,C217)-1),"")</f>
        <v>0.38313430486922018</v>
      </c>
      <c r="Z217" s="269">
        <f>IF(R217=0,"",(S217/VLOOKUP(_xlfn.NUMBERVALUE(_xlfn.CONCAT(LEFT(F217,4),52)),$F$2:T424,COLUMNS($F$2:T424),FALSE)))</f>
        <v>0.2057592601405506</v>
      </c>
      <c r="AA217" s="269">
        <f>IFERROR(IF(R217=0,"",(S217/VLOOKUP(_xlfn.NUMBERVALUE(_xlfn.CONCAT(LEFT(F217,4),52)),$F$2:U424,COLUMNS($F$2:U424),FALSE))),"")</f>
        <v>0.20776923674051459</v>
      </c>
      <c r="AB217" s="268">
        <f t="shared" si="80"/>
        <v>1.5306049389639766</v>
      </c>
      <c r="AC217" s="450">
        <f t="shared" si="81"/>
        <v>0.90055591372997434</v>
      </c>
      <c r="AD217" s="450">
        <f t="shared" si="82"/>
        <v>3.6837548103353601E-2</v>
      </c>
      <c r="AE217" s="269">
        <f t="shared" si="83"/>
        <v>0.76076441523553684</v>
      </c>
      <c r="AF217" s="268">
        <f t="shared" si="84"/>
        <v>0.42612962358171536</v>
      </c>
      <c r="AG217" s="450">
        <f t="shared" si="85"/>
        <v>1.3460718361463151</v>
      </c>
      <c r="AH217" s="450">
        <f t="shared" si="86"/>
        <v>2.8862309748513448E-2</v>
      </c>
      <c r="AI217" s="269">
        <f t="shared" si="87"/>
        <v>0.56296792297767428</v>
      </c>
      <c r="AJ217" s="450">
        <f>IF(O217=0,"-",SUMIFS($O$2:O217,$A$2:A217,$A217,$F$2:F217,"&lt;="&amp;$F217)/SUMIFS($G$2:G217,$A$2:A217,$A217,$F$2:F217,"&lt;="&amp;$F217)-1)</f>
        <v>0.57957119023720027</v>
      </c>
      <c r="AK217" s="450">
        <f>IF(P217=0,"-",SUMIFS($P$2:P217,$A$2:A217,$A217,$F$2:F217,"&lt;="&amp;$F217)/SUMIFS($H$2:H217,$A$2:A217,$A217,$F$2:F217,"&lt;="&amp;$F217)-1)</f>
        <v>0.83369554244703514</v>
      </c>
      <c r="AL217" s="450">
        <f>IF(Q217=0,"-",SUMIFS($Q$2:Q217,$A$2:A217,$A217,$F$2:F217,"&lt;="&amp;$F217)/SUMIFS($I$2:I217,$A$2:A217,$A217,$F$2:F217,"&lt;="&amp;$F217)-1)</f>
        <v>-0.20485652783888808</v>
      </c>
      <c r="AM217" s="450">
        <f>IFERROR(IF(O217=0,"-",SUMIFS($O$2:O217,$A$2:A217,$A217,$F$2:F217,"&lt;="&amp;$F217)/SUMIFS($K$2:K217,$A$2:A217,$A217,$F$2:F217,"&lt;="&amp;$F217)-1),"")</f>
        <v>0.61759241137940446</v>
      </c>
      <c r="AN217" s="450">
        <f>IFERROR(IF(P217=0,"-",SUMIFS($P$2:P217,$A$2:A217,$A217,$F$2:F217,"&lt;="&amp;$F217)/SUMIFS($L$2:L217,$A$2:A217,$A217,$F$2:F217,"&lt;="&amp;$F217)-1),"")</f>
        <v>0.68626362270152486</v>
      </c>
      <c r="AO217" s="450">
        <f>IFERROR(IF(Q217=0,"-",SUMIFS($Q$2:Q217,$A$2:A217,$A217,$F$2:F217,"&lt;="&amp;$F217)/SUMIFS($M$2:M217,$A$2:A217,$A217,$F$2:F217,"&lt;="&amp;$F217)-1),"")</f>
        <v>-0.11913155363865835</v>
      </c>
      <c r="AP217" s="103">
        <v>91233</v>
      </c>
      <c r="AQ217" s="452">
        <f>'Overall Metrics'!AO222</f>
        <v>0.47312403181174656</v>
      </c>
      <c r="AR217" s="450">
        <f t="shared" si="88"/>
        <v>-91232.526875968193</v>
      </c>
      <c r="AS217" s="453">
        <f>IFERROR(IF(R218=0,"-",AVERAGEIFS($AQ$2:AQ217,$A$2:A217,$A217,$F$2:F217,"&lt;="&amp;$F217)-AVERAGEIFS($AP$2:AP217,$A$2:A217,$A217,$F$2:F217,"&lt;="&amp;$F217)),"")</f>
        <v>-81180.289379699112</v>
      </c>
      <c r="AT217" s="390">
        <f>IFERROR(IF(R218=0,"-",AVERAGEIFS($AQ$2:AQ217,$A$2:A217,A217,$C$2:C217,C217)-AVERAGEIFS($AP$2:AP217,$A$2:A217,A217,$C$2:C217,C217)),"")</f>
        <v>-81180.289379699112</v>
      </c>
      <c r="AU217" s="103">
        <v>65234</v>
      </c>
      <c r="AV217" s="452">
        <f>'Overall Metrics'!AS222</f>
        <v>0</v>
      </c>
      <c r="AW217" s="450" t="str">
        <f t="shared" si="89"/>
        <v/>
      </c>
      <c r="AX217" s="453">
        <f>IFERROR(IF(R221=0,"-",AVERAGEIFS($AV$2:AV217,$A$2:A217,$A217,$F$2:F217,"&lt;="&amp;$F217)-AVERAGEIFS($AU$2:AU217,$A$2:A217,$A217,$F$2:F217,"&lt;="&amp;$F217)),"")</f>
        <v>-70061.25</v>
      </c>
      <c r="AY217" s="453">
        <f>IFERROR(IF(R221=0,"-",AVERAGEIFS($AV$2:AV217,$A$2:A217,A217,$C$2:C217,C217)-AVERAGEIFS($AU$2:AU217,$A$2:A217,A217,$C$2:C217,C217)),"")</f>
        <v>-70061.25</v>
      </c>
      <c r="AZ217" s="103">
        <v>196813</v>
      </c>
      <c r="BA217" s="449">
        <f>'Glass Metrics'!AC222</f>
        <v>136223</v>
      </c>
      <c r="BB217" s="450">
        <f t="shared" si="90"/>
        <v>-0.30785568026502319</v>
      </c>
      <c r="BC217" s="450">
        <f>IFERROR(IF(R217=0,"-",AVERAGEIFS($BA$2:BA217,$A$2:A217,$A217,$F$2:F217,"&lt;="&amp;$F217)/AVERAGEIFS($AZ$2:AZ217,$A$2:A217,$A217,$F$2:F217,"&lt;="&amp;$F217)-1),"")</f>
        <v>3.7831038528162386E-2</v>
      </c>
      <c r="BD217" s="269">
        <f>IFERROR(IF(R217=0,"-",AVERAGEIFS($BA$2:BA217,$A$2:A217,A217,$C$2:C217,C217)/AVERAGEIFS($AZ$2:AZ217,$A$2:A217,A217,$C$2:C217,C217)-1),"")</f>
        <v>3.7831038528162386E-2</v>
      </c>
    </row>
    <row r="218" spans="1:56" ht="16.350000000000001" customHeight="1">
      <c r="A218" s="175">
        <f t="shared" si="69"/>
        <v>2025</v>
      </c>
      <c r="B218" s="447" t="str">
        <f t="shared" si="70"/>
        <v>09</v>
      </c>
      <c r="C218" s="447" t="str">
        <f t="array" ref="C218">_xlfn.IFS(_xlfn.NUMBERVALUE(B218)&lt;=13,"Q1",AND(_xlfn.NUMBERVALUE(B218)&gt;13,_xlfn.NUMBERVALUE(B218)&lt;=26),"Q2", AND(_xlfn.NUMBERVALUE(B218)&gt;26,_xlfn.NUMBERVALUE(B218)&lt;=39),"Q3",_xlfn.NUMBERVALUE(B218)&gt;39,"Q4")</f>
        <v>Q1</v>
      </c>
      <c r="D218" s="448">
        <f t="shared" si="91"/>
        <v>45374</v>
      </c>
      <c r="E218" s="448">
        <f t="shared" si="71"/>
        <v>45380</v>
      </c>
      <c r="F218" s="79">
        <v>202409</v>
      </c>
      <c r="G218" s="103">
        <v>63927</v>
      </c>
      <c r="H218" s="429">
        <v>78256</v>
      </c>
      <c r="I218" s="429">
        <v>58462</v>
      </c>
      <c r="J218" s="214">
        <f t="shared" si="72"/>
        <v>200645</v>
      </c>
      <c r="K218" s="103">
        <v>88780</v>
      </c>
      <c r="L218" s="429">
        <v>98468</v>
      </c>
      <c r="M218" s="429">
        <v>86904</v>
      </c>
      <c r="N218" s="214">
        <f t="shared" si="73"/>
        <v>274152</v>
      </c>
      <c r="O218" s="449">
        <f>'Overall Metrics'!L223</f>
        <v>106340.5</v>
      </c>
      <c r="P218" s="449">
        <f>'Overall Metrics'!M223</f>
        <v>114266</v>
      </c>
      <c r="Q218" s="449">
        <f>'Overall Metrics'!N223</f>
        <v>69849</v>
      </c>
      <c r="R218" s="449">
        <f t="shared" si="74"/>
        <v>290455.5</v>
      </c>
      <c r="S218" s="180">
        <f t="shared" si="75"/>
        <v>2707351.3</v>
      </c>
      <c r="T218" s="449">
        <f t="shared" si="76"/>
        <v>1981490</v>
      </c>
      <c r="U218" s="449">
        <f t="shared" si="77"/>
        <v>2021557</v>
      </c>
      <c r="V218" s="450">
        <f t="shared" si="78"/>
        <v>0.36632095039591417</v>
      </c>
      <c r="W218" s="450">
        <f>IF(R218=0,"-",SUMIFS($R$2:R218,$A$2:A218,A218,$C$2:C218,C218)/SUMIFS($J$2:J218,$A$2:A218,A218,$C$2:C218,C218)-1)</f>
        <v>0.36632095039591417</v>
      </c>
      <c r="X218" s="450">
        <f t="shared" si="79"/>
        <v>0.33924064471098259</v>
      </c>
      <c r="Y218" s="450">
        <f>IFERROR(IF(R218=0,"-",SUMIFS($R$2:R218,$A$2:A218,A218,$C$2:C218,C218)/SUMIFS($N$2:N218,$A$2:A218,A218,$C$2:C218,C218)-1),"")</f>
        <v>0.33924064471098259</v>
      </c>
      <c r="Z218" s="269">
        <f>IF(R218=0,"",(S218/VLOOKUP(_xlfn.NUMBERVALUE(_xlfn.CONCAT(LEFT(F218,4),52)),$F$2:T425,COLUMNS($F$2:T425),FALSE)))</f>
        <v>0.230486808917686</v>
      </c>
      <c r="AA218" s="269">
        <f>IFERROR(IF(R218=0,"",(S218/VLOOKUP(_xlfn.NUMBERVALUE(_xlfn.CONCAT(LEFT(F218,4),52)),$F$2:U425,COLUMNS($F$2:U425),FALSE))),"")</f>
        <v>0.232738338653011</v>
      </c>
      <c r="AB218" s="268">
        <f t="shared" si="80"/>
        <v>0.66346770535141641</v>
      </c>
      <c r="AC218" s="450">
        <f t="shared" si="81"/>
        <v>0.4601564097321611</v>
      </c>
      <c r="AD218" s="450">
        <f t="shared" si="82"/>
        <v>0.19477609387294303</v>
      </c>
      <c r="AE218" s="269">
        <f t="shared" si="83"/>
        <v>0.44760896110045101</v>
      </c>
      <c r="AF218" s="268">
        <f t="shared" si="84"/>
        <v>0.19779792746113989</v>
      </c>
      <c r="AG218" s="450">
        <f t="shared" si="85"/>
        <v>0.1604379087622374</v>
      </c>
      <c r="AH218" s="450">
        <f t="shared" si="86"/>
        <v>-0.19625103562551782</v>
      </c>
      <c r="AI218" s="269">
        <f t="shared" si="87"/>
        <v>5.9468834806968296E-2</v>
      </c>
      <c r="AJ218" s="450">
        <f>IF(O218=0,"-",SUMIFS($O$2:O218,$A$2:A218,$A218,$F$2:F218,"&lt;="&amp;$F218)/SUMIFS($G$2:G218,$A$2:A218,$A218,$F$2:F218,"&lt;="&amp;$F218)-1)</f>
        <v>0.58788961200104217</v>
      </c>
      <c r="AK218" s="450">
        <f>IF(P218=0,"-",SUMIFS($P$2:P218,$A$2:A218,$A218,$F$2:F218,"&lt;="&amp;$F218)/SUMIFS($H$2:H218,$A$2:A218,$A218,$F$2:F218,"&lt;="&amp;$F218)-1)</f>
        <v>0.78524056193278358</v>
      </c>
      <c r="AL218" s="450">
        <f>IF(Q218=0,"-",SUMIFS($Q$2:Q218,$A$2:A218,$A218,$F$2:F218,"&lt;="&amp;$F218)/SUMIFS($I$2:I218,$A$2:A218,$A218,$F$2:F218,"&lt;="&amp;$F218)-1)</f>
        <v>-0.17300343162851706</v>
      </c>
      <c r="AM218" s="450">
        <f>IFERROR(IF(O218=0,"-",SUMIFS($O$2:O218,$A$2:A218,$A218,$F$2:F218,"&lt;="&amp;$F218)/SUMIFS($K$2:K218,$A$2:A218,$A218,$F$2:F218,"&lt;="&amp;$F218)-1),"")</f>
        <v>0.5607746076271638</v>
      </c>
      <c r="AN218" s="450">
        <f>IFERROR(IF(P218=0,"-",SUMIFS($P$2:P218,$A$2:A218,$A218,$F$2:F218,"&lt;="&amp;$F218)/SUMIFS($L$2:L218,$A$2:A218,$A218,$F$2:F218,"&lt;="&amp;$F218)-1),"")</f>
        <v>0.60891408595885799</v>
      </c>
      <c r="AO218" s="450">
        <f>IFERROR(IF(Q218=0,"-",SUMIFS($Q$2:Q218,$A$2:A218,$A218,$F$2:F218,"&lt;="&amp;$F218)/SUMIFS($M$2:M218,$A$2:A218,$A218,$F$2:F218,"&lt;="&amp;$F218)-1),"")</f>
        <v>-0.128757781282407</v>
      </c>
      <c r="AP218" s="103">
        <v>57884</v>
      </c>
      <c r="AQ218" s="452">
        <f>'Overall Metrics'!AO223</f>
        <v>0.45213032599427155</v>
      </c>
      <c r="AR218" s="450">
        <f t="shared" si="88"/>
        <v>-57883.547869674003</v>
      </c>
      <c r="AS218" s="453">
        <f>IFERROR(IF(R219=0,"-",AVERAGEIFS($AQ$2:AQ218,$A$2:A218,$A218,$F$2:F218,"&lt;="&amp;$F218)-AVERAGEIFS($AP$2:AP218,$A$2:A218,$A218,$F$2:F218,"&lt;="&amp;$F218)),"")</f>
        <v>-78591.76254525187</v>
      </c>
      <c r="AT218" s="390">
        <f>IFERROR(IF(R219=0,"-",AVERAGEIFS($AQ$2:AQ218,$A$2:A218,A218,$C$2:C218,C218)-AVERAGEIFS($AP$2:AP218,$A$2:A218,A218,$C$2:C218,C218)),"")</f>
        <v>-78591.76254525187</v>
      </c>
      <c r="AU218" s="103">
        <v>98232</v>
      </c>
      <c r="AV218" s="452">
        <f>'Overall Metrics'!AS223</f>
        <v>0</v>
      </c>
      <c r="AW218" s="450" t="str">
        <f t="shared" si="89"/>
        <v/>
      </c>
      <c r="AX218" s="453">
        <f>IFERROR(IF(R222=0,"-",AVERAGEIFS($AV$2:AV218,$A$2:A218,$A218,$F$2:F218,"&lt;="&amp;$F218)-AVERAGEIFS($AU$2:AU218,$A$2:A218,$A218,$F$2:F218,"&lt;="&amp;$F218)),"")</f>
        <v>-73191.333333333328</v>
      </c>
      <c r="AY218" s="453">
        <f>IFERROR(IF(R222=0,"-",AVERAGEIFS($AV$2:AV218,$A$2:A218,A218,$C$2:C218,C218)-AVERAGEIFS($AU$2:AU218,$A$2:A218,A218,$C$2:C218,C218)),"")</f>
        <v>-73191.333333333328</v>
      </c>
      <c r="AZ218" s="103">
        <v>105438</v>
      </c>
      <c r="BA218" s="449">
        <f>'Glass Metrics'!AC223</f>
        <v>154285</v>
      </c>
      <c r="BB218" s="450">
        <f t="shared" si="90"/>
        <v>0.46327699690813562</v>
      </c>
      <c r="BC218" s="450">
        <f>IFERROR(IF(R218=0,"-",AVERAGEIFS($BA$2:BA218,$A$2:A218,$A218,$F$2:F218,"&lt;="&amp;$F218)/AVERAGEIFS($AZ$2:AZ218,$A$2:A218,$A218,$F$2:F218,"&lt;="&amp;$F218)-1),"")</f>
        <v>7.2712894137883177E-2</v>
      </c>
      <c r="BD218" s="269">
        <f>IFERROR(IF(R218=0,"-",AVERAGEIFS($BA$2:BA218,$A$2:A218,A218,$C$2:C218,C218)/AVERAGEIFS($AZ$2:AZ218,$A$2:A218,A218,$C$2:C218,C218)-1),"")</f>
        <v>7.2712894137883177E-2</v>
      </c>
    </row>
    <row r="219" spans="1:56" ht="16.350000000000001" customHeight="1">
      <c r="A219" s="175">
        <f t="shared" si="69"/>
        <v>2025</v>
      </c>
      <c r="B219" s="447" t="str">
        <f t="shared" si="70"/>
        <v>10</v>
      </c>
      <c r="C219" s="447" t="str">
        <f t="array" ref="C219">_xlfn.IFS(_xlfn.NUMBERVALUE(B219)&lt;=13,"Q1",AND(_xlfn.NUMBERVALUE(B219)&gt;13,_xlfn.NUMBERVALUE(B219)&lt;=26),"Q2", AND(_xlfn.NUMBERVALUE(B219)&gt;26,_xlfn.NUMBERVALUE(B219)&lt;=39),"Q3",_xlfn.NUMBERVALUE(B219)&gt;39,"Q4")</f>
        <v>Q1</v>
      </c>
      <c r="D219" s="448">
        <f t="shared" si="91"/>
        <v>45381</v>
      </c>
      <c r="E219" s="448">
        <f t="shared" si="71"/>
        <v>45387</v>
      </c>
      <c r="F219" s="79">
        <v>202410</v>
      </c>
      <c r="G219" s="103">
        <v>57532</v>
      </c>
      <c r="H219" s="429">
        <v>65153</v>
      </c>
      <c r="I219" s="429">
        <v>99440</v>
      </c>
      <c r="J219" s="214">
        <f t="shared" si="72"/>
        <v>222125</v>
      </c>
      <c r="K219" s="103">
        <v>63760</v>
      </c>
      <c r="L219" s="429">
        <v>65952</v>
      </c>
      <c r="M219" s="429">
        <v>68371</v>
      </c>
      <c r="N219" s="214">
        <f t="shared" si="73"/>
        <v>198083</v>
      </c>
      <c r="O219" s="449">
        <f>'Overall Metrics'!L224</f>
        <v>93007.549999999974</v>
      </c>
      <c r="P219" s="449">
        <f>'Overall Metrics'!M224</f>
        <v>97585</v>
      </c>
      <c r="Q219" s="449">
        <f>'Overall Metrics'!N224</f>
        <v>64034.100000000006</v>
      </c>
      <c r="R219" s="449">
        <f t="shared" si="74"/>
        <v>254626.65</v>
      </c>
      <c r="S219" s="180">
        <f t="shared" si="75"/>
        <v>2961977.9499999997</v>
      </c>
      <c r="T219" s="449">
        <f t="shared" si="76"/>
        <v>2203615</v>
      </c>
      <c r="U219" s="449">
        <f t="shared" si="77"/>
        <v>2219640</v>
      </c>
      <c r="V219" s="450">
        <f t="shared" si="78"/>
        <v>0.34414493911141442</v>
      </c>
      <c r="W219" s="450">
        <f>IF(R219=0,"-",SUMIFS($R$2:R219,$A$2:A219,A219,$C$2:C219,C219)/SUMIFS($J$2:J219,$A$2:A219,A219,$C$2:C219,C219)-1)</f>
        <v>0.34414493911141442</v>
      </c>
      <c r="X219" s="450">
        <f t="shared" si="79"/>
        <v>0.33444069759060024</v>
      </c>
      <c r="Y219" s="450">
        <f>IFERROR(IF(R219=0,"-",SUMIFS($R$2:R219,$A$2:A219,A219,$C$2:C219,C219)/SUMIFS($N$2:N219,$A$2:A219,A219,$C$2:C219,C219)-1),"")</f>
        <v>0.33444069759060024</v>
      </c>
      <c r="Z219" s="269">
        <f>IF(R219=0,"",(S219/VLOOKUP(_xlfn.NUMBERVALUE(_xlfn.CONCAT(LEFT(F219,4),52)),$F$2:T426,COLUMNS($F$2:T426),FALSE)))</f>
        <v>0.25216411545116046</v>
      </c>
      <c r="AA219" s="269">
        <f>IFERROR(IF(R219=0,"",(S219/VLOOKUP(_xlfn.NUMBERVALUE(_xlfn.CONCAT(LEFT(F219,4),52)),$F$2:U426,COLUMNS($F$2:U426),FALSE))),"")</f>
        <v>0.25462740177451343</v>
      </c>
      <c r="AB219" s="268">
        <f t="shared" si="80"/>
        <v>0.61662292289508391</v>
      </c>
      <c r="AC219" s="450">
        <f t="shared" si="81"/>
        <v>0.49778214356975115</v>
      </c>
      <c r="AD219" s="450">
        <f t="shared" si="82"/>
        <v>-0.35605289621882541</v>
      </c>
      <c r="AE219" s="269">
        <f t="shared" si="83"/>
        <v>0.14632144063027575</v>
      </c>
      <c r="AF219" s="268">
        <f t="shared" si="84"/>
        <v>0.458713143036386</v>
      </c>
      <c r="AG219" s="450">
        <f t="shared" si="85"/>
        <v>0.47963670548277526</v>
      </c>
      <c r="AH219" s="450">
        <f t="shared" si="86"/>
        <v>-6.343186438694759E-2</v>
      </c>
      <c r="AI219" s="269">
        <f t="shared" si="87"/>
        <v>0.28545432975065999</v>
      </c>
      <c r="AJ219" s="450">
        <f>IF(O219=0,"-",SUMIFS($O$2:O219,$A$2:A219,$A219,$F$2:F219,"&lt;="&amp;$F219)/SUMIFS($G$2:G219,$A$2:A219,$A219,$F$2:F219,"&lt;="&amp;$F219)-1)</f>
        <v>0.59024350825031724</v>
      </c>
      <c r="AK219" s="450">
        <f>IF(P219=0,"-",SUMIFS($P$2:P219,$A$2:A219,$A219,$F$2:F219,"&lt;="&amp;$F219)/SUMIFS($H$2:H219,$A$2:A219,$A219,$F$2:F219,"&lt;="&amp;$F219)-1)</f>
        <v>0.75722142100570289</v>
      </c>
      <c r="AL219" s="450">
        <f>IF(Q219=0,"-",SUMIFS($Q$2:Q219,$A$2:A219,$A219,$F$2:F219,"&lt;="&amp;$F219)/SUMIFS($I$2:I219,$A$2:A219,$A219,$F$2:F219,"&lt;="&amp;$F219)-1)</f>
        <v>-0.19485743374742326</v>
      </c>
      <c r="AM219" s="450">
        <f>IFERROR(IF(O219=0,"-",SUMIFS($O$2:O219,$A$2:A219,$A219,$F$2:F219,"&lt;="&amp;$F219)/SUMIFS($K$2:K219,$A$2:A219,$A219,$F$2:F219,"&lt;="&amp;$F219)-1),"")</f>
        <v>0.55173279329725355</v>
      </c>
      <c r="AN219" s="450">
        <f>IFERROR(IF(P219=0,"-",SUMIFS($P$2:P219,$A$2:A219,$A219,$F$2:F219,"&lt;="&amp;$F219)/SUMIFS($L$2:L219,$A$2:A219,$A219,$F$2:F219,"&lt;="&amp;$F219)-1),"")</f>
        <v>0.5973193425644121</v>
      </c>
      <c r="AO219" s="450">
        <f>IFERROR(IF(Q219=0,"-",SUMIFS($Q$2:Q219,$A$2:A219,$A219,$F$2:F219,"&lt;="&amp;$F219)/SUMIFS($M$2:M219,$A$2:A219,$A219,$F$2:F219,"&lt;="&amp;$F219)-1),"")</f>
        <v>-0.12291624432868209</v>
      </c>
      <c r="AP219" s="103">
        <v>83786</v>
      </c>
      <c r="AQ219" s="452">
        <f>'Overall Metrics'!AO224</f>
        <v>0.64925783954772487</v>
      </c>
      <c r="AR219" s="450">
        <f t="shared" si="88"/>
        <v>-83785.350742160459</v>
      </c>
      <c r="AS219" s="453">
        <f>IFERROR(IF(R220=0,"-",AVERAGEIFS($AQ$2:AQ219,$A$2:A219,$A219,$F$2:F219,"&lt;="&amp;$F219)-AVERAGEIFS($AP$2:AP219,$A$2:A219,$A219,$F$2:F219,"&lt;="&amp;$F219)),"")</f>
        <v>-79111.121364942737</v>
      </c>
      <c r="AT219" s="390">
        <f>IFERROR(IF(R220=0,"-",AVERAGEIFS($AQ$2:AQ219,$A$2:A219,A219,$C$2:C219,C219)-AVERAGEIFS($AP$2:AP219,$A$2:A219,A219,$C$2:C219,C219)),"")</f>
        <v>-79111.121364942737</v>
      </c>
      <c r="AU219" s="103">
        <v>74426</v>
      </c>
      <c r="AV219" s="452">
        <f>'Overall Metrics'!AS224</f>
        <v>0</v>
      </c>
      <c r="AW219" s="450" t="str">
        <f t="shared" si="89"/>
        <v/>
      </c>
      <c r="AX219" s="453">
        <f>IFERROR(IF(R223=0,"-",AVERAGEIFS($AV$2:AV219,$A$2:A219,$A219,$F$2:F219,"&lt;="&amp;$F219)-AVERAGEIFS($AU$2:AU219,$A$2:A219,$A219,$F$2:F219,"&lt;="&amp;$F219)),"")</f>
        <v>-73314.8</v>
      </c>
      <c r="AY219" s="453">
        <f>IFERROR(IF(R223=0,"-",AVERAGEIFS($AV$2:AV219,$A$2:A219,A219,$C$2:C219,C219)-AVERAGEIFS($AU$2:AU219,$A$2:A219,A219,$C$2:C219,C219)),"")</f>
        <v>-73314.8</v>
      </c>
      <c r="AZ219" s="103">
        <v>176850</v>
      </c>
      <c r="BA219" s="449">
        <f>'Glass Metrics'!AC224</f>
        <v>167588</v>
      </c>
      <c r="BB219" s="450">
        <f t="shared" si="90"/>
        <v>-5.2372066723211708E-2</v>
      </c>
      <c r="BC219" s="450">
        <f>IFERROR(IF(R219=0,"-",AVERAGEIFS($BA$2:BA219,$A$2:A219,$A219,$F$2:F219,"&lt;="&amp;$F219)/AVERAGEIFS($AZ$2:AZ219,$A$2:A219,$A219,$F$2:F219,"&lt;="&amp;$F219)-1),"")</f>
        <v>5.7590885755438359E-2</v>
      </c>
      <c r="BD219" s="269">
        <f>IFERROR(IF(R219=0,"-",AVERAGEIFS($BA$2:BA219,$A$2:A219,A219,$C$2:C219,C219)/AVERAGEIFS($AZ$2:AZ219,$A$2:A219,A219,$C$2:C219,C219)-1),"")</f>
        <v>5.7590885755438359E-2</v>
      </c>
    </row>
    <row r="220" spans="1:56" ht="16.350000000000001" customHeight="1">
      <c r="A220" s="175">
        <f t="shared" si="69"/>
        <v>2025</v>
      </c>
      <c r="B220" s="447" t="str">
        <f t="shared" si="70"/>
        <v>11</v>
      </c>
      <c r="C220" s="447" t="str">
        <f t="array" ref="C220">_xlfn.IFS(_xlfn.NUMBERVALUE(B220)&lt;=13,"Q1",AND(_xlfn.NUMBERVALUE(B220)&gt;13,_xlfn.NUMBERVALUE(B220)&lt;=26),"Q2", AND(_xlfn.NUMBERVALUE(B220)&gt;26,_xlfn.NUMBERVALUE(B220)&lt;=39),"Q3",_xlfn.NUMBERVALUE(B220)&gt;39,"Q4")</f>
        <v>Q1</v>
      </c>
      <c r="D220" s="448">
        <f t="shared" si="91"/>
        <v>45388</v>
      </c>
      <c r="E220" s="448">
        <f t="shared" si="71"/>
        <v>45394</v>
      </c>
      <c r="F220" s="79">
        <v>202411</v>
      </c>
      <c r="G220" s="103">
        <v>67774</v>
      </c>
      <c r="H220" s="429">
        <v>62465</v>
      </c>
      <c r="I220" s="429">
        <v>93259</v>
      </c>
      <c r="J220" s="214">
        <f t="shared" si="72"/>
        <v>223498</v>
      </c>
      <c r="K220" s="103">
        <v>73789</v>
      </c>
      <c r="L220" s="429">
        <v>51524</v>
      </c>
      <c r="M220" s="429">
        <v>84138</v>
      </c>
      <c r="N220" s="214">
        <f t="shared" si="73"/>
        <v>209451</v>
      </c>
      <c r="O220" s="449">
        <f>'Overall Metrics'!L225</f>
        <v>128788.15</v>
      </c>
      <c r="P220" s="449">
        <f>'Overall Metrics'!M225</f>
        <v>152344</v>
      </c>
      <c r="Q220" s="449">
        <f>'Overall Metrics'!N225</f>
        <v>67146.3</v>
      </c>
      <c r="R220" s="449">
        <f t="shared" si="74"/>
        <v>348278.45</v>
      </c>
      <c r="S220" s="180">
        <f t="shared" si="75"/>
        <v>3310256.4</v>
      </c>
      <c r="T220" s="449">
        <f t="shared" si="76"/>
        <v>2427113</v>
      </c>
      <c r="U220" s="449">
        <f t="shared" si="77"/>
        <v>2429091</v>
      </c>
      <c r="V220" s="450">
        <f t="shared" si="78"/>
        <v>0.36386579446445211</v>
      </c>
      <c r="W220" s="450">
        <f>IF(R220=0,"-",SUMIFS($R$2:R220,$A$2:A220,A220,$C$2:C220,C220)/SUMIFS($J$2:J220,$A$2:A220,A220,$C$2:C220,C220)-1)</f>
        <v>0.36386579446445211</v>
      </c>
      <c r="X220" s="450">
        <f t="shared" si="79"/>
        <v>0.36275520348970036</v>
      </c>
      <c r="Y220" s="450">
        <f>IFERROR(IF(R220=0,"-",SUMIFS($R$2:R220,$A$2:A220,A220,$C$2:C220,C220)/SUMIFS($N$2:N220,$A$2:A220,A220,$C$2:C220,C220)-1),"")</f>
        <v>0.36275520348970036</v>
      </c>
      <c r="Z220" s="269">
        <f>IF(R220=0,"",(S220/VLOOKUP(_xlfn.NUMBERVALUE(_xlfn.CONCAT(LEFT(F220,4),52)),$F$2:T427,COLUMNS($F$2:T427),FALSE)))</f>
        <v>0.28181434538448968</v>
      </c>
      <c r="AA220" s="269">
        <f>IFERROR(IF(R220=0,"",(S220/VLOOKUP(_xlfn.NUMBERVALUE(_xlfn.CONCAT(LEFT(F220,4),52)),$F$2:U427,COLUMNS($F$2:U427),FALSE))),"")</f>
        <v>0.28456727246718855</v>
      </c>
      <c r="AB220" s="268">
        <f t="shared" si="80"/>
        <v>0.90025894885944457</v>
      </c>
      <c r="AC220" s="450">
        <f t="shared" si="81"/>
        <v>1.4388697670695589</v>
      </c>
      <c r="AD220" s="450">
        <f t="shared" si="82"/>
        <v>-0.28000193010862218</v>
      </c>
      <c r="AE220" s="269">
        <f t="shared" si="83"/>
        <v>0.55830678574304926</v>
      </c>
      <c r="AF220" s="268">
        <f t="shared" si="84"/>
        <v>0.74535703153586574</v>
      </c>
      <c r="AG220" s="450">
        <f t="shared" si="85"/>
        <v>1.9567580156820124</v>
      </c>
      <c r="AH220" s="450">
        <f t="shared" si="86"/>
        <v>-0.20195036725379734</v>
      </c>
      <c r="AI220" s="269">
        <f t="shared" si="87"/>
        <v>0.66281588533833702</v>
      </c>
      <c r="AJ220" s="450">
        <f>IF(O220=0,"-",SUMIFS($O$2:O220,$A$2:A220,$A220,$F$2:F220,"&lt;="&amp;$F220)/SUMIFS($G$2:G220,$A$2:A220,$A220,$F$2:F220,"&lt;="&amp;$F220)-1)</f>
        <v>0.6175287319005256</v>
      </c>
      <c r="AK220" s="450">
        <f>IF(P220=0,"-",SUMIFS($P$2:P220,$A$2:A220,$A220,$F$2:F220,"&lt;="&amp;$F220)/SUMIFS($H$2:H220,$A$2:A220,$A220,$F$2:F220,"&lt;="&amp;$F220)-1)</f>
        <v>0.81547777855308512</v>
      </c>
      <c r="AL220" s="450">
        <f>IF(Q220=0,"-",SUMIFS($Q$2:Q220,$A$2:A220,$A220,$F$2:F220,"&lt;="&amp;$F220)/SUMIFS($I$2:I220,$A$2:A220,$A220,$F$2:F220,"&lt;="&amp;$F220)-1)</f>
        <v>-0.20343090361380733</v>
      </c>
      <c r="AM220" s="450">
        <f>IFERROR(IF(O220=0,"-",SUMIFS($O$2:O220,$A$2:A220,$A220,$F$2:F220,"&lt;="&amp;$F220)/SUMIFS($K$2:K220,$A$2:A220,$A220,$F$2:F220,"&lt;="&amp;$F220)-1),"")</f>
        <v>0.56973839751781341</v>
      </c>
      <c r="AN220" s="450">
        <f>IFERROR(IF(P220=0,"-",SUMIFS($P$2:P220,$A$2:A220,$A220,$F$2:F220,"&lt;="&amp;$F220)/SUMIFS($L$2:L220,$A$2:A220,$A220,$F$2:F220,"&lt;="&amp;$F220)-1),"")</f>
        <v>0.68633541162027578</v>
      </c>
      <c r="AO220" s="450">
        <f>IFERROR(IF(Q220=0,"-",SUMIFS($Q$2:Q220,$A$2:A220,$A220,$F$2:F220,"&lt;="&amp;$F220)/SUMIFS($M$2:M220,$A$2:A220,$A220,$F$2:F220,"&lt;="&amp;$F220)-1),"")</f>
        <v>-0.13075120385610983</v>
      </c>
      <c r="AP220" s="103">
        <v>52907</v>
      </c>
      <c r="AQ220" s="452">
        <f>'Overall Metrics'!AO225</f>
        <v>0.60755644400370534</v>
      </c>
      <c r="AR220" s="450">
        <f t="shared" si="88"/>
        <v>-52906.392443555997</v>
      </c>
      <c r="AS220" s="453">
        <f>IFERROR(IF(R221=0,"-",AVERAGEIFS($AQ$2:AQ220,$A$2:A220,$A220,$F$2:F220,"&lt;="&amp;$F220)-AVERAGEIFS($AP$2:AP220,$A$2:A220,$A220,$F$2:F220,"&lt;="&amp;$F220)),"")</f>
        <v>-76728.873281180306</v>
      </c>
      <c r="AT220" s="390">
        <f>IFERROR(IF(R221=0,"-",AVERAGEIFS($AQ$2:AQ220,$A$2:A220,A220,$C$2:C220,C220)-AVERAGEIFS($AP$2:AP220,$A$2:A220,A220,$C$2:C220,C220)),"")</f>
        <v>-76728.873281180306</v>
      </c>
      <c r="AU220" s="103">
        <v>79108</v>
      </c>
      <c r="AV220" s="452">
        <f>'Overall Metrics'!AS225</f>
        <v>0</v>
      </c>
      <c r="AW220" s="450" t="str">
        <f t="shared" si="89"/>
        <v/>
      </c>
      <c r="AX220" s="453">
        <f>IFERROR(IF(R224=0,"-",AVERAGEIFS($AV$2:AV220,$A$2:A220,$A220,$F$2:F220,"&lt;="&amp;$F220)-AVERAGEIFS($AU$2:AU220,$A$2:A220,$A220,$F$2:F220,"&lt;="&amp;$F220)),"")</f>
        <v>-73841.454545454544</v>
      </c>
      <c r="AY220" s="453">
        <f>IFERROR(IF(R224=0,"-",AVERAGEIFS($AV$2:AV220,$A$2:A220,A220,$C$2:C220,C220)-AVERAGEIFS($AU$2:AU220,$A$2:A220,A220,$C$2:C220,C220)),"")</f>
        <v>-73841.454545454544</v>
      </c>
      <c r="AZ220" s="103">
        <v>154285</v>
      </c>
      <c r="BA220" s="449">
        <f>'Glass Metrics'!AC225</f>
        <v>123542</v>
      </c>
      <c r="BB220" s="450">
        <f t="shared" si="90"/>
        <v>-0.19926110769031335</v>
      </c>
      <c r="BC220" s="450">
        <f>IFERROR(IF(R220=0,"-",AVERAGEIFS($BA$2:BA220,$A$2:A220,$A220,$F$2:F220,"&lt;="&amp;$F220)/AVERAGEIFS($AZ$2:AZ220,$A$2:A220,$A220,$F$2:F220,"&lt;="&amp;$F220)-1),"")</f>
        <v>3.3085611741236587E-2</v>
      </c>
      <c r="BD220" s="269">
        <f>IFERROR(IF(R220=0,"-",AVERAGEIFS($BA$2:BA220,$A$2:A220,A220,$C$2:C220,C220)/AVERAGEIFS($AZ$2:AZ220,$A$2:A220,A220,$C$2:C220,C220)-1),"")</f>
        <v>3.3085611741236587E-2</v>
      </c>
    </row>
    <row r="221" spans="1:56" ht="16.350000000000001" customHeight="1">
      <c r="A221" s="175">
        <f t="shared" si="69"/>
        <v>2025</v>
      </c>
      <c r="B221" s="447" t="str">
        <f t="shared" si="70"/>
        <v>12</v>
      </c>
      <c r="C221" s="447" t="str">
        <f t="array" ref="C221">_xlfn.IFS(_xlfn.NUMBERVALUE(B221)&lt;=13,"Q1",AND(_xlfn.NUMBERVALUE(B221)&gt;13,_xlfn.NUMBERVALUE(B221)&lt;=26),"Q2", AND(_xlfn.NUMBERVALUE(B221)&gt;26,_xlfn.NUMBERVALUE(B221)&lt;=39),"Q3",_xlfn.NUMBERVALUE(B221)&gt;39,"Q4")</f>
        <v>Q1</v>
      </c>
      <c r="D221" s="448">
        <f t="shared" si="91"/>
        <v>45395</v>
      </c>
      <c r="E221" s="448">
        <f t="shared" si="71"/>
        <v>45401</v>
      </c>
      <c r="F221" s="79">
        <v>202412</v>
      </c>
      <c r="G221" s="103">
        <v>95977</v>
      </c>
      <c r="H221" s="429">
        <v>73893</v>
      </c>
      <c r="I221" s="429">
        <v>80642</v>
      </c>
      <c r="J221" s="214">
        <f t="shared" si="72"/>
        <v>250512</v>
      </c>
      <c r="K221" s="103">
        <v>62931</v>
      </c>
      <c r="L221" s="429">
        <v>86905</v>
      </c>
      <c r="M221" s="429">
        <v>92243</v>
      </c>
      <c r="N221" s="214">
        <f t="shared" si="73"/>
        <v>242079</v>
      </c>
      <c r="O221" s="449">
        <f>'Overall Metrics'!L226</f>
        <v>107702.84999999999</v>
      </c>
      <c r="P221" s="449">
        <f>'Overall Metrics'!M226</f>
        <v>131329</v>
      </c>
      <c r="Q221" s="449">
        <f>'Overall Metrics'!N226</f>
        <v>51244.7</v>
      </c>
      <c r="R221" s="449">
        <f t="shared" si="74"/>
        <v>290276.55</v>
      </c>
      <c r="S221" s="180">
        <f t="shared" si="75"/>
        <v>3600532.9499999997</v>
      </c>
      <c r="T221" s="449">
        <f t="shared" si="76"/>
        <v>2677625</v>
      </c>
      <c r="U221" s="449">
        <f t="shared" si="77"/>
        <v>2671170</v>
      </c>
      <c r="V221" s="450">
        <f t="shared" si="78"/>
        <v>0.34467408617711581</v>
      </c>
      <c r="W221" s="450">
        <f>IF(R221=0,"-",SUMIFS($R$2:R221,$A$2:A221,A221,$C$2:C221,C221)/SUMIFS($J$2:J221,$A$2:A221,A221,$C$2:C221,C221)-1)</f>
        <v>0.34467408617711581</v>
      </c>
      <c r="X221" s="450">
        <f t="shared" si="79"/>
        <v>0.34792355035433897</v>
      </c>
      <c r="Y221" s="450">
        <f>IFERROR(IF(R221=0,"-",SUMIFS($R$2:R221,$A$2:A221,A221,$C$2:C221,C221)/SUMIFS($N$2:N221,$A$2:A221,A221,$C$2:C221,C221)-1),"")</f>
        <v>0.34792355035433897</v>
      </c>
      <c r="Z221" s="269">
        <f>IF(R221=0,"",(S221/VLOOKUP(_xlfn.NUMBERVALUE(_xlfn.CONCAT(LEFT(F221,4),52)),$F$2:T428,COLUMNS($F$2:T428),FALSE)))</f>
        <v>0.30652665948762625</v>
      </c>
      <c r="AA221" s="269">
        <f>IFERROR(IF(R221=0,"",(S221/VLOOKUP(_xlfn.NUMBERVALUE(_xlfn.CONCAT(LEFT(F221,4),52)),$F$2:U428,COLUMNS($F$2:U428),FALSE))),"")</f>
        <v>0.30952099088449464</v>
      </c>
      <c r="AB221" s="268">
        <f t="shared" si="80"/>
        <v>0.12217354157766946</v>
      </c>
      <c r="AC221" s="450">
        <f t="shared" si="81"/>
        <v>0.77728607581232323</v>
      </c>
      <c r="AD221" s="450">
        <f t="shared" si="82"/>
        <v>-0.36454080999975202</v>
      </c>
      <c r="AE221" s="269">
        <f t="shared" si="83"/>
        <v>0.15873311458133732</v>
      </c>
      <c r="AF221" s="268">
        <f t="shared" si="84"/>
        <v>0.71144348572245786</v>
      </c>
      <c r="AG221" s="450">
        <f t="shared" si="85"/>
        <v>0.51117887348253843</v>
      </c>
      <c r="AH221" s="450">
        <f t="shared" si="86"/>
        <v>-0.44445974220266038</v>
      </c>
      <c r="AI221" s="269">
        <f t="shared" si="87"/>
        <v>0.19909843480847167</v>
      </c>
      <c r="AJ221" s="450">
        <f>IF(O221=0,"-",SUMIFS($O$2:O221,$A$2:A221,$A221,$F$2:F221,"&lt;="&amp;$F221)/SUMIFS($G$2:G221,$A$2:A221,$A221,$F$2:F221,"&lt;="&amp;$F221)-1)</f>
        <v>0.56263124590803737</v>
      </c>
      <c r="AK221" s="450">
        <f>IF(P221=0,"-",SUMIFS($P$2:P221,$A$2:A221,$A221,$F$2:F221,"&lt;="&amp;$F221)/SUMIFS($H$2:H221,$A$2:A221,$A221,$F$2:F221,"&lt;="&amp;$F221)-1)</f>
        <v>0.81197113269863053</v>
      </c>
      <c r="AL221" s="450">
        <f>IF(Q221=0,"-",SUMIFS($Q$2:Q221,$A$2:A221,$A221,$F$2:F221,"&lt;="&amp;$F221)/SUMIFS($I$2:I221,$A$2:A221,$A221,$F$2:F221,"&lt;="&amp;$F221)-1)</f>
        <v>-0.21633522445103959</v>
      </c>
      <c r="AM221" s="450">
        <f>IFERROR(IF(O221=0,"-",SUMIFS($O$2:O221,$A$2:A221,$A221,$F$2:F221,"&lt;="&amp;$F221)/SUMIFS($K$2:K221,$A$2:A221,$A221,$F$2:F221,"&lt;="&amp;$F221)-1),"")</f>
        <v>0.58015103482499919</v>
      </c>
      <c r="AN221" s="450">
        <f>IFERROR(IF(P221=0,"-",SUMIFS($P$2:P221,$A$2:A221,$A221,$F$2:F221,"&lt;="&amp;$F221)/SUMIFS($L$2:L221,$A$2:A221,$A221,$F$2:F221,"&lt;="&amp;$F221)-1),"")</f>
        <v>0.66891439519050189</v>
      </c>
      <c r="AO221" s="450">
        <f>IFERROR(IF(Q221=0,"-",SUMIFS($Q$2:Q221,$A$2:A221,$A221,$F$2:F221,"&lt;="&amp;$F221)/SUMIFS($M$2:M221,$A$2:A221,$A221,$F$2:F221,"&lt;="&amp;$F221)-1),"")</f>
        <v>-0.16150382476030156</v>
      </c>
      <c r="AP221" s="103">
        <v>70171</v>
      </c>
      <c r="AQ221" s="452">
        <f>'Overall Metrics'!AO226</f>
        <v>0.58797487663387193</v>
      </c>
      <c r="AR221" s="450">
        <f t="shared" si="88"/>
        <v>-70170.412025123369</v>
      </c>
      <c r="AS221" s="453">
        <f>IFERROR(IF(R222=0,"-",AVERAGEIFS($AQ$2:AQ221,$A$2:A221,$A221,$F$2:F221,"&lt;="&amp;$F221)-AVERAGEIFS($AP$2:AP221,$A$2:A221,$A221,$F$2:F221,"&lt;="&amp;$F221)),"")</f>
        <v>-76182.334843175558</v>
      </c>
      <c r="AT221" s="390">
        <f>IFERROR(IF(R222=0,"-",AVERAGEIFS($AQ$2:AQ221,$A$2:A221,A221,$C$2:C221,C221)-AVERAGEIFS($AP$2:AP221,$A$2:A221,A221,$C$2:C221,C221)),"")</f>
        <v>-76182.334843175558</v>
      </c>
      <c r="AU221" s="103">
        <v>62372</v>
      </c>
      <c r="AV221" s="452">
        <f>'Overall Metrics'!AS226</f>
        <v>0</v>
      </c>
      <c r="AW221" s="450" t="str">
        <f t="shared" si="89"/>
        <v/>
      </c>
      <c r="AX221" s="453">
        <f>IFERROR(IF(R225=0,"-",AVERAGEIFS($AV$2:AV221,$A$2:A221,$A221,$F$2:F221,"&lt;="&amp;$F221)-AVERAGEIFS($AU$2:AU221,$A$2:A221,$A221,$F$2:F221,"&lt;="&amp;$F221)),"")</f>
        <v>-72885.666666666672</v>
      </c>
      <c r="AY221" s="453">
        <f>IFERROR(IF(R225=0,"-",AVERAGEIFS($AV$2:AV221,$A$2:A221,A221,$C$2:C221,C221)-AVERAGEIFS($AU$2:AU221,$A$2:A221,A221,$C$2:C221,C221)),"")</f>
        <v>-72885.666666666672</v>
      </c>
      <c r="AZ221" s="103">
        <v>167588</v>
      </c>
      <c r="BA221" s="449">
        <f>'Glass Metrics'!AC226</f>
        <v>159848</v>
      </c>
      <c r="BB221" s="450">
        <f t="shared" si="90"/>
        <v>-4.6184691027997271E-2</v>
      </c>
      <c r="BC221" s="450">
        <f>IFERROR(IF(R221=0,"-",AVERAGEIFS($BA$2:BA221,$A$2:A221,$A221,$F$2:F221,"&lt;="&amp;$F221)/AVERAGEIFS($AZ$2:AZ221,$A$2:A221,$A221,$F$2:F221,"&lt;="&amp;$F221)-1),"")</f>
        <v>2.5642031325816994E-2</v>
      </c>
      <c r="BD221" s="269">
        <f>IFERROR(IF(R221=0,"-",AVERAGEIFS($BA$2:BA221,$A$2:A221,A221,$C$2:C221,C221)/AVERAGEIFS($AZ$2:AZ221,$A$2:A221,A221,$C$2:C221,C221)-1),"")</f>
        <v>2.5642031325816994E-2</v>
      </c>
    </row>
    <row r="222" spans="1:56" ht="16.350000000000001" customHeight="1">
      <c r="A222" s="175">
        <f t="shared" si="69"/>
        <v>2025</v>
      </c>
      <c r="B222" s="447" t="str">
        <f t="shared" si="70"/>
        <v>13</v>
      </c>
      <c r="C222" s="447" t="str">
        <f t="array" ref="C222">_xlfn.IFS(_xlfn.NUMBERVALUE(B222)&lt;=13,"Q1",AND(_xlfn.NUMBERVALUE(B222)&gt;13,_xlfn.NUMBERVALUE(B222)&lt;=26),"Q2", AND(_xlfn.NUMBERVALUE(B222)&gt;26,_xlfn.NUMBERVALUE(B222)&lt;=39),"Q3",_xlfn.NUMBERVALUE(B222)&gt;39,"Q4")</f>
        <v>Q1</v>
      </c>
      <c r="D222" s="448">
        <f t="shared" si="91"/>
        <v>45402</v>
      </c>
      <c r="E222" s="448">
        <f t="shared" si="71"/>
        <v>45408</v>
      </c>
      <c r="F222" s="79">
        <v>202413</v>
      </c>
      <c r="G222" s="103">
        <v>85583</v>
      </c>
      <c r="H222" s="429">
        <v>87194</v>
      </c>
      <c r="I222" s="429">
        <v>83161</v>
      </c>
      <c r="J222" s="214">
        <f t="shared" si="72"/>
        <v>255938</v>
      </c>
      <c r="K222" s="103">
        <v>88808</v>
      </c>
      <c r="L222" s="429">
        <v>84202</v>
      </c>
      <c r="M222" s="429">
        <v>68362</v>
      </c>
      <c r="N222" s="214">
        <f t="shared" si="73"/>
        <v>241372</v>
      </c>
      <c r="O222" s="449">
        <f>'Overall Metrics'!L227</f>
        <v>118622.8</v>
      </c>
      <c r="P222" s="449">
        <f>'Overall Metrics'!M227</f>
        <v>133676</v>
      </c>
      <c r="Q222" s="449">
        <f>'Overall Metrics'!N227</f>
        <v>70150.600000000006</v>
      </c>
      <c r="R222" s="449">
        <f t="shared" si="74"/>
        <v>322449.40000000002</v>
      </c>
      <c r="S222" s="180">
        <f t="shared" si="75"/>
        <v>3922982.3499999996</v>
      </c>
      <c r="T222" s="449">
        <f t="shared" si="76"/>
        <v>2933563</v>
      </c>
      <c r="U222" s="449">
        <f t="shared" si="77"/>
        <v>2912542</v>
      </c>
      <c r="V222" s="450">
        <f t="shared" si="78"/>
        <v>0.33727564398651055</v>
      </c>
      <c r="W222" s="450">
        <f>IF(R222=0,"-",SUMIFS($R$2:R222,$A$2:A222,A222,$C$2:C222,C222)/SUMIFS($J$2:J222,$A$2:A222,A222,$C$2:C222,C222)-1)</f>
        <v>0.33727564398651055</v>
      </c>
      <c r="X222" s="450">
        <f t="shared" si="79"/>
        <v>0.34692730611266698</v>
      </c>
      <c r="Y222" s="450">
        <f>IFERROR(IF(R222=0,"-",SUMIFS($R$2:R222,$A$2:A222,A222,$C$2:C222,C222)/SUMIFS($N$2:N222,$A$2:A222,A222,$C$2:C222,C222)-1),"")</f>
        <v>0.34692730611266698</v>
      </c>
      <c r="Z222" s="269">
        <f>IF(R222=0,"",(S222/VLOOKUP(_xlfn.NUMBERVALUE(_xlfn.CONCAT(LEFT(F222,4),52)),$F$2:T429,COLUMNS($F$2:T429),FALSE)))</f>
        <v>0.33397796706024252</v>
      </c>
      <c r="AA222" s="269">
        <f>IFERROR(IF(R222=0,"",(S222/VLOOKUP(_xlfn.NUMBERVALUE(_xlfn.CONCAT(LEFT(F222,4),52)),$F$2:U429,COLUMNS($F$2:U429),FALSE))),"")</f>
        <v>0.33724045885884291</v>
      </c>
      <c r="AB222" s="268">
        <f t="shared" si="80"/>
        <v>0.3860556418914971</v>
      </c>
      <c r="AC222" s="450">
        <f t="shared" si="81"/>
        <v>0.53308713902332738</v>
      </c>
      <c r="AD222" s="450">
        <f t="shared" si="82"/>
        <v>-0.15644833515710477</v>
      </c>
      <c r="AE222" s="269">
        <f t="shared" si="83"/>
        <v>0.25987309426501737</v>
      </c>
      <c r="AF222" s="268">
        <f t="shared" si="84"/>
        <v>0.33572200702639399</v>
      </c>
      <c r="AG222" s="450">
        <f t="shared" si="85"/>
        <v>0.58756324077812883</v>
      </c>
      <c r="AH222" s="450">
        <f t="shared" si="86"/>
        <v>2.6163658172669191E-2</v>
      </c>
      <c r="AI222" s="269">
        <f t="shared" si="87"/>
        <v>0.33590225875412227</v>
      </c>
      <c r="AJ222" s="450">
        <f>IF(O222=0,"-",SUMIFS($O$2:O222,$A$2:A222,$A222,$F$2:F222,"&lt;="&amp;$F222)/SUMIFS($G$2:G222,$A$2:A222,$A222,$F$2:F222,"&lt;="&amp;$F222)-1)</f>
        <v>0.54675092737571052</v>
      </c>
      <c r="AK222" s="450">
        <f>IF(P222=0,"-",SUMIFS($P$2:P222,$A$2:A222,$A222,$F$2:F222,"&lt;="&amp;$F222)/SUMIFS($H$2:H222,$A$2:A222,$A222,$F$2:F222,"&lt;="&amp;$F222)-1)</f>
        <v>0.78470929841476256</v>
      </c>
      <c r="AL222" s="450">
        <f>IF(Q222=0,"-",SUMIFS($Q$2:Q222,$A$2:A222,$A222,$F$2:F222,"&lt;="&amp;$F222)/SUMIFS($I$2:I222,$A$2:A222,$A222,$F$2:F222,"&lt;="&amp;$F222)-1)</f>
        <v>-0.2117660712696553</v>
      </c>
      <c r="AM222" s="450">
        <f>IFERROR(IF(O222=0,"-",SUMIFS($O$2:O222,$A$2:A222,$A222,$F$2:F222,"&lt;="&amp;$F222)/SUMIFS($K$2:K222,$A$2:A222,$A222,$F$2:F222,"&lt;="&amp;$F222)-1),"")</f>
        <v>0.55718605888706785</v>
      </c>
      <c r="AN222" s="450">
        <f>IFERROR(IF(P222=0,"-",SUMIFS($P$2:P222,$A$2:A222,$A222,$F$2:F222,"&lt;="&amp;$F222)/SUMIFS($L$2:L222,$A$2:A222,$A222,$F$2:F222,"&lt;="&amp;$F222)-1),"")</f>
        <v>0.66176395368136687</v>
      </c>
      <c r="AO222" s="450">
        <f>IFERROR(IF(Q222=0,"-",SUMIFS($Q$2:Q222,$A$2:A222,$A222,$F$2:F222,"&lt;="&amp;$F222)/SUMIFS($M$2:M222,$A$2:A222,$A222,$F$2:F222,"&lt;="&amp;$F222)-1),"")</f>
        <v>-0.14879316699295386</v>
      </c>
      <c r="AP222" s="103">
        <v>71389</v>
      </c>
      <c r="AQ222" s="452">
        <f>'Overall Metrics'!AO227</f>
        <v>0.88083985228827277</v>
      </c>
      <c r="AR222" s="450">
        <f t="shared" si="88"/>
        <v>-71388.119160147719</v>
      </c>
      <c r="AS222" s="453">
        <f>IFERROR(IF(R223=0,"-",AVERAGEIFS($AQ$2:AQ222,$A$2:A222,$A222,$F$2:F222,"&lt;="&amp;$F222)-AVERAGEIFS($AP$2:AP222,$A$2:A222,$A222,$F$2:F222,"&lt;="&amp;$F222)),"")</f>
        <v>-75813.549021404178</v>
      </c>
      <c r="AT222" s="390">
        <f>IFERROR(IF(R223=0,"-",AVERAGEIFS($AQ$2:AQ222,$A$2:A222,A222,$C$2:C222,C222)-AVERAGEIFS($AP$2:AP222,$A$2:A222,A222,$C$2:C222,C222)),"")</f>
        <v>-75813.549021404178</v>
      </c>
      <c r="AU222" s="103">
        <v>92189</v>
      </c>
      <c r="AV222" s="452">
        <f>'Overall Metrics'!AS227</f>
        <v>0</v>
      </c>
      <c r="AW222" s="450" t="str">
        <f t="shared" si="89"/>
        <v/>
      </c>
      <c r="AX222" s="453">
        <f>IFERROR(IF(R226=0,"-",AVERAGEIFS($AV$2:AV222,$A$2:A222,$A222,$F$2:F222,"&lt;="&amp;$F222)-AVERAGEIFS($AU$2:AU222,$A$2:A222,$A222,$F$2:F222,"&lt;="&amp;$F222)),"")</f>
        <v>-74370.538461538468</v>
      </c>
      <c r="AY222" s="453">
        <f>IFERROR(IF(R226=0,"-",AVERAGEIFS($AV$2:AV222,$A$2:A222,A222,$C$2:C222,C222)-AVERAGEIFS($AU$2:AU222,$A$2:A222,A222,$C$2:C222,C222)),"")</f>
        <v>-74370.538461538468</v>
      </c>
      <c r="AZ222" s="103">
        <v>123542</v>
      </c>
      <c r="BA222" s="449">
        <f>'Glass Metrics'!AC227</f>
        <v>140645</v>
      </c>
      <c r="BB222" s="450">
        <f t="shared" si="90"/>
        <v>0.13843874957504321</v>
      </c>
      <c r="BC222" s="450">
        <f>IFERROR(IF(R222=0,"-",AVERAGEIFS($BA$2:BA222,$A$2:A222,$A222,$F$2:F222,"&lt;="&amp;$F222)/AVERAGEIFS($AZ$2:AZ222,$A$2:A222,$A222,$F$2:F222,"&lt;="&amp;$F222)-1),"")</f>
        <v>3.2944533996273062E-2</v>
      </c>
      <c r="BD222" s="269">
        <f>IFERROR(IF(R222=0,"-",AVERAGEIFS($BA$2:BA222,$A$2:A222,A222,$C$2:C222,C222)/AVERAGEIFS($AZ$2:AZ222,$A$2:A222,A222,$C$2:C222,C222)-1),"")</f>
        <v>3.2944533996273062E-2</v>
      </c>
    </row>
    <row r="223" spans="1:56" ht="16.350000000000001" customHeight="1">
      <c r="A223" s="175">
        <f t="shared" si="69"/>
        <v>2025</v>
      </c>
      <c r="B223" s="447" t="str">
        <f t="shared" si="70"/>
        <v>14</v>
      </c>
      <c r="C223" s="447" t="str">
        <f t="array" ref="C223">_xlfn.IFS(_xlfn.NUMBERVALUE(B223)&lt;=13,"Q1",AND(_xlfn.NUMBERVALUE(B223)&gt;13,_xlfn.NUMBERVALUE(B223)&lt;=26),"Q2", AND(_xlfn.NUMBERVALUE(B223)&gt;26,_xlfn.NUMBERVALUE(B223)&lt;=39),"Q3",_xlfn.NUMBERVALUE(B223)&gt;39,"Q4")</f>
        <v>Q2</v>
      </c>
      <c r="D223" s="448">
        <f t="shared" si="91"/>
        <v>45409</v>
      </c>
      <c r="E223" s="448">
        <f t="shared" si="71"/>
        <v>45415</v>
      </c>
      <c r="F223" s="79">
        <v>202414</v>
      </c>
      <c r="G223" s="103">
        <v>71872</v>
      </c>
      <c r="H223" s="429">
        <v>93165</v>
      </c>
      <c r="I223" s="429">
        <v>52411</v>
      </c>
      <c r="J223" s="214">
        <f t="shared" si="72"/>
        <v>217448</v>
      </c>
      <c r="K223" s="103">
        <v>72527</v>
      </c>
      <c r="L223" s="429">
        <v>92301</v>
      </c>
      <c r="M223" s="429">
        <v>78238</v>
      </c>
      <c r="N223" s="214">
        <f t="shared" si="73"/>
        <v>243066</v>
      </c>
      <c r="O223" s="449">
        <f>'Overall Metrics'!L228</f>
        <v>111940.29999999997</v>
      </c>
      <c r="P223" s="449">
        <f>'Overall Metrics'!M228</f>
        <v>125865</v>
      </c>
      <c r="Q223" s="449">
        <f>'Overall Metrics'!N228</f>
        <v>66549.600000000006</v>
      </c>
      <c r="R223" s="449">
        <f t="shared" si="74"/>
        <v>304354.90000000002</v>
      </c>
      <c r="S223" s="180">
        <f t="shared" si="75"/>
        <v>4227337.25</v>
      </c>
      <c r="T223" s="449">
        <f t="shared" si="76"/>
        <v>3151011</v>
      </c>
      <c r="U223" s="449">
        <f t="shared" si="77"/>
        <v>3155608</v>
      </c>
      <c r="V223" s="450">
        <f t="shared" si="78"/>
        <v>0.3415812417030597</v>
      </c>
      <c r="W223" s="450">
        <f>IF(R223=0,"-",SUMIFS($R$2:R223,$A$2:A223,A223,$C$2:C223,C223)/SUMIFS($J$2:J223,$A$2:A223,A223,$C$2:C223,C223)-1)</f>
        <v>0.399667506714249</v>
      </c>
      <c r="X223" s="450">
        <f t="shared" si="79"/>
        <v>0.33962686430000177</v>
      </c>
      <c r="Y223" s="450">
        <f>IFERROR(IF(R223=0,"-",SUMIFS($R$2:R223,$A$2:A223,A223,$C$2:C223,C223)/SUMIFS($N$2:N223,$A$2:A223,A223,$C$2:C223,C223)-1),"")</f>
        <v>0.25214921050249739</v>
      </c>
      <c r="Z223" s="269">
        <f>IF(R223=0,"",(S223/VLOOKUP(_xlfn.NUMBERVALUE(_xlfn.CONCAT(LEFT(F223,4),52)),$F$2:T430,COLUMNS($F$2:T430),FALSE)))</f>
        <v>0.35988882306162717</v>
      </c>
      <c r="AA223" s="269">
        <f>IFERROR(IF(R223=0,"",(S223/VLOOKUP(_xlfn.NUMBERVALUE(_xlfn.CONCAT(LEFT(F223,4),52)),$F$2:U430,COLUMNS($F$2:U430),FALSE))),"")</f>
        <v>0.36340442723151156</v>
      </c>
      <c r="AB223" s="268">
        <f t="shared" si="80"/>
        <v>0.55749526936776461</v>
      </c>
      <c r="AC223" s="450">
        <f t="shared" si="81"/>
        <v>0.35099017871518279</v>
      </c>
      <c r="AD223" s="450">
        <f t="shared" si="82"/>
        <v>0.26976398084371622</v>
      </c>
      <c r="AE223" s="269">
        <f t="shared" si="83"/>
        <v>0.399667506714249</v>
      </c>
      <c r="AF223" s="268">
        <f t="shared" si="84"/>
        <v>0.54342934355481365</v>
      </c>
      <c r="AG223" s="450">
        <f t="shared" si="85"/>
        <v>0.36363636363636354</v>
      </c>
      <c r="AH223" s="450">
        <f t="shared" si="86"/>
        <v>-0.14939543444362069</v>
      </c>
      <c r="AI223" s="269">
        <f t="shared" si="87"/>
        <v>0.25214921050249739</v>
      </c>
      <c r="AJ223" s="450">
        <f>IF(O223=0,"-",SUMIFS($O$2:O223,$A$2:A223,$A223,$F$2:F223,"&lt;="&amp;$F223)/SUMIFS($G$2:G223,$A$2:A223,$A223,$F$2:F223,"&lt;="&amp;$F223)-1)</f>
        <v>0.54750542755026466</v>
      </c>
      <c r="AK223" s="450">
        <f>IF(P223=0,"-",SUMIFS($P$2:P223,$A$2:A223,$A223,$F$2:F223,"&lt;="&amp;$F223)/SUMIFS($H$2:H223,$A$2:A223,$A223,$F$2:F223,"&lt;="&amp;$F223)-1)</f>
        <v>0.74369255287292724</v>
      </c>
      <c r="AL223" s="450">
        <f>IF(Q223=0,"-",SUMIFS($Q$2:Q223,$A$2:A223,$A223,$F$2:F223,"&lt;="&amp;$F223)/SUMIFS($I$2:I223,$A$2:A223,$A223,$F$2:F223,"&lt;="&amp;$F223)-1)</f>
        <v>-0.18967413759296359</v>
      </c>
      <c r="AM223" s="450">
        <f>IFERROR(IF(O223=0,"-",SUMIFS($O$2:O223,$A$2:A223,$A223,$F$2:F223,"&lt;="&amp;$F223)/SUMIFS($K$2:K223,$A$2:A223,$A223,$F$2:F223,"&lt;="&amp;$F223)-1),"")</f>
        <v>0.55620573612639523</v>
      </c>
      <c r="AN223" s="450">
        <f>IFERROR(IF(P223=0,"-",SUMIFS($P$2:P223,$A$2:A223,$A223,$F$2:F223,"&lt;="&amp;$F223)/SUMIFS($L$2:L223,$A$2:A223,$A223,$F$2:F223,"&lt;="&amp;$F223)-1),"")</f>
        <v>0.63556367195607999</v>
      </c>
      <c r="AO223" s="450">
        <f>IFERROR(IF(Q223=0,"-",SUMIFS($Q$2:Q223,$A$2:A223,$A223,$F$2:F223,"&lt;="&amp;$F223)/SUMIFS($M$2:M223,$A$2:A223,$A223,$F$2:F223,"&lt;="&amp;$F223)-1),"")</f>
        <v>-0.14883649296507651</v>
      </c>
      <c r="AP223" s="103">
        <v>92696</v>
      </c>
      <c r="AQ223" s="452">
        <f>'Overall Metrics'!AO228</f>
        <v>0.73523168041169584</v>
      </c>
      <c r="AR223" s="450">
        <f t="shared" si="88"/>
        <v>-92695.264768319583</v>
      </c>
      <c r="AS223" s="453">
        <f>IFERROR(IF(R224=0,"-",AVERAGEIFS($AQ$2:AQ223,$A$2:A223,$A223,$F$2:F223,"&lt;="&amp;$F223)-AVERAGEIFS($AP$2:AP223,$A$2:A223,$A223,$F$2:F223,"&lt;="&amp;$F223)),"")</f>
        <v>-77019.385860469571</v>
      </c>
      <c r="AT223" s="390">
        <f>IFERROR(IF(R224=0,"-",AVERAGEIFS($AQ$2:AQ223,$A$2:A223,A223,$C$2:C223,C223)-AVERAGEIFS($AP$2:AP223,$A$2:A223,A223,$C$2:C223,C223)),"")</f>
        <v>-92695.264768319583</v>
      </c>
      <c r="AU223" s="103">
        <v>73967</v>
      </c>
      <c r="AV223" s="452">
        <f>'Overall Metrics'!AS228</f>
        <v>0</v>
      </c>
      <c r="AW223" s="450" t="str">
        <f t="shared" si="89"/>
        <v/>
      </c>
      <c r="AX223" s="453">
        <f>IFERROR(IF(R227=0,"-",AVERAGEIFS($AV$2:AV223,$A$2:A223,$A223,$F$2:F223,"&lt;="&amp;$F223)-AVERAGEIFS($AU$2:AU223,$A$2:A223,$A223,$F$2:F223,"&lt;="&amp;$F223)),"")</f>
        <v>-74341.71428571429</v>
      </c>
      <c r="AY223" s="453">
        <f>IFERROR(IF(R227=0,"-",AVERAGEIFS($AV$2:AV223,$A$2:A223,A223,$C$2:C223,C223)-AVERAGEIFS($AU$2:AU223,$A$2:A223,A223,$C$2:C223,C223)),"")</f>
        <v>-73967</v>
      </c>
      <c r="AZ223" s="103">
        <v>159848</v>
      </c>
      <c r="BA223" s="449">
        <f>'Glass Metrics'!AC228</f>
        <v>175861</v>
      </c>
      <c r="BB223" s="450">
        <f t="shared" si="90"/>
        <v>0.1001764175967168</v>
      </c>
      <c r="BC223" s="450">
        <f>IFERROR(IF(R223=0,"-",AVERAGEIFS($BA$2:BA223,$A$2:A223,$A223,$F$2:F223,"&lt;="&amp;$F223)/AVERAGEIFS($AZ$2:AZ223,$A$2:A223,$A223,$F$2:F223,"&lt;="&amp;$F223)-1),"")</f>
        <v>3.8140994025480213E-2</v>
      </c>
      <c r="BD223" s="269">
        <f>IFERROR(IF(R223=0,"-",AVERAGEIFS($BA$2:BA223,$A$2:A223,A223,$C$2:C223,C223)/AVERAGEIFS($AZ$2:AZ223,$A$2:A223,A223,$C$2:C223,C223)-1),"")</f>
        <v>0.1001764175967168</v>
      </c>
    </row>
    <row r="224" spans="1:56" ht="16.350000000000001" customHeight="1">
      <c r="A224" s="175">
        <f t="shared" si="69"/>
        <v>2025</v>
      </c>
      <c r="B224" s="447" t="str">
        <f t="shared" si="70"/>
        <v>15</v>
      </c>
      <c r="C224" s="447" t="str">
        <f t="array" ref="C224">_xlfn.IFS(_xlfn.NUMBERVALUE(B224)&lt;=13,"Q1",AND(_xlfn.NUMBERVALUE(B224)&gt;13,_xlfn.NUMBERVALUE(B224)&lt;=26),"Q2", AND(_xlfn.NUMBERVALUE(B224)&gt;26,_xlfn.NUMBERVALUE(B224)&lt;=39),"Q3",_xlfn.NUMBERVALUE(B224)&gt;39,"Q4")</f>
        <v>Q2</v>
      </c>
      <c r="D224" s="448">
        <f t="shared" si="91"/>
        <v>45416</v>
      </c>
      <c r="E224" s="448">
        <f t="shared" si="71"/>
        <v>45422</v>
      </c>
      <c r="F224" s="79">
        <v>202415</v>
      </c>
      <c r="G224" s="103">
        <v>67494</v>
      </c>
      <c r="H224" s="429">
        <v>96359</v>
      </c>
      <c r="I224" s="429">
        <v>85189</v>
      </c>
      <c r="J224" s="214">
        <f t="shared" si="72"/>
        <v>249042</v>
      </c>
      <c r="K224" s="103">
        <v>95939</v>
      </c>
      <c r="L224" s="429">
        <v>67680</v>
      </c>
      <c r="M224" s="429">
        <v>84800</v>
      </c>
      <c r="N224" s="214">
        <f t="shared" si="73"/>
        <v>248419</v>
      </c>
      <c r="O224" s="449">
        <f>'Overall Metrics'!L229</f>
        <v>80359.500000000015</v>
      </c>
      <c r="P224" s="449">
        <f>'Overall Metrics'!M229</f>
        <v>82212</v>
      </c>
      <c r="Q224" s="449">
        <f>'Overall Metrics'!N229</f>
        <v>57954</v>
      </c>
      <c r="R224" s="449">
        <f t="shared" si="74"/>
        <v>220525.5</v>
      </c>
      <c r="S224" s="180">
        <f t="shared" si="75"/>
        <v>4447862.75</v>
      </c>
      <c r="T224" s="449">
        <f t="shared" si="76"/>
        <v>3400053</v>
      </c>
      <c r="U224" s="449">
        <f t="shared" si="77"/>
        <v>3404027</v>
      </c>
      <c r="V224" s="450">
        <f t="shared" si="78"/>
        <v>0.30817453433814124</v>
      </c>
      <c r="W224" s="450">
        <f>IF(R224=0,"-",SUMIFS($R$2:R224,$A$2:A224,A224,$C$2:C224,C224)/SUMIFS($J$2:J224,$A$2:A224,A224,$C$2:C224,C224)-1)</f>
        <v>0.12516967137559232</v>
      </c>
      <c r="X224" s="450">
        <f t="shared" si="79"/>
        <v>0.30664731801481016</v>
      </c>
      <c r="Y224" s="450">
        <f>IFERROR(IF(R224=0,"-",SUMIFS($R$2:R224,$A$2:A224,A224,$C$2:C224,C224)/SUMIFS($N$2:N224,$A$2:A224,A224,$C$2:C224,C224)-1),"")</f>
        <v>6.7947953650671078E-2</v>
      </c>
      <c r="Z224" s="269">
        <f>IF(R224=0,"",(S224/VLOOKUP(_xlfn.NUMBERVALUE(_xlfn.CONCAT(LEFT(F224,4),52)),$F$2:T431,COLUMNS($F$2:T431),FALSE)))</f>
        <v>0.37866297282932715</v>
      </c>
      <c r="AA224" s="269">
        <f>IFERROR(IF(R224=0,"",(S224/VLOOKUP(_xlfn.NUMBERVALUE(_xlfn.CONCAT(LEFT(F224,4),52)),$F$2:U431,COLUMNS($F$2:U431),FALSE))),"")</f>
        <v>0.3823619738567407</v>
      </c>
      <c r="AB224" s="268">
        <f t="shared" si="80"/>
        <v>0.1906169437283316</v>
      </c>
      <c r="AC224" s="450">
        <f t="shared" si="81"/>
        <v>-0.14681555433327453</v>
      </c>
      <c r="AD224" s="450">
        <f t="shared" si="82"/>
        <v>-0.31970090035098431</v>
      </c>
      <c r="AE224" s="269">
        <f t="shared" si="83"/>
        <v>-0.11450478232587269</v>
      </c>
      <c r="AF224" s="268">
        <f t="shared" si="84"/>
        <v>-0.16238964341925588</v>
      </c>
      <c r="AG224" s="450">
        <f t="shared" si="85"/>
        <v>0.21471631205673769</v>
      </c>
      <c r="AH224" s="450">
        <f t="shared" si="86"/>
        <v>-0.31658018867924531</v>
      </c>
      <c r="AI224" s="269">
        <f t="shared" si="87"/>
        <v>-0.1122840845506986</v>
      </c>
      <c r="AJ224" s="450">
        <f>IF(O224=0,"-",SUMIFS($O$2:O224,$A$2:A224,$A224,$F$2:F224,"&lt;="&amp;$F224)/SUMIFS($G$2:G224,$A$2:A224,$A224,$F$2:F224,"&lt;="&amp;$F224)-1)</f>
        <v>0.52542626968879236</v>
      </c>
      <c r="AK224" s="450">
        <f>IF(P224=0,"-",SUMIFS($P$2:P224,$A$2:A224,$A224,$F$2:F224,"&lt;="&amp;$F224)/SUMIFS($H$2:H224,$A$2:A224,$A224,$F$2:F224,"&lt;="&amp;$F224)-1)</f>
        <v>0.66435075598425897</v>
      </c>
      <c r="AL224" s="450">
        <f>IF(Q224=0,"-",SUMIFS($Q$2:Q224,$A$2:A224,$A224,$F$2:F224,"&lt;="&amp;$F224)/SUMIFS($I$2:I224,$A$2:A224,$A224,$F$2:F224,"&lt;="&amp;$F224)-1)</f>
        <v>-0.19869751126816904</v>
      </c>
      <c r="AM224" s="450">
        <f>IFERROR(IF(O224=0,"-",SUMIFS($O$2:O224,$A$2:A224,$A224,$F$2:F224,"&lt;="&amp;$F224)/SUMIFS($K$2:K224,$A$2:A224,$A224,$F$2:F224,"&lt;="&amp;$F224)-1),"")</f>
        <v>0.49430272452431034</v>
      </c>
      <c r="AN224" s="450">
        <f>IFERROR(IF(P224=0,"-",SUMIFS($P$2:P224,$A$2:A224,$A224,$F$2:F224,"&lt;="&amp;$F224)/SUMIFS($L$2:L224,$A$2:A224,$A224,$F$2:F224,"&lt;="&amp;$F224)-1),"")</f>
        <v>0.61008592482338275</v>
      </c>
      <c r="AO224" s="450">
        <f>IFERROR(IF(Q224=0,"-",SUMIFS($Q$2:Q224,$A$2:A224,$A224,$F$2:F224,"&lt;="&amp;$F224)/SUMIFS($M$2:M224,$A$2:A224,$A224,$F$2:F224,"&lt;="&amp;$F224)-1),"")</f>
        <v>-0.16096970761889984</v>
      </c>
      <c r="AP224" s="103">
        <v>99328</v>
      </c>
      <c r="AQ224" s="452">
        <f>'Overall Metrics'!AO229</f>
        <v>0.41846348852677678</v>
      </c>
      <c r="AR224" s="450">
        <f t="shared" si="88"/>
        <v>-99327.581536511469</v>
      </c>
      <c r="AS224" s="453">
        <f>IFERROR(IF(R225=0,"-",AVERAGEIFS($AQ$2:AQ224,$A$2:A224,$A224,$F$2:F224,"&lt;="&amp;$F224)-AVERAGEIFS($AP$2:AP224,$A$2:A224,$A224,$F$2:F224,"&lt;="&amp;$F224)),"")</f>
        <v>-78506.598905539024</v>
      </c>
      <c r="AT224" s="390">
        <f>IFERROR(IF(R225=0,"-",AVERAGEIFS($AQ$2:AQ224,$A$2:A224,A224,$C$2:C224,C224)-AVERAGEIFS($AP$2:AP224,$A$2:A224,A224,$C$2:C224,C224)),"")</f>
        <v>-96011.423152415533</v>
      </c>
      <c r="AU224" s="103">
        <v>70048</v>
      </c>
      <c r="AV224" s="452">
        <f>'Overall Metrics'!AS229</f>
        <v>0</v>
      </c>
      <c r="AW224" s="450" t="str">
        <f t="shared" si="89"/>
        <v/>
      </c>
      <c r="AX224" s="453">
        <f>IFERROR(IF(R228=0,"-",AVERAGEIFS($AV$2:AV224,$A$2:A224,$A224,$F$2:F224,"&lt;="&amp;$F224)-AVERAGEIFS($AU$2:AU224,$A$2:A224,$A224,$F$2:F224,"&lt;="&amp;$F224)),"")</f>
        <v>-74055.46666666666</v>
      </c>
      <c r="AY224" s="453">
        <f>IFERROR(IF(R228=0,"-",AVERAGEIFS($AV$2:AV224,$A$2:A224,A224,$C$2:C224,C224)-AVERAGEIFS($AU$2:AU224,$A$2:A224,A224,$C$2:C224,C224)),"")</f>
        <v>-72007.5</v>
      </c>
      <c r="AZ224" s="103">
        <v>140645</v>
      </c>
      <c r="BA224" s="449">
        <f>'Glass Metrics'!AC229</f>
        <v>196813</v>
      </c>
      <c r="BB224" s="450">
        <f t="shared" si="90"/>
        <v>0.39936009100927872</v>
      </c>
      <c r="BC224" s="450">
        <f>IFERROR(IF(R224=0,"-",AVERAGEIFS($BA$2:BA224,$A$2:A224,$A224,$F$2:F224,"&lt;="&amp;$F224)/AVERAGEIFS($AZ$2:AZ224,$A$2:A224,$A224,$F$2:F224,"&lt;="&amp;$F224)-1),"")</f>
        <v>6.1141970543666657E-2</v>
      </c>
      <c r="BD224" s="269">
        <f>IFERROR(IF(R224=0,"-",AVERAGEIFS($BA$2:BA224,$A$2:A224,A224,$C$2:C224,C224)/AVERAGEIFS($AZ$2:AZ224,$A$2:A224,A224,$C$2:C224,C224)-1),"")</f>
        <v>0.24020859054953037</v>
      </c>
    </row>
    <row r="225" spans="1:56" ht="16.350000000000001" customHeight="1">
      <c r="A225" s="175">
        <f t="shared" si="69"/>
        <v>2025</v>
      </c>
      <c r="B225" s="447" t="str">
        <f t="shared" si="70"/>
        <v>16</v>
      </c>
      <c r="C225" s="447" t="str">
        <f t="array" ref="C225">_xlfn.IFS(_xlfn.NUMBERVALUE(B225)&lt;=13,"Q1",AND(_xlfn.NUMBERVALUE(B225)&gt;13,_xlfn.NUMBERVALUE(B225)&lt;=26),"Q2", AND(_xlfn.NUMBERVALUE(B225)&gt;26,_xlfn.NUMBERVALUE(B225)&lt;=39),"Q3",_xlfn.NUMBERVALUE(B225)&gt;39,"Q4")</f>
        <v>Q2</v>
      </c>
      <c r="D225" s="448">
        <f t="shared" si="91"/>
        <v>45423</v>
      </c>
      <c r="E225" s="448">
        <f t="shared" si="71"/>
        <v>45429</v>
      </c>
      <c r="F225" s="79">
        <v>202416</v>
      </c>
      <c r="G225" s="103">
        <v>94111</v>
      </c>
      <c r="H225" s="429">
        <v>69440</v>
      </c>
      <c r="I225" s="429">
        <v>98502</v>
      </c>
      <c r="J225" s="214">
        <f t="shared" si="72"/>
        <v>262053</v>
      </c>
      <c r="K225" s="103">
        <v>87283</v>
      </c>
      <c r="L225" s="429">
        <v>57858</v>
      </c>
      <c r="M225" s="429">
        <v>60981</v>
      </c>
      <c r="N225" s="214">
        <f t="shared" si="73"/>
        <v>206122</v>
      </c>
      <c r="O225" s="449">
        <f>'Overall Metrics'!L230</f>
        <v>106453.90000000001</v>
      </c>
      <c r="P225" s="449">
        <f>'Overall Metrics'!M230</f>
        <v>109771</v>
      </c>
      <c r="Q225" s="449">
        <f>'Overall Metrics'!N230</f>
        <v>75693.8</v>
      </c>
      <c r="R225" s="449">
        <f t="shared" si="74"/>
        <v>291918.7</v>
      </c>
      <c r="S225" s="180">
        <f t="shared" si="75"/>
        <v>4739781.45</v>
      </c>
      <c r="T225" s="449">
        <f t="shared" si="76"/>
        <v>3662106</v>
      </c>
      <c r="U225" s="449">
        <f t="shared" si="77"/>
        <v>3610149</v>
      </c>
      <c r="V225" s="450">
        <f t="shared" si="78"/>
        <v>0.2942775140861571</v>
      </c>
      <c r="W225" s="450">
        <f>IF(R225=0,"-",SUMIFS($R$2:R225,$A$2:A225,A225,$C$2:C225,C225)/SUMIFS($J$2:J225,$A$2:A225,A225,$C$2:C225,C225)-1)</f>
        <v>0.12114055038618177</v>
      </c>
      <c r="X225" s="450">
        <f t="shared" si="79"/>
        <v>0.31290466127575356</v>
      </c>
      <c r="Y225" s="450">
        <f>IFERROR(IF(R225=0,"-",SUMIFS($R$2:R225,$A$2:A225,A225,$C$2:C225,C225)/SUMIFS($N$2:N225,$A$2:A225,A225,$C$2:C225,C225)-1),"")</f>
        <v>0.17085852062837681</v>
      </c>
      <c r="Z225" s="269">
        <f>IF(R225=0,"",(S225/VLOOKUP(_xlfn.NUMBERVALUE(_xlfn.CONCAT(LEFT(F225,4),52)),$F$2:T432,COLUMNS($F$2:T432),FALSE)))</f>
        <v>0.40351508922308782</v>
      </c>
      <c r="AA225" s="269">
        <f>IFERROR(IF(R225=0,"",(S225/VLOOKUP(_xlfn.NUMBERVALUE(_xlfn.CONCAT(LEFT(F225,4),52)),$F$2:U432,COLUMNS($F$2:U432),FALSE))),"")</f>
        <v>0.4074568602350791</v>
      </c>
      <c r="AB225" s="268">
        <f t="shared" si="80"/>
        <v>0.13115257515062018</v>
      </c>
      <c r="AC225" s="450">
        <f t="shared" si="81"/>
        <v>0.58080357142857153</v>
      </c>
      <c r="AD225" s="450">
        <f t="shared" si="82"/>
        <v>-0.23155062841363627</v>
      </c>
      <c r="AE225" s="269">
        <f t="shared" si="83"/>
        <v>0.11396816674489507</v>
      </c>
      <c r="AF225" s="268">
        <f t="shared" si="84"/>
        <v>0.21964070895821641</v>
      </c>
      <c r="AG225" s="450">
        <f t="shared" si="85"/>
        <v>0.89724843582564207</v>
      </c>
      <c r="AH225" s="450">
        <f t="shared" si="86"/>
        <v>0.24126859185647986</v>
      </c>
      <c r="AI225" s="269">
        <f t="shared" si="87"/>
        <v>0.41624232250802917</v>
      </c>
      <c r="AJ225" s="450">
        <f>IF(O225=0,"-",SUMIFS($O$2:O225,$A$2:A225,$A225,$F$2:F225,"&lt;="&amp;$F225)/SUMIFS($G$2:G225,$A$2:A225,$A225,$F$2:F225,"&lt;="&amp;$F225)-1)</f>
        <v>0.49411591722801784</v>
      </c>
      <c r="AK225" s="450">
        <f>IF(P225=0,"-",SUMIFS($P$2:P225,$A$2:A225,$A225,$F$2:F225,"&lt;="&amp;$F225)/SUMIFS($H$2:H225,$A$2:A225,$A225,$F$2:F225,"&lt;="&amp;$F225)-1)</f>
        <v>0.65931009675535912</v>
      </c>
      <c r="AL225" s="450">
        <f>IF(Q225=0,"-",SUMIFS($Q$2:Q225,$A$2:A225,$A225,$F$2:F225,"&lt;="&amp;$F225)/SUMIFS($I$2:I225,$A$2:A225,$A225,$F$2:F225,"&lt;="&amp;$F225)-1)</f>
        <v>-0.20113786927587063</v>
      </c>
      <c r="AM225" s="450">
        <f>IFERROR(IF(O225=0,"-",SUMIFS($O$2:O225,$A$2:A225,$A225,$F$2:F225,"&lt;="&amp;$F225)/SUMIFS($K$2:K225,$A$2:A225,$A225,$F$2:F225,"&lt;="&amp;$F225)-1),"")</f>
        <v>0.47434128904513129</v>
      </c>
      <c r="AN225" s="450">
        <f>IFERROR(IF(P225=0,"-",SUMIFS($P$2:P225,$A$2:A225,$A225,$F$2:F225,"&lt;="&amp;$F225)/SUMIFS($L$2:L225,$A$2:A225,$A225,$F$2:F225,"&lt;="&amp;$F225)-1),"")</f>
        <v>0.62421628627705794</v>
      </c>
      <c r="AO225" s="450">
        <f>IFERROR(IF(Q225=0,"-",SUMIFS($Q$2:Q225,$A$2:A225,$A225,$F$2:F225,"&lt;="&amp;$F225)/SUMIFS($M$2:M225,$A$2:A225,$A225,$F$2:F225,"&lt;="&amp;$F225)-1),"")</f>
        <v>-0.14108176477980805</v>
      </c>
      <c r="AP225" s="103">
        <v>63272</v>
      </c>
      <c r="AQ225" s="452">
        <f>'Overall Metrics'!AO230</f>
        <v>0.58409461217562031</v>
      </c>
      <c r="AR225" s="450">
        <f t="shared" si="88"/>
        <v>-63271.415905387825</v>
      </c>
      <c r="AS225" s="453">
        <f>IFERROR(IF(R226=0,"-",AVERAGEIFS($AQ$2:AQ225,$A$2:A225,$A225,$F$2:F225,"&lt;="&amp;$F225)-AVERAGEIFS($AP$2:AP225,$A$2:A225,$A225,$F$2:F225,"&lt;="&amp;$F225)),"")</f>
        <v>-77554.399968029582</v>
      </c>
      <c r="AT225" s="390">
        <f>IFERROR(IF(R226=0,"-",AVERAGEIFS($AQ$2:AQ225,$A$2:A225,A225,$C$2:C225,C225)-AVERAGEIFS($AP$2:AP225,$A$2:A225,A225,$C$2:C225,C225)),"")</f>
        <v>-85098.087403406302</v>
      </c>
      <c r="AU225" s="103">
        <v>77752</v>
      </c>
      <c r="AV225" s="452">
        <f>'Overall Metrics'!AS230</f>
        <v>0</v>
      </c>
      <c r="AW225" s="450" t="str">
        <f t="shared" si="89"/>
        <v/>
      </c>
      <c r="AX225" s="453">
        <f>IFERROR(IF(R229=0,"-",AVERAGEIFS($AV$2:AV225,$A$2:A225,$A225,$F$2:F225,"&lt;="&amp;$F225)-AVERAGEIFS($AU$2:AU225,$A$2:A225,$A225,$F$2:F225,"&lt;="&amp;$F225)),"")</f>
        <v>-74286.5</v>
      </c>
      <c r="AY225" s="453">
        <f>IFERROR(IF(R229=0,"-",AVERAGEIFS($AV$2:AV225,$A$2:A225,A225,$C$2:C225,C225)-AVERAGEIFS($AU$2:AU225,$A$2:A225,A225,$C$2:C225,C225)),"")</f>
        <v>-73922.333333333328</v>
      </c>
      <c r="AZ225" s="103">
        <v>175861</v>
      </c>
      <c r="BA225" s="449">
        <f>'Glass Metrics'!AC230</f>
        <v>105438</v>
      </c>
      <c r="BB225" s="450">
        <f t="shared" si="90"/>
        <v>-0.40044694389318836</v>
      </c>
      <c r="BC225" s="450">
        <f>IFERROR(IF(R225=0,"-",AVERAGEIFS($BA$2:BA225,$A$2:A225,$A225,$F$2:F225,"&lt;="&amp;$F225)/AVERAGEIFS($AZ$2:AZ225,$A$2:A225,$A225,$F$2:F225,"&lt;="&amp;$F225)-1),"")</f>
        <v>2.7100731268939082E-2</v>
      </c>
      <c r="BD225" s="269">
        <f>IFERROR(IF(R225=0,"-",AVERAGEIFS($BA$2:BA225,$A$2:A225,A225,$C$2:C225,C225)/AVERAGEIFS($AZ$2:AZ225,$A$2:A225,A225,$C$2:C225,C225)-1),"")</f>
        <v>3.6905326710807707E-3</v>
      </c>
    </row>
    <row r="226" spans="1:56" ht="16.350000000000001" customHeight="1">
      <c r="A226" s="175">
        <f t="shared" si="69"/>
        <v>2025</v>
      </c>
      <c r="B226" s="447" t="str">
        <f t="shared" si="70"/>
        <v>17</v>
      </c>
      <c r="C226" s="447" t="str">
        <f t="array" ref="C226">_xlfn.IFS(_xlfn.NUMBERVALUE(B226)&lt;=13,"Q1",AND(_xlfn.NUMBERVALUE(B226)&gt;13,_xlfn.NUMBERVALUE(B226)&lt;=26),"Q2", AND(_xlfn.NUMBERVALUE(B226)&gt;26,_xlfn.NUMBERVALUE(B226)&lt;=39),"Q3",_xlfn.NUMBERVALUE(B226)&gt;39,"Q4")</f>
        <v>Q2</v>
      </c>
      <c r="D226" s="448">
        <f t="shared" si="91"/>
        <v>45430</v>
      </c>
      <c r="E226" s="448">
        <f t="shared" si="71"/>
        <v>45436</v>
      </c>
      <c r="F226" s="79">
        <v>202417</v>
      </c>
      <c r="G226" s="103">
        <v>89533</v>
      </c>
      <c r="H226" s="429">
        <v>60052</v>
      </c>
      <c r="I226" s="429">
        <v>72824</v>
      </c>
      <c r="J226" s="214">
        <f t="shared" si="72"/>
        <v>222409</v>
      </c>
      <c r="K226" s="103">
        <v>68871</v>
      </c>
      <c r="L226" s="429">
        <v>74962</v>
      </c>
      <c r="M226" s="429">
        <v>58062</v>
      </c>
      <c r="N226" s="214">
        <f t="shared" si="73"/>
        <v>201895</v>
      </c>
      <c r="O226" s="449">
        <f>'Overall Metrics'!L231</f>
        <v>116937.1</v>
      </c>
      <c r="P226" s="449">
        <f>'Overall Metrics'!M231</f>
        <v>128398</v>
      </c>
      <c r="Q226" s="449">
        <f>'Overall Metrics'!N231</f>
        <v>73377.200000000012</v>
      </c>
      <c r="R226" s="449">
        <f t="shared" si="74"/>
        <v>318712.30000000005</v>
      </c>
      <c r="S226" s="180">
        <f t="shared" si="75"/>
        <v>5058493.75</v>
      </c>
      <c r="T226" s="449">
        <f t="shared" si="76"/>
        <v>3884515</v>
      </c>
      <c r="U226" s="449">
        <f t="shared" si="77"/>
        <v>3812044</v>
      </c>
      <c r="V226" s="450">
        <f t="shared" si="78"/>
        <v>0.30222016133288188</v>
      </c>
      <c r="W226" s="450">
        <f>IF(R226=0,"-",SUMIFS($R$2:R226,$A$2:A226,A226,$C$2:C226,C226)/SUMIFS($J$2:J226,$A$2:A226,A226,$C$2:C226,C226)-1)</f>
        <v>0.19407856547964575</v>
      </c>
      <c r="X226" s="450">
        <f t="shared" si="79"/>
        <v>0.32697674790742193</v>
      </c>
      <c r="Y226" s="450">
        <f>IFERROR(IF(R226=0,"-",SUMIFS($R$2:R226,$A$2:A226,A226,$C$2:C226,C226)/SUMIFS($N$2:N226,$A$2:A226,A226,$C$2:C226,C226)-1),"")</f>
        <v>0.2623778490764892</v>
      </c>
      <c r="Z226" s="269">
        <f>IF(R226=0,"",(S226/VLOOKUP(_xlfn.NUMBERVALUE(_xlfn.CONCAT(LEFT(F226,4),52)),$F$2:T433,COLUMNS($F$2:T433),FALSE)))</f>
        <v>0.43064824367918525</v>
      </c>
      <c r="AA226" s="269">
        <f>IFERROR(IF(R226=0,"",(S226/VLOOKUP(_xlfn.NUMBERVALUE(_xlfn.CONCAT(LEFT(F226,4),52)),$F$2:U433,COLUMNS($F$2:U433),FALSE))),"")</f>
        <v>0.43485506718749045</v>
      </c>
      <c r="AB226" s="268">
        <f t="shared" si="80"/>
        <v>0.30607820580121303</v>
      </c>
      <c r="AC226" s="450">
        <f t="shared" si="81"/>
        <v>1.1381136348497969</v>
      </c>
      <c r="AD226" s="450">
        <f t="shared" si="82"/>
        <v>7.5963967922665354E-3</v>
      </c>
      <c r="AE226" s="269">
        <f t="shared" si="83"/>
        <v>0.43300091273284824</v>
      </c>
      <c r="AF226" s="268">
        <f t="shared" si="84"/>
        <v>0.69791494242859842</v>
      </c>
      <c r="AG226" s="450">
        <f t="shared" si="85"/>
        <v>0.71284117286091631</v>
      </c>
      <c r="AH226" s="450">
        <f t="shared" si="86"/>
        <v>0.26377320795012249</v>
      </c>
      <c r="AI226" s="269">
        <f t="shared" si="87"/>
        <v>0.57860422496842445</v>
      </c>
      <c r="AJ226" s="450">
        <f>IF(O226=0,"-",SUMIFS($O$2:O226,$A$2:A226,$A226,$F$2:F226,"&lt;="&amp;$F226)/SUMIFS($G$2:G226,$A$2:A226,$A226,$F$2:F226,"&lt;="&amp;$F226)-1)</f>
        <v>0.4809076038348683</v>
      </c>
      <c r="AK226" s="450">
        <f>IF(P226=0,"-",SUMIFS($P$2:P226,$A$2:A226,$A226,$F$2:F226,"&lt;="&amp;$F226)/SUMIFS($H$2:H226,$A$2:A226,$A226,$F$2:F226,"&lt;="&amp;$F226)-1)</f>
        <v>0.68305345352090341</v>
      </c>
      <c r="AL226" s="450">
        <f>IF(Q226=0,"-",SUMIFS($Q$2:Q226,$A$2:A226,$A226,$F$2:F226,"&lt;="&amp;$F226)/SUMIFS($I$2:I226,$A$2:A226,$A226,$F$2:F226,"&lt;="&amp;$F226)-1)</f>
        <v>-0.19027156356534691</v>
      </c>
      <c r="AM226" s="450">
        <f>IFERROR(IF(O226=0,"-",SUMIFS($O$2:O226,$A$2:A226,$A226,$F$2:F226,"&lt;="&amp;$F226)/SUMIFS($K$2:K226,$A$2:A226,$A226,$F$2:F226,"&lt;="&amp;$F226)-1),"")</f>
        <v>0.48646689813702837</v>
      </c>
      <c r="AN226" s="450">
        <f>IFERROR(IF(P226=0,"-",SUMIFS($P$2:P226,$A$2:A226,$A226,$F$2:F226,"&lt;="&amp;$F226)/SUMIFS($L$2:L226,$A$2:A226,$A226,$F$2:F226,"&lt;="&amp;$F226)-1),"")</f>
        <v>0.62952779638847622</v>
      </c>
      <c r="AO226" s="450">
        <f>IFERROR(IF(Q226=0,"-",SUMIFS($Q$2:Q226,$A$2:A226,$A226,$F$2:F226,"&lt;="&amp;$F226)/SUMIFS($M$2:M226,$A$2:A226,$A226,$F$2:F226,"&lt;="&amp;$F226)-1),"")</f>
        <v>-0.12287951916383333</v>
      </c>
      <c r="AP226" s="103">
        <v>83851</v>
      </c>
      <c r="AQ226" s="452">
        <f>'Overall Metrics'!AO231</f>
        <v>0.18213137259533443</v>
      </c>
      <c r="AR226" s="450">
        <f t="shared" si="88"/>
        <v>-83850.817868627404</v>
      </c>
      <c r="AS226" s="453">
        <f>IFERROR(IF(R227=0,"-",AVERAGEIFS($AQ$2:AQ226,$A$2:A226,$A226,$F$2:F226,"&lt;="&amp;$F226)-AVERAGEIFS($AP$2:AP226,$A$2:A226,$A226,$F$2:F226,"&lt;="&amp;$F226)),"")</f>
        <v>-77924.77749159417</v>
      </c>
      <c r="AT226" s="390">
        <f>IFERROR(IF(R227=0,"-",AVERAGEIFS($AQ$2:AQ226,$A$2:A226,A226,$C$2:C226,C226)-AVERAGEIFS($AP$2:AP226,$A$2:A226,A226,$C$2:C226,C226)),"")</f>
        <v>-84786.270019711577</v>
      </c>
      <c r="AU226" s="103">
        <v>85893</v>
      </c>
      <c r="AV226" s="452">
        <f>'Overall Metrics'!AS231</f>
        <v>0</v>
      </c>
      <c r="AW226" s="450" t="str">
        <f t="shared" si="89"/>
        <v/>
      </c>
      <c r="AX226" s="453">
        <f>IFERROR(IF(R230=0,"-",AVERAGEIFS($AV$2:AV226,$A$2:A226,$A226,$F$2:F226,"&lt;="&amp;$F226)-AVERAGEIFS($AU$2:AU226,$A$2:A226,$A226,$F$2:F226,"&lt;="&amp;$F226)),"")</f>
        <v>-74969.23529411765</v>
      </c>
      <c r="AY226" s="453">
        <f>IFERROR(IF(R230=0,"-",AVERAGEIFS($AV$2:AV226,$A$2:A226,A226,$C$2:C226,C226)-AVERAGEIFS($AU$2:AU226,$A$2:A226,A226,$C$2:C226,C226)),"")</f>
        <v>-76915</v>
      </c>
      <c r="AZ226" s="103">
        <v>196813</v>
      </c>
      <c r="BA226" s="449">
        <f>'Glass Metrics'!AC231</f>
        <v>176850</v>
      </c>
      <c r="BB226" s="450">
        <f t="shared" si="90"/>
        <v>-0.10143130789124699</v>
      </c>
      <c r="BC226" s="450">
        <f>IFERROR(IF(R226=0,"-",AVERAGEIFS($BA$2:BA226,$A$2:A226,$A226,$F$2:F226,"&lt;="&amp;$F226)/AVERAGEIFS($AZ$2:AZ226,$A$2:A226,$A226,$F$2:F226,"&lt;="&amp;$F226)-1),"")</f>
        <v>1.7301229742371804E-2</v>
      </c>
      <c r="BD226" s="269">
        <f>IFERROR(IF(R226=0,"-",AVERAGEIFS($BA$2:BA226,$A$2:A226,A226,$C$2:C226,C226)/AVERAGEIFS($AZ$2:AZ226,$A$2:A226,A226,$C$2:C226,C226)-1),"")</f>
        <v>-2.7043809337058966E-2</v>
      </c>
    </row>
    <row r="227" spans="1:56" ht="16.350000000000001" customHeight="1">
      <c r="A227" s="175">
        <f t="shared" si="69"/>
        <v>2025</v>
      </c>
      <c r="B227" s="447" t="str">
        <f t="shared" si="70"/>
        <v>18</v>
      </c>
      <c r="C227" s="447" t="str">
        <f t="array" ref="C227">_xlfn.IFS(_xlfn.NUMBERVALUE(B227)&lt;=13,"Q1",AND(_xlfn.NUMBERVALUE(B227)&gt;13,_xlfn.NUMBERVALUE(B227)&lt;=26),"Q2", AND(_xlfn.NUMBERVALUE(B227)&gt;26,_xlfn.NUMBERVALUE(B227)&lt;=39),"Q3",_xlfn.NUMBERVALUE(B227)&gt;39,"Q4")</f>
        <v>Q2</v>
      </c>
      <c r="D227" s="448">
        <f t="shared" si="91"/>
        <v>45437</v>
      </c>
      <c r="E227" s="448">
        <f t="shared" si="71"/>
        <v>45443</v>
      </c>
      <c r="F227" s="79">
        <v>202418</v>
      </c>
      <c r="G227" s="103">
        <v>53602</v>
      </c>
      <c r="H227" s="429">
        <v>74412</v>
      </c>
      <c r="I227" s="429">
        <v>72729</v>
      </c>
      <c r="J227" s="214">
        <f t="shared" si="72"/>
        <v>200743</v>
      </c>
      <c r="K227" s="103">
        <v>62099</v>
      </c>
      <c r="L227" s="429">
        <v>90671</v>
      </c>
      <c r="M227" s="429">
        <v>66553</v>
      </c>
      <c r="N227" s="214">
        <f t="shared" si="73"/>
        <v>219323</v>
      </c>
      <c r="O227" s="449">
        <f>'Overall Metrics'!L232</f>
        <v>119289.89999999997</v>
      </c>
      <c r="P227" s="449">
        <f>'Overall Metrics'!M232</f>
        <v>137828</v>
      </c>
      <c r="Q227" s="449">
        <f>'Overall Metrics'!N232</f>
        <v>66294.8</v>
      </c>
      <c r="R227" s="449">
        <f t="shared" si="74"/>
        <v>323412.69999999995</v>
      </c>
      <c r="S227" s="180">
        <f t="shared" si="75"/>
        <v>5381906.4500000002</v>
      </c>
      <c r="T227" s="449">
        <f t="shared" si="76"/>
        <v>4085258</v>
      </c>
      <c r="U227" s="449">
        <f t="shared" si="77"/>
        <v>4031367</v>
      </c>
      <c r="V227" s="450">
        <f t="shared" si="78"/>
        <v>0.31739695510051025</v>
      </c>
      <c r="W227" s="450">
        <f>IF(R227=0,"-",SUMIFS($R$2:R227,$A$2:A227,A227,$C$2:C227,C227)/SUMIFS($J$2:J227,$A$2:A227,A227,$C$2:C227,C227)-1)</f>
        <v>0.26676255432210794</v>
      </c>
      <c r="X227" s="450">
        <f t="shared" si="79"/>
        <v>0.33500781496698262</v>
      </c>
      <c r="Y227" s="450">
        <f>IFERROR(IF(R227=0,"-",SUMIFS($R$2:R227,$A$2:A227,A227,$C$2:C227,C227)/SUMIFS($N$2:N227,$A$2:A227,A227,$C$2:C227,C227)-1),"")</f>
        <v>0.30397881706254348</v>
      </c>
      <c r="Z227" s="269">
        <f>IF(R227=0,"",(S227/VLOOKUP(_xlfn.NUMBERVALUE(_xlfn.CONCAT(LEFT(F227,4),52)),$F$2:T434,COLUMNS($F$2:T434),FALSE)))</f>
        <v>0.45818156053631159</v>
      </c>
      <c r="AA227" s="269">
        <f>IFERROR(IF(R227=0,"",(S227/VLOOKUP(_xlfn.NUMBERVALUE(_xlfn.CONCAT(LEFT(F227,4),52)),$F$2:U434,COLUMNS($F$2:U434),FALSE))),"")</f>
        <v>0.4626573455609268</v>
      </c>
      <c r="AB227" s="268">
        <f t="shared" si="80"/>
        <v>1.2254747957165772</v>
      </c>
      <c r="AC227" s="450">
        <f t="shared" si="81"/>
        <v>0.85222813524700314</v>
      </c>
      <c r="AD227" s="450">
        <f t="shared" si="82"/>
        <v>-8.8468148881464037E-2</v>
      </c>
      <c r="AE227" s="269">
        <f t="shared" si="83"/>
        <v>0.61107834395221738</v>
      </c>
      <c r="AF227" s="268">
        <f t="shared" si="84"/>
        <v>0.92096330053623987</v>
      </c>
      <c r="AG227" s="450">
        <f t="shared" si="85"/>
        <v>0.52008911338796304</v>
      </c>
      <c r="AH227" s="450">
        <f t="shared" si="86"/>
        <v>-3.8796147431370276E-3</v>
      </c>
      <c r="AI227" s="269">
        <f t="shared" si="87"/>
        <v>0.47459545966451278</v>
      </c>
      <c r="AJ227" s="450">
        <f>IF(O227=0,"-",SUMIFS($O$2:O227,$A$2:A227,$A227,$F$2:F227,"&lt;="&amp;$F227)/SUMIFS($G$2:G227,$A$2:A227,$A227,$F$2:F227,"&lt;="&amp;$F227)-1)</f>
        <v>0.51095551044930732</v>
      </c>
      <c r="AK227" s="450">
        <f>IF(P227=0,"-",SUMIFS($P$2:P227,$A$2:A227,$A227,$F$2:F227,"&lt;="&amp;$F227)/SUMIFS($H$2:H227,$A$2:A227,$A227,$F$2:F227,"&lt;="&amp;$F227)-1)</f>
        <v>0.69284694042669726</v>
      </c>
      <c r="AL227" s="450">
        <f>IF(Q227=0,"-",SUMIFS($Q$2:Q227,$A$2:A227,$A227,$F$2:F227,"&lt;="&amp;$F227)/SUMIFS($I$2:I227,$A$2:A227,$A227,$F$2:F227,"&lt;="&amp;$F227)-1)</f>
        <v>-0.18524035965610886</v>
      </c>
      <c r="AM227" s="450">
        <f>IFERROR(IF(O227=0,"-",SUMIFS($O$2:O227,$A$2:A227,$A227,$F$2:F227,"&lt;="&amp;$F227)/SUMIFS($K$2:K227,$A$2:A227,$A227,$F$2:F227,"&lt;="&amp;$F227)-1),"")</f>
        <v>0.50672422880103785</v>
      </c>
      <c r="AN227" s="450">
        <f>IFERROR(IF(P227=0,"-",SUMIFS($P$2:P227,$A$2:A227,$A227,$F$2:F227,"&lt;="&amp;$F227)/SUMIFS($L$2:L227,$A$2:A227,$A227,$F$2:F227,"&lt;="&amp;$F227)-1),"")</f>
        <v>0.62213061288386773</v>
      </c>
      <c r="AO227" s="450">
        <f>IFERROR(IF(Q227=0,"-",SUMIFS($Q$2:Q227,$A$2:A227,$A227,$F$2:F227,"&lt;="&amp;$F227)/SUMIFS($M$2:M227,$A$2:A227,$A227,$F$2:F227,"&lt;="&amp;$F227)-1),"")</f>
        <v>-0.11704743109199767</v>
      </c>
      <c r="AP227" s="103">
        <v>55566</v>
      </c>
      <c r="AQ227" s="452">
        <f>'Overall Metrics'!AO232</f>
        <v>0.55897081685677841</v>
      </c>
      <c r="AR227" s="450">
        <f t="shared" si="88"/>
        <v>-55565.441029183145</v>
      </c>
      <c r="AS227" s="453">
        <f>IFERROR(IF(R228=0,"-",AVERAGEIFS($AQ$2:AQ227,$A$2:A227,$A227,$F$2:F227,"&lt;="&amp;$F227)-AVERAGEIFS($AP$2:AP227,$A$2:A227,$A227,$F$2:F227,"&lt;="&amp;$F227)),"")</f>
        <v>-76682.592132571328</v>
      </c>
      <c r="AT227" s="390">
        <f>IFERROR(IF(R228=0,"-",AVERAGEIFS($AQ$2:AQ227,$A$2:A227,A227,$C$2:C227,C227)-AVERAGEIFS($AP$2:AP227,$A$2:A227,A227,$C$2:C227,C227)),"")</f>
        <v>-78942.1042216059</v>
      </c>
      <c r="AU227" s="103">
        <v>92667</v>
      </c>
      <c r="AV227" s="452">
        <f>'Overall Metrics'!AS232</f>
        <v>0</v>
      </c>
      <c r="AW227" s="450" t="str">
        <f t="shared" si="89"/>
        <v/>
      </c>
      <c r="AX227" s="453">
        <f>IFERROR(IF(R231=0,"-",AVERAGEIFS($AV$2:AV227,$A$2:A227,$A227,$F$2:F227,"&lt;="&amp;$F227)-AVERAGEIFS($AU$2:AU227,$A$2:A227,$A227,$F$2:F227,"&lt;="&amp;$F227)),"")</f>
        <v>-75952.444444444438</v>
      </c>
      <c r="AY227" s="453">
        <f>IFERROR(IF(R231=0,"-",AVERAGEIFS($AV$2:AV227,$A$2:A227,A227,$C$2:C227,C227)-AVERAGEIFS($AU$2:AU227,$A$2:A227,A227,$C$2:C227,C227)),"")</f>
        <v>-80065.399999999994</v>
      </c>
      <c r="AZ227" s="103">
        <v>105438</v>
      </c>
      <c r="BA227" s="449">
        <f>'Glass Metrics'!AC232</f>
        <v>153525</v>
      </c>
      <c r="BB227" s="450">
        <f t="shared" si="90"/>
        <v>0.45606896944175723</v>
      </c>
      <c r="BC227" s="450">
        <f>IFERROR(IF(R227=0,"-",AVERAGEIFS($BA$2:BA227,$A$2:A227,$A227,$F$2:F227,"&lt;="&amp;$F227)/AVERAGEIFS($AZ$2:AZ227,$A$2:A227,$A227,$F$2:F227,"&lt;="&amp;$F227)-1),"")</f>
        <v>3.4519309249078756E-2</v>
      </c>
      <c r="BD227" s="269">
        <f>IFERROR(IF(R227=0,"-",AVERAGEIFS($BA$2:BA227,$A$2:A227,A227,$C$2:C227,C227)/AVERAGEIFS($AZ$2:AZ227,$A$2:A227,A227,$C$2:C227,C227)-1),"")</f>
        <v>3.8378895588905726E-2</v>
      </c>
    </row>
    <row r="228" spans="1:56" ht="16.350000000000001" customHeight="1">
      <c r="A228" s="175">
        <f t="shared" si="69"/>
        <v>2025</v>
      </c>
      <c r="B228" s="447" t="str">
        <f t="shared" si="70"/>
        <v>19</v>
      </c>
      <c r="C228" s="447" t="str">
        <f t="array" ref="C228">_xlfn.IFS(_xlfn.NUMBERVALUE(B228)&lt;=13,"Q1",AND(_xlfn.NUMBERVALUE(B228)&gt;13,_xlfn.NUMBERVALUE(B228)&lt;=26),"Q2", AND(_xlfn.NUMBERVALUE(B228)&gt;26,_xlfn.NUMBERVALUE(B228)&lt;=39),"Q3",_xlfn.NUMBERVALUE(B228)&gt;39,"Q4")</f>
        <v>Q2</v>
      </c>
      <c r="D228" s="448">
        <f t="shared" si="91"/>
        <v>45444</v>
      </c>
      <c r="E228" s="448">
        <f t="shared" si="71"/>
        <v>45450</v>
      </c>
      <c r="F228" s="79">
        <v>202419</v>
      </c>
      <c r="G228" s="103">
        <v>69323</v>
      </c>
      <c r="H228" s="429">
        <v>92605</v>
      </c>
      <c r="I228" s="429">
        <v>73660</v>
      </c>
      <c r="J228" s="214">
        <f t="shared" si="72"/>
        <v>235588</v>
      </c>
      <c r="K228" s="103">
        <v>61518</v>
      </c>
      <c r="L228" s="429">
        <v>53588</v>
      </c>
      <c r="M228" s="429">
        <v>51535</v>
      </c>
      <c r="N228" s="214">
        <f t="shared" si="73"/>
        <v>166641</v>
      </c>
      <c r="O228" s="449">
        <f>'Overall Metrics'!L233</f>
        <v>91082.6</v>
      </c>
      <c r="P228" s="449">
        <f>'Overall Metrics'!M233</f>
        <v>90338</v>
      </c>
      <c r="Q228" s="449">
        <f>'Overall Metrics'!N233</f>
        <v>69243.200000000012</v>
      </c>
      <c r="R228" s="449">
        <f t="shared" si="74"/>
        <v>250663.80000000002</v>
      </c>
      <c r="S228" s="180">
        <f t="shared" si="75"/>
        <v>5632570.25</v>
      </c>
      <c r="T228" s="449">
        <f t="shared" si="76"/>
        <v>4320846</v>
      </c>
      <c r="U228" s="449">
        <f t="shared" si="77"/>
        <v>4198008</v>
      </c>
      <c r="V228" s="450">
        <f t="shared" si="78"/>
        <v>0.30358042151930431</v>
      </c>
      <c r="W228" s="450">
        <f>IF(R228=0,"-",SUMIFS($R$2:R228,$A$2:A228,A228,$C$2:C228,C228)/SUMIFS($J$2:J228,$A$2:A228,A228,$C$2:C228,C228)-1)</f>
        <v>0.23232815510605986</v>
      </c>
      <c r="X228" s="450">
        <f t="shared" si="79"/>
        <v>0.34172451553212868</v>
      </c>
      <c r="Y228" s="450">
        <f>IFERROR(IF(R228=0,"-",SUMIFS($R$2:R228,$A$2:A228,A228,$C$2:C228,C228)/SUMIFS($N$2:N228,$A$2:A228,A228,$C$2:C228,C228)-1),"")</f>
        <v>0.32993630325500645</v>
      </c>
      <c r="Z228" s="269">
        <f>IF(R228=0,"",(S228/VLOOKUP(_xlfn.NUMBERVALUE(_xlfn.CONCAT(LEFT(F228,4),52)),$F$2:T435,COLUMNS($F$2:T435),FALSE)))</f>
        <v>0.47952149502253105</v>
      </c>
      <c r="AA228" s="269">
        <f>IFERROR(IF(R228=0,"",(S228/VLOOKUP(_xlfn.NUMBERVALUE(_xlfn.CONCAT(LEFT(F228,4),52)),$F$2:U435,COLUMNS($F$2:U435),FALSE))),"")</f>
        <v>0.48420574098801838</v>
      </c>
      <c r="AB228" s="268">
        <f t="shared" si="80"/>
        <v>0.31388716587568344</v>
      </c>
      <c r="AC228" s="450">
        <f t="shared" si="81"/>
        <v>-2.4480319637168568E-2</v>
      </c>
      <c r="AD228" s="450">
        <f t="shared" si="82"/>
        <v>-5.996198751018178E-2</v>
      </c>
      <c r="AE228" s="269">
        <f t="shared" si="83"/>
        <v>6.3992223712582952E-2</v>
      </c>
      <c r="AF228" s="268">
        <f t="shared" si="84"/>
        <v>0.48058454436100018</v>
      </c>
      <c r="AG228" s="450">
        <f t="shared" si="85"/>
        <v>0.68578786295439276</v>
      </c>
      <c r="AH228" s="450">
        <f t="shared" si="86"/>
        <v>0.34361501891918134</v>
      </c>
      <c r="AI228" s="269">
        <f t="shared" si="87"/>
        <v>0.50421444902514989</v>
      </c>
      <c r="AJ228" s="450">
        <f>IF(O228=0,"-",SUMIFS($O$2:O228,$A$2:A228,$A228,$F$2:F228,"&lt;="&amp;$F228)/SUMIFS($G$2:G228,$A$2:A228,$A228,$F$2:F228,"&lt;="&amp;$F228)-1)</f>
        <v>0.50118024822098728</v>
      </c>
      <c r="AK228" s="450">
        <f>IF(P228=0,"-",SUMIFS($P$2:P228,$A$2:A228,$A228,$F$2:F228,"&lt;="&amp;$F228)/SUMIFS($H$2:H228,$A$2:A228,$A228,$F$2:F228,"&lt;="&amp;$F228)-1)</f>
        <v>0.64464123342813173</v>
      </c>
      <c r="AL228" s="450">
        <f>IF(Q228=0,"-",SUMIFS($Q$2:Q228,$A$2:A228,$A228,$F$2:F228,"&lt;="&amp;$F228)/SUMIFS($I$2:I228,$A$2:A228,$A228,$F$2:F228,"&lt;="&amp;$F228)-1)</f>
        <v>-0.17926865412790383</v>
      </c>
      <c r="AM228" s="450">
        <f>IFERROR(IF(O228=0,"-",SUMIFS($O$2:O228,$A$2:A228,$A228,$F$2:F228,"&lt;="&amp;$F228)/SUMIFS($K$2:K228,$A$2:A228,$A228,$F$2:F228,"&lt;="&amp;$F228)-1),"")</f>
        <v>0.505570231149576</v>
      </c>
      <c r="AN228" s="450">
        <f>IFERROR(IF(P228=0,"-",SUMIFS($P$2:P228,$A$2:A228,$A228,$F$2:F228,"&lt;="&amp;$F228)/SUMIFS($L$2:L228,$A$2:A228,$A228,$F$2:F228,"&lt;="&amp;$F228)-1),"")</f>
        <v>0.62457590608967672</v>
      </c>
      <c r="AO228" s="450">
        <f>IFERROR(IF(Q228=0,"-",SUMIFS($Q$2:Q228,$A$2:A228,$A228,$F$2:F228,"&lt;="&amp;$F228)/SUMIFS($M$2:M228,$A$2:A228,$A228,$F$2:F228,"&lt;="&amp;$F228)-1),"")</f>
        <v>-0.10020446894477153</v>
      </c>
      <c r="AP228" s="103">
        <v>96198</v>
      </c>
      <c r="AQ228" s="452">
        <f>'Overall Metrics'!AO233</f>
        <v>0.33530714891725216</v>
      </c>
      <c r="AR228" s="450">
        <f t="shared" si="88"/>
        <v>-96197.664692851089</v>
      </c>
      <c r="AS228" s="453">
        <f>IFERROR(IF(R229=0,"-",AVERAGEIFS($AQ$2:AQ228,$A$2:A228,$A228,$F$2:F228,"&lt;="&amp;$F228)-AVERAGEIFS($AP$2:AP228,$A$2:A228,$A228,$F$2:F228,"&lt;="&amp;$F228)),"")</f>
        <v>-77709.701214691304</v>
      </c>
      <c r="AT228" s="390">
        <f>IFERROR(IF(R229=0,"-",AVERAGEIFS($AQ$2:AQ228,$A$2:A228,A228,$C$2:C228,C228)-AVERAGEIFS($AP$2:AP228,$A$2:A228,A228,$C$2:C228,C228)),"")</f>
        <v>-81818.030966813414</v>
      </c>
      <c r="AU228" s="103">
        <v>85223</v>
      </c>
      <c r="AV228" s="452">
        <f>'Overall Metrics'!AS233</f>
        <v>0</v>
      </c>
      <c r="AW228" s="450" t="str">
        <f t="shared" si="89"/>
        <v/>
      </c>
      <c r="AX228" s="453">
        <f>IFERROR(IF(R232=0,"-",AVERAGEIFS($AV$2:AV228,$A$2:A228,$A228,$F$2:F228,"&lt;="&amp;$F228)-AVERAGEIFS($AU$2:AU228,$A$2:A228,$A228,$F$2:F228,"&lt;="&amp;$F228)),"")</f>
        <v>-76440.368421052626</v>
      </c>
      <c r="AY228" s="453">
        <f>IFERROR(IF(R232=0,"-",AVERAGEIFS($AV$2:AV228,$A$2:A228,A228,$C$2:C228,C228)-AVERAGEIFS($AU$2:AU228,$A$2:A228,A228,$C$2:C228,C228)),"")</f>
        <v>-80925</v>
      </c>
      <c r="AZ228" s="103">
        <v>176850</v>
      </c>
      <c r="BA228" s="449">
        <f>'Glass Metrics'!AC233</f>
        <v>115310</v>
      </c>
      <c r="BB228" s="450">
        <f t="shared" si="90"/>
        <v>-0.34797851286400905</v>
      </c>
      <c r="BC228" s="450">
        <f>IFERROR(IF(R228=0,"-",AVERAGEIFS($BA$2:BA228,$A$2:A228,$A228,$F$2:F228,"&lt;="&amp;$F228)/AVERAGEIFS($AZ$2:AZ228,$A$2:A228,$A228,$F$2:F228,"&lt;="&amp;$F228)-1),"")</f>
        <v>1.0898051243084517E-2</v>
      </c>
      <c r="BD228" s="269">
        <f>IFERROR(IF(R228=0,"-",AVERAGEIFS($BA$2:BA228,$A$2:A228,A228,$C$2:C228,C228)/AVERAGEIFS($AZ$2:AZ228,$A$2:A228,A228,$C$2:C228,C228)-1),"")</f>
        <v>-3.3133951886797464E-2</v>
      </c>
    </row>
    <row r="229" spans="1:56" ht="16.350000000000001" customHeight="1">
      <c r="A229" s="175">
        <f t="shared" si="69"/>
        <v>2025</v>
      </c>
      <c r="B229" s="447" t="str">
        <f t="shared" si="70"/>
        <v>20</v>
      </c>
      <c r="C229" s="447" t="str">
        <f t="array" ref="C229">_xlfn.IFS(_xlfn.NUMBERVALUE(B229)&lt;=13,"Q1",AND(_xlfn.NUMBERVALUE(B229)&gt;13,_xlfn.NUMBERVALUE(B229)&lt;=26),"Q2", AND(_xlfn.NUMBERVALUE(B229)&gt;26,_xlfn.NUMBERVALUE(B229)&lt;=39),"Q3",_xlfn.NUMBERVALUE(B229)&gt;39,"Q4")</f>
        <v>Q2</v>
      </c>
      <c r="D229" s="448">
        <f t="shared" si="91"/>
        <v>45451</v>
      </c>
      <c r="E229" s="448">
        <f t="shared" si="71"/>
        <v>45457</v>
      </c>
      <c r="F229" s="79">
        <v>202420</v>
      </c>
      <c r="G229" s="103">
        <v>89413</v>
      </c>
      <c r="H229" s="429">
        <v>62262</v>
      </c>
      <c r="I229" s="429">
        <v>51892</v>
      </c>
      <c r="J229" s="214">
        <f t="shared" si="72"/>
        <v>203567</v>
      </c>
      <c r="K229" s="103">
        <v>91386</v>
      </c>
      <c r="L229" s="429">
        <v>85920</v>
      </c>
      <c r="M229" s="429">
        <v>81538</v>
      </c>
      <c r="N229" s="214">
        <f t="shared" si="73"/>
        <v>258844</v>
      </c>
      <c r="O229" s="449">
        <f>'Overall Metrics'!L234</f>
        <v>99579.550000000017</v>
      </c>
      <c r="P229" s="449">
        <f>'Overall Metrics'!M234</f>
        <v>107538</v>
      </c>
      <c r="Q229" s="449">
        <f>'Overall Metrics'!N234</f>
        <v>64736.1</v>
      </c>
      <c r="R229" s="449">
        <f t="shared" si="74"/>
        <v>271853.65000000002</v>
      </c>
      <c r="S229" s="180">
        <f t="shared" si="75"/>
        <v>5904423.9000000004</v>
      </c>
      <c r="T229" s="449">
        <f t="shared" si="76"/>
        <v>4524413</v>
      </c>
      <c r="U229" s="449">
        <f t="shared" si="77"/>
        <v>4456852</v>
      </c>
      <c r="V229" s="450">
        <f t="shared" si="78"/>
        <v>0.30501435213805639</v>
      </c>
      <c r="W229" s="450">
        <f>IF(R229=0,"-",SUMIFS($R$2:R229,$A$2:A229,A229,$C$2:C229,C229)/SUMIFS($J$2:J229,$A$2:A229,A229,$C$2:C229,C229)-1)</f>
        <v>0.24552380802715557</v>
      </c>
      <c r="X229" s="450">
        <f t="shared" si="79"/>
        <v>0.32479694187736108</v>
      </c>
      <c r="Y229" s="450">
        <f>IFERROR(IF(R229=0,"-",SUMIFS($R$2:R229,$A$2:A229,A229,$C$2:C229,C229)/SUMIFS($N$2:N229,$A$2:A229,A229,$C$2:C229,C229)-1),"")</f>
        <v>0.28305945697431234</v>
      </c>
      <c r="Z229" s="269">
        <f>IF(R229=0,"",(S229/VLOOKUP(_xlfn.NUMBERVALUE(_xlfn.CONCAT(LEFT(F229,4),52)),$F$2:T436,COLUMNS($F$2:T436),FALSE)))</f>
        <v>0.50266539965032186</v>
      </c>
      <c r="AA229" s="269">
        <f>IFERROR(IF(R229=0,"",(S229/VLOOKUP(_xlfn.NUMBERVALUE(_xlfn.CONCAT(LEFT(F229,4),52)),$F$2:U436,COLUMNS($F$2:U436),FALSE))),"")</f>
        <v>0.50757572879039825</v>
      </c>
      <c r="AB229" s="268">
        <f t="shared" si="80"/>
        <v>0.11370326462594949</v>
      </c>
      <c r="AC229" s="450">
        <f t="shared" si="81"/>
        <v>0.72718512094054155</v>
      </c>
      <c r="AD229" s="450">
        <f t="shared" si="82"/>
        <v>0.24751599475834429</v>
      </c>
      <c r="AE229" s="269">
        <f t="shared" si="83"/>
        <v>0.33545049050189868</v>
      </c>
      <c r="AF229" s="268">
        <f t="shared" si="84"/>
        <v>8.9658700457400764E-2</v>
      </c>
      <c r="AG229" s="450">
        <f t="shared" si="85"/>
        <v>0.25160614525139668</v>
      </c>
      <c r="AH229" s="450">
        <f t="shared" si="86"/>
        <v>-0.20606220412568377</v>
      </c>
      <c r="AI229" s="269">
        <f t="shared" si="87"/>
        <v>5.0260581663086779E-2</v>
      </c>
      <c r="AJ229" s="450">
        <f>IF(O229=0,"-",SUMIFS($O$2:O229,$A$2:A229,$A229,$F$2:F229,"&lt;="&amp;$F229)/SUMIFS($G$2:G229,$A$2:A229,$A229,$F$2:F229,"&lt;="&amp;$F229)-1)</f>
        <v>0.47788067988470395</v>
      </c>
      <c r="AK229" s="450">
        <f>IF(P229=0,"-",SUMIFS($P$2:P229,$A$2:A229,$A229,$F$2:F229,"&lt;="&amp;$F229)/SUMIFS($H$2:H229,$A$2:A229,$A229,$F$2:F229,"&lt;="&amp;$F229)-1)</f>
        <v>0.64820954331638059</v>
      </c>
      <c r="AL229" s="450">
        <f>IF(Q229=0,"-",SUMIFS($Q$2:Q229,$A$2:A229,$A229,$F$2:F229,"&lt;="&amp;$F229)/SUMIFS($I$2:I229,$A$2:A229,$A229,$F$2:F229,"&lt;="&amp;$F229)-1)</f>
        <v>-0.16540252194492799</v>
      </c>
      <c r="AM229" s="450">
        <f>IFERROR(IF(O229=0,"-",SUMIFS($O$2:O229,$A$2:A229,$A229,$F$2:F229,"&lt;="&amp;$F229)/SUMIFS($K$2:K229,$A$2:A229,$A229,$F$2:F229,"&lt;="&amp;$F229)-1),"")</f>
        <v>0.47997280544375998</v>
      </c>
      <c r="AN229" s="450">
        <f>IFERROR(IF(P229=0,"-",SUMIFS($P$2:P229,$A$2:A229,$A229,$F$2:F229,"&lt;="&amp;$F229)/SUMIFS($L$2:L229,$A$2:A229,$A229,$F$2:F229,"&lt;="&amp;$F229)-1),"")</f>
        <v>0.60293743285573553</v>
      </c>
      <c r="AO229" s="450">
        <f>IFERROR(IF(Q229=0,"-",SUMIFS($Q$2:Q229,$A$2:A229,$A229,$F$2:F229,"&lt;="&amp;$F229)/SUMIFS($M$2:M229,$A$2:A229,$A229,$F$2:F229,"&lt;="&amp;$F229)-1),"")</f>
        <v>-0.10599332145350615</v>
      </c>
      <c r="AP229" s="103">
        <v>71088</v>
      </c>
      <c r="AQ229" s="452">
        <f>'Overall Metrics'!AO234</f>
        <v>0.75241127506964933</v>
      </c>
      <c r="AR229" s="450">
        <f t="shared" si="88"/>
        <v>-71087.247588724931</v>
      </c>
      <c r="AS229" s="453">
        <f>IFERROR(IF(R230=0,"-",AVERAGEIFS($AQ$2:AQ229,$A$2:A229,$A229,$F$2:F229,"&lt;="&amp;$F229)-AVERAGEIFS($AP$2:AP229,$A$2:A229,$A229,$F$2:F229,"&lt;="&amp;$F229)),"")</f>
        <v>-77378.578533392982</v>
      </c>
      <c r="AT229" s="390">
        <f>IFERROR(IF(R230=0,"-",AVERAGEIFS($AQ$2:AQ229,$A$2:A229,A229,$C$2:C229,C229)-AVERAGEIFS($AP$2:AP229,$A$2:A229,A229,$C$2:C229,C229)),"")</f>
        <v>-80285.061912800782</v>
      </c>
      <c r="AU229" s="103">
        <v>97188</v>
      </c>
      <c r="AV229" s="452">
        <f>'Overall Metrics'!AS234</f>
        <v>0</v>
      </c>
      <c r="AW229" s="450" t="str">
        <f t="shared" si="89"/>
        <v/>
      </c>
      <c r="AX229" s="453">
        <f>IFERROR(IF(R233=0,"-",AVERAGEIFS($AV$2:AV229,$A$2:A229,$A229,$F$2:F229,"&lt;="&amp;$F229)-AVERAGEIFS($AU$2:AU229,$A$2:A229,$A229,$F$2:F229,"&lt;="&amp;$F229)),"")</f>
        <v>-77477.75</v>
      </c>
      <c r="AY229" s="453">
        <f>IFERROR(IF(R233=0,"-",AVERAGEIFS($AV$2:AV229,$A$2:A229,A229,$C$2:C229,C229)-AVERAGEIFS($AU$2:AU229,$A$2:A229,A229,$C$2:C229,C229)),"")</f>
        <v>-83248.28571428571</v>
      </c>
      <c r="AZ229" s="103">
        <v>153525</v>
      </c>
      <c r="BA229" s="449">
        <f>'Glass Metrics'!AC234</f>
        <v>153416</v>
      </c>
      <c r="BB229" s="450">
        <f t="shared" si="90"/>
        <v>-7.099820876078633E-4</v>
      </c>
      <c r="BC229" s="450">
        <f>IFERROR(IF(R229=0,"-",AVERAGEIFS($BA$2:BA229,$A$2:A229,$A229,$F$2:F229,"&lt;="&amp;$F229)/AVERAGEIFS($AZ$2:AZ229,$A$2:A229,$A229,$F$2:F229,"&lt;="&amp;$F229)-1),"")</f>
        <v>1.0307405954034898E-2</v>
      </c>
      <c r="BD229" s="269">
        <f>IFERROR(IF(R229=0,"-",AVERAGEIFS($BA$2:BA229,$A$2:A229,A229,$C$2:C229,C229)/AVERAGEIFS($AZ$2:AZ229,$A$2:A229,A229,$C$2:C229,C229)-1),"")</f>
        <v>-2.8645241573337699E-2</v>
      </c>
    </row>
    <row r="230" spans="1:56" ht="16.350000000000001" customHeight="1">
      <c r="A230" s="175">
        <f t="shared" si="69"/>
        <v>2025</v>
      </c>
      <c r="B230" s="447" t="str">
        <f t="shared" si="70"/>
        <v>21</v>
      </c>
      <c r="C230" s="447" t="str">
        <f t="array" ref="C230">_xlfn.IFS(_xlfn.NUMBERVALUE(B230)&lt;=13,"Q1",AND(_xlfn.NUMBERVALUE(B230)&gt;13,_xlfn.NUMBERVALUE(B230)&lt;=26),"Q2", AND(_xlfn.NUMBERVALUE(B230)&gt;26,_xlfn.NUMBERVALUE(B230)&lt;=39),"Q3",_xlfn.NUMBERVALUE(B230)&gt;39,"Q4")</f>
        <v>Q2</v>
      </c>
      <c r="D230" s="448">
        <f t="shared" si="91"/>
        <v>45458</v>
      </c>
      <c r="E230" s="448">
        <f t="shared" si="71"/>
        <v>45464</v>
      </c>
      <c r="F230" s="79">
        <v>202421</v>
      </c>
      <c r="G230" s="103">
        <v>75009</v>
      </c>
      <c r="H230" s="429">
        <v>50258</v>
      </c>
      <c r="I230" s="429">
        <v>66720</v>
      </c>
      <c r="J230" s="214">
        <f t="shared" si="72"/>
        <v>191987</v>
      </c>
      <c r="K230" s="103">
        <v>63587</v>
      </c>
      <c r="L230" s="429">
        <v>87772</v>
      </c>
      <c r="M230" s="429">
        <v>99133</v>
      </c>
      <c r="N230" s="214">
        <f t="shared" si="73"/>
        <v>250492</v>
      </c>
      <c r="O230" s="449">
        <f>'Overall Metrics'!L235</f>
        <v>88952.900000000009</v>
      </c>
      <c r="P230" s="449">
        <f>'Overall Metrics'!M235</f>
        <v>92918</v>
      </c>
      <c r="Q230" s="449">
        <f>'Overall Metrics'!N235</f>
        <v>61757.8</v>
      </c>
      <c r="R230" s="449">
        <f t="shared" si="74"/>
        <v>243628.7</v>
      </c>
      <c r="S230" s="180">
        <f t="shared" si="75"/>
        <v>6148052.6000000006</v>
      </c>
      <c r="T230" s="449">
        <f t="shared" si="76"/>
        <v>4716400</v>
      </c>
      <c r="U230" s="449">
        <f t="shared" si="77"/>
        <v>4707344</v>
      </c>
      <c r="V230" s="450">
        <f t="shared" si="78"/>
        <v>0.30354774828258857</v>
      </c>
      <c r="W230" s="450">
        <f>IF(R230=0,"-",SUMIFS($R$2:R230,$A$2:A230,A230,$C$2:C230,C230)/SUMIFS($J$2:J230,$A$2:A230,A230,$C$2:C230,C230)-1)</f>
        <v>0.24805029848494309</v>
      </c>
      <c r="X230" s="450">
        <f t="shared" si="79"/>
        <v>0.30605551665652664</v>
      </c>
      <c r="Y230" s="450">
        <f>IFERROR(IF(R230=0,"-",SUMIFS($R$2:R230,$A$2:A230,A230,$C$2:C230,C230)/SUMIFS($N$2:N230,$A$2:A230,A230,$C$2:C230,C230)-1),"")</f>
        <v>0.23973020422308444</v>
      </c>
      <c r="Z230" s="269">
        <f>IF(R230=0,"",(S230/VLOOKUP(_xlfn.NUMBERVALUE(_xlfn.CONCAT(LEFT(F230,4),52)),$F$2:T437,COLUMNS($F$2:T437),FALSE)))</f>
        <v>0.52340641010720801</v>
      </c>
      <c r="AA230" s="269">
        <f>IFERROR(IF(R230=0,"",(S230/VLOOKUP(_xlfn.NUMBERVALUE(_xlfn.CONCAT(LEFT(F230,4),52)),$F$2:U437,COLUMNS($F$2:U437),FALSE))),"")</f>
        <v>0.52851934954851443</v>
      </c>
      <c r="AB230" s="268">
        <f t="shared" si="80"/>
        <v>0.18589635910357427</v>
      </c>
      <c r="AC230" s="450">
        <f t="shared" si="81"/>
        <v>0.84882008834414413</v>
      </c>
      <c r="AD230" s="450">
        <f t="shared" si="82"/>
        <v>-7.4373501199040737E-2</v>
      </c>
      <c r="AE230" s="269">
        <f t="shared" si="83"/>
        <v>0.26898540005312865</v>
      </c>
      <c r="AF230" s="268">
        <f t="shared" si="84"/>
        <v>0.39891644518533687</v>
      </c>
      <c r="AG230" s="450">
        <f t="shared" si="85"/>
        <v>5.862917559130465E-2</v>
      </c>
      <c r="AH230" s="450">
        <f t="shared" si="86"/>
        <v>-0.37702077007656376</v>
      </c>
      <c r="AI230" s="269">
        <f t="shared" si="87"/>
        <v>-2.7399278220462064E-2</v>
      </c>
      <c r="AJ230" s="450">
        <f>IF(O230=0,"-",SUMIFS($O$2:O230,$A$2:A230,$A230,$F$2:F230,"&lt;="&amp;$F230)/SUMIFS($G$2:G230,$A$2:A230,$A230,$F$2:F230,"&lt;="&amp;$F230)-1)</f>
        <v>0.46385896757101741</v>
      </c>
      <c r="AK230" s="450">
        <f>IF(P230=0,"-",SUMIFS($P$2:P230,$A$2:A230,$A230,$F$2:F230,"&lt;="&amp;$F230)/SUMIFS($H$2:H230,$A$2:A230,$A230,$F$2:F230,"&lt;="&amp;$F230)-1)</f>
        <v>0.65497375770949051</v>
      </c>
      <c r="AL230" s="450">
        <f>IF(Q230=0,"-",SUMIFS($Q$2:Q230,$A$2:A230,$A230,$F$2:F230,"&lt;="&amp;$F230)/SUMIFS($I$2:I230,$A$2:A230,$A230,$F$2:F230,"&lt;="&amp;$F230)-1)</f>
        <v>-0.16175238896568311</v>
      </c>
      <c r="AM230" s="450">
        <f>IFERROR(IF(O230=0,"-",SUMIFS($O$2:O230,$A$2:A230,$A230,$F$2:F230,"&lt;="&amp;$F230)/SUMIFS($K$2:K230,$A$2:A230,$A230,$F$2:F230,"&lt;="&amp;$F230)-1),"")</f>
        <v>0.47664421615777885</v>
      </c>
      <c r="AN230" s="450">
        <f>IFERROR(IF(P230=0,"-",SUMIFS($P$2:P230,$A$2:A230,$A230,$F$2:F230,"&lt;="&amp;$F230)/SUMIFS($L$2:L230,$A$2:A230,$A230,$F$2:F230,"&lt;="&amp;$F230)-1),"")</f>
        <v>0.57248274872906335</v>
      </c>
      <c r="AO230" s="450">
        <f>IFERROR(IF(Q230=0,"-",SUMIFS($Q$2:Q230,$A$2:A230,$A230,$F$2:F230,"&lt;="&amp;$F230)/SUMIFS($M$2:M230,$A$2:A230,$A230,$F$2:F230,"&lt;="&amp;$F230)-1),"")</f>
        <v>-0.12288941601432801</v>
      </c>
      <c r="AP230" s="103">
        <v>58781</v>
      </c>
      <c r="AQ230" s="452">
        <f>'Overall Metrics'!AO235</f>
        <v>0.71627413238784887</v>
      </c>
      <c r="AR230" s="450">
        <f t="shared" si="88"/>
        <v>-58780.283725867615</v>
      </c>
      <c r="AS230" s="453">
        <f>IFERROR(IF(R231=0,"-",AVERAGEIFS($AQ$2:AQ230,$A$2:A230,$A230,$F$2:F230,"&lt;="&amp;$F230)-AVERAGEIFS($AP$2:AP230,$A$2:A230,$A230,$F$2:F230,"&lt;="&amp;$F230)),"")</f>
        <v>-76492.945447320366</v>
      </c>
      <c r="AT230" s="390">
        <f>IFERROR(IF(R231=0,"-",AVERAGEIFS($AQ$2:AQ230,$A$2:A230,A230,$C$2:C230,C230)-AVERAGEIFS($AP$2:AP230,$A$2:A230,A230,$C$2:C230,C230)),"")</f>
        <v>-77596.964639434125</v>
      </c>
      <c r="AU230" s="103">
        <v>55425</v>
      </c>
      <c r="AV230" s="452">
        <f>'Overall Metrics'!AS235</f>
        <v>0</v>
      </c>
      <c r="AW230" s="450" t="str">
        <f t="shared" si="89"/>
        <v/>
      </c>
      <c r="AX230" s="453">
        <f>IFERROR(IF(R234=0,"-",AVERAGEIFS($AV$2:AV230,$A$2:A230,$A230,$F$2:F230,"&lt;="&amp;$F230)-AVERAGEIFS($AU$2:AU230,$A$2:A230,$A230,$F$2:F230,"&lt;="&amp;$F230)),"")</f>
        <v>-76427.619047619053</v>
      </c>
      <c r="AY230" s="453">
        <f>IFERROR(IF(R234=0,"-",AVERAGEIFS($AV$2:AV230,$A$2:A230,A230,$C$2:C230,C230)-AVERAGEIFS($AU$2:AU230,$A$2:A230,A230,$C$2:C230,C230)),"")</f>
        <v>-79770.375</v>
      </c>
      <c r="AZ230" s="103">
        <v>115310</v>
      </c>
      <c r="BA230" s="449">
        <f>'Glass Metrics'!AC235</f>
        <v>153885</v>
      </c>
      <c r="BB230" s="450">
        <f t="shared" si="90"/>
        <v>0.33453299800537684</v>
      </c>
      <c r="BC230" s="450">
        <f>IFERROR(IF(R230=0,"-",AVERAGEIFS($BA$2:BA230,$A$2:A230,$A230,$F$2:F230,"&lt;="&amp;$F230)/AVERAGEIFS($AZ$2:AZ230,$A$2:A230,$A230,$F$2:F230,"&lt;="&amp;$F230)-1),"")</f>
        <v>2.2242205890521394E-2</v>
      </c>
      <c r="BD230" s="269">
        <f>IFERROR(IF(R230=0,"-",AVERAGEIFS($BA$2:BA230,$A$2:A230,A230,$C$2:C230,C230)/AVERAGEIFS($AZ$2:AZ230,$A$2:A230,A230,$C$2:C230,C230)-1),"")</f>
        <v>5.5607739996241801E-3</v>
      </c>
    </row>
    <row r="231" spans="1:56" ht="16.350000000000001" customHeight="1">
      <c r="A231" s="175">
        <f t="shared" si="69"/>
        <v>2025</v>
      </c>
      <c r="B231" s="447" t="str">
        <f t="shared" si="70"/>
        <v>22</v>
      </c>
      <c r="C231" s="447" t="str">
        <f t="array" ref="C231">_xlfn.IFS(_xlfn.NUMBERVALUE(B231)&lt;=13,"Q1",AND(_xlfn.NUMBERVALUE(B231)&gt;13,_xlfn.NUMBERVALUE(B231)&lt;=26),"Q2", AND(_xlfn.NUMBERVALUE(B231)&gt;26,_xlfn.NUMBERVALUE(B231)&lt;=39),"Q3",_xlfn.NUMBERVALUE(B231)&gt;39,"Q4")</f>
        <v>Q2</v>
      </c>
      <c r="D231" s="448">
        <f t="shared" si="91"/>
        <v>45465</v>
      </c>
      <c r="E231" s="448">
        <f t="shared" si="71"/>
        <v>45471</v>
      </c>
      <c r="F231" s="79">
        <v>202422</v>
      </c>
      <c r="G231" s="103">
        <v>53977</v>
      </c>
      <c r="H231" s="429">
        <v>79105</v>
      </c>
      <c r="I231" s="429">
        <v>54685</v>
      </c>
      <c r="J231" s="214">
        <f t="shared" si="72"/>
        <v>187767</v>
      </c>
      <c r="K231" s="103">
        <v>64130</v>
      </c>
      <c r="L231" s="429">
        <v>71112</v>
      </c>
      <c r="M231" s="429">
        <v>71757</v>
      </c>
      <c r="N231" s="214">
        <f t="shared" si="73"/>
        <v>206999</v>
      </c>
      <c r="O231" s="449">
        <f>'Overall Metrics'!L236</f>
        <v>85781.65</v>
      </c>
      <c r="P231" s="449">
        <f>'Overall Metrics'!M236</f>
        <v>100392</v>
      </c>
      <c r="Q231" s="449">
        <f>'Overall Metrics'!N236</f>
        <v>46073.3</v>
      </c>
      <c r="R231" s="449">
        <f t="shared" si="74"/>
        <v>232246.95</v>
      </c>
      <c r="S231" s="180">
        <f t="shared" si="75"/>
        <v>6380299.5500000007</v>
      </c>
      <c r="T231" s="449">
        <f t="shared" si="76"/>
        <v>4904167</v>
      </c>
      <c r="U231" s="449">
        <f t="shared" si="77"/>
        <v>4914343</v>
      </c>
      <c r="V231" s="450">
        <f t="shared" si="78"/>
        <v>0.300995571725025</v>
      </c>
      <c r="W231" s="450">
        <f>IF(R231=0,"-",SUMIFS($R$2:R231,$A$2:A231,A231,$C$2:C231,C231)/SUMIFS($J$2:J231,$A$2:A231,A231,$C$2:C231,C231)-1)</f>
        <v>0.24698681216520457</v>
      </c>
      <c r="X231" s="450">
        <f t="shared" si="79"/>
        <v>0.29830163462338732</v>
      </c>
      <c r="Y231" s="450">
        <f>IFERROR(IF(R231=0,"-",SUMIFS($R$2:R231,$A$2:A231,A231,$C$2:C231,C231)/SUMIFS($N$2:N231,$A$2:A231,A231,$C$2:C231,C231)-1),"")</f>
        <v>0.22755318835388771</v>
      </c>
      <c r="Z231" s="269">
        <f>IF(R231=0,"",(S231/VLOOKUP(_xlfn.NUMBERVALUE(_xlfn.CONCAT(LEFT(F231,4),52)),$F$2:T438,COLUMNS($F$2:T438),FALSE)))</f>
        <v>0.54317845017691213</v>
      </c>
      <c r="AA231" s="269">
        <f>IFERROR(IF(R231=0,"",(S231/VLOOKUP(_xlfn.NUMBERVALUE(_xlfn.CONCAT(LEFT(F231,4),52)),$F$2:U438,COLUMNS($F$2:U438),FALSE))),"")</f>
        <v>0.54848453445090561</v>
      </c>
      <c r="AB231" s="268">
        <f t="shared" si="80"/>
        <v>0.58922596661541027</v>
      </c>
      <c r="AC231" s="450">
        <f t="shared" si="81"/>
        <v>0.26909803425826428</v>
      </c>
      <c r="AD231" s="450">
        <f t="shared" si="82"/>
        <v>-0.1574782847215872</v>
      </c>
      <c r="AE231" s="269">
        <f t="shared" si="83"/>
        <v>0.23688906996437087</v>
      </c>
      <c r="AF231" s="268">
        <f t="shared" si="84"/>
        <v>0.33762123811008871</v>
      </c>
      <c r="AG231" s="450">
        <f t="shared" si="85"/>
        <v>0.41174485318933507</v>
      </c>
      <c r="AH231" s="450">
        <f t="shared" si="86"/>
        <v>-0.35792605599453708</v>
      </c>
      <c r="AI231" s="269">
        <f t="shared" si="87"/>
        <v>0.12197136218049365</v>
      </c>
      <c r="AJ231" s="450">
        <f>IF(O231=0,"-",SUMIFS($O$2:O231,$A$2:A231,$A231,$F$2:F231,"&lt;="&amp;$F231)/SUMIFS($G$2:G231,$A$2:A231,$A231,$F$2:F231,"&lt;="&amp;$F231)-1)</f>
        <v>0.46804657215844081</v>
      </c>
      <c r="AK231" s="450">
        <f>IF(P231=0,"-",SUMIFS($P$2:P231,$A$2:A231,$A231,$F$2:F231,"&lt;="&amp;$F231)/SUMIFS($H$2:H231,$A$2:A231,$A231,$F$2:F231,"&lt;="&amp;$F231)-1)</f>
        <v>0.63552679025354886</v>
      </c>
      <c r="AL231" s="450">
        <f>IF(Q231=0,"-",SUMIFS($Q$2:Q231,$A$2:A231,$A231,$F$2:F231,"&lt;="&amp;$F231)/SUMIFS($I$2:I231,$A$2:A231,$A231,$F$2:F231,"&lt;="&amp;$F231)-1)</f>
        <v>-0.16161638790051114</v>
      </c>
      <c r="AM231" s="450">
        <f>IFERROR(IF(O231=0,"-",SUMIFS($O$2:O231,$A$2:A231,$A231,$F$2:F231,"&lt;="&amp;$F231)/SUMIFS($K$2:K231,$A$2:A231,$A231,$F$2:F231,"&lt;="&amp;$F231)-1),"")</f>
        <v>0.47111544717665454</v>
      </c>
      <c r="AN231" s="450">
        <f>IFERROR(IF(P231=0,"-",SUMIFS($P$2:P231,$A$2:A231,$A231,$F$2:F231,"&lt;="&amp;$F231)/SUMIFS($L$2:L231,$A$2:A231,$A231,$F$2:F231,"&lt;="&amp;$F231)-1),"")</f>
        <v>0.56551230396679664</v>
      </c>
      <c r="AO231" s="450">
        <f>IFERROR(IF(Q231=0,"-",SUMIFS($Q$2:Q231,$A$2:A231,$A231,$F$2:F231,"&lt;="&amp;$F231)/SUMIFS($M$2:M231,$A$2:A231,$A231,$F$2:F231,"&lt;="&amp;$F231)-1),"")</f>
        <v>-0.13303755325876554</v>
      </c>
      <c r="AP231" s="103">
        <v>73405</v>
      </c>
      <c r="AQ231" s="452">
        <f>'Overall Metrics'!AO236</f>
        <v>0.68627308664125009</v>
      </c>
      <c r="AR231" s="450">
        <f t="shared" si="88"/>
        <v>-73404.313726913359</v>
      </c>
      <c r="AS231" s="453">
        <f>IFERROR(IF(R232=0,"-",AVERAGEIFS($AQ$2:AQ231,$A$2:A231,$A231,$F$2:F231,"&lt;="&amp;$F231)-AVERAGEIFS($AP$2:AP231,$A$2:A231,$A231,$F$2:F231,"&lt;="&amp;$F231)),"")</f>
        <v>-76352.553096392774</v>
      </c>
      <c r="AT231" s="390">
        <f>IFERROR(IF(R232=0,"-",AVERAGEIFS($AQ$2:AQ231,$A$2:A231,A231,$C$2:C231,C231)-AVERAGEIFS($AP$2:AP231,$A$2:A231,A231,$C$2:C231,C231)),"")</f>
        <v>-77131.114538042937</v>
      </c>
      <c r="AU231" s="103">
        <v>63043</v>
      </c>
      <c r="AV231" s="452">
        <f>'Overall Metrics'!AS236</f>
        <v>0</v>
      </c>
      <c r="AW231" s="450" t="str">
        <f t="shared" si="89"/>
        <v/>
      </c>
      <c r="AX231" s="453">
        <f>IFERROR(IF(R235=0,"-",AVERAGEIFS($AV$2:AV231,$A$2:A231,$A231,$F$2:F231,"&lt;="&amp;$F231)-AVERAGEIFS($AU$2:AU231,$A$2:A231,$A231,$F$2:F231,"&lt;="&amp;$F231)),"")</f>
        <v>-75819.227272727279</v>
      </c>
      <c r="AY231" s="453">
        <f>IFERROR(IF(R235=0,"-",AVERAGEIFS($AV$2:AV231,$A$2:A231,A231,$C$2:C231,C231)-AVERAGEIFS($AU$2:AU231,$A$2:A231,A231,$C$2:C231,C231)),"")</f>
        <v>-77911.777777777781</v>
      </c>
      <c r="AZ231" s="103">
        <v>153416</v>
      </c>
      <c r="BA231" s="449">
        <f>'Glass Metrics'!AC236</f>
        <v>157042</v>
      </c>
      <c r="BB231" s="450">
        <f t="shared" si="90"/>
        <v>2.3635083694008463E-2</v>
      </c>
      <c r="BC231" s="450">
        <f>IFERROR(IF(R231=0,"-",AVERAGEIFS($BA$2:BA231,$A$2:A231,$A231,$F$2:F231,"&lt;="&amp;$F231)/AVERAGEIFS($AZ$2:AZ231,$A$2:A231,$A231,$F$2:F231,"&lt;="&amp;$F231)-1),"")</f>
        <v>2.230723675841606E-2</v>
      </c>
      <c r="BD231" s="269">
        <f>IFERROR(IF(R231=0,"-",AVERAGEIFS($BA$2:BA231,$A$2:A231,A231,$C$2:C231,C231)/AVERAGEIFS($AZ$2:AZ231,$A$2:A231,A231,$C$2:C231,C231)-1),"")</f>
        <v>7.5734590689160441E-3</v>
      </c>
    </row>
    <row r="232" spans="1:56" ht="16.350000000000001" customHeight="1">
      <c r="A232" s="175">
        <f t="shared" si="69"/>
        <v>2025</v>
      </c>
      <c r="B232" s="447" t="str">
        <f t="shared" si="70"/>
        <v>23</v>
      </c>
      <c r="C232" s="447" t="str">
        <f t="array" ref="C232">_xlfn.IFS(_xlfn.NUMBERVALUE(B232)&lt;=13,"Q1",AND(_xlfn.NUMBERVALUE(B232)&gt;13,_xlfn.NUMBERVALUE(B232)&lt;=26),"Q2", AND(_xlfn.NUMBERVALUE(B232)&gt;26,_xlfn.NUMBERVALUE(B232)&lt;=39),"Q3",_xlfn.NUMBERVALUE(B232)&gt;39,"Q4")</f>
        <v>Q2</v>
      </c>
      <c r="D232" s="448">
        <f t="shared" si="91"/>
        <v>45472</v>
      </c>
      <c r="E232" s="448">
        <f t="shared" si="71"/>
        <v>45478</v>
      </c>
      <c r="F232" s="79">
        <v>202423</v>
      </c>
      <c r="G232" s="103">
        <v>85610</v>
      </c>
      <c r="H232" s="429">
        <v>51833</v>
      </c>
      <c r="I232" s="429">
        <v>87218</v>
      </c>
      <c r="J232" s="214">
        <f t="shared" si="72"/>
        <v>224661</v>
      </c>
      <c r="K232" s="103">
        <v>51525</v>
      </c>
      <c r="L232" s="429">
        <v>83652</v>
      </c>
      <c r="M232" s="429">
        <v>84976</v>
      </c>
      <c r="N232" s="214">
        <f t="shared" si="73"/>
        <v>220153</v>
      </c>
      <c r="O232" s="449">
        <f>'Overall Metrics'!L237</f>
        <v>86899.999999999985</v>
      </c>
      <c r="P232" s="449">
        <f>'Overall Metrics'!M237</f>
        <v>99114</v>
      </c>
      <c r="Q232" s="449">
        <f>'Overall Metrics'!N237</f>
        <v>49907</v>
      </c>
      <c r="R232" s="449">
        <f t="shared" si="74"/>
        <v>235921</v>
      </c>
      <c r="S232" s="180">
        <f t="shared" si="75"/>
        <v>6616220.5500000007</v>
      </c>
      <c r="T232" s="449">
        <f t="shared" si="76"/>
        <v>5128828</v>
      </c>
      <c r="U232" s="449">
        <f t="shared" si="77"/>
        <v>5134496</v>
      </c>
      <c r="V232" s="450">
        <f t="shared" si="78"/>
        <v>0.2900063230819987</v>
      </c>
      <c r="W232" s="450">
        <f>IF(R232=0,"-",SUMIFS($R$2:R232,$A$2:A232,A232,$C$2:C232,C232)/SUMIFS($J$2:J232,$A$2:A232,A232,$C$2:C232,C232)-1)</f>
        <v>0.22683967539226502</v>
      </c>
      <c r="X232" s="450">
        <f t="shared" si="79"/>
        <v>0.28858227759842459</v>
      </c>
      <c r="Y232" s="450">
        <f>IFERROR(IF(R232=0,"-",SUMIFS($R$2:R232,$A$2:A232,A232,$C$2:C232,C232)/SUMIFS($N$2:N232,$A$2:A232,A232,$C$2:C232,C232)-1),"")</f>
        <v>0.21210349089135083</v>
      </c>
      <c r="Z232" s="269">
        <f>IF(R232=0,"",(S232/VLOOKUP(_xlfn.NUMBERVALUE(_xlfn.CONCAT(LEFT(F232,4),52)),$F$2:T439,COLUMNS($F$2:T439),FALSE)))</f>
        <v>0.56326327568391943</v>
      </c>
      <c r="AA232" s="269">
        <f>IFERROR(IF(R232=0,"",(S232/VLOOKUP(_xlfn.NUMBERVALUE(_xlfn.CONCAT(LEFT(F232,4),52)),$F$2:U439,COLUMNS($F$2:U439),FALSE))),"")</f>
        <v>0.56876556026139313</v>
      </c>
      <c r="AB232" s="268">
        <f t="shared" si="80"/>
        <v>1.5068333138651857E-2</v>
      </c>
      <c r="AC232" s="450">
        <f t="shared" si="81"/>
        <v>0.91217949954662081</v>
      </c>
      <c r="AD232" s="450">
        <f t="shared" si="82"/>
        <v>-0.42779013506386299</v>
      </c>
      <c r="AE232" s="269">
        <f t="shared" si="83"/>
        <v>5.0119958515274066E-2</v>
      </c>
      <c r="AF232" s="268">
        <f t="shared" si="84"/>
        <v>0.68655992236778229</v>
      </c>
      <c r="AG232" s="450">
        <f t="shared" si="85"/>
        <v>0.1848371826136852</v>
      </c>
      <c r="AH232" s="450">
        <f t="shared" si="86"/>
        <v>-0.41269299566936546</v>
      </c>
      <c r="AI232" s="269">
        <f t="shared" si="87"/>
        <v>7.162291678968713E-2</v>
      </c>
      <c r="AJ232" s="450">
        <f>IF(O232=0,"-",SUMIFS($O$2:O232,$A$2:A232,$A232,$F$2:F232,"&lt;="&amp;$F232)/SUMIFS($G$2:G232,$A$2:A232,$A232,$F$2:F232,"&lt;="&amp;$F232)-1)</f>
        <v>0.44525595426298503</v>
      </c>
      <c r="AK232" s="450">
        <f>IF(P232=0,"-",SUMIFS($P$2:P232,$A$2:A232,$A232,$F$2:F232,"&lt;="&amp;$F232)/SUMIFS($H$2:H232,$A$2:A232,$A232,$F$2:F232,"&lt;="&amp;$F232)-1)</f>
        <v>0.64437045127541603</v>
      </c>
      <c r="AL232" s="450">
        <f>IF(Q232=0,"-",SUMIFS($Q$2:Q232,$A$2:A232,$A232,$F$2:F232,"&lt;="&amp;$F232)/SUMIFS($I$2:I232,$A$2:A232,$A232,$F$2:F232,"&lt;="&amp;$F232)-1)</f>
        <v>-0.17447224309628462</v>
      </c>
      <c r="AM232" s="450">
        <f>IFERROR(IF(O232=0,"-",SUMIFS($O$2:O232,$A$2:A232,$A232,$F$2:F232,"&lt;="&amp;$F232)/SUMIFS($K$2:K232,$A$2:A232,$A232,$F$2:F232,"&lt;="&amp;$F232)-1),"")</f>
        <v>0.47778619408231937</v>
      </c>
      <c r="AN232" s="450">
        <f>IFERROR(IF(P232=0,"-",SUMIFS($P$2:P232,$A$2:A232,$A232,$F$2:F232,"&lt;="&amp;$F232)/SUMIFS($L$2:L232,$A$2:A232,$A232,$F$2:F232,"&lt;="&amp;$F232)-1),"")</f>
        <v>0.54703569329424218</v>
      </c>
      <c r="AO232" s="450">
        <f>IFERROR(IF(Q232=0,"-",SUMIFS($Q$2:Q232,$A$2:A232,$A232,$F$2:F232,"&lt;="&amp;$F232)/SUMIFS($M$2:M232,$A$2:A232,$A232,$F$2:F232,"&lt;="&amp;$F232)-1),"")</f>
        <v>-0.14664100992095186</v>
      </c>
      <c r="AP232" s="103">
        <v>69114</v>
      </c>
      <c r="AQ232" s="452">
        <f>'Overall Metrics'!AO237</f>
        <v>0.17211226669666904</v>
      </c>
      <c r="AR232" s="450">
        <f t="shared" si="88"/>
        <v>-69113.827887733307</v>
      </c>
      <c r="AS232" s="453">
        <f>IFERROR(IF(R233=0,"-",AVERAGEIFS($AQ$2:AQ232,$A$2:A232,$A232,$F$2:F232,"&lt;="&amp;$F232)-AVERAGEIFS($AP$2:AP232,$A$2:A232,$A232,$F$2:F232,"&lt;="&amp;$F232)),"")</f>
        <v>-76037.825913407563</v>
      </c>
      <c r="AT232" s="390">
        <f>IFERROR(IF(R233=0,"-",AVERAGEIFS($AQ$2:AQ232,$A$2:A232,A232,$C$2:C232,C232)-AVERAGEIFS($AP$2:AP232,$A$2:A232,A232,$C$2:C232,C232)),"")</f>
        <v>-76329.385873011968</v>
      </c>
      <c r="AU232" s="103">
        <v>76053</v>
      </c>
      <c r="AV232" s="452">
        <f>'Overall Metrics'!AS237</f>
        <v>0</v>
      </c>
      <c r="AW232" s="450" t="str">
        <f t="shared" si="89"/>
        <v/>
      </c>
      <c r="AX232" s="453">
        <f>IFERROR(IF(R236=0,"-",AVERAGEIFS($AV$2:AV232,$A$2:A232,$A232,$F$2:F232,"&lt;="&amp;$F232)-AVERAGEIFS($AU$2:AU232,$A$2:A232,$A232,$F$2:F232,"&lt;="&amp;$F232)),"")</f>
        <v>-75829.391304347824</v>
      </c>
      <c r="AY232" s="453">
        <f>IFERROR(IF(R236=0,"-",AVERAGEIFS($AV$2:AV232,$A$2:A232,A232,$C$2:C232,C232)-AVERAGEIFS($AU$2:AU232,$A$2:A232,A232,$C$2:C232,C232)),"")</f>
        <v>-77725.899999999994</v>
      </c>
      <c r="AZ232" s="103">
        <v>153885</v>
      </c>
      <c r="BA232" s="449">
        <f>'Glass Metrics'!AC237</f>
        <v>135127</v>
      </c>
      <c r="BB232" s="450">
        <f t="shared" si="90"/>
        <v>-0.121896221204146</v>
      </c>
      <c r="BC232" s="450">
        <f>IFERROR(IF(R232=0,"-",AVERAGEIFS($BA$2:BA232,$A$2:A232,$A232,$F$2:F232,"&lt;="&amp;$F232)/AVERAGEIFS($AZ$2:AZ232,$A$2:A232,$A232,$F$2:F232,"&lt;="&amp;$F232)-1),"")</f>
        <v>1.5856173174540134E-2</v>
      </c>
      <c r="BD232" s="269">
        <f>IFERROR(IF(R232=0,"-",AVERAGEIFS($BA$2:BA232,$A$2:A232,A232,$C$2:C232,C232)/AVERAGEIFS($AZ$2:AZ232,$A$2:A232,A232,$C$2:C232,C232)-1),"")</f>
        <v>-5.4348713200847998E-3</v>
      </c>
    </row>
    <row r="233" spans="1:56" ht="16.350000000000001" customHeight="1">
      <c r="A233" s="175">
        <f t="shared" si="69"/>
        <v>2025</v>
      </c>
      <c r="B233" s="447" t="str">
        <f t="shared" si="70"/>
        <v>24</v>
      </c>
      <c r="C233" s="447" t="str">
        <f t="array" ref="C233">_xlfn.IFS(_xlfn.NUMBERVALUE(B233)&lt;=13,"Q1",AND(_xlfn.NUMBERVALUE(B233)&gt;13,_xlfn.NUMBERVALUE(B233)&lt;=26),"Q2", AND(_xlfn.NUMBERVALUE(B233)&gt;26,_xlfn.NUMBERVALUE(B233)&lt;=39),"Q3",_xlfn.NUMBERVALUE(B233)&gt;39,"Q4")</f>
        <v>Q2</v>
      </c>
      <c r="D233" s="448">
        <f t="shared" si="91"/>
        <v>45479</v>
      </c>
      <c r="E233" s="448">
        <f t="shared" si="71"/>
        <v>45485</v>
      </c>
      <c r="F233" s="79">
        <v>202424</v>
      </c>
      <c r="G233" s="103">
        <v>98608</v>
      </c>
      <c r="H233" s="429">
        <v>55464</v>
      </c>
      <c r="I233" s="429">
        <v>82852</v>
      </c>
      <c r="J233" s="214">
        <f t="shared" si="72"/>
        <v>236924</v>
      </c>
      <c r="K233" s="103">
        <v>54672</v>
      </c>
      <c r="L233" s="429">
        <v>58102</v>
      </c>
      <c r="M233" s="429">
        <v>89742</v>
      </c>
      <c r="N233" s="214">
        <f t="shared" si="73"/>
        <v>202516</v>
      </c>
      <c r="O233" s="449">
        <f>'Overall Metrics'!L238</f>
        <v>103056.55000000002</v>
      </c>
      <c r="P233" s="449">
        <f>'Overall Metrics'!M238</f>
        <v>112446</v>
      </c>
      <c r="Q233" s="449">
        <f>'Overall Metrics'!N238</f>
        <v>65555.100000000006</v>
      </c>
      <c r="R233" s="449">
        <f t="shared" si="74"/>
        <v>281057.65000000002</v>
      </c>
      <c r="S233" s="180">
        <f t="shared" si="75"/>
        <v>6897278.2000000011</v>
      </c>
      <c r="T233" s="449">
        <f t="shared" si="76"/>
        <v>5365752</v>
      </c>
      <c r="U233" s="449">
        <f t="shared" si="77"/>
        <v>5337012</v>
      </c>
      <c r="V233" s="450">
        <f t="shared" si="78"/>
        <v>0.28542619934726776</v>
      </c>
      <c r="W233" s="450">
        <f>IF(R233=0,"-",SUMIFS($R$2:R233,$A$2:A233,A233,$C$2:C233,C233)/SUMIFS($J$2:J233,$A$2:A233,A233,$C$2:C233,C233)-1)</f>
        <v>0.22288845562577597</v>
      </c>
      <c r="X233" s="450">
        <f t="shared" si="79"/>
        <v>0.29234826528402058</v>
      </c>
      <c r="Y233" s="450">
        <f>IFERROR(IF(R233=0,"-",SUMIFS($R$2:R233,$A$2:A233,A233,$C$2:C233,C233)/SUMIFS($N$2:N233,$A$2:A233,A233,$C$2:C233,C233)-1),"")</f>
        <v>0.22678187397658078</v>
      </c>
      <c r="Z233" s="269">
        <f>IF(R233=0,"",(S233/VLOOKUP(_xlfn.NUMBERVALUE(_xlfn.CONCAT(LEFT(F233,4),52)),$F$2:T440,COLUMNS($F$2:T440),FALSE)))</f>
        <v>0.58719075080338545</v>
      </c>
      <c r="AA233" s="269">
        <f>IFERROR(IF(R233=0,"",(S233/VLOOKUP(_xlfn.NUMBERVALUE(_xlfn.CONCAT(LEFT(F233,4),52)),$F$2:U440,COLUMNS($F$2:U440),FALSE))),"")</f>
        <v>0.59292677292955309</v>
      </c>
      <c r="AB233" s="268">
        <f t="shared" si="80"/>
        <v>4.5113479636540887E-2</v>
      </c>
      <c r="AC233" s="450">
        <f t="shared" si="81"/>
        <v>1.02736910428386</v>
      </c>
      <c r="AD233" s="450">
        <f t="shared" si="82"/>
        <v>-0.20876864770916803</v>
      </c>
      <c r="AE233" s="269">
        <f t="shared" si="83"/>
        <v>0.18627766709999838</v>
      </c>
      <c r="AF233" s="268">
        <f t="shared" si="84"/>
        <v>0.88499689054726405</v>
      </c>
      <c r="AG233" s="450">
        <f t="shared" si="85"/>
        <v>0.93532064300712547</v>
      </c>
      <c r="AH233" s="450">
        <f t="shared" si="86"/>
        <v>-0.26951594571103821</v>
      </c>
      <c r="AI233" s="269">
        <f t="shared" si="87"/>
        <v>0.38782935669280461</v>
      </c>
      <c r="AJ233" s="450">
        <f>IF(O233=0,"-",SUMIFS($O$2:O233,$A$2:A233,$A233,$F$2:F233,"&lt;="&amp;$F233)/SUMIFS($G$2:G233,$A$2:A233,$A233,$F$2:F233,"&lt;="&amp;$F233)-1)</f>
        <v>0.42333723298236436</v>
      </c>
      <c r="AK233" s="450">
        <f>IF(P233=0,"-",SUMIFS($P$2:P233,$A$2:A233,$A233,$F$2:F233,"&lt;="&amp;$F233)/SUMIFS($H$2:H233,$A$2:A233,$A233,$F$2:F233,"&lt;="&amp;$F233)-1)</f>
        <v>0.65703798895007859</v>
      </c>
      <c r="AL233" s="450">
        <f>IF(Q233=0,"-",SUMIFS($Q$2:Q233,$A$2:A233,$A233,$F$2:F233,"&lt;="&amp;$F233)/SUMIFS($I$2:I233,$A$2:A233,$A233,$F$2:F233,"&lt;="&amp;$F233)-1)</f>
        <v>-0.17597676653491501</v>
      </c>
      <c r="AM233" s="450">
        <f>IFERROR(IF(O233=0,"-",SUMIFS($O$2:O233,$A$2:A233,$A233,$F$2:F233,"&lt;="&amp;$F233)/SUMIFS($K$2:K233,$A$2:A233,$A233,$F$2:F233,"&lt;="&amp;$F233)-1),"")</f>
        <v>0.49073907503621728</v>
      </c>
      <c r="AN233" s="450">
        <f>IFERROR(IF(P233=0,"-",SUMIFS($P$2:P233,$A$2:A233,$A233,$F$2:F233,"&lt;="&amp;$F233)/SUMIFS($L$2:L233,$A$2:A233,$A233,$F$2:F233,"&lt;="&amp;$F233)-1),"")</f>
        <v>0.55969860647028424</v>
      </c>
      <c r="AO233" s="450">
        <f>IFERROR(IF(Q233=0,"-",SUMIFS($Q$2:Q233,$A$2:A233,$A233,$F$2:F233,"&lt;="&amp;$F233)/SUMIFS($M$2:M233,$A$2:A233,$A233,$F$2:F233,"&lt;="&amp;$F233)-1),"")</f>
        <v>-0.15264489551907245</v>
      </c>
      <c r="AP233" s="103">
        <v>87685</v>
      </c>
      <c r="AQ233" s="452">
        <f>'Overall Metrics'!AO238</f>
        <v>0.47795947490563301</v>
      </c>
      <c r="AR233" s="450">
        <f t="shared" si="88"/>
        <v>-87684.522040525088</v>
      </c>
      <c r="AS233" s="453">
        <f>IFERROR(IF(R234=0,"-",AVERAGEIFS($AQ$2:AQ233,$A$2:A233,$A233,$F$2:F233,"&lt;="&amp;$F233)-AVERAGEIFS($AP$2:AP233,$A$2:A233,$A233,$F$2:F233,"&lt;="&amp;$F233)),"")</f>
        <v>-76523.104918704135</v>
      </c>
      <c r="AT233" s="390">
        <f>IFERROR(IF(R234=0,"-",AVERAGEIFS($AQ$2:AQ233,$A$2:A233,A233,$C$2:C233,C233)-AVERAGEIFS($AP$2:AP233,$A$2:A233,A233,$C$2:C233,C233)),"")</f>
        <v>-77361.670979149538</v>
      </c>
      <c r="AU233" s="103">
        <v>53818</v>
      </c>
      <c r="AV233" s="452">
        <f>'Overall Metrics'!AS238</f>
        <v>0</v>
      </c>
      <c r="AW233" s="450" t="str">
        <f t="shared" si="89"/>
        <v/>
      </c>
      <c r="AX233" s="453">
        <f>IFERROR(IF(R237=0,"-",AVERAGEIFS($AV$2:AV233,$A$2:A233,$A233,$F$2:F233,"&lt;="&amp;$F233)-AVERAGEIFS($AU$2:AU233,$A$2:A233,$A233,$F$2:F233,"&lt;="&amp;$F233)),"")</f>
        <v>-74912.25</v>
      </c>
      <c r="AY233" s="453">
        <f>IFERROR(IF(R237=0,"-",AVERAGEIFS($AV$2:AV233,$A$2:A233,A233,$C$2:C233,C233)-AVERAGEIFS($AU$2:AU233,$A$2:A233,A233,$C$2:C233,C233)),"")</f>
        <v>-75552.454545454544</v>
      </c>
      <c r="AZ233" s="103">
        <v>157042</v>
      </c>
      <c r="BA233" s="449">
        <f>'Glass Metrics'!AC238</f>
        <v>134009</v>
      </c>
      <c r="BB233" s="450">
        <f t="shared" si="90"/>
        <v>-0.14666777040536927</v>
      </c>
      <c r="BC233" s="450">
        <f>IFERROR(IF(R233=0,"-",AVERAGEIFS($BA$2:BA233,$A$2:A233,$A233,$F$2:F233,"&lt;="&amp;$F233)/AVERAGEIFS($AZ$2:AZ233,$A$2:A233,$A233,$F$2:F233,"&lt;="&amp;$F233)-1),"")</f>
        <v>8.7603189523424163E-3</v>
      </c>
      <c r="BD233" s="269">
        <f>IFERROR(IF(R233=0,"-",AVERAGEIFS($BA$2:BA233,$A$2:A233,A233,$C$2:C233,C233)/AVERAGEIFS($AZ$2:AZ233,$A$2:A233,A233,$C$2:C233,C233)-1),"")</f>
        <v>-1.85694582541025E-2</v>
      </c>
    </row>
    <row r="234" spans="1:56" ht="16.350000000000001" customHeight="1">
      <c r="A234" s="175">
        <f t="shared" si="69"/>
        <v>2025</v>
      </c>
      <c r="B234" s="447" t="str">
        <f t="shared" si="70"/>
        <v>25</v>
      </c>
      <c r="C234" s="447" t="str">
        <f t="array" ref="C234">_xlfn.IFS(_xlfn.NUMBERVALUE(B234)&lt;=13,"Q1",AND(_xlfn.NUMBERVALUE(B234)&gt;13,_xlfn.NUMBERVALUE(B234)&lt;=26),"Q2", AND(_xlfn.NUMBERVALUE(B234)&gt;26,_xlfn.NUMBERVALUE(B234)&lt;=39),"Q3",_xlfn.NUMBERVALUE(B234)&gt;39,"Q4")</f>
        <v>Q2</v>
      </c>
      <c r="D234" s="448">
        <f t="shared" si="91"/>
        <v>45486</v>
      </c>
      <c r="E234" s="448">
        <f t="shared" si="71"/>
        <v>45492</v>
      </c>
      <c r="F234" s="79">
        <v>202425</v>
      </c>
      <c r="G234" s="103">
        <v>68402</v>
      </c>
      <c r="H234" s="429">
        <v>84105</v>
      </c>
      <c r="I234" s="429">
        <v>78217</v>
      </c>
      <c r="J234" s="214">
        <f t="shared" si="72"/>
        <v>230724</v>
      </c>
      <c r="K234" s="103">
        <v>78231</v>
      </c>
      <c r="L234" s="429">
        <v>92722</v>
      </c>
      <c r="M234" s="429">
        <v>66507</v>
      </c>
      <c r="N234" s="214">
        <f t="shared" si="73"/>
        <v>237460</v>
      </c>
      <c r="O234" s="449">
        <f>'Overall Metrics'!L239</f>
        <v>96177.950000000012</v>
      </c>
      <c r="P234" s="449">
        <f>'Overall Metrics'!M239</f>
        <v>107716</v>
      </c>
      <c r="Q234" s="449">
        <f>'Overall Metrics'!N239</f>
        <v>57710.900000000009</v>
      </c>
      <c r="R234" s="449">
        <f t="shared" si="74"/>
        <v>261604.85000000003</v>
      </c>
      <c r="S234" s="180">
        <f t="shared" si="75"/>
        <v>7158883.0500000007</v>
      </c>
      <c r="T234" s="449">
        <f t="shared" si="76"/>
        <v>5596476</v>
      </c>
      <c r="U234" s="449">
        <f t="shared" si="77"/>
        <v>5574472</v>
      </c>
      <c r="V234" s="450">
        <f t="shared" si="78"/>
        <v>0.27917694098929413</v>
      </c>
      <c r="W234" s="450">
        <f>IF(R234=0,"-",SUMIFS($R$2:R234,$A$2:A234,A234,$C$2:C234,C234)/SUMIFS($J$2:J234,$A$2:A234,A234,$C$2:C234,C234)-1)</f>
        <v>0.21517327077527537</v>
      </c>
      <c r="X234" s="450">
        <f t="shared" si="79"/>
        <v>0.28422621012357774</v>
      </c>
      <c r="Y234" s="450">
        <f>IFERROR(IF(R234=0,"-",SUMIFS($R$2:R234,$A$2:A234,A234,$C$2:C234,C234)/SUMIFS($N$2:N234,$A$2:A234,A234,$C$2:C234,C234)-1),"")</f>
        <v>0.21562201109721157</v>
      </c>
      <c r="Z234" s="269">
        <f>IF(R234=0,"",(S234/VLOOKUP(_xlfn.NUMBERVALUE(_xlfn.CONCAT(LEFT(F234,4),52)),$F$2:T441,COLUMNS($F$2:T441),FALSE)))</f>
        <v>0.60946213725917708</v>
      </c>
      <c r="AA234" s="269">
        <f>IFERROR(IF(R234=0,"",(S234/VLOOKUP(_xlfn.NUMBERVALUE(_xlfn.CONCAT(LEFT(F234,4),52)),$F$2:U441,COLUMNS($F$2:U441),FALSE))),"")</f>
        <v>0.61541571929294903</v>
      </c>
      <c r="AB234" s="268">
        <f t="shared" si="80"/>
        <v>0.40606926698049772</v>
      </c>
      <c r="AC234" s="450">
        <f t="shared" si="81"/>
        <v>0.2807324178110695</v>
      </c>
      <c r="AD234" s="450">
        <f t="shared" si="82"/>
        <v>-0.26216934937417691</v>
      </c>
      <c r="AE234" s="269">
        <f t="shared" si="83"/>
        <v>0.13384324994365571</v>
      </c>
      <c r="AF234" s="268">
        <f t="shared" si="84"/>
        <v>0.22940969692321467</v>
      </c>
      <c r="AG234" s="450">
        <f t="shared" si="85"/>
        <v>0.16170919522874838</v>
      </c>
      <c r="AH234" s="450">
        <f t="shared" si="86"/>
        <v>-0.13225825852917727</v>
      </c>
      <c r="AI234" s="269">
        <f t="shared" si="87"/>
        <v>0.10167965130969447</v>
      </c>
      <c r="AJ234" s="450">
        <f>IF(O234=0,"-",SUMIFS($O$2:O234,$A$2:A234,$A234,$F$2:F234,"&lt;="&amp;$F234)/SUMIFS($G$2:G234,$A$2:A234,$A234,$F$2:F234,"&lt;="&amp;$F234)-1)</f>
        <v>0.42270510937811023</v>
      </c>
      <c r="AK234" s="450">
        <f>IF(P234=0,"-",SUMIFS($P$2:P234,$A$2:A234,$A234,$F$2:F234,"&lt;="&amp;$F234)/SUMIFS($H$2:H234,$A$2:A234,$A234,$F$2:F234,"&lt;="&amp;$F234)-1)</f>
        <v>0.63906612001998808</v>
      </c>
      <c r="AL234" s="450">
        <f>IF(Q234=0,"-",SUMIFS($Q$2:Q234,$A$2:A234,$A234,$F$2:F234,"&lt;="&amp;$F234)/SUMIFS($I$2:I234,$A$2:A234,$A234,$F$2:F234,"&lt;="&amp;$F234)-1)</f>
        <v>-0.17940440455708351</v>
      </c>
      <c r="AM234" s="450">
        <f>IFERROR(IF(O234=0,"-",SUMIFS($O$2:O234,$A$2:A234,$A234,$F$2:F234,"&lt;="&amp;$F234)/SUMIFS($K$2:K234,$A$2:A234,$A234,$F$2:F234,"&lt;="&amp;$F234)-1),"")</f>
        <v>0.47936230975942662</v>
      </c>
      <c r="AN234" s="450">
        <f>IFERROR(IF(P234=0,"-",SUMIFS($P$2:P234,$A$2:A234,$A234,$F$2:F234,"&lt;="&amp;$F234)/SUMIFS($L$2:L234,$A$2:A234,$A234,$F$2:F234,"&lt;="&amp;$F234)-1),"")</f>
        <v>0.54001012637697121</v>
      </c>
      <c r="AO234" s="450">
        <f>IFERROR(IF(Q234=0,"-",SUMIFS($Q$2:Q234,$A$2:A234,$A234,$F$2:F234,"&lt;="&amp;$F234)/SUMIFS($M$2:M234,$A$2:A234,$A234,$F$2:F234,"&lt;="&amp;$F234)-1),"")</f>
        <v>-0.15193247223824824</v>
      </c>
      <c r="AP234" s="103">
        <v>59768</v>
      </c>
      <c r="AQ234" s="452">
        <f>'Overall Metrics'!AO239</f>
        <v>0.41461386777031883</v>
      </c>
      <c r="AR234" s="450">
        <f t="shared" si="88"/>
        <v>-59767.585386132232</v>
      </c>
      <c r="AS234" s="453">
        <f>IFERROR(IF(R235=0,"-",AVERAGEIFS($AQ$2:AQ234,$A$2:A234,$A234,$F$2:F234,"&lt;="&amp;$F234)-AVERAGEIFS($AP$2:AP234,$A$2:A234,$A234,$F$2:F234,"&lt;="&amp;$F234)),"")</f>
        <v>-75852.884137401255</v>
      </c>
      <c r="AT234" s="390">
        <f>IFERROR(IF(R235=0,"-",AVERAGEIFS($AQ$2:AQ234,$A$2:A234,A234,$C$2:C234,C234)-AVERAGEIFS($AP$2:AP234,$A$2:A234,A234,$C$2:C234,C234)),"")</f>
        <v>-75895.497179731421</v>
      </c>
      <c r="AU234" s="103">
        <v>75195</v>
      </c>
      <c r="AV234" s="452">
        <f>'Overall Metrics'!AS239</f>
        <v>0</v>
      </c>
      <c r="AW234" s="450" t="str">
        <f t="shared" si="89"/>
        <v/>
      </c>
      <c r="AX234" s="453">
        <f>IFERROR(IF(R238=0,"-",AVERAGEIFS($AV$2:AV234,$A$2:A234,$A234,$F$2:F234,"&lt;="&amp;$F234)-AVERAGEIFS($AU$2:AU234,$A$2:A234,$A234,$F$2:F234,"&lt;="&amp;$F234)),"")</f>
        <v>-74923.56</v>
      </c>
      <c r="AY234" s="453">
        <f>IFERROR(IF(R238=0,"-",AVERAGEIFS($AV$2:AV234,$A$2:A234,A234,$C$2:C234,C234)-AVERAGEIFS($AU$2:AU234,$A$2:A234,A234,$C$2:C234,C234)),"")</f>
        <v>-75522.666666666672</v>
      </c>
      <c r="AZ234" s="103">
        <v>115674</v>
      </c>
      <c r="BA234" s="449">
        <f>'Glass Metrics'!AC239</f>
        <v>157428</v>
      </c>
      <c r="BB234" s="450">
        <f t="shared" si="90"/>
        <v>0.36096270553451948</v>
      </c>
      <c r="BC234" s="450">
        <f>IFERROR(IF(R234=0,"-",AVERAGEIFS($BA$2:BA234,$A$2:A234,$A234,$F$2:F234,"&lt;="&amp;$F234)/AVERAGEIFS($AZ$2:AZ234,$A$2:A234,$A234,$F$2:F234,"&lt;="&amp;$F234)-1),"")</f>
        <v>1.9734012107499588E-2</v>
      </c>
      <c r="BD234" s="269">
        <f>IFERROR(IF(R234=0,"-",AVERAGEIFS($BA$2:BA234,$A$2:A234,A234,$C$2:C234,C234)/AVERAGEIFS($AZ$2:AZ234,$A$2:A234,A234,$C$2:C234,C234)-1),"")</f>
        <v>5.7623231523240559E-3</v>
      </c>
    </row>
    <row r="235" spans="1:56" ht="16.350000000000001" customHeight="1">
      <c r="A235" s="175">
        <f t="shared" si="69"/>
        <v>2025</v>
      </c>
      <c r="B235" s="447" t="str">
        <f t="shared" si="70"/>
        <v>26</v>
      </c>
      <c r="C235" s="447" t="str">
        <f t="array" ref="C235">_xlfn.IFS(_xlfn.NUMBERVALUE(B235)&lt;=13,"Q1",AND(_xlfn.NUMBERVALUE(B235)&gt;13,_xlfn.NUMBERVALUE(B235)&lt;=26),"Q2", AND(_xlfn.NUMBERVALUE(B235)&gt;26,_xlfn.NUMBERVALUE(B235)&lt;=39),"Q3",_xlfn.NUMBERVALUE(B235)&gt;39,"Q4")</f>
        <v>Q2</v>
      </c>
      <c r="D235" s="448">
        <f t="shared" si="91"/>
        <v>45493</v>
      </c>
      <c r="E235" s="448">
        <f t="shared" si="71"/>
        <v>45499</v>
      </c>
      <c r="F235" s="79">
        <v>202426</v>
      </c>
      <c r="G235" s="103">
        <v>76418</v>
      </c>
      <c r="H235" s="429">
        <v>67808</v>
      </c>
      <c r="I235" s="429">
        <v>52840</v>
      </c>
      <c r="J235" s="214">
        <f t="shared" si="72"/>
        <v>197066</v>
      </c>
      <c r="K235" s="103">
        <v>82466</v>
      </c>
      <c r="L235" s="429">
        <v>62482</v>
      </c>
      <c r="M235" s="429">
        <v>96374</v>
      </c>
      <c r="N235" s="214">
        <f t="shared" si="73"/>
        <v>241322</v>
      </c>
      <c r="O235" s="449">
        <f>'Overall Metrics'!L240</f>
        <v>110684</v>
      </c>
      <c r="P235" s="449">
        <f>'Overall Metrics'!M240</f>
        <v>121475</v>
      </c>
      <c r="Q235" s="449">
        <f>'Overall Metrics'!N240</f>
        <v>69524</v>
      </c>
      <c r="R235" s="449">
        <f t="shared" si="74"/>
        <v>301683</v>
      </c>
      <c r="S235" s="180">
        <f t="shared" si="75"/>
        <v>7460566.0500000007</v>
      </c>
      <c r="T235" s="449">
        <f t="shared" si="76"/>
        <v>5793542</v>
      </c>
      <c r="U235" s="449">
        <f t="shared" si="77"/>
        <v>5815794</v>
      </c>
      <c r="V235" s="450">
        <f t="shared" si="78"/>
        <v>0.28773832139302713</v>
      </c>
      <c r="W235" s="450">
        <f>IF(R235=0,"-",SUMIFS($R$2:R235,$A$2:A235,A235,$C$2:C235,C235)/SUMIFS($J$2:J235,$A$2:A235,A235,$C$2:C235,C235)-1)</f>
        <v>0.23692645994953132</v>
      </c>
      <c r="X235" s="450">
        <f t="shared" si="79"/>
        <v>0.28281126360390352</v>
      </c>
      <c r="Y235" s="450">
        <f>IFERROR(IF(R235=0,"-",SUMIFS($R$2:R235,$A$2:A235,A235,$C$2:C235,C235)/SUMIFS($N$2:N235,$A$2:A235,A235,$C$2:C235,C235)-1),"")</f>
        <v>0.21849005873413696</v>
      </c>
      <c r="Z235" s="269">
        <f>IF(R235=0,"",(S235/VLOOKUP(_xlfn.NUMBERVALUE(_xlfn.CONCAT(LEFT(F235,4),52)),$F$2:T442,COLUMNS($F$2:T442),FALSE)))</f>
        <v>0.63514552455166262</v>
      </c>
      <c r="AA235" s="269">
        <f>IFERROR(IF(R235=0,"",(S235/VLOOKUP(_xlfn.NUMBERVALUE(_xlfn.CONCAT(LEFT(F235,4),52)),$F$2:U442,COLUMNS($F$2:U442),FALSE))),"")</f>
        <v>0.64134999690954653</v>
      </c>
      <c r="AB235" s="268">
        <f t="shared" si="80"/>
        <v>0.44840220890366145</v>
      </c>
      <c r="AC235" s="450">
        <f t="shared" si="81"/>
        <v>0.79145528551203403</v>
      </c>
      <c r="AD235" s="450">
        <f t="shared" si="82"/>
        <v>0.31574564723694176</v>
      </c>
      <c r="AE235" s="269">
        <f t="shared" si="83"/>
        <v>0.53087290552403754</v>
      </c>
      <c r="AF235" s="268">
        <f t="shared" si="84"/>
        <v>0.34217738219387384</v>
      </c>
      <c r="AG235" s="450">
        <f t="shared" si="85"/>
        <v>0.9441599180564002</v>
      </c>
      <c r="AH235" s="450">
        <f t="shared" si="86"/>
        <v>-0.27860211260298418</v>
      </c>
      <c r="AI235" s="269">
        <f t="shared" si="87"/>
        <v>0.25012638715077773</v>
      </c>
      <c r="AJ235" s="450">
        <f>IF(O235=0,"-",SUMIFS($O$2:O235,$A$2:A235,$A235,$F$2:F235,"&lt;="&amp;$F235)/SUMIFS($G$2:G235,$A$2:A235,$A235,$F$2:F235,"&lt;="&amp;$F235)-1)</f>
        <v>0.42371474388966024</v>
      </c>
      <c r="AK235" s="450">
        <f>IF(P235=0,"-",SUMIFS($P$2:P235,$A$2:A235,$A235,$F$2:F235,"&lt;="&amp;$F235)/SUMIFS($H$2:H235,$A$2:A235,$A235,$F$2:F235,"&lt;="&amp;$F235)-1)</f>
        <v>0.64471623666920386</v>
      </c>
      <c r="AL235" s="450">
        <f>IF(Q235=0,"-",SUMIFS($Q$2:Q235,$A$2:A235,$A235,$F$2:F235,"&lt;="&amp;$F235)/SUMIFS($I$2:I235,$A$2:A235,$A235,$F$2:F235,"&lt;="&amp;$F235)-1)</f>
        <v>-0.16645021666455417</v>
      </c>
      <c r="AM235" s="450">
        <f>IFERROR(IF(O235=0,"-",SUMIFS($O$2:O235,$A$2:A235,$A235,$F$2:F235,"&lt;="&amp;$F235)/SUMIFS($K$2:K235,$A$2:A235,$A235,$F$2:F235,"&lt;="&amp;$F235)-1),"")</f>
        <v>0.47334300096782722</v>
      </c>
      <c r="AN235" s="450">
        <f>IFERROR(IF(P235=0,"-",SUMIFS($P$2:P235,$A$2:A235,$A235,$F$2:F235,"&lt;="&amp;$F235)/SUMIFS($L$2:L235,$A$2:A235,$A235,$F$2:F235,"&lt;="&amp;$F235)-1),"")</f>
        <v>0.55304820592783432</v>
      </c>
      <c r="AO235" s="450">
        <f>IFERROR(IF(Q235=0,"-",SUMIFS($Q$2:Q235,$A$2:A235,$A235,$F$2:F235,"&lt;="&amp;$F235)/SUMIFS($M$2:M235,$A$2:A235,$A235,$F$2:F235,"&lt;="&amp;$F235)-1),"")</f>
        <v>-0.15803773082901396</v>
      </c>
      <c r="AP235" s="103">
        <v>64659</v>
      </c>
      <c r="AQ235" s="452">
        <f>'Overall Metrics'!AO240</f>
        <v>0.28063537846936587</v>
      </c>
      <c r="AR235" s="450">
        <f t="shared" si="88"/>
        <v>-64658.719364621531</v>
      </c>
      <c r="AS235" s="453">
        <f>IFERROR(IF(R236=0,"-",AVERAGEIFS($AQ$2:AQ235,$A$2:A235,$A235,$F$2:F235,"&lt;="&amp;$F235)-AVERAGEIFS($AP$2:AP235,$A$2:A235,$A235,$F$2:F235,"&lt;="&amp;$F235)),"")</f>
        <v>-75422.33933844819</v>
      </c>
      <c r="AT235" s="390">
        <f>IFERROR(IF(R236=0,"-",AVERAGEIFS($AQ$2:AQ235,$A$2:A235,A235,$C$2:C235,C235)-AVERAGEIFS($AP$2:AP235,$A$2:A235,A235,$C$2:C235,C235)),"")</f>
        <v>-75031.129655492201</v>
      </c>
      <c r="AU235" s="103">
        <v>78760</v>
      </c>
      <c r="AV235" s="452">
        <f>'Overall Metrics'!AS240</f>
        <v>0</v>
      </c>
      <c r="AW235" s="450" t="str">
        <f t="shared" si="89"/>
        <v/>
      </c>
      <c r="AX235" s="453">
        <f>IFERROR(IF(R239=0,"-",AVERAGEIFS($AV$2:AV235,$A$2:A235,$A235,$F$2:F235,"&lt;="&amp;$F235)-AVERAGEIFS($AU$2:AU235,$A$2:A235,$A235,$F$2:F235,"&lt;="&amp;$F235)),"")</f>
        <v>-75071.11538461539</v>
      </c>
      <c r="AY235" s="453">
        <f>IFERROR(IF(R239=0,"-",AVERAGEIFS($AV$2:AV235,$A$2:A235,A235,$C$2:C235,C235)-AVERAGEIFS($AU$2:AU235,$A$2:A235,A235,$C$2:C235,C235)),"")</f>
        <v>-75771.692307692312</v>
      </c>
      <c r="AZ235" s="103">
        <v>158838</v>
      </c>
      <c r="BA235" s="449">
        <f>'Glass Metrics'!AC240</f>
        <v>147333</v>
      </c>
      <c r="BB235" s="450">
        <f t="shared" si="90"/>
        <v>-7.2432289502512015E-2</v>
      </c>
      <c r="BC235" s="450">
        <f>IFERROR(IF(R235=0,"-",AVERAGEIFS($BA$2:BA235,$A$2:A235,$A235,$F$2:F235,"&lt;="&amp;$F235)/AVERAGEIFS($AZ$2:AZ235,$A$2:A235,$A235,$F$2:F235,"&lt;="&amp;$F235)-1),"")</f>
        <v>1.595257338857925E-2</v>
      </c>
      <c r="BD235" s="269">
        <f>IFERROR(IF(R235=0,"-",AVERAGEIFS($BA$2:BA235,$A$2:A235,A235,$C$2:C235,C235)/AVERAGEIFS($AZ$2:AZ235,$A$2:A235,A235,$C$2:C235,C235)-1),"")</f>
        <v>-5.6440049003014803E-4</v>
      </c>
    </row>
    <row r="236" spans="1:56" ht="16.350000000000001" customHeight="1">
      <c r="A236" s="175">
        <f t="shared" si="69"/>
        <v>2025</v>
      </c>
      <c r="B236" s="447" t="str">
        <f t="shared" si="70"/>
        <v>27</v>
      </c>
      <c r="C236" s="447" t="str">
        <f t="array" ref="C236">_xlfn.IFS(_xlfn.NUMBERVALUE(B236)&lt;=13,"Q1",AND(_xlfn.NUMBERVALUE(B236)&gt;13,_xlfn.NUMBERVALUE(B236)&lt;=26),"Q2", AND(_xlfn.NUMBERVALUE(B236)&gt;26,_xlfn.NUMBERVALUE(B236)&lt;=39),"Q3",_xlfn.NUMBERVALUE(B236)&gt;39,"Q4")</f>
        <v>Q3</v>
      </c>
      <c r="D236" s="448">
        <f t="shared" si="91"/>
        <v>45500</v>
      </c>
      <c r="E236" s="448">
        <f t="shared" si="71"/>
        <v>45506</v>
      </c>
      <c r="F236" s="79">
        <v>202427</v>
      </c>
      <c r="G236" s="103">
        <v>86963</v>
      </c>
      <c r="H236" s="429">
        <v>83202</v>
      </c>
      <c r="I236" s="429">
        <v>85781</v>
      </c>
      <c r="J236" s="214">
        <f t="shared" si="72"/>
        <v>255946</v>
      </c>
      <c r="K236" s="103">
        <v>56520</v>
      </c>
      <c r="L236" s="429">
        <v>81315</v>
      </c>
      <c r="M236" s="429">
        <v>61279</v>
      </c>
      <c r="N236" s="214">
        <f t="shared" si="73"/>
        <v>199114</v>
      </c>
      <c r="O236" s="449">
        <f>'Overall Metrics'!L241</f>
        <v>82785.849999999991</v>
      </c>
      <c r="P236" s="449">
        <f>'Overall Metrics'!M241</f>
        <v>86771</v>
      </c>
      <c r="Q236" s="449">
        <f>'Overall Metrics'!N241</f>
        <v>57107.7</v>
      </c>
      <c r="R236" s="449">
        <f t="shared" si="74"/>
        <v>226664.55</v>
      </c>
      <c r="S236" s="180">
        <f t="shared" si="75"/>
        <v>7687230.6000000006</v>
      </c>
      <c r="T236" s="449">
        <f t="shared" si="76"/>
        <v>6049488</v>
      </c>
      <c r="U236" s="449">
        <f t="shared" si="77"/>
        <v>6014908</v>
      </c>
      <c r="V236" s="450">
        <f t="shared" si="78"/>
        <v>0.27072416707000668</v>
      </c>
      <c r="W236" s="450">
        <f>IF(R236=0,"-",SUMIFS($R$2:R236,$A$2:A236,A236,$C$2:C236,C236)/SUMIFS($J$2:J236,$A$2:A236,A236,$C$2:C236,C236)-1)</f>
        <v>-0.11440479632422473</v>
      </c>
      <c r="X236" s="450">
        <f t="shared" si="79"/>
        <v>0.2780296223982146</v>
      </c>
      <c r="Y236" s="450">
        <f>IFERROR(IF(R236=0,"-",SUMIFS($R$2:R236,$A$2:A236,A236,$C$2:C236,C236)/SUMIFS($N$2:N236,$A$2:A236,A236,$C$2:C236,C236)-1),"")</f>
        <v>0.13836571009572407</v>
      </c>
      <c r="Z236" s="269">
        <f>IF(R236=0,"",(S236/VLOOKUP(_xlfn.NUMBERVALUE(_xlfn.CONCAT(LEFT(F236,4),52)),$F$2:T443,COLUMNS($F$2:T443),FALSE)))</f>
        <v>0.65444231430490352</v>
      </c>
      <c r="AA236" s="269">
        <f>IFERROR(IF(R236=0,"",(S236/VLOOKUP(_xlfn.NUMBERVALUE(_xlfn.CONCAT(LEFT(F236,4),52)),$F$2:U443,COLUMNS($F$2:U443),FALSE))),"")</f>
        <v>0.66083528897287513</v>
      </c>
      <c r="AB236" s="268">
        <f t="shared" si="80"/>
        <v>-4.8033646493336302E-2</v>
      </c>
      <c r="AC236" s="450">
        <f t="shared" si="81"/>
        <v>4.2895603471070354E-2</v>
      </c>
      <c r="AD236" s="450">
        <f t="shared" si="82"/>
        <v>-0.33426166633636822</v>
      </c>
      <c r="AE236" s="269">
        <f t="shared" si="83"/>
        <v>-0.11440479632422473</v>
      </c>
      <c r="AF236" s="268">
        <f t="shared" si="84"/>
        <v>0.46471779900920018</v>
      </c>
      <c r="AG236" s="450">
        <f t="shared" si="85"/>
        <v>6.7097091557523303E-2</v>
      </c>
      <c r="AH236" s="450">
        <f t="shared" si="86"/>
        <v>-6.8070627784395987E-2</v>
      </c>
      <c r="AI236" s="269">
        <f t="shared" si="87"/>
        <v>0.13836571009572407</v>
      </c>
      <c r="AJ236" s="450">
        <f>IF(O236=0,"-",SUMIFS($O$2:O236,$A$2:A236,$A236,$F$2:F236,"&lt;="&amp;$F236)/SUMIFS($G$2:G236,$A$2:A236,$A236,$F$2:F236,"&lt;="&amp;$F236)-1)</f>
        <v>0.40352489855778551</v>
      </c>
      <c r="AK236" s="450">
        <f>IF(P236=0,"-",SUMIFS($P$2:P236,$A$2:A236,$A236,$F$2:F236,"&lt;="&amp;$F236)/SUMIFS($H$2:H236,$A$2:A236,$A236,$F$2:F236,"&lt;="&amp;$F236)-1)</f>
        <v>0.61852828116419545</v>
      </c>
      <c r="AL236" s="450">
        <f>IF(Q236=0,"-",SUMIFS($Q$2:Q236,$A$2:A236,$A236,$F$2:F236,"&lt;="&amp;$F236)/SUMIFS($I$2:I236,$A$2:A236,$A236,$F$2:F236,"&lt;="&amp;$F236)-1)</f>
        <v>-0.17328711137961517</v>
      </c>
      <c r="AM236" s="450">
        <f>IFERROR(IF(O236=0,"-",SUMIFS($O$2:O236,$A$2:A236,$A236,$F$2:F236,"&lt;="&amp;$F236)/SUMIFS($K$2:K236,$A$2:A236,$A236,$F$2:F236,"&lt;="&amp;$F236)-1),"")</f>
        <v>0.47309119327764049</v>
      </c>
      <c r="AN236" s="450">
        <f>IFERROR(IF(P236=0,"-",SUMIFS($P$2:P236,$A$2:A236,$A236,$F$2:F236,"&lt;="&amp;$F236)/SUMIFS($L$2:L236,$A$2:A236,$A236,$F$2:F236,"&lt;="&amp;$F236)-1),"")</f>
        <v>0.53346794773327511</v>
      </c>
      <c r="AO236" s="450">
        <f>IFERROR(IF(Q236=0,"-",SUMIFS($Q$2:Q236,$A$2:A236,$A236,$F$2:F236,"&lt;="&amp;$F236)/SUMIFS($M$2:M236,$A$2:A236,$A236,$F$2:F236,"&lt;="&amp;$F236)-1),"")</f>
        <v>-0.15536252475360435</v>
      </c>
      <c r="AP236" s="103">
        <v>55524</v>
      </c>
      <c r="AQ236" s="452">
        <f>'Overall Metrics'!AO241</f>
        <v>0.23433635450932497</v>
      </c>
      <c r="AR236" s="450">
        <f t="shared" si="88"/>
        <v>-55523.765663645492</v>
      </c>
      <c r="AS236" s="453">
        <f>IFERROR(IF(R237=0,"-",AVERAGEIFS($AQ$2:AQ236,$A$2:A236,$A236,$F$2:F236,"&lt;="&amp;$F236)-AVERAGEIFS($AP$2:AP236,$A$2:A236,$A236,$F$2:F236,"&lt;="&amp;$F236)),"")</f>
        <v>-74685.355128270312</v>
      </c>
      <c r="AT236" s="390">
        <f>IFERROR(IF(R237=0,"-",AVERAGEIFS($AQ$2:AQ236,$A$2:A236,A236,$C$2:C236,C236)-AVERAGEIFS($AP$2:AP236,$A$2:A236,A236,$C$2:C236,C236)),"")</f>
        <v>-55523.765663645492</v>
      </c>
      <c r="AU236" s="103">
        <v>55389</v>
      </c>
      <c r="AV236" s="452">
        <f>'Overall Metrics'!AS241</f>
        <v>0</v>
      </c>
      <c r="AW236" s="450" t="str">
        <f t="shared" si="89"/>
        <v/>
      </c>
      <c r="AX236" s="453">
        <f>IFERROR(IF(R240=0,"-",AVERAGEIFS($AV$2:AV236,$A$2:A236,$A236,$F$2:F236,"&lt;="&amp;$F236)-AVERAGEIFS($AU$2:AU236,$A$2:A236,$A236,$F$2:F236,"&lt;="&amp;$F236)),"")</f>
        <v>-74342.148148148146</v>
      </c>
      <c r="AY236" s="453">
        <f>IFERROR(IF(R240=0,"-",AVERAGEIFS($AV$2:AV236,$A$2:A236,A236,$C$2:C236,C236)-AVERAGEIFS($AU$2:AU236,$A$2:A236,A236,$C$2:C236,C236)),"")</f>
        <v>-55389</v>
      </c>
      <c r="AZ236" s="103">
        <v>156918</v>
      </c>
      <c r="BA236" s="449">
        <f>'Glass Metrics'!AC241</f>
        <v>141078</v>
      </c>
      <c r="BB236" s="450">
        <f t="shared" si="90"/>
        <v>-0.10094444232019273</v>
      </c>
      <c r="BC236" s="450">
        <f>IFERROR(IF(R236=0,"-",AVERAGEIFS($BA$2:BA236,$A$2:A236,$A236,$F$2:F236,"&lt;="&amp;$F236)/AVERAGEIFS($AZ$2:AZ236,$A$2:A236,$A236,$F$2:F236,"&lt;="&amp;$F236)-1),"")</f>
        <v>1.1399013636168354E-2</v>
      </c>
      <c r="BD236" s="269">
        <f>IFERROR(IF(R236=0,"-",AVERAGEIFS($BA$2:BA236,$A$2:A236,A236,$C$2:C236,C236)/AVERAGEIFS($AZ$2:AZ236,$A$2:A236,A236,$C$2:C236,C236)-1),"")</f>
        <v>-0.10094444232019273</v>
      </c>
    </row>
    <row r="237" spans="1:56" ht="16.350000000000001" customHeight="1">
      <c r="A237" s="175">
        <f t="shared" si="69"/>
        <v>2025</v>
      </c>
      <c r="B237" s="447" t="str">
        <f t="shared" si="70"/>
        <v>28</v>
      </c>
      <c r="C237" s="447" t="str">
        <f t="array" ref="C237">_xlfn.IFS(_xlfn.NUMBERVALUE(B237)&lt;=13,"Q1",AND(_xlfn.NUMBERVALUE(B237)&gt;13,_xlfn.NUMBERVALUE(B237)&lt;=26),"Q2", AND(_xlfn.NUMBERVALUE(B237)&gt;26,_xlfn.NUMBERVALUE(B237)&lt;=39),"Q3",_xlfn.NUMBERVALUE(B237)&gt;39,"Q4")</f>
        <v>Q3</v>
      </c>
      <c r="D237" s="448">
        <f t="shared" si="91"/>
        <v>45507</v>
      </c>
      <c r="E237" s="448">
        <f t="shared" si="71"/>
        <v>45513</v>
      </c>
      <c r="F237" s="79">
        <v>202428</v>
      </c>
      <c r="G237" s="103">
        <v>92112</v>
      </c>
      <c r="H237" s="429">
        <v>66713</v>
      </c>
      <c r="I237" s="429">
        <v>96747</v>
      </c>
      <c r="J237" s="214">
        <f t="shared" si="72"/>
        <v>255572</v>
      </c>
      <c r="K237" s="103">
        <v>65727</v>
      </c>
      <c r="L237" s="429">
        <v>88520</v>
      </c>
      <c r="M237" s="429">
        <v>94507</v>
      </c>
      <c r="N237" s="214">
        <f t="shared" si="73"/>
        <v>248754</v>
      </c>
      <c r="O237" s="449">
        <f>'Overall Metrics'!L242</f>
        <v>107528.24999999999</v>
      </c>
      <c r="P237" s="449">
        <f>'Overall Metrics'!M242</f>
        <v>114403</v>
      </c>
      <c r="Q237" s="449">
        <f>'Overall Metrics'!N242</f>
        <v>72052.5</v>
      </c>
      <c r="R237" s="449">
        <f t="shared" si="74"/>
        <v>293983.75</v>
      </c>
      <c r="S237" s="180">
        <f t="shared" si="75"/>
        <v>7981214.3500000006</v>
      </c>
      <c r="T237" s="449">
        <f t="shared" si="76"/>
        <v>6305060</v>
      </c>
      <c r="U237" s="449">
        <f t="shared" si="77"/>
        <v>6263662</v>
      </c>
      <c r="V237" s="450">
        <f t="shared" si="78"/>
        <v>0.26584272790425478</v>
      </c>
      <c r="W237" s="450">
        <f>IF(R237=0,"-",SUMIFS($R$2:R237,$A$2:A237,A237,$C$2:C237,C237)/SUMIFS($J$2:J237,$A$2:A237,A237,$C$2:C237,C237)-1)</f>
        <v>1.7849420743746958E-2</v>
      </c>
      <c r="X237" s="450">
        <f t="shared" si="79"/>
        <v>0.27420897711274983</v>
      </c>
      <c r="Y237" s="450">
        <f>IFERROR(IF(R237=0,"-",SUMIFS($R$2:R237,$A$2:A237,A237,$C$2:C237,C237)/SUMIFS($N$2:N237,$A$2:A237,A237,$C$2:C237,C237)-1),"")</f>
        <v>0.16250390740128795</v>
      </c>
      <c r="Z237" s="269">
        <f>IF(R237=0,"",(S237/VLOOKUP(_xlfn.NUMBERVALUE(_xlfn.CONCAT(LEFT(F237,4),52)),$F$2:T444,COLUMNS($F$2:T444),FALSE)))</f>
        <v>0.67947023602719891</v>
      </c>
      <c r="AA237" s="269">
        <f>IFERROR(IF(R237=0,"",(S237/VLOOKUP(_xlfn.NUMBERVALUE(_xlfn.CONCAT(LEFT(F237,4),52)),$F$2:U444,COLUMNS($F$2:U444),FALSE))),"")</f>
        <v>0.68610769804885363</v>
      </c>
      <c r="AB237" s="268">
        <f t="shared" si="80"/>
        <v>0.16736418707660228</v>
      </c>
      <c r="AC237" s="450">
        <f t="shared" si="81"/>
        <v>0.71485317704195595</v>
      </c>
      <c r="AD237" s="450">
        <f t="shared" si="82"/>
        <v>-0.25524822475115505</v>
      </c>
      <c r="AE237" s="269">
        <f t="shared" si="83"/>
        <v>0.15029717652951025</v>
      </c>
      <c r="AF237" s="268">
        <f t="shared" si="84"/>
        <v>0.63598292938974832</v>
      </c>
      <c r="AG237" s="450">
        <f t="shared" si="85"/>
        <v>0.29239719837324896</v>
      </c>
      <c r="AH237" s="450">
        <f t="shared" si="86"/>
        <v>-0.23759615689843083</v>
      </c>
      <c r="AI237" s="269">
        <f t="shared" si="87"/>
        <v>0.18182521688093467</v>
      </c>
      <c r="AJ237" s="450">
        <f>IF(O237=0,"-",SUMIFS($O$2:O237,$A$2:A237,$A237,$F$2:F237,"&lt;="&amp;$F237)/SUMIFS($G$2:G237,$A$2:A237,$A237,$F$2:F237,"&lt;="&amp;$F237)-1)</f>
        <v>0.39328353711788311</v>
      </c>
      <c r="AK237" s="450">
        <f>IF(P237=0,"-",SUMIFS($P$2:P237,$A$2:A237,$A237,$F$2:F237,"&lt;="&amp;$F237)/SUMIFS($H$2:H237,$A$2:A237,$A237,$F$2:F237,"&lt;="&amp;$F237)-1)</f>
        <v>0.62177582661491049</v>
      </c>
      <c r="AL237" s="450">
        <f>IF(Q237=0,"-",SUMIFS($Q$2:Q237,$A$2:A237,$A237,$F$2:F237,"&lt;="&amp;$F237)/SUMIFS($I$2:I237,$A$2:A237,$A237,$F$2:F237,"&lt;="&amp;$F237)-1)</f>
        <v>-0.17688775973554205</v>
      </c>
      <c r="AM237" s="450">
        <f>IFERROR(IF(O237=0,"-",SUMIFS($O$2:O237,$A$2:A237,$A237,$F$2:F237,"&lt;="&amp;$F237)/SUMIFS($K$2:K237,$A$2:A237,$A237,$F$2:F237,"&lt;="&amp;$F237)-1),"")</f>
        <v>0.47843980208960901</v>
      </c>
      <c r="AN237" s="450">
        <f>IFERROR(IF(P237=0,"-",SUMIFS($P$2:P237,$A$2:A237,$A237,$F$2:F237,"&lt;="&amp;$F237)/SUMIFS($L$2:L237,$A$2:A237,$A237,$F$2:F237,"&lt;="&amp;$F237)-1),"")</f>
        <v>0.5233382226589387</v>
      </c>
      <c r="AO237" s="450">
        <f>IFERROR(IF(Q237=0,"-",SUMIFS($Q$2:Q237,$A$2:A237,$A237,$F$2:F237,"&lt;="&amp;$F237)/SUMIFS($M$2:M237,$A$2:A237,$A237,$F$2:F237,"&lt;="&amp;$F237)-1),"")</f>
        <v>-0.15896832857146836</v>
      </c>
      <c r="AP237" s="103">
        <v>81205</v>
      </c>
      <c r="AQ237" s="452">
        <f>'Overall Metrics'!AO242</f>
        <v>0.56598541626182186</v>
      </c>
      <c r="AR237" s="450">
        <f t="shared" si="88"/>
        <v>-81204.434014583734</v>
      </c>
      <c r="AS237" s="453">
        <f>IFERROR(IF(R238=0,"-",AVERAGEIFS($AQ$2:AQ237,$A$2:A237,$A237,$F$2:F237,"&lt;="&amp;$F237)-AVERAGEIFS($AP$2:AP237,$A$2:A237,$A237,$F$2:F237,"&lt;="&amp;$F237)),"")</f>
        <v>-74918.179374210085</v>
      </c>
      <c r="AT237" s="390">
        <f>IFERROR(IF(R238=0,"-",AVERAGEIFS($AQ$2:AQ237,$A$2:A237,A237,$C$2:C237,C237)-AVERAGEIFS($AP$2:AP237,$A$2:A237,A237,$C$2:C237,C237)),"")</f>
        <v>-68364.099839114613</v>
      </c>
      <c r="AU237" s="103">
        <v>97164</v>
      </c>
      <c r="AV237" s="452">
        <f>'Overall Metrics'!AS242</f>
        <v>0</v>
      </c>
      <c r="AW237" s="450" t="str">
        <f t="shared" si="89"/>
        <v/>
      </c>
      <c r="AX237" s="453">
        <f>IFERROR(IF(R241=0,"-",AVERAGEIFS($AV$2:AV237,$A$2:A237,$A237,$F$2:F237,"&lt;="&amp;$F237)-AVERAGEIFS($AU$2:AU237,$A$2:A237,$A237,$F$2:F237,"&lt;="&amp;$F237)),"")</f>
        <v>-75157.21428571429</v>
      </c>
      <c r="AY237" s="453">
        <f>IFERROR(IF(R241=0,"-",AVERAGEIFS($AV$2:AV237,$A$2:A237,A237,$C$2:C237,C237)-AVERAGEIFS($AU$2:AU237,$A$2:A237,A237,$C$2:C237,C237)),"")</f>
        <v>-76276.5</v>
      </c>
      <c r="AZ237" s="103">
        <v>137938</v>
      </c>
      <c r="BA237" s="449">
        <f>'Glass Metrics'!AC242</f>
        <v>109029</v>
      </c>
      <c r="BB237" s="450">
        <f t="shared" si="90"/>
        <v>-0.20957966622685553</v>
      </c>
      <c r="BC237" s="450">
        <f>IFERROR(IF(R237=0,"-",AVERAGEIFS($BA$2:BA237,$A$2:A237,$A237,$F$2:F237,"&lt;="&amp;$F237)/AVERAGEIFS($AZ$2:AZ237,$A$2:A237,$A237,$F$2:F237,"&lt;="&amp;$F237)-1),"")</f>
        <v>4.082789661445263E-3</v>
      </c>
      <c r="BD237" s="269">
        <f>IFERROR(IF(R237=0,"-",AVERAGEIFS($BA$2:BA237,$A$2:A237,A237,$C$2:C237,C237)/AVERAGEIFS($AZ$2:AZ237,$A$2:A237,A237,$C$2:C237,C237)-1),"")</f>
        <v>-0.15176560761863422</v>
      </c>
    </row>
    <row r="238" spans="1:56" ht="16.350000000000001" customHeight="1">
      <c r="A238" s="175">
        <f t="shared" si="69"/>
        <v>2025</v>
      </c>
      <c r="B238" s="447" t="str">
        <f t="shared" si="70"/>
        <v>29</v>
      </c>
      <c r="C238" s="447" t="str">
        <f t="array" ref="C238">_xlfn.IFS(_xlfn.NUMBERVALUE(B238)&lt;=13,"Q1",AND(_xlfn.NUMBERVALUE(B238)&gt;13,_xlfn.NUMBERVALUE(B238)&lt;=26),"Q2", AND(_xlfn.NUMBERVALUE(B238)&gt;26,_xlfn.NUMBERVALUE(B238)&lt;=39),"Q3",_xlfn.NUMBERVALUE(B238)&gt;39,"Q4")</f>
        <v>Q3</v>
      </c>
      <c r="D238" s="448">
        <f t="shared" si="91"/>
        <v>45514</v>
      </c>
      <c r="E238" s="448">
        <f t="shared" si="71"/>
        <v>45520</v>
      </c>
      <c r="F238" s="79">
        <v>202429</v>
      </c>
      <c r="G238" s="103">
        <v>89372</v>
      </c>
      <c r="H238" s="429">
        <v>53390</v>
      </c>
      <c r="I238" s="429">
        <v>89793</v>
      </c>
      <c r="J238" s="214">
        <f t="shared" si="72"/>
        <v>232555</v>
      </c>
      <c r="K238" s="103">
        <v>61528</v>
      </c>
      <c r="L238" s="429">
        <v>82187</v>
      </c>
      <c r="M238" s="429">
        <v>87546</v>
      </c>
      <c r="N238" s="214">
        <f t="shared" si="73"/>
        <v>231261</v>
      </c>
      <c r="O238" s="449">
        <f>'Overall Metrics'!L243</f>
        <v>102177.59999999999</v>
      </c>
      <c r="P238" s="449">
        <f>'Overall Metrics'!M243</f>
        <v>114028</v>
      </c>
      <c r="Q238" s="449">
        <f>'Overall Metrics'!N243</f>
        <v>61820.2</v>
      </c>
      <c r="R238" s="449">
        <f t="shared" si="74"/>
        <v>278025.8</v>
      </c>
      <c r="S238" s="180">
        <f t="shared" si="75"/>
        <v>8259240.1500000004</v>
      </c>
      <c r="T238" s="449">
        <f t="shared" si="76"/>
        <v>6537615</v>
      </c>
      <c r="U238" s="449">
        <f t="shared" si="77"/>
        <v>6494923</v>
      </c>
      <c r="V238" s="450">
        <f t="shared" si="78"/>
        <v>0.26334147085749171</v>
      </c>
      <c r="W238" s="450">
        <f>IF(R238=0,"-",SUMIFS($R$2:R238,$A$2:A238,A238,$C$2:C238,C238)/SUMIFS($J$2:J238,$A$2:A238,A238,$C$2:C238,C238)-1)</f>
        <v>7.3381375214528699E-2</v>
      </c>
      <c r="X238" s="450">
        <f t="shared" si="79"/>
        <v>0.27164558378906123</v>
      </c>
      <c r="Y238" s="450">
        <f>IFERROR(IF(R238=0,"-",SUMIFS($R$2:R238,$A$2:A238,A238,$C$2:C238,C238)/SUMIFS($N$2:N238,$A$2:A238,A238,$C$2:C238,C238)-1),"")</f>
        <v>0.17602708763725294</v>
      </c>
      <c r="Z238" s="269">
        <f>IF(R238=0,"",(S238/VLOOKUP(_xlfn.NUMBERVALUE(_xlfn.CONCAT(LEFT(F238,4),52)),$F$2:T445,COLUMNS($F$2:T445),FALSE)))</f>
        <v>0.70313959856570163</v>
      </c>
      <c r="AA238" s="269">
        <f>IFERROR(IF(R238=0,"",(S238/VLOOKUP(_xlfn.NUMBERVALUE(_xlfn.CONCAT(LEFT(F238,4),52)),$F$2:U445,COLUMNS($F$2:U445),FALSE))),"")</f>
        <v>0.71000827674164246</v>
      </c>
      <c r="AB238" s="268">
        <f t="shared" si="80"/>
        <v>0.14328425010070256</v>
      </c>
      <c r="AC238" s="450">
        <f t="shared" si="81"/>
        <v>1.1357557595055252</v>
      </c>
      <c r="AD238" s="450">
        <f t="shared" si="82"/>
        <v>-0.31152539730268514</v>
      </c>
      <c r="AE238" s="269">
        <f t="shared" si="83"/>
        <v>0.19552707961557481</v>
      </c>
      <c r="AF238" s="268">
        <f t="shared" si="84"/>
        <v>0.66066831361331402</v>
      </c>
      <c r="AG238" s="450">
        <f t="shared" si="85"/>
        <v>0.38742136834292529</v>
      </c>
      <c r="AH238" s="450">
        <f t="shared" si="86"/>
        <v>-0.29385465926484367</v>
      </c>
      <c r="AI238" s="269">
        <f t="shared" si="87"/>
        <v>0.20221654321307958</v>
      </c>
      <c r="AJ238" s="450">
        <f>IF(O238=0,"-",SUMIFS($O$2:O238,$A$2:A238,$A238,$F$2:F238,"&lt;="&amp;$F238)/SUMIFS($G$2:G238,$A$2:A238,$A238,$F$2:F238,"&lt;="&amp;$F238)-1)</f>
        <v>0.38318927329496422</v>
      </c>
      <c r="AK238" s="450">
        <f>IF(P238=0,"-",SUMIFS($P$2:P238,$A$2:A238,$A238,$F$2:F238,"&lt;="&amp;$F238)/SUMIFS($H$2:H238,$A$2:A238,$A238,$F$2:F238,"&lt;="&amp;$F238)-1)</f>
        <v>0.63527943023975064</v>
      </c>
      <c r="AL238" s="450">
        <f>IF(Q238=0,"-",SUMIFS($Q$2:Q238,$A$2:A238,$A238,$F$2:F238,"&lt;="&amp;$F238)/SUMIFS($I$2:I238,$A$2:A238,$A238,$F$2:F238,"&lt;="&amp;$F238)-1)</f>
        <v>-0.18216234233974815</v>
      </c>
      <c r="AM238" s="450">
        <f>IFERROR(IF(O238=0,"-",SUMIFS($O$2:O238,$A$2:A238,$A238,$F$2:F238,"&lt;="&amp;$F238)/SUMIFS($K$2:K238,$A$2:A238,$A238,$F$2:F238,"&lt;="&amp;$F238)-1),"")</f>
        <v>0.48387404385913024</v>
      </c>
      <c r="AN238" s="450">
        <f>IFERROR(IF(P238=0,"-",SUMIFS($P$2:P238,$A$2:A238,$A238,$F$2:F238,"&lt;="&amp;$F238)/SUMIFS($L$2:L238,$A$2:A238,$A238,$F$2:F238,"&lt;="&amp;$F238)-1),"")</f>
        <v>0.51823473593269798</v>
      </c>
      <c r="AO238" s="450">
        <f>IFERROR(IF(Q238=0,"-",SUMIFS($Q$2:Q238,$A$2:A238,$A238,$F$2:F238,"&lt;="&amp;$F238)/SUMIFS($M$2:M238,$A$2:A238,$A238,$F$2:F238,"&lt;="&amp;$F238)-1),"")</f>
        <v>-0.16423336412729439</v>
      </c>
      <c r="AP238" s="103">
        <v>67569</v>
      </c>
      <c r="AQ238" s="452">
        <f>'Overall Metrics'!AO243</f>
        <v>0.39382214619350148</v>
      </c>
      <c r="AR238" s="450">
        <f t="shared" si="88"/>
        <v>-67568.606177853813</v>
      </c>
      <c r="AS238" s="453">
        <f>IFERROR(IF(R239=0,"-",AVERAGEIFS($AQ$2:AQ238,$A$2:A238,$A238,$F$2:F238,"&lt;="&amp;$F238)-AVERAGEIFS($AP$2:AP238,$A$2:A238,$A238,$F$2:F238,"&lt;="&amp;$F238)),"")</f>
        <v>-74664.745815715039</v>
      </c>
      <c r="AT238" s="390">
        <f>IFERROR(IF(R239=0,"-",AVERAGEIFS($AQ$2:AQ238,$A$2:A238,A238,$C$2:C238,C238)-AVERAGEIFS($AP$2:AP238,$A$2:A238,A238,$C$2:C238,C238)),"")</f>
        <v>-68098.935285361003</v>
      </c>
      <c r="AU238" s="103">
        <v>56780</v>
      </c>
      <c r="AV238" s="452">
        <f>'Overall Metrics'!AS243</f>
        <v>0</v>
      </c>
      <c r="AW238" s="450" t="str">
        <f t="shared" si="89"/>
        <v/>
      </c>
      <c r="AX238" s="453">
        <f>IFERROR(IF(R242=0,"-",AVERAGEIFS($AV$2:AV238,$A$2:A238,$A238,$F$2:F238,"&lt;="&amp;$F238)-AVERAGEIFS($AU$2:AU238,$A$2:A238,$A238,$F$2:F238,"&lt;="&amp;$F238)),"")</f>
        <v>-74523.517241379304</v>
      </c>
      <c r="AY238" s="453">
        <f>IFERROR(IF(R242=0,"-",AVERAGEIFS($AV$2:AV238,$A$2:A238,A238,$C$2:C238,C238)-AVERAGEIFS($AU$2:AU238,$A$2:A238,A238,$C$2:C238,C238)),"")</f>
        <v>-69777.666666666672</v>
      </c>
      <c r="AZ238" s="103">
        <v>177817</v>
      </c>
      <c r="BA238" s="449">
        <f>'Glass Metrics'!AC243</f>
        <v>185503</v>
      </c>
      <c r="BB238" s="450">
        <f t="shared" si="90"/>
        <v>4.3224213657861776E-2</v>
      </c>
      <c r="BC238" s="450">
        <f>IFERROR(IF(R238=0,"-",AVERAGEIFS($BA$2:BA238,$A$2:A238,$A238,$F$2:F238,"&lt;="&amp;$F238)/AVERAGEIFS($AZ$2:AZ238,$A$2:A238,$A238,$F$2:F238,"&lt;="&amp;$F238)-1),"")</f>
        <v>5.6849703251731221E-3</v>
      </c>
      <c r="BD238" s="269">
        <f>IFERROR(IF(R238=0,"-",AVERAGEIFS($BA$2:BA238,$A$2:A238,A238,$C$2:C238,C238)/AVERAGEIFS($AZ$2:AZ238,$A$2:A238,A238,$C$2:C238,C238)-1),"")</f>
        <v>-7.841150224362281E-2</v>
      </c>
    </row>
    <row r="239" spans="1:56" ht="16.350000000000001" customHeight="1">
      <c r="A239" s="175">
        <f t="shared" si="69"/>
        <v>2025</v>
      </c>
      <c r="B239" s="447" t="str">
        <f t="shared" si="70"/>
        <v>30</v>
      </c>
      <c r="C239" s="447" t="str">
        <f t="array" ref="C239">_xlfn.IFS(_xlfn.NUMBERVALUE(B239)&lt;=13,"Q1",AND(_xlfn.NUMBERVALUE(B239)&gt;13,_xlfn.NUMBERVALUE(B239)&lt;=26),"Q2", AND(_xlfn.NUMBERVALUE(B239)&gt;26,_xlfn.NUMBERVALUE(B239)&lt;=39),"Q3",_xlfn.NUMBERVALUE(B239)&gt;39,"Q4")</f>
        <v>Q3</v>
      </c>
      <c r="D239" s="448">
        <f t="shared" si="91"/>
        <v>45521</v>
      </c>
      <c r="E239" s="448">
        <f t="shared" si="71"/>
        <v>45527</v>
      </c>
      <c r="F239" s="79">
        <v>202430</v>
      </c>
      <c r="G239" s="103">
        <v>89120</v>
      </c>
      <c r="H239" s="429">
        <v>94964</v>
      </c>
      <c r="I239" s="429">
        <v>53542</v>
      </c>
      <c r="J239" s="214">
        <f t="shared" si="72"/>
        <v>237626</v>
      </c>
      <c r="K239" s="103">
        <v>71024</v>
      </c>
      <c r="L239" s="429">
        <v>65540</v>
      </c>
      <c r="M239" s="429">
        <v>65223</v>
      </c>
      <c r="N239" s="214">
        <f t="shared" si="73"/>
        <v>201787</v>
      </c>
      <c r="O239" s="449">
        <f>'Overall Metrics'!L244</f>
        <v>114843.14999999997</v>
      </c>
      <c r="P239" s="449">
        <f>'Overall Metrics'!M244</f>
        <v>133703</v>
      </c>
      <c r="Q239" s="449">
        <f>'Overall Metrics'!N244</f>
        <v>62557.3</v>
      </c>
      <c r="R239" s="449">
        <f t="shared" si="74"/>
        <v>311103.44999999995</v>
      </c>
      <c r="S239" s="180">
        <f t="shared" si="75"/>
        <v>8570343.5999999996</v>
      </c>
      <c r="T239" s="449">
        <f t="shared" si="76"/>
        <v>6775241</v>
      </c>
      <c r="U239" s="449">
        <f t="shared" si="77"/>
        <v>6696710</v>
      </c>
      <c r="V239" s="450">
        <f t="shared" si="78"/>
        <v>0.2649503685551553</v>
      </c>
      <c r="W239" s="450">
        <f>IF(R239=0,"-",SUMIFS($R$2:R239,$A$2:A239,A239,$C$2:C239,C239)/SUMIFS($J$2:J239,$A$2:A239,A239,$C$2:C239,C239)-1)</f>
        <v>0.13046621214853005</v>
      </c>
      <c r="X239" s="450">
        <f t="shared" si="79"/>
        <v>0.27978419253633491</v>
      </c>
      <c r="Y239" s="450">
        <f>IFERROR(IF(R239=0,"-",SUMIFS($R$2:R239,$A$2:A239,A239,$C$2:C239,C239)/SUMIFS($N$2:N239,$A$2:A239,A239,$C$2:C239,C239)-1),"")</f>
        <v>0.25979951550431579</v>
      </c>
      <c r="Z239" s="269">
        <f>IF(R239=0,"",(S239/VLOOKUP(_xlfn.NUMBERVALUE(_xlfn.CONCAT(LEFT(F239,4),52)),$F$2:T446,COLUMNS($F$2:T446),FALSE)))</f>
        <v>0.72962498353727245</v>
      </c>
      <c r="AA239" s="269">
        <f>IFERROR(IF(R239=0,"",(S239/VLOOKUP(_xlfn.NUMBERVALUE(_xlfn.CONCAT(LEFT(F239,4),52)),$F$2:U446,COLUMNS($F$2:U446),FALSE))),"")</f>
        <v>0.73675238641895702</v>
      </c>
      <c r="AB239" s="268">
        <f t="shared" si="80"/>
        <v>0.28863498653500863</v>
      </c>
      <c r="AC239" s="450">
        <f t="shared" si="81"/>
        <v>0.40793353270713117</v>
      </c>
      <c r="AD239" s="450">
        <f t="shared" si="82"/>
        <v>0.16837809570057161</v>
      </c>
      <c r="AE239" s="269">
        <f t="shared" si="83"/>
        <v>0.30921469031166593</v>
      </c>
      <c r="AF239" s="268">
        <f t="shared" si="84"/>
        <v>0.61696257603063698</v>
      </c>
      <c r="AG239" s="450">
        <f t="shared" si="85"/>
        <v>1.0400213610009157</v>
      </c>
      <c r="AH239" s="450">
        <f t="shared" si="86"/>
        <v>-4.0870551799211841E-2</v>
      </c>
      <c r="AI239" s="269">
        <f t="shared" si="87"/>
        <v>0.54174178713197563</v>
      </c>
      <c r="AJ239" s="450">
        <f>IF(O239=0,"-",SUMIFS($O$2:O239,$A$2:A239,$A239,$F$2:F239,"&lt;="&amp;$F239)/SUMIFS($G$2:G239,$A$2:A239,$A239,$F$2:F239,"&lt;="&amp;$F239)-1)</f>
        <v>0.37952955615711081</v>
      </c>
      <c r="AK239" s="450">
        <f>IF(P239=0,"-",SUMIFS($P$2:P239,$A$2:A239,$A239,$F$2:F239,"&lt;="&amp;$F239)/SUMIFS($H$2:H239,$A$2:A239,$A239,$F$2:F239,"&lt;="&amp;$F239)-1)</f>
        <v>0.62512969432334931</v>
      </c>
      <c r="AL239" s="450">
        <f>IF(Q239=0,"-",SUMIFS($Q$2:Q239,$A$2:A239,$A239,$F$2:F239,"&lt;="&amp;$F239)/SUMIFS($I$2:I239,$A$2:A239,$A239,$F$2:F239,"&lt;="&amp;$F239)-1)</f>
        <v>-0.174160621595984</v>
      </c>
      <c r="AM239" s="450">
        <f>IFERROR(IF(O239=0,"-",SUMIFS($O$2:O239,$A$2:A239,$A239,$F$2:F239,"&lt;="&amp;$F239)/SUMIFS($K$2:K239,$A$2:A239,$A239,$F$2:F239,"&lt;="&amp;$F239)-1),"")</f>
        <v>0.4883029575507456</v>
      </c>
      <c r="AN239" s="450">
        <f>IFERROR(IF(P239=0,"-",SUMIFS($P$2:P239,$A$2:A239,$A239,$F$2:F239,"&lt;="&amp;$F239)/SUMIFS($L$2:L239,$A$2:A239,$A239,$F$2:F239,"&lt;="&amp;$F239)-1),"")</f>
        <v>0.53340442529732424</v>
      </c>
      <c r="AO239" s="450">
        <f>IFERROR(IF(Q239=0,"-",SUMIFS($Q$2:Q239,$A$2:A239,$A239,$F$2:F239,"&lt;="&amp;$F239)/SUMIFS($M$2:M239,$A$2:A239,$A239,$F$2:F239,"&lt;="&amp;$F239)-1),"")</f>
        <v>-0.16074732018333804</v>
      </c>
      <c r="AP239" s="103">
        <v>61696</v>
      </c>
      <c r="AQ239" s="452">
        <f>'Overall Metrics'!AO244</f>
        <v>0.51005031318568439</v>
      </c>
      <c r="AR239" s="450">
        <f t="shared" si="88"/>
        <v>-61695.489949686817</v>
      </c>
      <c r="AS239" s="453">
        <f>IFERROR(IF(R240=0,"-",AVERAGEIFS($AQ$2:AQ239,$A$2:A239,$A239,$F$2:F239,"&lt;="&amp;$F239)-AVERAGEIFS($AP$2:AP239,$A$2:A239,$A239,$F$2:F239,"&lt;="&amp;$F239)),"")</f>
        <v>-74232.437286847417</v>
      </c>
      <c r="AT239" s="390">
        <f>IFERROR(IF(R240=0,"-",AVERAGEIFS($AQ$2:AQ239,$A$2:A239,A239,$C$2:C239,C239)-AVERAGEIFS($AP$2:AP239,$A$2:A239,A239,$C$2:C239,C239)),"")</f>
        <v>-66498.073951442464</v>
      </c>
      <c r="AU239" s="103">
        <v>86904</v>
      </c>
      <c r="AV239" s="452">
        <f>'Overall Metrics'!AS244</f>
        <v>0</v>
      </c>
      <c r="AW239" s="450" t="str">
        <f t="shared" si="89"/>
        <v/>
      </c>
      <c r="AX239" s="453">
        <f>IFERROR(IF(R243=0,"-",AVERAGEIFS($AV$2:AV239,$A$2:A239,$A239,$F$2:F239,"&lt;="&amp;$F239)-AVERAGEIFS($AU$2:AU239,$A$2:A239,$A239,$F$2:F239,"&lt;="&amp;$F239)),"")</f>
        <v>-74936.2</v>
      </c>
      <c r="AY239" s="453">
        <f>IFERROR(IF(R243=0,"-",AVERAGEIFS($AV$2:AV239,$A$2:A239,A239,$C$2:C239,C239)-AVERAGEIFS($AU$2:AU239,$A$2:A239,A239,$C$2:C239,C239)),"")</f>
        <v>-74059.25</v>
      </c>
      <c r="AZ239" s="103">
        <v>172517</v>
      </c>
      <c r="BA239" s="449">
        <f>'Glass Metrics'!AC244</f>
        <v>163212</v>
      </c>
      <c r="BB239" s="450">
        <f t="shared" si="90"/>
        <v>-5.3936713483308862E-2</v>
      </c>
      <c r="BC239" s="450">
        <f>IFERROR(IF(R239=0,"-",AVERAGEIFS($BA$2:BA239,$A$2:A239,$A239,$F$2:F239,"&lt;="&amp;$F239)/AVERAGEIFS($AZ$2:AZ239,$A$2:A239,$A239,$F$2:F239,"&lt;="&amp;$F239)-1),"")</f>
        <v>3.4076495100412441E-3</v>
      </c>
      <c r="BD239" s="269">
        <f>IFERROR(IF(R239=0,"-",AVERAGEIFS($BA$2:BA239,$A$2:A239,A239,$C$2:C239,C239)/AVERAGEIFS($AZ$2:AZ239,$A$2:A239,A239,$C$2:C239,C239)-1),"")</f>
        <v>-7.1867201909515011E-2</v>
      </c>
    </row>
    <row r="240" spans="1:56" ht="16.350000000000001" customHeight="1">
      <c r="A240" s="175">
        <f t="shared" si="69"/>
        <v>2025</v>
      </c>
      <c r="B240" s="447" t="str">
        <f t="shared" si="70"/>
        <v>31</v>
      </c>
      <c r="C240" s="447" t="str">
        <f t="array" ref="C240">_xlfn.IFS(_xlfn.NUMBERVALUE(B240)&lt;=13,"Q1",AND(_xlfn.NUMBERVALUE(B240)&gt;13,_xlfn.NUMBERVALUE(B240)&lt;=26),"Q2", AND(_xlfn.NUMBERVALUE(B240)&gt;26,_xlfn.NUMBERVALUE(B240)&lt;=39),"Q3",_xlfn.NUMBERVALUE(B240)&gt;39,"Q4")</f>
        <v>Q3</v>
      </c>
      <c r="D240" s="448">
        <f t="shared" si="91"/>
        <v>45528</v>
      </c>
      <c r="E240" s="448">
        <f t="shared" si="71"/>
        <v>45534</v>
      </c>
      <c r="F240" s="79">
        <v>202431</v>
      </c>
      <c r="G240" s="103">
        <v>69259</v>
      </c>
      <c r="H240" s="429">
        <v>70183</v>
      </c>
      <c r="I240" s="429">
        <v>50764</v>
      </c>
      <c r="J240" s="214">
        <f t="shared" si="72"/>
        <v>190206</v>
      </c>
      <c r="K240" s="103">
        <v>66946</v>
      </c>
      <c r="L240" s="429">
        <v>69429</v>
      </c>
      <c r="M240" s="429">
        <v>85741</v>
      </c>
      <c r="N240" s="214">
        <f t="shared" si="73"/>
        <v>222116</v>
      </c>
      <c r="O240" s="449">
        <f>'Overall Metrics'!L245</f>
        <v>121293.19999999998</v>
      </c>
      <c r="P240" s="449">
        <f>'Overall Metrics'!M245</f>
        <v>138265</v>
      </c>
      <c r="Q240" s="449">
        <f>'Overall Metrics'!N245</f>
        <v>69755.399999999994</v>
      </c>
      <c r="R240" s="449">
        <f t="shared" si="74"/>
        <v>329313.59999999998</v>
      </c>
      <c r="S240" s="180">
        <f t="shared" si="75"/>
        <v>8899657.1999999993</v>
      </c>
      <c r="T240" s="449">
        <f t="shared" si="76"/>
        <v>6965447</v>
      </c>
      <c r="U240" s="449">
        <f t="shared" si="77"/>
        <v>6918826</v>
      </c>
      <c r="V240" s="450">
        <f t="shared" si="78"/>
        <v>0.27768644280833654</v>
      </c>
      <c r="W240" s="450">
        <f>IF(R240=0,"-",SUMIFS($R$2:R240,$A$2:A240,A240,$C$2:C240,C240)/SUMIFS($J$2:J240,$A$2:A240,A240,$C$2:C240,C240)-1)</f>
        <v>0.22799301137890859</v>
      </c>
      <c r="X240" s="450">
        <f t="shared" si="79"/>
        <v>0.28629585423885495</v>
      </c>
      <c r="Y240" s="450">
        <f>IFERROR(IF(R240=0,"-",SUMIFS($R$2:R240,$A$2:A240,A240,$C$2:C240,C240)/SUMIFS($N$2:N240,$A$2:A240,A240,$C$2:C240,C240)-1),"")</f>
        <v>0.30466854089455242</v>
      </c>
      <c r="Z240" s="269">
        <f>IF(R240=0,"",(S240/VLOOKUP(_xlfn.NUMBERVALUE(_xlfn.CONCAT(LEFT(F240,4),52)),$F$2:T447,COLUMNS($F$2:T447),FALSE)))</f>
        <v>0.75766066579143554</v>
      </c>
      <c r="AA240" s="269">
        <f>IFERROR(IF(R240=0,"",(S240/VLOOKUP(_xlfn.NUMBERVALUE(_xlfn.CONCAT(LEFT(F240,4),52)),$F$2:U447,COLUMNS($F$2:U447),FALSE))),"")</f>
        <v>0.76506193758796937</v>
      </c>
      <c r="AB240" s="268">
        <f t="shared" si="80"/>
        <v>0.75129874817713205</v>
      </c>
      <c r="AC240" s="450">
        <f t="shared" si="81"/>
        <v>0.97006397560662849</v>
      </c>
      <c r="AD240" s="450">
        <f t="shared" si="82"/>
        <v>0.37411157513198323</v>
      </c>
      <c r="AE240" s="269">
        <f t="shared" si="83"/>
        <v>0.73135232327055921</v>
      </c>
      <c r="AF240" s="268">
        <f t="shared" si="84"/>
        <v>0.81180653063663222</v>
      </c>
      <c r="AG240" s="450">
        <f t="shared" si="85"/>
        <v>0.99145890045946228</v>
      </c>
      <c r="AH240" s="450">
        <f t="shared" si="86"/>
        <v>-0.18644055935899984</v>
      </c>
      <c r="AI240" s="269">
        <f t="shared" si="87"/>
        <v>0.48261989230852342</v>
      </c>
      <c r="AJ240" s="450">
        <f>IF(O240=0,"-",SUMIFS($O$2:O240,$A$2:A240,$A240,$F$2:F240,"&lt;="&amp;$F240)/SUMIFS($G$2:G240,$A$2:A240,$A240,$F$2:F240,"&lt;="&amp;$F240)-1)</f>
        <v>0.39038556240640032</v>
      </c>
      <c r="AK240" s="450">
        <f>IF(P240=0,"-",SUMIFS($P$2:P240,$A$2:A240,$A240,$F$2:F240,"&lt;="&amp;$F240)/SUMIFS($H$2:H240,$A$2:A240,$A240,$F$2:F240,"&lt;="&amp;$F240)-1)</f>
        <v>0.6361470896099759</v>
      </c>
      <c r="AL240" s="450">
        <f>IF(Q240=0,"-",SUMIFS($Q$2:Q240,$A$2:A240,$A240,$F$2:F240,"&lt;="&amp;$F240)/SUMIFS($I$2:I240,$A$2:A240,$A240,$F$2:F240,"&lt;="&amp;$F240)-1)</f>
        <v>-0.16254603376233501</v>
      </c>
      <c r="AM240" s="450">
        <f>IFERROR(IF(O240=0,"-",SUMIFS($O$2:O240,$A$2:A240,$A240,$F$2:F240,"&lt;="&amp;$F240)/SUMIFS($K$2:K240,$A$2:A240,$A240,$F$2:F240,"&lt;="&amp;$F240)-1),"")</f>
        <v>0.49814175099899494</v>
      </c>
      <c r="AN240" s="450">
        <f>IFERROR(IF(P240=0,"-",SUMIFS($P$2:P240,$A$2:A240,$A240,$F$2:F240,"&lt;="&amp;$F240)/SUMIFS($L$2:L240,$A$2:A240,$A240,$F$2:F240,"&lt;="&amp;$F240)-1),"")</f>
        <v>0.54708996439431168</v>
      </c>
      <c r="AO240" s="450">
        <f>IFERROR(IF(Q240=0,"-",SUMIFS($Q$2:Q240,$A$2:A240,$A240,$F$2:F240,"&lt;="&amp;$F240)/SUMIFS($M$2:M240,$A$2:A240,$A240,$F$2:F240,"&lt;="&amp;$F240)-1),"")</f>
        <v>-0.16166758848171214</v>
      </c>
      <c r="AP240" s="103">
        <v>68397</v>
      </c>
      <c r="AQ240" s="452">
        <f>'Overall Metrics'!AO245</f>
        <v>0.51002580387489804</v>
      </c>
      <c r="AR240" s="450">
        <f t="shared" si="88"/>
        <v>-68396.489974196127</v>
      </c>
      <c r="AS240" s="453">
        <f>IFERROR(IF(R241=0,"-",AVERAGEIFS($AQ$2:AQ240,$A$2:A240,$A240,$F$2:F240,"&lt;="&amp;$F240)-AVERAGEIFS($AP$2:AP240,$A$2:A240,$A240,$F$2:F240,"&lt;="&amp;$F240)),"")</f>
        <v>-74044.18092192318</v>
      </c>
      <c r="AT240" s="390">
        <f>IFERROR(IF(R241=0,"-",AVERAGEIFS($AQ$2:AQ240,$A$2:A240,A240,$C$2:C240,C240)-AVERAGEIFS($AP$2:AP240,$A$2:A240,A240,$C$2:C240,C240)),"")</f>
        <v>-66877.757155993197</v>
      </c>
      <c r="AU240" s="103">
        <v>55607</v>
      </c>
      <c r="AV240" s="452">
        <f>'Overall Metrics'!AS245</f>
        <v>0</v>
      </c>
      <c r="AW240" s="450" t="str">
        <f t="shared" si="89"/>
        <v/>
      </c>
      <c r="AX240" s="453">
        <f>IFERROR(IF(R244=0,"-",AVERAGEIFS($AV$2:AV240,$A$2:A240,$A240,$F$2:F240,"&lt;="&amp;$F240)-AVERAGEIFS($AU$2:AU240,$A$2:A240,$A240,$F$2:F240,"&lt;="&amp;$F240)),"")</f>
        <v>-74312.677419354834</v>
      </c>
      <c r="AY240" s="453">
        <f>IFERROR(IF(R244=0,"-",AVERAGEIFS($AV$2:AV240,$A$2:A240,A240,$C$2:C240,C240)-AVERAGEIFS($AU$2:AU240,$A$2:A240,A240,$C$2:C240,C240)),"")</f>
        <v>-70368.800000000003</v>
      </c>
      <c r="AZ240" s="103">
        <v>142350</v>
      </c>
      <c r="BA240" s="449">
        <f>'Glass Metrics'!AC245</f>
        <v>157061</v>
      </c>
      <c r="BB240" s="450">
        <f t="shared" si="90"/>
        <v>0.10334387074113094</v>
      </c>
      <c r="BC240" s="450">
        <f>IFERROR(IF(R240=0,"-",AVERAGEIFS($BA$2:BA240,$A$2:A240,$A240,$F$2:F240,"&lt;="&amp;$F240)/AVERAGEIFS($AZ$2:AZ240,$A$2:A240,$A240,$F$2:F240,"&lt;="&amp;$F240)-1),"")</f>
        <v>6.4611083219769938E-3</v>
      </c>
      <c r="BD240" s="269">
        <f>IFERROR(IF(R240=0,"-",AVERAGEIFS($BA$2:BA240,$A$2:A240,A240,$C$2:C240,C240)/AVERAGEIFS($AZ$2:AZ240,$A$2:A240,A240,$C$2:C240,C240)-1),"")</f>
        <v>-4.0197323310561917E-2</v>
      </c>
    </row>
    <row r="241" spans="1:56" ht="16.350000000000001" customHeight="1">
      <c r="A241" s="175">
        <f t="shared" si="69"/>
        <v>2025</v>
      </c>
      <c r="B241" s="447" t="str">
        <f t="shared" si="70"/>
        <v>32</v>
      </c>
      <c r="C241" s="447" t="str">
        <f t="array" ref="C241">_xlfn.IFS(_xlfn.NUMBERVALUE(B241)&lt;=13,"Q1",AND(_xlfn.NUMBERVALUE(B241)&gt;13,_xlfn.NUMBERVALUE(B241)&lt;=26),"Q2", AND(_xlfn.NUMBERVALUE(B241)&gt;26,_xlfn.NUMBERVALUE(B241)&lt;=39),"Q3",_xlfn.NUMBERVALUE(B241)&gt;39,"Q4")</f>
        <v>Q3</v>
      </c>
      <c r="D241" s="448">
        <f t="shared" si="91"/>
        <v>45535</v>
      </c>
      <c r="E241" s="448">
        <f t="shared" si="71"/>
        <v>45541</v>
      </c>
      <c r="F241" s="79">
        <v>202432</v>
      </c>
      <c r="G241" s="103">
        <v>83580</v>
      </c>
      <c r="H241" s="429">
        <v>62113</v>
      </c>
      <c r="I241" s="429">
        <v>83291</v>
      </c>
      <c r="J241" s="214">
        <f t="shared" si="72"/>
        <v>228984</v>
      </c>
      <c r="K241" s="103">
        <v>98149</v>
      </c>
      <c r="L241" s="429">
        <v>91197</v>
      </c>
      <c r="M241" s="429">
        <v>59563</v>
      </c>
      <c r="N241" s="214">
        <f t="shared" si="73"/>
        <v>248909</v>
      </c>
      <c r="O241" s="449">
        <f>'Overall Metrics'!L246</f>
        <v>104556.25</v>
      </c>
      <c r="P241" s="449">
        <f>'Overall Metrics'!M246</f>
        <v>115514</v>
      </c>
      <c r="Q241" s="449">
        <f>'Overall Metrics'!N246</f>
        <v>64720.5</v>
      </c>
      <c r="R241" s="449">
        <f t="shared" si="74"/>
        <v>284790.75</v>
      </c>
      <c r="S241" s="180">
        <f t="shared" si="75"/>
        <v>9184447.9499999993</v>
      </c>
      <c r="T241" s="449">
        <f t="shared" si="76"/>
        <v>7194431</v>
      </c>
      <c r="U241" s="449">
        <f t="shared" si="77"/>
        <v>7167735</v>
      </c>
      <c r="V241" s="450">
        <f t="shared" si="78"/>
        <v>0.27660518948614543</v>
      </c>
      <c r="W241" s="450">
        <f>IF(R241=0,"-",SUMIFS($R$2:R241,$A$2:A241,A241,$C$2:C241,C241)/SUMIFS($J$2:J241,$A$2:A241,A241,$C$2:C241,C241)-1)</f>
        <v>0.23056280690333053</v>
      </c>
      <c r="X241" s="450">
        <f t="shared" si="79"/>
        <v>0.28135986472714181</v>
      </c>
      <c r="Y241" s="450">
        <f>IFERROR(IF(R241=0,"-",SUMIFS($R$2:R241,$A$2:A241,A241,$C$2:C241,C241)/SUMIFS($N$2:N241,$A$2:A241,A241,$C$2:C241,C241)-1),"")</f>
        <v>0.27511622178778494</v>
      </c>
      <c r="Z241" s="269">
        <f>IF(R241=0,"",(S241/VLOOKUP(_xlfn.NUMBERVALUE(_xlfn.CONCAT(LEFT(F241,4),52)),$F$2:T448,COLUMNS($F$2:T448),FALSE)))</f>
        <v>0.78190595349265646</v>
      </c>
      <c r="AA241" s="269">
        <f>IFERROR(IF(R241=0,"",(S241/VLOOKUP(_xlfn.NUMBERVALUE(_xlfn.CONCAT(LEFT(F241,4),52)),$F$2:U448,COLUMNS($F$2:U448),FALSE))),"")</f>
        <v>0.78954406741675998</v>
      </c>
      <c r="AB241" s="268">
        <f t="shared" si="80"/>
        <v>0.25097212251734868</v>
      </c>
      <c r="AC241" s="450">
        <f t="shared" si="81"/>
        <v>0.85973950702751445</v>
      </c>
      <c r="AD241" s="450">
        <f t="shared" si="82"/>
        <v>-0.22295926330575933</v>
      </c>
      <c r="AE241" s="269">
        <f t="shared" si="83"/>
        <v>0.24371462634943919</v>
      </c>
      <c r="AF241" s="268">
        <f t="shared" si="84"/>
        <v>6.5280848505843148E-2</v>
      </c>
      <c r="AG241" s="450">
        <f t="shared" si="85"/>
        <v>0.26664254306610968</v>
      </c>
      <c r="AH241" s="450">
        <f t="shared" si="86"/>
        <v>8.6588989809109673E-2</v>
      </c>
      <c r="AI241" s="269">
        <f t="shared" si="87"/>
        <v>0.14415609720821676</v>
      </c>
      <c r="AJ241" s="450">
        <f>IF(O241=0,"-",SUMIFS($O$2:O241,$A$2:A241,$A241,$F$2:F241,"&lt;="&amp;$F241)/SUMIFS($G$2:G241,$A$2:A241,$A241,$F$2:F241,"&lt;="&amp;$F241)-1)</f>
        <v>0.38564000882956151</v>
      </c>
      <c r="AK241" s="450">
        <f>IF(P241=0,"-",SUMIFS($P$2:P241,$A$2:A241,$A241,$F$2:F241,"&lt;="&amp;$F241)/SUMIFS($H$2:H241,$A$2:A241,$A241,$F$2:F241,"&lt;="&amp;$F241)-1)</f>
        <v>0.64229381702238597</v>
      </c>
      <c r="AL241" s="450">
        <f>IF(Q241=0,"-",SUMIFS($Q$2:Q241,$A$2:A241,$A241,$F$2:F241,"&lt;="&amp;$F241)/SUMIFS($I$2:I241,$A$2:A241,$A241,$F$2:F241,"&lt;="&amp;$F241)-1)</f>
        <v>-0.16457531970495609</v>
      </c>
      <c r="AM241" s="450">
        <f>IFERROR(IF(O241=0,"-",SUMIFS($O$2:O241,$A$2:A241,$A241,$F$2:F241,"&lt;="&amp;$F241)/SUMIFS($K$2:K241,$A$2:A241,$A241,$F$2:F241,"&lt;="&amp;$F241)-1),"")</f>
        <v>0.47966493734563631</v>
      </c>
      <c r="AN241" s="450">
        <f>IFERROR(IF(P241=0,"-",SUMIFS($P$2:P241,$A$2:A241,$A241,$F$2:F241,"&lt;="&amp;$F241)/SUMIFS($L$2:L241,$A$2:A241,$A241,$F$2:F241,"&lt;="&amp;$F241)-1),"")</f>
        <v>0.5364994287744469</v>
      </c>
      <c r="AO241" s="450">
        <f>IFERROR(IF(Q241=0,"-",SUMIFS($Q$2:Q241,$A$2:A241,$A241,$F$2:F241,"&lt;="&amp;$F241)/SUMIFS($M$2:M241,$A$2:A241,$A241,$F$2:F241,"&lt;="&amp;$F241)-1),"")</f>
        <v>-0.15564045845118046</v>
      </c>
      <c r="AP241" s="103">
        <v>69438</v>
      </c>
      <c r="AQ241" s="452">
        <f>'Overall Metrics'!AO246</f>
        <v>0.39301701521159094</v>
      </c>
      <c r="AR241" s="450">
        <f t="shared" si="88"/>
        <v>-69437.606982984784</v>
      </c>
      <c r="AS241" s="453">
        <f>IFERROR(IF(R242=0,"-",AVERAGEIFS($AQ$2:AQ241,$A$2:A241,$A241,$F$2:F241,"&lt;="&amp;$F241)-AVERAGEIFS($AP$2:AP241,$A$2:A241,$A241,$F$2:F241,"&lt;="&amp;$F241)),"")</f>
        <v>-73900.225486331372</v>
      </c>
      <c r="AT241" s="390">
        <f>IFERROR(IF(R242=0,"-",AVERAGEIFS($AQ$2:AQ241,$A$2:A241,A241,$C$2:C241,C241)-AVERAGEIFS($AP$2:AP241,$A$2:A241,A241,$C$2:C241,C241)),"")</f>
        <v>-67304.398793825123</v>
      </c>
      <c r="AU241" s="103">
        <v>89496</v>
      </c>
      <c r="AV241" s="452">
        <f>'Overall Metrics'!AS246</f>
        <v>0</v>
      </c>
      <c r="AW241" s="450" t="str">
        <f t="shared" si="89"/>
        <v/>
      </c>
      <c r="AX241" s="453">
        <f>IFERROR(IF(R245=0,"-",AVERAGEIFS($AV$2:AV241,$A$2:A241,$A241,$F$2:F241,"&lt;="&amp;$F241)-AVERAGEIFS($AU$2:AU241,$A$2:A241,$A241,$F$2:F241,"&lt;="&amp;$F241)),"")</f>
        <v>-74787.15625</v>
      </c>
      <c r="AY241" s="453">
        <f>IFERROR(IF(R245=0,"-",AVERAGEIFS($AV$2:AV241,$A$2:A241,A241,$C$2:C241,C241)-AVERAGEIFS($AU$2:AU241,$A$2:A241,A241,$C$2:C241,C241)),"")</f>
        <v>-73556.666666666672</v>
      </c>
      <c r="AZ241" s="103">
        <v>142626</v>
      </c>
      <c r="BA241" s="449">
        <f>'Glass Metrics'!AC246</f>
        <v>155328</v>
      </c>
      <c r="BB241" s="450">
        <f t="shared" si="90"/>
        <v>8.9058095999327014E-2</v>
      </c>
      <c r="BC241" s="450">
        <f>IFERROR(IF(R241=0,"-",AVERAGEIFS($BA$2:BA241,$A$2:A241,$A241,$F$2:F241,"&lt;="&amp;$F241)/AVERAGEIFS($AZ$2:AZ241,$A$2:A241,$A241,$F$2:F241,"&lt;="&amp;$F241)-1),"")</f>
        <v>8.9145674787398654E-3</v>
      </c>
      <c r="BD241" s="269">
        <f>IFERROR(IF(R241=0,"-",AVERAGEIFS($BA$2:BA241,$A$2:A241,A241,$C$2:C241,C241)/AVERAGEIFS($AZ$2:AZ241,$A$2:A241,A241,$C$2:C241,C241)-1),"")</f>
        <v>-2.03780830518423E-2</v>
      </c>
    </row>
    <row r="242" spans="1:56" ht="16.350000000000001" customHeight="1">
      <c r="A242" s="175">
        <f t="shared" si="69"/>
        <v>2025</v>
      </c>
      <c r="B242" s="447" t="str">
        <f t="shared" si="70"/>
        <v>33</v>
      </c>
      <c r="C242" s="447" t="str">
        <f t="array" ref="C242">_xlfn.IFS(_xlfn.NUMBERVALUE(B242)&lt;=13,"Q1",AND(_xlfn.NUMBERVALUE(B242)&gt;13,_xlfn.NUMBERVALUE(B242)&lt;=26),"Q2", AND(_xlfn.NUMBERVALUE(B242)&gt;26,_xlfn.NUMBERVALUE(B242)&lt;=39),"Q3",_xlfn.NUMBERVALUE(B242)&gt;39,"Q4")</f>
        <v>Q3</v>
      </c>
      <c r="D242" s="448">
        <f t="shared" si="91"/>
        <v>45542</v>
      </c>
      <c r="E242" s="448">
        <f t="shared" si="71"/>
        <v>45548</v>
      </c>
      <c r="F242" s="79">
        <v>202433</v>
      </c>
      <c r="G242" s="103">
        <v>62134</v>
      </c>
      <c r="H242" s="429">
        <v>76225</v>
      </c>
      <c r="I242" s="429">
        <v>87368</v>
      </c>
      <c r="J242" s="214">
        <f t="shared" si="72"/>
        <v>225727</v>
      </c>
      <c r="K242" s="103">
        <v>80670</v>
      </c>
      <c r="L242" s="429">
        <v>73833</v>
      </c>
      <c r="M242" s="429">
        <v>92573</v>
      </c>
      <c r="N242" s="214">
        <f t="shared" si="73"/>
        <v>247076</v>
      </c>
      <c r="O242" s="449">
        <f>'Overall Metrics'!L247</f>
        <v>104524.10000000003</v>
      </c>
      <c r="P242" s="449">
        <f>'Overall Metrics'!M247</f>
        <v>113747</v>
      </c>
      <c r="Q242" s="449">
        <f>'Overall Metrics'!N247</f>
        <v>66864.2</v>
      </c>
      <c r="R242" s="449">
        <f t="shared" si="74"/>
        <v>285135.30000000005</v>
      </c>
      <c r="S242" s="180">
        <f t="shared" si="75"/>
        <v>9469583.25</v>
      </c>
      <c r="T242" s="449">
        <f t="shared" si="76"/>
        <v>7420158</v>
      </c>
      <c r="U242" s="449">
        <f t="shared" si="77"/>
        <v>7414811</v>
      </c>
      <c r="V242" s="450">
        <f t="shared" si="78"/>
        <v>0.27619698259794467</v>
      </c>
      <c r="W242" s="450">
        <f>IF(R242=0,"-",SUMIFS($R$2:R242,$A$2:A242,A242,$C$2:C242,C242)/SUMIFS($J$2:J242,$A$2:A242,A242,$C$2:C242,C242)-1)</f>
        <v>0.23509002739429596</v>
      </c>
      <c r="X242" s="450">
        <f t="shared" si="79"/>
        <v>0.27711727918621265</v>
      </c>
      <c r="Y242" s="450">
        <f>IFERROR(IF(R242=0,"-",SUMIFS($R$2:R242,$A$2:A242,A242,$C$2:C242,C242)/SUMIFS($N$2:N242,$A$2:A242,A242,$C$2:C242,C242)-1),"")</f>
        <v>0.25640765545331901</v>
      </c>
      <c r="Z242" s="269">
        <f>IF(R242=0,"",(S242/VLOOKUP(_xlfn.NUMBERVALUE(_xlfn.CONCAT(LEFT(F242,4),52)),$F$2:T449,COLUMNS($F$2:T449),FALSE)))</f>
        <v>0.80618057400710064</v>
      </c>
      <c r="AA242" s="269">
        <f>IFERROR(IF(R242=0,"",(S242/VLOOKUP(_xlfn.NUMBERVALUE(_xlfn.CONCAT(LEFT(F242,4),52)),$F$2:U449,COLUMNS($F$2:U449),FALSE))),"")</f>
        <v>0.81405581659882142</v>
      </c>
      <c r="AB242" s="268">
        <f t="shared" si="80"/>
        <v>0.68223677857533782</v>
      </c>
      <c r="AC242" s="450">
        <f t="shared" si="81"/>
        <v>0.49225319776976062</v>
      </c>
      <c r="AD242" s="450">
        <f t="shared" si="82"/>
        <v>-0.23468317919604431</v>
      </c>
      <c r="AE242" s="269">
        <f t="shared" si="83"/>
        <v>0.26318650405135435</v>
      </c>
      <c r="AF242" s="268">
        <f t="shared" si="84"/>
        <v>0.29569976447254298</v>
      </c>
      <c r="AG242" s="450">
        <f t="shared" si="85"/>
        <v>0.54059837741931105</v>
      </c>
      <c r="AH242" s="450">
        <f t="shared" si="86"/>
        <v>-0.27771380424097747</v>
      </c>
      <c r="AI242" s="269">
        <f t="shared" si="87"/>
        <v>0.154038838252198</v>
      </c>
      <c r="AJ242" s="450">
        <f>IF(O242=0,"-",SUMIFS($O$2:O242,$A$2:A242,$A242,$F$2:F242,"&lt;="&amp;$F242)/SUMIFS($G$2:G242,$A$2:A242,$A242,$F$2:F242,"&lt;="&amp;$F242)-1)</f>
        <v>0.39296020054641012</v>
      </c>
      <c r="AK242" s="450">
        <f>IF(P242=0,"-",SUMIFS($P$2:P242,$A$2:A242,$A242,$F$2:F242,"&lt;="&amp;$F242)/SUMIFS($H$2:H242,$A$2:A242,$A242,$F$2:F242,"&lt;="&amp;$F242)-1)</f>
        <v>0.63739714801694447</v>
      </c>
      <c r="AL242" s="450">
        <f>IF(Q242=0,"-",SUMIFS($Q$2:Q242,$A$2:A242,$A242,$F$2:F242,"&lt;="&amp;$F242)/SUMIFS($I$2:I242,$A$2:A242,$A242,$F$2:F242,"&lt;="&amp;$F242)-1)</f>
        <v>-0.16696144679505021</v>
      </c>
      <c r="AM242" s="450">
        <f>IFERROR(IF(O242=0,"-",SUMIFS($O$2:O242,$A$2:A242,$A242,$F$2:F242,"&lt;="&amp;$F242)/SUMIFS($K$2:K242,$A$2:A242,$A242,$F$2:F242,"&lt;="&amp;$F242)-1),"")</f>
        <v>0.47342952675826488</v>
      </c>
      <c r="AN242" s="450">
        <f>IFERROR(IF(P242=0,"-",SUMIFS($P$2:P242,$A$2:A242,$A242,$F$2:F242,"&lt;="&amp;$F242)/SUMIFS($L$2:L242,$A$2:A242,$A242,$F$2:F242,"&lt;="&amp;$F242)-1),"")</f>
        <v>0.53662102783010068</v>
      </c>
      <c r="AO242" s="450">
        <f>IFERROR(IF(Q242=0,"-",SUMIFS($Q$2:Q242,$A$2:A242,$A242,$F$2:F242,"&lt;="&amp;$F242)/SUMIFS($M$2:M242,$A$2:A242,$A242,$F$2:F242,"&lt;="&amp;$F242)-1),"")</f>
        <v>-0.16007912916286338</v>
      </c>
      <c r="AP242" s="103">
        <v>80510</v>
      </c>
      <c r="AQ242" s="452">
        <f>'Overall Metrics'!AO247</f>
        <v>0.60395255186141639</v>
      </c>
      <c r="AR242" s="450">
        <f t="shared" si="88"/>
        <v>-80509.396047448143</v>
      </c>
      <c r="AS242" s="453">
        <f>IFERROR(IF(R243=0,"-",AVERAGEIFS($AQ$2:AQ242,$A$2:A242,$A242,$F$2:F242,"&lt;="&amp;$F242)-AVERAGEIFS($AP$2:AP242,$A$2:A242,$A242,$F$2:F242,"&lt;="&amp;$F242)),"")</f>
        <v>-74100.503382122784</v>
      </c>
      <c r="AT242" s="390">
        <f>IFERROR(IF(R243=0,"-",AVERAGEIFS($AQ$2:AQ242,$A$2:A242,A242,$C$2:C242,C242)-AVERAGEIFS($AP$2:AP242,$A$2:A242,A242,$C$2:C242,C242)),"")</f>
        <v>-69190.826972914118</v>
      </c>
      <c r="AU242" s="103">
        <v>61639</v>
      </c>
      <c r="AV242" s="452">
        <f>'Overall Metrics'!AS247</f>
        <v>0</v>
      </c>
      <c r="AW242" s="450" t="str">
        <f t="shared" si="89"/>
        <v/>
      </c>
      <c r="AX242" s="453">
        <f>IFERROR(IF(R246=0,"-",AVERAGEIFS($AV$2:AV242,$A$2:A242,$A242,$F$2:F242,"&lt;="&amp;$F242)-AVERAGEIFS($AU$2:AU242,$A$2:A242,$A242,$F$2:F242,"&lt;="&amp;$F242)),"")</f>
        <v>-74388.727272727279</v>
      </c>
      <c r="AY242" s="453">
        <f>IFERROR(IF(R246=0,"-",AVERAGEIFS($AV$2:AV242,$A$2:A242,A242,$C$2:C242,C242)-AVERAGEIFS($AU$2:AU242,$A$2:A242,A242,$C$2:C242,C242)),"")</f>
        <v>-71854.142857142855</v>
      </c>
      <c r="AZ242" s="103">
        <v>158838</v>
      </c>
      <c r="BA242" s="449">
        <f>'Glass Metrics'!AC247</f>
        <v>120950</v>
      </c>
      <c r="BB242" s="450">
        <f t="shared" si="90"/>
        <v>-0.23853234112743804</v>
      </c>
      <c r="BC242" s="450">
        <f>IFERROR(IF(R242=0,"-",AVERAGEIFS($BA$2:BA242,$A$2:A242,$A242,$F$2:F242,"&lt;="&amp;$F242)/AVERAGEIFS($AZ$2:AZ242,$A$2:A242,$A242,$F$2:F242,"&lt;="&amp;$F242)-1),"")</f>
        <v>9.9104571248753714E-4</v>
      </c>
      <c r="BD242" s="269">
        <f>IFERROR(IF(R242=0,"-",AVERAGEIFS($BA$2:BA242,$A$2:A242,A242,$C$2:C242,C242)/AVERAGEIFS($AZ$2:AZ242,$A$2:A242,A242,$C$2:C242,C242)-1),"")</f>
        <v>-5.2197237108403738E-2</v>
      </c>
    </row>
    <row r="243" spans="1:56" ht="16.350000000000001" customHeight="1">
      <c r="A243" s="175">
        <f t="shared" si="69"/>
        <v>2025</v>
      </c>
      <c r="B243" s="447" t="str">
        <f t="shared" si="70"/>
        <v>34</v>
      </c>
      <c r="C243" s="447" t="str">
        <f t="array" ref="C243">_xlfn.IFS(_xlfn.NUMBERVALUE(B243)&lt;=13,"Q1",AND(_xlfn.NUMBERVALUE(B243)&gt;13,_xlfn.NUMBERVALUE(B243)&lt;=26),"Q2", AND(_xlfn.NUMBERVALUE(B243)&gt;26,_xlfn.NUMBERVALUE(B243)&lt;=39),"Q3",_xlfn.NUMBERVALUE(B243)&gt;39,"Q4")</f>
        <v>Q3</v>
      </c>
      <c r="D243" s="448">
        <f t="shared" si="91"/>
        <v>45549</v>
      </c>
      <c r="E243" s="448">
        <f t="shared" si="71"/>
        <v>45555</v>
      </c>
      <c r="F243" s="79">
        <v>202434</v>
      </c>
      <c r="G243" s="103">
        <v>61350</v>
      </c>
      <c r="H243" s="429">
        <v>50725</v>
      </c>
      <c r="I243" s="429">
        <v>98930</v>
      </c>
      <c r="J243" s="214">
        <f t="shared" si="72"/>
        <v>211005</v>
      </c>
      <c r="K243" s="103">
        <v>56960</v>
      </c>
      <c r="L243" s="429">
        <v>55357</v>
      </c>
      <c r="M243" s="429">
        <v>53511</v>
      </c>
      <c r="N243" s="214">
        <f t="shared" si="73"/>
        <v>165828</v>
      </c>
      <c r="O243" s="449">
        <f>'Overall Metrics'!L248</f>
        <v>111650.84999999998</v>
      </c>
      <c r="P243" s="449">
        <f>'Overall Metrics'!M248</f>
        <v>121380</v>
      </c>
      <c r="Q243" s="449">
        <f>'Overall Metrics'!N248</f>
        <v>71576.7</v>
      </c>
      <c r="R243" s="449">
        <f t="shared" si="74"/>
        <v>304607.55</v>
      </c>
      <c r="S243" s="180">
        <f t="shared" si="75"/>
        <v>9774190.8000000007</v>
      </c>
      <c r="T243" s="449">
        <f t="shared" si="76"/>
        <v>7631163</v>
      </c>
      <c r="U243" s="449">
        <f t="shared" si="77"/>
        <v>7580639</v>
      </c>
      <c r="V243" s="450">
        <f t="shared" si="78"/>
        <v>0.28082584528727805</v>
      </c>
      <c r="W243" s="450">
        <f>IF(R243=0,"-",SUMIFS($R$2:R243,$A$2:A243,A243,$C$2:C243,C243)/SUMIFS($J$2:J243,$A$2:A243,A243,$C$2:C243,C243)-1)</f>
        <v>0.25903260247896598</v>
      </c>
      <c r="X243" s="450">
        <f t="shared" si="79"/>
        <v>0.28936238752432364</v>
      </c>
      <c r="Y243" s="450">
        <f>IFERROR(IF(R243=0,"-",SUMIFS($R$2:R243,$A$2:A243,A243,$C$2:C243,C243)/SUMIFS($N$2:N243,$A$2:A243,A243,$C$2:C243,C243)-1),"")</f>
        <v>0.31095067838818702</v>
      </c>
      <c r="Z243" s="269">
        <f>IF(R243=0,"",(S243/VLOOKUP(_xlfn.NUMBERVALUE(_xlfn.CONCAT(LEFT(F243,4),52)),$F$2:T450,COLUMNS($F$2:T450),FALSE)))</f>
        <v>0.83211293903550854</v>
      </c>
      <c r="AA243" s="269">
        <f>IFERROR(IF(R243=0,"",(S243/VLOOKUP(_xlfn.NUMBERVALUE(_xlfn.CONCAT(LEFT(F243,4),52)),$F$2:U450,COLUMNS($F$2:U450),FALSE))),"")</f>
        <v>0.84024150411124887</v>
      </c>
      <c r="AB243" s="268">
        <f t="shared" si="80"/>
        <v>0.81989975550122218</v>
      </c>
      <c r="AC243" s="450">
        <f t="shared" si="81"/>
        <v>1.3929029078363726</v>
      </c>
      <c r="AD243" s="450">
        <f t="shared" si="82"/>
        <v>-0.27649145860709601</v>
      </c>
      <c r="AE243" s="269">
        <f t="shared" si="83"/>
        <v>0.44360346911210624</v>
      </c>
      <c r="AF243" s="268">
        <f t="shared" si="84"/>
        <v>0.96016239466292097</v>
      </c>
      <c r="AG243" s="450">
        <f t="shared" si="85"/>
        <v>1.1926766262622612</v>
      </c>
      <c r="AH243" s="450">
        <f t="shared" si="86"/>
        <v>0.33760722094522611</v>
      </c>
      <c r="AI243" s="269">
        <f t="shared" si="87"/>
        <v>0.83688852304797745</v>
      </c>
      <c r="AJ243" s="450">
        <f>IF(O243=0,"-",SUMIFS($O$2:O243,$A$2:A243,$A243,$F$2:F243,"&lt;="&amp;$F243)/SUMIFS($G$2:G243,$A$2:A243,$A243,$F$2:F243,"&lt;="&amp;$F243)-1)</f>
        <v>0.40311686659904011</v>
      </c>
      <c r="AK243" s="450">
        <f>IF(P243=0,"-",SUMIFS($P$2:P243,$A$2:A243,$A243,$F$2:F243,"&lt;="&amp;$F243)/SUMIFS($H$2:H243,$A$2:A243,$A243,$F$2:F243,"&lt;="&amp;$F243)-1)</f>
        <v>0.65345632663597275</v>
      </c>
      <c r="AL243" s="450">
        <f>IF(Q243=0,"-",SUMIFS($Q$2:Q243,$A$2:A243,$A243,$F$2:F243,"&lt;="&amp;$F243)/SUMIFS($I$2:I243,$A$2:A243,$A243,$F$2:F243,"&lt;="&amp;$F243)-1)</f>
        <v>-0.17102599920177886</v>
      </c>
      <c r="AM243" s="450">
        <f>IFERROR(IF(O243=0,"-",SUMIFS($O$2:O243,$A$2:A243,$A243,$F$2:F243,"&lt;="&amp;$F243)/SUMIFS($K$2:K243,$A$2:A243,$A243,$F$2:F243,"&lt;="&amp;$F243)-1),"")</f>
        <v>0.48480597589404306</v>
      </c>
      <c r="AN243" s="450">
        <f>IFERROR(IF(P243=0,"-",SUMIFS($P$2:P243,$A$2:A243,$A243,$F$2:F243,"&lt;="&amp;$F243)/SUMIFS($L$2:L243,$A$2:A243,$A243,$F$2:F243,"&lt;="&amp;$F243)-1),"")</f>
        <v>0.5508957134597372</v>
      </c>
      <c r="AO243" s="450">
        <f>IFERROR(IF(Q243=0,"-",SUMIFS($Q$2:Q243,$A$2:A243,$A243,$F$2:F243,"&lt;="&amp;$F243)/SUMIFS($M$2:M243,$A$2:A243,$A243,$F$2:F243,"&lt;="&amp;$F243)-1),"")</f>
        <v>-0.14983410111657158</v>
      </c>
      <c r="AP243" s="103">
        <v>60427</v>
      </c>
      <c r="AQ243" s="452">
        <f>'Overall Metrics'!AO248</f>
        <v>0.95272336894914411</v>
      </c>
      <c r="AR243" s="450">
        <f t="shared" si="88"/>
        <v>-60426.047276631049</v>
      </c>
      <c r="AS243" s="453">
        <f>IFERROR(IF(R244=0,"-",AVERAGEIFS($AQ$2:AQ243,$A$2:A243,$A243,$F$2:F243,"&lt;="&amp;$F243)-AVERAGEIFS($AP$2:AP243,$A$2:A243,$A243,$F$2:F243,"&lt;="&amp;$F243)),"")</f>
        <v>-73698.31349666715</v>
      </c>
      <c r="AT243" s="390">
        <f>IFERROR(IF(R244=0,"-",AVERAGEIFS($AQ$2:AQ243,$A$2:A243,A243,$C$2:C243,C243)-AVERAGEIFS($AP$2:AP243,$A$2:A243,A243,$C$2:C243,C243)),"")</f>
        <v>-68095.229510878751</v>
      </c>
      <c r="AU243" s="103">
        <v>75936</v>
      </c>
      <c r="AV243" s="452">
        <f>'Overall Metrics'!AS248</f>
        <v>0</v>
      </c>
      <c r="AW243" s="450" t="str">
        <f t="shared" si="89"/>
        <v/>
      </c>
      <c r="AX243" s="453">
        <f>IFERROR(IF(R247=0,"-",AVERAGEIFS($AV$2:AV243,$A$2:A243,$A243,$F$2:F243,"&lt;="&amp;$F243)-AVERAGEIFS($AU$2:AU243,$A$2:A243,$A243,$F$2:F243,"&lt;="&amp;$F243)),"")</f>
        <v>-74434.23529411765</v>
      </c>
      <c r="AY243" s="453">
        <f>IFERROR(IF(R247=0,"-",AVERAGEIFS($AV$2:AV243,$A$2:A243,A243,$C$2:C243,C243)-AVERAGEIFS($AU$2:AU243,$A$2:A243,A243,$C$2:C243,C243)),"")</f>
        <v>-72364.375</v>
      </c>
      <c r="AZ243" s="103">
        <v>136223</v>
      </c>
      <c r="BA243" s="449">
        <f>'Glass Metrics'!AC248</f>
        <v>164978</v>
      </c>
      <c r="BB243" s="450">
        <f t="shared" si="90"/>
        <v>0.21108770178310565</v>
      </c>
      <c r="BC243" s="450">
        <f>IFERROR(IF(R243=0,"-",AVERAGEIFS($BA$2:BA243,$A$2:A243,$A243,$F$2:F243,"&lt;="&amp;$F243)/AVERAGEIFS($AZ$2:AZ243,$A$2:A243,$A243,$F$2:F243,"&lt;="&amp;$F243)-1),"")</f>
        <v>6.6065093865763647E-3</v>
      </c>
      <c r="BD243" s="269">
        <f>IFERROR(IF(R243=0,"-",AVERAGEIFS($BA$2:BA243,$A$2:A243,A243,$C$2:C243,C243)/AVERAGEIFS($AZ$2:AZ243,$A$2:A243,A243,$C$2:C243,C243)-1),"")</f>
        <v>-2.292473149873453E-2</v>
      </c>
    </row>
    <row r="244" spans="1:56" ht="16.350000000000001" customHeight="1">
      <c r="A244" s="175">
        <f t="shared" si="69"/>
        <v>2025</v>
      </c>
      <c r="B244" s="447" t="str">
        <f t="shared" si="70"/>
        <v>35</v>
      </c>
      <c r="C244" s="447" t="str">
        <f t="array" ref="C244">_xlfn.IFS(_xlfn.NUMBERVALUE(B244)&lt;=13,"Q1",AND(_xlfn.NUMBERVALUE(B244)&gt;13,_xlfn.NUMBERVALUE(B244)&lt;=26),"Q2", AND(_xlfn.NUMBERVALUE(B244)&gt;26,_xlfn.NUMBERVALUE(B244)&lt;=39),"Q3",_xlfn.NUMBERVALUE(B244)&gt;39,"Q4")</f>
        <v>Q3</v>
      </c>
      <c r="D244" s="448">
        <f t="shared" si="91"/>
        <v>45556</v>
      </c>
      <c r="E244" s="448">
        <f t="shared" si="71"/>
        <v>45562</v>
      </c>
      <c r="F244" s="79">
        <v>202435</v>
      </c>
      <c r="G244" s="103">
        <v>51915</v>
      </c>
      <c r="H244" s="429">
        <v>90852</v>
      </c>
      <c r="I244" s="429">
        <v>67980</v>
      </c>
      <c r="J244" s="214">
        <f t="shared" si="72"/>
        <v>210747</v>
      </c>
      <c r="K244" s="103">
        <v>65542</v>
      </c>
      <c r="L244" s="429">
        <v>64050</v>
      </c>
      <c r="M244" s="429">
        <v>78741</v>
      </c>
      <c r="N244" s="214">
        <f t="shared" si="73"/>
        <v>208333</v>
      </c>
      <c r="O244" s="449">
        <f>'Overall Metrics'!L249</f>
        <v>106602.44999999998</v>
      </c>
      <c r="P244" s="449">
        <f>'Overall Metrics'!M249</f>
        <v>115420</v>
      </c>
      <c r="Q244" s="449">
        <f>'Overall Metrics'!N249</f>
        <v>68929.899999999994</v>
      </c>
      <c r="R244" s="449">
        <f t="shared" si="74"/>
        <v>290952.34999999998</v>
      </c>
      <c r="S244" s="180">
        <f t="shared" si="75"/>
        <v>10065143.15</v>
      </c>
      <c r="T244" s="449">
        <f t="shared" si="76"/>
        <v>7841910</v>
      </c>
      <c r="U244" s="449">
        <f t="shared" si="77"/>
        <v>7788972</v>
      </c>
      <c r="V244" s="450">
        <f t="shared" si="78"/>
        <v>0.28350658831840714</v>
      </c>
      <c r="W244" s="450">
        <f>IF(R244=0,"-",SUMIFS($R$2:R244,$A$2:A244,A244,$C$2:C244,C244)/SUMIFS($J$2:J244,$A$2:A244,A244,$C$2:C244,C244)-1)</f>
        <v>0.27153768268201817</v>
      </c>
      <c r="X244" s="450">
        <f t="shared" si="79"/>
        <v>0.29222998233913278</v>
      </c>
      <c r="Y244" s="450">
        <f>IFERROR(IF(R244=0,"-",SUMIFS($R$2:R244,$A$2:A244,A244,$C$2:C244,C244)/SUMIFS($N$2:N244,$A$2:A244,A244,$C$2:C244,C244)-1),"")</f>
        <v>0.3199909486118333</v>
      </c>
      <c r="Z244" s="269">
        <f>IF(R244=0,"",(S244/VLOOKUP(_xlfn.NUMBERVALUE(_xlfn.CONCAT(LEFT(F244,4),52)),$F$2:T451,COLUMNS($F$2:T451),FALSE)))</f>
        <v>0.85688278648700167</v>
      </c>
      <c r="AA244" s="269">
        <f>IFERROR(IF(R244=0,"",(S244/VLOOKUP(_xlfn.NUMBERVALUE(_xlfn.CONCAT(LEFT(F244,4),52)),$F$2:U451,COLUMNS($F$2:U451),FALSE))),"")</f>
        <v>0.86525331789625315</v>
      </c>
      <c r="AB244" s="268">
        <f t="shared" si="80"/>
        <v>1.0534036405663101</v>
      </c>
      <c r="AC244" s="450">
        <f t="shared" si="81"/>
        <v>0.27041782239246248</v>
      </c>
      <c r="AD244" s="450">
        <f t="shared" si="82"/>
        <v>1.3973227419829204E-2</v>
      </c>
      <c r="AE244" s="269">
        <f t="shared" si="83"/>
        <v>0.38057647321195542</v>
      </c>
      <c r="AF244" s="268">
        <f t="shared" si="84"/>
        <v>0.62647538982637063</v>
      </c>
      <c r="AG244" s="450">
        <f t="shared" si="85"/>
        <v>0.80202966432474621</v>
      </c>
      <c r="AH244" s="450">
        <f t="shared" si="86"/>
        <v>-0.12459963678388652</v>
      </c>
      <c r="AI244" s="269">
        <f t="shared" si="87"/>
        <v>0.39657351451762302</v>
      </c>
      <c r="AJ244" s="450">
        <f>IF(O244=0,"-",SUMIFS($O$2:O244,$A$2:A244,$A244,$F$2:F244,"&lt;="&amp;$F244)/SUMIFS($G$2:G244,$A$2:A244,$A244,$F$2:F244,"&lt;="&amp;$F244)-1)</f>
        <v>0.41594939080967031</v>
      </c>
      <c r="AK244" s="450">
        <f>IF(P244=0,"-",SUMIFS($P$2:P244,$A$2:A244,$A244,$F$2:F244,"&lt;="&amp;$F244)/SUMIFS($H$2:H244,$A$2:A244,$A244,$F$2:F244,"&lt;="&amp;$F244)-1)</f>
        <v>0.63940836786471911</v>
      </c>
      <c r="AL244" s="450">
        <f>IF(Q244=0,"-",SUMIFS($Q$2:Q244,$A$2:A244,$A244,$F$2:F244,"&lt;="&amp;$F244)/SUMIFS($I$2:I244,$A$2:A244,$A244,$F$2:F244,"&lt;="&amp;$F244)-1)</f>
        <v>-0.16642590021317472</v>
      </c>
      <c r="AM244" s="450">
        <f>IFERROR(IF(O244=0,"-",SUMIFS($O$2:O244,$A$2:A244,$A244,$F$2:F244,"&lt;="&amp;$F244)/SUMIFS($K$2:K244,$A$2:A244,$A244,$F$2:F244,"&lt;="&amp;$F244)-1),"")</f>
        <v>0.48851633524912552</v>
      </c>
      <c r="AN244" s="450">
        <f>IFERROR(IF(P244=0,"-",SUMIFS($P$2:P244,$A$2:A244,$A244,$F$2:F244,"&lt;="&amp;$F244)/SUMIFS($L$2:L244,$A$2:A244,$A244,$F$2:F244,"&lt;="&amp;$F244)-1),"")</f>
        <v>0.55706279716113238</v>
      </c>
      <c r="AO244" s="450">
        <f>IFERROR(IF(Q244=0,"-",SUMIFS($Q$2:Q244,$A$2:A244,$A244,$F$2:F244,"&lt;="&amp;$F244)/SUMIFS($M$2:M244,$A$2:A244,$A244,$F$2:F244,"&lt;="&amp;$F244)-1),"")</f>
        <v>-0.14909219420689002</v>
      </c>
      <c r="AP244" s="103">
        <v>89181</v>
      </c>
      <c r="AQ244" s="452">
        <f>'Overall Metrics'!AO249</f>
        <v>0.641362815028655</v>
      </c>
      <c r="AR244" s="450">
        <f t="shared" si="88"/>
        <v>-89180.358637184967</v>
      </c>
      <c r="AS244" s="453">
        <f>IFERROR(IF(R245=0,"-",AVERAGEIFS($AQ$2:AQ244,$A$2:A244,$A244,$F$2:F244,"&lt;="&amp;$F244)-AVERAGEIFS($AP$2:AP244,$A$2:A244,$A244,$F$2:F244,"&lt;="&amp;$F244)),"")</f>
        <v>-74140.657643539074</v>
      </c>
      <c r="AT244" s="390">
        <f>IFERROR(IF(R245=0,"-",AVERAGEIFS($AQ$2:AQ244,$A$2:A244,A244,$C$2:C244,C244)-AVERAGEIFS($AP$2:AP244,$A$2:A244,A244,$C$2:C244,C244)),"")</f>
        <v>-70438.021636023885</v>
      </c>
      <c r="AU244" s="103">
        <v>73216</v>
      </c>
      <c r="AV244" s="452">
        <f>'Overall Metrics'!AS249</f>
        <v>0</v>
      </c>
      <c r="AW244" s="450" t="str">
        <f t="shared" si="89"/>
        <v/>
      </c>
      <c r="AX244" s="453">
        <f>IFERROR(IF(R248=0,"-",AVERAGEIFS($AV$2:AV244,$A$2:A244,$A244,$F$2:F244,"&lt;="&amp;$F244)-AVERAGEIFS($AU$2:AU244,$A$2:A244,$A244,$F$2:F244,"&lt;="&amp;$F244)),"")</f>
        <v>-74399.428571428565</v>
      </c>
      <c r="AY244" s="453">
        <f>IFERROR(IF(R248=0,"-",AVERAGEIFS($AV$2:AV244,$A$2:A244,A244,$C$2:C244,C244)-AVERAGEIFS($AU$2:AU244,$A$2:A244,A244,$C$2:C244,C244)),"")</f>
        <v>-72459</v>
      </c>
      <c r="AZ244" s="103">
        <v>154285</v>
      </c>
      <c r="BA244" s="449">
        <f>'Glass Metrics'!AC249</f>
        <v>180439</v>
      </c>
      <c r="BB244" s="450">
        <f t="shared" si="90"/>
        <v>0.16951745146968267</v>
      </c>
      <c r="BC244" s="450">
        <f>IFERROR(IF(R244=0,"-",AVERAGEIFS($BA$2:BA244,$A$2:A244,$A244,$F$2:F244,"&lt;="&amp;$F244)/AVERAGEIFS($AZ$2:AZ244,$A$2:A244,$A244,$F$2:F244,"&lt;="&amp;$F244)-1),"")</f>
        <v>1.1393230716492786E-2</v>
      </c>
      <c r="BD244" s="269">
        <f>IFERROR(IF(R244=0,"-",AVERAGEIFS($BA$2:BA244,$A$2:A244,A244,$C$2:C244,C244)/AVERAGEIFS($AZ$2:AZ244,$A$2:A244,A244,$C$2:C244,C244)-1),"")</f>
        <v>-1.4019450356358432E-3</v>
      </c>
    </row>
    <row r="245" spans="1:56" ht="16.350000000000001" customHeight="1">
      <c r="A245" s="175">
        <f t="shared" si="69"/>
        <v>2025</v>
      </c>
      <c r="B245" s="447" t="str">
        <f t="shared" si="70"/>
        <v>36</v>
      </c>
      <c r="C245" s="447" t="str">
        <f t="array" ref="C245">_xlfn.IFS(_xlfn.NUMBERVALUE(B245)&lt;=13,"Q1",AND(_xlfn.NUMBERVALUE(B245)&gt;13,_xlfn.NUMBERVALUE(B245)&lt;=26),"Q2", AND(_xlfn.NUMBERVALUE(B245)&gt;26,_xlfn.NUMBERVALUE(B245)&lt;=39),"Q3",_xlfn.NUMBERVALUE(B245)&gt;39,"Q4")</f>
        <v>Q3</v>
      </c>
      <c r="D245" s="448">
        <f t="shared" si="91"/>
        <v>45563</v>
      </c>
      <c r="E245" s="448">
        <f t="shared" si="71"/>
        <v>45569</v>
      </c>
      <c r="F245" s="79">
        <v>202436</v>
      </c>
      <c r="G245" s="103">
        <v>85467</v>
      </c>
      <c r="H245" s="429">
        <v>90831</v>
      </c>
      <c r="I245" s="429">
        <v>76681</v>
      </c>
      <c r="J245" s="214">
        <f t="shared" si="72"/>
        <v>252979</v>
      </c>
      <c r="K245" s="103">
        <v>87543</v>
      </c>
      <c r="L245" s="429">
        <v>74944</v>
      </c>
      <c r="M245" s="429">
        <v>62775</v>
      </c>
      <c r="N245" s="214">
        <f t="shared" si="73"/>
        <v>225262</v>
      </c>
      <c r="O245" s="449">
        <f>'Overall Metrics'!L250</f>
        <v>111133.75000000001</v>
      </c>
      <c r="P245" s="449">
        <f>'Overall Metrics'!M250</f>
        <v>126298</v>
      </c>
      <c r="Q245" s="449">
        <f>'Overall Metrics'!N250</f>
        <v>64395.5</v>
      </c>
      <c r="R245" s="449">
        <f t="shared" si="74"/>
        <v>301827.25</v>
      </c>
      <c r="S245" s="180">
        <f t="shared" si="75"/>
        <v>10366970.4</v>
      </c>
      <c r="T245" s="449">
        <f t="shared" si="76"/>
        <v>8094889</v>
      </c>
      <c r="U245" s="449">
        <f t="shared" si="77"/>
        <v>8014234</v>
      </c>
      <c r="V245" s="450">
        <f t="shared" si="78"/>
        <v>0.28068098277814557</v>
      </c>
      <c r="W245" s="450">
        <f>IF(R245=0,"-",SUMIFS($R$2:R245,$A$2:A245,A245,$C$2:C245,C245)/SUMIFS($J$2:J245,$A$2:A245,A245,$C$2:C245,C245)-1)</f>
        <v>0.26291443663211167</v>
      </c>
      <c r="X245" s="450">
        <f t="shared" si="79"/>
        <v>0.29356971608266003</v>
      </c>
      <c r="Y245" s="450">
        <f>IFERROR(IF(R245=0,"-",SUMIFS($R$2:R245,$A$2:A245,A245,$C$2:C245,C245)/SUMIFS($N$2:N245,$A$2:A245,A245,$C$2:C245,C245)-1),"")</f>
        <v>0.32203032604938042</v>
      </c>
      <c r="Z245" s="269">
        <f>IF(R245=0,"",(S245/VLOOKUP(_xlfn.NUMBERVALUE(_xlfn.CONCAT(LEFT(F245,4),52)),$F$2:T452,COLUMNS($F$2:T452),FALSE)))</f>
        <v>0.88257845431440951</v>
      </c>
      <c r="AA245" s="269">
        <f>IFERROR(IF(R245=0,"",(S245/VLOOKUP(_xlfn.NUMBERVALUE(_xlfn.CONCAT(LEFT(F245,4),52)),$F$2:U452,COLUMNS($F$2:U452),FALSE))),"")</f>
        <v>0.89119999601120892</v>
      </c>
      <c r="AB245" s="268">
        <f t="shared" si="80"/>
        <v>0.300311816256567</v>
      </c>
      <c r="AC245" s="450">
        <f t="shared" si="81"/>
        <v>0.39047241580517666</v>
      </c>
      <c r="AD245" s="450">
        <f t="shared" si="82"/>
        <v>-0.16021569880413666</v>
      </c>
      <c r="AE245" s="269">
        <f t="shared" si="83"/>
        <v>0.193092114365224</v>
      </c>
      <c r="AF245" s="268">
        <f t="shared" si="84"/>
        <v>0.26947614315250812</v>
      </c>
      <c r="AG245" s="450">
        <f t="shared" si="85"/>
        <v>0.68523163962425282</v>
      </c>
      <c r="AH245" s="450">
        <f t="shared" si="86"/>
        <v>2.5814416567104814E-2</v>
      </c>
      <c r="AI245" s="269">
        <f t="shared" si="87"/>
        <v>0.33989421207305281</v>
      </c>
      <c r="AJ245" s="450">
        <f>IF(O245=0,"-",SUMIFS($O$2:O245,$A$2:A245,$A245,$F$2:F245,"&lt;="&amp;$F245)/SUMIFS($G$2:G245,$A$2:A245,$A245,$F$2:F245,"&lt;="&amp;$F245)-1)</f>
        <v>0.41231085163611358</v>
      </c>
      <c r="AK245" s="450">
        <f>IF(P245=0,"-",SUMIFS($P$2:P245,$A$2:A245,$A245,$F$2:F245,"&lt;="&amp;$F245)/SUMIFS($H$2:H245,$A$2:A245,$A245,$F$2:F245,"&lt;="&amp;$F245)-1)</f>
        <v>0.63060357953089619</v>
      </c>
      <c r="AL245" s="450">
        <f>IF(Q245=0,"-",SUMIFS($Q$2:Q245,$A$2:A245,$A245,$F$2:F245,"&lt;="&amp;$F245)/SUMIFS($I$2:I245,$A$2:A245,$A245,$F$2:F245,"&lt;="&amp;$F245)-1)</f>
        <v>-0.16625646795031224</v>
      </c>
      <c r="AM245" s="450">
        <f>IFERROR(IF(O245=0,"-",SUMIFS($O$2:O245,$A$2:A245,$A245,$F$2:F245,"&lt;="&amp;$F245)/SUMIFS($K$2:K245,$A$2:A245,$A245,$F$2:F245,"&lt;="&amp;$F245)-1),"")</f>
        <v>0.48111290942814033</v>
      </c>
      <c r="AN245" s="450">
        <f>IFERROR(IF(P245=0,"-",SUMIFS($P$2:P245,$A$2:A245,$A245,$F$2:F245,"&lt;="&amp;$F245)/SUMIFS($L$2:L245,$A$2:A245,$A245,$F$2:F245,"&lt;="&amp;$F245)-1),"")</f>
        <v>0.56064270319365139</v>
      </c>
      <c r="AO245" s="450">
        <f>IFERROR(IF(Q245=0,"-",SUMIFS($Q$2:Q245,$A$2:A245,$A245,$F$2:F245,"&lt;="&amp;$F245)/SUMIFS($M$2:M245,$A$2:A245,$A245,$F$2:F245,"&lt;="&amp;$F245)-1),"")</f>
        <v>-0.14508643041877922</v>
      </c>
      <c r="AP245" s="103">
        <v>90347</v>
      </c>
      <c r="AQ245" s="452">
        <f>'Overall Metrics'!AO250</f>
        <v>0.74934770516710247</v>
      </c>
      <c r="AR245" s="450">
        <f t="shared" si="88"/>
        <v>-90346.250652294839</v>
      </c>
      <c r="AS245" s="453">
        <f>IFERROR(IF(R246=0,"-",AVERAGEIFS($AQ$2:AQ245,$A$2:A245,$A245,$F$2:F245,"&lt;="&amp;$F245)-AVERAGEIFS($AP$2:AP245,$A$2:A245,$A245,$F$2:F245,"&lt;="&amp;$F245)),"")</f>
        <v>-74590.813004893411</v>
      </c>
      <c r="AT245" s="390">
        <f>IFERROR(IF(R246=0,"-",AVERAGEIFS($AQ$2:AQ245,$A$2:A245,A245,$C$2:C245,C245)-AVERAGEIFS($AP$2:AP245,$A$2:A245,A245,$C$2:C245,C245)),"")</f>
        <v>-72428.844537650963</v>
      </c>
      <c r="AU245" s="103">
        <v>50809</v>
      </c>
      <c r="AV245" s="452">
        <f>'Overall Metrics'!AS250</f>
        <v>0</v>
      </c>
      <c r="AW245" s="450" t="str">
        <f t="shared" si="89"/>
        <v/>
      </c>
      <c r="AX245" s="453">
        <f>IFERROR(IF(R249=0,"-",AVERAGEIFS($AV$2:AV245,$A$2:A245,$A245,$F$2:F245,"&lt;="&amp;$F245)-AVERAGEIFS($AU$2:AU245,$A$2:A245,$A245,$F$2:F245,"&lt;="&amp;$F245)),"")</f>
        <v>-73744.138888888891</v>
      </c>
      <c r="AY245" s="453">
        <f>IFERROR(IF(R249=0,"-",AVERAGEIFS($AV$2:AV245,$A$2:A245,A245,$C$2:C245,C245)-AVERAGEIFS($AU$2:AU245,$A$2:A245,A245,$C$2:C245,C245)),"")</f>
        <v>-70294</v>
      </c>
      <c r="AZ245" s="103">
        <v>167588</v>
      </c>
      <c r="BA245" s="449">
        <f>'Glass Metrics'!AC250</f>
        <v>151825</v>
      </c>
      <c r="BB245" s="450">
        <f t="shared" si="90"/>
        <v>-9.4058047115545218E-2</v>
      </c>
      <c r="BC245" s="450">
        <f>IFERROR(IF(R245=0,"-",AVERAGEIFS($BA$2:BA245,$A$2:A245,$A245,$F$2:F245,"&lt;="&amp;$F245)/AVERAGEIFS($AZ$2:AZ245,$A$2:A245,$A245,$F$2:F245,"&lt;="&amp;$F245)-1),"")</f>
        <v>8.1317512756728938E-3</v>
      </c>
      <c r="BD245" s="269">
        <f>IFERROR(IF(R245=0,"-",AVERAGEIFS($BA$2:BA245,$A$2:A245,A245,$C$2:C245,C245)/AVERAGEIFS($AZ$2:AZ245,$A$2:A245,A245,$C$2:C245,C245)-1),"")</f>
        <v>-1.1438821019972956E-2</v>
      </c>
    </row>
    <row r="246" spans="1:56" ht="16.350000000000001" customHeight="1">
      <c r="A246" s="175">
        <f t="shared" si="69"/>
        <v>2025</v>
      </c>
      <c r="B246" s="447" t="str">
        <f t="shared" si="70"/>
        <v>37</v>
      </c>
      <c r="C246" s="447" t="str">
        <f t="array" ref="C246">_xlfn.IFS(_xlfn.NUMBERVALUE(B246)&lt;=13,"Q1",AND(_xlfn.NUMBERVALUE(B246)&gt;13,_xlfn.NUMBERVALUE(B246)&lt;=26),"Q2", AND(_xlfn.NUMBERVALUE(B246)&gt;26,_xlfn.NUMBERVALUE(B246)&lt;=39),"Q3",_xlfn.NUMBERVALUE(B246)&gt;39,"Q4")</f>
        <v>Q3</v>
      </c>
      <c r="D246" s="448">
        <f t="shared" si="91"/>
        <v>45570</v>
      </c>
      <c r="E246" s="448">
        <f t="shared" si="71"/>
        <v>45576</v>
      </c>
      <c r="F246" s="79">
        <v>202437</v>
      </c>
      <c r="G246" s="103">
        <v>83775</v>
      </c>
      <c r="H246" s="429">
        <v>75406</v>
      </c>
      <c r="I246" s="429">
        <v>85140</v>
      </c>
      <c r="J246" s="214">
        <f t="shared" si="72"/>
        <v>244321</v>
      </c>
      <c r="K246" s="103">
        <v>52720</v>
      </c>
      <c r="L246" s="429">
        <v>94499</v>
      </c>
      <c r="M246" s="429">
        <v>59825</v>
      </c>
      <c r="N246" s="214">
        <f t="shared" si="73"/>
        <v>207044</v>
      </c>
      <c r="O246" s="449">
        <f>'Overall Metrics'!L251</f>
        <v>100848.05000000002</v>
      </c>
      <c r="P246" s="449">
        <f>'Overall Metrics'!M251</f>
        <v>107478</v>
      </c>
      <c r="Q246" s="449">
        <f>'Overall Metrics'!N251</f>
        <v>67349.100000000006</v>
      </c>
      <c r="R246" s="449">
        <f t="shared" si="74"/>
        <v>275675.15000000002</v>
      </c>
      <c r="S246" s="180">
        <f t="shared" si="75"/>
        <v>10642645.550000001</v>
      </c>
      <c r="T246" s="449">
        <f t="shared" si="76"/>
        <v>8339210</v>
      </c>
      <c r="U246" s="449">
        <f t="shared" si="77"/>
        <v>8221278</v>
      </c>
      <c r="V246" s="450">
        <f t="shared" si="78"/>
        <v>0.27621747743491309</v>
      </c>
      <c r="W246" s="450">
        <f>IF(R246=0,"-",SUMIFS($R$2:R246,$A$2:A246,A246,$C$2:C246,C246)/SUMIFS($J$2:J246,$A$2:A246,A246,$C$2:C246,C246)-1)</f>
        <v>0.24999783946689047</v>
      </c>
      <c r="X246" s="450">
        <f t="shared" si="79"/>
        <v>0.29452447052635855</v>
      </c>
      <c r="Y246" s="450">
        <f>IFERROR(IF(R246=0,"-",SUMIFS($R$2:R246,$A$2:A246,A246,$C$2:C246,C246)/SUMIFS($N$2:N246,$A$2:A246,A246,$C$2:C246,C246)-1),"")</f>
        <v>0.32284376034095419</v>
      </c>
      <c r="Z246" s="269">
        <f>IF(R246=0,"",(S246/VLOOKUP(_xlfn.NUMBERVALUE(_xlfn.CONCAT(LEFT(F246,4),52)),$F$2:T453,COLUMNS($F$2:T453),FALSE)))</f>
        <v>0.90604769734223689</v>
      </c>
      <c r="AA246" s="269">
        <f>IFERROR(IF(R246=0,"",(S246/VLOOKUP(_xlfn.NUMBERVALUE(_xlfn.CONCAT(LEFT(F246,4),52)),$F$2:U453,COLUMNS($F$2:U453),FALSE))),"")</f>
        <v>0.91489850030908837</v>
      </c>
      <c r="AB246" s="268">
        <f t="shared" si="80"/>
        <v>0.20379647866308592</v>
      </c>
      <c r="AC246" s="450">
        <f t="shared" si="81"/>
        <v>0.42532424475505937</v>
      </c>
      <c r="AD246" s="450">
        <f t="shared" si="82"/>
        <v>-0.20896053558844252</v>
      </c>
      <c r="AE246" s="269">
        <f t="shared" si="83"/>
        <v>0.12833178482406349</v>
      </c>
      <c r="AF246" s="268">
        <f t="shared" si="84"/>
        <v>0.91289927921092606</v>
      </c>
      <c r="AG246" s="450">
        <f t="shared" si="85"/>
        <v>0.13734536873406067</v>
      </c>
      <c r="AH246" s="450">
        <f t="shared" si="86"/>
        <v>0.12576849143334745</v>
      </c>
      <c r="AI246" s="269">
        <f t="shared" si="87"/>
        <v>0.33148098954811545</v>
      </c>
      <c r="AJ246" s="450">
        <f>IF(O246=0,"-",SUMIFS($O$2:O246,$A$2:A246,$A246,$F$2:F246,"&lt;="&amp;$F246)/SUMIFS($G$2:G246,$A$2:A246,$A246,$F$2:F246,"&lt;="&amp;$F246)-1)</f>
        <v>0.40607224068036429</v>
      </c>
      <c r="AK246" s="450">
        <f>IF(P246=0,"-",SUMIFS($P$2:P246,$A$2:A246,$A246,$F$2:F246,"&lt;="&amp;$F246)/SUMIFS($H$2:H246,$A$2:A246,$A246,$F$2:F246,"&lt;="&amp;$F246)-1)</f>
        <v>0.62474786756105272</v>
      </c>
      <c r="AL246" s="450">
        <f>IF(Q246=0,"-",SUMIFS($Q$2:Q246,$A$2:A246,$A246,$F$2:F246,"&lt;="&amp;$F246)/SUMIFS($I$2:I246,$A$2:A246,$A246,$F$2:F246,"&lt;="&amp;$F246)-1)</f>
        <v>-0.167512049642767</v>
      </c>
      <c r="AM246" s="450">
        <f>IFERROR(IF(O246=0,"-",SUMIFS($O$2:O246,$A$2:A246,$A246,$F$2:F246,"&lt;="&amp;$F246)/SUMIFS($K$2:K246,$A$2:A246,$A246,$F$2:F246,"&lt;="&amp;$F246)-1),"")</f>
        <v>0.48972642988713466</v>
      </c>
      <c r="AN246" s="450">
        <f>IFERROR(IF(P246=0,"-",SUMIFS($P$2:P246,$A$2:A246,$A246,$F$2:F246,"&lt;="&amp;$F246)/SUMIFS($L$2:L246,$A$2:A246,$A246,$F$2:F246,"&lt;="&amp;$F246)-1),"")</f>
        <v>0.54624170076603873</v>
      </c>
      <c r="AO246" s="450">
        <f>IFERROR(IF(Q246=0,"-",SUMIFS($Q$2:Q246,$A$2:A246,$A246,$F$2:F246,"&lt;="&amp;$F246)/SUMIFS($M$2:M246,$A$2:A246,$A246,$F$2:F246,"&lt;="&amp;$F246)-1),"")</f>
        <v>-0.13930101084826707</v>
      </c>
      <c r="AP246" s="103">
        <v>55791</v>
      </c>
      <c r="AQ246" s="452">
        <f>'Overall Metrics'!AO251</f>
        <v>0.35283142956915481</v>
      </c>
      <c r="AR246" s="450">
        <f t="shared" si="88"/>
        <v>-55790.647168570431</v>
      </c>
      <c r="AS246" s="453">
        <f>IFERROR(IF(R247=0,"-",AVERAGEIFS($AQ$2:AQ246,$A$2:A246,$A246,$F$2:F246,"&lt;="&amp;$F246)-AVERAGEIFS($AP$2:AP246,$A$2:A246,$A246,$F$2:F246,"&lt;="&amp;$F246)),"")</f>
        <v>-74082.700414722509</v>
      </c>
      <c r="AT246" s="390">
        <f>IFERROR(IF(R247=0,"-",AVERAGEIFS($AQ$2:AQ246,$A$2:A246,A246,$C$2:C246,C246)-AVERAGEIFS($AP$2:AP246,$A$2:A246,A246,$C$2:C246,C246)),"")</f>
        <v>-70916.281140461826</v>
      </c>
      <c r="AU246" s="103">
        <v>87575</v>
      </c>
      <c r="AV246" s="452">
        <f>'Overall Metrics'!AS251</f>
        <v>0</v>
      </c>
      <c r="AW246" s="450" t="str">
        <f t="shared" si="89"/>
        <v/>
      </c>
      <c r="AX246" s="453">
        <f>IFERROR(IF(R250=0,"-",AVERAGEIFS($AV$2:AV246,$A$2:A246,$A246,$F$2:F246,"&lt;="&amp;$F246)-AVERAGEIFS($AU$2:AU246,$A$2:A246,$A246,$F$2:F246,"&lt;="&amp;$F246)),"")</f>
        <v>-74117.945945945947</v>
      </c>
      <c r="AY246" s="453">
        <f>IFERROR(IF(R250=0,"-",AVERAGEIFS($AV$2:AV246,$A$2:A246,A246,$C$2:C246,C246)-AVERAGEIFS($AU$2:AU246,$A$2:A246,A246,$C$2:C246,C246)),"")</f>
        <v>-71865</v>
      </c>
      <c r="AZ246" s="103">
        <v>123542</v>
      </c>
      <c r="BA246" s="449">
        <f>'Glass Metrics'!AC251</f>
        <v>135920</v>
      </c>
      <c r="BB246" s="450">
        <f t="shared" si="90"/>
        <v>0.10019264703501651</v>
      </c>
      <c r="BC246" s="450">
        <f>IFERROR(IF(R246=0,"-",AVERAGEIFS($BA$2:BA246,$A$2:A246,$A246,$F$2:F246,"&lt;="&amp;$F246)/AVERAGEIFS($AZ$2:AZ246,$A$2:A246,$A246,$F$2:F246,"&lt;="&amp;$F246)-1),"")</f>
        <v>1.0183948012064237E-2</v>
      </c>
      <c r="BD246" s="269">
        <f>IFERROR(IF(R246=0,"-",AVERAGEIFS($BA$2:BA246,$A$2:A246,A246,$C$2:C246,C246)/AVERAGEIFS($AZ$2:AZ246,$A$2:A246,A246,$C$2:C246,C246)-1),"")</f>
        <v>-3.1838059859622403E-3</v>
      </c>
    </row>
    <row r="247" spans="1:56" ht="16.350000000000001" customHeight="1">
      <c r="A247" s="175">
        <f t="shared" si="69"/>
        <v>2025</v>
      </c>
      <c r="B247" s="447" t="str">
        <f t="shared" si="70"/>
        <v>38</v>
      </c>
      <c r="C247" s="447" t="str">
        <f t="array" ref="C247">_xlfn.IFS(_xlfn.NUMBERVALUE(B247)&lt;=13,"Q1",AND(_xlfn.NUMBERVALUE(B247)&gt;13,_xlfn.NUMBERVALUE(B247)&lt;=26),"Q2", AND(_xlfn.NUMBERVALUE(B247)&gt;26,_xlfn.NUMBERVALUE(B247)&lt;=39),"Q3",_xlfn.NUMBERVALUE(B247)&gt;39,"Q4")</f>
        <v>Q3</v>
      </c>
      <c r="D247" s="448">
        <f t="shared" si="91"/>
        <v>45577</v>
      </c>
      <c r="E247" s="448">
        <f t="shared" si="71"/>
        <v>45583</v>
      </c>
      <c r="F247" s="79">
        <v>202438</v>
      </c>
      <c r="G247" s="103">
        <v>92774</v>
      </c>
      <c r="H247" s="429">
        <v>99165</v>
      </c>
      <c r="I247" s="429">
        <v>98349</v>
      </c>
      <c r="J247" s="214">
        <f t="shared" si="72"/>
        <v>290288</v>
      </c>
      <c r="K247" s="103">
        <v>68426</v>
      </c>
      <c r="L247" s="429">
        <v>99534</v>
      </c>
      <c r="M247" s="429">
        <v>61451</v>
      </c>
      <c r="N247" s="214">
        <f t="shared" si="73"/>
        <v>229411</v>
      </c>
      <c r="O247" s="449">
        <f>'Overall Metrics'!L252</f>
        <v>96646.2</v>
      </c>
      <c r="P247" s="449">
        <f>'Overall Metrics'!M252</f>
        <v>99932</v>
      </c>
      <c r="Q247" s="449">
        <f>'Overall Metrics'!N252</f>
        <v>68377.399999999994</v>
      </c>
      <c r="R247" s="449">
        <f t="shared" si="74"/>
        <v>264955.59999999998</v>
      </c>
      <c r="S247" s="180">
        <f t="shared" si="75"/>
        <v>10907601.15</v>
      </c>
      <c r="T247" s="449">
        <f t="shared" si="76"/>
        <v>8629498</v>
      </c>
      <c r="U247" s="449">
        <f t="shared" si="77"/>
        <v>8450689</v>
      </c>
      <c r="V247" s="450">
        <f t="shared" si="78"/>
        <v>0.263990228632071</v>
      </c>
      <c r="W247" s="450">
        <f>IF(R247=0,"-",SUMIFS($R$2:R247,$A$2:A247,A247,$C$2:C247,C247)/SUMIFS($J$2:J247,$A$2:A247,A247,$C$2:C247,C247)-1)</f>
        <v>0.2154755221872271</v>
      </c>
      <c r="X247" s="450">
        <f t="shared" si="79"/>
        <v>0.29073512822445613</v>
      </c>
      <c r="Y247" s="450">
        <f>IFERROR(IF(R247=0,"-",SUMIFS($R$2:R247,$A$2:A247,A247,$C$2:C247,C247)/SUMIFS($N$2:N247,$A$2:A247,A247,$C$2:C247,C247)-1),"")</f>
        <v>0.3082248438742341</v>
      </c>
      <c r="Z247" s="269">
        <f>IF(R247=0,"",(S247/VLOOKUP(_xlfn.NUMBERVALUE(_xlfn.CONCAT(LEFT(F247,4),52)),$F$2:T454,COLUMNS($F$2:T454),FALSE)))</f>
        <v>0.92860434551304161</v>
      </c>
      <c r="AA247" s="269">
        <f>IFERROR(IF(R247=0,"",(S247/VLOOKUP(_xlfn.NUMBERVALUE(_xlfn.CONCAT(LEFT(F247,4),52)),$F$2:U454,COLUMNS($F$2:U454),FALSE))),"")</f>
        <v>0.93767549499049963</v>
      </c>
      <c r="AB247" s="268">
        <f t="shared" si="80"/>
        <v>4.1737986935995064E-2</v>
      </c>
      <c r="AC247" s="450">
        <f t="shared" si="81"/>
        <v>7.7345837745173007E-3</v>
      </c>
      <c r="AD247" s="450">
        <f t="shared" si="82"/>
        <v>-0.30474737923110562</v>
      </c>
      <c r="AE247" s="269">
        <f t="shared" si="83"/>
        <v>-8.7266438846938299E-2</v>
      </c>
      <c r="AF247" s="268">
        <f t="shared" si="84"/>
        <v>0.41241925583842387</v>
      </c>
      <c r="AG247" s="450">
        <f t="shared" si="85"/>
        <v>3.9986336327284544E-3</v>
      </c>
      <c r="AH247" s="450">
        <f t="shared" si="86"/>
        <v>0.11271419504971436</v>
      </c>
      <c r="AI247" s="269">
        <f t="shared" si="87"/>
        <v>0.15493851646172141</v>
      </c>
      <c r="AJ247" s="450">
        <f>IF(O247=0,"-",SUMIFS($O$2:O247,$A$2:A247,$A247,$F$2:F247,"&lt;="&amp;$F247)/SUMIFS($G$2:G247,$A$2:A247,$A247,$F$2:F247,"&lt;="&amp;$F247)-1)</f>
        <v>0.39438781348055851</v>
      </c>
      <c r="AK247" s="450">
        <f>IF(P247=0,"-",SUMIFS($P$2:P247,$A$2:A247,$A247,$F$2:F247,"&lt;="&amp;$F247)/SUMIFS($H$2:H247,$A$2:A247,$A247,$F$2:F247,"&lt;="&amp;$F247)-1)</f>
        <v>0.60243847391013761</v>
      </c>
      <c r="AL247" s="450">
        <f>IF(Q247=0,"-",SUMIFS($Q$2:Q247,$A$2:A247,$A247,$F$2:F247,"&lt;="&amp;$F247)/SUMIFS($I$2:I247,$A$2:A247,$A247,$F$2:F247,"&lt;="&amp;$F247)-1)</f>
        <v>-0.17201993401641513</v>
      </c>
      <c r="AM247" s="450">
        <f>IFERROR(IF(O247=0,"-",SUMIFS($O$2:O247,$A$2:A247,$A247,$F$2:F247,"&lt;="&amp;$F247)/SUMIFS($K$2:K247,$A$2:A247,$A247,$F$2:F247,"&lt;="&amp;$F247)-1),"")</f>
        <v>0.48777534631985131</v>
      </c>
      <c r="AN247" s="450">
        <f>IFERROR(IF(P247=0,"-",SUMIFS($P$2:P247,$A$2:A247,$A247,$F$2:F247,"&lt;="&amp;$F247)/SUMIFS($L$2:L247,$A$2:A247,$A247,$F$2:F247,"&lt;="&amp;$F247)-1),"")</f>
        <v>0.52748331711386065</v>
      </c>
      <c r="AO247" s="450">
        <f>IFERROR(IF(Q247=0,"-",SUMIFS($Q$2:Q247,$A$2:A247,$A247,$F$2:F247,"&lt;="&amp;$F247)/SUMIFS($M$2:M247,$A$2:A247,$A247,$F$2:F247,"&lt;="&amp;$F247)-1),"")</f>
        <v>-0.13389040924553863</v>
      </c>
      <c r="AP247" s="103">
        <v>91215</v>
      </c>
      <c r="AQ247" s="452">
        <f>'Overall Metrics'!AO252</f>
        <v>0.28254055676215867</v>
      </c>
      <c r="AR247" s="450">
        <f t="shared" si="88"/>
        <v>-91214.717459443244</v>
      </c>
      <c r="AS247" s="453">
        <f>IFERROR(IF(R248=0,"-",AVERAGEIFS($AQ$2:AQ247,$A$2:A247,$A247,$F$2:F247,"&lt;="&amp;$F247)-AVERAGEIFS($AP$2:AP247,$A$2:A247,$A247,$F$2:F247,"&lt;="&amp;$F247)),"")</f>
        <v>-74533.542968530965</v>
      </c>
      <c r="AT247" s="390">
        <f>IFERROR(IF(R248=0,"-",AVERAGEIFS($AQ$2:AQ247,$A$2:A247,A247,$C$2:C247,C247)-AVERAGEIFS($AP$2:AP247,$A$2:A247,A247,$C$2:C247,C247)),"")</f>
        <v>-72607.817500376943</v>
      </c>
      <c r="AU247" s="103">
        <v>99793</v>
      </c>
      <c r="AV247" s="452">
        <f>'Overall Metrics'!AS252</f>
        <v>0</v>
      </c>
      <c r="AW247" s="450" t="str">
        <f t="shared" si="89"/>
        <v/>
      </c>
      <c r="AX247" s="453">
        <f>IFERROR(IF(R251=0,"-",AVERAGEIFS($AV$2:AV247,$A$2:A247,$A247,$F$2:F247,"&lt;="&amp;$F247)-AVERAGEIFS($AU$2:AU247,$A$2:A247,$A247,$F$2:F247,"&lt;="&amp;$F247)),"")</f>
        <v>-74793.605263157893</v>
      </c>
      <c r="AY247" s="453">
        <f>IFERROR(IF(R251=0,"-",AVERAGEIFS($AV$2:AV247,$A$2:A247,A247,$C$2:C247,C247)-AVERAGEIFS($AU$2:AU247,$A$2:A247,A247,$C$2:C247,C247)),"")</f>
        <v>-74192.333333333328</v>
      </c>
      <c r="AZ247" s="103">
        <v>159848</v>
      </c>
      <c r="BA247" s="449">
        <f>'Glass Metrics'!AC252</f>
        <v>145889</v>
      </c>
      <c r="BB247" s="450">
        <f t="shared" si="90"/>
        <v>-8.7326710374856065E-2</v>
      </c>
      <c r="BC247" s="450">
        <f>IFERROR(IF(R247=0,"-",AVERAGEIFS($BA$2:BA247,$A$2:A247,$A247,$F$2:F247,"&lt;="&amp;$F247)/AVERAGEIFS($AZ$2:AZ247,$A$2:A247,$A247,$F$2:F247,"&lt;="&amp;$F247)-1),"")</f>
        <v>7.4503196564374985E-3</v>
      </c>
      <c r="BD247" s="269">
        <f>IFERROR(IF(R247=0,"-",AVERAGEIFS($BA$2:BA247,$A$2:A247,A247,$C$2:C247,C247)/AVERAGEIFS($AZ$2:AZ247,$A$2:A247,A247,$C$2:C247,C247)-1),"")</f>
        <v>-1.0531606291211637E-2</v>
      </c>
    </row>
    <row r="248" spans="1:56" ht="16.350000000000001" customHeight="1">
      <c r="A248" s="175">
        <f t="shared" si="69"/>
        <v>2025</v>
      </c>
      <c r="B248" s="447" t="str">
        <f t="shared" si="70"/>
        <v>39</v>
      </c>
      <c r="C248" s="447" t="str">
        <f t="array" ref="C248">_xlfn.IFS(_xlfn.NUMBERVALUE(B248)&lt;=13,"Q1",AND(_xlfn.NUMBERVALUE(B248)&gt;13,_xlfn.NUMBERVALUE(B248)&lt;=26),"Q2", AND(_xlfn.NUMBERVALUE(B248)&gt;26,_xlfn.NUMBERVALUE(B248)&lt;=39),"Q3",_xlfn.NUMBERVALUE(B248)&gt;39,"Q4")</f>
        <v>Q3</v>
      </c>
      <c r="D248" s="448">
        <f t="shared" si="91"/>
        <v>45584</v>
      </c>
      <c r="E248" s="448">
        <f t="shared" si="71"/>
        <v>45590</v>
      </c>
      <c r="F248" s="79">
        <v>202439</v>
      </c>
      <c r="G248" s="103">
        <v>84974</v>
      </c>
      <c r="H248" s="429">
        <v>88262</v>
      </c>
      <c r="I248" s="429">
        <v>94768</v>
      </c>
      <c r="J248" s="214">
        <f t="shared" si="72"/>
        <v>268004</v>
      </c>
      <c r="K248" s="103">
        <v>78301</v>
      </c>
      <c r="L248" s="429">
        <v>66453</v>
      </c>
      <c r="M248" s="429">
        <v>58736</v>
      </c>
      <c r="N248" s="214">
        <f t="shared" si="73"/>
        <v>203490</v>
      </c>
      <c r="O248" s="449">
        <f>'Overall Metrics'!L253</f>
        <v>111161.19999999998</v>
      </c>
      <c r="P248" s="449">
        <f>'Overall Metrics'!M253</f>
        <v>123936</v>
      </c>
      <c r="Q248" s="449">
        <f>'Overall Metrics'!N253</f>
        <v>67402.399999999994</v>
      </c>
      <c r="R248" s="449">
        <f t="shared" si="74"/>
        <v>302499.59999999998</v>
      </c>
      <c r="S248" s="180">
        <f t="shared" si="75"/>
        <v>11210100.75</v>
      </c>
      <c r="T248" s="449">
        <f t="shared" si="76"/>
        <v>8897502</v>
      </c>
      <c r="U248" s="449">
        <f t="shared" si="77"/>
        <v>8654179</v>
      </c>
      <c r="V248" s="450">
        <f t="shared" si="78"/>
        <v>0.2599155077458819</v>
      </c>
      <c r="W248" s="450">
        <f>IF(R248=0,"-",SUMIFS($R$2:R248,$A$2:A248,A248,$C$2:C248,C248)/SUMIFS($J$2:J248,$A$2:A248,A248,$C$2:C248,C248)-1)</f>
        <v>0.20798422015747642</v>
      </c>
      <c r="X248" s="450">
        <f t="shared" si="79"/>
        <v>0.29533959836051471</v>
      </c>
      <c r="Y248" s="450">
        <f>IFERROR(IF(R248=0,"-",SUMIFS($R$2:R248,$A$2:A248,A248,$C$2:C248,C248)/SUMIFS($N$2:N248,$A$2:A248,A248,$C$2:C248,C248)-1),"")</f>
        <v>0.32100990528064388</v>
      </c>
      <c r="Z248" s="269">
        <f>IF(R248=0,"",(S248/VLOOKUP(_xlfn.NUMBERVALUE(_xlfn.CONCAT(LEFT(F248,4),52)),$F$2:T455,COLUMNS($F$2:T455),FALSE)))</f>
        <v>0.95435725297757212</v>
      </c>
      <c r="AA248" s="269">
        <f>IFERROR(IF(R248=0,"",(S248/VLOOKUP(_xlfn.NUMBERVALUE(_xlfn.CONCAT(LEFT(F248,4),52)),$F$2:U455,COLUMNS($F$2:U455),FALSE))),"")</f>
        <v>0.96367997189277688</v>
      </c>
      <c r="AB248" s="268">
        <f t="shared" si="80"/>
        <v>0.3081789723915549</v>
      </c>
      <c r="AC248" s="450">
        <f t="shared" si="81"/>
        <v>0.40418300061181478</v>
      </c>
      <c r="AD248" s="450">
        <f t="shared" si="82"/>
        <v>-0.28876413979402338</v>
      </c>
      <c r="AE248" s="269">
        <f t="shared" si="83"/>
        <v>0.12871300428351806</v>
      </c>
      <c r="AF248" s="268">
        <f t="shared" si="84"/>
        <v>0.41966513837626573</v>
      </c>
      <c r="AG248" s="450">
        <f t="shared" si="85"/>
        <v>0.86501738070515999</v>
      </c>
      <c r="AH248" s="450">
        <f t="shared" si="86"/>
        <v>0.14754835194769811</v>
      </c>
      <c r="AI248" s="269">
        <f t="shared" si="87"/>
        <v>0.48655757039657965</v>
      </c>
      <c r="AJ248" s="450">
        <f>IF(O248=0,"-",SUMIFS($O$2:O248,$A$2:A248,$A248,$F$2:F248,"&lt;="&amp;$F248)/SUMIFS($G$2:G248,$A$2:A248,$A248,$F$2:F248,"&lt;="&amp;$F248)-1)</f>
        <v>0.39192775348859232</v>
      </c>
      <c r="AK248" s="450">
        <f>IF(P248=0,"-",SUMIFS($P$2:P248,$A$2:A248,$A248,$F$2:F248,"&lt;="&amp;$F248)/SUMIFS($H$2:H248,$A$2:A248,$A248,$F$2:F248,"&lt;="&amp;$F248)-1)</f>
        <v>0.59625720491762446</v>
      </c>
      <c r="AL248" s="450">
        <f>IF(Q248=0,"-",SUMIFS($Q$2:Q248,$A$2:A248,$A248,$F$2:F248,"&lt;="&amp;$F248)/SUMIFS($I$2:I248,$A$2:A248,$A248,$F$2:F248,"&lt;="&amp;$F248)-1)</f>
        <v>-0.17560172957797193</v>
      </c>
      <c r="AM248" s="450">
        <f>IFERROR(IF(O248=0,"-",SUMIFS($O$2:O248,$A$2:A248,$A248,$F$2:F248,"&lt;="&amp;$F248)/SUMIFS($K$2:K248,$A$2:A248,$A248,$F$2:F248,"&lt;="&amp;$F248)-1),"")</f>
        <v>0.4858635150167252</v>
      </c>
      <c r="AN248" s="450">
        <f>IFERROR(IF(P248=0,"-",SUMIFS($P$2:P248,$A$2:A248,$A248,$F$2:F248,"&lt;="&amp;$F248)/SUMIFS($L$2:L248,$A$2:A248,$A248,$F$2:F248,"&lt;="&amp;$F248)-1),"")</f>
        <v>0.53510315244357942</v>
      </c>
      <c r="AO248" s="450">
        <f>IFERROR(IF(Q248=0,"-",SUMIFS($Q$2:Q248,$A$2:A248,$A248,$F$2:F248,"&lt;="&amp;$F248)/SUMIFS($M$2:M248,$A$2:A248,$A248,$F$2:F248,"&lt;="&amp;$F248)-1),"")</f>
        <v>-0.12823119318946274</v>
      </c>
      <c r="AP248" s="103">
        <v>84281</v>
      </c>
      <c r="AQ248" s="452">
        <f>'Overall Metrics'!AO253</f>
        <v>0.82558652275964661</v>
      </c>
      <c r="AR248" s="450">
        <f t="shared" si="88"/>
        <v>-84280.174413477245</v>
      </c>
      <c r="AS248" s="453">
        <f>IFERROR(IF(R249=0,"-",AVERAGEIFS($AQ$2:AQ248,$A$2:A248,$A248,$F$2:F248,"&lt;="&amp;$F248)-AVERAGEIFS($AP$2:AP248,$A$2:A248,$A248,$F$2:F248,"&lt;="&amp;$F248)),"")</f>
        <v>-74783.456595324446</v>
      </c>
      <c r="AT248" s="390">
        <f>IFERROR(IF(R249=0,"-",AVERAGEIFS($AQ$2:AQ248,$A$2:A248,A248,$C$2:C248,C248)-AVERAGEIFS($AP$2:AP248,$A$2:A248,A248,$C$2:C248,C248)),"")</f>
        <v>-73505.691109076972</v>
      </c>
      <c r="AU248" s="103">
        <v>56566</v>
      </c>
      <c r="AV248" s="452">
        <f>'Overall Metrics'!AS253</f>
        <v>0</v>
      </c>
      <c r="AW248" s="450" t="str">
        <f t="shared" si="89"/>
        <v/>
      </c>
      <c r="AX248" s="453">
        <f>IFERROR(IF(R252=0,"-",AVERAGEIFS($AV$2:AV248,$A$2:A248,$A248,$F$2:F248,"&lt;="&amp;$F248)-AVERAGEIFS($AU$2:AU248,$A$2:A248,$A248,$F$2:F248,"&lt;="&amp;$F248)),"")</f>
        <v>-74326.230769230766</v>
      </c>
      <c r="AY248" s="453">
        <f>IFERROR(IF(R252=0,"-",AVERAGEIFS($AV$2:AV248,$A$2:A248,A248,$C$2:C248,C248)-AVERAGEIFS($AU$2:AU248,$A$2:A248,A248,$C$2:C248,C248)),"")</f>
        <v>-72836.461538461532</v>
      </c>
      <c r="AZ248" s="103">
        <v>140645</v>
      </c>
      <c r="BA248" s="449">
        <f>'Glass Metrics'!AC253</f>
        <v>149517</v>
      </c>
      <c r="BB248" s="450">
        <f t="shared" si="90"/>
        <v>6.3080806285328306E-2</v>
      </c>
      <c r="BC248" s="450">
        <f>IFERROR(IF(R248=0,"-",AVERAGEIFS($BA$2:BA248,$A$2:A248,$A248,$F$2:F248,"&lt;="&amp;$F248)/AVERAGEIFS($AZ$2:AZ248,$A$2:A248,$A248,$F$2:F248,"&lt;="&amp;$F248)-1),"")</f>
        <v>8.78948705256688E-3</v>
      </c>
      <c r="BD248" s="269">
        <f>IFERROR(IF(R248=0,"-",AVERAGEIFS($BA$2:BA248,$A$2:A248,A248,$C$2:C248,C248)/AVERAGEIFS($AZ$2:AZ248,$A$2:A248,A248,$C$2:C248,C248)-1),"")</f>
        <v>-5.2791919376399266E-3</v>
      </c>
    </row>
    <row r="249" spans="1:56" ht="16.350000000000001" customHeight="1">
      <c r="A249" s="175">
        <f t="shared" si="69"/>
        <v>2025</v>
      </c>
      <c r="B249" s="447" t="str">
        <f t="shared" si="70"/>
        <v>40</v>
      </c>
      <c r="C249" s="447" t="str">
        <f t="array" ref="C249">_xlfn.IFS(_xlfn.NUMBERVALUE(B249)&lt;=13,"Q1",AND(_xlfn.NUMBERVALUE(B249)&gt;13,_xlfn.NUMBERVALUE(B249)&lt;=26),"Q2", AND(_xlfn.NUMBERVALUE(B249)&gt;26,_xlfn.NUMBERVALUE(B249)&lt;=39),"Q3",_xlfn.NUMBERVALUE(B249)&gt;39,"Q4")</f>
        <v>Q4</v>
      </c>
      <c r="D249" s="448">
        <f t="shared" si="91"/>
        <v>45591</v>
      </c>
      <c r="E249" s="448">
        <f t="shared" si="71"/>
        <v>45597</v>
      </c>
      <c r="F249" s="79">
        <v>202440</v>
      </c>
      <c r="G249" s="103">
        <v>88793</v>
      </c>
      <c r="H249" s="429">
        <v>57588</v>
      </c>
      <c r="I249" s="429">
        <v>94689</v>
      </c>
      <c r="J249" s="214">
        <f t="shared" si="72"/>
        <v>241070</v>
      </c>
      <c r="K249" s="103">
        <v>57727</v>
      </c>
      <c r="L249" s="429">
        <v>84836</v>
      </c>
      <c r="M249" s="429">
        <v>85763</v>
      </c>
      <c r="N249" s="214">
        <f t="shared" si="73"/>
        <v>228326</v>
      </c>
      <c r="O249" s="449">
        <f>'Overall Metrics'!L254</f>
        <v>91850.049999999988</v>
      </c>
      <c r="P249" s="449">
        <f>'Overall Metrics'!M254</f>
        <v>105197</v>
      </c>
      <c r="Q249" s="449">
        <f>'Overall Metrics'!N254</f>
        <v>52204.100000000006</v>
      </c>
      <c r="R249" s="449">
        <f t="shared" si="74"/>
        <v>249251.15</v>
      </c>
      <c r="S249" s="180">
        <f t="shared" si="75"/>
        <v>11459351.9</v>
      </c>
      <c r="T249" s="449">
        <f t="shared" si="76"/>
        <v>9138572</v>
      </c>
      <c r="U249" s="449">
        <f t="shared" si="77"/>
        <v>8882505</v>
      </c>
      <c r="V249" s="450">
        <f t="shared" si="78"/>
        <v>0.25395432678103314</v>
      </c>
      <c r="W249" s="450">
        <f>IF(R249=0,"-",SUMIFS($R$2:R249,$A$2:A249,A249,$C$2:C249,C249)/SUMIFS($J$2:J249,$A$2:A249,A249,$C$2:C249,C249)-1)</f>
        <v>3.3936823329323351E-2</v>
      </c>
      <c r="X249" s="450">
        <f t="shared" si="79"/>
        <v>0.29010362504721354</v>
      </c>
      <c r="Y249" s="450">
        <f>IFERROR(IF(R249=0,"-",SUMIFS($R$2:R249,$A$2:A249,A249,$C$2:C249,C249)/SUMIFS($N$2:N249,$A$2:A249,A249,$C$2:C249,C249)-1),"")</f>
        <v>9.1645936073859291E-2</v>
      </c>
      <c r="Z249" s="269">
        <f>IF(R249=0,"",(S249/VLOOKUP(_xlfn.NUMBERVALUE(_xlfn.CONCAT(LEFT(F249,4),52)),$F$2:T456,COLUMNS($F$2:T456),FALSE)))</f>
        <v>0.97557692335524482</v>
      </c>
      <c r="AA249" s="269">
        <f>IFERROR(IF(R249=0,"",(S249/VLOOKUP(_xlfn.NUMBERVALUE(_xlfn.CONCAT(LEFT(F249,4),52)),$F$2:U456,COLUMNS($F$2:U456),FALSE))),"")</f>
        <v>0.98510692840128478</v>
      </c>
      <c r="AB249" s="268">
        <f t="shared" si="80"/>
        <v>3.4428952732760365E-2</v>
      </c>
      <c r="AC249" s="450">
        <f t="shared" si="81"/>
        <v>0.82671737167465453</v>
      </c>
      <c r="AD249" s="450">
        <f t="shared" si="82"/>
        <v>-0.44867830476612902</v>
      </c>
      <c r="AE249" s="269">
        <f t="shared" si="83"/>
        <v>3.3936823329323351E-2</v>
      </c>
      <c r="AF249" s="268">
        <f t="shared" si="84"/>
        <v>0.59111074540509612</v>
      </c>
      <c r="AG249" s="450">
        <f t="shared" si="85"/>
        <v>0.24000424348154081</v>
      </c>
      <c r="AH249" s="450">
        <f t="shared" si="86"/>
        <v>-0.3912981122395438</v>
      </c>
      <c r="AI249" s="269">
        <f t="shared" si="87"/>
        <v>9.1645936073859291E-2</v>
      </c>
      <c r="AJ249" s="450">
        <f>IF(O249=0,"-",SUMIFS($O$2:O249,$A$2:A249,$A249,$F$2:F249,"&lt;="&amp;$F249)/SUMIFS($G$2:G249,$A$2:A249,$A249,$F$2:F249,"&lt;="&amp;$F249)-1)</f>
        <v>0.38157632142752318</v>
      </c>
      <c r="AK249" s="450">
        <f>IF(P249=0,"-",SUMIFS($P$2:P249,$A$2:A249,$A249,$F$2:F249,"&lt;="&amp;$F249)/SUMIFS($H$2:H249,$A$2:A249,$A249,$F$2:F249,"&lt;="&amp;$F249)-1)</f>
        <v>0.60085193980059315</v>
      </c>
      <c r="AL249" s="450">
        <f>IF(Q249=0,"-",SUMIFS($Q$2:Q249,$A$2:A249,$A249,$F$2:F249,"&lt;="&amp;$F249)/SUMIFS($I$2:I249,$A$2:A249,$A249,$F$2:F249,"&lt;="&amp;$F249)-1)</f>
        <v>-0.18372394209581489</v>
      </c>
      <c r="AM249" s="450">
        <f>IFERROR(IF(O249=0,"-",SUMIFS($O$2:O249,$A$2:A249,$A249,$F$2:F249,"&lt;="&amp;$F249)/SUMIFS($K$2:K249,$A$2:A249,$A249,$F$2:F249,"&lt;="&amp;$F249)-1),"")</f>
        <v>0.48799736587935727</v>
      </c>
      <c r="AN249" s="450">
        <f>IFERROR(IF(P249=0,"-",SUMIFS($P$2:P249,$A$2:A249,$A249,$F$2:F249,"&lt;="&amp;$F249)/SUMIFS($L$2:L249,$A$2:A249,$A249,$F$2:F249,"&lt;="&amp;$F249)-1),"")</f>
        <v>0.52683665022392345</v>
      </c>
      <c r="AO249" s="450">
        <f>IFERROR(IF(Q249=0,"-",SUMIFS($Q$2:Q249,$A$2:A249,$A249,$F$2:F249,"&lt;="&amp;$F249)/SUMIFS($M$2:M249,$A$2:A249,$A249,$F$2:F249,"&lt;="&amp;$F249)-1),"")</f>
        <v>-0.13573473958399163</v>
      </c>
      <c r="AP249" s="103">
        <v>87262</v>
      </c>
      <c r="AQ249" s="452">
        <f>'Overall Metrics'!AO254</f>
        <v>0.81836359010612159</v>
      </c>
      <c r="AR249" s="450">
        <f t="shared" si="88"/>
        <v>-87261.181636409892</v>
      </c>
      <c r="AS249" s="453">
        <f>IFERROR(IF(R250=0,"-",AVERAGEIFS($AQ$2:AQ249,$A$2:A249,$A249,$F$2:F249,"&lt;="&amp;$F249)-AVERAGEIFS($AP$2:AP249,$A$2:A249,$A249,$F$2:F249,"&lt;="&amp;$F249)),"")</f>
        <v>-75095.399721351583</v>
      </c>
      <c r="AT249" s="390">
        <f>IFERROR(IF(R250=0,"-",AVERAGEIFS($AQ$2:AQ249,$A$2:A249,A249,$C$2:C249,C249)-AVERAGEIFS($AP$2:AP249,$A$2:A249,A249,$C$2:C249,C249)),"")</f>
        <v>-87261.181636409892</v>
      </c>
      <c r="AU249" s="103">
        <v>63824</v>
      </c>
      <c r="AV249" s="452">
        <f>'Overall Metrics'!AS254</f>
        <v>0</v>
      </c>
      <c r="AW249" s="450" t="str">
        <f t="shared" si="89"/>
        <v/>
      </c>
      <c r="AX249" s="453">
        <f>IFERROR(IF(R253=0,"-",AVERAGEIFS($AV$2:AV249,$A$2:A249,$A249,$F$2:F249,"&lt;="&amp;$F249)-AVERAGEIFS($AU$2:AU249,$A$2:A249,$A249,$F$2:F249,"&lt;="&amp;$F249)),"")</f>
        <v>-74063.675000000003</v>
      </c>
      <c r="AY249" s="453">
        <f>IFERROR(IF(R253=0,"-",AVERAGEIFS($AV$2:AV249,$A$2:A249,A249,$C$2:C249,C249)-AVERAGEIFS($AU$2:AU249,$A$2:A249,A249,$C$2:C249,C249)),"")</f>
        <v>-63824</v>
      </c>
      <c r="AZ249" s="103">
        <v>175861</v>
      </c>
      <c r="BA249" s="449">
        <f>'Glass Metrics'!AC254</f>
        <v>119492</v>
      </c>
      <c r="BB249" s="450">
        <f t="shared" si="90"/>
        <v>-0.32053155617220419</v>
      </c>
      <c r="BC249" s="450">
        <f>IFERROR(IF(R249=0,"-",AVERAGEIFS($BA$2:BA249,$A$2:A249,$A249,$F$2:F249,"&lt;="&amp;$F249)/AVERAGEIFS($AZ$2:AZ249,$A$2:A249,$A249,$F$2:F249,"&lt;="&amp;$F249)-1),"")</f>
        <v>-8.3344285840325494E-4</v>
      </c>
      <c r="BD249" s="269">
        <f>IFERROR(IF(R249=0,"-",AVERAGEIFS($BA$2:BA249,$A$2:A249,A249,$C$2:C249,C249)/AVERAGEIFS($AZ$2:AZ249,$A$2:A249,A249,$C$2:C249,C249)-1),"")</f>
        <v>-0.32053155617220419</v>
      </c>
    </row>
    <row r="250" spans="1:56" ht="16.350000000000001" customHeight="1">
      <c r="A250" s="175">
        <f t="shared" si="69"/>
        <v>2025</v>
      </c>
      <c r="B250" s="447" t="str">
        <f t="shared" si="70"/>
        <v>41</v>
      </c>
      <c r="C250" s="447" t="str">
        <f t="array" ref="C250">_xlfn.IFS(_xlfn.NUMBERVALUE(B250)&lt;=13,"Q1",AND(_xlfn.NUMBERVALUE(B250)&gt;13,_xlfn.NUMBERVALUE(B250)&lt;=26),"Q2", AND(_xlfn.NUMBERVALUE(B250)&gt;26,_xlfn.NUMBERVALUE(B250)&lt;=39),"Q3",_xlfn.NUMBERVALUE(B250)&gt;39,"Q4")</f>
        <v>Q4</v>
      </c>
      <c r="D250" s="448">
        <f t="shared" si="91"/>
        <v>45598</v>
      </c>
      <c r="E250" s="448">
        <f t="shared" si="71"/>
        <v>45604</v>
      </c>
      <c r="F250" s="79">
        <v>202441</v>
      </c>
      <c r="G250" s="103">
        <v>87411</v>
      </c>
      <c r="H250" s="429">
        <v>71742</v>
      </c>
      <c r="I250" s="429">
        <v>91870</v>
      </c>
      <c r="J250" s="214">
        <f t="shared" si="72"/>
        <v>251023</v>
      </c>
      <c r="K250" s="103">
        <v>61770</v>
      </c>
      <c r="L250" s="429">
        <v>80890</v>
      </c>
      <c r="M250" s="429">
        <v>76497</v>
      </c>
      <c r="N250" s="214">
        <f t="shared" si="73"/>
        <v>219157</v>
      </c>
      <c r="O250" s="449">
        <f>'Overall Metrics'!L255</f>
        <v>109966.65000000001</v>
      </c>
      <c r="P250" s="449">
        <f>'Overall Metrics'!M255</f>
        <v>133503</v>
      </c>
      <c r="Q250" s="449">
        <f>'Overall Metrics'!N255</f>
        <v>53054.3</v>
      </c>
      <c r="R250" s="449">
        <f t="shared" si="74"/>
        <v>296523.95</v>
      </c>
      <c r="S250" s="180">
        <f t="shared" si="75"/>
        <v>11755875.85</v>
      </c>
      <c r="T250" s="449">
        <f t="shared" si="76"/>
        <v>9389595</v>
      </c>
      <c r="U250" s="449">
        <f t="shared" si="77"/>
        <v>9101662</v>
      </c>
      <c r="V250" s="450">
        <f t="shared" si="78"/>
        <v>0.25201096000413226</v>
      </c>
      <c r="W250" s="450">
        <f>IF(R250=0,"-",SUMIFS($R$2:R250,$A$2:A250,A250,$C$2:C250,C250)/SUMIFS($J$2:J250,$A$2:A250,A250,$C$2:C250,C250)-1)</f>
        <v>0.10908933880384386</v>
      </c>
      <c r="X250" s="450">
        <f t="shared" si="79"/>
        <v>0.29161859119795919</v>
      </c>
      <c r="Y250" s="450">
        <f>IFERROR(IF(R250=0,"-",SUMIFS($R$2:R250,$A$2:A250,A250,$C$2:C250,C250)/SUMIFS($N$2:N250,$A$2:A250,A250,$C$2:C250,C250)-1),"")</f>
        <v>0.21965549529255846</v>
      </c>
      <c r="Z250" s="269">
        <f>IF(R250=0,"",(S250/VLOOKUP(_xlfn.NUMBERVALUE(_xlfn.CONCAT(LEFT(F250,4),52)),$F$2:T457,COLUMNS($F$2:T457),FALSE)))</f>
        <v>1.0008211016793387</v>
      </c>
      <c r="AA250" s="269">
        <f>IFERROR(IF(R250=0,"",(S250/VLOOKUP(_xlfn.NUMBERVALUE(_xlfn.CONCAT(LEFT(F250,4),52)),$F$2:U457,COLUMNS($F$2:U457),FALSE))),"")</f>
        <v>1.0105977065998246</v>
      </c>
      <c r="AB250" s="268">
        <f t="shared" si="80"/>
        <v>0.25804132203040808</v>
      </c>
      <c r="AC250" s="450">
        <f t="shared" si="81"/>
        <v>0.86087647403194789</v>
      </c>
      <c r="AD250" s="450">
        <f t="shared" si="82"/>
        <v>-0.42250680309132471</v>
      </c>
      <c r="AE250" s="269">
        <f t="shared" si="83"/>
        <v>0.18126207558669938</v>
      </c>
      <c r="AF250" s="268">
        <f t="shared" si="84"/>
        <v>0.7802598348712968</v>
      </c>
      <c r="AG250" s="450">
        <f t="shared" si="85"/>
        <v>0.6504265051304241</v>
      </c>
      <c r="AH250" s="450">
        <f t="shared" si="86"/>
        <v>-0.30645254062250804</v>
      </c>
      <c r="AI250" s="269">
        <f t="shared" si="87"/>
        <v>0.35302066555026768</v>
      </c>
      <c r="AJ250" s="450">
        <f>IF(O250=0,"-",SUMIFS($O$2:O250,$A$2:A250,$A250,$F$2:F250,"&lt;="&amp;$F250)/SUMIFS($G$2:G250,$A$2:A250,$A250,$F$2:F250,"&lt;="&amp;$F250)-1)</f>
        <v>0.37815261093836661</v>
      </c>
      <c r="AK250" s="450">
        <f>IF(P250=0,"-",SUMIFS($P$2:P250,$A$2:A250,$A250,$F$2:F250,"&lt;="&amp;$F250)/SUMIFS($H$2:H250,$A$2:A250,$A250,$F$2:F250,"&lt;="&amp;$F250)-1)</f>
        <v>0.60715375164388741</v>
      </c>
      <c r="AL250" s="450">
        <f>IF(Q250=0,"-",SUMIFS($Q$2:Q250,$A$2:A250,$A250,$F$2:F250,"&lt;="&amp;$F250)/SUMIFS($I$2:I250,$A$2:A250,$A250,$F$2:F250,"&lt;="&amp;$F250)-1)</f>
        <v>-0.19042142880040802</v>
      </c>
      <c r="AM250" s="450">
        <f>IFERROR(IF(O250=0,"-",SUMIFS($O$2:O250,$A$2:A250,$A250,$F$2:F250,"&lt;="&amp;$F250)/SUMIFS($K$2:K250,$A$2:A250,$A250,$F$2:F250,"&lt;="&amp;$F250)-1),"")</f>
        <v>0.49420325401681686</v>
      </c>
      <c r="AN250" s="450">
        <f>IFERROR(IF(P250=0,"-",SUMIFS($P$2:P250,$A$2:A250,$A250,$F$2:F250,"&lt;="&amp;$F250)/SUMIFS($L$2:L250,$A$2:A250,$A250,$F$2:F250,"&lt;="&amp;$F250)-1),"")</f>
        <v>0.53005182063685385</v>
      </c>
      <c r="AO250" s="450">
        <f>IFERROR(IF(Q250=0,"-",SUMIFS($Q$2:Q250,$A$2:A250,$A250,$F$2:F250,"&lt;="&amp;$F250)/SUMIFS($M$2:M250,$A$2:A250,$A250,$F$2:F250,"&lt;="&amp;$F250)-1),"")</f>
        <v>-0.13997031716074826</v>
      </c>
      <c r="AP250" s="103">
        <v>88189</v>
      </c>
      <c r="AQ250" s="452">
        <f>'Overall Metrics'!AO255</f>
        <v>0.24906326838848863</v>
      </c>
      <c r="AR250" s="450">
        <f t="shared" si="88"/>
        <v>-88188.750936731609</v>
      </c>
      <c r="AS250" s="453">
        <f>IFERROR(IF(R251=0,"-",AVERAGEIFS($AQ$2:AQ250,$A$2:A250,$A250,$F$2:F250,"&lt;="&amp;$F250)-AVERAGEIFS($AP$2:AP250,$A$2:A250,$A250,$F$2:F250,"&lt;="&amp;$F250)),"")</f>
        <v>-75414.749750995004</v>
      </c>
      <c r="AT250" s="390">
        <f>IFERROR(IF(R251=0,"-",AVERAGEIFS($AQ$2:AQ250,$A$2:A250,A250,$C$2:C250,C250)-AVERAGEIFS($AP$2:AP250,$A$2:A250,A250,$C$2:C250,C250)),"")</f>
        <v>-87724.966286570751</v>
      </c>
      <c r="AU250" s="103">
        <v>83893</v>
      </c>
      <c r="AV250" s="452">
        <f>'Overall Metrics'!AS255</f>
        <v>0</v>
      </c>
      <c r="AW250" s="450" t="str">
        <f t="shared" si="89"/>
        <v/>
      </c>
      <c r="AX250" s="453">
        <f>IFERROR(IF(R254=0,"-",AVERAGEIFS($AV$2:AV250,$A$2:A250,$A250,$F$2:F250,"&lt;="&amp;$F250)-AVERAGEIFS($AU$2:AU250,$A$2:A250,$A250,$F$2:F250,"&lt;="&amp;$F250)),"")</f>
        <v>-74303.414634146335</v>
      </c>
      <c r="AY250" s="453">
        <f>IFERROR(IF(R254=0,"-",AVERAGEIFS($AV$2:AV250,$A$2:A250,A250,$C$2:C250,C250)-AVERAGEIFS($AU$2:AU250,$A$2:A250,A250,$C$2:C250,C250)),"")</f>
        <v>-73858.5</v>
      </c>
      <c r="AZ250" s="103">
        <v>196813</v>
      </c>
      <c r="BA250" s="449">
        <f>'Glass Metrics'!AC255</f>
        <v>152636</v>
      </c>
      <c r="BB250" s="450">
        <f t="shared" si="90"/>
        <v>-0.22446179876329309</v>
      </c>
      <c r="BC250" s="450">
        <f>IFERROR(IF(R250=0,"-",AVERAGEIFS($BA$2:BA250,$A$2:A250,$A250,$F$2:F250,"&lt;="&amp;$F250)/AVERAGEIFS($AZ$2:AZ250,$A$2:A250,$A250,$F$2:F250,"&lt;="&amp;$F250)-1),"")</f>
        <v>-7.9149224275495422E-3</v>
      </c>
      <c r="BD250" s="269">
        <f>IFERROR(IF(R250=0,"-",AVERAGEIFS($BA$2:BA250,$A$2:A250,A250,$C$2:C250,C250)/AVERAGEIFS($AZ$2:AZ250,$A$2:A250,A250,$C$2:C250,C250)-1),"")</f>
        <v>-0.26979612207988757</v>
      </c>
    </row>
    <row r="251" spans="1:56" ht="16.350000000000001" customHeight="1">
      <c r="A251" s="175">
        <f t="shared" si="69"/>
        <v>2025</v>
      </c>
      <c r="B251" s="447" t="str">
        <f t="shared" si="70"/>
        <v>42</v>
      </c>
      <c r="C251" s="447" t="str">
        <f t="array" ref="C251">_xlfn.IFS(_xlfn.NUMBERVALUE(B251)&lt;=13,"Q1",AND(_xlfn.NUMBERVALUE(B251)&gt;13,_xlfn.NUMBERVALUE(B251)&lt;=26),"Q2", AND(_xlfn.NUMBERVALUE(B251)&gt;26,_xlfn.NUMBERVALUE(B251)&lt;=39),"Q3",_xlfn.NUMBERVALUE(B251)&gt;39,"Q4")</f>
        <v>Q4</v>
      </c>
      <c r="D251" s="448">
        <f t="shared" si="91"/>
        <v>45605</v>
      </c>
      <c r="E251" s="448">
        <f t="shared" si="71"/>
        <v>45611</v>
      </c>
      <c r="F251" s="79">
        <v>202442</v>
      </c>
      <c r="G251" s="103">
        <v>50409</v>
      </c>
      <c r="H251" s="429">
        <v>93138</v>
      </c>
      <c r="I251" s="429">
        <v>93402</v>
      </c>
      <c r="J251" s="214">
        <f t="shared" si="72"/>
        <v>236949</v>
      </c>
      <c r="K251" s="103">
        <v>88305</v>
      </c>
      <c r="L251" s="429">
        <v>68136</v>
      </c>
      <c r="M251" s="429">
        <v>74445</v>
      </c>
      <c r="N251" s="214">
        <f t="shared" si="73"/>
        <v>230886</v>
      </c>
      <c r="O251" s="449">
        <f>'Overall Metrics'!L256</f>
        <v>125840.24999999999</v>
      </c>
      <c r="P251" s="449">
        <f>'Overall Metrics'!M256</f>
        <v>153707</v>
      </c>
      <c r="Q251" s="449">
        <f>'Overall Metrics'!N256</f>
        <v>59546.5</v>
      </c>
      <c r="R251" s="449">
        <f t="shared" si="74"/>
        <v>339093.75</v>
      </c>
      <c r="S251" s="180">
        <f t="shared" si="75"/>
        <v>12094969.6</v>
      </c>
      <c r="T251" s="449">
        <f t="shared" si="76"/>
        <v>9626544</v>
      </c>
      <c r="U251" s="449">
        <f t="shared" si="77"/>
        <v>9332548</v>
      </c>
      <c r="V251" s="450">
        <f t="shared" si="78"/>
        <v>0.25641866904675226</v>
      </c>
      <c r="W251" s="450">
        <f>IF(R251=0,"-",SUMIFS($R$2:R251,$A$2:A251,A251,$C$2:C251,C251)/SUMIFS($J$2:J251,$A$2:A251,A251,$C$2:C251,C251)-1)</f>
        <v>0.21374193805020836</v>
      </c>
      <c r="X251" s="450">
        <f t="shared" si="79"/>
        <v>0.2959986490291826</v>
      </c>
      <c r="Y251" s="450">
        <f>IFERROR(IF(R251=0,"-",SUMIFS($R$2:R251,$A$2:A251,A251,$C$2:C251,C251)/SUMIFS($N$2:N251,$A$2:A251,A251,$C$2:C251,C251)-1),"")</f>
        <v>0.30440637764992196</v>
      </c>
      <c r="Z251" s="269">
        <f>IF(R251=0,"",(S251/VLOOKUP(_xlfn.NUMBERVALUE(_xlfn.CONCAT(LEFT(F251,4),52)),$F$2:T458,COLUMNS($F$2:T458),FALSE)))</f>
        <v>1.0296894042012283</v>
      </c>
      <c r="AA251" s="269">
        <f>IFERROR(IF(R251=0,"",(S251/VLOOKUP(_xlfn.NUMBERVALUE(_xlfn.CONCAT(LEFT(F251,4),52)),$F$2:U458,COLUMNS($F$2:U458),FALSE))),"")</f>
        <v>1.0397480115575224</v>
      </c>
      <c r="AB251" s="268">
        <f t="shared" si="80"/>
        <v>1.4963845741831814</v>
      </c>
      <c r="AC251" s="450">
        <f t="shared" si="81"/>
        <v>0.65031458695698863</v>
      </c>
      <c r="AD251" s="450">
        <f t="shared" si="82"/>
        <v>-0.36247082503586647</v>
      </c>
      <c r="AE251" s="269">
        <f t="shared" si="83"/>
        <v>0.43108327108365097</v>
      </c>
      <c r="AF251" s="268">
        <f t="shared" si="84"/>
        <v>0.42506369967725477</v>
      </c>
      <c r="AG251" s="450">
        <f t="shared" si="85"/>
        <v>1.2558852882470353</v>
      </c>
      <c r="AH251" s="450">
        <f t="shared" si="86"/>
        <v>-0.20012761098797771</v>
      </c>
      <c r="AI251" s="269">
        <f t="shared" si="87"/>
        <v>0.46866310646812703</v>
      </c>
      <c r="AJ251" s="450">
        <f>IF(O251=0,"-",SUMIFS($O$2:O251,$A$2:A251,$A251,$F$2:F251,"&lt;="&amp;$F251)/SUMIFS($G$2:G251,$A$2:A251,$A251,$F$2:F251,"&lt;="&amp;$F251)-1)</f>
        <v>0.39574377650660519</v>
      </c>
      <c r="AK251" s="450">
        <f>IF(P251=0,"-",SUMIFS($P$2:P251,$A$2:A251,$A251,$F$2:F251,"&lt;="&amp;$F251)/SUMIFS($H$2:H251,$A$2:A251,$A251,$F$2:F251,"&lt;="&amp;$F251)-1)</f>
        <v>0.60847031143201225</v>
      </c>
      <c r="AL251" s="450">
        <f>IF(Q251=0,"-",SUMIFS($Q$2:Q251,$A$2:A251,$A251,$F$2:F251,"&lt;="&amp;$F251)/SUMIFS($I$2:I251,$A$2:A251,$A251,$F$2:F251,"&lt;="&amp;$F251)-1)</f>
        <v>-0.19519159156342303</v>
      </c>
      <c r="AM251" s="450">
        <f>IFERROR(IF(O251=0,"-",SUMIFS($O$2:O251,$A$2:A251,$A251,$F$2:F251,"&lt;="&amp;$F251)/SUMIFS($K$2:K251,$A$2:A251,$A251,$F$2:F251,"&lt;="&amp;$F251)-1),"")</f>
        <v>0.49216631496417662</v>
      </c>
      <c r="AN251" s="450">
        <f>IFERROR(IF(P251=0,"-",SUMIFS($P$2:P251,$A$2:A251,$A251,$F$2:F251,"&lt;="&amp;$F251)/SUMIFS($L$2:L251,$A$2:A251,$A251,$F$2:F251,"&lt;="&amp;$F251)-1),"")</f>
        <v>0.54561599237139724</v>
      </c>
      <c r="AO251" s="450">
        <f>IFERROR(IF(Q251=0,"-",SUMIFS($Q$2:Q251,$A$2:A251,$A251,$F$2:F251,"&lt;="&amp;$F251)/SUMIFS($M$2:M251,$A$2:A251,$A251,$F$2:F251,"&lt;="&amp;$F251)-1),"")</f>
        <v>-0.14138856411042444</v>
      </c>
      <c r="AP251" s="103">
        <v>72859</v>
      </c>
      <c r="AQ251" s="452">
        <f>'Overall Metrics'!AO256</f>
        <v>0.46855771139373975</v>
      </c>
      <c r="AR251" s="450">
        <f t="shared" si="88"/>
        <v>-72858.5314422886</v>
      </c>
      <c r="AS251" s="453">
        <f>IFERROR(IF(R252=0,"-",AVERAGEIFS($AQ$2:AQ251,$A$2:A251,$A251,$F$2:F251,"&lt;="&amp;$F251)-AVERAGEIFS($AP$2:AP251,$A$2:A251,$A251,$F$2:F251,"&lt;="&amp;$F251)),"")</f>
        <v>-75353.887410311509</v>
      </c>
      <c r="AT251" s="390">
        <f>IFERROR(IF(R252=0,"-",AVERAGEIFS($AQ$2:AQ251,$A$2:A251,A251,$C$2:C251,C251)-AVERAGEIFS($AP$2:AP251,$A$2:A251,A251,$C$2:C251,C251)),"")</f>
        <v>-82769.488005143372</v>
      </c>
      <c r="AU251" s="103">
        <v>95130</v>
      </c>
      <c r="AV251" s="452">
        <f>'Overall Metrics'!AS256</f>
        <v>0</v>
      </c>
      <c r="AW251" s="450" t="str">
        <f t="shared" si="89"/>
        <v/>
      </c>
      <c r="AX251" s="453">
        <f>IFERROR(IF(R255=0,"-",AVERAGEIFS($AV$2:AV251,$A$2:A251,$A251,$F$2:F251,"&lt;="&amp;$F251)-AVERAGEIFS($AU$2:AU251,$A$2:A251,$A251,$F$2:F251,"&lt;="&amp;$F251)),"")</f>
        <v>-74799.28571428571</v>
      </c>
      <c r="AY251" s="453">
        <f>IFERROR(IF(R255=0,"-",AVERAGEIFS($AV$2:AV251,$A$2:A251,A251,$C$2:C251,C251)-AVERAGEIFS($AU$2:AU251,$A$2:A251,A251,$C$2:C251,C251)),"")</f>
        <v>-80949</v>
      </c>
      <c r="AZ251" s="103">
        <v>105438</v>
      </c>
      <c r="BA251" s="449">
        <f>'Glass Metrics'!AC256</f>
        <v>182147</v>
      </c>
      <c r="BB251" s="450">
        <f t="shared" si="90"/>
        <v>0.72752707752423218</v>
      </c>
      <c r="BC251" s="450">
        <f>IFERROR(IF(R251=0,"-",AVERAGEIFS($BA$2:BA251,$A$2:A251,$A251,$F$2:F251,"&lt;="&amp;$F251)/AVERAGEIFS($AZ$2:AZ251,$A$2:A251,$A251,$F$2:F251,"&lt;="&amp;$F251)-1),"")</f>
        <v>4.3533428471078661E-3</v>
      </c>
      <c r="BD251" s="269">
        <f>IFERROR(IF(R251=0,"-",AVERAGEIFS($BA$2:BA251,$A$2:A251,A251,$C$2:C251,C251)/AVERAGEIFS($AZ$2:AZ251,$A$2:A251,A251,$C$2:C251,C251)-1),"")</f>
        <v>-4.9856518974633501E-2</v>
      </c>
    </row>
    <row r="252" spans="1:56" ht="16.350000000000001" customHeight="1">
      <c r="A252" s="175">
        <f t="shared" si="69"/>
        <v>2025</v>
      </c>
      <c r="B252" s="447" t="str">
        <f t="shared" si="70"/>
        <v>43</v>
      </c>
      <c r="C252" s="447" t="str">
        <f t="array" ref="C252">_xlfn.IFS(_xlfn.NUMBERVALUE(B252)&lt;=13,"Q1",AND(_xlfn.NUMBERVALUE(B252)&gt;13,_xlfn.NUMBERVALUE(B252)&lt;=26),"Q2", AND(_xlfn.NUMBERVALUE(B252)&gt;26,_xlfn.NUMBERVALUE(B252)&lt;=39),"Q3",_xlfn.NUMBERVALUE(B252)&gt;39,"Q4")</f>
        <v>Q4</v>
      </c>
      <c r="D252" s="448">
        <f t="shared" si="91"/>
        <v>45612</v>
      </c>
      <c r="E252" s="448">
        <f t="shared" si="71"/>
        <v>45618</v>
      </c>
      <c r="F252" s="79">
        <v>202443</v>
      </c>
      <c r="G252" s="103">
        <v>59509</v>
      </c>
      <c r="H252" s="429">
        <v>66676</v>
      </c>
      <c r="I252" s="429">
        <v>79916</v>
      </c>
      <c r="J252" s="214">
        <f t="shared" si="72"/>
        <v>206101</v>
      </c>
      <c r="K252" s="103">
        <v>56047</v>
      </c>
      <c r="L252" s="429">
        <v>77162</v>
      </c>
      <c r="M252" s="429">
        <v>54857</v>
      </c>
      <c r="N252" s="214">
        <f t="shared" si="73"/>
        <v>188066</v>
      </c>
      <c r="O252" s="449">
        <f>'Overall Metrics'!L257</f>
        <v>104583.1</v>
      </c>
      <c r="P252" s="449">
        <f>'Overall Metrics'!M257</f>
        <v>118334</v>
      </c>
      <c r="Q252" s="449">
        <f>'Overall Metrics'!N257</f>
        <v>61248.200000000004</v>
      </c>
      <c r="R252" s="449">
        <f t="shared" si="74"/>
        <v>284165.3</v>
      </c>
      <c r="S252" s="180">
        <f t="shared" si="75"/>
        <v>12379134.9</v>
      </c>
      <c r="T252" s="449">
        <f t="shared" si="76"/>
        <v>9832645</v>
      </c>
      <c r="U252" s="449">
        <f t="shared" si="77"/>
        <v>9520614</v>
      </c>
      <c r="V252" s="450">
        <f t="shared" si="78"/>
        <v>0.25898320340050929</v>
      </c>
      <c r="W252" s="450">
        <f>IF(R252=0,"-",SUMIFS($R$2:R252,$A$2:A252,A252,$C$2:C252,C252)/SUMIFS($J$2:J252,$A$2:A252,A252,$C$2:C252,C252)-1)</f>
        <v>0.2501127100347218</v>
      </c>
      <c r="X252" s="450">
        <f t="shared" si="79"/>
        <v>0.30024543585109109</v>
      </c>
      <c r="Y252" s="450">
        <f>IFERROR(IF(R252=0,"-",SUMIFS($R$2:R252,$A$2:A252,A252,$C$2:C252,C252)/SUMIFS($N$2:N252,$A$2:A252,A252,$C$2:C252,C252)-1),"")</f>
        <v>0.3492462215861547</v>
      </c>
      <c r="Z252" s="269">
        <f>IF(R252=0,"",(S252/VLOOKUP(_xlfn.NUMBERVALUE(_xlfn.CONCAT(LEFT(F252,4),52)),$F$2:T459,COLUMNS($F$2:T459),FALSE)))</f>
        <v>1.053881445035433</v>
      </c>
      <c r="AA252" s="269">
        <f>IFERROR(IF(R252=0,"",(S252/VLOOKUP(_xlfn.NUMBERVALUE(_xlfn.CONCAT(LEFT(F252,4),52)),$F$2:U459,COLUMNS($F$2:U459),FALSE))),"")</f>
        <v>1.0641763743728077</v>
      </c>
      <c r="AB252" s="268">
        <f t="shared" si="80"/>
        <v>0.75743332941235786</v>
      </c>
      <c r="AC252" s="450">
        <f t="shared" si="81"/>
        <v>0.77476153338532616</v>
      </c>
      <c r="AD252" s="450">
        <f t="shared" si="82"/>
        <v>-0.23359277241103149</v>
      </c>
      <c r="AE252" s="269">
        <f t="shared" si="83"/>
        <v>0.37876720636969252</v>
      </c>
      <c r="AF252" s="268">
        <f t="shared" si="84"/>
        <v>0.86598925901475554</v>
      </c>
      <c r="AG252" s="450">
        <f t="shared" si="85"/>
        <v>0.53357870454368728</v>
      </c>
      <c r="AH252" s="450">
        <f t="shared" si="86"/>
        <v>0.11650655340248295</v>
      </c>
      <c r="AI252" s="269">
        <f t="shared" si="87"/>
        <v>0.51098710027330818</v>
      </c>
      <c r="AJ252" s="450">
        <f>IF(O252=0,"-",SUMIFS($O$2:O252,$A$2:A252,$A252,$F$2:F252,"&lt;="&amp;$F252)/SUMIFS($G$2:G252,$A$2:A252,$A252,$F$2:F252,"&lt;="&amp;$F252)-1)</f>
        <v>0.40233827701163549</v>
      </c>
      <c r="AK252" s="450">
        <f>IF(P252=0,"-",SUMIFS($P$2:P252,$A$2:A252,$A252,$F$2:F252,"&lt;="&amp;$F252)/SUMIFS($H$2:H252,$A$2:A252,$A252,$F$2:F252,"&lt;="&amp;$F252)-1)</f>
        <v>0.6120240139255384</v>
      </c>
      <c r="AL252" s="450">
        <f>IF(Q252=0,"-",SUMIFS($Q$2:Q252,$A$2:A252,$A252,$F$2:F252,"&lt;="&amp;$F252)/SUMIFS($I$2:I252,$A$2:A252,$A252,$F$2:F252,"&lt;="&amp;$F252)-1)</f>
        <v>-0.19608144811862249</v>
      </c>
      <c r="AM252" s="450">
        <f>IFERROR(IF(O252=0,"-",SUMIFS($O$2:O252,$A$2:A252,$A252,$F$2:F252,"&lt;="&amp;$F252)/SUMIFS($K$2:K252,$A$2:A252,$A252,$F$2:F252,"&lt;="&amp;$F252)-1),"")</f>
        <v>0.4990281236613161</v>
      </c>
      <c r="AN252" s="450">
        <f>IFERROR(IF(P252=0,"-",SUMIFS($P$2:P252,$A$2:A252,$A252,$F$2:F252,"&lt;="&amp;$F252)/SUMIFS($L$2:L252,$A$2:A252,$A252,$F$2:F252,"&lt;="&amp;$F252)-1),"")</f>
        <v>0.54533061191632837</v>
      </c>
      <c r="AO252" s="450">
        <f>IFERROR(IF(Q252=0,"-",SUMIFS($Q$2:Q252,$A$2:A252,$A252,$F$2:F252,"&lt;="&amp;$F252)/SUMIFS($M$2:M252,$A$2:A252,$A252,$F$2:F252,"&lt;="&amp;$F252)-1),"")</f>
        <v>-0.13698480808948621</v>
      </c>
      <c r="AP252" s="103">
        <v>97988</v>
      </c>
      <c r="AQ252" s="452">
        <f>'Overall Metrics'!AO257</f>
        <v>0.43223569596300515</v>
      </c>
      <c r="AR252" s="450">
        <f t="shared" si="88"/>
        <v>-97987.56776430404</v>
      </c>
      <c r="AS252" s="453">
        <f>IFERROR(IF(R253=0,"-",AVERAGEIFS($AQ$2:AQ252,$A$2:A252,$A252,$F$2:F252,"&lt;="&amp;$F252)-AVERAGEIFS($AP$2:AP252,$A$2:A252,$A252,$F$2:F252,"&lt;="&amp;$F252)),"")</f>
        <v>-75880.252069706694</v>
      </c>
      <c r="AT252" s="390">
        <f>IFERROR(IF(R253=0,"-",AVERAGEIFS($AQ$2:AQ252,$A$2:A252,A252,$C$2:C252,C252)-AVERAGEIFS($AP$2:AP252,$A$2:A252,A252,$C$2:C252,C252)),"")</f>
        <v>-86574.007944933532</v>
      </c>
      <c r="AU252" s="103">
        <v>69749</v>
      </c>
      <c r="AV252" s="452">
        <f>'Overall Metrics'!AS257</f>
        <v>0</v>
      </c>
      <c r="AW252" s="450" t="str">
        <f t="shared" si="89"/>
        <v/>
      </c>
      <c r="AX252" s="453">
        <f>IFERROR(IF(R256=0,"-",AVERAGEIFS($AV$2:AV252,$A$2:A252,$A252,$F$2:F252,"&lt;="&amp;$F252)-AVERAGEIFS($AU$2:AU252,$A$2:A252,$A252,$F$2:F252,"&lt;="&amp;$F252)),"")</f>
        <v>-74681.837209302321</v>
      </c>
      <c r="AY252" s="453">
        <f>IFERROR(IF(R256=0,"-",AVERAGEIFS($AV$2:AV252,$A$2:A252,A252,$C$2:C252,C252)-AVERAGEIFS($AU$2:AU252,$A$2:A252,A252,$C$2:C252,C252)),"")</f>
        <v>-78149</v>
      </c>
      <c r="AZ252" s="103">
        <v>176850</v>
      </c>
      <c r="BA252" s="449">
        <f>'Glass Metrics'!AC257</f>
        <v>136923</v>
      </c>
      <c r="BB252" s="450">
        <f t="shared" si="90"/>
        <v>-0.22576759966072946</v>
      </c>
      <c r="BC252" s="450">
        <f>IFERROR(IF(R252=0,"-",AVERAGEIFS($BA$2:BA252,$A$2:A252,$A252,$F$2:F252,"&lt;="&amp;$F252)/AVERAGEIFS($AZ$2:AZ252,$A$2:A252,$A252,$F$2:F252,"&lt;="&amp;$F252)-1),"")</f>
        <v>-1.9101163368735463E-3</v>
      </c>
      <c r="BD252" s="269">
        <f>IFERROR(IF(R252=0,"-",AVERAGEIFS($BA$2:BA252,$A$2:A252,A252,$C$2:C252,C252)/AVERAGEIFS($AZ$2:AZ252,$A$2:A252,A252,$C$2:C252,C252)-1),"")</f>
        <v>-9.7355266412402552E-2</v>
      </c>
    </row>
    <row r="253" spans="1:56" ht="16.350000000000001" customHeight="1">
      <c r="A253" s="175">
        <f t="shared" si="69"/>
        <v>2025</v>
      </c>
      <c r="B253" s="447" t="str">
        <f t="shared" si="70"/>
        <v>44</v>
      </c>
      <c r="C253" s="447" t="str">
        <f t="array" ref="C253">_xlfn.IFS(_xlfn.NUMBERVALUE(B253)&lt;=13,"Q1",AND(_xlfn.NUMBERVALUE(B253)&gt;13,_xlfn.NUMBERVALUE(B253)&lt;=26),"Q2", AND(_xlfn.NUMBERVALUE(B253)&gt;26,_xlfn.NUMBERVALUE(B253)&lt;=39),"Q3",_xlfn.NUMBERVALUE(B253)&gt;39,"Q4")</f>
        <v>Q4</v>
      </c>
      <c r="D253" s="448">
        <f t="shared" si="91"/>
        <v>45619</v>
      </c>
      <c r="E253" s="448">
        <f t="shared" si="71"/>
        <v>45625</v>
      </c>
      <c r="F253" s="79">
        <v>202444</v>
      </c>
      <c r="G253" s="103">
        <v>61700</v>
      </c>
      <c r="H253" s="429">
        <v>90920</v>
      </c>
      <c r="I253" s="429">
        <v>54968</v>
      </c>
      <c r="J253" s="214">
        <f t="shared" si="72"/>
        <v>207588</v>
      </c>
      <c r="K253" s="103">
        <v>64273</v>
      </c>
      <c r="L253" s="429">
        <v>70022</v>
      </c>
      <c r="M253" s="429">
        <v>56269</v>
      </c>
      <c r="N253" s="214">
        <f t="shared" si="73"/>
        <v>190564</v>
      </c>
      <c r="O253" s="449">
        <f>'Overall Metrics'!L258</f>
        <v>98124.200000000026</v>
      </c>
      <c r="P253" s="449">
        <f>'Overall Metrics'!M258</f>
        <v>96452</v>
      </c>
      <c r="Q253" s="449">
        <f>'Overall Metrics'!N258</f>
        <v>75683.400000000009</v>
      </c>
      <c r="R253" s="449">
        <f t="shared" si="74"/>
        <v>270259.60000000003</v>
      </c>
      <c r="S253" s="180">
        <f t="shared" si="75"/>
        <v>12649394.5</v>
      </c>
      <c r="T253" s="449">
        <f t="shared" si="76"/>
        <v>10040233</v>
      </c>
      <c r="U253" s="449">
        <f t="shared" si="77"/>
        <v>9711178</v>
      </c>
      <c r="V253" s="450">
        <f t="shared" si="78"/>
        <v>0.25987061256446942</v>
      </c>
      <c r="W253" s="450">
        <f>IF(R253=0,"-",SUMIFS($R$2:R253,$A$2:A253,A253,$C$2:C253,C253)/SUMIFS($J$2:J253,$A$2:A253,A253,$C$2:C253,C253)-1)</f>
        <v>0.25952105088599153</v>
      </c>
      <c r="X253" s="450">
        <f t="shared" si="79"/>
        <v>0.30256025582066348</v>
      </c>
      <c r="Y253" s="450">
        <f>IFERROR(IF(R253=0,"-",SUMIFS($R$2:R253,$A$2:A253,A253,$C$2:C253,C253)/SUMIFS($N$2:N253,$A$2:A253,A253,$C$2:C253,C253)-1),"")</f>
        <v>0.36167938664085786</v>
      </c>
      <c r="Z253" s="269">
        <f>IF(R253=0,"",(S253/VLOOKUP(_xlfn.NUMBERVALUE(_xlfn.CONCAT(LEFT(F253,4),52)),$F$2:T460,COLUMNS($F$2:T460),FALSE)))</f>
        <v>1.0768896423031353</v>
      </c>
      <c r="AA253" s="269">
        <f>IFERROR(IF(R253=0,"",(S253/VLOOKUP(_xlfn.NUMBERVALUE(_xlfn.CONCAT(LEFT(F253,4),52)),$F$2:U460,COLUMNS($F$2:U460),FALSE))),"")</f>
        <v>1.0874093291463633</v>
      </c>
      <c r="AB253" s="268">
        <f t="shared" si="80"/>
        <v>0.59034359805510572</v>
      </c>
      <c r="AC253" s="450">
        <f t="shared" si="81"/>
        <v>6.0844698636163708E-2</v>
      </c>
      <c r="AD253" s="450">
        <f t="shared" si="82"/>
        <v>0.37686290205210327</v>
      </c>
      <c r="AE253" s="269">
        <f t="shared" si="83"/>
        <v>0.3019037709308825</v>
      </c>
      <c r="AF253" s="268">
        <f t="shared" si="84"/>
        <v>0.52667838750330653</v>
      </c>
      <c r="AG253" s="450">
        <f t="shared" si="85"/>
        <v>0.37745280054839903</v>
      </c>
      <c r="AH253" s="450">
        <f t="shared" si="86"/>
        <v>0.34502834598091336</v>
      </c>
      <c r="AI253" s="269">
        <f t="shared" si="87"/>
        <v>0.41820910560231761</v>
      </c>
      <c r="AJ253" s="450">
        <f>IF(O253=0,"-",SUMIFS($O$2:O253,$A$2:A253,$A253,$F$2:F253,"&lt;="&amp;$F253)/SUMIFS($G$2:G253,$A$2:A253,$A253,$F$2:F253,"&lt;="&amp;$F253)-1)</f>
        <v>0.40582634887729996</v>
      </c>
      <c r="AK253" s="450">
        <f>IF(P253=0,"-",SUMIFS($P$2:P253,$A$2:A253,$A253,$F$2:F253,"&lt;="&amp;$F253)/SUMIFS($H$2:H253,$A$2:A253,$A253,$F$2:F253,"&lt;="&amp;$F253)-1)</f>
        <v>0.59641700273097342</v>
      </c>
      <c r="AL253" s="450">
        <f>IF(Q253=0,"-",SUMIFS($Q$2:Q253,$A$2:A253,$A253,$F$2:F253,"&lt;="&amp;$F253)/SUMIFS($I$2:I253,$A$2:A253,$A253,$F$2:F253,"&lt;="&amp;$F253)-1)</f>
        <v>-0.18709275446950091</v>
      </c>
      <c r="AM253" s="450">
        <f>IFERROR(IF(O253=0,"-",SUMIFS($O$2:O253,$A$2:A253,$A253,$F$2:F253,"&lt;="&amp;$F253)/SUMIFS($K$2:K253,$A$2:A253,$A253,$F$2:F253,"&lt;="&amp;$F253)-1),"")</f>
        <v>0.49959815822519893</v>
      </c>
      <c r="AN253" s="450">
        <f>IFERROR(IF(P253=0,"-",SUMIFS($P$2:P253,$A$2:A253,$A253,$F$2:F253,"&lt;="&amp;$F253)/SUMIFS($L$2:L253,$A$2:A253,$A253,$F$2:F253,"&lt;="&amp;$F253)-1),"")</f>
        <v>0.54179491135889291</v>
      </c>
      <c r="AO253" s="450">
        <f>IFERROR(IF(Q253=0,"-",SUMIFS($Q$2:Q253,$A$2:A253,$A253,$F$2:F253,"&lt;="&amp;$F253)/SUMIFS($M$2:M253,$A$2:A253,$A253,$F$2:F253,"&lt;="&amp;$F253)-1),"")</f>
        <v>-0.12868753812521538</v>
      </c>
      <c r="AP253" s="103">
        <v>63547</v>
      </c>
      <c r="AQ253" s="452">
        <f>'Overall Metrics'!AO258</f>
        <v>0.5339944266468154</v>
      </c>
      <c r="AR253" s="450">
        <f t="shared" si="88"/>
        <v>-63546.466005573355</v>
      </c>
      <c r="AS253" s="453">
        <f>IFERROR(IF(R254=0,"-",AVERAGEIFS($AQ$2:AQ253,$A$2:A253,$A253,$F$2:F253,"&lt;="&amp;$F253)-AVERAGEIFS($AP$2:AP253,$A$2:A253,$A253,$F$2:F253,"&lt;="&amp;$F253)),"")</f>
        <v>-75599.938750067304</v>
      </c>
      <c r="AT253" s="390">
        <f>IFERROR(IF(R254=0,"-",AVERAGEIFS($AQ$2:AQ253,$A$2:A253,A253,$C$2:C253,C253)-AVERAGEIFS($AP$2:AP253,$A$2:A253,A253,$C$2:C253,C253)),"")</f>
        <v>-81968.499557061499</v>
      </c>
      <c r="AU253" s="103">
        <v>89986</v>
      </c>
      <c r="AV253" s="452">
        <f>'Overall Metrics'!AS258</f>
        <v>0</v>
      </c>
      <c r="AW253" s="450" t="str">
        <f t="shared" si="89"/>
        <v/>
      </c>
      <c r="AX253" s="453">
        <f>IFERROR(IF(R257=0,"-",AVERAGEIFS($AV$2:AV253,$A$2:A253,$A253,$F$2:F253,"&lt;="&amp;$F253)-AVERAGEIFS($AU$2:AU253,$A$2:A253,$A253,$F$2:F253,"&lt;="&amp;$F253)),"")</f>
        <v>-75029.659090909088</v>
      </c>
      <c r="AY253" s="453">
        <f>IFERROR(IF(R257=0,"-",AVERAGEIFS($AV$2:AV253,$A$2:A253,A253,$C$2:C253,C253)-AVERAGEIFS($AU$2:AU253,$A$2:A253,A253,$C$2:C253,C253)),"")</f>
        <v>-80516.399999999994</v>
      </c>
      <c r="AZ253" s="103">
        <v>153525</v>
      </c>
      <c r="BA253" s="449">
        <f>'Glass Metrics'!AC258</f>
        <v>143037</v>
      </c>
      <c r="BB253" s="450">
        <f t="shared" si="90"/>
        <v>-6.8314606741573081E-2</v>
      </c>
      <c r="BC253" s="450">
        <f>IFERROR(IF(R253=0,"-",AVERAGEIFS($BA$2:BA253,$A$2:A253,$A253,$F$2:F253,"&lt;="&amp;$F253)/AVERAGEIFS($AZ$2:AZ253,$A$2:A253,$A253,$F$2:F253,"&lt;="&amp;$F253)-1),"")</f>
        <v>-3.4429227932192275E-3</v>
      </c>
      <c r="BD253" s="269">
        <f>IFERROR(IF(R253=0,"-",AVERAGEIFS($BA$2:BA253,$A$2:A253,A253,$C$2:C253,C253)/AVERAGEIFS($AZ$2:AZ253,$A$2:A253,A253,$C$2:C253,C253)-1),"")</f>
        <v>-9.1840685131610034E-2</v>
      </c>
    </row>
    <row r="254" spans="1:56" ht="16.350000000000001" customHeight="1">
      <c r="A254" s="175">
        <f t="shared" si="69"/>
        <v>2025</v>
      </c>
      <c r="B254" s="447" t="str">
        <f t="shared" si="70"/>
        <v>45</v>
      </c>
      <c r="C254" s="447" t="str">
        <f t="array" ref="C254">_xlfn.IFS(_xlfn.NUMBERVALUE(B254)&lt;=13,"Q1",AND(_xlfn.NUMBERVALUE(B254)&gt;13,_xlfn.NUMBERVALUE(B254)&lt;=26),"Q2", AND(_xlfn.NUMBERVALUE(B254)&gt;26,_xlfn.NUMBERVALUE(B254)&lt;=39),"Q3",_xlfn.NUMBERVALUE(B254)&gt;39,"Q4")</f>
        <v>Q4</v>
      </c>
      <c r="D254" s="448">
        <f t="shared" si="91"/>
        <v>45626</v>
      </c>
      <c r="E254" s="448">
        <f t="shared" si="71"/>
        <v>45632</v>
      </c>
      <c r="F254" s="79">
        <v>202445</v>
      </c>
      <c r="G254" s="103">
        <v>82816</v>
      </c>
      <c r="H254" s="429">
        <v>57604</v>
      </c>
      <c r="I254" s="429">
        <v>52757</v>
      </c>
      <c r="J254" s="214">
        <f t="shared" si="72"/>
        <v>193177</v>
      </c>
      <c r="K254" s="103">
        <v>72354</v>
      </c>
      <c r="L254" s="429">
        <v>78405</v>
      </c>
      <c r="M254" s="429">
        <v>62492</v>
      </c>
      <c r="N254" s="214">
        <f t="shared" si="73"/>
        <v>213251</v>
      </c>
      <c r="O254" s="449">
        <f>'Overall Metrics'!L259</f>
        <v>105367.70000000003</v>
      </c>
      <c r="P254" s="449">
        <f>'Overall Metrics'!M259</f>
        <v>116954</v>
      </c>
      <c r="Q254" s="449">
        <f>'Overall Metrics'!N259</f>
        <v>64542.400000000001</v>
      </c>
      <c r="R254" s="449">
        <f t="shared" si="74"/>
        <v>286864.10000000003</v>
      </c>
      <c r="S254" s="180">
        <f t="shared" si="75"/>
        <v>12936258.6</v>
      </c>
      <c r="T254" s="449">
        <f t="shared" si="76"/>
        <v>10233410</v>
      </c>
      <c r="U254" s="449">
        <f t="shared" si="77"/>
        <v>9924429</v>
      </c>
      <c r="V254" s="450">
        <f t="shared" si="78"/>
        <v>0.26412003427987352</v>
      </c>
      <c r="W254" s="450">
        <f>IF(R254=0,"-",SUMIFS($R$2:R254,$A$2:A254,A254,$C$2:C254,C254)/SUMIFS($J$2:J254,$A$2:A254,A254,$C$2:C254,C254)-1)</f>
        <v>0.29212329741269616</v>
      </c>
      <c r="X254" s="450">
        <f t="shared" si="79"/>
        <v>0.30347636120929478</v>
      </c>
      <c r="Y254" s="450">
        <f>IFERROR(IF(R254=0,"-",SUMIFS($R$2:R254,$A$2:A254,A254,$C$2:C254,C254)/SUMIFS($N$2:N254,$A$2:A254,A254,$C$2:C254,C254)-1),"")</f>
        <v>0.35891190710490073</v>
      </c>
      <c r="Z254" s="269">
        <f>IF(R254=0,"",(S254/VLOOKUP(_xlfn.NUMBERVALUE(_xlfn.CONCAT(LEFT(F254,4),52)),$F$2:T461,COLUMNS($F$2:T461),FALSE)))</f>
        <v>1.1013114419425261</v>
      </c>
      <c r="AA254" s="269">
        <f>IFERROR(IF(R254=0,"",(S254/VLOOKUP(_xlfn.NUMBERVALUE(_xlfn.CONCAT(LEFT(F254,4),52)),$F$2:U461,COLUMNS($F$2:U461),FALSE))),"")</f>
        <v>1.1120696951850046</v>
      </c>
      <c r="AB254" s="268">
        <f t="shared" si="80"/>
        <v>0.27231090610510078</v>
      </c>
      <c r="AC254" s="450">
        <f t="shared" si="81"/>
        <v>1.0303103951114507</v>
      </c>
      <c r="AD254" s="450">
        <f t="shared" si="82"/>
        <v>0.22339026100801784</v>
      </c>
      <c r="AE254" s="269">
        <f t="shared" si="83"/>
        <v>0.48498061363412837</v>
      </c>
      <c r="AF254" s="268">
        <f t="shared" si="84"/>
        <v>0.4562802332973992</v>
      </c>
      <c r="AG254" s="450">
        <f t="shared" si="85"/>
        <v>0.49166507238058799</v>
      </c>
      <c r="AH254" s="450">
        <f t="shared" si="86"/>
        <v>3.2810599756768921E-2</v>
      </c>
      <c r="AI254" s="269">
        <f t="shared" si="87"/>
        <v>0.34519462980243953</v>
      </c>
      <c r="AJ254" s="450">
        <f>IF(O254=0,"-",SUMIFS($O$2:O254,$A$2:A254,$A254,$F$2:F254,"&lt;="&amp;$F254)/SUMIFS($G$2:G254,$A$2:A254,$A254,$F$2:F254,"&lt;="&amp;$F254)-1)</f>
        <v>0.40258225597528474</v>
      </c>
      <c r="AK254" s="450">
        <f>IF(P254=0,"-",SUMIFS($P$2:P254,$A$2:A254,$A254,$F$2:F254,"&lt;="&amp;$F254)/SUMIFS($H$2:H254,$A$2:A254,$A254,$F$2:F254,"&lt;="&amp;$F254)-1)</f>
        <v>0.60406382407840553</v>
      </c>
      <c r="AL254" s="450">
        <f>IF(Q254=0,"-",SUMIFS($Q$2:Q254,$A$2:A254,$A254,$F$2:F254,"&lt;="&amp;$F254)/SUMIFS($I$2:I254,$A$2:A254,$A254,$F$2:F254,"&lt;="&amp;$F254)-1)</f>
        <v>-0.18100357435283754</v>
      </c>
      <c r="AM254" s="450">
        <f>IFERROR(IF(O254=0,"-",SUMIFS($O$2:O254,$A$2:A254,$A254,$F$2:F254,"&lt;="&amp;$F254)/SUMIFS($K$2:K254,$A$2:A254,$A254,$F$2:F254,"&lt;="&amp;$F254)-1),"")</f>
        <v>0.49861564219926091</v>
      </c>
      <c r="AN254" s="450">
        <f>IFERROR(IF(P254=0,"-",SUMIFS($P$2:P254,$A$2:A254,$A254,$F$2:F254,"&lt;="&amp;$F254)/SUMIFS($L$2:L254,$A$2:A254,$A254,$F$2:F254,"&lt;="&amp;$F254)-1),"")</f>
        <v>0.54063995693343481</v>
      </c>
      <c r="AO254" s="450">
        <f>IFERROR(IF(Q254=0,"-",SUMIFS($Q$2:Q254,$A$2:A254,$A254,$F$2:F254,"&lt;="&amp;$F254)/SUMIFS($M$2:M254,$A$2:A254,$A254,$F$2:F254,"&lt;="&amp;$F254)-1),"")</f>
        <v>-0.12565801125437748</v>
      </c>
      <c r="AP254" s="103">
        <v>68198</v>
      </c>
      <c r="AQ254" s="452">
        <f>'Overall Metrics'!AO259</f>
        <v>0.51690858492537972</v>
      </c>
      <c r="AR254" s="450">
        <f t="shared" si="88"/>
        <v>-68197.483091415081</v>
      </c>
      <c r="AS254" s="453">
        <f>IFERROR(IF(R255=0,"-",AVERAGEIFS($AQ$2:AQ254,$A$2:A254,$A254,$F$2:F254,"&lt;="&amp;$F254)-AVERAGEIFS($AP$2:AP254,$A$2:A254,$A254,$F$2:F254,"&lt;="&amp;$F254)),"")</f>
        <v>-75435.439735430584</v>
      </c>
      <c r="AT254" s="390">
        <f>IFERROR(IF(R255=0,"-",AVERAGEIFS($AQ$2:AQ254,$A$2:A254,A254,$C$2:C254,C254)-AVERAGEIFS($AP$2:AP254,$A$2:A254,A254,$C$2:C254,C254)),"")</f>
        <v>-79673.330146120425</v>
      </c>
      <c r="AU254" s="103">
        <v>97068</v>
      </c>
      <c r="AV254" s="452">
        <f>'Overall Metrics'!AS259</f>
        <v>0</v>
      </c>
      <c r="AW254" s="450" t="str">
        <f t="shared" si="89"/>
        <v/>
      </c>
      <c r="AX254" s="453">
        <f>IFERROR(IF(R258=0,"-",AVERAGEIFS($AV$2:AV254,$A$2:A254,$A254,$F$2:F254,"&lt;="&amp;$F254)-AVERAGEIFS($AU$2:AU254,$A$2:A254,$A254,$F$2:F254,"&lt;="&amp;$F254)),"")</f>
        <v>-75519.399999999994</v>
      </c>
      <c r="AY254" s="453">
        <f>IFERROR(IF(R258=0,"-",AVERAGEIFS($AV$2:AV254,$A$2:A254,A254,$C$2:C254,C254)-AVERAGEIFS($AU$2:AU254,$A$2:A254,A254,$C$2:C254,C254)),"")</f>
        <v>-83275</v>
      </c>
      <c r="AZ254" s="103">
        <v>115310</v>
      </c>
      <c r="BA254" s="449">
        <f>'Glass Metrics'!AC259</f>
        <v>185888</v>
      </c>
      <c r="BB254" s="450">
        <f t="shared" si="90"/>
        <v>0.61207180643482784</v>
      </c>
      <c r="BC254" s="450">
        <f>IFERROR(IF(R254=0,"-",AVERAGEIFS($BA$2:BA254,$A$2:A254,$A254,$F$2:F254,"&lt;="&amp;$F254)/AVERAGEIFS($AZ$2:AZ254,$A$2:A254,$A254,$F$2:F254,"&lt;="&amp;$F254)-1),"")</f>
        <v>7.0464926042050902E-3</v>
      </c>
      <c r="BD254" s="269">
        <f>IFERROR(IF(R254=0,"-",AVERAGEIFS($BA$2:BA254,$A$2:A254,A254,$C$2:C254,C254)/AVERAGEIFS($AZ$2:AZ254,$A$2:A254,A254,$C$2:C254,C254)-1),"")</f>
        <v>-3.9770642251488741E-3</v>
      </c>
    </row>
    <row r="255" spans="1:56" ht="16.350000000000001" customHeight="1">
      <c r="A255" s="175">
        <f t="shared" si="69"/>
        <v>2025</v>
      </c>
      <c r="B255" s="447" t="str">
        <f t="shared" si="70"/>
        <v>46</v>
      </c>
      <c r="C255" s="447" t="str">
        <f t="array" ref="C255">_xlfn.IFS(_xlfn.NUMBERVALUE(B255)&lt;=13,"Q1",AND(_xlfn.NUMBERVALUE(B255)&gt;13,_xlfn.NUMBERVALUE(B255)&lt;=26),"Q2", AND(_xlfn.NUMBERVALUE(B255)&gt;26,_xlfn.NUMBERVALUE(B255)&lt;=39),"Q3",_xlfn.NUMBERVALUE(B255)&gt;39,"Q4")</f>
        <v>Q4</v>
      </c>
      <c r="D255" s="448">
        <f t="shared" si="91"/>
        <v>45633</v>
      </c>
      <c r="E255" s="448">
        <f t="shared" si="71"/>
        <v>45639</v>
      </c>
      <c r="F255" s="79">
        <v>202446</v>
      </c>
      <c r="G255" s="103">
        <v>66836</v>
      </c>
      <c r="H255" s="429">
        <v>73853</v>
      </c>
      <c r="I255" s="429">
        <v>95178</v>
      </c>
      <c r="J255" s="214">
        <f t="shared" si="72"/>
        <v>235867</v>
      </c>
      <c r="K255" s="103">
        <v>68009</v>
      </c>
      <c r="L255" s="429">
        <v>90475</v>
      </c>
      <c r="M255" s="429">
        <v>57730</v>
      </c>
      <c r="N255" s="214">
        <f t="shared" si="73"/>
        <v>216214</v>
      </c>
      <c r="O255" s="449">
        <f>'Overall Metrics'!L260</f>
        <v>105399.59999999999</v>
      </c>
      <c r="P255" s="449">
        <f>'Overall Metrics'!M260</f>
        <v>126266</v>
      </c>
      <c r="Q255" s="449">
        <f>'Overall Metrics'!N260</f>
        <v>52967.199999999997</v>
      </c>
      <c r="R255" s="449">
        <f t="shared" si="74"/>
        <v>284632.8</v>
      </c>
      <c r="S255" s="180">
        <f t="shared" si="75"/>
        <v>13220891.4</v>
      </c>
      <c r="T255" s="449">
        <f t="shared" si="76"/>
        <v>10469277</v>
      </c>
      <c r="U255" s="449">
        <f t="shared" si="77"/>
        <v>10140643</v>
      </c>
      <c r="V255" s="450">
        <f t="shared" si="78"/>
        <v>0.26282754769025596</v>
      </c>
      <c r="W255" s="450">
        <f>IF(R255=0,"-",SUMIFS($R$2:R255,$A$2:A255,A255,$C$2:C255,C255)/SUMIFS($J$2:J255,$A$2:A255,A255,$C$2:C255,C255)-1)</f>
        <v>0.27931201985016951</v>
      </c>
      <c r="X255" s="450">
        <f t="shared" si="79"/>
        <v>0.30375276991804179</v>
      </c>
      <c r="Y255" s="450">
        <f>IFERROR(IF(R255=0,"-",SUMIFS($R$2:R255,$A$2:A255,A255,$C$2:C255,C255)/SUMIFS($N$2:N255,$A$2:A255,A255,$C$2:C255,C255)-1),"")</f>
        <v>0.35273417317876521</v>
      </c>
      <c r="Z255" s="269">
        <f>IF(R255=0,"",(S255/VLOOKUP(_xlfn.NUMBERVALUE(_xlfn.CONCAT(LEFT(F255,4),52)),$F$2:T462,COLUMNS($F$2:T462),FALSE)))</f>
        <v>1.1255432827772585</v>
      </c>
      <c r="AA255" s="269">
        <f>IFERROR(IF(R255=0,"",(S255/VLOOKUP(_xlfn.NUMBERVALUE(_xlfn.CONCAT(LEFT(F255,4),52)),$F$2:U462,COLUMNS($F$2:U462),FALSE))),"")</f>
        <v>1.136538246790463</v>
      </c>
      <c r="AB255" s="268">
        <f t="shared" si="80"/>
        <v>0.57698844933867965</v>
      </c>
      <c r="AC255" s="450">
        <f t="shared" si="81"/>
        <v>0.70969358049097542</v>
      </c>
      <c r="AD255" s="450">
        <f t="shared" si="82"/>
        <v>-0.44349324423711367</v>
      </c>
      <c r="AE255" s="269">
        <f t="shared" si="83"/>
        <v>0.20675126236395935</v>
      </c>
      <c r="AF255" s="268">
        <f t="shared" si="84"/>
        <v>0.54978899851490226</v>
      </c>
      <c r="AG255" s="450">
        <f t="shared" si="85"/>
        <v>0.39558994197292074</v>
      </c>
      <c r="AH255" s="450">
        <f t="shared" si="86"/>
        <v>-8.2501299151221286E-2</v>
      </c>
      <c r="AI255" s="269">
        <f t="shared" si="87"/>
        <v>0.31644019351198338</v>
      </c>
      <c r="AJ255" s="450">
        <f>IF(O255=0,"-",SUMIFS($O$2:O255,$A$2:A255,$A255,$F$2:F255,"&lt;="&amp;$F255)/SUMIFS($G$2:G255,$A$2:A255,$A255,$F$2:F255,"&lt;="&amp;$F255)-1)</f>
        <v>0.40593643451940586</v>
      </c>
      <c r="AK255" s="450">
        <f>IF(P255=0,"-",SUMIFS($P$2:P255,$A$2:A255,$A255,$F$2:F255,"&lt;="&amp;$F255)/SUMIFS($H$2:H255,$A$2:A255,$A255,$F$2:F255,"&lt;="&amp;$F255)-1)</f>
        <v>0.60639779798946858</v>
      </c>
      <c r="AL255" s="450">
        <f>IF(Q255=0,"-",SUMIFS($Q$2:Q255,$A$2:A255,$A255,$F$2:F255,"&lt;="&amp;$F255)/SUMIFS($I$2:I255,$A$2:A255,$A255,$F$2:F255,"&lt;="&amp;$F255)-1)</f>
        <v>-0.18784525030767119</v>
      </c>
      <c r="AM255" s="450">
        <f>IFERROR(IF(O255=0,"-",SUMIFS($O$2:O255,$A$2:A255,$A255,$F$2:F255,"&lt;="&amp;$F255)/SUMIFS($K$2:K255,$A$2:A255,$A255,$F$2:F255,"&lt;="&amp;$F255)-1),"")</f>
        <v>0.49968385590213416</v>
      </c>
      <c r="AN255" s="450">
        <f>IFERROR(IF(P255=0,"-",SUMIFS($P$2:P255,$A$2:A255,$A255,$F$2:F255,"&lt;="&amp;$F255)/SUMIFS($L$2:L255,$A$2:A255,$A255,$F$2:F255,"&lt;="&amp;$F255)-1),"")</f>
        <v>0.53688352259960337</v>
      </c>
      <c r="AO255" s="450">
        <f>IFERROR(IF(Q255=0,"-",SUMIFS($Q$2:Q255,$A$2:A255,$A255,$F$2:F255,"&lt;="&amp;$F255)/SUMIFS($M$2:M255,$A$2:A255,$A255,$F$2:F255,"&lt;="&amp;$F255)-1),"")</f>
        <v>-0.12492286937719532</v>
      </c>
      <c r="AP255" s="103">
        <v>91113</v>
      </c>
      <c r="AQ255" s="452">
        <f>'Overall Metrics'!AO260</f>
        <v>0.52656680521728305</v>
      </c>
      <c r="AR255" s="450">
        <f t="shared" si="88"/>
        <v>-91112.473433194784</v>
      </c>
      <c r="AS255" s="453">
        <f>IFERROR(IF(R256=0,"-",AVERAGEIFS($AQ$2:AQ255,$A$2:A255,$A255,$F$2:F255,"&lt;="&amp;$F255)-AVERAGEIFS($AP$2:AP255,$A$2:A255,$A255,$F$2:F255,"&lt;="&amp;$F255)),"")</f>
        <v>-75776.244815816754</v>
      </c>
      <c r="AT255" s="390">
        <f>IFERROR(IF(R256=0,"-",AVERAGEIFS($AQ$2:AQ255,$A$2:A255,A255,$C$2:C255,C255)-AVERAGEIFS($AP$2:AP255,$A$2:A255,A255,$C$2:C255,C255)),"")</f>
        <v>-81307.493472845337</v>
      </c>
      <c r="AU255" s="103">
        <v>55857</v>
      </c>
      <c r="AV255" s="452">
        <f>'Overall Metrics'!AS260</f>
        <v>0</v>
      </c>
      <c r="AW255" s="450" t="str">
        <f t="shared" si="89"/>
        <v/>
      </c>
      <c r="AX255" s="453">
        <f>IFERROR(IF(R259=0,"-",AVERAGEIFS($AV$2:AV255,$A$2:A255,$A255,$F$2:F255,"&lt;="&amp;$F255)-AVERAGEIFS($AU$2:AU255,$A$2:A255,$A255,$F$2:F255,"&lt;="&amp;$F255)),"")</f>
        <v>-75091.956521739135</v>
      </c>
      <c r="AY255" s="453">
        <f>IFERROR(IF(R259=0,"-",AVERAGEIFS($AV$2:AV255,$A$2:A255,A255,$C$2:C255,C255)-AVERAGEIFS($AU$2:AU255,$A$2:A255,A255,$C$2:C255,C255)),"")</f>
        <v>-79358.142857142855</v>
      </c>
      <c r="AZ255" s="103">
        <v>153416</v>
      </c>
      <c r="BA255" s="449">
        <f>'Glass Metrics'!AC260</f>
        <v>159772</v>
      </c>
      <c r="BB255" s="450">
        <f t="shared" si="90"/>
        <v>4.1429837826563176E-2</v>
      </c>
      <c r="BC255" s="450">
        <f>IFERROR(IF(R255=0,"-",AVERAGEIFS($BA$2:BA255,$A$2:A255,$A255,$F$2:F255,"&lt;="&amp;$F255)/AVERAGEIFS($AZ$2:AZ255,$A$2:A255,$A255,$F$2:F255,"&lt;="&amp;$F255)-1),"")</f>
        <v>7.8087957084067572E-3</v>
      </c>
      <c r="BD255" s="269">
        <f>IFERROR(IF(R255=0,"-",AVERAGEIFS($BA$2:BA255,$A$2:A255,A255,$C$2:C255,C255)/AVERAGEIFS($AZ$2:AZ255,$A$2:A255,A255,$C$2:C255,C255)-1),"")</f>
        <v>2.4897582929281903E-3</v>
      </c>
    </row>
    <row r="256" spans="1:56" ht="16.350000000000001" customHeight="1">
      <c r="A256" s="175">
        <f t="shared" si="69"/>
        <v>2025</v>
      </c>
      <c r="B256" s="447" t="str">
        <f t="shared" si="70"/>
        <v>47</v>
      </c>
      <c r="C256" s="447" t="str">
        <f t="array" ref="C256">_xlfn.IFS(_xlfn.NUMBERVALUE(B256)&lt;=13,"Q1",AND(_xlfn.NUMBERVALUE(B256)&gt;13,_xlfn.NUMBERVALUE(B256)&lt;=26),"Q2", AND(_xlfn.NUMBERVALUE(B256)&gt;26,_xlfn.NUMBERVALUE(B256)&lt;=39),"Q3",_xlfn.NUMBERVALUE(B256)&gt;39,"Q4")</f>
        <v>Q4</v>
      </c>
      <c r="D256" s="448">
        <f t="shared" si="91"/>
        <v>45640</v>
      </c>
      <c r="E256" s="448">
        <f t="shared" si="71"/>
        <v>45646</v>
      </c>
      <c r="F256" s="79">
        <v>202447</v>
      </c>
      <c r="G256" s="103">
        <v>83701</v>
      </c>
      <c r="H256" s="429">
        <v>83715</v>
      </c>
      <c r="I256" s="429">
        <v>83932</v>
      </c>
      <c r="J256" s="214">
        <f t="shared" si="72"/>
        <v>251348</v>
      </c>
      <c r="K256" s="103">
        <v>98457</v>
      </c>
      <c r="L256" s="429">
        <v>71908</v>
      </c>
      <c r="M256" s="429">
        <v>97214</v>
      </c>
      <c r="N256" s="214">
        <f t="shared" si="73"/>
        <v>267579</v>
      </c>
      <c r="O256" s="449">
        <f>'Overall Metrics'!L261</f>
        <v>93564.950000000012</v>
      </c>
      <c r="P256" s="449">
        <f>'Overall Metrics'!M261</f>
        <v>97274</v>
      </c>
      <c r="Q256" s="449">
        <f>'Overall Metrics'!N261</f>
        <v>65536.900000000009</v>
      </c>
      <c r="R256" s="449">
        <f t="shared" si="74"/>
        <v>256375.85000000003</v>
      </c>
      <c r="S256" s="180">
        <f t="shared" si="75"/>
        <v>13477267.25</v>
      </c>
      <c r="T256" s="449">
        <f t="shared" si="76"/>
        <v>10720625</v>
      </c>
      <c r="U256" s="449">
        <f t="shared" si="77"/>
        <v>10408222</v>
      </c>
      <c r="V256" s="450">
        <f t="shared" si="78"/>
        <v>0.2571344721040052</v>
      </c>
      <c r="W256" s="450">
        <f>IF(R256=0,"-",SUMIFS($R$2:R256,$A$2:A256,A256,$C$2:C256,C256)/SUMIFS($J$2:J256,$A$2:A256,A256,$C$2:C256,C256)-1)</f>
        <v>0.24356200870703737</v>
      </c>
      <c r="X256" s="450">
        <f t="shared" si="79"/>
        <v>0.29486738945422197</v>
      </c>
      <c r="Y256" s="450">
        <f>IFERROR(IF(R256=0,"-",SUMIFS($R$2:R256,$A$2:A256,A256,$C$2:C256,C256)/SUMIFS($N$2:N256,$A$2:A256,A256,$C$2:C256,C256)-1),"")</f>
        <v>0.29253758317213441</v>
      </c>
      <c r="Z256" s="269">
        <f>IF(R256=0,"",(S256/VLOOKUP(_xlfn.NUMBERVALUE(_xlfn.CONCAT(LEFT(F256,4),52)),$F$2:T463,COLUMNS($F$2:T463),FALSE)))</f>
        <v>1.1473695051629753</v>
      </c>
      <c r="AA256" s="269">
        <f>IFERROR(IF(R256=0,"",(S256/VLOOKUP(_xlfn.NUMBERVALUE(_xlfn.CONCAT(LEFT(F256,4),52)),$F$2:U463,COLUMNS($F$2:U463),FALSE))),"")</f>
        <v>1.1585776804612073</v>
      </c>
      <c r="AB256" s="268">
        <f t="shared" si="80"/>
        <v>0.11784745701962951</v>
      </c>
      <c r="AC256" s="450">
        <f t="shared" si="81"/>
        <v>0.16196619482768915</v>
      </c>
      <c r="AD256" s="450">
        <f t="shared" si="82"/>
        <v>-0.21916670638135627</v>
      </c>
      <c r="AE256" s="269">
        <f t="shared" si="83"/>
        <v>2.0003540907427286E-2</v>
      </c>
      <c r="AF256" s="268">
        <f t="shared" si="84"/>
        <v>-4.9687173080634084E-2</v>
      </c>
      <c r="AG256" s="450">
        <f t="shared" si="85"/>
        <v>0.35275629971630407</v>
      </c>
      <c r="AH256" s="450">
        <f t="shared" si="86"/>
        <v>-0.32584915752875088</v>
      </c>
      <c r="AI256" s="269">
        <f t="shared" si="87"/>
        <v>-4.1868569656064114E-2</v>
      </c>
      <c r="AJ256" s="450">
        <f>IF(O256=0,"-",SUMIFS($O$2:O256,$A$2:A256,$A256,$F$2:F256,"&lt;="&amp;$F256)/SUMIFS($G$2:G256,$A$2:A256,$A256,$F$2:F256,"&lt;="&amp;$F256)-1)</f>
        <v>0.39916103111252976</v>
      </c>
      <c r="AK256" s="450">
        <f>IF(P256=0,"-",SUMIFS($P$2:P256,$A$2:A256,$A256,$F$2:F256,"&lt;="&amp;$F256)/SUMIFS($H$2:H256,$A$2:A256,$A256,$F$2:F256,"&lt;="&amp;$F256)-1)</f>
        <v>0.59553838677335702</v>
      </c>
      <c r="AL256" s="450">
        <f>IF(Q256=0,"-",SUMIFS($Q$2:Q256,$A$2:A256,$A256,$F$2:F256,"&lt;="&amp;$F256)/SUMIFS($I$2:I256,$A$2:A256,$A256,$F$2:F256,"&lt;="&amp;$F256)-1)</f>
        <v>-0.18854899321600682</v>
      </c>
      <c r="AM256" s="450">
        <f>IFERROR(IF(O256=0,"-",SUMIFS($O$2:O256,$A$2:A256,$A256,$F$2:F256,"&lt;="&amp;$F256)/SUMIFS($K$2:K256,$A$2:A256,$A256,$F$2:F256,"&lt;="&amp;$F256)-1),"")</f>
        <v>0.48356885890363821</v>
      </c>
      <c r="AN256" s="450">
        <f>IFERROR(IF(P256=0,"-",SUMIFS($P$2:P256,$A$2:A256,$A256,$F$2:F256,"&lt;="&amp;$F256)/SUMIFS($L$2:L256,$A$2:A256,$A256,$F$2:F256,"&lt;="&amp;$F256)-1),"")</f>
        <v>0.5331700830770103</v>
      </c>
      <c r="AO256" s="450">
        <f>IFERROR(IF(Q256=0,"-",SUMIFS($Q$2:Q256,$A$2:A256,$A256,$F$2:F256,"&lt;="&amp;$F256)/SUMIFS($M$2:M256,$A$2:A256,$A256,$F$2:F256,"&lt;="&amp;$F256)-1),"")</f>
        <v>-0.1305256620973132</v>
      </c>
      <c r="AP256" s="103">
        <v>92700</v>
      </c>
      <c r="AQ256" s="452">
        <f>'Overall Metrics'!AO261</f>
        <v>0.1610779355007502</v>
      </c>
      <c r="AR256" s="450">
        <f t="shared" si="88"/>
        <v>-92699.838922064504</v>
      </c>
      <c r="AS256" s="453">
        <f>IFERROR(IF(R257=0,"-",AVERAGEIFS($AQ$2:AQ256,$A$2:A256,$A256,$F$2:F256,"&lt;="&amp;$F256)-AVERAGEIFS($AP$2:AP256,$A$2:A256,$A256,$F$2:F256,"&lt;="&amp;$F256)),"")</f>
        <v>-76136.321286162463</v>
      </c>
      <c r="AT256" s="390">
        <f>IFERROR(IF(R257=0,"-",AVERAGEIFS($AQ$2:AQ256,$A$2:A256,A256,$C$2:C256,C256)-AVERAGEIFS($AP$2:AP256,$A$2:A256,A256,$C$2:C256,C256)),"")</f>
        <v>-82731.536653997726</v>
      </c>
      <c r="AU256" s="103">
        <v>63199</v>
      </c>
      <c r="AV256" s="452">
        <f>'Overall Metrics'!AS261</f>
        <v>0.2257026136667564</v>
      </c>
      <c r="AW256" s="450">
        <f t="shared" ref="AW256:AW267" si="92">BD256</f>
        <v>5.3708153209572895E-3</v>
      </c>
      <c r="AX256" s="453">
        <f>IFERROR(IF(R260=0,"-",AVERAGEIFS($AV$2:AV256,$A$2:A256,$A256,$F$2:F256,"&lt;="&amp;$F256)-AVERAGEIFS($AU$2:AU256,$A$2:A256,$A256,$F$2:F256,"&lt;="&amp;$F256)),"")</f>
        <v>-74838.910091433761</v>
      </c>
      <c r="AY256" s="453">
        <f>IFERROR(IF(R260=0,"-",AVERAGEIFS($AV$2:AV256,$A$2:A256,A256,$C$2:C256,C256)-AVERAGEIFS($AU$2:AU256,$A$2:A256,A256,$C$2:C256,C256)),"")</f>
        <v>-77338.221787173286</v>
      </c>
      <c r="AZ256" s="103">
        <v>153885</v>
      </c>
      <c r="BA256" s="449">
        <f>'Glass Metrics'!AC261</f>
        <v>157815</v>
      </c>
      <c r="BB256" s="450">
        <f t="shared" si="90"/>
        <v>2.5538551515742247E-2</v>
      </c>
      <c r="BC256" s="450">
        <f>IFERROR(IF(R256=0,"-",AVERAGEIFS($BA$2:BA256,$A$2:A256,$A256,$F$2:F256,"&lt;="&amp;$F256)/AVERAGEIFS($AZ$2:AZ256,$A$2:A256,$A256,$F$2:F256,"&lt;="&amp;$F256)-1),"")</f>
        <v>8.1945011101771659E-3</v>
      </c>
      <c r="BD256" s="269">
        <f>IFERROR(IF(R256=0,"-",AVERAGEIFS($BA$2:BA256,$A$2:A256,A256,$C$2:C256,C256)/AVERAGEIFS($AZ$2:AZ256,$A$2:A256,A256,$C$2:C256,C256)-1),"")</f>
        <v>5.3708153209572895E-3</v>
      </c>
    </row>
    <row r="257" spans="1:59" ht="16.350000000000001" customHeight="1">
      <c r="A257" s="175">
        <f t="shared" si="69"/>
        <v>2025</v>
      </c>
      <c r="B257" s="447" t="str">
        <f t="shared" si="70"/>
        <v>48</v>
      </c>
      <c r="C257" s="447" t="str">
        <f t="array" ref="C257">_xlfn.IFS(_xlfn.NUMBERVALUE(B257)&lt;=13,"Q1",AND(_xlfn.NUMBERVALUE(B257)&gt;13,_xlfn.NUMBERVALUE(B257)&lt;=26),"Q2", AND(_xlfn.NUMBERVALUE(B257)&gt;26,_xlfn.NUMBERVALUE(B257)&lt;=39),"Q3",_xlfn.NUMBERVALUE(B257)&gt;39,"Q4")</f>
        <v>Q4</v>
      </c>
      <c r="D257" s="448">
        <f t="shared" si="91"/>
        <v>45647</v>
      </c>
      <c r="E257" s="448">
        <f t="shared" si="71"/>
        <v>45653</v>
      </c>
      <c r="F257" s="79">
        <v>202448</v>
      </c>
      <c r="G257" s="103">
        <v>51468</v>
      </c>
      <c r="H257" s="429">
        <v>52905</v>
      </c>
      <c r="I257" s="429">
        <v>56518</v>
      </c>
      <c r="J257" s="214">
        <f t="shared" si="72"/>
        <v>160891</v>
      </c>
      <c r="K257" s="103">
        <v>64162</v>
      </c>
      <c r="L257" s="429">
        <v>50315</v>
      </c>
      <c r="M257" s="429">
        <v>64186</v>
      </c>
      <c r="N257" s="214">
        <f t="shared" si="73"/>
        <v>178663</v>
      </c>
      <c r="O257" s="449">
        <f>'Overall Metrics'!L262</f>
        <v>116427.95</v>
      </c>
      <c r="P257" s="449">
        <f>'Overall Metrics'!M262</f>
        <v>136226</v>
      </c>
      <c r="Q257" s="449">
        <f>'Overall Metrics'!N262</f>
        <v>62572.900000000009</v>
      </c>
      <c r="R257" s="449">
        <f t="shared" si="74"/>
        <v>315226.85000000003</v>
      </c>
      <c r="S257" s="180">
        <f t="shared" si="75"/>
        <v>13792494.1</v>
      </c>
      <c r="T257" s="449">
        <f t="shared" si="76"/>
        <v>10881516</v>
      </c>
      <c r="U257" s="449">
        <f t="shared" si="77"/>
        <v>10586885</v>
      </c>
      <c r="V257" s="450">
        <f t="shared" si="78"/>
        <v>0.26751585900346964</v>
      </c>
      <c r="W257" s="450">
        <f>IF(R257=0,"-",SUMIFS($R$2:R257,$A$2:A257,A257,$C$2:C257,C257)/SUMIFS($J$2:J257,$A$2:A257,A257,$C$2:C257,C257)-1)</f>
        <v>0.30160036673128321</v>
      </c>
      <c r="X257" s="450">
        <f t="shared" si="79"/>
        <v>0.30279058476596266</v>
      </c>
      <c r="Y257" s="450">
        <f>IFERROR(IF(R257=0,"-",SUMIFS($R$2:R257,$A$2:A257,A257,$C$2:C257,C257)/SUMIFS($N$2:N257,$A$2:A257,A257,$C$2:C257,C257)-1),"")</f>
        <v>0.33615425729521209</v>
      </c>
      <c r="Z257" s="269">
        <f>IF(R257=0,"",(S257/VLOOKUP(_xlfn.NUMBERVALUE(_xlfn.CONCAT(LEFT(F257,4),52)),$F$2:T464,COLUMNS($F$2:T464),FALSE)))</f>
        <v>1.1742059303958861</v>
      </c>
      <c r="AA257" s="269">
        <f>IFERROR(IF(R257=0,"",(S257/VLOOKUP(_xlfn.NUMBERVALUE(_xlfn.CONCAT(LEFT(F257,4),52)),$F$2:U464,COLUMNS($F$2:U464),FALSE))),"")</f>
        <v>1.1856762595661141</v>
      </c>
      <c r="AB257" s="268">
        <f t="shared" si="80"/>
        <v>1.2621424963083858</v>
      </c>
      <c r="AC257" s="450">
        <f t="shared" si="81"/>
        <v>1.5749173046025895</v>
      </c>
      <c r="AD257" s="450">
        <f t="shared" si="82"/>
        <v>0.10713224105594699</v>
      </c>
      <c r="AE257" s="269">
        <f t="shared" si="83"/>
        <v>0.95925719897321815</v>
      </c>
      <c r="AF257" s="268">
        <f t="shared" si="84"/>
        <v>0.81459352888002234</v>
      </c>
      <c r="AG257" s="450">
        <f t="shared" si="85"/>
        <v>1.7074629832058035</v>
      </c>
      <c r="AH257" s="450">
        <f t="shared" si="86"/>
        <v>-2.5131648646122051E-2</v>
      </c>
      <c r="AI257" s="269">
        <f t="shared" si="87"/>
        <v>0.76436559332374387</v>
      </c>
      <c r="AJ257" s="450">
        <f>IF(O257=0,"-",SUMIFS($O$2:O257,$A$2:A257,$A257,$F$2:F257,"&lt;="&amp;$F257)/SUMIFS($G$2:G257,$A$2:A257,$A257,$F$2:F257,"&lt;="&amp;$F257)-1)</f>
        <v>0.41146318156890338</v>
      </c>
      <c r="AK257" s="450">
        <f>IF(P257=0,"-",SUMIFS($P$2:P257,$A$2:A257,$A257,$F$2:F257,"&lt;="&amp;$F257)/SUMIFS($H$2:H257,$A$2:A257,$A257,$F$2:F257,"&lt;="&amp;$F257)-1)</f>
        <v>0.61043167328730497</v>
      </c>
      <c r="AL257" s="450">
        <f>IF(Q257=0,"-",SUMIFS($Q$2:Q257,$A$2:A257,$A257,$F$2:F257,"&lt;="&amp;$F257)/SUMIFS($I$2:I257,$A$2:A257,$A257,$F$2:F257,"&lt;="&amp;$F257)-1)</f>
        <v>-0.18414208997920933</v>
      </c>
      <c r="AM257" s="450">
        <f>IFERROR(IF(O257=0,"-",SUMIFS($O$2:O257,$A$2:A257,$A257,$F$2:F257,"&lt;="&amp;$F257)/SUMIFS($K$2:K257,$A$2:A257,$A257,$F$2:F257,"&lt;="&amp;$F257)-1),"")</f>
        <v>0.48977801438157398</v>
      </c>
      <c r="AN257" s="450">
        <f>IFERROR(IF(P257=0,"-",SUMIFS($P$2:P257,$A$2:A257,$A257,$F$2:F257,"&lt;="&amp;$F257)/SUMIFS($L$2:L257,$A$2:A257,$A257,$F$2:F257,"&lt;="&amp;$F257)-1),"")</f>
        <v>0.54951073095263503</v>
      </c>
      <c r="AO257" s="450">
        <f>IFERROR(IF(Q257=0,"-",SUMIFS($Q$2:Q257,$A$2:A257,$A257,$F$2:F257,"&lt;="&amp;$F257)/SUMIFS($M$2:M257,$A$2:A257,$A257,$F$2:F257,"&lt;="&amp;$F257)-1),"")</f>
        <v>-0.12862032369926579</v>
      </c>
      <c r="AP257" s="103">
        <v>58166</v>
      </c>
      <c r="AQ257" s="452">
        <f>'Overall Metrics'!AO262</f>
        <v>0.80982079137310115</v>
      </c>
      <c r="AR257" s="450">
        <f t="shared" si="88"/>
        <v>-58165.190179208628</v>
      </c>
      <c r="AS257" s="453">
        <f>IFERROR(IF(R258=0,"-",AVERAGEIFS($AQ$2:AQ257,$A$2:A257,$A257,$F$2:F257,"&lt;="&amp;$F257)-AVERAGEIFS($AP$2:AP257,$A$2:A257,$A257,$F$2:F257,"&lt;="&amp;$F257)),"")</f>
        <v>-75761.922721434254</v>
      </c>
      <c r="AT257" s="390">
        <f>IFERROR(IF(R258=0,"-",AVERAGEIFS($AQ$2:AQ257,$A$2:A257,A257,$C$2:C257,C257)-AVERAGEIFS($AP$2:AP257,$A$2:A257,A257,$C$2:C257,C257)),"")</f>
        <v>-80001.942601243383</v>
      </c>
      <c r="AU257" s="103">
        <v>82977</v>
      </c>
      <c r="AV257" s="452">
        <f>'Overall Metrics'!AS262</f>
        <v>0.45217675627669074</v>
      </c>
      <c r="AW257" s="450">
        <f t="shared" si="92"/>
        <v>-3.0423444321177939E-2</v>
      </c>
      <c r="AX257" s="453">
        <f>IFERROR(IF(R261=0,"-",AVERAGEIFS($AV$2:AV257,$A$2:A257,$A257,$F$2:F257,"&lt;="&amp;$F257)-AVERAGEIFS($AU$2:AU257,$A$2:A257,$A257,$F$2:F257,"&lt;="&amp;$F257)),"")</f>
        <v>-75008.444210846457</v>
      </c>
      <c r="AY257" s="453">
        <f>IFERROR(IF(R261=0,"-",AVERAGEIFS($AV$2:AV257,$A$2:A257,A257,$C$2:C257,C257)-AVERAGEIFS($AU$2:AU257,$A$2:A257,A257,$C$2:C257,C257)),"")</f>
        <v>-77964.702457847787</v>
      </c>
      <c r="AZ257" s="103">
        <v>157042</v>
      </c>
      <c r="BA257" s="449">
        <f>'Glass Metrics'!AC262</f>
        <v>108198</v>
      </c>
      <c r="BB257" s="450">
        <f t="shared" si="90"/>
        <v>-0.3110250760942932</v>
      </c>
      <c r="BC257" s="450">
        <f>IFERROR(IF(R257=0,"-",AVERAGEIFS($BA$2:BA257,$A$2:A257,$A257,$F$2:F257,"&lt;="&amp;$F257)/AVERAGEIFS($AZ$2:AZ257,$A$2:A257,$A257,$F$2:F257,"&lt;="&amp;$F257)-1),"")</f>
        <v>1.261429064564723E-3</v>
      </c>
      <c r="BD257" s="269">
        <f>IFERROR(IF(R257=0,"-",AVERAGEIFS($BA$2:BA257,$A$2:A257,A257,$C$2:C257,C257)/AVERAGEIFS($AZ$2:AZ257,$A$2:A257,A257,$C$2:C257,C257)-1),"")</f>
        <v>-3.0423444321177939E-2</v>
      </c>
    </row>
    <row r="258" spans="1:59" ht="16.350000000000001" customHeight="1">
      <c r="A258" s="175">
        <f t="shared" ref="A258:A314" si="93">LEFT(F258,4)+1</f>
        <v>2025</v>
      </c>
      <c r="B258" s="447" t="str">
        <f t="shared" ref="B258:B314" si="94">RIGHT(F258,2)</f>
        <v>49</v>
      </c>
      <c r="C258" s="447" t="str">
        <f t="array" ref="C258">_xlfn.IFS(_xlfn.NUMBERVALUE(B258)&lt;=13,"Q1",AND(_xlfn.NUMBERVALUE(B258)&gt;13,_xlfn.NUMBERVALUE(B258)&lt;=26),"Q2", AND(_xlfn.NUMBERVALUE(B258)&gt;26,_xlfn.NUMBERVALUE(B258)&lt;=39),"Q3",_xlfn.NUMBERVALUE(B258)&gt;39,"Q4")</f>
        <v>Q4</v>
      </c>
      <c r="D258" s="448">
        <f t="shared" si="91"/>
        <v>45654</v>
      </c>
      <c r="E258" s="448">
        <f t="shared" ref="E258:E314" si="95">D258+6</f>
        <v>45660</v>
      </c>
      <c r="F258" s="79">
        <v>202449</v>
      </c>
      <c r="G258" s="103">
        <v>58440</v>
      </c>
      <c r="H258" s="429">
        <v>98966</v>
      </c>
      <c r="I258" s="429">
        <v>54304</v>
      </c>
      <c r="J258" s="214">
        <f t="shared" ref="J258:J314" si="96">SUM(G258:I258)</f>
        <v>211710</v>
      </c>
      <c r="K258" s="103">
        <v>79302</v>
      </c>
      <c r="L258" s="429">
        <v>88763</v>
      </c>
      <c r="M258" s="429">
        <v>97933</v>
      </c>
      <c r="N258" s="214">
        <f t="shared" ref="N258:N314" si="97">SUM(K258:M258)</f>
        <v>265998</v>
      </c>
      <c r="O258" s="449">
        <f>'Overall Metrics'!L263</f>
        <v>89182.099999999991</v>
      </c>
      <c r="P258" s="449">
        <f>'Overall Metrics'!M263</f>
        <v>89023</v>
      </c>
      <c r="Q258" s="449">
        <f>'Overall Metrics'!N263</f>
        <v>67085.2</v>
      </c>
      <c r="R258" s="449">
        <f t="shared" ref="R258:R314" si="98">SUM(O258:Q258)</f>
        <v>245290.3</v>
      </c>
      <c r="S258" s="180">
        <f t="shared" ref="S258:S314" si="99">IF(OR(RIGHT(F258,2) = "01",R258 = 0),R258,S257+R258)</f>
        <v>14037784.4</v>
      </c>
      <c r="T258" s="449">
        <f t="shared" ref="T258:T314" si="100">IF(RIGHT(F258,2) = "01",J258,T257+J258)</f>
        <v>11093226</v>
      </c>
      <c r="U258" s="449">
        <f t="shared" ref="U258:U314" si="101">IF(RIGHT(F258,2) = "01",N258,U257+N258)</f>
        <v>10852883</v>
      </c>
      <c r="V258" s="450">
        <f t="shared" ref="V258:V314" si="102">IF(S258=0,"",S258/T258-1)</f>
        <v>0.2654375201586987</v>
      </c>
      <c r="W258" s="450">
        <f>IF(R258=0,"-",SUMIFS($R$2:R258,$A$2:A258,A258,$C$2:C258,C258)/SUMIFS($J$2:J258,$A$2:A258,A258,$C$2:C258,C258)-1)</f>
        <v>0.28781379171516996</v>
      </c>
      <c r="X258" s="450">
        <f t="shared" ref="X258:X314" si="103">IFERROR(IF(S258=0,"",S258/U258-1),"")</f>
        <v>0.2934613226734315</v>
      </c>
      <c r="Y258" s="450">
        <f>IFERROR(IF(R258=0,"-",SUMIFS($R$2:R258,$A$2:A258,A258,$C$2:C258,C258)/SUMIFS($N$2:N258,$A$2:A258,A258,$C$2:C258,C258)-1),"")</f>
        <v>0.28606836118004053</v>
      </c>
      <c r="Z258" s="269">
        <f>IF(R258=0,"",(S258/VLOOKUP(_xlfn.NUMBERVALUE(_xlfn.CONCAT(LEFT(F258,4),52)),$F$2:T465,COLUMNS($F$2:T465),FALSE)))</f>
        <v>1.1950883989936858</v>
      </c>
      <c r="AA258" s="269">
        <f>IFERROR(IF(R258=0,"",(S258/VLOOKUP(_xlfn.NUMBERVALUE(_xlfn.CONCAT(LEFT(F258,4),52)),$F$2:U465,COLUMNS($F$2:U465),FALSE))),"")</f>
        <v>1.2067627203108644</v>
      </c>
      <c r="AB258" s="268">
        <f t="shared" ref="AB258:AB314" si="104">IF($R258=0,"",O258/G258-1)</f>
        <v>0.52604551676933586</v>
      </c>
      <c r="AC258" s="450">
        <f t="shared" ref="AC258:AC314" si="105">IF($R258=0,"",P258/H258-1)</f>
        <v>-0.10046884788715316</v>
      </c>
      <c r="AD258" s="450">
        <f t="shared" ref="AD258:AD314" si="106">IF($R258=0,"",Q258/I258-1)</f>
        <v>0.23536387743076004</v>
      </c>
      <c r="AE258" s="269">
        <f t="shared" ref="AE258:AE314" si="107">IF($R258=0,"",R258/J258-1)</f>
        <v>0.15861461433092439</v>
      </c>
      <c r="AF258" s="268">
        <f t="shared" ref="AF258:AF314" si="108">IFERROR(IF($R258=0,"",O258/K258-1),"")</f>
        <v>0.12458828276714318</v>
      </c>
      <c r="AG258" s="450">
        <f t="shared" ref="AG258:AG314" si="109">IFERROR(IF($R258=0,"",P258/L258-1),"")</f>
        <v>2.9291484064306594E-3</v>
      </c>
      <c r="AH258" s="450">
        <f t="shared" ref="AH258:AH314" si="110">IFERROR(IF($R258=0,"",Q258/M258-1),"")</f>
        <v>-0.31498881888638153</v>
      </c>
      <c r="AI258" s="269">
        <f t="shared" ref="AI258:AI314" si="111">IFERROR(IF($R258=0,"",R258/N258-1),"")</f>
        <v>-7.7849081572041956E-2</v>
      </c>
      <c r="AJ258" s="450">
        <f>IF(O258=0,"-",SUMIFS($O$2:O258,$A$2:A258,$A258,$F$2:F258,"&lt;="&amp;$F258)/SUMIFS($G$2:G258,$A$2:A258,$A258,$F$2:F258,"&lt;="&amp;$F258)-1)</f>
        <v>0.41328832389352543</v>
      </c>
      <c r="AK258" s="450">
        <f>IF(P258=0,"-",SUMIFS($P$2:P258,$A$2:A258,$A258,$F$2:F258,"&lt;="&amp;$F258)/SUMIFS($H$2:H258,$A$2:A258,$A258,$F$2:F258,"&lt;="&amp;$F258)-1)</f>
        <v>0.59076838198919734</v>
      </c>
      <c r="AL258" s="450">
        <f>IF(Q258=0,"-",SUMIFS($Q$2:Q258,$A$2:A258,$A258,$F$2:F258,"&lt;="&amp;$F258)/SUMIFS($I$2:I258,$A$2:A258,$A258,$F$2:F258,"&lt;="&amp;$F258)-1)</f>
        <v>-0.17821941669829822</v>
      </c>
      <c r="AM258" s="450">
        <f>IFERROR(IF(O258=0,"-",SUMIFS($O$2:O258,$A$2:A258,$A258,$F$2:F258,"&lt;="&amp;$F258)/SUMIFS($K$2:K258,$A$2:A258,$A258,$F$2:F258,"&lt;="&amp;$F258)-1),"")</f>
        <v>0.48150348192777614</v>
      </c>
      <c r="AN258" s="450">
        <f>IFERROR(IF(P258=0,"-",SUMIFS($P$2:P258,$A$2:A258,$A258,$F$2:F258,"&lt;="&amp;$F258)/SUMIFS($L$2:L258,$A$2:A258,$A258,$F$2:F258,"&lt;="&amp;$F258)-1),"")</f>
        <v>0.53641439683201675</v>
      </c>
      <c r="AO258" s="450">
        <f>IFERROR(IF(Q258=0,"-",SUMIFS($Q$2:Q258,$A$2:A258,$A258,$F$2:F258,"&lt;="&amp;$F258)/SUMIFS($M$2:M258,$A$2:A258,$A258,$F$2:F258,"&lt;="&amp;$F258)-1),"")</f>
        <v>-0.1336229771551225</v>
      </c>
      <c r="AP258" s="103">
        <v>68980</v>
      </c>
      <c r="AQ258" s="452">
        <f>'Overall Metrics'!AO263</f>
        <v>0.35298281002040832</v>
      </c>
      <c r="AR258" s="450">
        <f t="shared" ref="AR258:AR314" si="112">IFERROR(AQ258-AP258,"")</f>
        <v>-68979.647017189985</v>
      </c>
      <c r="AS258" s="453">
        <f>IFERROR(IF(R259=0,"-",AVERAGEIFS($AQ$2:AQ258,$A$2:A258,$A258,$F$2:F258,"&lt;="&amp;$F258)-AVERAGEIFS($AP$2:AP258,$A$2:A258,$A258,$F$2:F258,"&lt;="&amp;$F258)),"")</f>
        <v>-75623.508931551711</v>
      </c>
      <c r="AT258" s="390">
        <f>IFERROR(IF(R259=0,"-",AVERAGEIFS($AQ$2:AQ258,$A$2:A258,A258,$C$2:C258,C258)-AVERAGEIFS($AP$2:AP258,$A$2:A258,A258,$C$2:C258,C258)),"")</f>
        <v>-78899.713042838048</v>
      </c>
      <c r="AU258" s="103">
        <v>83215</v>
      </c>
      <c r="AV258" s="452">
        <f>'Overall Metrics'!AS263</f>
        <v>0.33028967727072855</v>
      </c>
      <c r="AW258" s="450">
        <f t="shared" si="92"/>
        <v>5.980566768662321E-3</v>
      </c>
      <c r="AX258" s="453">
        <f>IFERROR(IF(R262=0,"-",AVERAGEIFS($AV$2:AV258,$A$2:A258,$A258,$F$2:F258,"&lt;="&amp;$F258)-AVERAGEIFS($AU$2:AU258,$A$2:A258,$A258,$F$2:F258,"&lt;="&amp;$F258)),"")</f>
        <v>-75175.918200631699</v>
      </c>
      <c r="AY258" s="453">
        <f>IFERROR(IF(R262=0,"-",AVERAGEIFS($AV$2:AV258,$A$2:A258,A258,$C$2:C258,C258)-AVERAGEIFS($AU$2:AU258,$A$2:A258,A258,$C$2:C258,C258)),"")</f>
        <v>-78489.699183095276</v>
      </c>
      <c r="AZ258" s="103">
        <v>135127</v>
      </c>
      <c r="BA258" s="449">
        <f>'Glass Metrics'!AC263</f>
        <v>186469</v>
      </c>
      <c r="BB258" s="450">
        <f t="shared" ref="BB258:BB314" si="113">IFERROR(IF(BA258=0,"",BA258/AZ258-1),"")</f>
        <v>0.37995367321112727</v>
      </c>
      <c r="BC258" s="450">
        <f>IFERROR(IF(R258=0,"-",AVERAGEIFS($BA$2:BA258,$A$2:A258,$A258,$F$2:F258,"&lt;="&amp;$F258)/AVERAGEIFS($AZ$2:AZ258,$A$2:A258,$A258,$F$2:F258,"&lt;="&amp;$F258)-1),"")</f>
        <v>8.2085960616711251E-3</v>
      </c>
      <c r="BD258" s="269">
        <f>IFERROR(IF(R258=0,"-",AVERAGEIFS($BA$2:BA258,$A$2:A258,A258,$C$2:C258,C258)/AVERAGEIFS($AZ$2:AZ258,$A$2:A258,A258,$C$2:C258,C258)-1),"")</f>
        <v>5.980566768662321E-3</v>
      </c>
    </row>
    <row r="259" spans="1:59" ht="16.350000000000001" customHeight="1">
      <c r="A259" s="175">
        <f t="shared" si="93"/>
        <v>2025</v>
      </c>
      <c r="B259" s="447" t="str">
        <f t="shared" si="94"/>
        <v>50</v>
      </c>
      <c r="C259" s="447" t="str">
        <f t="array" ref="C259">_xlfn.IFS(_xlfn.NUMBERVALUE(B259)&lt;=13,"Q1",AND(_xlfn.NUMBERVALUE(B259)&gt;13,_xlfn.NUMBERVALUE(B259)&lt;=26),"Q2", AND(_xlfn.NUMBERVALUE(B259)&gt;26,_xlfn.NUMBERVALUE(B259)&lt;=39),"Q3",_xlfn.NUMBERVALUE(B259)&gt;39,"Q4")</f>
        <v>Q4</v>
      </c>
      <c r="D259" s="448">
        <f t="shared" ref="D259:D314" si="114">E258+1</f>
        <v>45661</v>
      </c>
      <c r="E259" s="448">
        <f t="shared" si="95"/>
        <v>45667</v>
      </c>
      <c r="F259" s="79">
        <v>202450</v>
      </c>
      <c r="G259" s="103">
        <v>64402</v>
      </c>
      <c r="H259" s="429">
        <v>99352</v>
      </c>
      <c r="I259" s="429">
        <v>79474</v>
      </c>
      <c r="J259" s="214">
        <f t="shared" si="96"/>
        <v>243228</v>
      </c>
      <c r="K259" s="103">
        <v>95568</v>
      </c>
      <c r="L259" s="429">
        <v>75331</v>
      </c>
      <c r="M259" s="429">
        <v>82889</v>
      </c>
      <c r="N259" s="214">
        <f t="shared" si="97"/>
        <v>253788</v>
      </c>
      <c r="O259" s="449">
        <f>'Overall Metrics'!L264</f>
        <v>94893.650000000009</v>
      </c>
      <c r="P259" s="449">
        <f>'Overall Metrics'!M264</f>
        <v>105923</v>
      </c>
      <c r="Q259" s="449">
        <f>'Overall Metrics'!N264</f>
        <v>57383.3</v>
      </c>
      <c r="R259" s="449">
        <f t="shared" si="98"/>
        <v>258199.95</v>
      </c>
      <c r="S259" s="180">
        <f t="shared" si="99"/>
        <v>14295984.35</v>
      </c>
      <c r="T259" s="449">
        <f t="shared" si="100"/>
        <v>11336454</v>
      </c>
      <c r="U259" s="449">
        <f t="shared" si="101"/>
        <v>11106671</v>
      </c>
      <c r="V259" s="450">
        <f t="shared" si="102"/>
        <v>0.2610631463771651</v>
      </c>
      <c r="W259" s="450">
        <f>IF(R259=0,"-",SUMIFS($R$2:R259,$A$2:A259,A259,$C$2:C259,C259)/SUMIFS($J$2:J259,$A$2:A259,A259,$C$2:C259,C259)-1)</f>
        <v>0.26524982861491342</v>
      </c>
      <c r="X259" s="450">
        <f t="shared" si="103"/>
        <v>0.28715295069062541</v>
      </c>
      <c r="Y259" s="450">
        <f>IFERROR(IF(R259=0,"-",SUMIFS($R$2:R259,$A$2:A259,A259,$C$2:C259,C259)/SUMIFS($N$2:N259,$A$2:A259,A259,$C$2:C259,C259)-1),"")</f>
        <v>0.25826449179039113</v>
      </c>
      <c r="Z259" s="269">
        <f>IF(R259=0,"",(S259/VLOOKUP(_xlfn.NUMBERVALUE(_xlfn.CONCAT(LEFT(F259,4),52)),$F$2:T466,COLUMNS($F$2:T466),FALSE)))</f>
        <v>1.2170699137450982</v>
      </c>
      <c r="AA259" s="269">
        <f>IFERROR(IF(R259=0,"",(S259/VLOOKUP(_xlfn.NUMBERVALUE(_xlfn.CONCAT(LEFT(F259,4),52)),$F$2:U466,COLUMNS($F$2:U466),FALSE))),"")</f>
        <v>1.2289589633338109</v>
      </c>
      <c r="AB259" s="268">
        <f t="shared" si="104"/>
        <v>0.47345812241855856</v>
      </c>
      <c r="AC259" s="450">
        <f t="shared" si="105"/>
        <v>6.6138577985344948E-2</v>
      </c>
      <c r="AD259" s="450">
        <f t="shared" si="106"/>
        <v>-0.27796134584895682</v>
      </c>
      <c r="AE259" s="269">
        <f t="shared" si="107"/>
        <v>6.1555207459667471E-2</v>
      </c>
      <c r="AF259" s="268">
        <f t="shared" si="108"/>
        <v>-7.0562322116188847E-3</v>
      </c>
      <c r="AG259" s="450">
        <f t="shared" si="109"/>
        <v>0.40610107392706851</v>
      </c>
      <c r="AH259" s="450">
        <f t="shared" si="110"/>
        <v>-0.30770910494758041</v>
      </c>
      <c r="AI259" s="269">
        <f t="shared" si="111"/>
        <v>1.7384391697006896E-2</v>
      </c>
      <c r="AJ259" s="450">
        <f>IF(O259=0,"-",SUMIFS($O$2:O259,$A$2:A259,$A259,$F$2:F259,"&lt;="&amp;$F259)/SUMIFS($G$2:G259,$A$2:A259,$A259,$F$2:F259,"&lt;="&amp;$F259)-1)</f>
        <v>0.41432630498475609</v>
      </c>
      <c r="AK259" s="450">
        <f>IF(P259=0,"-",SUMIFS($P$2:P259,$A$2:A259,$A259,$F$2:F259,"&lt;="&amp;$F259)/SUMIFS($H$2:H259,$A$2:A259,$A259,$F$2:F259,"&lt;="&amp;$F259)-1)</f>
        <v>0.57659426465557417</v>
      </c>
      <c r="AL259" s="450">
        <f>IF(Q259=0,"-",SUMIFS($Q$2:Q259,$A$2:A259,$A259,$F$2:F259,"&lt;="&amp;$F259)/SUMIFS($I$2:I259,$A$2:A259,$A259,$F$2:F259,"&lt;="&amp;$F259)-1)</f>
        <v>-0.18023856720091991</v>
      </c>
      <c r="AM259" s="450">
        <f>IFERROR(IF(O259=0,"-",SUMIFS($O$2:O259,$A$2:A259,$A259,$F$2:F259,"&lt;="&amp;$F259)/SUMIFS($K$2:K259,$A$2:A259,$A259,$F$2:F259,"&lt;="&amp;$F259)-1),"")</f>
        <v>0.46851760688438904</v>
      </c>
      <c r="AN259" s="450">
        <f>IFERROR(IF(P259=0,"-",SUMIFS($P$2:P259,$A$2:A259,$A259,$F$2:F259,"&lt;="&amp;$F259)/SUMIFS($L$2:L259,$A$2:A259,$A259,$F$2:F259,"&lt;="&amp;$F259)-1),"")</f>
        <v>0.53381733254036612</v>
      </c>
      <c r="AO259" s="450">
        <f>IFERROR(IF(Q259=0,"-",SUMIFS($Q$2:Q259,$A$2:A259,$A259,$F$2:F259,"&lt;="&amp;$F259)/SUMIFS($M$2:M259,$A$2:A259,$A259,$F$2:F259,"&lt;="&amp;$F259)-1),"")</f>
        <v>-0.1374902379292029</v>
      </c>
      <c r="AP259" s="103">
        <v>72916</v>
      </c>
      <c r="AQ259" s="452">
        <f>'Overall Metrics'!AO264</f>
        <v>0.43925729020045573</v>
      </c>
      <c r="AR259" s="450">
        <f t="shared" si="112"/>
        <v>-72915.5607427098</v>
      </c>
      <c r="AS259" s="453">
        <f>IFERROR(IF(R260=0,"-",AVERAGEIFS($AQ$2:AQ259,$A$2:A259,$A259,$F$2:F259,"&lt;="&amp;$F259)-AVERAGEIFS($AP$2:AP259,$A$2:A259,$A259,$F$2:F259,"&lt;="&amp;$F259)),"")</f>
        <v>-75569.349967774877</v>
      </c>
      <c r="AT259" s="390">
        <f>IFERROR(IF(R260=0,"-",AVERAGEIFS($AQ$2:AQ259,$A$2:A259,A259,$C$2:C259,C259)-AVERAGEIFS($AP$2:AP259,$A$2:A259,A259,$C$2:C259,C259)),"")</f>
        <v>-78355.699197371854</v>
      </c>
      <c r="AU259" s="103">
        <v>87204</v>
      </c>
      <c r="AV259" s="452">
        <f>'Overall Metrics'!AS264</f>
        <v>0.47437756898929639</v>
      </c>
      <c r="AW259" s="450">
        <f t="shared" si="92"/>
        <v>-8.7311950453650145E-4</v>
      </c>
      <c r="AX259" s="453">
        <f t="shared" ref="AX259:AX264" si="115">BB259</f>
        <v>-7.8778291010305312E-2</v>
      </c>
      <c r="AY259" s="453">
        <f t="shared" ref="AY259:AY264" si="116">BC259</f>
        <v>6.6542894873267144E-3</v>
      </c>
      <c r="AZ259" s="103">
        <v>134009</v>
      </c>
      <c r="BA259" s="449">
        <f>'Glass Metrics'!AC264</f>
        <v>123452</v>
      </c>
      <c r="BB259" s="450">
        <f t="shared" si="113"/>
        <v>-7.8778291010305312E-2</v>
      </c>
      <c r="BC259" s="450">
        <f>IFERROR(IF(R259=0,"-",AVERAGEIFS($BA$2:BA259,$A$2:A259,$A259,$F$2:F259,"&lt;="&amp;$F259)/AVERAGEIFS($AZ$2:AZ259,$A$2:A259,$A259,$F$2:F259,"&lt;="&amp;$F259)-1),"")</f>
        <v>6.6542894873267144E-3</v>
      </c>
      <c r="BD259" s="269">
        <f>IFERROR(IF(R259=0,"-",AVERAGEIFS($BA$2:BA259,$A$2:A259,A259,$C$2:C259,C259)/AVERAGEIFS($AZ$2:AZ259,$A$2:A259,A259,$C$2:C259,C259)-1),"")</f>
        <v>-8.7311950453650145E-4</v>
      </c>
    </row>
    <row r="260" spans="1:59" ht="16.350000000000001" customHeight="1">
      <c r="A260" s="175">
        <f t="shared" si="93"/>
        <v>2025</v>
      </c>
      <c r="B260" s="447" t="str">
        <f t="shared" si="94"/>
        <v>51</v>
      </c>
      <c r="C260" s="447" t="str">
        <f t="array" ref="C260">_xlfn.IFS(_xlfn.NUMBERVALUE(B260)&lt;=13,"Q1",AND(_xlfn.NUMBERVALUE(B260)&gt;13,_xlfn.NUMBERVALUE(B260)&lt;=26),"Q2", AND(_xlfn.NUMBERVALUE(B260)&gt;26,_xlfn.NUMBERVALUE(B260)&lt;=39),"Q3",_xlfn.NUMBERVALUE(B260)&gt;39,"Q4")</f>
        <v>Q4</v>
      </c>
      <c r="D260" s="448">
        <f t="shared" si="114"/>
        <v>45668</v>
      </c>
      <c r="E260" s="448">
        <f t="shared" si="95"/>
        <v>45674</v>
      </c>
      <c r="F260" s="79">
        <v>202451</v>
      </c>
      <c r="G260" s="103">
        <v>72653</v>
      </c>
      <c r="H260" s="429">
        <v>54712</v>
      </c>
      <c r="I260" s="429">
        <v>83791</v>
      </c>
      <c r="J260" s="214">
        <f t="shared" si="96"/>
        <v>211156</v>
      </c>
      <c r="K260" s="103">
        <v>92742</v>
      </c>
      <c r="L260" s="429">
        <v>83052</v>
      </c>
      <c r="M260" s="429">
        <v>98320</v>
      </c>
      <c r="N260" s="214">
        <f t="shared" si="97"/>
        <v>274114</v>
      </c>
      <c r="O260" s="449">
        <f>'Overall Metrics'!L265</f>
        <v>99700.650000000009</v>
      </c>
      <c r="P260" s="449">
        <f>'Overall Metrics'!M265</f>
        <v>103308</v>
      </c>
      <c r="Q260" s="449">
        <f>'Overall Metrics'!N265</f>
        <v>70266.3</v>
      </c>
      <c r="R260" s="449">
        <f t="shared" si="98"/>
        <v>273274.95</v>
      </c>
      <c r="S260" s="180">
        <f t="shared" si="99"/>
        <v>14569259.299999999</v>
      </c>
      <c r="T260" s="449">
        <f t="shared" si="100"/>
        <v>11547610</v>
      </c>
      <c r="U260" s="449">
        <f t="shared" si="101"/>
        <v>11380785</v>
      </c>
      <c r="V260" s="450">
        <f t="shared" si="102"/>
        <v>0.26166880419411442</v>
      </c>
      <c r="W260" s="450">
        <f>IF(R260=0,"-",SUMIFS($R$2:R260,$A$2:A260,A260,$C$2:C260,C260)/SUMIFS($J$2:J260,$A$2:A260,A260,$C$2:C260,C260)-1)</f>
        <v>0.26755534114081403</v>
      </c>
      <c r="X260" s="450">
        <f t="shared" si="103"/>
        <v>0.28016295009527004</v>
      </c>
      <c r="Y260" s="450">
        <f>IFERROR(IF(R260=0,"-",SUMIFS($R$2:R260,$A$2:A260,A260,$C$2:C260,C260)/SUMIFS($N$2:N260,$A$2:A260,A260,$C$2:C260,C260)-1),"")</f>
        <v>0.2319926494697071</v>
      </c>
      <c r="Z260" s="269">
        <f>IF(R260=0,"",(S260/VLOOKUP(_xlfn.NUMBERVALUE(_xlfn.CONCAT(LEFT(F260,4),52)),$F$2:T467,COLUMNS($F$2:T467),FALSE)))</f>
        <v>1.2403348188878627</v>
      </c>
      <c r="AA260" s="269">
        <f>IFERROR(IF(R260=0,"",(S260/VLOOKUP(_xlfn.NUMBERVALUE(_xlfn.CONCAT(LEFT(F260,4),52)),$F$2:U467,COLUMNS($F$2:U467),FALSE))),"")</f>
        <v>1.2524511336548494</v>
      </c>
      <c r="AB260" s="268">
        <f t="shared" si="104"/>
        <v>0.37228538394835731</v>
      </c>
      <c r="AC260" s="450">
        <f t="shared" si="105"/>
        <v>0.88821465126480481</v>
      </c>
      <c r="AD260" s="450">
        <f t="shared" si="106"/>
        <v>-0.16140993662803882</v>
      </c>
      <c r="AE260" s="269">
        <f t="shared" si="107"/>
        <v>0.29418510485138949</v>
      </c>
      <c r="AF260" s="268">
        <f t="shared" si="108"/>
        <v>7.5032347803584143E-2</v>
      </c>
      <c r="AG260" s="450">
        <f t="shared" si="109"/>
        <v>0.24389539083947409</v>
      </c>
      <c r="AH260" s="450">
        <f t="shared" si="110"/>
        <v>-0.28533055329536205</v>
      </c>
      <c r="AI260" s="269">
        <f t="shared" si="111"/>
        <v>-3.0609527422896798E-3</v>
      </c>
      <c r="AJ260" s="450">
        <f>IF(O260=0,"-",SUMIFS($O$2:O260,$A$2:A260,$A260,$F$2:F260,"&lt;="&amp;$F260)/SUMIFS($G$2:G260,$A$2:A260,$A260,$F$2:F260,"&lt;="&amp;$F260)-1)</f>
        <v>0.41352376498161436</v>
      </c>
      <c r="AK260" s="450">
        <f>IF(P260=0,"-",SUMIFS($P$2:P260,$A$2:A260,$A260,$F$2:F260,"&lt;="&amp;$F260)/SUMIFS($H$2:H260,$A$2:A260,$A260,$F$2:F260,"&lt;="&amp;$F260)-1)</f>
        <v>0.58116263179753758</v>
      </c>
      <c r="AL260" s="450">
        <f>IF(Q260=0,"-",SUMIFS($Q$2:Q260,$A$2:A260,$A260,$F$2:F260,"&lt;="&amp;$F260)/SUMIFS($I$2:I260,$A$2:A260,$A260,$F$2:F260,"&lt;="&amp;$F260)-1)</f>
        <v>-0.17984509850622699</v>
      </c>
      <c r="AM260" s="450">
        <f>IFERROR(IF(O260=0,"-",SUMIFS($O$2:O260,$A$2:A260,$A260,$F$2:F260,"&lt;="&amp;$F260)/SUMIFS($K$2:K260,$A$2:A260,$A260,$F$2:F260,"&lt;="&amp;$F260)-1),"")</f>
        <v>0.45862328878361747</v>
      </c>
      <c r="AN260" s="450">
        <f>IFERROR(IF(P260=0,"-",SUMIFS($P$2:P260,$A$2:A260,$A260,$F$2:F260,"&lt;="&amp;$F260)/SUMIFS($L$2:L260,$A$2:A260,$A260,$F$2:F260,"&lt;="&amp;$F260)-1),"")</f>
        <v>0.52758411451564968</v>
      </c>
      <c r="AO260" s="450">
        <f>IFERROR(IF(Q260=0,"-",SUMIFS($Q$2:Q260,$A$2:A260,$A260,$F$2:F260,"&lt;="&amp;$F260)/SUMIFS($M$2:M260,$A$2:A260,$A260,$F$2:F260,"&lt;="&amp;$F260)-1),"")</f>
        <v>-0.14128584775738873</v>
      </c>
      <c r="AP260" s="103">
        <v>59015</v>
      </c>
      <c r="AQ260" s="452">
        <f>'Overall Metrics'!AO265</f>
        <v>0.56151134233004829</v>
      </c>
      <c r="AR260" s="450">
        <f t="shared" si="112"/>
        <v>-59014.438488657674</v>
      </c>
      <c r="AS260" s="453">
        <f>IFERROR(IF(R261=0,"-",AVERAGEIFS($AQ$2:AQ260,$A$2:A260,$A260,$F$2:F260,"&lt;="&amp;$F260)-AVERAGEIFS($AP$2:AP260,$A$2:A260,$A260,$F$2:F260,"&lt;="&amp;$F260)),"")</f>
        <v>-75244.743860341201</v>
      </c>
      <c r="AT260" s="390">
        <f>IFERROR(IF(R261=0,"-",AVERAGEIFS($AQ$2:AQ260,$A$2:A260,A260,$C$2:C260,C260)-AVERAGEIFS($AP$2:AP260,$A$2:A260,A260,$C$2:C260,C260)),"")</f>
        <v>-76743.927471645671</v>
      </c>
      <c r="AU260" s="103">
        <v>71539</v>
      </c>
      <c r="AV260" s="452">
        <f>'Overall Metrics'!AS265</f>
        <v>0.44586440253187887</v>
      </c>
      <c r="AW260" s="450">
        <f t="shared" si="92"/>
        <v>1.206429985505908E-2</v>
      </c>
      <c r="AX260" s="453">
        <f t="shared" si="115"/>
        <v>0.16750279110904898</v>
      </c>
      <c r="AY260" s="453">
        <f t="shared" si="116"/>
        <v>9.5592138115851988E-3</v>
      </c>
      <c r="AZ260" s="103">
        <v>137938</v>
      </c>
      <c r="BA260" s="449">
        <f>'Glass Metrics'!AC265</f>
        <v>161043</v>
      </c>
      <c r="BB260" s="450">
        <f t="shared" si="113"/>
        <v>0.16750279110904898</v>
      </c>
      <c r="BC260" s="450">
        <f>IFERROR(IF(R260=0,"-",AVERAGEIFS($BA$2:BA260,$A$2:A260,$A260,$F$2:F260,"&lt;="&amp;$F260)/AVERAGEIFS($AZ$2:AZ260,$A$2:A260,$A260,$F$2:F260,"&lt;="&amp;$F260)-1),"")</f>
        <v>9.5592138115851988E-3</v>
      </c>
      <c r="BD260" s="269">
        <f>IFERROR(IF(R260=0,"-",AVERAGEIFS($BA$2:BA260,$A$2:A260,A260,$C$2:C260,C260)/AVERAGEIFS($AZ$2:AZ260,$A$2:A260,A260,$C$2:C260,C260)-1),"")</f>
        <v>1.206429985505908E-2</v>
      </c>
    </row>
    <row r="261" spans="1:59" ht="16.350000000000001" customHeight="1">
      <c r="A261" s="175">
        <f t="shared" si="93"/>
        <v>2025</v>
      </c>
      <c r="B261" s="447" t="str">
        <f t="shared" si="94"/>
        <v>52</v>
      </c>
      <c r="C261" s="447" t="str">
        <f t="array" ref="C261">_xlfn.IFS(_xlfn.NUMBERVALUE(B261)&lt;=13,"Q1",AND(_xlfn.NUMBERVALUE(B261)&gt;13,_xlfn.NUMBERVALUE(B261)&lt;=26),"Q2", AND(_xlfn.NUMBERVALUE(B261)&gt;26,_xlfn.NUMBERVALUE(B261)&lt;=39),"Q3",_xlfn.NUMBERVALUE(B261)&gt;39,"Q4")</f>
        <v>Q4</v>
      </c>
      <c r="D261" s="448">
        <f t="shared" si="114"/>
        <v>45675</v>
      </c>
      <c r="E261" s="448">
        <f t="shared" si="95"/>
        <v>45681</v>
      </c>
      <c r="F261" s="79">
        <v>202452</v>
      </c>
      <c r="G261" s="103">
        <v>83549</v>
      </c>
      <c r="H261" s="429">
        <v>61198</v>
      </c>
      <c r="I261" s="429">
        <v>53874</v>
      </c>
      <c r="J261" s="214">
        <f t="shared" si="96"/>
        <v>198621</v>
      </c>
      <c r="K261" s="103">
        <v>75708</v>
      </c>
      <c r="L261" s="429">
        <v>98765</v>
      </c>
      <c r="M261" s="429">
        <v>77339</v>
      </c>
      <c r="N261" s="214">
        <f t="shared" si="97"/>
        <v>251812</v>
      </c>
      <c r="O261" s="449">
        <f>'Overall Metrics'!L266</f>
        <v>96664.25</v>
      </c>
      <c r="P261" s="449">
        <f>'Overall Metrics'!M266</f>
        <v>104228</v>
      </c>
      <c r="Q261" s="449">
        <f>'Overall Metrics'!N266</f>
        <v>63043.5</v>
      </c>
      <c r="R261" s="449">
        <f t="shared" si="98"/>
        <v>263935.75</v>
      </c>
      <c r="S261" s="180">
        <f t="shared" si="99"/>
        <v>14833195.049999999</v>
      </c>
      <c r="T261" s="449">
        <f t="shared" si="100"/>
        <v>11746231</v>
      </c>
      <c r="U261" s="449">
        <f t="shared" si="101"/>
        <v>11632597</v>
      </c>
      <c r="V261" s="450">
        <f t="shared" si="102"/>
        <v>0.26280464346393306</v>
      </c>
      <c r="W261" s="450">
        <f>IF(R261=0,"-",SUMIFS($R$2:R261,$A$2:A261,A261,$C$2:C261,C261)/SUMIFS($J$2:J261,$A$2:A261,A261,$C$2:C261,C261)-1)</f>
        <v>0.27182834871270667</v>
      </c>
      <c r="X261" s="450">
        <f t="shared" si="103"/>
        <v>0.27514045659795472</v>
      </c>
      <c r="Y261" s="450">
        <f>IFERROR(IF(R261=0,"-",SUMIFS($R$2:R261,$A$2:A261,A261,$C$2:C261,C261)/SUMIFS($N$2:N261,$A$2:A261,A261,$C$2:C261,C261)-1),"")</f>
        <v>0.21644923580236219</v>
      </c>
      <c r="Z261" s="269">
        <f>IF(R261=0,"",(S261/VLOOKUP(_xlfn.NUMBERVALUE(_xlfn.CONCAT(LEFT(F261,4),52)),$F$2:T468,COLUMNS($F$2:T468),FALSE)))</f>
        <v>1.2628046434639331</v>
      </c>
      <c r="AA261" s="269">
        <f>IFERROR(IF(R261=0,"",(S261/VLOOKUP(_xlfn.NUMBERVALUE(_xlfn.CONCAT(LEFT(F261,4),52)),$F$2:U468,COLUMNS($F$2:U468),FALSE))),"")</f>
        <v>1.2751404565979547</v>
      </c>
      <c r="AB261" s="268">
        <f t="shared" si="104"/>
        <v>0.15697674418604657</v>
      </c>
      <c r="AC261" s="450">
        <f t="shared" si="105"/>
        <v>0.70312755318801279</v>
      </c>
      <c r="AD261" s="450">
        <f t="shared" si="106"/>
        <v>0.17020269517763675</v>
      </c>
      <c r="AE261" s="269">
        <f t="shared" si="107"/>
        <v>0.32884110944965528</v>
      </c>
      <c r="AF261" s="268">
        <f t="shared" si="108"/>
        <v>0.27680364030221383</v>
      </c>
      <c r="AG261" s="450">
        <f t="shared" si="109"/>
        <v>5.5313116994886835E-2</v>
      </c>
      <c r="AH261" s="450">
        <f t="shared" si="110"/>
        <v>-0.18484205898705697</v>
      </c>
      <c r="AI261" s="269">
        <f t="shared" si="111"/>
        <v>4.8146037520054641E-2</v>
      </c>
      <c r="AJ261" s="450">
        <f>IF(O261=0,"-",SUMIFS($O$2:O261,$A$2:A261,$A261,$F$2:F261,"&lt;="&amp;$F261)/SUMIFS($G$2:G261,$A$2:A261,$A261,$F$2:F261,"&lt;="&amp;$F261)-1)</f>
        <v>0.40801291643270154</v>
      </c>
      <c r="AK261" s="450">
        <f>IF(P261=0,"-",SUMIFS($P$2:P261,$A$2:A261,$A261,$F$2:F261,"&lt;="&amp;$F261)/SUMIFS($H$2:H261,$A$2:A261,$A261,$F$2:F261,"&lt;="&amp;$F261)-1)</f>
        <v>0.58313034106918393</v>
      </c>
      <c r="AL261" s="450">
        <f>IF(Q261=0,"-",SUMIFS($Q$2:Q261,$A$2:A261,$A261,$F$2:F261,"&lt;="&amp;$F261)/SUMIFS($I$2:I261,$A$2:A261,$A261,$F$2:F261,"&lt;="&amp;$F261)-1)</f>
        <v>-0.17520417647856468</v>
      </c>
      <c r="AM261" s="450">
        <f>IFERROR(IF(O261=0,"-",SUMIFS($O$2:O261,$A$2:A261,$A261,$F$2:F261,"&lt;="&amp;$F261)/SUMIFS($K$2:K261,$A$2:A261,$A261,$F$2:F261,"&lt;="&amp;$F261)-1),"")</f>
        <v>0.45496616982120108</v>
      </c>
      <c r="AN261" s="450">
        <f>IFERROR(IF(P261=0,"-",SUMIFS($P$2:P261,$A$2:A261,$A261,$F$2:F261,"&lt;="&amp;$F261)/SUMIFS($L$2:L261,$A$2:A261,$A261,$F$2:F261,"&lt;="&amp;$F261)-1),"")</f>
        <v>0.51581045875862275</v>
      </c>
      <c r="AO261" s="450">
        <f>IFERROR(IF(Q261=0,"-",SUMIFS($Q$2:Q261,$A$2:A261,$A261,$F$2:F261,"&lt;="&amp;$F261)/SUMIFS($M$2:M261,$A$2:A261,$A261,$F$2:F261,"&lt;="&amp;$F261)-1),"")</f>
        <v>-0.14214805613707115</v>
      </c>
      <c r="AP261" s="103">
        <v>63944</v>
      </c>
      <c r="AQ261" s="452">
        <f>'Overall Metrics'!AO266</f>
        <v>0.75712619097222567</v>
      </c>
      <c r="AR261" s="450">
        <f t="shared" si="112"/>
        <v>-63943.242873809031</v>
      </c>
      <c r="AS261" s="453">
        <f>IFERROR(IF(R262=0,"-",AVERAGEIFS($AQ$2:AQ261,$A$2:A261,$A261,$F$2:F261,"&lt;="&amp;$F261)-AVERAGEIFS($AP$2:AP261,$A$2:A261,$A261,$F$2:F261,"&lt;="&amp;$F261)),"")</f>
        <v>-75027.407302907901</v>
      </c>
      <c r="AT261" s="390">
        <f>IFERROR(IF(R262=0,"-",AVERAGEIFS($AQ$2:AQ261,$A$2:A261,A261,$C$2:C261,C261)-AVERAGEIFS($AP$2:AP261,$A$2:A261,A261,$C$2:C261,C261)),"")</f>
        <v>-75759.259425658238</v>
      </c>
      <c r="AU261" s="103">
        <v>64197</v>
      </c>
      <c r="AV261" s="452">
        <f>'Overall Metrics'!AS266</f>
        <v>0.55116722865492285</v>
      </c>
      <c r="AW261" s="450">
        <f t="shared" si="92"/>
        <v>-2.0711788106725137E-2</v>
      </c>
      <c r="AX261" s="453">
        <f t="shared" si="115"/>
        <v>-0.35161430009504158</v>
      </c>
      <c r="AY261" s="453">
        <f t="shared" si="116"/>
        <v>1.3419351272632163E-3</v>
      </c>
      <c r="AZ261" s="103">
        <v>177817</v>
      </c>
      <c r="BA261" s="449">
        <f>'Glass Metrics'!AC266</f>
        <v>115294</v>
      </c>
      <c r="BB261" s="450">
        <f t="shared" si="113"/>
        <v>-0.35161430009504158</v>
      </c>
      <c r="BC261" s="450">
        <f>IFERROR(IF(R261=0,"-",AVERAGEIFS($BA$2:BA261,$A$2:A261,$A261,$F$2:F261,"&lt;="&amp;$F261)/AVERAGEIFS($AZ$2:AZ261,$A$2:A261,$A261,$F$2:F261,"&lt;="&amp;$F261)-1),"")</f>
        <v>1.3419351272632163E-3</v>
      </c>
      <c r="BD261" s="269">
        <f>IFERROR(IF(R261=0,"-",AVERAGEIFS($BA$2:BA261,$A$2:A261,A261,$C$2:C261,C261)/AVERAGEIFS($AZ$2:AZ261,$A$2:A261,A261,$C$2:C261,C261)-1),"")</f>
        <v>-2.0711788106725137E-2</v>
      </c>
    </row>
    <row r="262" spans="1:59" ht="17.100000000000001" customHeight="1">
      <c r="A262" s="175">
        <f t="shared" si="93"/>
        <v>2025</v>
      </c>
      <c r="B262" s="447" t="str">
        <f t="shared" si="94"/>
        <v>53</v>
      </c>
      <c r="C262" s="447" t="str">
        <f t="array" ref="C262">_xlfn.IFS(_xlfn.NUMBERVALUE(B262)&lt;=13,"Q1",AND(_xlfn.NUMBERVALUE(B262)&gt;13,_xlfn.NUMBERVALUE(B262)&lt;=26),"Q2", AND(_xlfn.NUMBERVALUE(B262)&gt;26,_xlfn.NUMBERVALUE(B262)&lt;=39),"Q3",_xlfn.NUMBERVALUE(B262)&gt;39,"Q4")</f>
        <v>Q4</v>
      </c>
      <c r="D262" s="448">
        <f t="shared" si="114"/>
        <v>45682</v>
      </c>
      <c r="E262" s="448">
        <f t="shared" si="95"/>
        <v>45688</v>
      </c>
      <c r="F262" s="79">
        <v>202453</v>
      </c>
      <c r="G262" s="103">
        <v>63742</v>
      </c>
      <c r="H262" s="429">
        <v>59688</v>
      </c>
      <c r="I262" s="429">
        <v>86609</v>
      </c>
      <c r="J262" s="214">
        <f t="shared" si="96"/>
        <v>210039</v>
      </c>
      <c r="K262" s="103">
        <v>51124</v>
      </c>
      <c r="L262" s="429">
        <v>55404</v>
      </c>
      <c r="M262" s="429">
        <v>89746</v>
      </c>
      <c r="N262" s="214">
        <f t="shared" si="97"/>
        <v>196274</v>
      </c>
      <c r="O262" s="449">
        <f>'Overall Metrics'!L267</f>
        <v>97321.099999999991</v>
      </c>
      <c r="P262" s="449">
        <f>'Overall Metrics'!M267</f>
        <v>111718</v>
      </c>
      <c r="Q262" s="449">
        <f>'Overall Metrics'!N267</f>
        <v>54995.199999999997</v>
      </c>
      <c r="R262" s="449">
        <f t="shared" si="98"/>
        <v>264034.3</v>
      </c>
      <c r="S262" s="180">
        <f t="shared" si="99"/>
        <v>15097229.35</v>
      </c>
      <c r="T262" s="449">
        <f t="shared" si="100"/>
        <v>11956270</v>
      </c>
      <c r="U262" s="449">
        <f t="shared" si="101"/>
        <v>11828871</v>
      </c>
      <c r="V262" s="450">
        <f t="shared" si="102"/>
        <v>0.2627039494758816</v>
      </c>
      <c r="W262" s="450">
        <f>IF(R262=0,"-",SUMIFS($R$2:R262,$A$2:A262,A262,$C$2:C262,C262)/SUMIFS($J$2:J262,$A$2:A262,A262,$C$2:C262,C262)-1)</f>
        <v>0.27081511248973444</v>
      </c>
      <c r="X262" s="450">
        <f t="shared" si="103"/>
        <v>0.27630349084033456</v>
      </c>
      <c r="Y262" s="450">
        <f>IFERROR(IF(R262=0,"-",SUMIFS($R$2:R262,$A$2:A262,A262,$C$2:C262,C262)/SUMIFS($N$2:N262,$A$2:A262,A262,$C$2:C262,C262)-1),"")</f>
        <v>0.22441124997322581</v>
      </c>
      <c r="Z262" s="269">
        <f>IF(R262=0,"",(S262/VLOOKUP(_xlfn.NUMBERVALUE(_xlfn.CONCAT(LEFT(F262,4),52)),$F$2:T469,COLUMNS($F$2:T469),FALSE)))</f>
        <v>1.2852828579652487</v>
      </c>
      <c r="AA262" s="269">
        <f>IFERROR(IF(R262=0,"",(S262/VLOOKUP(_xlfn.NUMBERVALUE(_xlfn.CONCAT(LEFT(F262,4),52)),$F$2:U469,COLUMNS($F$2:U469),FALSE))),"")</f>
        <v>1.2978382514239941</v>
      </c>
      <c r="AB262" s="268">
        <f t="shared" si="104"/>
        <v>0.52679708826205629</v>
      </c>
      <c r="AC262" s="450">
        <f t="shared" si="105"/>
        <v>0.87169950408792385</v>
      </c>
      <c r="AD262" s="450">
        <f t="shared" si="106"/>
        <v>-0.36501749240841019</v>
      </c>
      <c r="AE262" s="269">
        <f t="shared" si="107"/>
        <v>0.25707273411128395</v>
      </c>
      <c r="AF262" s="268">
        <f t="shared" si="108"/>
        <v>0.90362843282998173</v>
      </c>
      <c r="AG262" s="450">
        <f t="shared" si="109"/>
        <v>1.0164248068731498</v>
      </c>
      <c r="AH262" s="450">
        <f t="shared" si="110"/>
        <v>-0.38721280057049901</v>
      </c>
      <c r="AI262" s="269">
        <f t="shared" si="111"/>
        <v>0.3452331944118936</v>
      </c>
      <c r="AJ262" s="450">
        <f>IF(O262=0,"-",SUMIFS($O$2:O262,$A$2:A262,$A262,$F$2:F262,"&lt;="&amp;$F262)/SUMIFS($G$2:G262,$A$2:A262,$A262,$F$2:F262,"&lt;="&amp;$F262)-1)</f>
        <v>0.40992820763704207</v>
      </c>
      <c r="AK262" s="450">
        <f>IF(P262=0,"-",SUMIFS($P$2:P262,$A$2:A262,$A262,$F$2:F262,"&lt;="&amp;$F262)/SUMIFS($H$2:H262,$A$2:A262,$A262,$F$2:F262,"&lt;="&amp;$F262)-1)</f>
        <v>0.58760072837960453</v>
      </c>
      <c r="AL262" s="450">
        <f>IF(Q262=0,"-",SUMIFS($Q$2:Q262,$A$2:A262,$A262,$F$2:F262,"&lt;="&amp;$F262)/SUMIFS($I$2:I262,$A$2:A262,$A262,$F$2:F262,"&lt;="&amp;$F262)-1)</f>
        <v>-0.17916538959762207</v>
      </c>
      <c r="AM262" s="450">
        <f>IFERROR(IF(O262=0,"-",SUMIFS($O$2:O262,$A$2:A262,$A262,$F$2:F262,"&lt;="&amp;$F262)/SUMIFS($K$2:K262,$A$2:A262,$A262,$F$2:F262,"&lt;="&amp;$F262)-1),"")</f>
        <v>0.46097848506620198</v>
      </c>
      <c r="AN262" s="450">
        <f>IFERROR(IF(P262=0,"-",SUMIFS($P$2:P262,$A$2:A262,$A262,$F$2:F262,"&lt;="&amp;$F262)/SUMIFS($L$2:L262,$A$2:A262,$A262,$F$2:F262,"&lt;="&amp;$F262)-1),"")</f>
        <v>0.52271492216930704</v>
      </c>
      <c r="AO262" s="450">
        <f>IFERROR(IF(Q262=0,"-",SUMIFS($Q$2:Q262,$A$2:A262,$A262,$F$2:F262,"&lt;="&amp;$F262)/SUMIFS($M$2:M262,$A$2:A262,$A262,$F$2:F262,"&lt;="&amp;$F262)-1),"")</f>
        <v>-0.14765101460386032</v>
      </c>
      <c r="AP262" s="103">
        <v>73329</v>
      </c>
      <c r="AQ262" s="452">
        <f>'Overall Metrics'!AO267</f>
        <v>0.87982754465174595</v>
      </c>
      <c r="AR262" s="450">
        <f t="shared" si="112"/>
        <v>-73328.120172455354</v>
      </c>
      <c r="AS262" s="453">
        <f>IFERROR(IF(R263=0,"-",AVERAGEIFS($AQ$2:AQ262,$A$2:A262,$A262,$F$2:F262,"&lt;="&amp;$F262)-AVERAGEIFS($AP$2:AP262,$A$2:A262,$A262,$F$2:F262,"&lt;="&amp;$F262)),"")</f>
        <v>-74995.3452815786</v>
      </c>
      <c r="AT262" s="390">
        <f>IFERROR(IF(R263=0,"-",AVERAGEIFS($AQ$2:AQ262,$A$2:A262,A262,$C$2:C262,C262)-AVERAGEIFS($AP$2:AP262,$A$2:A262,A262,$C$2:C262,C262)),"")</f>
        <v>-75585.606621858024</v>
      </c>
      <c r="AU262" s="103">
        <v>57994</v>
      </c>
      <c r="AV262" s="452">
        <f>'Overall Metrics'!AS267</f>
        <v>0.13201230871177499</v>
      </c>
      <c r="AW262" s="450">
        <f t="shared" si="92"/>
        <v>-1.7131753752421264E-2</v>
      </c>
      <c r="AX262" s="453">
        <f t="shared" si="115"/>
        <v>2.3812146049374761E-2</v>
      </c>
      <c r="AY262" s="453">
        <f t="shared" si="116"/>
        <v>1.8272189017256579E-3</v>
      </c>
      <c r="AZ262" s="103">
        <v>172517</v>
      </c>
      <c r="BA262" s="449">
        <f>'Glass Metrics'!AC267</f>
        <v>176625</v>
      </c>
      <c r="BB262" s="450">
        <f t="shared" si="113"/>
        <v>2.3812146049374761E-2</v>
      </c>
      <c r="BC262" s="450">
        <f>IFERROR(IF(R262=0,"-",AVERAGEIFS($BA$2:BA262,$A$2:A262,$A262,$F$2:F262,"&lt;="&amp;$F262)/AVERAGEIFS($AZ$2:AZ262,$A$2:A262,$A262,$F$2:F262,"&lt;="&amp;$F262)-1),"")</f>
        <v>1.8272189017256579E-3</v>
      </c>
      <c r="BD262" s="269">
        <f>IFERROR(IF(R262=0,"-",AVERAGEIFS($BA$2:BA262,$A$2:A262,A262,$C$2:C262,C262)/AVERAGEIFS($AZ$2:AZ262,$A$2:A262,A262,$C$2:C262,C262)-1),"")</f>
        <v>-1.7131753752421264E-2</v>
      </c>
    </row>
    <row r="263" spans="1:59" ht="15.6" customHeight="1">
      <c r="A263" s="175">
        <f t="shared" si="93"/>
        <v>2026</v>
      </c>
      <c r="B263" s="447" t="str">
        <f t="shared" si="94"/>
        <v>01</v>
      </c>
      <c r="C263" s="447" t="str">
        <f t="array" ref="C263">_xlfn.IFS(_xlfn.NUMBERVALUE(B263)&lt;=13,"Q1",AND(_xlfn.NUMBERVALUE(B263)&gt;13,_xlfn.NUMBERVALUE(B263)&lt;=26),"Q2", AND(_xlfn.NUMBERVALUE(B263)&gt;26,_xlfn.NUMBERVALUE(B263)&lt;=39),"Q3",_xlfn.NUMBERVALUE(B263)&gt;39,"Q4")</f>
        <v>Q1</v>
      </c>
      <c r="D263" s="448">
        <f t="shared" si="114"/>
        <v>45689</v>
      </c>
      <c r="E263" s="448">
        <f t="shared" si="95"/>
        <v>45695</v>
      </c>
      <c r="F263" s="79">
        <v>202501</v>
      </c>
      <c r="G263" s="103">
        <v>70640</v>
      </c>
      <c r="H263" s="429">
        <v>69024</v>
      </c>
      <c r="I263" s="429">
        <v>51866</v>
      </c>
      <c r="J263" s="214">
        <f t="shared" si="96"/>
        <v>191530</v>
      </c>
      <c r="K263" s="103">
        <v>56916</v>
      </c>
      <c r="L263" s="429">
        <v>85880</v>
      </c>
      <c r="M263" s="429">
        <v>95319</v>
      </c>
      <c r="N263" s="214">
        <f t="shared" si="97"/>
        <v>238115</v>
      </c>
      <c r="O263" s="449">
        <f>'Overall Metrics'!L268</f>
        <v>117787.5</v>
      </c>
      <c r="P263" s="449">
        <f>'Overall Metrics'!M268</f>
        <v>136699</v>
      </c>
      <c r="Q263" s="449">
        <f>'Overall Metrics'!N268</f>
        <v>64701</v>
      </c>
      <c r="R263" s="449">
        <f t="shared" si="98"/>
        <v>319187.5</v>
      </c>
      <c r="S263" s="180">
        <f t="shared" si="99"/>
        <v>319187.5</v>
      </c>
      <c r="T263" s="449">
        <f t="shared" si="100"/>
        <v>191530</v>
      </c>
      <c r="U263" s="449">
        <f t="shared" si="101"/>
        <v>238115</v>
      </c>
      <c r="V263" s="450">
        <f t="shared" si="102"/>
        <v>0.66651438416958175</v>
      </c>
      <c r="W263" s="450">
        <f>IF(R263=0,"-",SUMIFS($R$2:R263,$A$2:A263,A263,$C$2:C263,C263)/SUMIFS($J$2:J263,$A$2:A263,A263,$C$2:C263,C263)-1)</f>
        <v>0.66651438416958175</v>
      </c>
      <c r="X263" s="450">
        <f t="shared" si="103"/>
        <v>0.34047624047204073</v>
      </c>
      <c r="Y263" s="450">
        <f>IFERROR(IF(R263=0,"-",SUMIFS($R$2:R263,$A$2:A263,A263,$C$2:C263,C263)/SUMIFS($N$2:N263,$A$2:A263,A263,$C$2:C263,C263)-1),"")</f>
        <v>0.34047624047204073</v>
      </c>
      <c r="Z263" s="269">
        <f>IF(R263=0,"",(S263/VLOOKUP(_xlfn.NUMBERVALUE(_xlfn.CONCAT(LEFT(F263,4),52)),$F$2:T470,COLUMNS($F$2:T470),FALSE)))</f>
        <v>0.25406200724805528</v>
      </c>
      <c r="AA263" s="269">
        <f>IFERROR(IF(R263=0,"",(S263/VLOOKUP(_xlfn.NUMBERVALUE(_xlfn.CONCAT(LEFT(F263,4),52)),$F$2:U470,COLUMNS($F$2:U470),FALSE))),"")</f>
        <v>0.24127115268179003</v>
      </c>
      <c r="AB263" s="268">
        <f t="shared" si="104"/>
        <v>0.66743346545866356</v>
      </c>
      <c r="AC263" s="450">
        <f t="shared" si="105"/>
        <v>0.98045607324988415</v>
      </c>
      <c r="AD263" s="450">
        <f t="shared" si="106"/>
        <v>0.24746462036787098</v>
      </c>
      <c r="AE263" s="269">
        <f t="shared" si="107"/>
        <v>0.66651438416958175</v>
      </c>
      <c r="AF263" s="268">
        <f t="shared" si="108"/>
        <v>1.0694971537001896</v>
      </c>
      <c r="AG263" s="450">
        <f t="shared" si="109"/>
        <v>0.59174429436422926</v>
      </c>
      <c r="AH263" s="450">
        <f t="shared" si="110"/>
        <v>-0.3212161269001983</v>
      </c>
      <c r="AI263" s="269">
        <f t="shared" si="111"/>
        <v>0.34047624047204073</v>
      </c>
      <c r="AJ263" s="450">
        <f>IF(O263=0,"-",SUMIFS($O$2:O263,$A$2:A263,$A263,$F$2:F263,"&lt;="&amp;$F263)/SUMIFS($G$2:G263,$A$2:A263,$A263,$F$2:F263,"&lt;="&amp;$F263)-1)</f>
        <v>0.66743346545866356</v>
      </c>
      <c r="AK263" s="450">
        <f>IF(P263=0,"-",SUMIFS($P$2:P263,$A$2:A263,$A263,$F$2:F263,"&lt;="&amp;$F263)/SUMIFS($H$2:H263,$A$2:A263,$A263,$F$2:F263,"&lt;="&amp;$F263)-1)</f>
        <v>0.98045607324988415</v>
      </c>
      <c r="AL263" s="450">
        <f>IF(Q263=0,"-",SUMIFS($Q$2:Q263,$A$2:A263,$A263,$F$2:F263,"&lt;="&amp;$F263)/SUMIFS($I$2:I263,$A$2:A263,$A263,$F$2:F263,"&lt;="&amp;$F263)-1)</f>
        <v>0.24746462036787098</v>
      </c>
      <c r="AM263" s="450">
        <f>IFERROR(IF(O263=0,"-",SUMIFS($O$2:O263,$A$2:A263,$A263,$F$2:F263,"&lt;="&amp;$F263)/SUMIFS($K$2:K263,$A$2:A263,$A263,$F$2:F263,"&lt;="&amp;$F263)-1),"")</f>
        <v>1.0694971537001896</v>
      </c>
      <c r="AN263" s="450">
        <f>IFERROR(IF(P263=0,"-",SUMIFS($P$2:P263,$A$2:A263,$A263,$F$2:F263,"&lt;="&amp;$F263)/SUMIFS($L$2:L263,$A$2:A263,$A263,$F$2:F263,"&lt;="&amp;$F263)-1),"")</f>
        <v>0.59174429436422926</v>
      </c>
      <c r="AO263" s="269">
        <f>IFERROR(IF(Q263=0,"-",SUMIFS($Q$2:Q263,$A$2:A263,$A263,$F$2:F263,"&lt;="&amp;$F263)/SUMIFS($M$2:M263,$A$2:A263,$A263,$F$2:F263,"&lt;="&amp;$F263)-1),"")</f>
        <v>-0.3212161269001983</v>
      </c>
      <c r="AP263" s="103">
        <v>93421</v>
      </c>
      <c r="AQ263" s="452">
        <f>'Overall Metrics'!AO268</f>
        <v>0.36629853707818161</v>
      </c>
      <c r="AR263" s="450">
        <f t="shared" si="112"/>
        <v>-93420.633701462924</v>
      </c>
      <c r="AS263" s="453">
        <f>IFERROR(IF(R264=0,"-",AVERAGEIFS($AQ$2:AQ263,$A$2:A263,$A263,$F$2:F263,"&lt;="&amp;$F263)-AVERAGEIFS($AP$2:AP263,$A$2:A263,$A263,$F$2:F263,"&lt;="&amp;$F263)),"")</f>
        <v>-93420.633701462924</v>
      </c>
      <c r="AT263" s="390">
        <f>IFERROR(IF(R264=0,"-",AVERAGEIFS($AQ$2:AQ263,$A$2:A263,A263,$C$2:C263,C263)-AVERAGEIFS($AP$2:AP263,$A$2:A263,A263,$C$2:C263,C263)),"")</f>
        <v>-93420.633701462924</v>
      </c>
      <c r="AU263" s="103">
        <v>80518</v>
      </c>
      <c r="AV263" s="452">
        <f>'Overall Metrics'!AS268</f>
        <v>0.66889426698691135</v>
      </c>
      <c r="AW263" s="450">
        <f t="shared" si="92"/>
        <v>0.23454864769933259</v>
      </c>
      <c r="AX263" s="453">
        <f t="shared" si="115"/>
        <v>0.23454864769933259</v>
      </c>
      <c r="AY263" s="453">
        <f t="shared" si="116"/>
        <v>0.23454864769933259</v>
      </c>
      <c r="AZ263" s="103">
        <v>142350</v>
      </c>
      <c r="BA263" s="449">
        <f>'Glass Metrics'!AC268</f>
        <v>175738</v>
      </c>
      <c r="BB263" s="450">
        <f t="shared" si="113"/>
        <v>0.23454864769933259</v>
      </c>
      <c r="BC263" s="450">
        <f>IFERROR(IF(R263=0,"-",AVERAGEIFS($BA$2:BA263,$A$2:A263,$A263,$F$2:F263,"&lt;="&amp;$F263)/AVERAGEIFS($AZ$2:AZ263,$A$2:A263,$A263,$F$2:F263,"&lt;="&amp;$F263)-1),"")</f>
        <v>0.23454864769933259</v>
      </c>
      <c r="BD263" s="269">
        <f>IFERROR(IF(R263=0,"-",AVERAGEIFS($BA$2:BA263,$A$2:A263,A263,$C$2:C263,C263)/AVERAGEIFS($AZ$2:AZ263,$A$2:A263,A263,$C$2:C263,C263)-1),"")</f>
        <v>0.23454864769933259</v>
      </c>
      <c r="BE263" s="315"/>
      <c r="BG263" s="315"/>
    </row>
    <row r="264" spans="1:59" ht="15.6" customHeight="1">
      <c r="A264" s="175">
        <f t="shared" si="93"/>
        <v>2026</v>
      </c>
      <c r="B264" s="447" t="str">
        <f t="shared" si="94"/>
        <v>02</v>
      </c>
      <c r="C264" s="447" t="str">
        <f t="array" ref="C264">_xlfn.IFS(_xlfn.NUMBERVALUE(B264)&lt;=13,"Q1",AND(_xlfn.NUMBERVALUE(B264)&gt;13,_xlfn.NUMBERVALUE(B264)&lt;=26),"Q2", AND(_xlfn.NUMBERVALUE(B264)&gt;26,_xlfn.NUMBERVALUE(B264)&lt;=39),"Q3",_xlfn.NUMBERVALUE(B264)&gt;39,"Q4")</f>
        <v>Q1</v>
      </c>
      <c r="D264" s="448">
        <f t="shared" si="114"/>
        <v>45696</v>
      </c>
      <c r="E264" s="448">
        <f t="shared" si="95"/>
        <v>45702</v>
      </c>
      <c r="F264" s="79">
        <v>202502</v>
      </c>
      <c r="G264" s="103">
        <v>80835</v>
      </c>
      <c r="H264" s="429">
        <v>74355</v>
      </c>
      <c r="I264" s="429">
        <v>82849</v>
      </c>
      <c r="J264" s="214">
        <f t="shared" si="96"/>
        <v>238039</v>
      </c>
      <c r="K264" s="103">
        <v>77876</v>
      </c>
      <c r="L264" s="429">
        <v>55953</v>
      </c>
      <c r="M264" s="429">
        <v>60785</v>
      </c>
      <c r="N264" s="214">
        <f t="shared" si="97"/>
        <v>194614</v>
      </c>
      <c r="O264" s="449">
        <f>'Overall Metrics'!L269</f>
        <v>98160.850000000035</v>
      </c>
      <c r="P264" s="449">
        <f>'Overall Metrics'!M269</f>
        <v>105131</v>
      </c>
      <c r="Q264" s="449">
        <f>'Overall Metrics'!N269</f>
        <v>64907.7</v>
      </c>
      <c r="R264" s="449">
        <f t="shared" si="98"/>
        <v>268199.55000000005</v>
      </c>
      <c r="S264" s="180">
        <f t="shared" si="99"/>
        <v>587387.05000000005</v>
      </c>
      <c r="T264" s="449">
        <f t="shared" si="100"/>
        <v>429569</v>
      </c>
      <c r="U264" s="449">
        <f t="shared" si="101"/>
        <v>432729</v>
      </c>
      <c r="V264" s="450">
        <f t="shared" si="102"/>
        <v>0.36738696228079792</v>
      </c>
      <c r="W264" s="450">
        <f>IF(R264=0,"-",SUMIFS($R$2:R264,$A$2:A264,A264,$C$2:C264,C264)/SUMIFS($J$2:J264,$A$2:A264,A264,$C$2:C264,C264)-1)</f>
        <v>0.36738696228079792</v>
      </c>
      <c r="X264" s="450">
        <f t="shared" si="103"/>
        <v>0.35740163011954373</v>
      </c>
      <c r="Y264" s="450">
        <f>IFERROR(IF(R264=0,"-",SUMIFS($R$2:R264,$A$2:A264,A264,$C$2:C264,C264)/SUMIFS($N$2:N264,$A$2:A264,A264,$C$2:C264,C264)-1),"")</f>
        <v>0.35740163011954373</v>
      </c>
      <c r="Z264" s="269">
        <f>IF(R264=0,"",(S264/VLOOKUP(_xlfn.NUMBERVALUE(_xlfn.CONCAT(LEFT(F264,4),52)),$F$2:T471,COLUMNS($F$2:T471),FALSE)))</f>
        <v>0.4675394022463718</v>
      </c>
      <c r="AA264" s="269">
        <f>IFERROR(IF(R264=0,"",(S264/VLOOKUP(_xlfn.NUMBERVALUE(_xlfn.CONCAT(LEFT(F264,4),52)),$F$2:U471,COLUMNS($F$2:U471),FALSE))),"")</f>
        <v>0.4440009418409438</v>
      </c>
      <c r="AB264" s="268">
        <f t="shared" si="104"/>
        <v>0.21433599307230833</v>
      </c>
      <c r="AC264" s="450">
        <f t="shared" si="105"/>
        <v>0.41390626050702717</v>
      </c>
      <c r="AD264" s="450">
        <f t="shared" si="106"/>
        <v>-0.2165542130864585</v>
      </c>
      <c r="AE264" s="269">
        <f t="shared" si="107"/>
        <v>0.12670423754090732</v>
      </c>
      <c r="AF264" s="268">
        <f t="shared" si="108"/>
        <v>0.26047626996764128</v>
      </c>
      <c r="AG264" s="450">
        <f t="shared" si="109"/>
        <v>0.87891623326720647</v>
      </c>
      <c r="AH264" s="450">
        <f t="shared" si="110"/>
        <v>6.7824298757917179E-2</v>
      </c>
      <c r="AI264" s="269">
        <f t="shared" si="111"/>
        <v>0.37811025928247743</v>
      </c>
      <c r="AJ264" s="450">
        <f>IF(O264=0,"-",SUMIFS($O$2:O264,$A$2:A264,$A264,$F$2:F264,"&lt;="&amp;$F264)/SUMIFS($G$2:G264,$A$2:A264,$A264,$F$2:F264,"&lt;="&amp;$F264)-1)</f>
        <v>0.42563690377950181</v>
      </c>
      <c r="AK264" s="450">
        <f>IF(P264=0,"-",SUMIFS($P$2:P264,$A$2:A264,$A264,$F$2:F264,"&lt;="&amp;$F264)/SUMIFS($H$2:H264,$A$2:A264,$A264,$F$2:F264,"&lt;="&amp;$F264)-1)</f>
        <v>0.68664867239972383</v>
      </c>
      <c r="AL264" s="450">
        <f>IF(Q264=0,"-",SUMIFS($Q$2:Q264,$A$2:A264,$A264,$F$2:F264,"&lt;="&amp;$F264)/SUMIFS($I$2:I264,$A$2:A264,$A264,$F$2:F264,"&lt;="&amp;$F264)-1)</f>
        <v>-3.7904464981627917E-2</v>
      </c>
      <c r="AM264" s="450">
        <f>IFERROR(IF(O264=0,"-",SUMIFS($O$2:O264,$A$2:A264,$A264,$F$2:F264,"&lt;="&amp;$F264)/SUMIFS($K$2:K264,$A$2:A264,$A264,$F$2:F264,"&lt;="&amp;$F264)-1),"")</f>
        <v>0.60208580627930464</v>
      </c>
      <c r="AN264" s="450">
        <f>IFERROR(IF(P264=0,"-",SUMIFS($P$2:P264,$A$2:A264,$A264,$F$2:F264,"&lt;="&amp;$F264)/SUMIFS($L$2:L264,$A$2:A264,$A264,$F$2:F264,"&lt;="&amp;$F264)-1),"")</f>
        <v>0.70503338433227802</v>
      </c>
      <c r="AO264" s="269">
        <f>IFERROR(IF(Q264=0,"-",SUMIFS($Q$2:Q264,$A$2:A264,$A264,$F$2:F264,"&lt;="&amp;$F264)/SUMIFS($M$2:M264,$A$2:A264,$A264,$F$2:F264,"&lt;="&amp;$F264)-1),"")</f>
        <v>-0.16972851432378411</v>
      </c>
      <c r="AP264" s="103">
        <v>80842</v>
      </c>
      <c r="AQ264" s="452">
        <f>'Overall Metrics'!AO269</f>
        <v>0.55675799922966229</v>
      </c>
      <c r="AR264" s="450">
        <f t="shared" si="112"/>
        <v>-80841.443242000765</v>
      </c>
      <c r="AS264" s="453">
        <f>IFERROR(IF(R265=0,"-",AVERAGEIFS($AQ$2:AQ264,$A$2:A264,$A264,$F$2:F264,"&lt;="&amp;$F264)-AVERAGEIFS($AP$2:AP264,$A$2:A264,$A264,$F$2:F264,"&lt;="&amp;$F264)),"")</f>
        <v>-87131.038471731852</v>
      </c>
      <c r="AT264" s="390">
        <f>IFERROR(IF(R265=0,"-",AVERAGEIFS($AQ$2:AQ264,$A$2:A264,A264,$C$2:C264,C264)-AVERAGEIFS($AP$2:AP264,$A$2:A264,A264,$C$2:C264,C264)),"")</f>
        <v>-87131.038471731852</v>
      </c>
      <c r="AU264" s="103">
        <v>91693</v>
      </c>
      <c r="AV264" s="452">
        <f>'Overall Metrics'!AS269</f>
        <v>0.82897484211468964</v>
      </c>
      <c r="AW264" s="450">
        <f t="shared" si="92"/>
        <v>0.22421537252259838</v>
      </c>
      <c r="AX264" s="453">
        <f t="shared" si="115"/>
        <v>0.21390209358742451</v>
      </c>
      <c r="AY264" s="453">
        <f t="shared" si="116"/>
        <v>0.22421537252259838</v>
      </c>
      <c r="AZ264" s="103">
        <v>142626</v>
      </c>
      <c r="BA264" s="449">
        <f>'Glass Metrics'!AC269</f>
        <v>173134</v>
      </c>
      <c r="BB264" s="450">
        <f t="shared" si="113"/>
        <v>0.21390209358742451</v>
      </c>
      <c r="BC264" s="450">
        <f>IFERROR(IF(R264=0,"-",AVERAGEIFS($BA$2:BA264,$A$2:A264,$A264,$F$2:F264,"&lt;="&amp;$F264)/AVERAGEIFS($AZ$2:AZ264,$A$2:A264,$A264,$F$2:F264,"&lt;="&amp;$F264)-1),"")</f>
        <v>0.22421537252259838</v>
      </c>
      <c r="BD264" s="269">
        <f>IFERROR(IF(R264=0,"-",AVERAGEIFS($BA$2:BA264,$A$2:A264,A264,$C$2:C264,C264)/AVERAGEIFS($AZ$2:AZ264,$A$2:A264,A264,$C$2:C264,C264)-1),"")</f>
        <v>0.22421537252259838</v>
      </c>
    </row>
    <row r="265" spans="1:59" ht="15.6" customHeight="1">
      <c r="A265" s="175">
        <f t="shared" si="93"/>
        <v>2026</v>
      </c>
      <c r="B265" s="447" t="str">
        <f t="shared" si="94"/>
        <v>03</v>
      </c>
      <c r="C265" s="447" t="str">
        <f t="array" ref="C265">_xlfn.IFS(_xlfn.NUMBERVALUE(B265)&lt;=13,"Q1",AND(_xlfn.NUMBERVALUE(B265)&gt;13,_xlfn.NUMBERVALUE(B265)&lt;=26),"Q2", AND(_xlfn.NUMBERVALUE(B265)&gt;26,_xlfn.NUMBERVALUE(B265)&lt;=39),"Q3",_xlfn.NUMBERVALUE(B265)&gt;39,"Q4")</f>
        <v>Q1</v>
      </c>
      <c r="D265" s="448">
        <f t="shared" si="114"/>
        <v>45703</v>
      </c>
      <c r="E265" s="448">
        <f t="shared" si="95"/>
        <v>45709</v>
      </c>
      <c r="F265" s="79">
        <v>202503</v>
      </c>
      <c r="G265" s="103">
        <v>54667</v>
      </c>
      <c r="H265" s="429">
        <v>51750</v>
      </c>
      <c r="I265" s="429">
        <v>81188</v>
      </c>
      <c r="J265" s="214">
        <f t="shared" si="96"/>
        <v>187605</v>
      </c>
      <c r="K265" s="103">
        <v>92210</v>
      </c>
      <c r="L265" s="429">
        <v>54116</v>
      </c>
      <c r="M265" s="429">
        <v>84234</v>
      </c>
      <c r="N265" s="214">
        <f t="shared" si="97"/>
        <v>230560</v>
      </c>
      <c r="O265" s="449">
        <f>'Overall Metrics'!L270</f>
        <v>108783.59999999999</v>
      </c>
      <c r="P265" s="449">
        <f>'Overall Metrics'!M270</f>
        <v>122112</v>
      </c>
      <c r="Q265" s="449">
        <f>'Overall Metrics'!N270</f>
        <v>64927.200000000004</v>
      </c>
      <c r="R265" s="449">
        <f t="shared" si="98"/>
        <v>295822.8</v>
      </c>
      <c r="S265" s="180">
        <f t="shared" si="99"/>
        <v>883209.85000000009</v>
      </c>
      <c r="T265" s="449">
        <f t="shared" si="100"/>
        <v>617174</v>
      </c>
      <c r="U265" s="449">
        <f t="shared" si="101"/>
        <v>663289</v>
      </c>
      <c r="V265" s="450">
        <f t="shared" si="102"/>
        <v>0.43105485649103836</v>
      </c>
      <c r="W265" s="450">
        <f>IF(R265=0,"-",SUMIFS($R$2:R265,$A$2:A265,A265,$C$2:C265,C265)/SUMIFS($J$2:J265,$A$2:A265,A265,$C$2:C265,C265)-1)</f>
        <v>0.43105485649103836</v>
      </c>
      <c r="X265" s="450">
        <f t="shared" si="103"/>
        <v>0.33156112946242144</v>
      </c>
      <c r="Y265" s="450">
        <f>IFERROR(IF(R265=0,"-",SUMIFS($R$2:R265,$A$2:A265,A265,$C$2:C265,C265)/SUMIFS($N$2:N265,$A$2:A265,A265,$C$2:C265,C265)-1),"")</f>
        <v>0.33156112946242144</v>
      </c>
      <c r="Z265" s="269">
        <f>IF(R265=0,"",(S265/VLOOKUP(_xlfn.NUMBERVALUE(_xlfn.CONCAT(LEFT(F265,4),52)),$F$2:T472,COLUMNS($F$2:T472),FALSE)))</f>
        <v>0.70300393127003347</v>
      </c>
      <c r="AA265" s="269">
        <f>IFERROR(IF(R265=0,"",(S265/VLOOKUP(_xlfn.NUMBERVALUE(_xlfn.CONCAT(LEFT(F265,4),52)),$F$2:U472,COLUMNS($F$2:U472),FALSE))),"")</f>
        <v>0.66761091386539539</v>
      </c>
      <c r="AB265" s="268">
        <f t="shared" si="104"/>
        <v>0.98993176870872723</v>
      </c>
      <c r="AC265" s="450">
        <f t="shared" si="105"/>
        <v>1.3596521739130436</v>
      </c>
      <c r="AD265" s="450">
        <f t="shared" si="106"/>
        <v>-0.20028575651574121</v>
      </c>
      <c r="AE265" s="269">
        <f t="shared" si="107"/>
        <v>0.57683857040057562</v>
      </c>
      <c r="AF265" s="268">
        <f t="shared" si="108"/>
        <v>0.17973755557965498</v>
      </c>
      <c r="AG265" s="450">
        <f t="shared" si="109"/>
        <v>1.2564860669672555</v>
      </c>
      <c r="AH265" s="450">
        <f t="shared" si="110"/>
        <v>-0.22920435928484928</v>
      </c>
      <c r="AI265" s="269">
        <f t="shared" si="111"/>
        <v>0.28306210964607903</v>
      </c>
      <c r="AJ265" s="450">
        <f>IF(O265=0,"-",SUMIFS($O$2:O265,$A$2:A265,$A265,$F$2:F265,"&lt;="&amp;$F265)/SUMIFS($G$2:G265,$A$2:A265,$A265,$F$2:F265,"&lt;="&amp;$F265)-1)</f>
        <v>0.57528281475875853</v>
      </c>
      <c r="AK265" s="450">
        <f>IF(P265=0,"-",SUMIFS($P$2:P265,$A$2:A265,$A265,$F$2:F265,"&lt;="&amp;$F265)/SUMIFS($H$2:H265,$A$2:A265,$A265,$F$2:F265,"&lt;="&amp;$F265)-1)</f>
        <v>0.86513537198468704</v>
      </c>
      <c r="AL265" s="450">
        <f>IF(Q265=0,"-",SUMIFS($Q$2:Q265,$A$2:A265,$A265,$F$2:F265,"&lt;="&amp;$F265)/SUMIFS($I$2:I265,$A$2:A265,$A265,$F$2:F265,"&lt;="&amp;$F265)-1)</f>
        <v>-9.8966202414973448E-2</v>
      </c>
      <c r="AM265" s="450">
        <f>IFERROR(IF(O265=0,"-",SUMIFS($O$2:O265,$A$2:A265,$A265,$F$2:F265,"&lt;="&amp;$F265)/SUMIFS($K$2:K265,$A$2:A265,$A265,$F$2:F265,"&lt;="&amp;$F265)-1),"")</f>
        <v>0.43052462092845012</v>
      </c>
      <c r="AN265" s="450">
        <f>IFERROR(IF(P265=0,"-",SUMIFS($P$2:P265,$A$2:A265,$A265,$F$2:F265,"&lt;="&amp;$F265)/SUMIFS($L$2:L265,$A$2:A265,$A265,$F$2:F265,"&lt;="&amp;$F265)-1),"")</f>
        <v>0.8573302236806517</v>
      </c>
      <c r="AO265" s="269">
        <f>IFERROR(IF(Q265=0,"-",SUMIFS($Q$2:Q265,$A$2:A265,$A265,$F$2:F265,"&lt;="&amp;$F265)/SUMIFS($M$2:M265,$A$2:A265,$A265,$F$2:F265,"&lt;="&amp;$F265)-1),"")</f>
        <v>-0.19057369205036245</v>
      </c>
      <c r="AP265" s="103">
        <v>79251</v>
      </c>
      <c r="AQ265" s="452">
        <f>'Overall Metrics'!AO270</f>
        <v>0.38611219942844988</v>
      </c>
      <c r="AR265" s="450">
        <f t="shared" si="112"/>
        <v>-79250.613887800573</v>
      </c>
      <c r="AS265" s="453">
        <f>IFERROR(IF(R266=0,"-",AVERAGEIFS($AQ$2:AQ265,$A$2:A265,$A265,$F$2:F265,"&lt;="&amp;$F265)-AVERAGEIFS($AP$2:AP265,$A$2:A265,$A265,$F$2:F265,"&lt;="&amp;$F265)),"")</f>
        <v>-84504.230277088092</v>
      </c>
      <c r="AT265" s="390">
        <f>IFERROR(IF(R266=0,"-",AVERAGEIFS($AQ$2:AQ265,$A$2:A265,A265,$C$2:C265,C265)-AVERAGEIFS($AP$2:AP265,$A$2:A265,A265,$C$2:C265,C265)),"")</f>
        <v>-84504.230277088092</v>
      </c>
      <c r="AU265" s="103">
        <v>84212</v>
      </c>
      <c r="AV265" s="452">
        <f>'Overall Metrics'!AS270</f>
        <v>0.53398387849074791</v>
      </c>
      <c r="AW265" s="450">
        <f t="shared" si="92"/>
        <v>0.19806495513886446</v>
      </c>
      <c r="AX265" s="453">
        <f t="shared" ref="AX265:AX267" si="117">BB265</f>
        <v>0.15114771024565909</v>
      </c>
      <c r="AY265" s="453">
        <f t="shared" ref="AY265:AY267" si="118">BC265</f>
        <v>0.19806495513886446</v>
      </c>
      <c r="AZ265" s="103">
        <v>158838</v>
      </c>
      <c r="BA265" s="449">
        <f>'Glass Metrics'!AC270</f>
        <v>182846</v>
      </c>
      <c r="BB265" s="450">
        <f t="shared" si="113"/>
        <v>0.15114771024565909</v>
      </c>
      <c r="BC265" s="450">
        <f>IFERROR(IF(R265=0,"-",AVERAGEIFS($BA$2:BA265,$A$2:A265,$A265,$F$2:F265,"&lt;="&amp;$F265)/AVERAGEIFS($AZ$2:AZ265,$A$2:A265,$A265,$F$2:F265,"&lt;="&amp;$F265)-1),"")</f>
        <v>0.19806495513886446</v>
      </c>
      <c r="BD265" s="269">
        <f>IFERROR(IF(R265=0,"-",AVERAGEIFS($BA$2:BA265,$A$2:A265,A265,$C$2:C265,C265)/AVERAGEIFS($AZ$2:AZ265,$A$2:A265,A265,$C$2:C265,C265)-1),"")</f>
        <v>0.19806495513886446</v>
      </c>
    </row>
    <row r="266" spans="1:59" ht="15.6" customHeight="1">
      <c r="A266" s="175">
        <f t="shared" si="93"/>
        <v>2026</v>
      </c>
      <c r="B266" s="447" t="str">
        <f t="shared" si="94"/>
        <v>04</v>
      </c>
      <c r="C266" s="447" t="str">
        <f t="array" ref="C266">_xlfn.IFS(_xlfn.NUMBERVALUE(B266)&lt;=13,"Q1",AND(_xlfn.NUMBERVALUE(B266)&gt;13,_xlfn.NUMBERVALUE(B266)&lt;=26),"Q2", AND(_xlfn.NUMBERVALUE(B266)&gt;26,_xlfn.NUMBERVALUE(B266)&lt;=39),"Q3",_xlfn.NUMBERVALUE(B266)&gt;39,"Q4")</f>
        <v>Q1</v>
      </c>
      <c r="D266" s="448">
        <f t="shared" si="114"/>
        <v>45710</v>
      </c>
      <c r="E266" s="448">
        <f t="shared" si="95"/>
        <v>45716</v>
      </c>
      <c r="F266" s="79">
        <v>202504</v>
      </c>
      <c r="G266" s="103">
        <v>57191</v>
      </c>
      <c r="H266" s="429">
        <v>67513</v>
      </c>
      <c r="I266" s="429">
        <v>77823</v>
      </c>
      <c r="J266" s="214">
        <f t="shared" si="96"/>
        <v>202527</v>
      </c>
      <c r="K266" s="103">
        <v>91117</v>
      </c>
      <c r="L266" s="429">
        <v>96909</v>
      </c>
      <c r="M266" s="429">
        <v>76347</v>
      </c>
      <c r="N266" s="214">
        <f t="shared" si="97"/>
        <v>264373</v>
      </c>
      <c r="O266" s="449">
        <f>'Overall Metrics'!L271</f>
        <v>119634.25</v>
      </c>
      <c r="P266" s="449">
        <f>'Overall Metrics'!M271</f>
        <v>137267</v>
      </c>
      <c r="Q266" s="449">
        <f>'Overall Metrics'!N271</f>
        <v>67684.5</v>
      </c>
      <c r="R266" s="449">
        <f t="shared" si="98"/>
        <v>324585.75</v>
      </c>
      <c r="S266" s="180">
        <f t="shared" si="99"/>
        <v>1207795.6000000001</v>
      </c>
      <c r="T266" s="449">
        <f t="shared" si="100"/>
        <v>819701</v>
      </c>
      <c r="U266" s="449">
        <f t="shared" si="101"/>
        <v>927662</v>
      </c>
      <c r="V266" s="450">
        <f t="shared" si="102"/>
        <v>0.47345873678329053</v>
      </c>
      <c r="W266" s="450">
        <f>IF(R266=0,"-",SUMIFS($R$2:R266,$A$2:A266,A266,$C$2:C266,C266)/SUMIFS($J$2:J266,$A$2:A266,A266,$C$2:C266,C266)-1)</f>
        <v>0.47345873678329053</v>
      </c>
      <c r="X266" s="450">
        <f t="shared" si="103"/>
        <v>0.30197809115820218</v>
      </c>
      <c r="Y266" s="450">
        <f>IFERROR(IF(R266=0,"-",SUMIFS($R$2:R266,$A$2:A266,A266,$C$2:C266,C266)/SUMIFS($N$2:N266,$A$2:A266,A266,$C$2:C266,C266)-1),"")</f>
        <v>0.30197809115820218</v>
      </c>
      <c r="Z266" s="269">
        <f>IF(R266=0,"",(S266/VLOOKUP(_xlfn.NUMBERVALUE(_xlfn.CONCAT(LEFT(F266,4),52)),$F$2:T473,COLUMNS($F$2:T473),FALSE)))</f>
        <v>0.96136275537534921</v>
      </c>
      <c r="AA266" s="269">
        <f>IFERROR(IF(R266=0,"",(S266/VLOOKUP(_xlfn.NUMBERVALUE(_xlfn.CONCAT(LEFT(F266,4),52)),$F$2:U473,COLUMNS($F$2:U473),FALSE))),"")</f>
        <v>0.91296255842097274</v>
      </c>
      <c r="AB266" s="268">
        <f t="shared" si="104"/>
        <v>1.0918370023255406</v>
      </c>
      <c r="AC266" s="450">
        <f t="shared" si="105"/>
        <v>1.0331936071571399</v>
      </c>
      <c r="AD266" s="450">
        <f t="shared" si="106"/>
        <v>-0.13027639643807098</v>
      </c>
      <c r="AE266" s="269">
        <f t="shared" si="107"/>
        <v>0.60267890207231622</v>
      </c>
      <c r="AF266" s="268">
        <f t="shared" si="108"/>
        <v>0.31297397851114495</v>
      </c>
      <c r="AG266" s="450">
        <f t="shared" si="109"/>
        <v>0.41645254826693079</v>
      </c>
      <c r="AH266" s="450">
        <f t="shared" si="110"/>
        <v>-0.11346221855475658</v>
      </c>
      <c r="AI266" s="269">
        <f t="shared" si="111"/>
        <v>0.22775680572524415</v>
      </c>
      <c r="AJ266" s="450">
        <f>IF(O266=0,"-",SUMIFS($O$2:O266,$A$2:A266,$A266,$F$2:F266,"&lt;="&amp;$F266)/SUMIFS($G$2:G266,$A$2:A266,$A266,$F$2:F266,"&lt;="&amp;$F266)-1)</f>
        <v>0.68746871831483336</v>
      </c>
      <c r="AK266" s="450">
        <f>IF(P266=0,"-",SUMIFS($P$2:P266,$A$2:A266,$A266,$F$2:F266,"&lt;="&amp;$F266)/SUMIFS($H$2:H266,$A$2:A266,$A266,$F$2:F266,"&lt;="&amp;$F266)-1)</f>
        <v>0.90833530052314559</v>
      </c>
      <c r="AL266" s="450">
        <f>IF(Q266=0,"-",SUMIFS($Q$2:Q266,$A$2:A266,$A266,$F$2:F266,"&lt;="&amp;$F266)/SUMIFS($I$2:I266,$A$2:A266,$A266,$F$2:F266,"&lt;="&amp;$F266)-1)</f>
        <v>-0.10726186990596676</v>
      </c>
      <c r="AM266" s="450">
        <f>IFERROR(IF(O266=0,"-",SUMIFS($O$2:O266,$A$2:A266,$A266,$F$2:F266,"&lt;="&amp;$F266)/SUMIFS($K$2:K266,$A$2:A266,$A266,$F$2:F266,"&lt;="&amp;$F266)-1),"")</f>
        <v>0.39685526485371825</v>
      </c>
      <c r="AN266" s="450">
        <f>IFERROR(IF(P266=0,"-",SUMIFS($P$2:P266,$A$2:A266,$A266,$F$2:F266,"&lt;="&amp;$F266)/SUMIFS($L$2:L266,$A$2:A266,$A266,$F$2:F266,"&lt;="&amp;$F266)-1),"")</f>
        <v>0.71144035675993145</v>
      </c>
      <c r="AO266" s="269">
        <f>IFERROR(IF(Q266=0,"-",SUMIFS($Q$2:Q266,$A$2:A266,$A266,$F$2:F266,"&lt;="&amp;$F266)/SUMIFS($M$2:M266,$A$2:A266,$A266,$F$2:F266,"&lt;="&amp;$F266)-1),"")</f>
        <v>-0.17198351674376744</v>
      </c>
      <c r="AP266" s="103">
        <v>57585</v>
      </c>
      <c r="AQ266" s="452">
        <f>'Overall Metrics'!AO271</f>
        <v>0.42066360505684436</v>
      </c>
      <c r="AR266" s="450">
        <f t="shared" si="112"/>
        <v>-57584.579336394941</v>
      </c>
      <c r="AS266" s="453">
        <f>IFERROR(IF(R267=0,"-",AVERAGEIFS($AQ$2:AQ266,$A$2:A266,$A266,$F$2:F266,"&lt;="&amp;$F266)-AVERAGEIFS($AP$2:AP266,$A$2:A266,$A266,$F$2:F266,"&lt;="&amp;$F266)),"")</f>
        <v>-77774.317541914803</v>
      </c>
      <c r="AT266" s="390">
        <f>IFERROR(IF(R267=0,"-",AVERAGEIFS($AQ$2:AQ266,$A$2:A266,A266,$C$2:C266,C266)-AVERAGEIFS($AP$2:AP266,$A$2:A266,A266,$C$2:C266,C266)),"")</f>
        <v>-77774.317541914803</v>
      </c>
      <c r="AU266" s="103">
        <v>53553</v>
      </c>
      <c r="AV266" s="452">
        <f>'Overall Metrics'!AS271</f>
        <v>0.51146992684400039</v>
      </c>
      <c r="AW266" s="450">
        <f t="shared" si="92"/>
        <v>7.7904553796029452E-2</v>
      </c>
      <c r="AX266" s="453">
        <f t="shared" si="117"/>
        <v>-0.24030956870420317</v>
      </c>
      <c r="AY266" s="453">
        <f t="shared" si="118"/>
        <v>7.7904553796029452E-2</v>
      </c>
      <c r="AZ266" s="103">
        <v>167588</v>
      </c>
      <c r="BA266" s="449">
        <f>'Glass Metrics'!AC271</f>
        <v>127315</v>
      </c>
      <c r="BB266" s="450">
        <f t="shared" si="113"/>
        <v>-0.24030956870420317</v>
      </c>
      <c r="BC266" s="450">
        <f>IFERROR(IF(R266=0,"-",AVERAGEIFS($BA$2:BA266,$A$2:A266,$A266,$F$2:F266,"&lt;="&amp;$F266)/AVERAGEIFS($AZ$2:AZ266,$A$2:A266,$A266,$F$2:F266,"&lt;="&amp;$F266)-1),"")</f>
        <v>7.7904553796029452E-2</v>
      </c>
      <c r="BD266" s="269">
        <f>IFERROR(IF(R266=0,"-",AVERAGEIFS($BA$2:BA266,$A$2:A266,A266,$C$2:C266,C266)/AVERAGEIFS($AZ$2:AZ266,$A$2:A266,A266,$C$2:C266,C266)-1),"")</f>
        <v>7.7904553796029452E-2</v>
      </c>
    </row>
    <row r="267" spans="1:59" ht="15.6" customHeight="1">
      <c r="A267" s="175">
        <f t="shared" si="93"/>
        <v>2026</v>
      </c>
      <c r="B267" s="447" t="str">
        <f t="shared" si="94"/>
        <v>05</v>
      </c>
      <c r="C267" s="447" t="str">
        <f t="array" ref="C267">_xlfn.IFS(_xlfn.NUMBERVALUE(B267)&lt;=13,"Q1",AND(_xlfn.NUMBERVALUE(B267)&gt;13,_xlfn.NUMBERVALUE(B267)&lt;=26),"Q2", AND(_xlfn.NUMBERVALUE(B267)&gt;26,_xlfn.NUMBERVALUE(B267)&lt;=39),"Q3",_xlfn.NUMBERVALUE(B267)&gt;39,"Q4")</f>
        <v>Q1</v>
      </c>
      <c r="D267" s="448">
        <f t="shared" si="114"/>
        <v>45717</v>
      </c>
      <c r="E267" s="448">
        <f t="shared" si="95"/>
        <v>45723</v>
      </c>
      <c r="F267" s="79">
        <v>202505</v>
      </c>
      <c r="G267" s="103">
        <v>99895</v>
      </c>
      <c r="H267" s="429">
        <v>76529</v>
      </c>
      <c r="I267" s="429">
        <v>67035</v>
      </c>
      <c r="J267" s="214">
        <f t="shared" si="96"/>
        <v>243459</v>
      </c>
      <c r="K267" s="103">
        <v>61840</v>
      </c>
      <c r="L267" s="429">
        <v>52317</v>
      </c>
      <c r="M267" s="429">
        <v>67871</v>
      </c>
      <c r="N267" s="214">
        <f t="shared" si="97"/>
        <v>182028</v>
      </c>
      <c r="O267" s="449">
        <f>'Overall Metrics'!L272</f>
        <v>111792.2</v>
      </c>
      <c r="P267" s="449">
        <f>'Overall Metrics'!M272</f>
        <v>117718</v>
      </c>
      <c r="Q267" s="449">
        <f>'Overall Metrics'!N272</f>
        <v>76437.399999999994</v>
      </c>
      <c r="R267" s="449">
        <f t="shared" si="98"/>
        <v>305947.59999999998</v>
      </c>
      <c r="S267" s="180">
        <f t="shared" si="99"/>
        <v>1513743.2000000002</v>
      </c>
      <c r="T267" s="449">
        <f t="shared" si="100"/>
        <v>1063160</v>
      </c>
      <c r="U267" s="449">
        <f t="shared" si="101"/>
        <v>1109690</v>
      </c>
      <c r="V267" s="450">
        <f t="shared" si="102"/>
        <v>0.42381504195041209</v>
      </c>
      <c r="W267" s="450">
        <f>IF(R267=0,"-",SUMIFS($R$2:R267,$A$2:A267,A267,$C$2:C267,C267)/SUMIFS($J$2:J267,$A$2:A267,A267,$C$2:C267,C267)-1)</f>
        <v>0.42381504195041209</v>
      </c>
      <c r="X267" s="450">
        <f t="shared" si="103"/>
        <v>0.36411358127044502</v>
      </c>
      <c r="Y267" s="450">
        <f>IFERROR(IF(R267=0,"-",SUMIFS($R$2:R267,$A$2:A267,A267,$C$2:C267,C267)/SUMIFS($N$2:N267,$A$2:A267,A267,$C$2:C267,C267)-1),"")</f>
        <v>0.36411358127044502</v>
      </c>
      <c r="Z267" s="269">
        <f>IF(R267=0,"",(S267/VLOOKUP(_xlfn.NUMBERVALUE(_xlfn.CONCAT(LEFT(F267,4),52)),$F$2:T474,COLUMNS($F$2:T474),FALSE)))</f>
        <v>1.2048862685728432</v>
      </c>
      <c r="AA267" s="269">
        <f>IFERROR(IF(R267=0,"",(S267/VLOOKUP(_xlfn.NUMBERVALUE(_xlfn.CONCAT(LEFT(F267,4),52)),$F$2:U474,COLUMNS($F$2:U474),FALSE))),"")</f>
        <v>1.1442257817997932</v>
      </c>
      <c r="AB267" s="268">
        <f t="shared" si="104"/>
        <v>0.1190970519044996</v>
      </c>
      <c r="AC267" s="450">
        <f t="shared" si="105"/>
        <v>0.53821427171399083</v>
      </c>
      <c r="AD267" s="450">
        <f t="shared" si="106"/>
        <v>0.14026105765644803</v>
      </c>
      <c r="AE267" s="269">
        <f t="shared" si="107"/>
        <v>0.25666991156621854</v>
      </c>
      <c r="AF267" s="268">
        <f t="shared" si="108"/>
        <v>0.80776520051746448</v>
      </c>
      <c r="AG267" s="450">
        <f t="shared" si="109"/>
        <v>1.2500907926677751</v>
      </c>
      <c r="AH267" s="450">
        <f t="shared" si="110"/>
        <v>0.12621590959319873</v>
      </c>
      <c r="AI267" s="269">
        <f t="shared" si="111"/>
        <v>0.68077218889401614</v>
      </c>
      <c r="AJ267" s="450">
        <f>IF(O267=0,"-",SUMIFS($O$2:O267,$A$2:A267,$A267,$F$2:F267,"&lt;="&amp;$F267)/SUMIFS($G$2:G267,$A$2:A267,$A267,$F$2:F267,"&lt;="&amp;$F267)-1)</f>
        <v>0.53115508716288407</v>
      </c>
      <c r="AK267" s="450">
        <f>IF(P267=0,"-",SUMIFS($P$2:P267,$A$2:A267,$A267,$F$2:F267,"&lt;="&amp;$F267)/SUMIFS($H$2:H267,$A$2:A267,$A267,$F$2:F267,"&lt;="&amp;$F267)-1)</f>
        <v>0.82482287695587186</v>
      </c>
      <c r="AL267" s="450">
        <f>IF(Q267=0,"-",SUMIFS($Q$2:Q267,$A$2:A267,$A267,$F$2:F267,"&lt;="&amp;$F267)/SUMIFS($I$2:I267,$A$2:A267,$A267,$F$2:F267,"&lt;="&amp;$F267)-1)</f>
        <v>-6.1268263476373375E-2</v>
      </c>
      <c r="AM267" s="450">
        <f>IFERROR(IF(O267=0,"-",SUMIFS($O$2:O267,$A$2:A267,$A267,$F$2:F267,"&lt;="&amp;$F267)/SUMIFS($K$2:K267,$A$2:A267,$A267,$F$2:F267,"&lt;="&amp;$F267)-1),"")</f>
        <v>0.46373266589289908</v>
      </c>
      <c r="AN267" s="450">
        <f>IFERROR(IF(P267=0,"-",SUMIFS($P$2:P267,$A$2:A267,$A267,$F$2:F267,"&lt;="&amp;$F267)/SUMIFS($L$2:L267,$A$2:A267,$A267,$F$2:F267,"&lt;="&amp;$F267)-1),"")</f>
        <v>0.79308177011660752</v>
      </c>
      <c r="AO267" s="269">
        <f>IFERROR(IF(Q267=0,"-",SUMIFS($Q$2:Q267,$A$2:A267,$A267,$F$2:F267,"&lt;="&amp;$F267)/SUMIFS($M$2:M267,$A$2:A267,$A267,$F$2:F267,"&lt;="&amp;$F267)-1),"")</f>
        <v>-0.1193537482187248</v>
      </c>
      <c r="AP267" s="103">
        <v>99311</v>
      </c>
      <c r="AQ267" s="452">
        <f>'Overall Metrics'!AO272</f>
        <v>0.34256607878803114</v>
      </c>
      <c r="AR267" s="450">
        <f>AQ267</f>
        <v>0.34256607878803114</v>
      </c>
      <c r="AS267" s="453">
        <f>AQ267</f>
        <v>0.34256607878803114</v>
      </c>
      <c r="AT267" s="453">
        <f>AR267</f>
        <v>0.34256607878803114</v>
      </c>
      <c r="AU267" s="103">
        <v>88740</v>
      </c>
      <c r="AV267" s="452">
        <f>'Overall Metrics'!AS272</f>
        <v>0.39143571693918916</v>
      </c>
      <c r="AW267" s="450">
        <f t="shared" si="92"/>
        <v>4.3931238298428266E-2</v>
      </c>
      <c r="AX267" s="453">
        <f t="shared" si="117"/>
        <v>-0.12420067669294654</v>
      </c>
      <c r="AY267" s="453">
        <f t="shared" si="118"/>
        <v>4.3931238298428266E-2</v>
      </c>
      <c r="AZ267" s="103">
        <v>123542</v>
      </c>
      <c r="BA267" s="449">
        <f>'Glass Metrics'!AC272</f>
        <v>108198</v>
      </c>
      <c r="BB267" s="450">
        <f t="shared" si="113"/>
        <v>-0.12420067669294654</v>
      </c>
      <c r="BC267" s="450">
        <f>IFERROR(IF(R267=0,"-",AVERAGEIFS($BA$2:BA267,$A$2:A267,$A267,$F$2:F267,"&lt;="&amp;$F267)/AVERAGEIFS($AZ$2:AZ267,$A$2:A267,$A267,$F$2:F267,"&lt;="&amp;$F267)-1),"")</f>
        <v>4.3931238298428266E-2</v>
      </c>
      <c r="BD267" s="269">
        <f>IFERROR(IF(R267=0,"-",AVERAGEIFS($BA$2:BA267,$A$2:A267,A267,$C$2:C267,C267)/AVERAGEIFS($AZ$2:AZ267,$A$2:A267,A267,$C$2:C267,C267)-1),"")</f>
        <v>4.3931238298428266E-2</v>
      </c>
    </row>
    <row r="268" spans="1:59" ht="15.6" customHeight="1">
      <c r="A268" s="175">
        <f t="shared" si="93"/>
        <v>2026</v>
      </c>
      <c r="B268" s="447" t="str">
        <f t="shared" si="94"/>
        <v>06</v>
      </c>
      <c r="C268" s="447" t="str">
        <f t="array" ref="C268">_xlfn.IFS(_xlfn.NUMBERVALUE(B268)&lt;=13,"Q1",AND(_xlfn.NUMBERVALUE(B268)&gt;13,_xlfn.NUMBERVALUE(B268)&lt;=26),"Q2", AND(_xlfn.NUMBERVALUE(B268)&gt;26,_xlfn.NUMBERVALUE(B268)&lt;=39),"Q3",_xlfn.NUMBERVALUE(B268)&gt;39,"Q4")</f>
        <v>Q1</v>
      </c>
      <c r="D268" s="448">
        <f t="shared" si="114"/>
        <v>45724</v>
      </c>
      <c r="E268" s="448">
        <f t="shared" si="95"/>
        <v>45730</v>
      </c>
      <c r="F268" s="79">
        <v>202506</v>
      </c>
      <c r="G268" s="103">
        <v>82816</v>
      </c>
      <c r="H268" s="429">
        <v>57604</v>
      </c>
      <c r="I268" s="429">
        <v>52757</v>
      </c>
      <c r="J268" s="214">
        <f t="shared" si="96"/>
        <v>193177</v>
      </c>
      <c r="K268" s="103">
        <v>72354</v>
      </c>
      <c r="L268" s="429">
        <v>78405</v>
      </c>
      <c r="M268" s="429">
        <v>62492</v>
      </c>
      <c r="N268" s="214">
        <f t="shared" si="97"/>
        <v>213251</v>
      </c>
      <c r="O268" s="449">
        <f>'Overall Metrics'!L273</f>
        <v>105367.70000000003</v>
      </c>
      <c r="P268" s="449">
        <f>'Overall Metrics'!M273</f>
        <v>116954</v>
      </c>
      <c r="Q268" s="449">
        <f>'Overall Metrics'!N273</f>
        <v>64542.400000000001</v>
      </c>
      <c r="R268" s="449">
        <f t="shared" si="98"/>
        <v>286864.10000000003</v>
      </c>
      <c r="S268" s="180">
        <f t="shared" si="99"/>
        <v>1800607.3000000003</v>
      </c>
      <c r="T268" s="449">
        <f t="shared" si="100"/>
        <v>1256337</v>
      </c>
      <c r="U268" s="449">
        <f t="shared" si="101"/>
        <v>1322941</v>
      </c>
      <c r="V268" s="450">
        <f t="shared" si="102"/>
        <v>0.43321998794909344</v>
      </c>
      <c r="W268" s="450">
        <f>IF(R268=0,"-",SUMIFS($R$2:R268,$A$2:A268,A268,$C$2:C268,C268)/SUMIFS($J$2:J268,$A$2:A268,A268,$C$2:C268,C268)-1)</f>
        <v>0.43321998794909344</v>
      </c>
      <c r="X268" s="450">
        <f t="shared" si="103"/>
        <v>0.3610639476741595</v>
      </c>
      <c r="Y268" s="450">
        <f>IFERROR(IF(R268=0,"-",SUMIFS($R$2:R268,$A$2:A268,A268,$C$2:C268,C268)/SUMIFS($N$2:N268,$A$2:A268,A268,$C$2:C268,C268)-1),"")</f>
        <v>0.3610639476741595</v>
      </c>
      <c r="Z268" s="269">
        <f>IF(R268=0,"",(S268/VLOOKUP(_xlfn.NUMBERVALUE(_xlfn.CONCAT(LEFT(F268,4),52)),$F$2:T475,COLUMNS($F$2:T475),FALSE)))</f>
        <v>1.4332199879490934</v>
      </c>
      <c r="AA268" s="269">
        <f>IFERROR(IF(R268=0,"",(S268/VLOOKUP(_xlfn.NUMBERVALUE(_xlfn.CONCAT(LEFT(F268,4),52)),$F$2:U475,COLUMNS($F$2:U475),FALSE))),"")</f>
        <v>1.3610639476741595</v>
      </c>
      <c r="AB268" s="268">
        <f t="shared" si="104"/>
        <v>0.27231090610510078</v>
      </c>
      <c r="AC268" s="450">
        <f t="shared" si="105"/>
        <v>1.0303103951114507</v>
      </c>
      <c r="AD268" s="450">
        <f t="shared" si="106"/>
        <v>0.22339026100801784</v>
      </c>
      <c r="AE268" s="269">
        <f t="shared" si="107"/>
        <v>0.48498061363412837</v>
      </c>
      <c r="AF268" s="268">
        <f t="shared" si="108"/>
        <v>0.4562802332973992</v>
      </c>
      <c r="AG268" s="450">
        <f t="shared" si="109"/>
        <v>0.49166507238058799</v>
      </c>
      <c r="AH268" s="450">
        <f t="shared" si="110"/>
        <v>3.2810599756768921E-2</v>
      </c>
      <c r="AI268" s="269">
        <f t="shared" si="111"/>
        <v>0.34519462980243953</v>
      </c>
      <c r="AJ268" s="450">
        <f>IF(O268=0,"-",SUMIFS($O$2:O268,$A$2:A268,$A268,$F$2:F268,"&lt;="&amp;$F268)/SUMIFS($G$2:G268,$A$2:A268,$A268,$F$2:F268,"&lt;="&amp;$F268)-1)</f>
        <v>0.48309606227188362</v>
      </c>
      <c r="AK268" s="450">
        <f>IF(P268=0,"-",SUMIFS($P$2:P268,$A$2:A268,$A268,$F$2:F268,"&lt;="&amp;$F268)/SUMIFS($H$2:H268,$A$2:A268,$A268,$F$2:F268,"&lt;="&amp;$F268)-1)</f>
        <v>0.85465566126898107</v>
      </c>
      <c r="AL268" s="450">
        <f>IF(Q268=0,"-",SUMIFS($Q$2:Q268,$A$2:A268,$A268,$F$2:F268,"&lt;="&amp;$F268)/SUMIFS($I$2:I268,$A$2:A268,$A268,$F$2:F268,"&lt;="&amp;$F268)-1)</f>
        <v>-2.495127177051526E-2</v>
      </c>
      <c r="AM268" s="450">
        <f>IFERROR(IF(O268=0,"-",SUMIFS($O$2:O268,$A$2:A268,$A268,$F$2:F268,"&lt;="&amp;$F268)/SUMIFS($K$2:K268,$A$2:A268,$A268,$F$2:F268,"&lt;="&amp;$F268)-1),"")</f>
        <v>0.46254054161609348</v>
      </c>
      <c r="AN268" s="450">
        <f>IFERROR(IF(P268=0,"-",SUMIFS($P$2:P268,$A$2:A268,$A268,$F$2:F268,"&lt;="&amp;$F268)/SUMIFS($L$2:L268,$A$2:A268,$A268,$F$2:F268,"&lt;="&amp;$F268)-1),"")</f>
        <v>0.73728929600075555</v>
      </c>
      <c r="AO268" s="269">
        <f>IFERROR(IF(Q268=0,"-",SUMIFS($Q$2:Q268,$A$2:A268,$A268,$F$2:F268,"&lt;="&amp;$F268)/SUMIFS($M$2:M268,$A$2:A268,$A268,$F$2:F268,"&lt;="&amp;$F268)-1),"")</f>
        <v>-9.8082979903723833E-2</v>
      </c>
      <c r="AP268" s="103">
        <v>68198</v>
      </c>
      <c r="AQ268" s="452">
        <f>'Overall Metrics'!AO273</f>
        <v>0.51690858492537972</v>
      </c>
      <c r="AR268" s="450">
        <f>AQ268</f>
        <v>0.51690858492537972</v>
      </c>
      <c r="AS268" s="453">
        <f>AQ268</f>
        <v>0.51690858492537972</v>
      </c>
      <c r="AT268" s="453">
        <f>AR268</f>
        <v>0.51690858492537972</v>
      </c>
      <c r="AU268" s="103">
        <v>97068</v>
      </c>
      <c r="AV268" s="452">
        <f>'Overall Metrics'!AS273</f>
        <v>0.32255134154880449</v>
      </c>
      <c r="AW268" s="450">
        <f>BD268</f>
        <v>6.5834294450553887E-2</v>
      </c>
      <c r="AX268" s="453">
        <f>BB268</f>
        <v>0.1665394624893648</v>
      </c>
      <c r="AY268" s="453">
        <f>BC268</f>
        <v>6.5834294450553887E-2</v>
      </c>
      <c r="AZ268" s="103">
        <v>159848</v>
      </c>
      <c r="BA268" s="449">
        <f>'Glass Metrics'!AC273</f>
        <v>186469</v>
      </c>
      <c r="BB268" s="450">
        <f t="shared" si="113"/>
        <v>0.1665394624893648</v>
      </c>
      <c r="BC268" s="450">
        <f>IFERROR(IF(R268=0,"-",AVERAGEIFS($BA$2:BA268,$A$2:A268,$A268,$F$2:F268,"&lt;="&amp;$F268)/AVERAGEIFS($AZ$2:AZ268,$A$2:A268,$A268,$F$2:F268,"&lt;="&amp;$F268)-1),"")</f>
        <v>6.5834294450553887E-2</v>
      </c>
      <c r="BD268" s="269">
        <f>IFERROR(IF(R268=0,"-",AVERAGEIFS($BA$2:BA268,$A$2:A268,A268,$C$2:C268,C268)/AVERAGEIFS($AZ$2:AZ268,$A$2:A268,A268,$C$2:C268,C268)-1),"")</f>
        <v>6.5834294450553887E-2</v>
      </c>
    </row>
    <row r="269" spans="1:59" ht="15.6" customHeight="1">
      <c r="A269" s="175">
        <f t="shared" si="93"/>
        <v>2026</v>
      </c>
      <c r="B269" s="447" t="str">
        <f t="shared" si="94"/>
        <v>07</v>
      </c>
      <c r="C269" s="447" t="str">
        <f t="array" ref="C269">_xlfn.IFS(_xlfn.NUMBERVALUE(B269)&lt;=13,"Q1",AND(_xlfn.NUMBERVALUE(B269)&gt;13,_xlfn.NUMBERVALUE(B269)&lt;=26),"Q2", AND(_xlfn.NUMBERVALUE(B269)&gt;26,_xlfn.NUMBERVALUE(B269)&lt;=39),"Q3",_xlfn.NUMBERVALUE(B269)&gt;39,"Q4")</f>
        <v>Q1</v>
      </c>
      <c r="D269" s="448">
        <f t="shared" si="114"/>
        <v>45731</v>
      </c>
      <c r="E269" s="448">
        <f t="shared" si="95"/>
        <v>45737</v>
      </c>
      <c r="F269" s="79">
        <v>202507</v>
      </c>
      <c r="G269" s="103"/>
      <c r="H269" s="429"/>
      <c r="I269" s="429"/>
      <c r="J269" s="214">
        <f t="shared" si="96"/>
        <v>0</v>
      </c>
      <c r="K269" s="103"/>
      <c r="L269" s="429"/>
      <c r="M269" s="429"/>
      <c r="N269" s="214">
        <f t="shared" si="97"/>
        <v>0</v>
      </c>
      <c r="O269" s="449">
        <f>'Overall Metrics'!L274</f>
        <v>0</v>
      </c>
      <c r="P269" s="449">
        <f>'Overall Metrics'!M274</f>
        <v>0</v>
      </c>
      <c r="Q269" s="449">
        <f>'Overall Metrics'!N274</f>
        <v>0</v>
      </c>
      <c r="R269" s="449">
        <f t="shared" si="98"/>
        <v>0</v>
      </c>
      <c r="S269" s="180">
        <f t="shared" si="99"/>
        <v>0</v>
      </c>
      <c r="T269" s="449">
        <f t="shared" si="100"/>
        <v>1256337</v>
      </c>
      <c r="U269" s="449">
        <f t="shared" si="101"/>
        <v>1322941</v>
      </c>
      <c r="V269" s="450" t="str">
        <f t="shared" si="102"/>
        <v/>
      </c>
      <c r="W269" s="450" t="str">
        <f>IF(R269=0,"-",SUMIFS($R$2:R269,$A$2:A269,A269,$C$2:C269,C269)/SUMIFS($J$2:J269,$A$2:A269,A269,$C$2:C269,C269)-1)</f>
        <v>-</v>
      </c>
      <c r="X269" s="450" t="str">
        <f t="shared" si="103"/>
        <v/>
      </c>
      <c r="Y269" s="450" t="str">
        <f>IFERROR(IF(R269=0,"-",SUMIFS($R$2:R269,$A$2:A269,A269,$C$2:C269,C269)/SUMIFS($N$2:N269,$A$2:A269,A269,$C$2:C269,C269)-1),"")</f>
        <v>-</v>
      </c>
      <c r="Z269" s="269" t="str">
        <f>IF(R269=0,"",(S269/VLOOKUP(_xlfn.NUMBERVALUE(_xlfn.CONCAT(LEFT(F269,4),52)),$F$2:T476,COLUMNS($F$2:T476),FALSE)))</f>
        <v/>
      </c>
      <c r="AA269" s="269" t="str">
        <f>IFERROR(IF(R269=0,"",(S269/VLOOKUP(_xlfn.NUMBERVALUE(_xlfn.CONCAT(LEFT(F269,4),52)),$F$2:U476,COLUMNS($F$2:U476),FALSE))),"")</f>
        <v/>
      </c>
      <c r="AB269" s="268" t="str">
        <f t="shared" si="104"/>
        <v/>
      </c>
      <c r="AC269" s="450" t="str">
        <f t="shared" si="105"/>
        <v/>
      </c>
      <c r="AD269" s="450" t="str">
        <f t="shared" si="106"/>
        <v/>
      </c>
      <c r="AE269" s="269" t="str">
        <f t="shared" si="107"/>
        <v/>
      </c>
      <c r="AF269" s="268" t="str">
        <f t="shared" si="108"/>
        <v/>
      </c>
      <c r="AG269" s="450" t="str">
        <f t="shared" si="109"/>
        <v/>
      </c>
      <c r="AH269" s="450" t="str">
        <f t="shared" si="110"/>
        <v/>
      </c>
      <c r="AI269" s="269" t="str">
        <f t="shared" si="111"/>
        <v/>
      </c>
      <c r="AJ269" s="450" t="str">
        <f>IF(O269=0,"-",SUMIFS($O$2:O269,$A$2:A269,$A269,$F$2:F269,"&lt;="&amp;$F269)/SUMIFS($G$2:G269,$A$2:A269,$A269,$F$2:F269,"&lt;="&amp;$F269)-1)</f>
        <v>-</v>
      </c>
      <c r="AK269" s="450" t="str">
        <f>IF(P269=0,"-",SUMIFS($P$2:P269,$A$2:A269,$A269,$F$2:F269,"&lt;="&amp;$F269)/SUMIFS($H$2:H269,$A$2:A269,$A269,$F$2:F269,"&lt;="&amp;$F269)-1)</f>
        <v>-</v>
      </c>
      <c r="AL269" s="450" t="str">
        <f>IF(Q269=0,"-",SUMIFS($Q$2:Q269,$A$2:A269,$A269,$F$2:F269,"&lt;="&amp;$F269)/SUMIFS($I$2:I269,$A$2:A269,$A269,$F$2:F269,"&lt;="&amp;$F269)-1)</f>
        <v>-</v>
      </c>
      <c r="AM269" s="450" t="str">
        <f>IFERROR(IF(O269=0,"-",SUMIFS($O$2:O269,$A$2:A269,$A269,$F$2:F269,"&lt;="&amp;$F269)/SUMIFS($K$2:K269,$A$2:A269,$A269,$F$2:F269,"&lt;="&amp;$F269)-1),"")</f>
        <v>-</v>
      </c>
      <c r="AN269" s="450" t="str">
        <f>IFERROR(IF(P269=0,"-",SUMIFS($P$2:P269,$A$2:A269,$A269,$F$2:F269,"&lt;="&amp;$F269)/SUMIFS($L$2:L269,$A$2:A269,$A269,$F$2:F269,"&lt;="&amp;$F269)-1),"")</f>
        <v>-</v>
      </c>
      <c r="AO269" s="269" t="str">
        <f>IFERROR(IF(Q269=0,"-",SUMIFS($Q$2:Q269,$A$2:A269,$A269,$F$2:F269,"&lt;="&amp;$F269)/SUMIFS($M$2:M269,$A$2:A269,$A269,$F$2:F269,"&lt;="&amp;$F269)-1),"")</f>
        <v>-</v>
      </c>
      <c r="AP269" s="103"/>
      <c r="AQ269" s="452" t="str">
        <f>'Overall Metrics'!AO274</f>
        <v/>
      </c>
      <c r="AR269" s="450" t="str">
        <f t="shared" si="112"/>
        <v/>
      </c>
      <c r="AS269" s="453" t="str">
        <f>IFERROR(IF(R270=0,"-",AVERAGEIFS($AQ$2:AQ269,$A$2:A269,$A269,$F$2:F269,"&lt;="&amp;$F269)-AVERAGEIFS($AP$2:AP269,$A$2:A269,$A269,$F$2:F269,"&lt;="&amp;$F269)),"")</f>
        <v>-</v>
      </c>
      <c r="AT269" s="390" t="str">
        <f>IFERROR(IF(R270=0,"-",AVERAGEIFS($AQ$2:AQ269,$A$2:A269,A269,$C$2:C269,C269)-AVERAGEIFS($AP$2:AP269,$A$2:A269,A269,$C$2:C269,C269)),"")</f>
        <v>-</v>
      </c>
      <c r="AU269" s="103"/>
      <c r="AV269" s="452">
        <f>'Overall Metrics'!AS274</f>
        <v>0</v>
      </c>
      <c r="AW269" s="450" t="str">
        <f t="shared" ref="AW269:AW314" si="119">IFERROR(IF(AV269=0%,"",AV269-AU269),"")</f>
        <v/>
      </c>
      <c r="AX269" s="453" t="str">
        <f>IFERROR(IF(R273=0,"-",AVERAGEIFS($AV$2:AV269,$A$2:A269,$A269,$F$2:F269,"&lt;="&amp;$F269)-AVERAGEIFS($AU$2:AU269,$A$2:A269,$A269,$F$2:F269,"&lt;="&amp;$F269)),"")</f>
        <v>-</v>
      </c>
      <c r="AY269" s="390" t="str">
        <f>IFERROR(IF(R273=0,"-",AVERAGEIFS($AV$2:AV269,$A$2:A269,A269,$C$2:C269,C269)-AVERAGEIFS($AU$2:AU269,$A$2:A269,A269,$C$2:C269,C269)),"")</f>
        <v>-</v>
      </c>
      <c r="AZ269" s="103"/>
      <c r="BA269" s="449">
        <f>'Glass Metrics'!AC274</f>
        <v>0</v>
      </c>
      <c r="BB269" s="450" t="str">
        <f t="shared" si="113"/>
        <v/>
      </c>
      <c r="BC269" s="450" t="str">
        <f>IFERROR(IF(R269=0,"-",AVERAGEIFS($BA$2:BA269,$A$2:A269,$A269,$F$2:F269,"&lt;="&amp;$F269)/AVERAGEIFS($AZ$2:AZ269,$A$2:A269,$A269,$F$2:F269,"&lt;="&amp;$F269)-1),"")</f>
        <v>-</v>
      </c>
      <c r="BD269" s="269" t="str">
        <f>IFERROR(IF(R269=0,"-",AVERAGEIFS($BA$2:BA269,$A$2:A269,A269,$C$2:C269,C269)/AVERAGEIFS($AZ$2:AZ269,$A$2:A269,A269,$C$2:C269,C269)-1),"")</f>
        <v>-</v>
      </c>
    </row>
    <row r="270" spans="1:59" ht="15.6" customHeight="1">
      <c r="A270" s="175">
        <f t="shared" si="93"/>
        <v>2026</v>
      </c>
      <c r="B270" s="447" t="str">
        <f t="shared" si="94"/>
        <v>08</v>
      </c>
      <c r="C270" s="447" t="str">
        <f t="array" ref="C270">_xlfn.IFS(_xlfn.NUMBERVALUE(B270)&lt;=13,"Q1",AND(_xlfn.NUMBERVALUE(B270)&gt;13,_xlfn.NUMBERVALUE(B270)&lt;=26),"Q2", AND(_xlfn.NUMBERVALUE(B270)&gt;26,_xlfn.NUMBERVALUE(B270)&lt;=39),"Q3",_xlfn.NUMBERVALUE(B270)&gt;39,"Q4")</f>
        <v>Q1</v>
      </c>
      <c r="D270" s="448">
        <f t="shared" si="114"/>
        <v>45738</v>
      </c>
      <c r="E270" s="448">
        <f t="shared" si="95"/>
        <v>45744</v>
      </c>
      <c r="F270" s="79">
        <v>202508</v>
      </c>
      <c r="G270" s="103"/>
      <c r="H270" s="429"/>
      <c r="I270" s="429"/>
      <c r="J270" s="214">
        <f t="shared" si="96"/>
        <v>0</v>
      </c>
      <c r="K270" s="429"/>
      <c r="L270" s="429"/>
      <c r="M270" s="429"/>
      <c r="N270" s="214">
        <f t="shared" si="97"/>
        <v>0</v>
      </c>
      <c r="O270" s="449">
        <f>'Overall Metrics'!L275</f>
        <v>0</v>
      </c>
      <c r="P270" s="449">
        <f>'Overall Metrics'!M275</f>
        <v>0</v>
      </c>
      <c r="Q270" s="449">
        <f>'Overall Metrics'!N275</f>
        <v>0</v>
      </c>
      <c r="R270" s="449">
        <f t="shared" si="98"/>
        <v>0</v>
      </c>
      <c r="S270" s="180">
        <f t="shared" si="99"/>
        <v>0</v>
      </c>
      <c r="T270" s="449">
        <f t="shared" si="100"/>
        <v>1256337</v>
      </c>
      <c r="U270" s="449">
        <f t="shared" si="101"/>
        <v>1322941</v>
      </c>
      <c r="V270" s="450" t="str">
        <f t="shared" si="102"/>
        <v/>
      </c>
      <c r="W270" s="450" t="str">
        <f>IF(R270=0,"-",SUMIFS($R$2:R270,$A$2:A270,A270,$C$2:C270,C270)/SUMIFS($J$2:J270,$A$2:A270,A270,$C$2:C270,C270)-1)</f>
        <v>-</v>
      </c>
      <c r="X270" s="450" t="str">
        <f t="shared" si="103"/>
        <v/>
      </c>
      <c r="Y270" s="450" t="str">
        <f>IFERROR(IF(R270=0,"-",SUMIFS($R$2:R270,$A$2:A270,A270,$C$2:C270,C270)/SUMIFS($N$2:N270,$A$2:A270,A270,$C$2:C270,C270)-1),"")</f>
        <v>-</v>
      </c>
      <c r="Z270" s="269" t="str">
        <f>IF(R270=0,"",(S270/VLOOKUP(_xlfn.NUMBERVALUE(_xlfn.CONCAT(LEFT(F270,4),52)),$F$2:T477,COLUMNS($F$2:T477),FALSE)))</f>
        <v/>
      </c>
      <c r="AA270" s="269" t="str">
        <f>IFERROR(IF(R270=0,"",(S270/VLOOKUP(_xlfn.NUMBERVALUE(_xlfn.CONCAT(LEFT(F270,4),52)),$F$2:U477,COLUMNS($F$2:U477),FALSE))),"")</f>
        <v/>
      </c>
      <c r="AB270" s="268" t="str">
        <f t="shared" si="104"/>
        <v/>
      </c>
      <c r="AC270" s="450" t="str">
        <f t="shared" si="105"/>
        <v/>
      </c>
      <c r="AD270" s="450" t="str">
        <f t="shared" si="106"/>
        <v/>
      </c>
      <c r="AE270" s="269" t="str">
        <f t="shared" si="107"/>
        <v/>
      </c>
      <c r="AF270" s="268" t="str">
        <f t="shared" si="108"/>
        <v/>
      </c>
      <c r="AG270" s="450" t="str">
        <f t="shared" si="109"/>
        <v/>
      </c>
      <c r="AH270" s="450" t="str">
        <f t="shared" si="110"/>
        <v/>
      </c>
      <c r="AI270" s="269" t="str">
        <f t="shared" si="111"/>
        <v/>
      </c>
      <c r="AJ270" s="450" t="str">
        <f>IF(O270=0,"-",SUMIFS($O$2:O270,$A$2:A270,$A270,$F$2:F270,"&lt;="&amp;$F270)/SUMIFS($G$2:G270,$A$2:A270,$A270,$F$2:F270,"&lt;="&amp;$F270)-1)</f>
        <v>-</v>
      </c>
      <c r="AK270" s="450" t="str">
        <f>IF(P270=0,"-",SUMIFS($P$2:P270,$A$2:A270,$A270,$F$2:F270,"&lt;="&amp;$F270)/SUMIFS($H$2:H270,$A$2:A270,$A270,$F$2:F270,"&lt;="&amp;$F270)-1)</f>
        <v>-</v>
      </c>
      <c r="AL270" s="450" t="str">
        <f>IF(Q270=0,"-",SUMIFS($Q$2:Q270,$A$2:A270,$A270,$F$2:F270,"&lt;="&amp;$F270)/SUMIFS($I$2:I270,$A$2:A270,$A270,$F$2:F270,"&lt;="&amp;$F270)-1)</f>
        <v>-</v>
      </c>
      <c r="AM270" s="450" t="str">
        <f>IFERROR(IF(O270=0,"-",SUMIFS($O$2:O270,$A$2:A270,$A270,$F$2:F270,"&lt;="&amp;$F270)/SUMIFS($K$2:K270,$A$2:A270,$A270,$F$2:F270,"&lt;="&amp;$F270)-1),"")</f>
        <v>-</v>
      </c>
      <c r="AN270" s="450" t="str">
        <f>IFERROR(IF(P270=0,"-",SUMIFS($P$2:P270,$A$2:A270,$A270,$F$2:F270,"&lt;="&amp;$F270)/SUMIFS($L$2:L270,$A$2:A270,$A270,$F$2:F270,"&lt;="&amp;$F270)-1),"")</f>
        <v>-</v>
      </c>
      <c r="AO270" s="269" t="str">
        <f>IFERROR(IF(Q270=0,"-",SUMIFS($Q$2:Q270,$A$2:A270,$A270,$F$2:F270,"&lt;="&amp;$F270)/SUMIFS($M$2:M270,$A$2:A270,$A270,$F$2:F270,"&lt;="&amp;$F270)-1),"")</f>
        <v>-</v>
      </c>
      <c r="AP270" s="134"/>
      <c r="AQ270" s="452" t="str">
        <f>'Overall Metrics'!AO275</f>
        <v/>
      </c>
      <c r="AR270" s="450" t="str">
        <f t="shared" si="112"/>
        <v/>
      </c>
      <c r="AS270" s="453" t="str">
        <f>IFERROR(IF(R271=0,"-",AVERAGEIFS($AQ$2:AQ270,$A$2:A270,$A270,$F$2:F270,"&lt;="&amp;$F270)-AVERAGEIFS($AP$2:AP270,$A$2:A270,$A270,$F$2:F270,"&lt;="&amp;$F270)),"")</f>
        <v>-</v>
      </c>
      <c r="AT270" s="390" t="str">
        <f>IFERROR(IF(R271=0,"-",AVERAGEIFS($AQ$2:AQ270,$A$2:A270,A270,$C$2:C270,C270)-AVERAGEIFS($AP$2:AP270,$A$2:A270,A270,$C$2:C270,C270)),"")</f>
        <v>-</v>
      </c>
      <c r="AU270" s="451"/>
      <c r="AV270" s="452">
        <f>'Overall Metrics'!AS275</f>
        <v>0</v>
      </c>
      <c r="AW270" s="450" t="str">
        <f t="shared" si="119"/>
        <v/>
      </c>
      <c r="AX270" s="453" t="str">
        <f>IFERROR(IF(R274=0,"-",AVERAGEIFS($AV$2:AV270,$A$2:A270,$A270,$F$2:F270,"&lt;="&amp;$F270)-AVERAGEIFS($AU$2:AU270,$A$2:A270,$A270,$F$2:F270,"&lt;="&amp;$F270)),"")</f>
        <v>-</v>
      </c>
      <c r="AY270" s="390" t="str">
        <f>IFERROR(IF(R274=0,"-",AVERAGEIFS($AV$2:AV270,$A$2:A270,A270,$C$2:C270,C270)-AVERAGEIFS($AU$2:AU270,$A$2:A270,A270,$C$2:C270,C270)),"")</f>
        <v>-</v>
      </c>
      <c r="AZ270" s="103"/>
      <c r="BA270" s="449">
        <f>'Glass Metrics'!AC275</f>
        <v>0</v>
      </c>
      <c r="BB270" s="450" t="str">
        <f t="shared" si="113"/>
        <v/>
      </c>
      <c r="BC270" s="450" t="str">
        <f>IFERROR(IF(R270=0,"-",AVERAGEIFS($BA$2:BA270,$A$2:A270,$A270,$F$2:F270,"&lt;="&amp;$F270)/AVERAGEIFS($AZ$2:AZ270,$A$2:A270,$A270,$F$2:F270,"&lt;="&amp;$F270)-1),"")</f>
        <v>-</v>
      </c>
      <c r="BD270" s="269" t="str">
        <f>IFERROR(IF(R270=0,"-",AVERAGEIFS($BA$2:BA270,$A$2:A270,A270,$C$2:C270,C270)/AVERAGEIFS($AZ$2:AZ270,$A$2:A270,A270,$C$2:C270,C270)-1),"")</f>
        <v>-</v>
      </c>
    </row>
    <row r="271" spans="1:59" ht="15.6" customHeight="1">
      <c r="A271" s="175">
        <f t="shared" si="93"/>
        <v>2026</v>
      </c>
      <c r="B271" s="447" t="str">
        <f t="shared" si="94"/>
        <v>09</v>
      </c>
      <c r="C271" s="447" t="str">
        <f t="array" ref="C271">_xlfn.IFS(_xlfn.NUMBERVALUE(B271)&lt;=13,"Q1",AND(_xlfn.NUMBERVALUE(B271)&gt;13,_xlfn.NUMBERVALUE(B271)&lt;=26),"Q2", AND(_xlfn.NUMBERVALUE(B271)&gt;26,_xlfn.NUMBERVALUE(B271)&lt;=39),"Q3",_xlfn.NUMBERVALUE(B271)&gt;39,"Q4")</f>
        <v>Q1</v>
      </c>
      <c r="D271" s="448">
        <f t="shared" si="114"/>
        <v>45745</v>
      </c>
      <c r="E271" s="448">
        <f t="shared" si="95"/>
        <v>45751</v>
      </c>
      <c r="F271" s="79">
        <v>202509</v>
      </c>
      <c r="G271" s="103"/>
      <c r="H271" s="429"/>
      <c r="I271" s="429"/>
      <c r="J271" s="214">
        <f t="shared" si="96"/>
        <v>0</v>
      </c>
      <c r="K271" s="429"/>
      <c r="L271" s="429"/>
      <c r="M271" s="429"/>
      <c r="N271" s="214">
        <f t="shared" si="97"/>
        <v>0</v>
      </c>
      <c r="O271" s="449">
        <f>'Overall Metrics'!L276</f>
        <v>0</v>
      </c>
      <c r="P271" s="449">
        <f>'Overall Metrics'!M276</f>
        <v>0</v>
      </c>
      <c r="Q271" s="449">
        <f>'Overall Metrics'!N276</f>
        <v>0</v>
      </c>
      <c r="R271" s="449">
        <f t="shared" si="98"/>
        <v>0</v>
      </c>
      <c r="S271" s="180">
        <f t="shared" si="99"/>
        <v>0</v>
      </c>
      <c r="T271" s="449">
        <f t="shared" si="100"/>
        <v>1256337</v>
      </c>
      <c r="U271" s="449">
        <f t="shared" si="101"/>
        <v>1322941</v>
      </c>
      <c r="V271" s="450" t="str">
        <f t="shared" si="102"/>
        <v/>
      </c>
      <c r="W271" s="450" t="str">
        <f>IF(R271=0,"-",SUMIFS($R$2:R271,$A$2:A271,A271,$C$2:C271,C271)/SUMIFS($J$2:J271,$A$2:A271,A271,$C$2:C271,C271)-1)</f>
        <v>-</v>
      </c>
      <c r="X271" s="450" t="str">
        <f t="shared" si="103"/>
        <v/>
      </c>
      <c r="Y271" s="450" t="str">
        <f>IFERROR(IF(R271=0,"-",SUMIFS($R$2:R271,$A$2:A271,A271,$C$2:C271,C271)/SUMIFS($N$2:N271,$A$2:A271,A271,$C$2:C271,C271)-1),"")</f>
        <v>-</v>
      </c>
      <c r="Z271" s="269" t="str">
        <f>IF(R271=0,"",(S271/VLOOKUP(_xlfn.NUMBERVALUE(_xlfn.CONCAT(LEFT(F271,4),52)),$F$2:T478,COLUMNS($F$2:T478),FALSE)))</f>
        <v/>
      </c>
      <c r="AA271" s="269" t="str">
        <f>IFERROR(IF(R271=0,"",(S271/VLOOKUP(_xlfn.NUMBERVALUE(_xlfn.CONCAT(LEFT(F271,4),52)),$F$2:U478,COLUMNS($F$2:U478),FALSE))),"")</f>
        <v/>
      </c>
      <c r="AB271" s="268" t="str">
        <f t="shared" si="104"/>
        <v/>
      </c>
      <c r="AC271" s="450" t="str">
        <f t="shared" si="105"/>
        <v/>
      </c>
      <c r="AD271" s="450" t="str">
        <f t="shared" si="106"/>
        <v/>
      </c>
      <c r="AE271" s="269" t="str">
        <f t="shared" si="107"/>
        <v/>
      </c>
      <c r="AF271" s="268" t="str">
        <f t="shared" si="108"/>
        <v/>
      </c>
      <c r="AG271" s="450" t="str">
        <f t="shared" si="109"/>
        <v/>
      </c>
      <c r="AH271" s="450" t="str">
        <f t="shared" si="110"/>
        <v/>
      </c>
      <c r="AI271" s="269" t="str">
        <f t="shared" si="111"/>
        <v/>
      </c>
      <c r="AJ271" s="450" t="str">
        <f>IF(O271=0,"-",SUMIFS($O$2:O271,$A$2:A271,$A271,$F$2:F271,"&lt;="&amp;$F271)/SUMIFS($G$2:G271,$A$2:A271,$A271,$F$2:F271,"&lt;="&amp;$F271)-1)</f>
        <v>-</v>
      </c>
      <c r="AK271" s="450" t="str">
        <f>IF(P271=0,"-",SUMIFS($P$2:P271,$A$2:A271,$A271,$F$2:F271,"&lt;="&amp;$F271)/SUMIFS($H$2:H271,$A$2:A271,$A271,$F$2:F271,"&lt;="&amp;$F271)-1)</f>
        <v>-</v>
      </c>
      <c r="AL271" s="450" t="str">
        <f>IF(Q271=0,"-",SUMIFS($Q$2:Q271,$A$2:A271,$A271,$F$2:F271,"&lt;="&amp;$F271)/SUMIFS($I$2:I271,$A$2:A271,$A271,$F$2:F271,"&lt;="&amp;$F271)-1)</f>
        <v>-</v>
      </c>
      <c r="AM271" s="450" t="str">
        <f>IFERROR(IF(O271=0,"-",SUMIFS($O$2:O271,$A$2:A271,$A271,$F$2:F271,"&lt;="&amp;$F271)/SUMIFS($K$2:K271,$A$2:A271,$A271,$F$2:F271,"&lt;="&amp;$F271)-1),"")</f>
        <v>-</v>
      </c>
      <c r="AN271" s="450" t="str">
        <f>IFERROR(IF(P271=0,"-",SUMIFS($P$2:P271,$A$2:A271,$A271,$F$2:F271,"&lt;="&amp;$F271)/SUMIFS($L$2:L271,$A$2:A271,$A271,$F$2:F271,"&lt;="&amp;$F271)-1),"")</f>
        <v>-</v>
      </c>
      <c r="AO271" s="269" t="str">
        <f>IFERROR(IF(Q271=0,"-",SUMIFS($Q$2:Q271,$A$2:A271,$A271,$F$2:F271,"&lt;="&amp;$F271)/SUMIFS($M$2:M271,$A$2:A271,$A271,$F$2:F271,"&lt;="&amp;$F271)-1),"")</f>
        <v>-</v>
      </c>
      <c r="AP271" s="134"/>
      <c r="AQ271" s="452" t="str">
        <f>'Overall Metrics'!AO276</f>
        <v/>
      </c>
      <c r="AR271" s="450" t="str">
        <f t="shared" si="112"/>
        <v/>
      </c>
      <c r="AS271" s="453" t="str">
        <f>IFERROR(IF(R272=0,"-",AVERAGEIFS($AQ$2:AQ271,$A$2:A271,$A271,$F$2:F271,"&lt;="&amp;$F271)-AVERAGEIFS($AP$2:AP271,$A$2:A271,$A271,$F$2:F271,"&lt;="&amp;$F271)),"")</f>
        <v>-</v>
      </c>
      <c r="AT271" s="390" t="str">
        <f>IFERROR(IF(R272=0,"-",AVERAGEIFS($AQ$2:AQ271,$A$2:A271,A271,$C$2:C271,C271)-AVERAGEIFS($AP$2:AP271,$A$2:A271,A271,$C$2:C271,C271)),"")</f>
        <v>-</v>
      </c>
      <c r="AU271" s="451"/>
      <c r="AV271" s="452">
        <f>'Overall Metrics'!AS276</f>
        <v>0</v>
      </c>
      <c r="AW271" s="450" t="str">
        <f t="shared" si="119"/>
        <v/>
      </c>
      <c r="AX271" s="453" t="str">
        <f>IFERROR(IF(R275=0,"-",AVERAGEIFS($AV$2:AV271,$A$2:A271,$A271,$F$2:F271,"&lt;="&amp;$F271)-AVERAGEIFS($AU$2:AU271,$A$2:A271,$A271,$F$2:F271,"&lt;="&amp;$F271)),"")</f>
        <v>-</v>
      </c>
      <c r="AY271" s="390" t="str">
        <f>IFERROR(IF(R275=0,"-",AVERAGEIFS($AV$2:AV271,$A$2:A271,A271,$C$2:C271,C271)-AVERAGEIFS($AU$2:AU271,$A$2:A271,A271,$C$2:C271,C271)),"")</f>
        <v>-</v>
      </c>
      <c r="AZ271" s="103"/>
      <c r="BA271" s="449">
        <f>'Glass Metrics'!AC276</f>
        <v>0</v>
      </c>
      <c r="BB271" s="450" t="str">
        <f t="shared" si="113"/>
        <v/>
      </c>
      <c r="BC271" s="450" t="str">
        <f>IFERROR(IF(R271=0,"-",AVERAGEIFS($BA$2:BA271,$A$2:A271,$A271,$F$2:F271,"&lt;="&amp;$F271)/AVERAGEIFS($AZ$2:AZ271,$A$2:A271,$A271,$F$2:F271,"&lt;="&amp;$F271)-1),"")</f>
        <v>-</v>
      </c>
      <c r="BD271" s="269" t="str">
        <f>IFERROR(IF(R271=0,"-",AVERAGEIFS($BA$2:BA271,$A$2:A271,A271,$C$2:C271,C271)/AVERAGEIFS($AZ$2:AZ271,$A$2:A271,A271,$C$2:C271,C271)-1),"")</f>
        <v>-</v>
      </c>
    </row>
    <row r="272" spans="1:59" ht="15.6" customHeight="1">
      <c r="A272" s="175">
        <f t="shared" si="93"/>
        <v>2026</v>
      </c>
      <c r="B272" s="447" t="str">
        <f t="shared" si="94"/>
        <v>10</v>
      </c>
      <c r="C272" s="447" t="str">
        <f t="array" ref="C272">_xlfn.IFS(_xlfn.NUMBERVALUE(B272)&lt;=13,"Q1",AND(_xlfn.NUMBERVALUE(B272)&gt;13,_xlfn.NUMBERVALUE(B272)&lt;=26),"Q2", AND(_xlfn.NUMBERVALUE(B272)&gt;26,_xlfn.NUMBERVALUE(B272)&lt;=39),"Q3",_xlfn.NUMBERVALUE(B272)&gt;39,"Q4")</f>
        <v>Q1</v>
      </c>
      <c r="D272" s="448">
        <f t="shared" si="114"/>
        <v>45752</v>
      </c>
      <c r="E272" s="448">
        <f t="shared" si="95"/>
        <v>45758</v>
      </c>
      <c r="F272" s="79">
        <v>202510</v>
      </c>
      <c r="G272" s="103"/>
      <c r="H272" s="429"/>
      <c r="I272" s="429"/>
      <c r="J272" s="214">
        <f t="shared" si="96"/>
        <v>0</v>
      </c>
      <c r="K272" s="429"/>
      <c r="L272" s="429"/>
      <c r="M272" s="429"/>
      <c r="N272" s="214">
        <f t="shared" si="97"/>
        <v>0</v>
      </c>
      <c r="O272" s="449">
        <f>'Overall Metrics'!L277</f>
        <v>0</v>
      </c>
      <c r="P272" s="449">
        <f>'Overall Metrics'!M277</f>
        <v>0</v>
      </c>
      <c r="Q272" s="449">
        <f>'Overall Metrics'!N277</f>
        <v>0</v>
      </c>
      <c r="R272" s="449">
        <f t="shared" si="98"/>
        <v>0</v>
      </c>
      <c r="S272" s="180">
        <f t="shared" si="99"/>
        <v>0</v>
      </c>
      <c r="T272" s="449">
        <f t="shared" si="100"/>
        <v>1256337</v>
      </c>
      <c r="U272" s="449">
        <f t="shared" si="101"/>
        <v>1322941</v>
      </c>
      <c r="V272" s="450" t="str">
        <f t="shared" si="102"/>
        <v/>
      </c>
      <c r="W272" s="450" t="str">
        <f>IF(R272=0,"-",SUMIFS($R$2:R272,$A$2:A272,A272,$C$2:C272,C272)/SUMIFS($J$2:J272,$A$2:A272,A272,$C$2:C272,C272)-1)</f>
        <v>-</v>
      </c>
      <c r="X272" s="450" t="str">
        <f t="shared" si="103"/>
        <v/>
      </c>
      <c r="Y272" s="450" t="str">
        <f>IFERROR(IF(R272=0,"-",SUMIFS($R$2:R272,$A$2:A272,A272,$C$2:C272,C272)/SUMIFS($N$2:N272,$A$2:A272,A272,$C$2:C272,C272)-1),"")</f>
        <v>-</v>
      </c>
      <c r="Z272" s="269" t="str">
        <f>IF(R272=0,"",(S272/VLOOKUP(_xlfn.NUMBERVALUE(_xlfn.CONCAT(LEFT(F272,4),52)),$F$2:T479,COLUMNS($F$2:T479),FALSE)))</f>
        <v/>
      </c>
      <c r="AA272" s="269" t="str">
        <f>IFERROR(IF(R272=0,"",(S272/VLOOKUP(_xlfn.NUMBERVALUE(_xlfn.CONCAT(LEFT(F272,4),52)),$F$2:U479,COLUMNS($F$2:U479),FALSE))),"")</f>
        <v/>
      </c>
      <c r="AB272" s="268" t="str">
        <f t="shared" si="104"/>
        <v/>
      </c>
      <c r="AC272" s="450" t="str">
        <f t="shared" si="105"/>
        <v/>
      </c>
      <c r="AD272" s="450" t="str">
        <f t="shared" si="106"/>
        <v/>
      </c>
      <c r="AE272" s="269" t="str">
        <f t="shared" si="107"/>
        <v/>
      </c>
      <c r="AF272" s="268" t="str">
        <f t="shared" si="108"/>
        <v/>
      </c>
      <c r="AG272" s="450" t="str">
        <f t="shared" si="109"/>
        <v/>
      </c>
      <c r="AH272" s="450" t="str">
        <f t="shared" si="110"/>
        <v/>
      </c>
      <c r="AI272" s="269" t="str">
        <f t="shared" si="111"/>
        <v/>
      </c>
      <c r="AJ272" s="450" t="str">
        <f>IF(O272=0,"-",SUMIFS($O$2:O272,$A$2:A272,$A272,$F$2:F272,"&lt;="&amp;$F272)/SUMIFS($G$2:G272,$A$2:A272,$A272,$F$2:F272,"&lt;="&amp;$F272)-1)</f>
        <v>-</v>
      </c>
      <c r="AK272" s="450" t="str">
        <f>IF(P272=0,"-",SUMIFS($P$2:P272,$A$2:A272,$A272,$F$2:F272,"&lt;="&amp;$F272)/SUMIFS($H$2:H272,$A$2:A272,$A272,$F$2:F272,"&lt;="&amp;$F272)-1)</f>
        <v>-</v>
      </c>
      <c r="AL272" s="450" t="str">
        <f>IF(Q272=0,"-",SUMIFS($Q$2:Q272,$A$2:A272,$A272,$F$2:F272,"&lt;="&amp;$F272)/SUMIFS($I$2:I272,$A$2:A272,$A272,$F$2:F272,"&lt;="&amp;$F272)-1)</f>
        <v>-</v>
      </c>
      <c r="AM272" s="450" t="str">
        <f>IFERROR(IF(O272=0,"-",SUMIFS($O$2:O272,$A$2:A272,$A272,$F$2:F272,"&lt;="&amp;$F272)/SUMIFS($K$2:K272,$A$2:A272,$A272,$F$2:F272,"&lt;="&amp;$F272)-1),"")</f>
        <v>-</v>
      </c>
      <c r="AN272" s="450" t="str">
        <f>IFERROR(IF(P272=0,"-",SUMIFS($P$2:P272,$A$2:A272,$A272,$F$2:F272,"&lt;="&amp;$F272)/SUMIFS($L$2:L272,$A$2:A272,$A272,$F$2:F272,"&lt;="&amp;$F272)-1),"")</f>
        <v>-</v>
      </c>
      <c r="AO272" s="269" t="str">
        <f>IFERROR(IF(Q272=0,"-",SUMIFS($Q$2:Q272,$A$2:A272,$A272,$F$2:F272,"&lt;="&amp;$F272)/SUMIFS($M$2:M272,$A$2:A272,$A272,$F$2:F272,"&lt;="&amp;$F272)-1),"")</f>
        <v>-</v>
      </c>
      <c r="AP272" s="134"/>
      <c r="AQ272" s="452" t="str">
        <f>'Overall Metrics'!AO277</f>
        <v/>
      </c>
      <c r="AR272" s="450" t="str">
        <f t="shared" si="112"/>
        <v/>
      </c>
      <c r="AS272" s="453" t="str">
        <f>IFERROR(IF(R273=0,"-",AVERAGEIFS($AQ$2:AQ272,$A$2:A272,$A272,$F$2:F272,"&lt;="&amp;$F272)-AVERAGEIFS($AP$2:AP272,$A$2:A272,$A272,$F$2:F272,"&lt;="&amp;$F272)),"")</f>
        <v>-</v>
      </c>
      <c r="AT272" s="390" t="str">
        <f>IFERROR(IF(R273=0,"-",AVERAGEIFS($AQ$2:AQ272,$A$2:A272,A272,$C$2:C272,C272)-AVERAGEIFS($AP$2:AP272,$A$2:A272,A272,$C$2:C272,C272)),"")</f>
        <v>-</v>
      </c>
      <c r="AU272" s="451"/>
      <c r="AV272" s="452">
        <f>'Overall Metrics'!AS277</f>
        <v>0</v>
      </c>
      <c r="AW272" s="450" t="str">
        <f t="shared" si="119"/>
        <v/>
      </c>
      <c r="AX272" s="453" t="str">
        <f>IFERROR(IF(R276=0,"-",AVERAGEIFS($AV$2:AV272,$A$2:A272,$A272,$F$2:F272,"&lt;="&amp;$F272)-AVERAGEIFS($AU$2:AU272,$A$2:A272,$A272,$F$2:F272,"&lt;="&amp;$F272)),"")</f>
        <v>-</v>
      </c>
      <c r="AY272" s="390" t="str">
        <f>IFERROR(IF(R276=0,"-",AVERAGEIFS($AV$2:AV272,$A$2:A272,A272,$C$2:C272,C272)-AVERAGEIFS($AU$2:AU272,$A$2:A272,A272,$C$2:C272,C272)),"")</f>
        <v>-</v>
      </c>
      <c r="AZ272" s="103"/>
      <c r="BA272" s="449">
        <f>'Glass Metrics'!AC277</f>
        <v>0</v>
      </c>
      <c r="BB272" s="450" t="str">
        <f t="shared" si="113"/>
        <v/>
      </c>
      <c r="BC272" s="450" t="str">
        <f>IFERROR(IF(R272=0,"-",AVERAGEIFS($BA$2:BA272,$A$2:A272,$A272,$F$2:F272,"&lt;="&amp;$F272)/AVERAGEIFS($AZ$2:AZ272,$A$2:A272,$A272,$F$2:F272,"&lt;="&amp;$F272)-1),"")</f>
        <v>-</v>
      </c>
      <c r="BD272" s="269" t="str">
        <f>IFERROR(IF(R272=0,"-",AVERAGEIFS($BA$2:BA272,$A$2:A272,A272,$C$2:C272,C272)/AVERAGEIFS($AZ$2:AZ272,$A$2:A272,A272,$C$2:C272,C272)-1),"")</f>
        <v>-</v>
      </c>
    </row>
    <row r="273" spans="1:56" ht="15.6" customHeight="1">
      <c r="A273" s="175">
        <f t="shared" si="93"/>
        <v>2026</v>
      </c>
      <c r="B273" s="447" t="str">
        <f t="shared" si="94"/>
        <v>11</v>
      </c>
      <c r="C273" s="447" t="str">
        <f t="array" ref="C273">_xlfn.IFS(_xlfn.NUMBERVALUE(B273)&lt;=13,"Q1",AND(_xlfn.NUMBERVALUE(B273)&gt;13,_xlfn.NUMBERVALUE(B273)&lt;=26),"Q2", AND(_xlfn.NUMBERVALUE(B273)&gt;26,_xlfn.NUMBERVALUE(B273)&lt;=39),"Q3",_xlfn.NUMBERVALUE(B273)&gt;39,"Q4")</f>
        <v>Q1</v>
      </c>
      <c r="D273" s="448">
        <f t="shared" si="114"/>
        <v>45759</v>
      </c>
      <c r="E273" s="448">
        <f t="shared" si="95"/>
        <v>45765</v>
      </c>
      <c r="F273" s="79">
        <v>202511</v>
      </c>
      <c r="G273" s="103"/>
      <c r="H273" s="429"/>
      <c r="I273" s="429"/>
      <c r="J273" s="214">
        <f t="shared" si="96"/>
        <v>0</v>
      </c>
      <c r="K273" s="429"/>
      <c r="L273" s="429"/>
      <c r="M273" s="429"/>
      <c r="N273" s="214">
        <f t="shared" si="97"/>
        <v>0</v>
      </c>
      <c r="O273" s="449">
        <f>'Overall Metrics'!L278</f>
        <v>0</v>
      </c>
      <c r="P273" s="449">
        <f>'Overall Metrics'!M278</f>
        <v>0</v>
      </c>
      <c r="Q273" s="449">
        <f>'Overall Metrics'!N278</f>
        <v>0</v>
      </c>
      <c r="R273" s="449">
        <f t="shared" si="98"/>
        <v>0</v>
      </c>
      <c r="S273" s="180">
        <f t="shared" si="99"/>
        <v>0</v>
      </c>
      <c r="T273" s="449">
        <f t="shared" si="100"/>
        <v>1256337</v>
      </c>
      <c r="U273" s="449">
        <f t="shared" si="101"/>
        <v>1322941</v>
      </c>
      <c r="V273" s="450" t="str">
        <f t="shared" si="102"/>
        <v/>
      </c>
      <c r="W273" s="450" t="str">
        <f>IF(R273=0,"-",SUMIFS($R$2:R273,$A$2:A273,A273,$C$2:C273,C273)/SUMIFS($J$2:J273,$A$2:A273,A273,$C$2:C273,C273)-1)</f>
        <v>-</v>
      </c>
      <c r="X273" s="450" t="str">
        <f t="shared" si="103"/>
        <v/>
      </c>
      <c r="Y273" s="450" t="str">
        <f>IFERROR(IF(R273=0,"-",SUMIFS($R$2:R273,$A$2:A273,A273,$C$2:C273,C273)/SUMIFS($N$2:N273,$A$2:A273,A273,$C$2:C273,C273)-1),"")</f>
        <v>-</v>
      </c>
      <c r="Z273" s="269" t="str">
        <f>IF(R273=0,"",(S273/VLOOKUP(_xlfn.NUMBERVALUE(_xlfn.CONCAT(LEFT(F273,4),52)),$F$2:T480,COLUMNS($F$2:T480),FALSE)))</f>
        <v/>
      </c>
      <c r="AA273" s="269" t="str">
        <f>IFERROR(IF(R273=0,"",(S273/VLOOKUP(_xlfn.NUMBERVALUE(_xlfn.CONCAT(LEFT(F273,4),52)),$F$2:U480,COLUMNS($F$2:U480),FALSE))),"")</f>
        <v/>
      </c>
      <c r="AB273" s="268" t="str">
        <f t="shared" si="104"/>
        <v/>
      </c>
      <c r="AC273" s="450" t="str">
        <f t="shared" si="105"/>
        <v/>
      </c>
      <c r="AD273" s="450" t="str">
        <f t="shared" si="106"/>
        <v/>
      </c>
      <c r="AE273" s="269" t="str">
        <f t="shared" si="107"/>
        <v/>
      </c>
      <c r="AF273" s="268" t="str">
        <f t="shared" si="108"/>
        <v/>
      </c>
      <c r="AG273" s="450" t="str">
        <f t="shared" si="109"/>
        <v/>
      </c>
      <c r="AH273" s="450" t="str">
        <f t="shared" si="110"/>
        <v/>
      </c>
      <c r="AI273" s="269" t="str">
        <f t="shared" si="111"/>
        <v/>
      </c>
      <c r="AJ273" s="450" t="str">
        <f>IF(O273=0,"-",SUMIFS($O$2:O273,$A$2:A273,$A273,$F$2:F273,"&lt;="&amp;$F273)/SUMIFS($G$2:G273,$A$2:A273,$A273,$F$2:F273,"&lt;="&amp;$F273)-1)</f>
        <v>-</v>
      </c>
      <c r="AK273" s="450" t="str">
        <f>IF(P273=0,"-",SUMIFS($P$2:P273,$A$2:A273,$A273,$F$2:F273,"&lt;="&amp;$F273)/SUMIFS($H$2:H273,$A$2:A273,$A273,$F$2:F273,"&lt;="&amp;$F273)-1)</f>
        <v>-</v>
      </c>
      <c r="AL273" s="450" t="str">
        <f>IF(Q273=0,"-",SUMIFS($Q$2:Q273,$A$2:A273,$A273,$F$2:F273,"&lt;="&amp;$F273)/SUMIFS($I$2:I273,$A$2:A273,$A273,$F$2:F273,"&lt;="&amp;$F273)-1)</f>
        <v>-</v>
      </c>
      <c r="AM273" s="450" t="str">
        <f>IFERROR(IF(O273=0,"-",SUMIFS($O$2:O273,$A$2:A273,$A273,$F$2:F273,"&lt;="&amp;$F273)/SUMIFS($K$2:K273,$A$2:A273,$A273,$F$2:F273,"&lt;="&amp;$F273)-1),"")</f>
        <v>-</v>
      </c>
      <c r="AN273" s="450" t="str">
        <f>IFERROR(IF(P273=0,"-",SUMIFS($P$2:P273,$A$2:A273,$A273,$F$2:F273,"&lt;="&amp;$F273)/SUMIFS($L$2:L273,$A$2:A273,$A273,$F$2:F273,"&lt;="&amp;$F273)-1),"")</f>
        <v>-</v>
      </c>
      <c r="AO273" s="269" t="str">
        <f>IFERROR(IF(Q273=0,"-",SUMIFS($Q$2:Q273,$A$2:A273,$A273,$F$2:F273,"&lt;="&amp;$F273)/SUMIFS($M$2:M273,$A$2:A273,$A273,$F$2:F273,"&lt;="&amp;$F273)-1),"")</f>
        <v>-</v>
      </c>
      <c r="AP273" s="134"/>
      <c r="AQ273" s="452" t="str">
        <f>'Overall Metrics'!AO278</f>
        <v/>
      </c>
      <c r="AR273" s="450" t="str">
        <f t="shared" si="112"/>
        <v/>
      </c>
      <c r="AS273" s="453" t="str">
        <f>IFERROR(IF(R274=0,"-",AVERAGEIFS($AQ$2:AQ273,$A$2:A273,$A273,$F$2:F273,"&lt;="&amp;$F273)-AVERAGEIFS($AP$2:AP273,$A$2:A273,$A273,$F$2:F273,"&lt;="&amp;$F273)),"")</f>
        <v>-</v>
      </c>
      <c r="AT273" s="390" t="str">
        <f>IFERROR(IF(R274=0,"-",AVERAGEIFS($AQ$2:AQ273,$A$2:A273,A273,$C$2:C273,C273)-AVERAGEIFS($AP$2:AP273,$A$2:A273,A273,$C$2:C273,C273)),"")</f>
        <v>-</v>
      </c>
      <c r="AU273" s="451"/>
      <c r="AV273" s="452">
        <f>'Overall Metrics'!AS278</f>
        <v>0</v>
      </c>
      <c r="AW273" s="450" t="str">
        <f t="shared" si="119"/>
        <v/>
      </c>
      <c r="AX273" s="453" t="str">
        <f>IFERROR(IF(R277=0,"-",AVERAGEIFS($AV$2:AV273,$A$2:A273,$A273,$F$2:F273,"&lt;="&amp;$F273)-AVERAGEIFS($AU$2:AU273,$A$2:A273,$A273,$F$2:F273,"&lt;="&amp;$F273)),"")</f>
        <v>-</v>
      </c>
      <c r="AY273" s="390" t="str">
        <f>IFERROR(IF(R277=0,"-",AVERAGEIFS($AV$2:AV273,$A$2:A273,A273,$C$2:C273,C273)-AVERAGEIFS($AU$2:AU273,$A$2:A273,A273,$C$2:C273,C273)),"")</f>
        <v>-</v>
      </c>
      <c r="AZ273" s="103"/>
      <c r="BA273" s="449">
        <f>'Glass Metrics'!AC278</f>
        <v>0</v>
      </c>
      <c r="BB273" s="450" t="str">
        <f t="shared" si="113"/>
        <v/>
      </c>
      <c r="BC273" s="450" t="str">
        <f>IFERROR(IF(R273=0,"-",AVERAGEIFS($BA$2:BA273,$A$2:A273,$A273,$F$2:F273,"&lt;="&amp;$F273)/AVERAGEIFS($AZ$2:AZ273,$A$2:A273,$A273,$F$2:F273,"&lt;="&amp;$F273)-1),"")</f>
        <v>-</v>
      </c>
      <c r="BD273" s="269" t="str">
        <f>IFERROR(IF(R273=0,"-",AVERAGEIFS($BA$2:BA273,$A$2:A273,A273,$C$2:C273,C273)/AVERAGEIFS($AZ$2:AZ273,$A$2:A273,A273,$C$2:C273,C273)-1),"")</f>
        <v>-</v>
      </c>
    </row>
    <row r="274" spans="1:56" ht="15.6" customHeight="1">
      <c r="A274" s="175">
        <f t="shared" si="93"/>
        <v>2026</v>
      </c>
      <c r="B274" s="447" t="str">
        <f t="shared" si="94"/>
        <v>12</v>
      </c>
      <c r="C274" s="447" t="str">
        <f t="array" ref="C274">_xlfn.IFS(_xlfn.NUMBERVALUE(B274)&lt;=13,"Q1",AND(_xlfn.NUMBERVALUE(B274)&gt;13,_xlfn.NUMBERVALUE(B274)&lt;=26),"Q2", AND(_xlfn.NUMBERVALUE(B274)&gt;26,_xlfn.NUMBERVALUE(B274)&lt;=39),"Q3",_xlfn.NUMBERVALUE(B274)&gt;39,"Q4")</f>
        <v>Q1</v>
      </c>
      <c r="D274" s="448">
        <f t="shared" si="114"/>
        <v>45766</v>
      </c>
      <c r="E274" s="448">
        <f t="shared" si="95"/>
        <v>45772</v>
      </c>
      <c r="F274" s="79">
        <v>202512</v>
      </c>
      <c r="G274" s="103"/>
      <c r="H274" s="429"/>
      <c r="I274" s="429"/>
      <c r="J274" s="214">
        <f t="shared" si="96"/>
        <v>0</v>
      </c>
      <c r="K274" s="429"/>
      <c r="L274" s="429"/>
      <c r="M274" s="429"/>
      <c r="N274" s="214">
        <f t="shared" si="97"/>
        <v>0</v>
      </c>
      <c r="O274" s="449">
        <f>'Overall Metrics'!L279</f>
        <v>0</v>
      </c>
      <c r="P274" s="449">
        <f>'Overall Metrics'!M279</f>
        <v>0</v>
      </c>
      <c r="Q274" s="449">
        <f>'Overall Metrics'!N279</f>
        <v>0</v>
      </c>
      <c r="R274" s="449">
        <f t="shared" si="98"/>
        <v>0</v>
      </c>
      <c r="S274" s="180">
        <f t="shared" si="99"/>
        <v>0</v>
      </c>
      <c r="T274" s="449">
        <f t="shared" si="100"/>
        <v>1256337</v>
      </c>
      <c r="U274" s="449">
        <f t="shared" si="101"/>
        <v>1322941</v>
      </c>
      <c r="V274" s="450" t="str">
        <f t="shared" si="102"/>
        <v/>
      </c>
      <c r="W274" s="450" t="str">
        <f>IF(R274=0,"-",SUMIFS($R$2:R274,$A$2:A274,A274,$C$2:C274,C274)/SUMIFS($J$2:J274,$A$2:A274,A274,$C$2:C274,C274)-1)</f>
        <v>-</v>
      </c>
      <c r="X274" s="450" t="str">
        <f t="shared" si="103"/>
        <v/>
      </c>
      <c r="Y274" s="450" t="str">
        <f>IFERROR(IF(R274=0,"-",SUMIFS($R$2:R274,$A$2:A274,A274,$C$2:C274,C274)/SUMIFS($N$2:N274,$A$2:A274,A274,$C$2:C274,C274)-1),"")</f>
        <v>-</v>
      </c>
      <c r="Z274" s="269" t="str">
        <f>IF(R274=0,"",(S274/VLOOKUP(_xlfn.NUMBERVALUE(_xlfn.CONCAT(LEFT(F274,4),52)),$F$2:T481,COLUMNS($F$2:T481),FALSE)))</f>
        <v/>
      </c>
      <c r="AA274" s="269" t="str">
        <f>IFERROR(IF(R274=0,"",(S274/VLOOKUP(_xlfn.NUMBERVALUE(_xlfn.CONCAT(LEFT(F274,4),52)),$F$2:U481,COLUMNS($F$2:U481),FALSE))),"")</f>
        <v/>
      </c>
      <c r="AB274" s="268" t="str">
        <f t="shared" si="104"/>
        <v/>
      </c>
      <c r="AC274" s="450" t="str">
        <f t="shared" si="105"/>
        <v/>
      </c>
      <c r="AD274" s="450" t="str">
        <f t="shared" si="106"/>
        <v/>
      </c>
      <c r="AE274" s="269" t="str">
        <f t="shared" si="107"/>
        <v/>
      </c>
      <c r="AF274" s="268" t="str">
        <f t="shared" si="108"/>
        <v/>
      </c>
      <c r="AG274" s="450" t="str">
        <f t="shared" si="109"/>
        <v/>
      </c>
      <c r="AH274" s="450" t="str">
        <f t="shared" si="110"/>
        <v/>
      </c>
      <c r="AI274" s="269" t="str">
        <f t="shared" si="111"/>
        <v/>
      </c>
      <c r="AJ274" s="450" t="str">
        <f>IF(O274=0,"-",SUMIFS($O$2:O274,$A$2:A274,$A274,$F$2:F274,"&lt;="&amp;$F274)/SUMIFS($G$2:G274,$A$2:A274,$A274,$F$2:F274,"&lt;="&amp;$F274)-1)</f>
        <v>-</v>
      </c>
      <c r="AK274" s="450" t="str">
        <f>IF(P274=0,"-",SUMIFS($P$2:P274,$A$2:A274,$A274,$F$2:F274,"&lt;="&amp;$F274)/SUMIFS($H$2:H274,$A$2:A274,$A274,$F$2:F274,"&lt;="&amp;$F274)-1)</f>
        <v>-</v>
      </c>
      <c r="AL274" s="450" t="str">
        <f>IF(Q274=0,"-",SUMIFS($Q$2:Q274,$A$2:A274,$A274,$F$2:F274,"&lt;="&amp;$F274)/SUMIFS($I$2:I274,$A$2:A274,$A274,$F$2:F274,"&lt;="&amp;$F274)-1)</f>
        <v>-</v>
      </c>
      <c r="AM274" s="450" t="str">
        <f>IFERROR(IF(O274=0,"-",SUMIFS($O$2:O274,$A$2:A274,$A274,$F$2:F274,"&lt;="&amp;$F274)/SUMIFS($K$2:K274,$A$2:A274,$A274,$F$2:F274,"&lt;="&amp;$F274)-1),"")</f>
        <v>-</v>
      </c>
      <c r="AN274" s="450" t="str">
        <f>IFERROR(IF(P274=0,"-",SUMIFS($P$2:P274,$A$2:A274,$A274,$F$2:F274,"&lt;="&amp;$F274)/SUMIFS($L$2:L274,$A$2:A274,$A274,$F$2:F274,"&lt;="&amp;$F274)-1),"")</f>
        <v>-</v>
      </c>
      <c r="AO274" s="269" t="str">
        <f>IFERROR(IF(Q274=0,"-",SUMIFS($Q$2:Q274,$A$2:A274,$A274,$F$2:F274,"&lt;="&amp;$F274)/SUMIFS($M$2:M274,$A$2:A274,$A274,$F$2:F274,"&lt;="&amp;$F274)-1),"")</f>
        <v>-</v>
      </c>
      <c r="AP274" s="134"/>
      <c r="AQ274" s="452" t="str">
        <f>'Overall Metrics'!AO279</f>
        <v/>
      </c>
      <c r="AR274" s="450" t="str">
        <f t="shared" si="112"/>
        <v/>
      </c>
      <c r="AS274" s="453" t="str">
        <f>IFERROR(IF(R275=0,"-",AVERAGEIFS($AQ$2:AQ274,$A$2:A274,$A274,$F$2:F274,"&lt;="&amp;$F274)-AVERAGEIFS($AP$2:AP274,$A$2:A274,$A274,$F$2:F274,"&lt;="&amp;$F274)),"")</f>
        <v>-</v>
      </c>
      <c r="AT274" s="390" t="str">
        <f>IFERROR(IF(R275=0,"-",AVERAGEIFS($AQ$2:AQ274,$A$2:A274,A274,$C$2:C274,C274)-AVERAGEIFS($AP$2:AP274,$A$2:A274,A274,$C$2:C274,C274)),"")</f>
        <v>-</v>
      </c>
      <c r="AU274" s="451"/>
      <c r="AV274" s="452">
        <f>'Overall Metrics'!AS279</f>
        <v>0</v>
      </c>
      <c r="AW274" s="450" t="str">
        <f t="shared" si="119"/>
        <v/>
      </c>
      <c r="AX274" s="453" t="str">
        <f>IFERROR(IF(R278=0,"-",AVERAGEIFS($AV$2:AV274,$A$2:A274,$A274,$F$2:F274,"&lt;="&amp;$F274)-AVERAGEIFS($AU$2:AU274,$A$2:A274,$A274,$F$2:F274,"&lt;="&amp;$F274)),"")</f>
        <v>-</v>
      </c>
      <c r="AY274" s="390" t="str">
        <f>IFERROR(IF(R278=0,"-",AVERAGEIFS($AV$2:AV274,$A$2:A274,A274,$C$2:C274,C274)-AVERAGEIFS($AU$2:AU274,$A$2:A274,A274,$C$2:C274,C274)),"")</f>
        <v>-</v>
      </c>
      <c r="AZ274" s="103"/>
      <c r="BA274" s="449">
        <f>'Glass Metrics'!AC279</f>
        <v>0</v>
      </c>
      <c r="BB274" s="450" t="str">
        <f t="shared" si="113"/>
        <v/>
      </c>
      <c r="BC274" s="450" t="str">
        <f>IFERROR(IF(R274=0,"-",AVERAGEIFS($BA$2:BA274,$A$2:A274,$A274,$F$2:F274,"&lt;="&amp;$F274)/AVERAGEIFS($AZ$2:AZ274,$A$2:A274,$A274,$F$2:F274,"&lt;="&amp;$F274)-1),"")</f>
        <v>-</v>
      </c>
      <c r="BD274" s="269" t="str">
        <f>IFERROR(IF(R274=0,"-",AVERAGEIFS($BA$2:BA274,$A$2:A274,A274,$C$2:C274,C274)/AVERAGEIFS($AZ$2:AZ274,$A$2:A274,A274,$C$2:C274,C274)-1),"")</f>
        <v>-</v>
      </c>
    </row>
    <row r="275" spans="1:56" ht="15.6" customHeight="1">
      <c r="A275" s="175">
        <f t="shared" si="93"/>
        <v>2026</v>
      </c>
      <c r="B275" s="447" t="str">
        <f t="shared" si="94"/>
        <v>13</v>
      </c>
      <c r="C275" s="447" t="str">
        <f t="array" ref="C275">_xlfn.IFS(_xlfn.NUMBERVALUE(B275)&lt;=13,"Q1",AND(_xlfn.NUMBERVALUE(B275)&gt;13,_xlfn.NUMBERVALUE(B275)&lt;=26),"Q2", AND(_xlfn.NUMBERVALUE(B275)&gt;26,_xlfn.NUMBERVALUE(B275)&lt;=39),"Q3",_xlfn.NUMBERVALUE(B275)&gt;39,"Q4")</f>
        <v>Q1</v>
      </c>
      <c r="D275" s="448">
        <f t="shared" si="114"/>
        <v>45773</v>
      </c>
      <c r="E275" s="448">
        <f t="shared" si="95"/>
        <v>45779</v>
      </c>
      <c r="F275" s="79">
        <v>202513</v>
      </c>
      <c r="G275" s="103"/>
      <c r="H275" s="429"/>
      <c r="I275" s="429"/>
      <c r="J275" s="214">
        <f t="shared" si="96"/>
        <v>0</v>
      </c>
      <c r="K275" s="429"/>
      <c r="L275" s="429"/>
      <c r="M275" s="429"/>
      <c r="N275" s="214">
        <f t="shared" si="97"/>
        <v>0</v>
      </c>
      <c r="O275" s="449">
        <f>'Overall Metrics'!L280</f>
        <v>0</v>
      </c>
      <c r="P275" s="449">
        <f>'Overall Metrics'!M280</f>
        <v>0</v>
      </c>
      <c r="Q275" s="449">
        <f>'Overall Metrics'!N280</f>
        <v>0</v>
      </c>
      <c r="R275" s="449">
        <f t="shared" si="98"/>
        <v>0</v>
      </c>
      <c r="S275" s="180">
        <f t="shared" si="99"/>
        <v>0</v>
      </c>
      <c r="T275" s="449">
        <f t="shared" si="100"/>
        <v>1256337</v>
      </c>
      <c r="U275" s="449">
        <f t="shared" si="101"/>
        <v>1322941</v>
      </c>
      <c r="V275" s="450" t="str">
        <f t="shared" si="102"/>
        <v/>
      </c>
      <c r="W275" s="450" t="str">
        <f>IF(R275=0,"-",SUMIFS($R$2:R275,$A$2:A275,A275,$C$2:C275,C275)/SUMIFS($J$2:J275,$A$2:A275,A275,$C$2:C275,C275)-1)</f>
        <v>-</v>
      </c>
      <c r="X275" s="450" t="str">
        <f t="shared" si="103"/>
        <v/>
      </c>
      <c r="Y275" s="450" t="str">
        <f>IFERROR(IF(R275=0,"-",SUMIFS($R$2:R275,$A$2:A275,A275,$C$2:C275,C275)/SUMIFS($N$2:N275,$A$2:A275,A275,$C$2:C275,C275)-1),"")</f>
        <v>-</v>
      </c>
      <c r="Z275" s="269" t="str">
        <f>IF(R275=0,"",(S275/VLOOKUP(_xlfn.NUMBERVALUE(_xlfn.CONCAT(LEFT(F275,4),52)),$F$2:T482,COLUMNS($F$2:T482),FALSE)))</f>
        <v/>
      </c>
      <c r="AA275" s="269" t="str">
        <f>IFERROR(IF(R275=0,"",(S275/VLOOKUP(_xlfn.NUMBERVALUE(_xlfn.CONCAT(LEFT(F275,4),52)),$F$2:U482,COLUMNS($F$2:U482),FALSE))),"")</f>
        <v/>
      </c>
      <c r="AB275" s="268" t="str">
        <f t="shared" si="104"/>
        <v/>
      </c>
      <c r="AC275" s="450" t="str">
        <f t="shared" si="105"/>
        <v/>
      </c>
      <c r="AD275" s="450" t="str">
        <f t="shared" si="106"/>
        <v/>
      </c>
      <c r="AE275" s="269" t="str">
        <f t="shared" si="107"/>
        <v/>
      </c>
      <c r="AF275" s="268" t="str">
        <f t="shared" si="108"/>
        <v/>
      </c>
      <c r="AG275" s="450" t="str">
        <f t="shared" si="109"/>
        <v/>
      </c>
      <c r="AH275" s="450" t="str">
        <f t="shared" si="110"/>
        <v/>
      </c>
      <c r="AI275" s="269" t="str">
        <f t="shared" si="111"/>
        <v/>
      </c>
      <c r="AJ275" s="450" t="str">
        <f>IF(O275=0,"-",SUMIFS($O$2:O275,$A$2:A275,$A275,$F$2:F275,"&lt;="&amp;$F275)/SUMIFS($G$2:G275,$A$2:A275,$A275,$F$2:F275,"&lt;="&amp;$F275)-1)</f>
        <v>-</v>
      </c>
      <c r="AK275" s="450" t="str">
        <f>IF(P275=0,"-",SUMIFS($P$2:P275,$A$2:A275,$A275,$F$2:F275,"&lt;="&amp;$F275)/SUMIFS($H$2:H275,$A$2:A275,$A275,$F$2:F275,"&lt;="&amp;$F275)-1)</f>
        <v>-</v>
      </c>
      <c r="AL275" s="450" t="str">
        <f>IF(Q275=0,"-",SUMIFS($Q$2:Q275,$A$2:A275,$A275,$F$2:F275,"&lt;="&amp;$F275)/SUMIFS($I$2:I275,$A$2:A275,$A275,$F$2:F275,"&lt;="&amp;$F275)-1)</f>
        <v>-</v>
      </c>
      <c r="AM275" s="450" t="str">
        <f>IFERROR(IF(O275=0,"-",SUMIFS($O$2:O275,$A$2:A275,$A275,$F$2:F275,"&lt;="&amp;$F275)/SUMIFS($K$2:K275,$A$2:A275,$A275,$F$2:F275,"&lt;="&amp;$F275)-1),"")</f>
        <v>-</v>
      </c>
      <c r="AN275" s="450" t="str">
        <f>IFERROR(IF(P275=0,"-",SUMIFS($P$2:P275,$A$2:A275,$A275,$F$2:F275,"&lt;="&amp;$F275)/SUMIFS($L$2:L275,$A$2:A275,$A275,$F$2:F275,"&lt;="&amp;$F275)-1),"")</f>
        <v>-</v>
      </c>
      <c r="AO275" s="269" t="str">
        <f>IFERROR(IF(Q275=0,"-",SUMIFS($Q$2:Q275,$A$2:A275,$A275,$F$2:F275,"&lt;="&amp;$F275)/SUMIFS($M$2:M275,$A$2:A275,$A275,$F$2:F275,"&lt;="&amp;$F275)-1),"")</f>
        <v>-</v>
      </c>
      <c r="AP275" s="134"/>
      <c r="AQ275" s="452" t="str">
        <f>'Overall Metrics'!AO280</f>
        <v/>
      </c>
      <c r="AR275" s="450" t="str">
        <f t="shared" si="112"/>
        <v/>
      </c>
      <c r="AS275" s="453" t="str">
        <f>IFERROR(IF(R276=0,"-",AVERAGEIFS($AQ$2:AQ275,$A$2:A275,$A275,$F$2:F275,"&lt;="&amp;$F275)-AVERAGEIFS($AP$2:AP275,$A$2:A275,$A275,$F$2:F275,"&lt;="&amp;$F275)),"")</f>
        <v>-</v>
      </c>
      <c r="AT275" s="390" t="str">
        <f>IFERROR(IF(R276=0,"-",AVERAGEIFS($AQ$2:AQ275,$A$2:A275,A275,$C$2:C275,C275)-AVERAGEIFS($AP$2:AP275,$A$2:A275,A275,$C$2:C275,C275)),"")</f>
        <v>-</v>
      </c>
      <c r="AU275" s="451"/>
      <c r="AV275" s="452">
        <f>'Overall Metrics'!AS280</f>
        <v>0</v>
      </c>
      <c r="AW275" s="450" t="str">
        <f t="shared" si="119"/>
        <v/>
      </c>
      <c r="AX275" s="453" t="str">
        <f>IFERROR(IF(R279=0,"-",AVERAGEIFS($AV$2:AV275,$A$2:A275,$A275,$F$2:F275,"&lt;="&amp;$F275)-AVERAGEIFS($AU$2:AU275,$A$2:A275,$A275,$F$2:F275,"&lt;="&amp;$F275)),"")</f>
        <v>-</v>
      </c>
      <c r="AY275" s="390" t="str">
        <f>IFERROR(IF(R279=0,"-",AVERAGEIFS($AV$2:AV275,$A$2:A275,A275,$C$2:C275,C275)-AVERAGEIFS($AU$2:AU275,$A$2:A275,A275,$C$2:C275,C275)),"")</f>
        <v>-</v>
      </c>
      <c r="AZ275" s="103"/>
      <c r="BA275" s="449">
        <f>'Glass Metrics'!AC280</f>
        <v>0</v>
      </c>
      <c r="BB275" s="450" t="str">
        <f t="shared" si="113"/>
        <v/>
      </c>
      <c r="BC275" s="450" t="str">
        <f>IFERROR(IF(R275=0,"-",AVERAGEIFS($BA$2:BA275,$A$2:A275,$A275,$F$2:F275,"&lt;="&amp;$F275)/AVERAGEIFS($AZ$2:AZ275,$A$2:A275,$A275,$F$2:F275,"&lt;="&amp;$F275)-1),"")</f>
        <v>-</v>
      </c>
      <c r="BD275" s="269" t="str">
        <f>IFERROR(IF(R275=0,"-",AVERAGEIFS($BA$2:BA275,$A$2:A275,A275,$C$2:C275,C275)/AVERAGEIFS($AZ$2:AZ275,$A$2:A275,A275,$C$2:C275,C275)-1),"")</f>
        <v>-</v>
      </c>
    </row>
    <row r="276" spans="1:56" ht="15.6" customHeight="1">
      <c r="A276" s="175">
        <f t="shared" si="93"/>
        <v>2026</v>
      </c>
      <c r="B276" s="447" t="str">
        <f t="shared" si="94"/>
        <v>14</v>
      </c>
      <c r="C276" s="447" t="str">
        <f t="array" ref="C276">_xlfn.IFS(_xlfn.NUMBERVALUE(B276)&lt;=13,"Q1",AND(_xlfn.NUMBERVALUE(B276)&gt;13,_xlfn.NUMBERVALUE(B276)&lt;=26),"Q2", AND(_xlfn.NUMBERVALUE(B276)&gt;26,_xlfn.NUMBERVALUE(B276)&lt;=39),"Q3",_xlfn.NUMBERVALUE(B276)&gt;39,"Q4")</f>
        <v>Q2</v>
      </c>
      <c r="D276" s="448">
        <f t="shared" si="114"/>
        <v>45780</v>
      </c>
      <c r="E276" s="448">
        <f t="shared" si="95"/>
        <v>45786</v>
      </c>
      <c r="F276" s="79">
        <v>202514</v>
      </c>
      <c r="G276" s="103"/>
      <c r="H276" s="429"/>
      <c r="I276" s="429"/>
      <c r="J276" s="214">
        <f t="shared" si="96"/>
        <v>0</v>
      </c>
      <c r="K276" s="429"/>
      <c r="L276" s="429"/>
      <c r="M276" s="429"/>
      <c r="N276" s="214">
        <f t="shared" si="97"/>
        <v>0</v>
      </c>
      <c r="O276" s="449">
        <f>'Overall Metrics'!L281</f>
        <v>0</v>
      </c>
      <c r="P276" s="449">
        <f>'Overall Metrics'!M281</f>
        <v>0</v>
      </c>
      <c r="Q276" s="449">
        <f>'Overall Metrics'!N281</f>
        <v>0</v>
      </c>
      <c r="R276" s="449">
        <f t="shared" si="98"/>
        <v>0</v>
      </c>
      <c r="S276" s="180">
        <f t="shared" si="99"/>
        <v>0</v>
      </c>
      <c r="T276" s="449">
        <f t="shared" si="100"/>
        <v>1256337</v>
      </c>
      <c r="U276" s="449">
        <f t="shared" si="101"/>
        <v>1322941</v>
      </c>
      <c r="V276" s="450" t="str">
        <f t="shared" si="102"/>
        <v/>
      </c>
      <c r="W276" s="450" t="str">
        <f>IF(R276=0,"-",SUMIFS($R$2:R276,$A$2:A276,A276,$C$2:C276,C276)/SUMIFS($J$2:J276,$A$2:A276,A276,$C$2:C276,C276)-1)</f>
        <v>-</v>
      </c>
      <c r="X276" s="450" t="str">
        <f t="shared" si="103"/>
        <v/>
      </c>
      <c r="Y276" s="450" t="str">
        <f>IFERROR(IF(R276=0,"-",SUMIFS($R$2:R276,$A$2:A276,A276,$C$2:C276,C276)/SUMIFS($N$2:N276,$A$2:A276,A276,$C$2:C276,C276)-1),"")</f>
        <v>-</v>
      </c>
      <c r="Z276" s="269" t="str">
        <f>IF(R276=0,"",(S276/VLOOKUP(_xlfn.NUMBERVALUE(_xlfn.CONCAT(LEFT(F276,4),52)),$F$2:T483,COLUMNS($F$2:T483),FALSE)))</f>
        <v/>
      </c>
      <c r="AA276" s="269" t="str">
        <f>IFERROR(IF(R276=0,"",(S276/VLOOKUP(_xlfn.NUMBERVALUE(_xlfn.CONCAT(LEFT(F276,4),52)),$F$2:U483,COLUMNS($F$2:U483),FALSE))),"")</f>
        <v/>
      </c>
      <c r="AB276" s="268" t="str">
        <f t="shared" si="104"/>
        <v/>
      </c>
      <c r="AC276" s="450" t="str">
        <f t="shared" si="105"/>
        <v/>
      </c>
      <c r="AD276" s="450" t="str">
        <f t="shared" si="106"/>
        <v/>
      </c>
      <c r="AE276" s="269" t="str">
        <f t="shared" si="107"/>
        <v/>
      </c>
      <c r="AF276" s="268" t="str">
        <f t="shared" si="108"/>
        <v/>
      </c>
      <c r="AG276" s="450" t="str">
        <f t="shared" si="109"/>
        <v/>
      </c>
      <c r="AH276" s="450" t="str">
        <f t="shared" si="110"/>
        <v/>
      </c>
      <c r="AI276" s="269" t="str">
        <f t="shared" si="111"/>
        <v/>
      </c>
      <c r="AJ276" s="450" t="str">
        <f>IF(O276=0,"-",SUMIFS($O$2:O276,$A$2:A276,$A276,$F$2:F276,"&lt;="&amp;$F276)/SUMIFS($G$2:G276,$A$2:A276,$A276,$F$2:F276,"&lt;="&amp;$F276)-1)</f>
        <v>-</v>
      </c>
      <c r="AK276" s="450" t="str">
        <f>IF(P276=0,"-",SUMIFS($P$2:P276,$A$2:A276,$A276,$F$2:F276,"&lt;="&amp;$F276)/SUMIFS($H$2:H276,$A$2:A276,$A276,$F$2:F276,"&lt;="&amp;$F276)-1)</f>
        <v>-</v>
      </c>
      <c r="AL276" s="450" t="str">
        <f>IF(Q276=0,"-",SUMIFS($Q$2:Q276,$A$2:A276,$A276,$F$2:F276,"&lt;="&amp;$F276)/SUMIFS($I$2:I276,$A$2:A276,$A276,$F$2:F276,"&lt;="&amp;$F276)-1)</f>
        <v>-</v>
      </c>
      <c r="AM276" s="450" t="str">
        <f>IFERROR(IF(O276=0,"-",SUMIFS($O$2:O276,$A$2:A276,$A276,$F$2:F276,"&lt;="&amp;$F276)/SUMIFS($K$2:K276,$A$2:A276,$A276,$F$2:F276,"&lt;="&amp;$F276)-1),"")</f>
        <v>-</v>
      </c>
      <c r="AN276" s="450" t="str">
        <f>IFERROR(IF(P276=0,"-",SUMIFS($P$2:P276,$A$2:A276,$A276,$F$2:F276,"&lt;="&amp;$F276)/SUMIFS($L$2:L276,$A$2:A276,$A276,$F$2:F276,"&lt;="&amp;$F276)-1),"")</f>
        <v>-</v>
      </c>
      <c r="AO276" s="269" t="str">
        <f>IFERROR(IF(Q276=0,"-",SUMIFS($Q$2:Q276,$A$2:A276,$A276,$F$2:F276,"&lt;="&amp;$F276)/SUMIFS($M$2:M276,$A$2:A276,$A276,$F$2:F276,"&lt;="&amp;$F276)-1),"")</f>
        <v>-</v>
      </c>
      <c r="AP276" s="134"/>
      <c r="AQ276" s="452" t="str">
        <f>'Overall Metrics'!AO281</f>
        <v/>
      </c>
      <c r="AR276" s="450" t="str">
        <f t="shared" si="112"/>
        <v/>
      </c>
      <c r="AS276" s="453" t="str">
        <f>IFERROR(IF(R277=0,"-",AVERAGEIFS($AQ$2:AQ276,$A$2:A276,$A276,$F$2:F276,"&lt;="&amp;$F276)-AVERAGEIFS($AP$2:AP276,$A$2:A276,$A276,$F$2:F276,"&lt;="&amp;$F276)),"")</f>
        <v>-</v>
      </c>
      <c r="AT276" s="390" t="str">
        <f>IFERROR(IF(R277=0,"-",AVERAGEIFS($AQ$2:AQ276,$A$2:A276,A276,$C$2:C276,C276)-AVERAGEIFS($AP$2:AP276,$A$2:A276,A276,$C$2:C276,C276)),"")</f>
        <v>-</v>
      </c>
      <c r="AU276" s="451"/>
      <c r="AV276" s="452">
        <f>'Overall Metrics'!AS281</f>
        <v>0</v>
      </c>
      <c r="AW276" s="450" t="str">
        <f t="shared" si="119"/>
        <v/>
      </c>
      <c r="AX276" s="453" t="str">
        <f>IFERROR(IF(R280=0,"-",AVERAGEIFS($AV$2:AV276,$A$2:A276,$A276,$F$2:F276,"&lt;="&amp;$F276)-AVERAGEIFS($AU$2:AU276,$A$2:A276,$A276,$F$2:F276,"&lt;="&amp;$F276)),"")</f>
        <v>-</v>
      </c>
      <c r="AY276" s="390" t="str">
        <f>IFERROR(IF(R280=0,"-",AVERAGEIFS($AV$2:AV276,$A$2:A276,A276,$C$2:C276,C276)-AVERAGEIFS($AU$2:AU276,$A$2:A276,A276,$C$2:C276,C276)),"")</f>
        <v>-</v>
      </c>
      <c r="AZ276" s="103"/>
      <c r="BA276" s="449">
        <f>'Glass Metrics'!AC281</f>
        <v>0</v>
      </c>
      <c r="BB276" s="450" t="str">
        <f t="shared" si="113"/>
        <v/>
      </c>
      <c r="BC276" s="450" t="str">
        <f>IFERROR(IF(R276=0,"-",AVERAGEIFS($BA$2:BA276,$A$2:A276,$A276,$F$2:F276,"&lt;="&amp;$F276)/AVERAGEIFS($AZ$2:AZ276,$A$2:A276,$A276,$F$2:F276,"&lt;="&amp;$F276)-1),"")</f>
        <v>-</v>
      </c>
      <c r="BD276" s="269" t="str">
        <f>IFERROR(IF(R276=0,"-",AVERAGEIFS($BA$2:BA276,$A$2:A276,A276,$C$2:C276,C276)/AVERAGEIFS($AZ$2:AZ276,$A$2:A276,A276,$C$2:C276,C276)-1),"")</f>
        <v>-</v>
      </c>
    </row>
    <row r="277" spans="1:56" ht="15.6" customHeight="1">
      <c r="A277" s="175">
        <f t="shared" si="93"/>
        <v>2026</v>
      </c>
      <c r="B277" s="447" t="str">
        <f t="shared" si="94"/>
        <v>15</v>
      </c>
      <c r="C277" s="447" t="str">
        <f t="array" ref="C277">_xlfn.IFS(_xlfn.NUMBERVALUE(B277)&lt;=13,"Q1",AND(_xlfn.NUMBERVALUE(B277)&gt;13,_xlfn.NUMBERVALUE(B277)&lt;=26),"Q2", AND(_xlfn.NUMBERVALUE(B277)&gt;26,_xlfn.NUMBERVALUE(B277)&lt;=39),"Q3",_xlfn.NUMBERVALUE(B277)&gt;39,"Q4")</f>
        <v>Q2</v>
      </c>
      <c r="D277" s="448">
        <f t="shared" si="114"/>
        <v>45787</v>
      </c>
      <c r="E277" s="448">
        <f t="shared" si="95"/>
        <v>45793</v>
      </c>
      <c r="F277" s="79">
        <v>202515</v>
      </c>
      <c r="G277" s="103"/>
      <c r="H277" s="429"/>
      <c r="I277" s="429"/>
      <c r="J277" s="214">
        <f t="shared" si="96"/>
        <v>0</v>
      </c>
      <c r="K277" s="429"/>
      <c r="L277" s="429"/>
      <c r="M277" s="429"/>
      <c r="N277" s="214">
        <f t="shared" si="97"/>
        <v>0</v>
      </c>
      <c r="O277" s="449">
        <f>'Overall Metrics'!L282</f>
        <v>0</v>
      </c>
      <c r="P277" s="449">
        <f>'Overall Metrics'!M282</f>
        <v>0</v>
      </c>
      <c r="Q277" s="449">
        <f>'Overall Metrics'!N282</f>
        <v>0</v>
      </c>
      <c r="R277" s="449">
        <f t="shared" si="98"/>
        <v>0</v>
      </c>
      <c r="S277" s="180">
        <f t="shared" si="99"/>
        <v>0</v>
      </c>
      <c r="T277" s="449">
        <f t="shared" si="100"/>
        <v>1256337</v>
      </c>
      <c r="U277" s="449">
        <f t="shared" si="101"/>
        <v>1322941</v>
      </c>
      <c r="V277" s="450" t="str">
        <f t="shared" si="102"/>
        <v/>
      </c>
      <c r="W277" s="450" t="str">
        <f>IF(R277=0,"-",SUMIFS($R$2:R277,$A$2:A277,A277,$C$2:C277,C277)/SUMIFS($J$2:J277,$A$2:A277,A277,$C$2:C277,C277)-1)</f>
        <v>-</v>
      </c>
      <c r="X277" s="450" t="str">
        <f t="shared" si="103"/>
        <v/>
      </c>
      <c r="Y277" s="450" t="str">
        <f>IFERROR(IF(R277=0,"-",SUMIFS($R$2:R277,$A$2:A277,A277,$C$2:C277,C277)/SUMIFS($N$2:N277,$A$2:A277,A277,$C$2:C277,C277)-1),"")</f>
        <v>-</v>
      </c>
      <c r="Z277" s="269" t="str">
        <f>IF(R277=0,"",(S277/VLOOKUP(_xlfn.NUMBERVALUE(_xlfn.CONCAT(LEFT(F277,4),52)),$F$2:T484,COLUMNS($F$2:T484),FALSE)))</f>
        <v/>
      </c>
      <c r="AA277" s="269" t="str">
        <f>IFERROR(IF(R277=0,"",(S277/VLOOKUP(_xlfn.NUMBERVALUE(_xlfn.CONCAT(LEFT(F277,4),52)),$F$2:U484,COLUMNS($F$2:U484),FALSE))),"")</f>
        <v/>
      </c>
      <c r="AB277" s="268" t="str">
        <f t="shared" si="104"/>
        <v/>
      </c>
      <c r="AC277" s="450" t="str">
        <f t="shared" si="105"/>
        <v/>
      </c>
      <c r="AD277" s="450" t="str">
        <f t="shared" si="106"/>
        <v/>
      </c>
      <c r="AE277" s="269" t="str">
        <f t="shared" si="107"/>
        <v/>
      </c>
      <c r="AF277" s="268" t="str">
        <f t="shared" si="108"/>
        <v/>
      </c>
      <c r="AG277" s="450" t="str">
        <f t="shared" si="109"/>
        <v/>
      </c>
      <c r="AH277" s="450" t="str">
        <f t="shared" si="110"/>
        <v/>
      </c>
      <c r="AI277" s="269" t="str">
        <f t="shared" si="111"/>
        <v/>
      </c>
      <c r="AJ277" s="450" t="str">
        <f>IF(O277=0,"-",SUMIFS($O$2:O277,$A$2:A277,$A277,$F$2:F277,"&lt;="&amp;$F277)/SUMIFS($G$2:G277,$A$2:A277,$A277,$F$2:F277,"&lt;="&amp;$F277)-1)</f>
        <v>-</v>
      </c>
      <c r="AK277" s="450" t="str">
        <f>IF(P277=0,"-",SUMIFS($P$2:P277,$A$2:A277,$A277,$F$2:F277,"&lt;="&amp;$F277)/SUMIFS($H$2:H277,$A$2:A277,$A277,$F$2:F277,"&lt;="&amp;$F277)-1)</f>
        <v>-</v>
      </c>
      <c r="AL277" s="450" t="str">
        <f>IF(Q277=0,"-",SUMIFS($Q$2:Q277,$A$2:A277,$A277,$F$2:F277,"&lt;="&amp;$F277)/SUMIFS($I$2:I277,$A$2:A277,$A277,$F$2:F277,"&lt;="&amp;$F277)-1)</f>
        <v>-</v>
      </c>
      <c r="AM277" s="450" t="str">
        <f>IFERROR(IF(O277=0,"-",SUMIFS($O$2:O277,$A$2:A277,$A277,$F$2:F277,"&lt;="&amp;$F277)/SUMIFS($K$2:K277,$A$2:A277,$A277,$F$2:F277,"&lt;="&amp;$F277)-1),"")</f>
        <v>-</v>
      </c>
      <c r="AN277" s="450" t="str">
        <f>IFERROR(IF(P277=0,"-",SUMIFS($P$2:P277,$A$2:A277,$A277,$F$2:F277,"&lt;="&amp;$F277)/SUMIFS($L$2:L277,$A$2:A277,$A277,$F$2:F277,"&lt;="&amp;$F277)-1),"")</f>
        <v>-</v>
      </c>
      <c r="AO277" s="269" t="str">
        <f>IFERROR(IF(Q277=0,"-",SUMIFS($Q$2:Q277,$A$2:A277,$A277,$F$2:F277,"&lt;="&amp;$F277)/SUMIFS($M$2:M277,$A$2:A277,$A277,$F$2:F277,"&lt;="&amp;$F277)-1),"")</f>
        <v>-</v>
      </c>
      <c r="AP277" s="134"/>
      <c r="AQ277" s="452" t="str">
        <f>'Overall Metrics'!AO282</f>
        <v/>
      </c>
      <c r="AR277" s="450" t="str">
        <f t="shared" si="112"/>
        <v/>
      </c>
      <c r="AS277" s="453" t="str">
        <f>IFERROR(IF(R278=0,"-",AVERAGEIFS($AQ$2:AQ277,$A$2:A277,$A277,$F$2:F277,"&lt;="&amp;$F277)-AVERAGEIFS($AP$2:AP277,$A$2:A277,$A277,$F$2:F277,"&lt;="&amp;$F277)),"")</f>
        <v>-</v>
      </c>
      <c r="AT277" s="390" t="str">
        <f>IFERROR(IF(R278=0,"-",AVERAGEIFS($AQ$2:AQ277,$A$2:A277,A277,$C$2:C277,C277)-AVERAGEIFS($AP$2:AP277,$A$2:A277,A277,$C$2:C277,C277)),"")</f>
        <v>-</v>
      </c>
      <c r="AU277" s="451"/>
      <c r="AV277" s="452">
        <f>'Overall Metrics'!AS282</f>
        <v>0</v>
      </c>
      <c r="AW277" s="450" t="str">
        <f t="shared" si="119"/>
        <v/>
      </c>
      <c r="AX277" s="453" t="str">
        <f>IFERROR(IF(R281=0,"-",AVERAGEIFS($AV$2:AV277,$A$2:A277,$A277,$F$2:F277,"&lt;="&amp;$F277)-AVERAGEIFS($AU$2:AU277,$A$2:A277,$A277,$F$2:F277,"&lt;="&amp;$F277)),"")</f>
        <v>-</v>
      </c>
      <c r="AY277" s="390" t="str">
        <f>IFERROR(IF(R281=0,"-",AVERAGEIFS($AV$2:AV277,$A$2:A277,A277,$C$2:C277,C277)-AVERAGEIFS($AU$2:AU277,$A$2:A277,A277,$C$2:C277,C277)),"")</f>
        <v>-</v>
      </c>
      <c r="AZ277" s="103"/>
      <c r="BA277" s="449">
        <f>'Glass Metrics'!AC282</f>
        <v>0</v>
      </c>
      <c r="BB277" s="450" t="str">
        <f t="shared" si="113"/>
        <v/>
      </c>
      <c r="BC277" s="450" t="str">
        <f>IFERROR(IF(R277=0,"-",AVERAGEIFS($BA$2:BA277,$A$2:A277,$A277,$F$2:F277,"&lt;="&amp;$F277)/AVERAGEIFS($AZ$2:AZ277,$A$2:A277,$A277,$F$2:F277,"&lt;="&amp;$F277)-1),"")</f>
        <v>-</v>
      </c>
      <c r="BD277" s="269" t="str">
        <f>IFERROR(IF(R277=0,"-",AVERAGEIFS($BA$2:BA277,$A$2:A277,A277,$C$2:C277,C277)/AVERAGEIFS($AZ$2:AZ277,$A$2:A277,A277,$C$2:C277,C277)-1),"")</f>
        <v>-</v>
      </c>
    </row>
    <row r="278" spans="1:56" ht="15.6" customHeight="1">
      <c r="A278" s="175">
        <f t="shared" si="93"/>
        <v>2026</v>
      </c>
      <c r="B278" s="447" t="str">
        <f t="shared" si="94"/>
        <v>16</v>
      </c>
      <c r="C278" s="447" t="str">
        <f t="array" ref="C278">_xlfn.IFS(_xlfn.NUMBERVALUE(B278)&lt;=13,"Q1",AND(_xlfn.NUMBERVALUE(B278)&gt;13,_xlfn.NUMBERVALUE(B278)&lt;=26),"Q2", AND(_xlfn.NUMBERVALUE(B278)&gt;26,_xlfn.NUMBERVALUE(B278)&lt;=39),"Q3",_xlfn.NUMBERVALUE(B278)&gt;39,"Q4")</f>
        <v>Q2</v>
      </c>
      <c r="D278" s="448">
        <f t="shared" si="114"/>
        <v>45794</v>
      </c>
      <c r="E278" s="448">
        <f t="shared" si="95"/>
        <v>45800</v>
      </c>
      <c r="F278" s="79">
        <v>202516</v>
      </c>
      <c r="G278" s="103"/>
      <c r="H278" s="429"/>
      <c r="I278" s="429"/>
      <c r="J278" s="214">
        <f t="shared" si="96"/>
        <v>0</v>
      </c>
      <c r="K278" s="429"/>
      <c r="L278" s="429"/>
      <c r="M278" s="429"/>
      <c r="N278" s="214">
        <f t="shared" si="97"/>
        <v>0</v>
      </c>
      <c r="O278" s="449">
        <f>'Overall Metrics'!L283</f>
        <v>0</v>
      </c>
      <c r="P278" s="449">
        <f>'Overall Metrics'!M283</f>
        <v>0</v>
      </c>
      <c r="Q278" s="449">
        <f>'Overall Metrics'!N283</f>
        <v>0</v>
      </c>
      <c r="R278" s="449">
        <f t="shared" si="98"/>
        <v>0</v>
      </c>
      <c r="S278" s="180">
        <f t="shared" si="99"/>
        <v>0</v>
      </c>
      <c r="T278" s="449">
        <f t="shared" si="100"/>
        <v>1256337</v>
      </c>
      <c r="U278" s="449">
        <f t="shared" si="101"/>
        <v>1322941</v>
      </c>
      <c r="V278" s="450" t="str">
        <f t="shared" si="102"/>
        <v/>
      </c>
      <c r="W278" s="450" t="str">
        <f>IF(R278=0,"-",SUMIFS($R$2:R278,$A$2:A278,A278,$C$2:C278,C278)/SUMIFS($J$2:J278,$A$2:A278,A278,$C$2:C278,C278)-1)</f>
        <v>-</v>
      </c>
      <c r="X278" s="450" t="str">
        <f t="shared" si="103"/>
        <v/>
      </c>
      <c r="Y278" s="450" t="str">
        <f>IFERROR(IF(R278=0,"-",SUMIFS($R$2:R278,$A$2:A278,A278,$C$2:C278,C278)/SUMIFS($N$2:N278,$A$2:A278,A278,$C$2:C278,C278)-1),"")</f>
        <v>-</v>
      </c>
      <c r="Z278" s="269" t="str">
        <f>IF(R278=0,"",(S278/VLOOKUP(_xlfn.NUMBERVALUE(_xlfn.CONCAT(LEFT(F278,4),52)),$F$2:T485,COLUMNS($F$2:T485),FALSE)))</f>
        <v/>
      </c>
      <c r="AA278" s="269" t="str">
        <f>IFERROR(IF(R278=0,"",(S278/VLOOKUP(_xlfn.NUMBERVALUE(_xlfn.CONCAT(LEFT(F278,4),52)),$F$2:U485,COLUMNS($F$2:U485),FALSE))),"")</f>
        <v/>
      </c>
      <c r="AB278" s="268" t="str">
        <f t="shared" si="104"/>
        <v/>
      </c>
      <c r="AC278" s="450" t="str">
        <f t="shared" si="105"/>
        <v/>
      </c>
      <c r="AD278" s="450" t="str">
        <f t="shared" si="106"/>
        <v/>
      </c>
      <c r="AE278" s="269" t="str">
        <f t="shared" si="107"/>
        <v/>
      </c>
      <c r="AF278" s="268" t="str">
        <f t="shared" si="108"/>
        <v/>
      </c>
      <c r="AG278" s="450" t="str">
        <f t="shared" si="109"/>
        <v/>
      </c>
      <c r="AH278" s="450" t="str">
        <f t="shared" si="110"/>
        <v/>
      </c>
      <c r="AI278" s="269" t="str">
        <f t="shared" si="111"/>
        <v/>
      </c>
      <c r="AJ278" s="450" t="str">
        <f>IF(O278=0,"-",SUMIFS($O$2:O278,$A$2:A278,$A278,$F$2:F278,"&lt;="&amp;$F278)/SUMIFS($G$2:G278,$A$2:A278,$A278,$F$2:F278,"&lt;="&amp;$F278)-1)</f>
        <v>-</v>
      </c>
      <c r="AK278" s="450" t="str">
        <f>IF(P278=0,"-",SUMIFS($P$2:P278,$A$2:A278,$A278,$F$2:F278,"&lt;="&amp;$F278)/SUMIFS($H$2:H278,$A$2:A278,$A278,$F$2:F278,"&lt;="&amp;$F278)-1)</f>
        <v>-</v>
      </c>
      <c r="AL278" s="450" t="str">
        <f>IF(Q278=0,"-",SUMIFS($Q$2:Q278,$A$2:A278,$A278,$F$2:F278,"&lt;="&amp;$F278)/SUMIFS($I$2:I278,$A$2:A278,$A278,$F$2:F278,"&lt;="&amp;$F278)-1)</f>
        <v>-</v>
      </c>
      <c r="AM278" s="450" t="str">
        <f>IFERROR(IF(O278=0,"-",SUMIFS($O$2:O278,$A$2:A278,$A278,$F$2:F278,"&lt;="&amp;$F278)/SUMIFS($K$2:K278,$A$2:A278,$A278,$F$2:F278,"&lt;="&amp;$F278)-1),"")</f>
        <v>-</v>
      </c>
      <c r="AN278" s="450" t="str">
        <f>IFERROR(IF(P278=0,"-",SUMIFS($P$2:P278,$A$2:A278,$A278,$F$2:F278,"&lt;="&amp;$F278)/SUMIFS($L$2:L278,$A$2:A278,$A278,$F$2:F278,"&lt;="&amp;$F278)-1),"")</f>
        <v>-</v>
      </c>
      <c r="AO278" s="269" t="str">
        <f>IFERROR(IF(Q278=0,"-",SUMIFS($Q$2:Q278,$A$2:A278,$A278,$F$2:F278,"&lt;="&amp;$F278)/SUMIFS($M$2:M278,$A$2:A278,$A278,$F$2:F278,"&lt;="&amp;$F278)-1),"")</f>
        <v>-</v>
      </c>
      <c r="AP278" s="134"/>
      <c r="AQ278" s="452" t="str">
        <f>'Overall Metrics'!AO283</f>
        <v/>
      </c>
      <c r="AR278" s="450" t="str">
        <f t="shared" si="112"/>
        <v/>
      </c>
      <c r="AS278" s="453" t="str">
        <f>IFERROR(IF(R279=0,"-",AVERAGEIFS($AQ$2:AQ278,$A$2:A278,$A278,$F$2:F278,"&lt;="&amp;$F278)-AVERAGEIFS($AP$2:AP278,$A$2:A278,$A278,$F$2:F278,"&lt;="&amp;$F278)),"")</f>
        <v>-</v>
      </c>
      <c r="AT278" s="390" t="str">
        <f>IFERROR(IF(R279=0,"-",AVERAGEIFS($AQ$2:AQ278,$A$2:A278,A278,$C$2:C278,C278)-AVERAGEIFS($AP$2:AP278,$A$2:A278,A278,$C$2:C278,C278)),"")</f>
        <v>-</v>
      </c>
      <c r="AU278" s="451"/>
      <c r="AV278" s="452">
        <f>'Overall Metrics'!AS283</f>
        <v>0</v>
      </c>
      <c r="AW278" s="450" t="str">
        <f t="shared" si="119"/>
        <v/>
      </c>
      <c r="AX278" s="453" t="str">
        <f>IFERROR(IF(R282=0,"-",AVERAGEIFS($AV$2:AV278,$A$2:A278,$A278,$F$2:F278,"&lt;="&amp;$F278)-AVERAGEIFS($AU$2:AU278,$A$2:A278,$A278,$F$2:F278,"&lt;="&amp;$F278)),"")</f>
        <v>-</v>
      </c>
      <c r="AY278" s="390" t="str">
        <f>IFERROR(IF(R282=0,"-",AVERAGEIFS($AV$2:AV278,$A$2:A278,A278,$C$2:C278,C278)-AVERAGEIFS($AU$2:AU278,$A$2:A278,A278,$C$2:C278,C278)),"")</f>
        <v>-</v>
      </c>
      <c r="AZ278" s="103"/>
      <c r="BA278" s="449">
        <f>'Glass Metrics'!AC283</f>
        <v>0</v>
      </c>
      <c r="BB278" s="450" t="str">
        <f t="shared" si="113"/>
        <v/>
      </c>
      <c r="BC278" s="450" t="str">
        <f>IFERROR(IF(R278=0,"-",AVERAGEIFS($BA$2:BA278,$A$2:A278,$A278,$F$2:F278,"&lt;="&amp;$F278)/AVERAGEIFS($AZ$2:AZ278,$A$2:A278,$A278,$F$2:F278,"&lt;="&amp;$F278)-1),"")</f>
        <v>-</v>
      </c>
      <c r="BD278" s="269" t="str">
        <f>IFERROR(IF(R278=0,"-",AVERAGEIFS($BA$2:BA278,$A$2:A278,A278,$C$2:C278,C278)/AVERAGEIFS($AZ$2:AZ278,$A$2:A278,A278,$C$2:C278,C278)-1),"")</f>
        <v>-</v>
      </c>
    </row>
    <row r="279" spans="1:56" ht="15.6" customHeight="1">
      <c r="A279" s="175">
        <f t="shared" si="93"/>
        <v>2026</v>
      </c>
      <c r="B279" s="447" t="str">
        <f t="shared" si="94"/>
        <v>17</v>
      </c>
      <c r="C279" s="447" t="str">
        <f t="array" ref="C279">_xlfn.IFS(_xlfn.NUMBERVALUE(B279)&lt;=13,"Q1",AND(_xlfn.NUMBERVALUE(B279)&gt;13,_xlfn.NUMBERVALUE(B279)&lt;=26),"Q2", AND(_xlfn.NUMBERVALUE(B279)&gt;26,_xlfn.NUMBERVALUE(B279)&lt;=39),"Q3",_xlfn.NUMBERVALUE(B279)&gt;39,"Q4")</f>
        <v>Q2</v>
      </c>
      <c r="D279" s="448">
        <f t="shared" si="114"/>
        <v>45801</v>
      </c>
      <c r="E279" s="448">
        <f t="shared" si="95"/>
        <v>45807</v>
      </c>
      <c r="F279" s="79">
        <v>202517</v>
      </c>
      <c r="G279" s="103"/>
      <c r="H279" s="429"/>
      <c r="I279" s="429"/>
      <c r="J279" s="214">
        <f t="shared" si="96"/>
        <v>0</v>
      </c>
      <c r="K279" s="429"/>
      <c r="L279" s="429"/>
      <c r="M279" s="429"/>
      <c r="N279" s="214">
        <f t="shared" si="97"/>
        <v>0</v>
      </c>
      <c r="O279" s="449">
        <f>'Overall Metrics'!L284</f>
        <v>0</v>
      </c>
      <c r="P279" s="449">
        <f>'Overall Metrics'!M284</f>
        <v>0</v>
      </c>
      <c r="Q279" s="449">
        <f>'Overall Metrics'!N284</f>
        <v>0</v>
      </c>
      <c r="R279" s="449">
        <f t="shared" si="98"/>
        <v>0</v>
      </c>
      <c r="S279" s="180">
        <f t="shared" si="99"/>
        <v>0</v>
      </c>
      <c r="T279" s="449">
        <f t="shared" si="100"/>
        <v>1256337</v>
      </c>
      <c r="U279" s="449">
        <f t="shared" si="101"/>
        <v>1322941</v>
      </c>
      <c r="V279" s="450" t="str">
        <f t="shared" si="102"/>
        <v/>
      </c>
      <c r="W279" s="450" t="str">
        <f>IF(R279=0,"-",SUMIFS($R$2:R279,$A$2:A279,A279,$C$2:C279,C279)/SUMIFS($J$2:J279,$A$2:A279,A279,$C$2:C279,C279)-1)</f>
        <v>-</v>
      </c>
      <c r="X279" s="450" t="str">
        <f t="shared" si="103"/>
        <v/>
      </c>
      <c r="Y279" s="450" t="str">
        <f>IFERROR(IF(R279=0,"-",SUMIFS($R$2:R279,$A$2:A279,A279,$C$2:C279,C279)/SUMIFS($N$2:N279,$A$2:A279,A279,$C$2:C279,C279)-1),"")</f>
        <v>-</v>
      </c>
      <c r="Z279" s="269" t="str">
        <f>IF(R279=0,"",(S279/VLOOKUP(_xlfn.NUMBERVALUE(_xlfn.CONCAT(LEFT(F279,4),52)),$F$2:T486,COLUMNS($F$2:T486),FALSE)))</f>
        <v/>
      </c>
      <c r="AA279" s="269" t="str">
        <f>IFERROR(IF(R279=0,"",(S279/VLOOKUP(_xlfn.NUMBERVALUE(_xlfn.CONCAT(LEFT(F279,4),52)),$F$2:U486,COLUMNS($F$2:U486),FALSE))),"")</f>
        <v/>
      </c>
      <c r="AB279" s="268" t="str">
        <f t="shared" si="104"/>
        <v/>
      </c>
      <c r="AC279" s="450" t="str">
        <f t="shared" si="105"/>
        <v/>
      </c>
      <c r="AD279" s="450" t="str">
        <f t="shared" si="106"/>
        <v/>
      </c>
      <c r="AE279" s="269" t="str">
        <f t="shared" si="107"/>
        <v/>
      </c>
      <c r="AF279" s="268" t="str">
        <f t="shared" si="108"/>
        <v/>
      </c>
      <c r="AG279" s="450" t="str">
        <f t="shared" si="109"/>
        <v/>
      </c>
      <c r="AH279" s="450" t="str">
        <f t="shared" si="110"/>
        <v/>
      </c>
      <c r="AI279" s="269" t="str">
        <f t="shared" si="111"/>
        <v/>
      </c>
      <c r="AJ279" s="450" t="str">
        <f>IF(O279=0,"-",SUMIFS($O$2:O279,$A$2:A279,$A279,$F$2:F279,"&lt;="&amp;$F279)/SUMIFS($G$2:G279,$A$2:A279,$A279,$F$2:F279,"&lt;="&amp;$F279)-1)</f>
        <v>-</v>
      </c>
      <c r="AK279" s="450" t="str">
        <f>IF(P279=0,"-",SUMIFS($P$2:P279,$A$2:A279,$A279,$F$2:F279,"&lt;="&amp;$F279)/SUMIFS($H$2:H279,$A$2:A279,$A279,$F$2:F279,"&lt;="&amp;$F279)-1)</f>
        <v>-</v>
      </c>
      <c r="AL279" s="450" t="str">
        <f>IF(Q279=0,"-",SUMIFS($Q$2:Q279,$A$2:A279,$A279,$F$2:F279,"&lt;="&amp;$F279)/SUMIFS($I$2:I279,$A$2:A279,$A279,$F$2:F279,"&lt;="&amp;$F279)-1)</f>
        <v>-</v>
      </c>
      <c r="AM279" s="450" t="str">
        <f>IFERROR(IF(O279=0,"-",SUMIFS($O$2:O279,$A$2:A279,$A279,$F$2:F279,"&lt;="&amp;$F279)/SUMIFS($K$2:K279,$A$2:A279,$A279,$F$2:F279,"&lt;="&amp;$F279)-1),"")</f>
        <v>-</v>
      </c>
      <c r="AN279" s="450" t="str">
        <f>IFERROR(IF(P279=0,"-",SUMIFS($P$2:P279,$A$2:A279,$A279,$F$2:F279,"&lt;="&amp;$F279)/SUMIFS($L$2:L279,$A$2:A279,$A279,$F$2:F279,"&lt;="&amp;$F279)-1),"")</f>
        <v>-</v>
      </c>
      <c r="AO279" s="269" t="str">
        <f>IFERROR(IF(Q279=0,"-",SUMIFS($Q$2:Q279,$A$2:A279,$A279,$F$2:F279,"&lt;="&amp;$F279)/SUMIFS($M$2:M279,$A$2:A279,$A279,$F$2:F279,"&lt;="&amp;$F279)-1),"")</f>
        <v>-</v>
      </c>
      <c r="AP279" s="134"/>
      <c r="AQ279" s="452" t="str">
        <f>'Overall Metrics'!AO284</f>
        <v/>
      </c>
      <c r="AR279" s="450" t="str">
        <f t="shared" si="112"/>
        <v/>
      </c>
      <c r="AS279" s="453" t="str">
        <f>IFERROR(IF(R280=0,"-",AVERAGEIFS($AQ$2:AQ279,$A$2:A279,$A279,$F$2:F279,"&lt;="&amp;$F279)-AVERAGEIFS($AP$2:AP279,$A$2:A279,$A279,$F$2:F279,"&lt;="&amp;$F279)),"")</f>
        <v>-</v>
      </c>
      <c r="AT279" s="390" t="str">
        <f>IFERROR(IF(R280=0,"-",AVERAGEIFS($AQ$2:AQ279,$A$2:A279,A279,$C$2:C279,C279)-AVERAGEIFS($AP$2:AP279,$A$2:A279,A279,$C$2:C279,C279)),"")</f>
        <v>-</v>
      </c>
      <c r="AU279" s="451"/>
      <c r="AV279" s="452">
        <f>'Overall Metrics'!AS284</f>
        <v>0</v>
      </c>
      <c r="AW279" s="450" t="str">
        <f t="shared" si="119"/>
        <v/>
      </c>
      <c r="AX279" s="453" t="str">
        <f>IFERROR(IF(R283=0,"-",AVERAGEIFS($AV$2:AV279,$A$2:A279,$A279,$F$2:F279,"&lt;="&amp;$F279)-AVERAGEIFS($AU$2:AU279,$A$2:A279,$A279,$F$2:F279,"&lt;="&amp;$F279)),"")</f>
        <v>-</v>
      </c>
      <c r="AY279" s="390" t="str">
        <f>IFERROR(IF(R283=0,"-",AVERAGEIFS($AV$2:AV279,$A$2:A279,A279,$C$2:C279,C279)-AVERAGEIFS($AU$2:AU279,$A$2:A279,A279,$C$2:C279,C279)),"")</f>
        <v>-</v>
      </c>
      <c r="AZ279" s="103"/>
      <c r="BA279" s="449">
        <f>'Glass Metrics'!AC284</f>
        <v>0</v>
      </c>
      <c r="BB279" s="450" t="str">
        <f t="shared" si="113"/>
        <v/>
      </c>
      <c r="BC279" s="450" t="str">
        <f>IFERROR(IF(R279=0,"-",AVERAGEIFS($BA$2:BA279,$A$2:A279,$A279,$F$2:F279,"&lt;="&amp;$F279)/AVERAGEIFS($AZ$2:AZ279,$A$2:A279,$A279,$F$2:F279,"&lt;="&amp;$F279)-1),"")</f>
        <v>-</v>
      </c>
      <c r="BD279" s="269" t="str">
        <f>IFERROR(IF(R279=0,"-",AVERAGEIFS($BA$2:BA279,$A$2:A279,A279,$C$2:C279,C279)/AVERAGEIFS($AZ$2:AZ279,$A$2:A279,A279,$C$2:C279,C279)-1),"")</f>
        <v>-</v>
      </c>
    </row>
    <row r="280" spans="1:56" ht="15.6" customHeight="1">
      <c r="A280" s="175">
        <f t="shared" si="93"/>
        <v>2026</v>
      </c>
      <c r="B280" s="447" t="str">
        <f t="shared" si="94"/>
        <v>18</v>
      </c>
      <c r="C280" s="447" t="str">
        <f t="array" ref="C280">_xlfn.IFS(_xlfn.NUMBERVALUE(B280)&lt;=13,"Q1",AND(_xlfn.NUMBERVALUE(B280)&gt;13,_xlfn.NUMBERVALUE(B280)&lt;=26),"Q2", AND(_xlfn.NUMBERVALUE(B280)&gt;26,_xlfn.NUMBERVALUE(B280)&lt;=39),"Q3",_xlfn.NUMBERVALUE(B280)&gt;39,"Q4")</f>
        <v>Q2</v>
      </c>
      <c r="D280" s="448">
        <f t="shared" si="114"/>
        <v>45808</v>
      </c>
      <c r="E280" s="448">
        <f t="shared" si="95"/>
        <v>45814</v>
      </c>
      <c r="F280" s="79">
        <v>202518</v>
      </c>
      <c r="G280" s="103"/>
      <c r="H280" s="429"/>
      <c r="I280" s="429"/>
      <c r="J280" s="214">
        <f t="shared" si="96"/>
        <v>0</v>
      </c>
      <c r="K280" s="429"/>
      <c r="L280" s="429"/>
      <c r="M280" s="429"/>
      <c r="N280" s="214">
        <f t="shared" si="97"/>
        <v>0</v>
      </c>
      <c r="O280" s="449">
        <f>'Overall Metrics'!L285</f>
        <v>0</v>
      </c>
      <c r="P280" s="449">
        <f>'Overall Metrics'!M285</f>
        <v>0</v>
      </c>
      <c r="Q280" s="449">
        <f>'Overall Metrics'!N285</f>
        <v>0</v>
      </c>
      <c r="R280" s="449">
        <f t="shared" si="98"/>
        <v>0</v>
      </c>
      <c r="S280" s="180">
        <f t="shared" si="99"/>
        <v>0</v>
      </c>
      <c r="T280" s="449">
        <f t="shared" si="100"/>
        <v>1256337</v>
      </c>
      <c r="U280" s="449">
        <f t="shared" si="101"/>
        <v>1322941</v>
      </c>
      <c r="V280" s="450" t="str">
        <f t="shared" si="102"/>
        <v/>
      </c>
      <c r="W280" s="450" t="str">
        <f>IF(R280=0,"-",SUMIFS($R$2:R280,$A$2:A280,A280,$C$2:C280,C280)/SUMIFS($J$2:J280,$A$2:A280,A280,$C$2:C280,C280)-1)</f>
        <v>-</v>
      </c>
      <c r="X280" s="450" t="str">
        <f t="shared" si="103"/>
        <v/>
      </c>
      <c r="Y280" s="450" t="str">
        <f>IFERROR(IF(R280=0,"-",SUMIFS($R$2:R280,$A$2:A280,A280,$C$2:C280,C280)/SUMIFS($N$2:N280,$A$2:A280,A280,$C$2:C280,C280)-1),"")</f>
        <v>-</v>
      </c>
      <c r="Z280" s="269" t="str">
        <f>IF(R280=0,"",(S280/VLOOKUP(_xlfn.NUMBERVALUE(_xlfn.CONCAT(LEFT(F280,4),52)),$F$2:T487,COLUMNS($F$2:T487),FALSE)))</f>
        <v/>
      </c>
      <c r="AA280" s="269" t="str">
        <f>IFERROR(IF(R280=0,"",(S280/VLOOKUP(_xlfn.NUMBERVALUE(_xlfn.CONCAT(LEFT(F280,4),52)),$F$2:U487,COLUMNS($F$2:U487),FALSE))),"")</f>
        <v/>
      </c>
      <c r="AB280" s="268" t="str">
        <f t="shared" si="104"/>
        <v/>
      </c>
      <c r="AC280" s="450" t="str">
        <f t="shared" si="105"/>
        <v/>
      </c>
      <c r="AD280" s="450" t="str">
        <f t="shared" si="106"/>
        <v/>
      </c>
      <c r="AE280" s="269" t="str">
        <f t="shared" si="107"/>
        <v/>
      </c>
      <c r="AF280" s="268" t="str">
        <f t="shared" si="108"/>
        <v/>
      </c>
      <c r="AG280" s="450" t="str">
        <f t="shared" si="109"/>
        <v/>
      </c>
      <c r="AH280" s="450" t="str">
        <f t="shared" si="110"/>
        <v/>
      </c>
      <c r="AI280" s="269" t="str">
        <f t="shared" si="111"/>
        <v/>
      </c>
      <c r="AJ280" s="450" t="str">
        <f>IF(O280=0,"-",SUMIFS($O$2:O280,$A$2:A280,$A280,$F$2:F280,"&lt;="&amp;$F280)/SUMIFS($G$2:G280,$A$2:A280,$A280,$F$2:F280,"&lt;="&amp;$F280)-1)</f>
        <v>-</v>
      </c>
      <c r="AK280" s="450" t="str">
        <f>IF(P280=0,"-",SUMIFS($P$2:P280,$A$2:A280,$A280,$F$2:F280,"&lt;="&amp;$F280)/SUMIFS($H$2:H280,$A$2:A280,$A280,$F$2:F280,"&lt;="&amp;$F280)-1)</f>
        <v>-</v>
      </c>
      <c r="AL280" s="450" t="str">
        <f>IF(Q280=0,"-",SUMIFS($Q$2:Q280,$A$2:A280,$A280,$F$2:F280,"&lt;="&amp;$F280)/SUMIFS($I$2:I280,$A$2:A280,$A280,$F$2:F280,"&lt;="&amp;$F280)-1)</f>
        <v>-</v>
      </c>
      <c r="AM280" s="450" t="str">
        <f>IFERROR(IF(O280=0,"-",SUMIFS($O$2:O280,$A$2:A280,$A280,$F$2:F280,"&lt;="&amp;$F280)/SUMIFS($K$2:K280,$A$2:A280,$A280,$F$2:F280,"&lt;="&amp;$F280)-1),"")</f>
        <v>-</v>
      </c>
      <c r="AN280" s="450" t="str">
        <f>IFERROR(IF(P280=0,"-",SUMIFS($P$2:P280,$A$2:A280,$A280,$F$2:F280,"&lt;="&amp;$F280)/SUMIFS($L$2:L280,$A$2:A280,$A280,$F$2:F280,"&lt;="&amp;$F280)-1),"")</f>
        <v>-</v>
      </c>
      <c r="AO280" s="269" t="str">
        <f>IFERROR(IF(Q280=0,"-",SUMIFS($Q$2:Q280,$A$2:A280,$A280,$F$2:F280,"&lt;="&amp;$F280)/SUMIFS($M$2:M280,$A$2:A280,$A280,$F$2:F280,"&lt;="&amp;$F280)-1),"")</f>
        <v>-</v>
      </c>
      <c r="AP280" s="134"/>
      <c r="AQ280" s="452" t="str">
        <f>'Overall Metrics'!AO285</f>
        <v/>
      </c>
      <c r="AR280" s="450" t="str">
        <f t="shared" si="112"/>
        <v/>
      </c>
      <c r="AS280" s="453" t="str">
        <f>IFERROR(IF(R281=0,"-",AVERAGEIFS($AQ$2:AQ280,$A$2:A280,$A280,$F$2:F280,"&lt;="&amp;$F280)-AVERAGEIFS($AP$2:AP280,$A$2:A280,$A280,$F$2:F280,"&lt;="&amp;$F280)),"")</f>
        <v>-</v>
      </c>
      <c r="AT280" s="390" t="str">
        <f>IFERROR(IF(R281=0,"-",AVERAGEIFS($AQ$2:AQ280,$A$2:A280,A280,$C$2:C280,C280)-AVERAGEIFS($AP$2:AP280,$A$2:A280,A280,$C$2:C280,C280)),"")</f>
        <v>-</v>
      </c>
      <c r="AU280" s="451"/>
      <c r="AV280" s="452">
        <f>'Overall Metrics'!AS285</f>
        <v>0</v>
      </c>
      <c r="AW280" s="450" t="str">
        <f t="shared" si="119"/>
        <v/>
      </c>
      <c r="AX280" s="453" t="str">
        <f>IFERROR(IF(R284=0,"-",AVERAGEIFS($AV$2:AV280,$A$2:A280,$A280,$F$2:F280,"&lt;="&amp;$F280)-AVERAGEIFS($AU$2:AU280,$A$2:A280,$A280,$F$2:F280,"&lt;="&amp;$F280)),"")</f>
        <v>-</v>
      </c>
      <c r="AY280" s="390" t="str">
        <f>IFERROR(IF(R284=0,"-",AVERAGEIFS($AV$2:AV280,$A$2:A280,A280,$C$2:C280,C280)-AVERAGEIFS($AU$2:AU280,$A$2:A280,A280,$C$2:C280,C280)),"")</f>
        <v>-</v>
      </c>
      <c r="AZ280" s="103"/>
      <c r="BA280" s="449">
        <f>'Glass Metrics'!AC285</f>
        <v>0</v>
      </c>
      <c r="BB280" s="450" t="str">
        <f t="shared" si="113"/>
        <v/>
      </c>
      <c r="BC280" s="450" t="str">
        <f>IFERROR(IF(R280=0,"-",AVERAGEIFS($BA$2:BA280,$A$2:A280,$A280,$F$2:F280,"&lt;="&amp;$F280)/AVERAGEIFS($AZ$2:AZ280,$A$2:A280,$A280,$F$2:F280,"&lt;="&amp;$F280)-1),"")</f>
        <v>-</v>
      </c>
      <c r="BD280" s="269" t="str">
        <f>IFERROR(IF(R280=0,"-",AVERAGEIFS($BA$2:BA280,$A$2:A280,A280,$C$2:C280,C280)/AVERAGEIFS($AZ$2:AZ280,$A$2:A280,A280,$C$2:C280,C280)-1),"")</f>
        <v>-</v>
      </c>
    </row>
    <row r="281" spans="1:56" ht="15.6" customHeight="1">
      <c r="A281" s="175">
        <f t="shared" si="93"/>
        <v>2026</v>
      </c>
      <c r="B281" s="447" t="str">
        <f t="shared" si="94"/>
        <v>19</v>
      </c>
      <c r="C281" s="447" t="str">
        <f t="array" ref="C281">_xlfn.IFS(_xlfn.NUMBERVALUE(B281)&lt;=13,"Q1",AND(_xlfn.NUMBERVALUE(B281)&gt;13,_xlfn.NUMBERVALUE(B281)&lt;=26),"Q2", AND(_xlfn.NUMBERVALUE(B281)&gt;26,_xlfn.NUMBERVALUE(B281)&lt;=39),"Q3",_xlfn.NUMBERVALUE(B281)&gt;39,"Q4")</f>
        <v>Q2</v>
      </c>
      <c r="D281" s="448">
        <f t="shared" si="114"/>
        <v>45815</v>
      </c>
      <c r="E281" s="448">
        <f t="shared" si="95"/>
        <v>45821</v>
      </c>
      <c r="F281" s="79">
        <v>202519</v>
      </c>
      <c r="G281" s="103"/>
      <c r="H281" s="429"/>
      <c r="I281" s="429"/>
      <c r="J281" s="214">
        <f t="shared" si="96"/>
        <v>0</v>
      </c>
      <c r="K281" s="429"/>
      <c r="L281" s="429"/>
      <c r="M281" s="429"/>
      <c r="N281" s="214">
        <f t="shared" si="97"/>
        <v>0</v>
      </c>
      <c r="O281" s="449">
        <f>'Overall Metrics'!L286</f>
        <v>0</v>
      </c>
      <c r="P281" s="449">
        <f>'Overall Metrics'!M286</f>
        <v>0</v>
      </c>
      <c r="Q281" s="449">
        <f>'Overall Metrics'!N286</f>
        <v>0</v>
      </c>
      <c r="R281" s="449">
        <f t="shared" si="98"/>
        <v>0</v>
      </c>
      <c r="S281" s="180">
        <f t="shared" si="99"/>
        <v>0</v>
      </c>
      <c r="T281" s="449">
        <f t="shared" si="100"/>
        <v>1256337</v>
      </c>
      <c r="U281" s="449">
        <f t="shared" si="101"/>
        <v>1322941</v>
      </c>
      <c r="V281" s="450" t="str">
        <f t="shared" si="102"/>
        <v/>
      </c>
      <c r="W281" s="450" t="str">
        <f>IF(R281=0,"-",SUMIFS($R$2:R281,$A$2:A281,A281,$C$2:C281,C281)/SUMIFS($J$2:J281,$A$2:A281,A281,$C$2:C281,C281)-1)</f>
        <v>-</v>
      </c>
      <c r="X281" s="450" t="str">
        <f t="shared" si="103"/>
        <v/>
      </c>
      <c r="Y281" s="450" t="str">
        <f>IFERROR(IF(R281=0,"-",SUMIFS($R$2:R281,$A$2:A281,A281,$C$2:C281,C281)/SUMIFS($N$2:N281,$A$2:A281,A281,$C$2:C281,C281)-1),"")</f>
        <v>-</v>
      </c>
      <c r="Z281" s="269" t="str">
        <f>IF(R281=0,"",(S281/VLOOKUP(_xlfn.NUMBERVALUE(_xlfn.CONCAT(LEFT(F281,4),52)),$F$2:T488,COLUMNS($F$2:T488),FALSE)))</f>
        <v/>
      </c>
      <c r="AA281" s="269" t="str">
        <f>IFERROR(IF(R281=0,"",(S281/VLOOKUP(_xlfn.NUMBERVALUE(_xlfn.CONCAT(LEFT(F281,4),52)),$F$2:U488,COLUMNS($F$2:U488),FALSE))),"")</f>
        <v/>
      </c>
      <c r="AB281" s="268" t="str">
        <f t="shared" si="104"/>
        <v/>
      </c>
      <c r="AC281" s="450" t="str">
        <f t="shared" si="105"/>
        <v/>
      </c>
      <c r="AD281" s="450" t="str">
        <f t="shared" si="106"/>
        <v/>
      </c>
      <c r="AE281" s="269" t="str">
        <f t="shared" si="107"/>
        <v/>
      </c>
      <c r="AF281" s="268" t="str">
        <f t="shared" si="108"/>
        <v/>
      </c>
      <c r="AG281" s="450" t="str">
        <f t="shared" si="109"/>
        <v/>
      </c>
      <c r="AH281" s="450" t="str">
        <f t="shared" si="110"/>
        <v/>
      </c>
      <c r="AI281" s="269" t="str">
        <f t="shared" si="111"/>
        <v/>
      </c>
      <c r="AJ281" s="450" t="str">
        <f>IF(O281=0,"-",SUMIFS($O$2:O281,$A$2:A281,$A281,$F$2:F281,"&lt;="&amp;$F281)/SUMIFS($G$2:G281,$A$2:A281,$A281,$F$2:F281,"&lt;="&amp;$F281)-1)</f>
        <v>-</v>
      </c>
      <c r="AK281" s="450" t="str">
        <f>IF(P281=0,"-",SUMIFS($P$2:P281,$A$2:A281,$A281,$F$2:F281,"&lt;="&amp;$F281)/SUMIFS($H$2:H281,$A$2:A281,$A281,$F$2:F281,"&lt;="&amp;$F281)-1)</f>
        <v>-</v>
      </c>
      <c r="AL281" s="450" t="str">
        <f>IF(Q281=0,"-",SUMIFS($Q$2:Q281,$A$2:A281,$A281,$F$2:F281,"&lt;="&amp;$F281)/SUMIFS($I$2:I281,$A$2:A281,$A281,$F$2:F281,"&lt;="&amp;$F281)-1)</f>
        <v>-</v>
      </c>
      <c r="AM281" s="450" t="str">
        <f>IFERROR(IF(O281=0,"-",SUMIFS($O$2:O281,$A$2:A281,$A281,$F$2:F281,"&lt;="&amp;$F281)/SUMIFS($K$2:K281,$A$2:A281,$A281,$F$2:F281,"&lt;="&amp;$F281)-1),"")</f>
        <v>-</v>
      </c>
      <c r="AN281" s="450" t="str">
        <f>IFERROR(IF(P281=0,"-",SUMIFS($P$2:P281,$A$2:A281,$A281,$F$2:F281,"&lt;="&amp;$F281)/SUMIFS($L$2:L281,$A$2:A281,$A281,$F$2:F281,"&lt;="&amp;$F281)-1),"")</f>
        <v>-</v>
      </c>
      <c r="AO281" s="269" t="str">
        <f>IFERROR(IF(Q281=0,"-",SUMIFS($Q$2:Q281,$A$2:A281,$A281,$F$2:F281,"&lt;="&amp;$F281)/SUMIFS($M$2:M281,$A$2:A281,$A281,$F$2:F281,"&lt;="&amp;$F281)-1),"")</f>
        <v>-</v>
      </c>
      <c r="AP281" s="134"/>
      <c r="AQ281" s="452" t="str">
        <f>'Overall Metrics'!AO286</f>
        <v/>
      </c>
      <c r="AR281" s="450" t="str">
        <f t="shared" si="112"/>
        <v/>
      </c>
      <c r="AS281" s="453" t="str">
        <f>IFERROR(IF(R282=0,"-",AVERAGEIFS($AQ$2:AQ281,$A$2:A281,$A281,$F$2:F281,"&lt;="&amp;$F281)-AVERAGEIFS($AP$2:AP281,$A$2:A281,$A281,$F$2:F281,"&lt;="&amp;$F281)),"")</f>
        <v>-</v>
      </c>
      <c r="AT281" s="390" t="str">
        <f>IFERROR(IF(R282=0,"-",AVERAGEIFS($AQ$2:AQ281,$A$2:A281,A281,$C$2:C281,C281)-AVERAGEIFS($AP$2:AP281,$A$2:A281,A281,$C$2:C281,C281)),"")</f>
        <v>-</v>
      </c>
      <c r="AU281" s="451"/>
      <c r="AV281" s="452">
        <f>'Overall Metrics'!AS286</f>
        <v>0</v>
      </c>
      <c r="AW281" s="450" t="str">
        <f t="shared" si="119"/>
        <v/>
      </c>
      <c r="AX281" s="453" t="str">
        <f>IFERROR(IF(R285=0,"-",AVERAGEIFS($AV$2:AV281,$A$2:A281,$A281,$F$2:F281,"&lt;="&amp;$F281)-AVERAGEIFS($AU$2:AU281,$A$2:A281,$A281,$F$2:F281,"&lt;="&amp;$F281)),"")</f>
        <v>-</v>
      </c>
      <c r="AY281" s="390" t="str">
        <f>IFERROR(IF(R285=0,"-",AVERAGEIFS($AV$2:AV281,$A$2:A281,A281,$C$2:C281,C281)-AVERAGEIFS($AU$2:AU281,$A$2:A281,A281,$C$2:C281,C281)),"")</f>
        <v>-</v>
      </c>
      <c r="AZ281" s="103"/>
      <c r="BA281" s="449">
        <f>'Glass Metrics'!AC286</f>
        <v>0</v>
      </c>
      <c r="BB281" s="450" t="str">
        <f t="shared" si="113"/>
        <v/>
      </c>
      <c r="BC281" s="450" t="str">
        <f>IFERROR(IF(R281=0,"-",AVERAGEIFS($BA$2:BA281,$A$2:A281,$A281,$F$2:F281,"&lt;="&amp;$F281)/AVERAGEIFS($AZ$2:AZ281,$A$2:A281,$A281,$F$2:F281,"&lt;="&amp;$F281)-1),"")</f>
        <v>-</v>
      </c>
      <c r="BD281" s="269" t="str">
        <f>IFERROR(IF(R281=0,"-",AVERAGEIFS($BA$2:BA281,$A$2:A281,A281,$C$2:C281,C281)/AVERAGEIFS($AZ$2:AZ281,$A$2:A281,A281,$C$2:C281,C281)-1),"")</f>
        <v>-</v>
      </c>
    </row>
    <row r="282" spans="1:56" ht="15.6" customHeight="1">
      <c r="A282" s="175">
        <f t="shared" si="93"/>
        <v>2026</v>
      </c>
      <c r="B282" s="447" t="str">
        <f t="shared" si="94"/>
        <v>20</v>
      </c>
      <c r="C282" s="447" t="str">
        <f t="array" ref="C282">_xlfn.IFS(_xlfn.NUMBERVALUE(B282)&lt;=13,"Q1",AND(_xlfn.NUMBERVALUE(B282)&gt;13,_xlfn.NUMBERVALUE(B282)&lt;=26),"Q2", AND(_xlfn.NUMBERVALUE(B282)&gt;26,_xlfn.NUMBERVALUE(B282)&lt;=39),"Q3",_xlfn.NUMBERVALUE(B282)&gt;39,"Q4")</f>
        <v>Q2</v>
      </c>
      <c r="D282" s="448">
        <f t="shared" si="114"/>
        <v>45822</v>
      </c>
      <c r="E282" s="448">
        <f t="shared" si="95"/>
        <v>45828</v>
      </c>
      <c r="F282" s="79">
        <v>202520</v>
      </c>
      <c r="G282" s="103"/>
      <c r="H282" s="429"/>
      <c r="I282" s="429"/>
      <c r="J282" s="214">
        <f t="shared" si="96"/>
        <v>0</v>
      </c>
      <c r="K282" s="429"/>
      <c r="L282" s="429"/>
      <c r="M282" s="429"/>
      <c r="N282" s="214">
        <f t="shared" si="97"/>
        <v>0</v>
      </c>
      <c r="O282" s="449">
        <f>'Overall Metrics'!L287</f>
        <v>0</v>
      </c>
      <c r="P282" s="449">
        <f>'Overall Metrics'!M287</f>
        <v>0</v>
      </c>
      <c r="Q282" s="449">
        <f>'Overall Metrics'!N287</f>
        <v>0</v>
      </c>
      <c r="R282" s="449">
        <f t="shared" si="98"/>
        <v>0</v>
      </c>
      <c r="S282" s="180">
        <f t="shared" si="99"/>
        <v>0</v>
      </c>
      <c r="T282" s="449">
        <f t="shared" si="100"/>
        <v>1256337</v>
      </c>
      <c r="U282" s="449">
        <f t="shared" si="101"/>
        <v>1322941</v>
      </c>
      <c r="V282" s="450" t="str">
        <f t="shared" si="102"/>
        <v/>
      </c>
      <c r="W282" s="450" t="str">
        <f>IF(R282=0,"-",SUMIFS($R$2:R282,$A$2:A282,A282,$C$2:C282,C282)/SUMIFS($J$2:J282,$A$2:A282,A282,$C$2:C282,C282)-1)</f>
        <v>-</v>
      </c>
      <c r="X282" s="450" t="str">
        <f t="shared" si="103"/>
        <v/>
      </c>
      <c r="Y282" s="450" t="str">
        <f>IFERROR(IF(R282=0,"-",SUMIFS($R$2:R282,$A$2:A282,A282,$C$2:C282,C282)/SUMIFS($N$2:N282,$A$2:A282,A282,$C$2:C282,C282)-1),"")</f>
        <v>-</v>
      </c>
      <c r="Z282" s="269" t="str">
        <f>IF(R282=0,"",(S282/VLOOKUP(_xlfn.NUMBERVALUE(_xlfn.CONCAT(LEFT(F282,4),52)),$F$2:T489,COLUMNS($F$2:T489),FALSE)))</f>
        <v/>
      </c>
      <c r="AA282" s="269" t="str">
        <f>IFERROR(IF(R282=0,"",(S282/VLOOKUP(_xlfn.NUMBERVALUE(_xlfn.CONCAT(LEFT(F282,4),52)),$F$2:U489,COLUMNS($F$2:U489),FALSE))),"")</f>
        <v/>
      </c>
      <c r="AB282" s="268" t="str">
        <f t="shared" si="104"/>
        <v/>
      </c>
      <c r="AC282" s="450" t="str">
        <f t="shared" si="105"/>
        <v/>
      </c>
      <c r="AD282" s="450" t="str">
        <f t="shared" si="106"/>
        <v/>
      </c>
      <c r="AE282" s="269" t="str">
        <f t="shared" si="107"/>
        <v/>
      </c>
      <c r="AF282" s="268" t="str">
        <f t="shared" si="108"/>
        <v/>
      </c>
      <c r="AG282" s="450" t="str">
        <f t="shared" si="109"/>
        <v/>
      </c>
      <c r="AH282" s="450" t="str">
        <f t="shared" si="110"/>
        <v/>
      </c>
      <c r="AI282" s="269" t="str">
        <f t="shared" si="111"/>
        <v/>
      </c>
      <c r="AJ282" s="450" t="str">
        <f>IF(O282=0,"-",SUMIFS($O$2:O282,$A$2:A282,$A282,$F$2:F282,"&lt;="&amp;$F282)/SUMIFS($G$2:G282,$A$2:A282,$A282,$F$2:F282,"&lt;="&amp;$F282)-1)</f>
        <v>-</v>
      </c>
      <c r="AK282" s="450" t="str">
        <f>IF(P282=0,"-",SUMIFS($P$2:P282,$A$2:A282,$A282,$F$2:F282,"&lt;="&amp;$F282)/SUMIFS($H$2:H282,$A$2:A282,$A282,$F$2:F282,"&lt;="&amp;$F282)-1)</f>
        <v>-</v>
      </c>
      <c r="AL282" s="450" t="str">
        <f>IF(Q282=0,"-",SUMIFS($Q$2:Q282,$A$2:A282,$A282,$F$2:F282,"&lt;="&amp;$F282)/SUMIFS($I$2:I282,$A$2:A282,$A282,$F$2:F282,"&lt;="&amp;$F282)-1)</f>
        <v>-</v>
      </c>
      <c r="AM282" s="450" t="str">
        <f>IFERROR(IF(O282=0,"-",SUMIFS($O$2:O282,$A$2:A282,$A282,$F$2:F282,"&lt;="&amp;$F282)/SUMIFS($K$2:K282,$A$2:A282,$A282,$F$2:F282,"&lt;="&amp;$F282)-1),"")</f>
        <v>-</v>
      </c>
      <c r="AN282" s="450" t="str">
        <f>IFERROR(IF(P282=0,"-",SUMIFS($P$2:P282,$A$2:A282,$A282,$F$2:F282,"&lt;="&amp;$F282)/SUMIFS($L$2:L282,$A$2:A282,$A282,$F$2:F282,"&lt;="&amp;$F282)-1),"")</f>
        <v>-</v>
      </c>
      <c r="AO282" s="269" t="str">
        <f>IFERROR(IF(Q282=0,"-",SUMIFS($Q$2:Q282,$A$2:A282,$A282,$F$2:F282,"&lt;="&amp;$F282)/SUMIFS($M$2:M282,$A$2:A282,$A282,$F$2:F282,"&lt;="&amp;$F282)-1),"")</f>
        <v>-</v>
      </c>
      <c r="AP282" s="134"/>
      <c r="AQ282" s="452" t="str">
        <f>'Overall Metrics'!AO287</f>
        <v/>
      </c>
      <c r="AR282" s="450" t="str">
        <f t="shared" si="112"/>
        <v/>
      </c>
      <c r="AS282" s="453" t="str">
        <f>IFERROR(IF(R283=0,"-",AVERAGEIFS($AQ$2:AQ282,$A$2:A282,$A282,$F$2:F282,"&lt;="&amp;$F282)-AVERAGEIFS($AP$2:AP282,$A$2:A282,$A282,$F$2:F282,"&lt;="&amp;$F282)),"")</f>
        <v>-</v>
      </c>
      <c r="AT282" s="390" t="str">
        <f>IFERROR(IF(R283=0,"-",AVERAGEIFS($AQ$2:AQ282,$A$2:A282,A282,$C$2:C282,C282)-AVERAGEIFS($AP$2:AP282,$A$2:A282,A282,$C$2:C282,C282)),"")</f>
        <v>-</v>
      </c>
      <c r="AU282" s="451"/>
      <c r="AV282" s="452">
        <f>'Overall Metrics'!AS287</f>
        <v>0</v>
      </c>
      <c r="AW282" s="450" t="str">
        <f t="shared" si="119"/>
        <v/>
      </c>
      <c r="AX282" s="453" t="str">
        <f>IFERROR(IF(R286=0,"-",AVERAGEIFS($AV$2:AV282,$A$2:A282,$A282,$F$2:F282,"&lt;="&amp;$F282)-AVERAGEIFS($AU$2:AU282,$A$2:A282,$A282,$F$2:F282,"&lt;="&amp;$F282)),"")</f>
        <v>-</v>
      </c>
      <c r="AY282" s="390" t="str">
        <f>IFERROR(IF(R286=0,"-",AVERAGEIFS($AV$2:AV282,$A$2:A282,A282,$C$2:C282,C282)-AVERAGEIFS($AU$2:AU282,$A$2:A282,A282,$C$2:C282,C282)),"")</f>
        <v>-</v>
      </c>
      <c r="AZ282" s="103"/>
      <c r="BA282" s="449">
        <f>'Glass Metrics'!AC287</f>
        <v>0</v>
      </c>
      <c r="BB282" s="450" t="str">
        <f t="shared" si="113"/>
        <v/>
      </c>
      <c r="BC282" s="450" t="str">
        <f>IFERROR(IF(R282=0,"-",AVERAGEIFS($BA$2:BA282,$A$2:A282,$A282,$F$2:F282,"&lt;="&amp;$F282)/AVERAGEIFS($AZ$2:AZ282,$A$2:A282,$A282,$F$2:F282,"&lt;="&amp;$F282)-1),"")</f>
        <v>-</v>
      </c>
      <c r="BD282" s="269" t="str">
        <f>IFERROR(IF(R282=0,"-",AVERAGEIFS($BA$2:BA282,$A$2:A282,A282,$C$2:C282,C282)/AVERAGEIFS($AZ$2:AZ282,$A$2:A282,A282,$C$2:C282,C282)-1),"")</f>
        <v>-</v>
      </c>
    </row>
    <row r="283" spans="1:56" ht="15.6" customHeight="1">
      <c r="A283" s="175">
        <f t="shared" si="93"/>
        <v>2026</v>
      </c>
      <c r="B283" s="447" t="str">
        <f t="shared" si="94"/>
        <v>21</v>
      </c>
      <c r="C283" s="447" t="str">
        <f t="array" ref="C283">_xlfn.IFS(_xlfn.NUMBERVALUE(B283)&lt;=13,"Q1",AND(_xlfn.NUMBERVALUE(B283)&gt;13,_xlfn.NUMBERVALUE(B283)&lt;=26),"Q2", AND(_xlfn.NUMBERVALUE(B283)&gt;26,_xlfn.NUMBERVALUE(B283)&lt;=39),"Q3",_xlfn.NUMBERVALUE(B283)&gt;39,"Q4")</f>
        <v>Q2</v>
      </c>
      <c r="D283" s="448">
        <f t="shared" si="114"/>
        <v>45829</v>
      </c>
      <c r="E283" s="448">
        <f t="shared" si="95"/>
        <v>45835</v>
      </c>
      <c r="F283" s="79">
        <v>202521</v>
      </c>
      <c r="G283" s="103"/>
      <c r="H283" s="429"/>
      <c r="I283" s="429"/>
      <c r="J283" s="214">
        <f t="shared" si="96"/>
        <v>0</v>
      </c>
      <c r="K283" s="429"/>
      <c r="L283" s="429"/>
      <c r="M283" s="429"/>
      <c r="N283" s="214">
        <f t="shared" si="97"/>
        <v>0</v>
      </c>
      <c r="O283" s="449">
        <f>'Overall Metrics'!L288</f>
        <v>0</v>
      </c>
      <c r="P283" s="449">
        <f>'Overall Metrics'!M288</f>
        <v>0</v>
      </c>
      <c r="Q283" s="449">
        <f>'Overall Metrics'!N288</f>
        <v>0</v>
      </c>
      <c r="R283" s="449">
        <f t="shared" si="98"/>
        <v>0</v>
      </c>
      <c r="S283" s="180">
        <f t="shared" si="99"/>
        <v>0</v>
      </c>
      <c r="T283" s="449">
        <f t="shared" si="100"/>
        <v>1256337</v>
      </c>
      <c r="U283" s="449">
        <f t="shared" si="101"/>
        <v>1322941</v>
      </c>
      <c r="V283" s="450" t="str">
        <f t="shared" si="102"/>
        <v/>
      </c>
      <c r="W283" s="450" t="str">
        <f>IF(R283=0,"-",SUMIFS($R$2:R283,$A$2:A283,A283,$C$2:C283,C283)/SUMIFS($J$2:J283,$A$2:A283,A283,$C$2:C283,C283)-1)</f>
        <v>-</v>
      </c>
      <c r="X283" s="450" t="str">
        <f t="shared" si="103"/>
        <v/>
      </c>
      <c r="Y283" s="450" t="str">
        <f>IFERROR(IF(R283=0,"-",SUMIFS($R$2:R283,$A$2:A283,A283,$C$2:C283,C283)/SUMIFS($N$2:N283,$A$2:A283,A283,$C$2:C283,C283)-1),"")</f>
        <v>-</v>
      </c>
      <c r="Z283" s="269" t="str">
        <f>IF(R283=0,"",(S283/VLOOKUP(_xlfn.NUMBERVALUE(_xlfn.CONCAT(LEFT(F283,4),52)),$F$2:T490,COLUMNS($F$2:T490),FALSE)))</f>
        <v/>
      </c>
      <c r="AA283" s="269" t="str">
        <f>IFERROR(IF(R283=0,"",(S283/VLOOKUP(_xlfn.NUMBERVALUE(_xlfn.CONCAT(LEFT(F283,4),52)),$F$2:U490,COLUMNS($F$2:U490),FALSE))),"")</f>
        <v/>
      </c>
      <c r="AB283" s="268" t="str">
        <f t="shared" si="104"/>
        <v/>
      </c>
      <c r="AC283" s="450" t="str">
        <f t="shared" si="105"/>
        <v/>
      </c>
      <c r="AD283" s="450" t="str">
        <f t="shared" si="106"/>
        <v/>
      </c>
      <c r="AE283" s="269" t="str">
        <f t="shared" si="107"/>
        <v/>
      </c>
      <c r="AF283" s="268" t="str">
        <f t="shared" si="108"/>
        <v/>
      </c>
      <c r="AG283" s="450" t="str">
        <f t="shared" si="109"/>
        <v/>
      </c>
      <c r="AH283" s="450" t="str">
        <f t="shared" si="110"/>
        <v/>
      </c>
      <c r="AI283" s="269" t="str">
        <f t="shared" si="111"/>
        <v/>
      </c>
      <c r="AJ283" s="450" t="str">
        <f>IF(O283=0,"-",SUMIFS($O$2:O283,$A$2:A283,$A283,$F$2:F283,"&lt;="&amp;$F283)/SUMIFS($G$2:G283,$A$2:A283,$A283,$F$2:F283,"&lt;="&amp;$F283)-1)</f>
        <v>-</v>
      </c>
      <c r="AK283" s="450" t="str">
        <f>IF(P283=0,"-",SUMIFS($P$2:P283,$A$2:A283,$A283,$F$2:F283,"&lt;="&amp;$F283)/SUMIFS($H$2:H283,$A$2:A283,$A283,$F$2:F283,"&lt;="&amp;$F283)-1)</f>
        <v>-</v>
      </c>
      <c r="AL283" s="450" t="str">
        <f>IF(Q283=0,"-",SUMIFS($Q$2:Q283,$A$2:A283,$A283,$F$2:F283,"&lt;="&amp;$F283)/SUMIFS($I$2:I283,$A$2:A283,$A283,$F$2:F283,"&lt;="&amp;$F283)-1)</f>
        <v>-</v>
      </c>
      <c r="AM283" s="450" t="str">
        <f>IFERROR(IF(O283=0,"-",SUMIFS($O$2:O283,$A$2:A283,$A283,$F$2:F283,"&lt;="&amp;$F283)/SUMIFS($K$2:K283,$A$2:A283,$A283,$F$2:F283,"&lt;="&amp;$F283)-1),"")</f>
        <v>-</v>
      </c>
      <c r="AN283" s="450" t="str">
        <f>IFERROR(IF(P283=0,"-",SUMIFS($P$2:P283,$A$2:A283,$A283,$F$2:F283,"&lt;="&amp;$F283)/SUMIFS($L$2:L283,$A$2:A283,$A283,$F$2:F283,"&lt;="&amp;$F283)-1),"")</f>
        <v>-</v>
      </c>
      <c r="AO283" s="269" t="str">
        <f>IFERROR(IF(Q283=0,"-",SUMIFS($Q$2:Q283,$A$2:A283,$A283,$F$2:F283,"&lt;="&amp;$F283)/SUMIFS($M$2:M283,$A$2:A283,$A283,$F$2:F283,"&lt;="&amp;$F283)-1),"")</f>
        <v>-</v>
      </c>
      <c r="AP283" s="134"/>
      <c r="AQ283" s="452" t="str">
        <f>'Overall Metrics'!AO288</f>
        <v/>
      </c>
      <c r="AR283" s="450" t="str">
        <f t="shared" si="112"/>
        <v/>
      </c>
      <c r="AS283" s="453" t="str">
        <f>IFERROR(IF(R284=0,"-",AVERAGEIFS($AQ$2:AQ283,$A$2:A283,$A283,$F$2:F283,"&lt;="&amp;$F283)-AVERAGEIFS($AP$2:AP283,$A$2:A283,$A283,$F$2:F283,"&lt;="&amp;$F283)),"")</f>
        <v>-</v>
      </c>
      <c r="AT283" s="390" t="str">
        <f>IFERROR(IF(R284=0,"-",AVERAGEIFS($AQ$2:AQ283,$A$2:A283,A283,$C$2:C283,C283)-AVERAGEIFS($AP$2:AP283,$A$2:A283,A283,$C$2:C283,C283)),"")</f>
        <v>-</v>
      </c>
      <c r="AU283" s="451"/>
      <c r="AV283" s="452">
        <f>'Overall Metrics'!AS288</f>
        <v>0</v>
      </c>
      <c r="AW283" s="450" t="str">
        <f t="shared" si="119"/>
        <v/>
      </c>
      <c r="AX283" s="453" t="str">
        <f>IFERROR(IF(R287=0,"-",AVERAGEIFS($AV$2:AV283,$A$2:A283,$A283,$F$2:F283,"&lt;="&amp;$F283)-AVERAGEIFS($AU$2:AU283,$A$2:A283,$A283,$F$2:F283,"&lt;="&amp;$F283)),"")</f>
        <v>-</v>
      </c>
      <c r="AY283" s="390" t="str">
        <f>IFERROR(IF(R287=0,"-",AVERAGEIFS($AV$2:AV283,$A$2:A283,A283,$C$2:C283,C283)-AVERAGEIFS($AU$2:AU283,$A$2:A283,A283,$C$2:C283,C283)),"")</f>
        <v>-</v>
      </c>
      <c r="AZ283" s="103"/>
      <c r="BA283" s="449">
        <f>'Glass Metrics'!AC288</f>
        <v>0</v>
      </c>
      <c r="BB283" s="450" t="str">
        <f t="shared" si="113"/>
        <v/>
      </c>
      <c r="BC283" s="450" t="str">
        <f>IFERROR(IF(R283=0,"-",AVERAGEIFS($BA$2:BA283,$A$2:A283,$A283,$F$2:F283,"&lt;="&amp;$F283)/AVERAGEIFS($AZ$2:AZ283,$A$2:A283,$A283,$F$2:F283,"&lt;="&amp;$F283)-1),"")</f>
        <v>-</v>
      </c>
      <c r="BD283" s="269" t="str">
        <f>IFERROR(IF(R283=0,"-",AVERAGEIFS($BA$2:BA283,$A$2:A283,A283,$C$2:C283,C283)/AVERAGEIFS($AZ$2:AZ283,$A$2:A283,A283,$C$2:C283,C283)-1),"")</f>
        <v>-</v>
      </c>
    </row>
    <row r="284" spans="1:56" ht="15.6" customHeight="1">
      <c r="A284" s="175">
        <f t="shared" si="93"/>
        <v>2026</v>
      </c>
      <c r="B284" s="447" t="str">
        <f t="shared" si="94"/>
        <v>22</v>
      </c>
      <c r="C284" s="447" t="str">
        <f t="array" ref="C284">_xlfn.IFS(_xlfn.NUMBERVALUE(B284)&lt;=13,"Q1",AND(_xlfn.NUMBERVALUE(B284)&gt;13,_xlfn.NUMBERVALUE(B284)&lt;=26),"Q2", AND(_xlfn.NUMBERVALUE(B284)&gt;26,_xlfn.NUMBERVALUE(B284)&lt;=39),"Q3",_xlfn.NUMBERVALUE(B284)&gt;39,"Q4")</f>
        <v>Q2</v>
      </c>
      <c r="D284" s="448">
        <f t="shared" si="114"/>
        <v>45836</v>
      </c>
      <c r="E284" s="448">
        <f t="shared" si="95"/>
        <v>45842</v>
      </c>
      <c r="F284" s="79">
        <v>202522</v>
      </c>
      <c r="G284" s="103"/>
      <c r="H284" s="429"/>
      <c r="I284" s="429"/>
      <c r="J284" s="214">
        <f t="shared" si="96"/>
        <v>0</v>
      </c>
      <c r="K284" s="429"/>
      <c r="L284" s="429"/>
      <c r="M284" s="429"/>
      <c r="N284" s="214">
        <f t="shared" si="97"/>
        <v>0</v>
      </c>
      <c r="O284" s="449">
        <f>'Overall Metrics'!L289</f>
        <v>0</v>
      </c>
      <c r="P284" s="449">
        <f>'Overall Metrics'!M289</f>
        <v>0</v>
      </c>
      <c r="Q284" s="449">
        <f>'Overall Metrics'!N289</f>
        <v>0</v>
      </c>
      <c r="R284" s="449">
        <f t="shared" si="98"/>
        <v>0</v>
      </c>
      <c r="S284" s="180">
        <f t="shared" si="99"/>
        <v>0</v>
      </c>
      <c r="T284" s="449">
        <f t="shared" si="100"/>
        <v>1256337</v>
      </c>
      <c r="U284" s="449">
        <f t="shared" si="101"/>
        <v>1322941</v>
      </c>
      <c r="V284" s="450" t="str">
        <f t="shared" si="102"/>
        <v/>
      </c>
      <c r="W284" s="450" t="str">
        <f>IF(R284=0,"-",SUMIFS($R$2:R284,$A$2:A284,A284,$C$2:C284,C284)/SUMIFS($J$2:J284,$A$2:A284,A284,$C$2:C284,C284)-1)</f>
        <v>-</v>
      </c>
      <c r="X284" s="450" t="str">
        <f t="shared" si="103"/>
        <v/>
      </c>
      <c r="Y284" s="450" t="str">
        <f>IFERROR(IF(R284=0,"-",SUMIFS($R$2:R284,$A$2:A284,A284,$C$2:C284,C284)/SUMIFS($N$2:N284,$A$2:A284,A284,$C$2:C284,C284)-1),"")</f>
        <v>-</v>
      </c>
      <c r="Z284" s="269" t="str">
        <f>IF(R284=0,"",(S284/VLOOKUP(_xlfn.NUMBERVALUE(_xlfn.CONCAT(LEFT(F284,4),52)),$F$2:T491,COLUMNS($F$2:T491),FALSE)))</f>
        <v/>
      </c>
      <c r="AA284" s="269" t="str">
        <f>IFERROR(IF(R284=0,"",(S284/VLOOKUP(_xlfn.NUMBERVALUE(_xlfn.CONCAT(LEFT(F284,4),52)),$F$2:U491,COLUMNS($F$2:U491),FALSE))),"")</f>
        <v/>
      </c>
      <c r="AB284" s="268" t="str">
        <f t="shared" si="104"/>
        <v/>
      </c>
      <c r="AC284" s="450" t="str">
        <f t="shared" si="105"/>
        <v/>
      </c>
      <c r="AD284" s="450" t="str">
        <f t="shared" si="106"/>
        <v/>
      </c>
      <c r="AE284" s="269" t="str">
        <f t="shared" si="107"/>
        <v/>
      </c>
      <c r="AF284" s="268" t="str">
        <f t="shared" si="108"/>
        <v/>
      </c>
      <c r="AG284" s="450" t="str">
        <f t="shared" si="109"/>
        <v/>
      </c>
      <c r="AH284" s="450" t="str">
        <f t="shared" si="110"/>
        <v/>
      </c>
      <c r="AI284" s="269" t="str">
        <f t="shared" si="111"/>
        <v/>
      </c>
      <c r="AJ284" s="450" t="str">
        <f>IF(O284=0,"-",SUMIFS($O$2:O284,$A$2:A284,$A284,$F$2:F284,"&lt;="&amp;$F284)/SUMIFS($G$2:G284,$A$2:A284,$A284,$F$2:F284,"&lt;="&amp;$F284)-1)</f>
        <v>-</v>
      </c>
      <c r="AK284" s="450" t="str">
        <f>IF(P284=0,"-",SUMIFS($P$2:P284,$A$2:A284,$A284,$F$2:F284,"&lt;="&amp;$F284)/SUMIFS($H$2:H284,$A$2:A284,$A284,$F$2:F284,"&lt;="&amp;$F284)-1)</f>
        <v>-</v>
      </c>
      <c r="AL284" s="450" t="str">
        <f>IF(Q284=0,"-",SUMIFS($Q$2:Q284,$A$2:A284,$A284,$F$2:F284,"&lt;="&amp;$F284)/SUMIFS($I$2:I284,$A$2:A284,$A284,$F$2:F284,"&lt;="&amp;$F284)-1)</f>
        <v>-</v>
      </c>
      <c r="AM284" s="450" t="str">
        <f>IFERROR(IF(O284=0,"-",SUMIFS($O$2:O284,$A$2:A284,$A284,$F$2:F284,"&lt;="&amp;$F284)/SUMIFS($K$2:K284,$A$2:A284,$A284,$F$2:F284,"&lt;="&amp;$F284)-1),"")</f>
        <v>-</v>
      </c>
      <c r="AN284" s="450" t="str">
        <f>IFERROR(IF(P284=0,"-",SUMIFS($P$2:P284,$A$2:A284,$A284,$F$2:F284,"&lt;="&amp;$F284)/SUMIFS($L$2:L284,$A$2:A284,$A284,$F$2:F284,"&lt;="&amp;$F284)-1),"")</f>
        <v>-</v>
      </c>
      <c r="AO284" s="269" t="str">
        <f>IFERROR(IF(Q284=0,"-",SUMIFS($Q$2:Q284,$A$2:A284,$A284,$F$2:F284,"&lt;="&amp;$F284)/SUMIFS($M$2:M284,$A$2:A284,$A284,$F$2:F284,"&lt;="&amp;$F284)-1),"")</f>
        <v>-</v>
      </c>
      <c r="AP284" s="134"/>
      <c r="AQ284" s="452" t="str">
        <f>'Overall Metrics'!AO289</f>
        <v/>
      </c>
      <c r="AR284" s="450" t="str">
        <f t="shared" si="112"/>
        <v/>
      </c>
      <c r="AS284" s="453" t="str">
        <f>IFERROR(IF(R285=0,"-",AVERAGEIFS($AQ$2:AQ284,$A$2:A284,$A284,$F$2:F284,"&lt;="&amp;$F284)-AVERAGEIFS($AP$2:AP284,$A$2:A284,$A284,$F$2:F284,"&lt;="&amp;$F284)),"")</f>
        <v>-</v>
      </c>
      <c r="AT284" s="390" t="str">
        <f>IFERROR(IF(R285=0,"-",AVERAGEIFS($AQ$2:AQ284,$A$2:A284,A284,$C$2:C284,C284)-AVERAGEIFS($AP$2:AP284,$A$2:A284,A284,$C$2:C284,C284)),"")</f>
        <v>-</v>
      </c>
      <c r="AU284" s="451"/>
      <c r="AV284" s="452">
        <f>'Overall Metrics'!AS289</f>
        <v>0</v>
      </c>
      <c r="AW284" s="450" t="str">
        <f t="shared" si="119"/>
        <v/>
      </c>
      <c r="AX284" s="453" t="str">
        <f>IFERROR(IF(R288=0,"-",AVERAGEIFS($AV$2:AV284,$A$2:A284,$A284,$F$2:F284,"&lt;="&amp;$F284)-AVERAGEIFS($AU$2:AU284,$A$2:A284,$A284,$F$2:F284,"&lt;="&amp;$F284)),"")</f>
        <v>-</v>
      </c>
      <c r="AY284" s="390" t="str">
        <f>IFERROR(IF(R288=0,"-",AVERAGEIFS($AV$2:AV284,$A$2:A284,A284,$C$2:C284,C284)-AVERAGEIFS($AU$2:AU284,$A$2:A284,A284,$C$2:C284,C284)),"")</f>
        <v>-</v>
      </c>
      <c r="AZ284" s="103"/>
      <c r="BA284" s="449">
        <f>'Glass Metrics'!AC289</f>
        <v>0</v>
      </c>
      <c r="BB284" s="450" t="str">
        <f t="shared" si="113"/>
        <v/>
      </c>
      <c r="BC284" s="450" t="str">
        <f>IFERROR(IF(R284=0,"-",AVERAGEIFS($BA$2:BA284,$A$2:A284,$A284,$F$2:F284,"&lt;="&amp;$F284)/AVERAGEIFS($AZ$2:AZ284,$A$2:A284,$A284,$F$2:F284,"&lt;="&amp;$F284)-1),"")</f>
        <v>-</v>
      </c>
      <c r="BD284" s="269" t="str">
        <f>IFERROR(IF(R284=0,"-",AVERAGEIFS($BA$2:BA284,$A$2:A284,A284,$C$2:C284,C284)/AVERAGEIFS($AZ$2:AZ284,$A$2:A284,A284,$C$2:C284,C284)-1),"")</f>
        <v>-</v>
      </c>
    </row>
    <row r="285" spans="1:56" ht="15.6" customHeight="1">
      <c r="A285" s="175">
        <f t="shared" si="93"/>
        <v>2026</v>
      </c>
      <c r="B285" s="447" t="str">
        <f t="shared" si="94"/>
        <v>23</v>
      </c>
      <c r="C285" s="447" t="str">
        <f t="array" ref="C285">_xlfn.IFS(_xlfn.NUMBERVALUE(B285)&lt;=13,"Q1",AND(_xlfn.NUMBERVALUE(B285)&gt;13,_xlfn.NUMBERVALUE(B285)&lt;=26),"Q2", AND(_xlfn.NUMBERVALUE(B285)&gt;26,_xlfn.NUMBERVALUE(B285)&lt;=39),"Q3",_xlfn.NUMBERVALUE(B285)&gt;39,"Q4")</f>
        <v>Q2</v>
      </c>
      <c r="D285" s="448">
        <f t="shared" si="114"/>
        <v>45843</v>
      </c>
      <c r="E285" s="448">
        <f t="shared" si="95"/>
        <v>45849</v>
      </c>
      <c r="F285" s="79">
        <v>202523</v>
      </c>
      <c r="G285" s="103"/>
      <c r="H285" s="429"/>
      <c r="I285" s="429"/>
      <c r="J285" s="214">
        <f t="shared" si="96"/>
        <v>0</v>
      </c>
      <c r="K285" s="429"/>
      <c r="L285" s="429"/>
      <c r="M285" s="429"/>
      <c r="N285" s="214">
        <f t="shared" si="97"/>
        <v>0</v>
      </c>
      <c r="O285" s="449">
        <f>'Overall Metrics'!L290</f>
        <v>0</v>
      </c>
      <c r="P285" s="449">
        <f>'Overall Metrics'!M290</f>
        <v>0</v>
      </c>
      <c r="Q285" s="449">
        <f>'Overall Metrics'!N290</f>
        <v>0</v>
      </c>
      <c r="R285" s="449">
        <f t="shared" si="98"/>
        <v>0</v>
      </c>
      <c r="S285" s="180">
        <f t="shared" si="99"/>
        <v>0</v>
      </c>
      <c r="T285" s="449">
        <f t="shared" si="100"/>
        <v>1256337</v>
      </c>
      <c r="U285" s="449">
        <f t="shared" si="101"/>
        <v>1322941</v>
      </c>
      <c r="V285" s="450" t="str">
        <f t="shared" si="102"/>
        <v/>
      </c>
      <c r="W285" s="450" t="str">
        <f>IF(R285=0,"-",SUMIFS($R$2:R285,$A$2:A285,A285,$C$2:C285,C285)/SUMIFS($J$2:J285,$A$2:A285,A285,$C$2:C285,C285)-1)</f>
        <v>-</v>
      </c>
      <c r="X285" s="450" t="str">
        <f t="shared" si="103"/>
        <v/>
      </c>
      <c r="Y285" s="450" t="str">
        <f>IFERROR(IF(R285=0,"-",SUMIFS($R$2:R285,$A$2:A285,A285,$C$2:C285,C285)/SUMIFS($N$2:N285,$A$2:A285,A285,$C$2:C285,C285)-1),"")</f>
        <v>-</v>
      </c>
      <c r="Z285" s="269" t="str">
        <f>IF(R285=0,"",(S285/VLOOKUP(_xlfn.NUMBERVALUE(_xlfn.CONCAT(LEFT(F285,4),52)),$F$2:T492,COLUMNS($F$2:T492),FALSE)))</f>
        <v/>
      </c>
      <c r="AA285" s="269" t="str">
        <f>IFERROR(IF(R285=0,"",(S285/VLOOKUP(_xlfn.NUMBERVALUE(_xlfn.CONCAT(LEFT(F285,4),52)),$F$2:U492,COLUMNS($F$2:U492),FALSE))),"")</f>
        <v/>
      </c>
      <c r="AB285" s="268" t="str">
        <f t="shared" si="104"/>
        <v/>
      </c>
      <c r="AC285" s="450" t="str">
        <f t="shared" si="105"/>
        <v/>
      </c>
      <c r="AD285" s="450" t="str">
        <f t="shared" si="106"/>
        <v/>
      </c>
      <c r="AE285" s="269" t="str">
        <f t="shared" si="107"/>
        <v/>
      </c>
      <c r="AF285" s="268" t="str">
        <f t="shared" si="108"/>
        <v/>
      </c>
      <c r="AG285" s="450" t="str">
        <f t="shared" si="109"/>
        <v/>
      </c>
      <c r="AH285" s="450" t="str">
        <f t="shared" si="110"/>
        <v/>
      </c>
      <c r="AI285" s="269" t="str">
        <f t="shared" si="111"/>
        <v/>
      </c>
      <c r="AJ285" s="450" t="str">
        <f>IF(O285=0,"-",SUMIFS($O$2:O285,$A$2:A285,$A285,$F$2:F285,"&lt;="&amp;$F285)/SUMIFS($G$2:G285,$A$2:A285,$A285,$F$2:F285,"&lt;="&amp;$F285)-1)</f>
        <v>-</v>
      </c>
      <c r="AK285" s="450" t="str">
        <f>IF(P285=0,"-",SUMIFS($P$2:P285,$A$2:A285,$A285,$F$2:F285,"&lt;="&amp;$F285)/SUMIFS($H$2:H285,$A$2:A285,$A285,$F$2:F285,"&lt;="&amp;$F285)-1)</f>
        <v>-</v>
      </c>
      <c r="AL285" s="450" t="str">
        <f>IF(Q285=0,"-",SUMIFS($Q$2:Q285,$A$2:A285,$A285,$F$2:F285,"&lt;="&amp;$F285)/SUMIFS($I$2:I285,$A$2:A285,$A285,$F$2:F285,"&lt;="&amp;$F285)-1)</f>
        <v>-</v>
      </c>
      <c r="AM285" s="450" t="str">
        <f>IFERROR(IF(O285=0,"-",SUMIFS($O$2:O285,$A$2:A285,$A285,$F$2:F285,"&lt;="&amp;$F285)/SUMIFS($K$2:K285,$A$2:A285,$A285,$F$2:F285,"&lt;="&amp;$F285)-1),"")</f>
        <v>-</v>
      </c>
      <c r="AN285" s="450" t="str">
        <f>IFERROR(IF(P285=0,"-",SUMIFS($P$2:P285,$A$2:A285,$A285,$F$2:F285,"&lt;="&amp;$F285)/SUMIFS($L$2:L285,$A$2:A285,$A285,$F$2:F285,"&lt;="&amp;$F285)-1),"")</f>
        <v>-</v>
      </c>
      <c r="AO285" s="269" t="str">
        <f>IFERROR(IF(Q285=0,"-",SUMIFS($Q$2:Q285,$A$2:A285,$A285,$F$2:F285,"&lt;="&amp;$F285)/SUMIFS($M$2:M285,$A$2:A285,$A285,$F$2:F285,"&lt;="&amp;$F285)-1),"")</f>
        <v>-</v>
      </c>
      <c r="AP285" s="134"/>
      <c r="AQ285" s="452" t="str">
        <f>'Overall Metrics'!AO290</f>
        <v/>
      </c>
      <c r="AR285" s="450" t="str">
        <f t="shared" si="112"/>
        <v/>
      </c>
      <c r="AS285" s="453" t="str">
        <f>IFERROR(IF(R286=0,"-",AVERAGEIFS($AQ$2:AQ285,$A$2:A285,$A285,$F$2:F285,"&lt;="&amp;$F285)-AVERAGEIFS($AP$2:AP285,$A$2:A285,$A285,$F$2:F285,"&lt;="&amp;$F285)),"")</f>
        <v>-</v>
      </c>
      <c r="AT285" s="390" t="str">
        <f>IFERROR(IF(R286=0,"-",AVERAGEIFS($AQ$2:AQ285,$A$2:A285,A285,$C$2:C285,C285)-AVERAGEIFS($AP$2:AP285,$A$2:A285,A285,$C$2:C285,C285)),"")</f>
        <v>-</v>
      </c>
      <c r="AU285" s="451"/>
      <c r="AV285" s="452">
        <f>'Overall Metrics'!AS290</f>
        <v>0</v>
      </c>
      <c r="AW285" s="450" t="str">
        <f t="shared" si="119"/>
        <v/>
      </c>
      <c r="AX285" s="453" t="str">
        <f>IFERROR(IF(R289=0,"-",AVERAGEIFS($AV$2:AV285,$A$2:A285,$A285,$F$2:F285,"&lt;="&amp;$F285)-AVERAGEIFS($AU$2:AU285,$A$2:A285,$A285,$F$2:F285,"&lt;="&amp;$F285)),"")</f>
        <v>-</v>
      </c>
      <c r="AY285" s="390" t="str">
        <f>IFERROR(IF(R289=0,"-",AVERAGEIFS($AV$2:AV285,$A$2:A285,A285,$C$2:C285,C285)-AVERAGEIFS($AU$2:AU285,$A$2:A285,A285,$C$2:C285,C285)),"")</f>
        <v>-</v>
      </c>
      <c r="AZ285" s="103"/>
      <c r="BA285" s="449">
        <f>'Glass Metrics'!AC290</f>
        <v>0</v>
      </c>
      <c r="BB285" s="450" t="str">
        <f t="shared" si="113"/>
        <v/>
      </c>
      <c r="BC285" s="450" t="str">
        <f>IFERROR(IF(R285=0,"-",AVERAGEIFS($BA$2:BA285,$A$2:A285,$A285,$F$2:F285,"&lt;="&amp;$F285)/AVERAGEIFS($AZ$2:AZ285,$A$2:A285,$A285,$F$2:F285,"&lt;="&amp;$F285)-1),"")</f>
        <v>-</v>
      </c>
      <c r="BD285" s="269" t="str">
        <f>IFERROR(IF(R285=0,"-",AVERAGEIFS($BA$2:BA285,$A$2:A285,A285,$C$2:C285,C285)/AVERAGEIFS($AZ$2:AZ285,$A$2:A285,A285,$C$2:C285,C285)-1),"")</f>
        <v>-</v>
      </c>
    </row>
    <row r="286" spans="1:56" ht="15.6" customHeight="1">
      <c r="A286" s="175">
        <f t="shared" si="93"/>
        <v>2026</v>
      </c>
      <c r="B286" s="447" t="str">
        <f t="shared" si="94"/>
        <v>24</v>
      </c>
      <c r="C286" s="447" t="str">
        <f t="array" ref="C286">_xlfn.IFS(_xlfn.NUMBERVALUE(B286)&lt;=13,"Q1",AND(_xlfn.NUMBERVALUE(B286)&gt;13,_xlfn.NUMBERVALUE(B286)&lt;=26),"Q2", AND(_xlfn.NUMBERVALUE(B286)&gt;26,_xlfn.NUMBERVALUE(B286)&lt;=39),"Q3",_xlfn.NUMBERVALUE(B286)&gt;39,"Q4")</f>
        <v>Q2</v>
      </c>
      <c r="D286" s="448">
        <f t="shared" si="114"/>
        <v>45850</v>
      </c>
      <c r="E286" s="448">
        <f t="shared" si="95"/>
        <v>45856</v>
      </c>
      <c r="F286" s="79">
        <v>202524</v>
      </c>
      <c r="G286" s="103"/>
      <c r="H286" s="429"/>
      <c r="I286" s="429"/>
      <c r="J286" s="214">
        <f t="shared" si="96"/>
        <v>0</v>
      </c>
      <c r="K286" s="429"/>
      <c r="L286" s="429"/>
      <c r="M286" s="429"/>
      <c r="N286" s="214">
        <f t="shared" si="97"/>
        <v>0</v>
      </c>
      <c r="O286" s="449">
        <f>'Overall Metrics'!L291</f>
        <v>0</v>
      </c>
      <c r="P286" s="449">
        <f>'Overall Metrics'!M291</f>
        <v>0</v>
      </c>
      <c r="Q286" s="449">
        <f>'Overall Metrics'!N291</f>
        <v>0</v>
      </c>
      <c r="R286" s="449">
        <f t="shared" si="98"/>
        <v>0</v>
      </c>
      <c r="S286" s="180">
        <f t="shared" si="99"/>
        <v>0</v>
      </c>
      <c r="T286" s="449">
        <f t="shared" si="100"/>
        <v>1256337</v>
      </c>
      <c r="U286" s="449">
        <f t="shared" si="101"/>
        <v>1322941</v>
      </c>
      <c r="V286" s="450" t="str">
        <f t="shared" si="102"/>
        <v/>
      </c>
      <c r="W286" s="450" t="str">
        <f>IF(R286=0,"-",SUMIFS($R$2:R286,$A$2:A286,A286,$C$2:C286,C286)/SUMIFS($J$2:J286,$A$2:A286,A286,$C$2:C286,C286)-1)</f>
        <v>-</v>
      </c>
      <c r="X286" s="450" t="str">
        <f t="shared" si="103"/>
        <v/>
      </c>
      <c r="Y286" s="450" t="str">
        <f>IFERROR(IF(R286=0,"-",SUMIFS($R$2:R286,$A$2:A286,A286,$C$2:C286,C286)/SUMIFS($N$2:N286,$A$2:A286,A286,$C$2:C286,C286)-1),"")</f>
        <v>-</v>
      </c>
      <c r="Z286" s="269" t="str">
        <f>IF(R286=0,"",(S286/VLOOKUP(_xlfn.NUMBERVALUE(_xlfn.CONCAT(LEFT(F286,4),52)),$F$2:T493,COLUMNS($F$2:T493),FALSE)))</f>
        <v/>
      </c>
      <c r="AA286" s="269" t="str">
        <f>IFERROR(IF(R286=0,"",(S286/VLOOKUP(_xlfn.NUMBERVALUE(_xlfn.CONCAT(LEFT(F286,4),52)),$F$2:U493,COLUMNS($F$2:U493),FALSE))),"")</f>
        <v/>
      </c>
      <c r="AB286" s="268" t="str">
        <f t="shared" si="104"/>
        <v/>
      </c>
      <c r="AC286" s="450" t="str">
        <f t="shared" si="105"/>
        <v/>
      </c>
      <c r="AD286" s="450" t="str">
        <f t="shared" si="106"/>
        <v/>
      </c>
      <c r="AE286" s="269" t="str">
        <f t="shared" si="107"/>
        <v/>
      </c>
      <c r="AF286" s="268" t="str">
        <f t="shared" si="108"/>
        <v/>
      </c>
      <c r="AG286" s="450" t="str">
        <f t="shared" si="109"/>
        <v/>
      </c>
      <c r="AH286" s="450" t="str">
        <f t="shared" si="110"/>
        <v/>
      </c>
      <c r="AI286" s="269" t="str">
        <f t="shared" si="111"/>
        <v/>
      </c>
      <c r="AJ286" s="450" t="str">
        <f>IF(O286=0,"-",SUMIFS($O$2:O286,$A$2:A286,$A286,$F$2:F286,"&lt;="&amp;$F286)/SUMIFS($G$2:G286,$A$2:A286,$A286,$F$2:F286,"&lt;="&amp;$F286)-1)</f>
        <v>-</v>
      </c>
      <c r="AK286" s="450" t="str">
        <f>IF(P286=0,"-",SUMIFS($P$2:P286,$A$2:A286,$A286,$F$2:F286,"&lt;="&amp;$F286)/SUMIFS($H$2:H286,$A$2:A286,$A286,$F$2:F286,"&lt;="&amp;$F286)-1)</f>
        <v>-</v>
      </c>
      <c r="AL286" s="450" t="str">
        <f>IF(Q286=0,"-",SUMIFS($Q$2:Q286,$A$2:A286,$A286,$F$2:F286,"&lt;="&amp;$F286)/SUMIFS($I$2:I286,$A$2:A286,$A286,$F$2:F286,"&lt;="&amp;$F286)-1)</f>
        <v>-</v>
      </c>
      <c r="AM286" s="450" t="str">
        <f>IFERROR(IF(O286=0,"-",SUMIFS($O$2:O286,$A$2:A286,$A286,$F$2:F286,"&lt;="&amp;$F286)/SUMIFS($K$2:K286,$A$2:A286,$A286,$F$2:F286,"&lt;="&amp;$F286)-1),"")</f>
        <v>-</v>
      </c>
      <c r="AN286" s="450" t="str">
        <f>IFERROR(IF(P286=0,"-",SUMIFS($P$2:P286,$A$2:A286,$A286,$F$2:F286,"&lt;="&amp;$F286)/SUMIFS($L$2:L286,$A$2:A286,$A286,$F$2:F286,"&lt;="&amp;$F286)-1),"")</f>
        <v>-</v>
      </c>
      <c r="AO286" s="269" t="str">
        <f>IFERROR(IF(Q286=0,"-",SUMIFS($Q$2:Q286,$A$2:A286,$A286,$F$2:F286,"&lt;="&amp;$F286)/SUMIFS($M$2:M286,$A$2:A286,$A286,$F$2:F286,"&lt;="&amp;$F286)-1),"")</f>
        <v>-</v>
      </c>
      <c r="AP286" s="134"/>
      <c r="AQ286" s="452" t="str">
        <f>'Overall Metrics'!AO291</f>
        <v/>
      </c>
      <c r="AR286" s="450" t="str">
        <f t="shared" si="112"/>
        <v/>
      </c>
      <c r="AS286" s="453" t="str">
        <f>IFERROR(IF(R287=0,"-",AVERAGEIFS($AQ$2:AQ286,$A$2:A286,$A286,$F$2:F286,"&lt;="&amp;$F286)-AVERAGEIFS($AP$2:AP286,$A$2:A286,$A286,$F$2:F286,"&lt;="&amp;$F286)),"")</f>
        <v>-</v>
      </c>
      <c r="AT286" s="390" t="str">
        <f>IFERROR(IF(R287=0,"-",AVERAGEIFS($AQ$2:AQ286,$A$2:A286,A286,$C$2:C286,C286)-AVERAGEIFS($AP$2:AP286,$A$2:A286,A286,$C$2:C286,C286)),"")</f>
        <v>-</v>
      </c>
      <c r="AU286" s="451"/>
      <c r="AV286" s="452">
        <f>'Overall Metrics'!AS291</f>
        <v>0</v>
      </c>
      <c r="AW286" s="450" t="str">
        <f t="shared" si="119"/>
        <v/>
      </c>
      <c r="AX286" s="453" t="str">
        <f>IFERROR(IF(R290=0,"-",AVERAGEIFS($AV$2:AV286,$A$2:A286,$A286,$F$2:F286,"&lt;="&amp;$F286)-AVERAGEIFS($AU$2:AU286,$A$2:A286,$A286,$F$2:F286,"&lt;="&amp;$F286)),"")</f>
        <v>-</v>
      </c>
      <c r="AY286" s="390" t="str">
        <f>IFERROR(IF(R290=0,"-",AVERAGEIFS($AV$2:AV286,$A$2:A286,A286,$C$2:C286,C286)-AVERAGEIFS($AU$2:AU286,$A$2:A286,A286,$C$2:C286,C286)),"")</f>
        <v>-</v>
      </c>
      <c r="AZ286" s="103"/>
      <c r="BA286" s="449">
        <f>'Glass Metrics'!AC291</f>
        <v>0</v>
      </c>
      <c r="BB286" s="450" t="str">
        <f t="shared" si="113"/>
        <v/>
      </c>
      <c r="BC286" s="450" t="str">
        <f>IFERROR(IF(R286=0,"-",AVERAGEIFS($BA$2:BA286,$A$2:A286,$A286,$F$2:F286,"&lt;="&amp;$F286)/AVERAGEIFS($AZ$2:AZ286,$A$2:A286,$A286,$F$2:F286,"&lt;="&amp;$F286)-1),"")</f>
        <v>-</v>
      </c>
      <c r="BD286" s="269" t="str">
        <f>IFERROR(IF(R286=0,"-",AVERAGEIFS($BA$2:BA286,$A$2:A286,A286,$C$2:C286,C286)/AVERAGEIFS($AZ$2:AZ286,$A$2:A286,A286,$C$2:C286,C286)-1),"")</f>
        <v>-</v>
      </c>
    </row>
    <row r="287" spans="1:56" ht="15.6" customHeight="1">
      <c r="A287" s="175">
        <f t="shared" si="93"/>
        <v>2026</v>
      </c>
      <c r="B287" s="447" t="str">
        <f t="shared" si="94"/>
        <v>25</v>
      </c>
      <c r="C287" s="447" t="str">
        <f t="array" ref="C287">_xlfn.IFS(_xlfn.NUMBERVALUE(B287)&lt;=13,"Q1",AND(_xlfn.NUMBERVALUE(B287)&gt;13,_xlfn.NUMBERVALUE(B287)&lt;=26),"Q2", AND(_xlfn.NUMBERVALUE(B287)&gt;26,_xlfn.NUMBERVALUE(B287)&lt;=39),"Q3",_xlfn.NUMBERVALUE(B287)&gt;39,"Q4")</f>
        <v>Q2</v>
      </c>
      <c r="D287" s="448">
        <f t="shared" si="114"/>
        <v>45857</v>
      </c>
      <c r="E287" s="448">
        <f t="shared" si="95"/>
        <v>45863</v>
      </c>
      <c r="F287" s="79">
        <v>202525</v>
      </c>
      <c r="G287" s="103"/>
      <c r="H287" s="429"/>
      <c r="I287" s="429"/>
      <c r="J287" s="214">
        <f t="shared" si="96"/>
        <v>0</v>
      </c>
      <c r="K287" s="429"/>
      <c r="L287" s="429"/>
      <c r="M287" s="429"/>
      <c r="N287" s="214">
        <f t="shared" si="97"/>
        <v>0</v>
      </c>
      <c r="O287" s="449">
        <f>'Overall Metrics'!L292</f>
        <v>0</v>
      </c>
      <c r="P287" s="449">
        <f>'Overall Metrics'!M292</f>
        <v>0</v>
      </c>
      <c r="Q287" s="449">
        <f>'Overall Metrics'!N292</f>
        <v>0</v>
      </c>
      <c r="R287" s="449">
        <f t="shared" si="98"/>
        <v>0</v>
      </c>
      <c r="S287" s="180">
        <f t="shared" si="99"/>
        <v>0</v>
      </c>
      <c r="T287" s="449">
        <f t="shared" si="100"/>
        <v>1256337</v>
      </c>
      <c r="U287" s="449">
        <f t="shared" si="101"/>
        <v>1322941</v>
      </c>
      <c r="V287" s="450" t="str">
        <f t="shared" si="102"/>
        <v/>
      </c>
      <c r="W287" s="450" t="str">
        <f>IF(R287=0,"-",SUMIFS($R$2:R287,$A$2:A287,A287,$C$2:C287,C287)/SUMIFS($J$2:J287,$A$2:A287,A287,$C$2:C287,C287)-1)</f>
        <v>-</v>
      </c>
      <c r="X287" s="450" t="str">
        <f t="shared" si="103"/>
        <v/>
      </c>
      <c r="Y287" s="450" t="str">
        <f>IFERROR(IF(R287=0,"-",SUMIFS($R$2:R287,$A$2:A287,A287,$C$2:C287,C287)/SUMIFS($N$2:N287,$A$2:A287,A287,$C$2:C287,C287)-1),"")</f>
        <v>-</v>
      </c>
      <c r="Z287" s="269" t="str">
        <f>IF(R287=0,"",(S287/VLOOKUP(_xlfn.NUMBERVALUE(_xlfn.CONCAT(LEFT(F287,4),52)),$F$2:T494,COLUMNS($F$2:T494),FALSE)))</f>
        <v/>
      </c>
      <c r="AA287" s="269" t="str">
        <f>IFERROR(IF(R287=0,"",(S287/VLOOKUP(_xlfn.NUMBERVALUE(_xlfn.CONCAT(LEFT(F287,4),52)),$F$2:U494,COLUMNS($F$2:U494),FALSE))),"")</f>
        <v/>
      </c>
      <c r="AB287" s="268" t="str">
        <f t="shared" si="104"/>
        <v/>
      </c>
      <c r="AC287" s="450" t="str">
        <f t="shared" si="105"/>
        <v/>
      </c>
      <c r="AD287" s="450" t="str">
        <f t="shared" si="106"/>
        <v/>
      </c>
      <c r="AE287" s="269" t="str">
        <f t="shared" si="107"/>
        <v/>
      </c>
      <c r="AF287" s="268" t="str">
        <f t="shared" si="108"/>
        <v/>
      </c>
      <c r="AG287" s="450" t="str">
        <f t="shared" si="109"/>
        <v/>
      </c>
      <c r="AH287" s="450" t="str">
        <f t="shared" si="110"/>
        <v/>
      </c>
      <c r="AI287" s="269" t="str">
        <f t="shared" si="111"/>
        <v/>
      </c>
      <c r="AJ287" s="450" t="str">
        <f>IF(O287=0,"-",SUMIFS($O$2:O287,$A$2:A287,$A287,$F$2:F287,"&lt;="&amp;$F287)/SUMIFS($G$2:G287,$A$2:A287,$A287,$F$2:F287,"&lt;="&amp;$F287)-1)</f>
        <v>-</v>
      </c>
      <c r="AK287" s="450" t="str">
        <f>IF(P287=0,"-",SUMIFS($P$2:P287,$A$2:A287,$A287,$F$2:F287,"&lt;="&amp;$F287)/SUMIFS($H$2:H287,$A$2:A287,$A287,$F$2:F287,"&lt;="&amp;$F287)-1)</f>
        <v>-</v>
      </c>
      <c r="AL287" s="450" t="str">
        <f>IF(Q287=0,"-",SUMIFS($Q$2:Q287,$A$2:A287,$A287,$F$2:F287,"&lt;="&amp;$F287)/SUMIFS($I$2:I287,$A$2:A287,$A287,$F$2:F287,"&lt;="&amp;$F287)-1)</f>
        <v>-</v>
      </c>
      <c r="AM287" s="450" t="str">
        <f>IFERROR(IF(O287=0,"-",SUMIFS($O$2:O287,$A$2:A287,$A287,$F$2:F287,"&lt;="&amp;$F287)/SUMIFS($K$2:K287,$A$2:A287,$A287,$F$2:F287,"&lt;="&amp;$F287)-1),"")</f>
        <v>-</v>
      </c>
      <c r="AN287" s="450" t="str">
        <f>IFERROR(IF(P287=0,"-",SUMIFS($P$2:P287,$A$2:A287,$A287,$F$2:F287,"&lt;="&amp;$F287)/SUMIFS($L$2:L287,$A$2:A287,$A287,$F$2:F287,"&lt;="&amp;$F287)-1),"")</f>
        <v>-</v>
      </c>
      <c r="AO287" s="269" t="str">
        <f>IFERROR(IF(Q287=0,"-",SUMIFS($Q$2:Q287,$A$2:A287,$A287,$F$2:F287,"&lt;="&amp;$F287)/SUMIFS($M$2:M287,$A$2:A287,$A287,$F$2:F287,"&lt;="&amp;$F287)-1),"")</f>
        <v>-</v>
      </c>
      <c r="AP287" s="134"/>
      <c r="AQ287" s="452" t="str">
        <f>'Overall Metrics'!AO292</f>
        <v/>
      </c>
      <c r="AR287" s="450" t="str">
        <f t="shared" si="112"/>
        <v/>
      </c>
      <c r="AS287" s="453" t="str">
        <f>IFERROR(IF(R288=0,"-",AVERAGEIFS($AQ$2:AQ287,$A$2:A287,$A287,$F$2:F287,"&lt;="&amp;$F287)-AVERAGEIFS($AP$2:AP287,$A$2:A287,$A287,$F$2:F287,"&lt;="&amp;$F287)),"")</f>
        <v>-</v>
      </c>
      <c r="AT287" s="390" t="str">
        <f>IFERROR(IF(R288=0,"-",AVERAGEIFS($AQ$2:AQ287,$A$2:A287,A287,$C$2:C287,C287)-AVERAGEIFS($AP$2:AP287,$A$2:A287,A287,$C$2:C287,C287)),"")</f>
        <v>-</v>
      </c>
      <c r="AU287" s="451"/>
      <c r="AV287" s="452">
        <f>'Overall Metrics'!AS292</f>
        <v>0</v>
      </c>
      <c r="AW287" s="450" t="str">
        <f t="shared" si="119"/>
        <v/>
      </c>
      <c r="AX287" s="453" t="str">
        <f>IFERROR(IF(R291=0,"-",AVERAGEIFS($AV$2:AV287,$A$2:A287,$A287,$F$2:F287,"&lt;="&amp;$F287)-AVERAGEIFS($AU$2:AU287,$A$2:A287,$A287,$F$2:F287,"&lt;="&amp;$F287)),"")</f>
        <v>-</v>
      </c>
      <c r="AY287" s="390" t="str">
        <f>IFERROR(IF(R291=0,"-",AVERAGEIFS($AV$2:AV287,$A$2:A287,A287,$C$2:C287,C287)-AVERAGEIFS($AU$2:AU287,$A$2:A287,A287,$C$2:C287,C287)),"")</f>
        <v>-</v>
      </c>
      <c r="AZ287" s="103"/>
      <c r="BA287" s="449">
        <f>'Glass Metrics'!AC292</f>
        <v>0</v>
      </c>
      <c r="BB287" s="450" t="str">
        <f t="shared" si="113"/>
        <v/>
      </c>
      <c r="BC287" s="450" t="str">
        <f>IFERROR(IF(R287=0,"-",AVERAGEIFS($BA$2:BA287,$A$2:A287,$A287,$F$2:F287,"&lt;="&amp;$F287)/AVERAGEIFS($AZ$2:AZ287,$A$2:A287,$A287,$F$2:F287,"&lt;="&amp;$F287)-1),"")</f>
        <v>-</v>
      </c>
      <c r="BD287" s="269" t="str">
        <f>IFERROR(IF(R287=0,"-",AVERAGEIFS($BA$2:BA287,$A$2:A287,A287,$C$2:C287,C287)/AVERAGEIFS($AZ$2:AZ287,$A$2:A287,A287,$C$2:C287,C287)-1),"")</f>
        <v>-</v>
      </c>
    </row>
    <row r="288" spans="1:56" ht="15.6" customHeight="1">
      <c r="A288" s="175">
        <f t="shared" si="93"/>
        <v>2026</v>
      </c>
      <c r="B288" s="447" t="str">
        <f t="shared" si="94"/>
        <v>26</v>
      </c>
      <c r="C288" s="447" t="str">
        <f t="array" ref="C288">_xlfn.IFS(_xlfn.NUMBERVALUE(B288)&lt;=13,"Q1",AND(_xlfn.NUMBERVALUE(B288)&gt;13,_xlfn.NUMBERVALUE(B288)&lt;=26),"Q2", AND(_xlfn.NUMBERVALUE(B288)&gt;26,_xlfn.NUMBERVALUE(B288)&lt;=39),"Q3",_xlfn.NUMBERVALUE(B288)&gt;39,"Q4")</f>
        <v>Q2</v>
      </c>
      <c r="D288" s="448">
        <f t="shared" si="114"/>
        <v>45864</v>
      </c>
      <c r="E288" s="448">
        <f t="shared" si="95"/>
        <v>45870</v>
      </c>
      <c r="F288" s="79">
        <v>202526</v>
      </c>
      <c r="G288" s="103"/>
      <c r="H288" s="429"/>
      <c r="I288" s="429"/>
      <c r="J288" s="214">
        <f t="shared" si="96"/>
        <v>0</v>
      </c>
      <c r="K288" s="429"/>
      <c r="L288" s="429"/>
      <c r="M288" s="429"/>
      <c r="N288" s="214">
        <f t="shared" si="97"/>
        <v>0</v>
      </c>
      <c r="O288" s="449">
        <f>'Overall Metrics'!L293</f>
        <v>0</v>
      </c>
      <c r="P288" s="449">
        <f>'Overall Metrics'!M293</f>
        <v>0</v>
      </c>
      <c r="Q288" s="449">
        <f>'Overall Metrics'!N293</f>
        <v>0</v>
      </c>
      <c r="R288" s="449">
        <f t="shared" si="98"/>
        <v>0</v>
      </c>
      <c r="S288" s="180">
        <f t="shared" si="99"/>
        <v>0</v>
      </c>
      <c r="T288" s="449">
        <f t="shared" si="100"/>
        <v>1256337</v>
      </c>
      <c r="U288" s="449">
        <f t="shared" si="101"/>
        <v>1322941</v>
      </c>
      <c r="V288" s="450" t="str">
        <f t="shared" si="102"/>
        <v/>
      </c>
      <c r="W288" s="450" t="str">
        <f>IF(R288=0,"-",SUMIFS($R$2:R288,$A$2:A288,A288,$C$2:C288,C288)/SUMIFS($J$2:J288,$A$2:A288,A288,$C$2:C288,C288)-1)</f>
        <v>-</v>
      </c>
      <c r="X288" s="450" t="str">
        <f t="shared" si="103"/>
        <v/>
      </c>
      <c r="Y288" s="450" t="str">
        <f>IFERROR(IF(R288=0,"-",SUMIFS($R$2:R288,$A$2:A288,A288,$C$2:C288,C288)/SUMIFS($N$2:N288,$A$2:A288,A288,$C$2:C288,C288)-1),"")</f>
        <v>-</v>
      </c>
      <c r="Z288" s="269" t="str">
        <f>IF(R288=0,"",(S288/VLOOKUP(_xlfn.NUMBERVALUE(_xlfn.CONCAT(LEFT(F288,4),52)),$F$2:T495,COLUMNS($F$2:T495),FALSE)))</f>
        <v/>
      </c>
      <c r="AA288" s="269" t="str">
        <f>IFERROR(IF(R288=0,"",(S288/VLOOKUP(_xlfn.NUMBERVALUE(_xlfn.CONCAT(LEFT(F288,4),52)),$F$2:U495,COLUMNS($F$2:U495),FALSE))),"")</f>
        <v/>
      </c>
      <c r="AB288" s="268" t="str">
        <f t="shared" si="104"/>
        <v/>
      </c>
      <c r="AC288" s="450" t="str">
        <f t="shared" si="105"/>
        <v/>
      </c>
      <c r="AD288" s="450" t="str">
        <f t="shared" si="106"/>
        <v/>
      </c>
      <c r="AE288" s="269" t="str">
        <f t="shared" si="107"/>
        <v/>
      </c>
      <c r="AF288" s="268" t="str">
        <f t="shared" si="108"/>
        <v/>
      </c>
      <c r="AG288" s="450" t="str">
        <f t="shared" si="109"/>
        <v/>
      </c>
      <c r="AH288" s="450" t="str">
        <f t="shared" si="110"/>
        <v/>
      </c>
      <c r="AI288" s="269" t="str">
        <f t="shared" si="111"/>
        <v/>
      </c>
      <c r="AJ288" s="450" t="str">
        <f>IF(O288=0,"-",SUMIFS($O$2:O288,$A$2:A288,$A288,$F$2:F288,"&lt;="&amp;$F288)/SUMIFS($G$2:G288,$A$2:A288,$A288,$F$2:F288,"&lt;="&amp;$F288)-1)</f>
        <v>-</v>
      </c>
      <c r="AK288" s="450" t="str">
        <f>IF(P288=0,"-",SUMIFS($P$2:P288,$A$2:A288,$A288,$F$2:F288,"&lt;="&amp;$F288)/SUMIFS($H$2:H288,$A$2:A288,$A288,$F$2:F288,"&lt;="&amp;$F288)-1)</f>
        <v>-</v>
      </c>
      <c r="AL288" s="450" t="str">
        <f>IF(Q288=0,"-",SUMIFS($Q$2:Q288,$A$2:A288,$A288,$F$2:F288,"&lt;="&amp;$F288)/SUMIFS($I$2:I288,$A$2:A288,$A288,$F$2:F288,"&lt;="&amp;$F288)-1)</f>
        <v>-</v>
      </c>
      <c r="AM288" s="450" t="str">
        <f>IFERROR(IF(O288=0,"-",SUMIFS($O$2:O288,$A$2:A288,$A288,$F$2:F288,"&lt;="&amp;$F288)/SUMIFS($K$2:K288,$A$2:A288,$A288,$F$2:F288,"&lt;="&amp;$F288)-1),"")</f>
        <v>-</v>
      </c>
      <c r="AN288" s="450" t="str">
        <f>IFERROR(IF(P288=0,"-",SUMIFS($P$2:P288,$A$2:A288,$A288,$F$2:F288,"&lt;="&amp;$F288)/SUMIFS($L$2:L288,$A$2:A288,$A288,$F$2:F288,"&lt;="&amp;$F288)-1),"")</f>
        <v>-</v>
      </c>
      <c r="AO288" s="269" t="str">
        <f>IFERROR(IF(Q288=0,"-",SUMIFS($Q$2:Q288,$A$2:A288,$A288,$F$2:F288,"&lt;="&amp;$F288)/SUMIFS($M$2:M288,$A$2:A288,$A288,$F$2:F288,"&lt;="&amp;$F288)-1),"")</f>
        <v>-</v>
      </c>
      <c r="AP288" s="134"/>
      <c r="AQ288" s="452" t="str">
        <f>'Overall Metrics'!AO293</f>
        <v/>
      </c>
      <c r="AR288" s="450" t="str">
        <f t="shared" si="112"/>
        <v/>
      </c>
      <c r="AS288" s="453" t="str">
        <f>IFERROR(IF(R289=0,"-",AVERAGEIFS($AQ$2:AQ288,$A$2:A288,$A288,$F$2:F288,"&lt;="&amp;$F288)-AVERAGEIFS($AP$2:AP288,$A$2:A288,$A288,$F$2:F288,"&lt;="&amp;$F288)),"")</f>
        <v>-</v>
      </c>
      <c r="AT288" s="390" t="str">
        <f>IFERROR(IF(R289=0,"-",AVERAGEIFS($AQ$2:AQ288,$A$2:A288,A288,$C$2:C288,C288)-AVERAGEIFS($AP$2:AP288,$A$2:A288,A288,$C$2:C288,C288)),"")</f>
        <v>-</v>
      </c>
      <c r="AU288" s="451"/>
      <c r="AV288" s="452">
        <f>'Overall Metrics'!AS293</f>
        <v>0</v>
      </c>
      <c r="AW288" s="450" t="str">
        <f t="shared" si="119"/>
        <v/>
      </c>
      <c r="AX288" s="453" t="str">
        <f>IFERROR(IF(R292=0,"-",AVERAGEIFS($AV$2:AV288,$A$2:A288,$A288,$F$2:F288,"&lt;="&amp;$F288)-AVERAGEIFS($AU$2:AU288,$A$2:A288,$A288,$F$2:F288,"&lt;="&amp;$F288)),"")</f>
        <v>-</v>
      </c>
      <c r="AY288" s="390" t="str">
        <f>IFERROR(IF(R292=0,"-",AVERAGEIFS($AV$2:AV288,$A$2:A288,A288,$C$2:C288,C288)-AVERAGEIFS($AU$2:AU288,$A$2:A288,A288,$C$2:C288,C288)),"")</f>
        <v>-</v>
      </c>
      <c r="AZ288" s="103"/>
      <c r="BA288" s="449">
        <f>'Glass Metrics'!AC293</f>
        <v>0</v>
      </c>
      <c r="BB288" s="450" t="str">
        <f t="shared" si="113"/>
        <v/>
      </c>
      <c r="BC288" s="450" t="str">
        <f>IFERROR(IF(R288=0,"-",AVERAGEIFS($BA$2:BA288,$A$2:A288,$A288,$F$2:F288,"&lt;="&amp;$F288)/AVERAGEIFS($AZ$2:AZ288,$A$2:A288,$A288,$F$2:F288,"&lt;="&amp;$F288)-1),"")</f>
        <v>-</v>
      </c>
      <c r="BD288" s="269" t="str">
        <f>IFERROR(IF(R288=0,"-",AVERAGEIFS($BA$2:BA288,$A$2:A288,A288,$C$2:C288,C288)/AVERAGEIFS($AZ$2:AZ288,$A$2:A288,A288,$C$2:C288,C288)-1),"")</f>
        <v>-</v>
      </c>
    </row>
    <row r="289" spans="1:56" ht="15.6" customHeight="1">
      <c r="A289" s="175">
        <f t="shared" si="93"/>
        <v>2026</v>
      </c>
      <c r="B289" s="447" t="str">
        <f t="shared" si="94"/>
        <v>27</v>
      </c>
      <c r="C289" s="447" t="str">
        <f t="array" ref="C289">_xlfn.IFS(_xlfn.NUMBERVALUE(B289)&lt;=13,"Q1",AND(_xlfn.NUMBERVALUE(B289)&gt;13,_xlfn.NUMBERVALUE(B289)&lt;=26),"Q2", AND(_xlfn.NUMBERVALUE(B289)&gt;26,_xlfn.NUMBERVALUE(B289)&lt;=39),"Q3",_xlfn.NUMBERVALUE(B289)&gt;39,"Q4")</f>
        <v>Q3</v>
      </c>
      <c r="D289" s="448">
        <f t="shared" si="114"/>
        <v>45871</v>
      </c>
      <c r="E289" s="448">
        <f t="shared" si="95"/>
        <v>45877</v>
      </c>
      <c r="F289" s="79">
        <v>202527</v>
      </c>
      <c r="G289" s="103"/>
      <c r="H289" s="429"/>
      <c r="I289" s="429"/>
      <c r="J289" s="214">
        <f t="shared" si="96"/>
        <v>0</v>
      </c>
      <c r="K289" s="429"/>
      <c r="L289" s="429"/>
      <c r="M289" s="429"/>
      <c r="N289" s="214">
        <f t="shared" si="97"/>
        <v>0</v>
      </c>
      <c r="O289" s="449">
        <f>'Overall Metrics'!L294</f>
        <v>0</v>
      </c>
      <c r="P289" s="449">
        <f>'Overall Metrics'!M294</f>
        <v>0</v>
      </c>
      <c r="Q289" s="449">
        <f>'Overall Metrics'!N294</f>
        <v>0</v>
      </c>
      <c r="R289" s="449">
        <f t="shared" si="98"/>
        <v>0</v>
      </c>
      <c r="S289" s="180">
        <f t="shared" si="99"/>
        <v>0</v>
      </c>
      <c r="T289" s="449">
        <f t="shared" si="100"/>
        <v>1256337</v>
      </c>
      <c r="U289" s="449">
        <f t="shared" si="101"/>
        <v>1322941</v>
      </c>
      <c r="V289" s="450" t="str">
        <f t="shared" si="102"/>
        <v/>
      </c>
      <c r="W289" s="450" t="str">
        <f>IF(R289=0,"-",SUMIFS($R$2:R289,$A$2:A289,A289,$C$2:C289,C289)/SUMIFS($J$2:J289,$A$2:A289,A289,$C$2:C289,C289)-1)</f>
        <v>-</v>
      </c>
      <c r="X289" s="450" t="str">
        <f t="shared" si="103"/>
        <v/>
      </c>
      <c r="Y289" s="450" t="str">
        <f>IFERROR(IF(R289=0,"-",SUMIFS($R$2:R289,$A$2:A289,A289,$C$2:C289,C289)/SUMIFS($N$2:N289,$A$2:A289,A289,$C$2:C289,C289)-1),"")</f>
        <v>-</v>
      </c>
      <c r="Z289" s="269" t="str">
        <f>IF(R289=0,"",(S289/VLOOKUP(_xlfn.NUMBERVALUE(_xlfn.CONCAT(LEFT(F289,4),52)),$F$2:T496,COLUMNS($F$2:T496),FALSE)))</f>
        <v/>
      </c>
      <c r="AA289" s="269" t="str">
        <f>IFERROR(IF(R289=0,"",(S289/VLOOKUP(_xlfn.NUMBERVALUE(_xlfn.CONCAT(LEFT(F289,4),52)),$F$2:U496,COLUMNS($F$2:U496),FALSE))),"")</f>
        <v/>
      </c>
      <c r="AB289" s="268" t="str">
        <f t="shared" si="104"/>
        <v/>
      </c>
      <c r="AC289" s="450" t="str">
        <f t="shared" si="105"/>
        <v/>
      </c>
      <c r="AD289" s="450" t="str">
        <f t="shared" si="106"/>
        <v/>
      </c>
      <c r="AE289" s="269" t="str">
        <f t="shared" si="107"/>
        <v/>
      </c>
      <c r="AF289" s="268" t="str">
        <f t="shared" si="108"/>
        <v/>
      </c>
      <c r="AG289" s="450" t="str">
        <f t="shared" si="109"/>
        <v/>
      </c>
      <c r="AH289" s="450" t="str">
        <f t="shared" si="110"/>
        <v/>
      </c>
      <c r="AI289" s="269" t="str">
        <f t="shared" si="111"/>
        <v/>
      </c>
      <c r="AJ289" s="450" t="str">
        <f>IF(O289=0,"-",SUMIFS($O$2:O289,$A$2:A289,$A289,$F$2:F289,"&lt;="&amp;$F289)/SUMIFS($G$2:G289,$A$2:A289,$A289,$F$2:F289,"&lt;="&amp;$F289)-1)</f>
        <v>-</v>
      </c>
      <c r="AK289" s="450" t="str">
        <f>IF(P289=0,"-",SUMIFS($P$2:P289,$A$2:A289,$A289,$F$2:F289,"&lt;="&amp;$F289)/SUMIFS($H$2:H289,$A$2:A289,$A289,$F$2:F289,"&lt;="&amp;$F289)-1)</f>
        <v>-</v>
      </c>
      <c r="AL289" s="450" t="str">
        <f>IF(Q289=0,"-",SUMIFS($Q$2:Q289,$A$2:A289,$A289,$F$2:F289,"&lt;="&amp;$F289)/SUMIFS($I$2:I289,$A$2:A289,$A289,$F$2:F289,"&lt;="&amp;$F289)-1)</f>
        <v>-</v>
      </c>
      <c r="AM289" s="450" t="str">
        <f>IFERROR(IF(O289=0,"-",SUMIFS($O$2:O289,$A$2:A289,$A289,$F$2:F289,"&lt;="&amp;$F289)/SUMIFS($K$2:K289,$A$2:A289,$A289,$F$2:F289,"&lt;="&amp;$F289)-1),"")</f>
        <v>-</v>
      </c>
      <c r="AN289" s="450" t="str">
        <f>IFERROR(IF(P289=0,"-",SUMIFS($P$2:P289,$A$2:A289,$A289,$F$2:F289,"&lt;="&amp;$F289)/SUMIFS($L$2:L289,$A$2:A289,$A289,$F$2:F289,"&lt;="&amp;$F289)-1),"")</f>
        <v>-</v>
      </c>
      <c r="AO289" s="269" t="str">
        <f>IFERROR(IF(Q289=0,"-",SUMIFS($Q$2:Q289,$A$2:A289,$A289,$F$2:F289,"&lt;="&amp;$F289)/SUMIFS($M$2:M289,$A$2:A289,$A289,$F$2:F289,"&lt;="&amp;$F289)-1),"")</f>
        <v>-</v>
      </c>
      <c r="AP289" s="134"/>
      <c r="AQ289" s="452" t="str">
        <f>'Overall Metrics'!AO294</f>
        <v/>
      </c>
      <c r="AR289" s="450" t="str">
        <f t="shared" si="112"/>
        <v/>
      </c>
      <c r="AS289" s="453" t="str">
        <f>IFERROR(IF(R290=0,"-",AVERAGEIFS($AQ$2:AQ289,$A$2:A289,$A289,$F$2:F289,"&lt;="&amp;$F289)-AVERAGEIFS($AP$2:AP289,$A$2:A289,$A289,$F$2:F289,"&lt;="&amp;$F289)),"")</f>
        <v>-</v>
      </c>
      <c r="AT289" s="390" t="str">
        <f>IFERROR(IF(R290=0,"-",AVERAGEIFS($AQ$2:AQ289,$A$2:A289,A289,$C$2:C289,C289)-AVERAGEIFS($AP$2:AP289,$A$2:A289,A289,$C$2:C289,C289)),"")</f>
        <v>-</v>
      </c>
      <c r="AU289" s="451"/>
      <c r="AV289" s="452">
        <f>'Overall Metrics'!AS294</f>
        <v>0</v>
      </c>
      <c r="AW289" s="450" t="str">
        <f t="shared" si="119"/>
        <v/>
      </c>
      <c r="AX289" s="453" t="str">
        <f>IFERROR(IF(R293=0,"-",AVERAGEIFS($AV$2:AV289,$A$2:A289,$A289,$F$2:F289,"&lt;="&amp;$F289)-AVERAGEIFS($AU$2:AU289,$A$2:A289,$A289,$F$2:F289,"&lt;="&amp;$F289)),"")</f>
        <v>-</v>
      </c>
      <c r="AY289" s="390" t="str">
        <f>IFERROR(IF(R293=0,"-",AVERAGEIFS($AV$2:AV289,$A$2:A289,A289,$C$2:C289,C289)-AVERAGEIFS($AU$2:AU289,$A$2:A289,A289,$C$2:C289,C289)),"")</f>
        <v>-</v>
      </c>
      <c r="AZ289" s="103"/>
      <c r="BA289" s="449">
        <f>'Glass Metrics'!AC294</f>
        <v>0</v>
      </c>
      <c r="BB289" s="450" t="str">
        <f t="shared" si="113"/>
        <v/>
      </c>
      <c r="BC289" s="450" t="str">
        <f>IFERROR(IF(R289=0,"-",AVERAGEIFS($BA$2:BA289,$A$2:A289,$A289,$F$2:F289,"&lt;="&amp;$F289)/AVERAGEIFS($AZ$2:AZ289,$A$2:A289,$A289,$F$2:F289,"&lt;="&amp;$F289)-1),"")</f>
        <v>-</v>
      </c>
      <c r="BD289" s="269" t="str">
        <f>IFERROR(IF(R289=0,"-",AVERAGEIFS($BA$2:BA289,$A$2:A289,A289,$C$2:C289,C289)/AVERAGEIFS($AZ$2:AZ289,$A$2:A289,A289,$C$2:C289,C289)-1),"")</f>
        <v>-</v>
      </c>
    </row>
    <row r="290" spans="1:56" ht="15.6" customHeight="1">
      <c r="A290" s="175">
        <f t="shared" si="93"/>
        <v>2026</v>
      </c>
      <c r="B290" s="447" t="str">
        <f t="shared" si="94"/>
        <v>28</v>
      </c>
      <c r="C290" s="447" t="str">
        <f t="array" ref="C290">_xlfn.IFS(_xlfn.NUMBERVALUE(B290)&lt;=13,"Q1",AND(_xlfn.NUMBERVALUE(B290)&gt;13,_xlfn.NUMBERVALUE(B290)&lt;=26),"Q2", AND(_xlfn.NUMBERVALUE(B290)&gt;26,_xlfn.NUMBERVALUE(B290)&lt;=39),"Q3",_xlfn.NUMBERVALUE(B290)&gt;39,"Q4")</f>
        <v>Q3</v>
      </c>
      <c r="D290" s="448">
        <f t="shared" si="114"/>
        <v>45878</v>
      </c>
      <c r="E290" s="448">
        <f t="shared" si="95"/>
        <v>45884</v>
      </c>
      <c r="F290" s="79">
        <v>202528</v>
      </c>
      <c r="G290" s="103"/>
      <c r="H290" s="429"/>
      <c r="I290" s="429"/>
      <c r="J290" s="214">
        <f t="shared" si="96"/>
        <v>0</v>
      </c>
      <c r="K290" s="429"/>
      <c r="L290" s="429"/>
      <c r="M290" s="429"/>
      <c r="N290" s="214">
        <f t="shared" si="97"/>
        <v>0</v>
      </c>
      <c r="O290" s="449">
        <f>'Overall Metrics'!L295</f>
        <v>0</v>
      </c>
      <c r="P290" s="449">
        <f>'Overall Metrics'!M295</f>
        <v>0</v>
      </c>
      <c r="Q290" s="449">
        <f>'Overall Metrics'!N295</f>
        <v>0</v>
      </c>
      <c r="R290" s="449">
        <f t="shared" si="98"/>
        <v>0</v>
      </c>
      <c r="S290" s="180">
        <f t="shared" si="99"/>
        <v>0</v>
      </c>
      <c r="T290" s="449">
        <f t="shared" si="100"/>
        <v>1256337</v>
      </c>
      <c r="U290" s="449">
        <f t="shared" si="101"/>
        <v>1322941</v>
      </c>
      <c r="V290" s="450" t="str">
        <f t="shared" si="102"/>
        <v/>
      </c>
      <c r="W290" s="450" t="str">
        <f>IF(R290=0,"-",SUMIFS($R$2:R290,$A$2:A290,A290,$C$2:C290,C290)/SUMIFS($J$2:J290,$A$2:A290,A290,$C$2:C290,C290)-1)</f>
        <v>-</v>
      </c>
      <c r="X290" s="450" t="str">
        <f t="shared" si="103"/>
        <v/>
      </c>
      <c r="Y290" s="450" t="str">
        <f>IFERROR(IF(R290=0,"-",SUMIFS($R$2:R290,$A$2:A290,A290,$C$2:C290,C290)/SUMIFS($N$2:N290,$A$2:A290,A290,$C$2:C290,C290)-1),"")</f>
        <v>-</v>
      </c>
      <c r="Z290" s="269" t="str">
        <f>IF(R290=0,"",(S290/VLOOKUP(_xlfn.NUMBERVALUE(_xlfn.CONCAT(LEFT(F290,4),52)),$F$2:T497,COLUMNS($F$2:T497),FALSE)))</f>
        <v/>
      </c>
      <c r="AA290" s="269" t="str">
        <f>IFERROR(IF(R290=0,"",(S290/VLOOKUP(_xlfn.NUMBERVALUE(_xlfn.CONCAT(LEFT(F290,4),52)),$F$2:U497,COLUMNS($F$2:U497),FALSE))),"")</f>
        <v/>
      </c>
      <c r="AB290" s="268" t="str">
        <f t="shared" si="104"/>
        <v/>
      </c>
      <c r="AC290" s="450" t="str">
        <f t="shared" si="105"/>
        <v/>
      </c>
      <c r="AD290" s="450" t="str">
        <f t="shared" si="106"/>
        <v/>
      </c>
      <c r="AE290" s="269" t="str">
        <f t="shared" si="107"/>
        <v/>
      </c>
      <c r="AF290" s="268" t="str">
        <f t="shared" si="108"/>
        <v/>
      </c>
      <c r="AG290" s="450" t="str">
        <f t="shared" si="109"/>
        <v/>
      </c>
      <c r="AH290" s="450" t="str">
        <f t="shared" si="110"/>
        <v/>
      </c>
      <c r="AI290" s="269" t="str">
        <f t="shared" si="111"/>
        <v/>
      </c>
      <c r="AJ290" s="450" t="str">
        <f>IF(O290=0,"-",SUMIFS($O$2:O290,$A$2:A290,$A290,$F$2:F290,"&lt;="&amp;$F290)/SUMIFS($G$2:G290,$A$2:A290,$A290,$F$2:F290,"&lt;="&amp;$F290)-1)</f>
        <v>-</v>
      </c>
      <c r="AK290" s="450" t="str">
        <f>IF(P290=0,"-",SUMIFS($P$2:P290,$A$2:A290,$A290,$F$2:F290,"&lt;="&amp;$F290)/SUMIFS($H$2:H290,$A$2:A290,$A290,$F$2:F290,"&lt;="&amp;$F290)-1)</f>
        <v>-</v>
      </c>
      <c r="AL290" s="450" t="str">
        <f>IF(Q290=0,"-",SUMIFS($Q$2:Q290,$A$2:A290,$A290,$F$2:F290,"&lt;="&amp;$F290)/SUMIFS($I$2:I290,$A$2:A290,$A290,$F$2:F290,"&lt;="&amp;$F290)-1)</f>
        <v>-</v>
      </c>
      <c r="AM290" s="450" t="str">
        <f>IFERROR(IF(O290=0,"-",SUMIFS($O$2:O290,$A$2:A290,$A290,$F$2:F290,"&lt;="&amp;$F290)/SUMIFS($K$2:K290,$A$2:A290,$A290,$F$2:F290,"&lt;="&amp;$F290)-1),"")</f>
        <v>-</v>
      </c>
      <c r="AN290" s="450" t="str">
        <f>IFERROR(IF(P290=0,"-",SUMIFS($P$2:P290,$A$2:A290,$A290,$F$2:F290,"&lt;="&amp;$F290)/SUMIFS($L$2:L290,$A$2:A290,$A290,$F$2:F290,"&lt;="&amp;$F290)-1),"")</f>
        <v>-</v>
      </c>
      <c r="AO290" s="269" t="str">
        <f>IFERROR(IF(Q290=0,"-",SUMIFS($Q$2:Q290,$A$2:A290,$A290,$F$2:F290,"&lt;="&amp;$F290)/SUMIFS($M$2:M290,$A$2:A290,$A290,$F$2:F290,"&lt;="&amp;$F290)-1),"")</f>
        <v>-</v>
      </c>
      <c r="AP290" s="134"/>
      <c r="AQ290" s="452" t="str">
        <f>'Overall Metrics'!AO295</f>
        <v/>
      </c>
      <c r="AR290" s="450" t="str">
        <f t="shared" si="112"/>
        <v/>
      </c>
      <c r="AS290" s="453" t="str">
        <f>IFERROR(IF(R291=0,"-",AVERAGEIFS($AQ$2:AQ290,$A$2:A290,$A290,$F$2:F290,"&lt;="&amp;$F290)-AVERAGEIFS($AP$2:AP290,$A$2:A290,$A290,$F$2:F290,"&lt;="&amp;$F290)),"")</f>
        <v>-</v>
      </c>
      <c r="AT290" s="390" t="str">
        <f>IFERROR(IF(R291=0,"-",AVERAGEIFS($AQ$2:AQ290,$A$2:A290,A290,$C$2:C290,C290)-AVERAGEIFS($AP$2:AP290,$A$2:A290,A290,$C$2:C290,C290)),"")</f>
        <v>-</v>
      </c>
      <c r="AU290" s="451"/>
      <c r="AV290" s="452">
        <f>'Overall Metrics'!AS295</f>
        <v>0</v>
      </c>
      <c r="AW290" s="450" t="str">
        <f t="shared" si="119"/>
        <v/>
      </c>
      <c r="AX290" s="453" t="str">
        <f>IFERROR(IF(R294=0,"-",AVERAGEIFS($AV$2:AV290,$A$2:A290,$A290,$F$2:F290,"&lt;="&amp;$F290)-AVERAGEIFS($AU$2:AU290,$A$2:A290,$A290,$F$2:F290,"&lt;="&amp;$F290)),"")</f>
        <v>-</v>
      </c>
      <c r="AY290" s="390" t="str">
        <f>IFERROR(IF(R294=0,"-",AVERAGEIFS($AV$2:AV290,$A$2:A290,A290,$C$2:C290,C290)-AVERAGEIFS($AU$2:AU290,$A$2:A290,A290,$C$2:C290,C290)),"")</f>
        <v>-</v>
      </c>
      <c r="AZ290" s="103"/>
      <c r="BA290" s="449">
        <f>'Glass Metrics'!AC295</f>
        <v>0</v>
      </c>
      <c r="BB290" s="450" t="str">
        <f t="shared" si="113"/>
        <v/>
      </c>
      <c r="BC290" s="450" t="str">
        <f>IFERROR(IF(R290=0,"-",AVERAGEIFS($BA$2:BA290,$A$2:A290,$A290,$F$2:F290,"&lt;="&amp;$F290)/AVERAGEIFS($AZ$2:AZ290,$A$2:A290,$A290,$F$2:F290,"&lt;="&amp;$F290)-1),"")</f>
        <v>-</v>
      </c>
      <c r="BD290" s="269" t="str">
        <f>IFERROR(IF(R290=0,"-",AVERAGEIFS($BA$2:BA290,$A$2:A290,A290,$C$2:C290,C290)/AVERAGEIFS($AZ$2:AZ290,$A$2:A290,A290,$C$2:C290,C290)-1),"")</f>
        <v>-</v>
      </c>
    </row>
    <row r="291" spans="1:56" ht="15.6" customHeight="1">
      <c r="A291" s="175">
        <f t="shared" si="93"/>
        <v>2026</v>
      </c>
      <c r="B291" s="447" t="str">
        <f t="shared" si="94"/>
        <v>29</v>
      </c>
      <c r="C291" s="447" t="str">
        <f t="array" ref="C291">_xlfn.IFS(_xlfn.NUMBERVALUE(B291)&lt;=13,"Q1",AND(_xlfn.NUMBERVALUE(B291)&gt;13,_xlfn.NUMBERVALUE(B291)&lt;=26),"Q2", AND(_xlfn.NUMBERVALUE(B291)&gt;26,_xlfn.NUMBERVALUE(B291)&lt;=39),"Q3",_xlfn.NUMBERVALUE(B291)&gt;39,"Q4")</f>
        <v>Q3</v>
      </c>
      <c r="D291" s="448">
        <f t="shared" si="114"/>
        <v>45885</v>
      </c>
      <c r="E291" s="448">
        <f t="shared" si="95"/>
        <v>45891</v>
      </c>
      <c r="F291" s="79">
        <v>202529</v>
      </c>
      <c r="G291" s="103"/>
      <c r="H291" s="429"/>
      <c r="I291" s="429"/>
      <c r="J291" s="214">
        <f t="shared" si="96"/>
        <v>0</v>
      </c>
      <c r="K291" s="429"/>
      <c r="L291" s="429"/>
      <c r="M291" s="429"/>
      <c r="N291" s="214">
        <f t="shared" si="97"/>
        <v>0</v>
      </c>
      <c r="O291" s="449">
        <f>'Overall Metrics'!L296</f>
        <v>0</v>
      </c>
      <c r="P291" s="449">
        <f>'Overall Metrics'!M296</f>
        <v>0</v>
      </c>
      <c r="Q291" s="449">
        <f>'Overall Metrics'!N296</f>
        <v>0</v>
      </c>
      <c r="R291" s="449">
        <f t="shared" si="98"/>
        <v>0</v>
      </c>
      <c r="S291" s="180">
        <f t="shared" si="99"/>
        <v>0</v>
      </c>
      <c r="T291" s="449">
        <f t="shared" si="100"/>
        <v>1256337</v>
      </c>
      <c r="U291" s="449">
        <f t="shared" si="101"/>
        <v>1322941</v>
      </c>
      <c r="V291" s="450" t="str">
        <f t="shared" si="102"/>
        <v/>
      </c>
      <c r="W291" s="450" t="str">
        <f>IF(R291=0,"-",SUMIFS($R$2:R291,$A$2:A291,A291,$C$2:C291,C291)/SUMIFS($J$2:J291,$A$2:A291,A291,$C$2:C291,C291)-1)</f>
        <v>-</v>
      </c>
      <c r="X291" s="450" t="str">
        <f t="shared" si="103"/>
        <v/>
      </c>
      <c r="Y291" s="450" t="str">
        <f>IFERROR(IF(R291=0,"-",SUMIFS($R$2:R291,$A$2:A291,A291,$C$2:C291,C291)/SUMIFS($N$2:N291,$A$2:A291,A291,$C$2:C291,C291)-1),"")</f>
        <v>-</v>
      </c>
      <c r="Z291" s="269" t="str">
        <f>IF(R291=0,"",(S291/VLOOKUP(_xlfn.NUMBERVALUE(_xlfn.CONCAT(LEFT(F291,4),52)),$F$2:T498,COLUMNS($F$2:T498),FALSE)))</f>
        <v/>
      </c>
      <c r="AA291" s="269" t="str">
        <f>IFERROR(IF(R291=0,"",(S291/VLOOKUP(_xlfn.NUMBERVALUE(_xlfn.CONCAT(LEFT(F291,4),52)),$F$2:U498,COLUMNS($F$2:U498),FALSE))),"")</f>
        <v/>
      </c>
      <c r="AB291" s="268" t="str">
        <f t="shared" si="104"/>
        <v/>
      </c>
      <c r="AC291" s="450" t="str">
        <f t="shared" si="105"/>
        <v/>
      </c>
      <c r="AD291" s="450" t="str">
        <f t="shared" si="106"/>
        <v/>
      </c>
      <c r="AE291" s="269" t="str">
        <f t="shared" si="107"/>
        <v/>
      </c>
      <c r="AF291" s="268" t="str">
        <f t="shared" si="108"/>
        <v/>
      </c>
      <c r="AG291" s="450" t="str">
        <f t="shared" si="109"/>
        <v/>
      </c>
      <c r="AH291" s="450" t="str">
        <f t="shared" si="110"/>
        <v/>
      </c>
      <c r="AI291" s="269" t="str">
        <f t="shared" si="111"/>
        <v/>
      </c>
      <c r="AJ291" s="450" t="str">
        <f>IF(O291=0,"-",SUMIFS($O$2:O291,$A$2:A291,$A291,$F$2:F291,"&lt;="&amp;$F291)/SUMIFS($G$2:G291,$A$2:A291,$A291,$F$2:F291,"&lt;="&amp;$F291)-1)</f>
        <v>-</v>
      </c>
      <c r="AK291" s="450" t="str">
        <f>IF(P291=0,"-",SUMIFS($P$2:P291,$A$2:A291,$A291,$F$2:F291,"&lt;="&amp;$F291)/SUMIFS($H$2:H291,$A$2:A291,$A291,$F$2:F291,"&lt;="&amp;$F291)-1)</f>
        <v>-</v>
      </c>
      <c r="AL291" s="450" t="str">
        <f>IF(Q291=0,"-",SUMIFS($Q$2:Q291,$A$2:A291,$A291,$F$2:F291,"&lt;="&amp;$F291)/SUMIFS($I$2:I291,$A$2:A291,$A291,$F$2:F291,"&lt;="&amp;$F291)-1)</f>
        <v>-</v>
      </c>
      <c r="AM291" s="450" t="str">
        <f>IFERROR(IF(O291=0,"-",SUMIFS($O$2:O291,$A$2:A291,$A291,$F$2:F291,"&lt;="&amp;$F291)/SUMIFS($K$2:K291,$A$2:A291,$A291,$F$2:F291,"&lt;="&amp;$F291)-1),"")</f>
        <v>-</v>
      </c>
      <c r="AN291" s="450" t="str">
        <f>IFERROR(IF(P291=0,"-",SUMIFS($P$2:P291,$A$2:A291,$A291,$F$2:F291,"&lt;="&amp;$F291)/SUMIFS($L$2:L291,$A$2:A291,$A291,$F$2:F291,"&lt;="&amp;$F291)-1),"")</f>
        <v>-</v>
      </c>
      <c r="AO291" s="269" t="str">
        <f>IFERROR(IF(Q291=0,"-",SUMIFS($Q$2:Q291,$A$2:A291,$A291,$F$2:F291,"&lt;="&amp;$F291)/SUMIFS($M$2:M291,$A$2:A291,$A291,$F$2:F291,"&lt;="&amp;$F291)-1),"")</f>
        <v>-</v>
      </c>
      <c r="AP291" s="134"/>
      <c r="AQ291" s="452" t="str">
        <f>'Overall Metrics'!AO296</f>
        <v/>
      </c>
      <c r="AR291" s="450" t="str">
        <f t="shared" si="112"/>
        <v/>
      </c>
      <c r="AS291" s="453" t="str">
        <f>IFERROR(IF(R292=0,"-",AVERAGEIFS($AQ$2:AQ291,$A$2:A291,$A291,$F$2:F291,"&lt;="&amp;$F291)-AVERAGEIFS($AP$2:AP291,$A$2:A291,$A291,$F$2:F291,"&lt;="&amp;$F291)),"")</f>
        <v>-</v>
      </c>
      <c r="AT291" s="390" t="str">
        <f>IFERROR(IF(R292=0,"-",AVERAGEIFS($AQ$2:AQ291,$A$2:A291,A291,$C$2:C291,C291)-AVERAGEIFS($AP$2:AP291,$A$2:A291,A291,$C$2:C291,C291)),"")</f>
        <v>-</v>
      </c>
      <c r="AU291" s="451"/>
      <c r="AV291" s="452">
        <f>'Overall Metrics'!AS296</f>
        <v>0</v>
      </c>
      <c r="AW291" s="450" t="str">
        <f t="shared" si="119"/>
        <v/>
      </c>
      <c r="AX291" s="453" t="str">
        <f>IFERROR(IF(R295=0,"-",AVERAGEIFS($AV$2:AV291,$A$2:A291,$A291,$F$2:F291,"&lt;="&amp;$F291)-AVERAGEIFS($AU$2:AU291,$A$2:A291,$A291,$F$2:F291,"&lt;="&amp;$F291)),"")</f>
        <v>-</v>
      </c>
      <c r="AY291" s="390" t="str">
        <f>IFERROR(IF(R295=0,"-",AVERAGEIFS($AV$2:AV291,$A$2:A291,A291,$C$2:C291,C291)-AVERAGEIFS($AU$2:AU291,$A$2:A291,A291,$C$2:C291,C291)),"")</f>
        <v>-</v>
      </c>
      <c r="AZ291" s="103"/>
      <c r="BA291" s="449">
        <f>'Glass Metrics'!AC296</f>
        <v>0</v>
      </c>
      <c r="BB291" s="450" t="str">
        <f t="shared" si="113"/>
        <v/>
      </c>
      <c r="BC291" s="450" t="str">
        <f>IFERROR(IF(R291=0,"-",AVERAGEIFS($BA$2:BA291,$A$2:A291,$A291,$F$2:F291,"&lt;="&amp;$F291)/AVERAGEIFS($AZ$2:AZ291,$A$2:A291,$A291,$F$2:F291,"&lt;="&amp;$F291)-1),"")</f>
        <v>-</v>
      </c>
      <c r="BD291" s="269" t="str">
        <f>IFERROR(IF(R291=0,"-",AVERAGEIFS($BA$2:BA291,$A$2:A291,A291,$C$2:C291,C291)/AVERAGEIFS($AZ$2:AZ291,$A$2:A291,A291,$C$2:C291,C291)-1),"")</f>
        <v>-</v>
      </c>
    </row>
    <row r="292" spans="1:56" ht="15.6" customHeight="1">
      <c r="A292" s="175">
        <f t="shared" si="93"/>
        <v>2026</v>
      </c>
      <c r="B292" s="447" t="str">
        <f t="shared" si="94"/>
        <v>30</v>
      </c>
      <c r="C292" s="447" t="str">
        <f t="array" ref="C292">_xlfn.IFS(_xlfn.NUMBERVALUE(B292)&lt;=13,"Q1",AND(_xlfn.NUMBERVALUE(B292)&gt;13,_xlfn.NUMBERVALUE(B292)&lt;=26),"Q2", AND(_xlfn.NUMBERVALUE(B292)&gt;26,_xlfn.NUMBERVALUE(B292)&lt;=39),"Q3",_xlfn.NUMBERVALUE(B292)&gt;39,"Q4")</f>
        <v>Q3</v>
      </c>
      <c r="D292" s="448">
        <f t="shared" si="114"/>
        <v>45892</v>
      </c>
      <c r="E292" s="448">
        <f t="shared" si="95"/>
        <v>45898</v>
      </c>
      <c r="F292" s="79">
        <v>202530</v>
      </c>
      <c r="G292" s="103"/>
      <c r="H292" s="429"/>
      <c r="I292" s="429"/>
      <c r="J292" s="214">
        <f t="shared" si="96"/>
        <v>0</v>
      </c>
      <c r="K292" s="429"/>
      <c r="L292" s="429"/>
      <c r="M292" s="429"/>
      <c r="N292" s="214">
        <f t="shared" si="97"/>
        <v>0</v>
      </c>
      <c r="O292" s="449">
        <f>'Overall Metrics'!L297</f>
        <v>0</v>
      </c>
      <c r="P292" s="449">
        <f>'Overall Metrics'!M297</f>
        <v>0</v>
      </c>
      <c r="Q292" s="449">
        <f>'Overall Metrics'!N297</f>
        <v>0</v>
      </c>
      <c r="R292" s="449">
        <f t="shared" si="98"/>
        <v>0</v>
      </c>
      <c r="S292" s="180">
        <f t="shared" si="99"/>
        <v>0</v>
      </c>
      <c r="T292" s="449">
        <f t="shared" si="100"/>
        <v>1256337</v>
      </c>
      <c r="U292" s="449">
        <f t="shared" si="101"/>
        <v>1322941</v>
      </c>
      <c r="V292" s="450" t="str">
        <f t="shared" si="102"/>
        <v/>
      </c>
      <c r="W292" s="450" t="str">
        <f>IF(R292=0,"-",SUMIFS($R$2:R292,$A$2:A292,A292,$C$2:C292,C292)/SUMIFS($J$2:J292,$A$2:A292,A292,$C$2:C292,C292)-1)</f>
        <v>-</v>
      </c>
      <c r="X292" s="450" t="str">
        <f t="shared" si="103"/>
        <v/>
      </c>
      <c r="Y292" s="450" t="str">
        <f>IFERROR(IF(R292=0,"-",SUMIFS($R$2:R292,$A$2:A292,A292,$C$2:C292,C292)/SUMIFS($N$2:N292,$A$2:A292,A292,$C$2:C292,C292)-1),"")</f>
        <v>-</v>
      </c>
      <c r="Z292" s="269" t="str">
        <f>IF(R292=0,"",(S292/VLOOKUP(_xlfn.NUMBERVALUE(_xlfn.CONCAT(LEFT(F292,4),52)),$F$2:T499,COLUMNS($F$2:T499),FALSE)))</f>
        <v/>
      </c>
      <c r="AA292" s="269" t="str">
        <f>IFERROR(IF(R292=0,"",(S292/VLOOKUP(_xlfn.NUMBERVALUE(_xlfn.CONCAT(LEFT(F292,4),52)),$F$2:U499,COLUMNS($F$2:U499),FALSE))),"")</f>
        <v/>
      </c>
      <c r="AB292" s="268" t="str">
        <f t="shared" si="104"/>
        <v/>
      </c>
      <c r="AC292" s="450" t="str">
        <f t="shared" si="105"/>
        <v/>
      </c>
      <c r="AD292" s="450" t="str">
        <f t="shared" si="106"/>
        <v/>
      </c>
      <c r="AE292" s="269" t="str">
        <f t="shared" si="107"/>
        <v/>
      </c>
      <c r="AF292" s="268" t="str">
        <f t="shared" si="108"/>
        <v/>
      </c>
      <c r="AG292" s="450" t="str">
        <f t="shared" si="109"/>
        <v/>
      </c>
      <c r="AH292" s="450" t="str">
        <f t="shared" si="110"/>
        <v/>
      </c>
      <c r="AI292" s="269" t="str">
        <f t="shared" si="111"/>
        <v/>
      </c>
      <c r="AJ292" s="450" t="str">
        <f>IF(O292=0,"-",SUMIFS($O$2:O292,$A$2:A292,$A292,$F$2:F292,"&lt;="&amp;$F292)/SUMIFS($G$2:G292,$A$2:A292,$A292,$F$2:F292,"&lt;="&amp;$F292)-1)</f>
        <v>-</v>
      </c>
      <c r="AK292" s="450" t="str">
        <f>IF(P292=0,"-",SUMIFS($P$2:P292,$A$2:A292,$A292,$F$2:F292,"&lt;="&amp;$F292)/SUMIFS($H$2:H292,$A$2:A292,$A292,$F$2:F292,"&lt;="&amp;$F292)-1)</f>
        <v>-</v>
      </c>
      <c r="AL292" s="450" t="str">
        <f>IF(Q292=0,"-",SUMIFS($Q$2:Q292,$A$2:A292,$A292,$F$2:F292,"&lt;="&amp;$F292)/SUMIFS($I$2:I292,$A$2:A292,$A292,$F$2:F292,"&lt;="&amp;$F292)-1)</f>
        <v>-</v>
      </c>
      <c r="AM292" s="450" t="str">
        <f>IFERROR(IF(O292=0,"-",SUMIFS($O$2:O292,$A$2:A292,$A292,$F$2:F292,"&lt;="&amp;$F292)/SUMIFS($K$2:K292,$A$2:A292,$A292,$F$2:F292,"&lt;="&amp;$F292)-1),"")</f>
        <v>-</v>
      </c>
      <c r="AN292" s="450" t="str">
        <f>IFERROR(IF(P292=0,"-",SUMIFS($P$2:P292,$A$2:A292,$A292,$F$2:F292,"&lt;="&amp;$F292)/SUMIFS($L$2:L292,$A$2:A292,$A292,$F$2:F292,"&lt;="&amp;$F292)-1),"")</f>
        <v>-</v>
      </c>
      <c r="AO292" s="269" t="str">
        <f>IFERROR(IF(Q292=0,"-",SUMIFS($Q$2:Q292,$A$2:A292,$A292,$F$2:F292,"&lt;="&amp;$F292)/SUMIFS($M$2:M292,$A$2:A292,$A292,$F$2:F292,"&lt;="&amp;$F292)-1),"")</f>
        <v>-</v>
      </c>
      <c r="AP292" s="134"/>
      <c r="AQ292" s="452" t="str">
        <f>'Overall Metrics'!AO297</f>
        <v/>
      </c>
      <c r="AR292" s="450" t="str">
        <f t="shared" si="112"/>
        <v/>
      </c>
      <c r="AS292" s="453" t="str">
        <f>IFERROR(IF(R293=0,"-",AVERAGEIFS($AQ$2:AQ292,$A$2:A292,$A292,$F$2:F292,"&lt;="&amp;$F292)-AVERAGEIFS($AP$2:AP292,$A$2:A292,$A292,$F$2:F292,"&lt;="&amp;$F292)),"")</f>
        <v>-</v>
      </c>
      <c r="AT292" s="390" t="str">
        <f>IFERROR(IF(R293=0,"-",AVERAGEIFS($AQ$2:AQ292,$A$2:A292,A292,$C$2:C292,C292)-AVERAGEIFS($AP$2:AP292,$A$2:A292,A292,$C$2:C292,C292)),"")</f>
        <v>-</v>
      </c>
      <c r="AU292" s="451"/>
      <c r="AV292" s="452">
        <f>'Overall Metrics'!AS297</f>
        <v>0</v>
      </c>
      <c r="AW292" s="450" t="str">
        <f t="shared" si="119"/>
        <v/>
      </c>
      <c r="AX292" s="453" t="str">
        <f>IFERROR(IF(R296=0,"-",AVERAGEIFS($AV$2:AV292,$A$2:A292,$A292,$F$2:F292,"&lt;="&amp;$F292)-AVERAGEIFS($AU$2:AU292,$A$2:A292,$A292,$F$2:F292,"&lt;="&amp;$F292)),"")</f>
        <v>-</v>
      </c>
      <c r="AY292" s="390" t="str">
        <f>IFERROR(IF(R296=0,"-",AVERAGEIFS($AV$2:AV292,$A$2:A292,A292,$C$2:C292,C292)-AVERAGEIFS($AU$2:AU292,$A$2:A292,A292,$C$2:C292,C292)),"")</f>
        <v>-</v>
      </c>
      <c r="AZ292" s="103"/>
      <c r="BA292" s="449">
        <f>'Glass Metrics'!AC297</f>
        <v>0</v>
      </c>
      <c r="BB292" s="450" t="str">
        <f t="shared" si="113"/>
        <v/>
      </c>
      <c r="BC292" s="450" t="str">
        <f>IFERROR(IF(R292=0,"-",AVERAGEIFS($BA$2:BA292,$A$2:A292,$A292,$F$2:F292,"&lt;="&amp;$F292)/AVERAGEIFS($AZ$2:AZ292,$A$2:A292,$A292,$F$2:F292,"&lt;="&amp;$F292)-1),"")</f>
        <v>-</v>
      </c>
      <c r="BD292" s="269" t="str">
        <f>IFERROR(IF(R292=0,"-",AVERAGEIFS($BA$2:BA292,$A$2:A292,A292,$C$2:C292,C292)/AVERAGEIFS($AZ$2:AZ292,$A$2:A292,A292,$C$2:C292,C292)-1),"")</f>
        <v>-</v>
      </c>
    </row>
    <row r="293" spans="1:56" ht="15.6" customHeight="1">
      <c r="A293" s="175">
        <f t="shared" si="93"/>
        <v>2026</v>
      </c>
      <c r="B293" s="447" t="str">
        <f t="shared" si="94"/>
        <v>31</v>
      </c>
      <c r="C293" s="447" t="str">
        <f t="array" ref="C293">_xlfn.IFS(_xlfn.NUMBERVALUE(B293)&lt;=13,"Q1",AND(_xlfn.NUMBERVALUE(B293)&gt;13,_xlfn.NUMBERVALUE(B293)&lt;=26),"Q2", AND(_xlfn.NUMBERVALUE(B293)&gt;26,_xlfn.NUMBERVALUE(B293)&lt;=39),"Q3",_xlfn.NUMBERVALUE(B293)&gt;39,"Q4")</f>
        <v>Q3</v>
      </c>
      <c r="D293" s="448">
        <f t="shared" si="114"/>
        <v>45899</v>
      </c>
      <c r="E293" s="448">
        <f t="shared" si="95"/>
        <v>45905</v>
      </c>
      <c r="F293" s="79">
        <v>202531</v>
      </c>
      <c r="G293" s="103"/>
      <c r="H293" s="429"/>
      <c r="I293" s="429"/>
      <c r="J293" s="214">
        <f t="shared" si="96"/>
        <v>0</v>
      </c>
      <c r="K293" s="429"/>
      <c r="L293" s="429"/>
      <c r="M293" s="429"/>
      <c r="N293" s="214">
        <f t="shared" si="97"/>
        <v>0</v>
      </c>
      <c r="O293" s="449">
        <f>'Overall Metrics'!L298</f>
        <v>0</v>
      </c>
      <c r="P293" s="449">
        <f>'Overall Metrics'!M298</f>
        <v>0</v>
      </c>
      <c r="Q293" s="449">
        <f>'Overall Metrics'!N298</f>
        <v>0</v>
      </c>
      <c r="R293" s="449">
        <f t="shared" si="98"/>
        <v>0</v>
      </c>
      <c r="S293" s="180">
        <f t="shared" si="99"/>
        <v>0</v>
      </c>
      <c r="T293" s="449">
        <f t="shared" si="100"/>
        <v>1256337</v>
      </c>
      <c r="U293" s="449">
        <f t="shared" si="101"/>
        <v>1322941</v>
      </c>
      <c r="V293" s="450" t="str">
        <f t="shared" si="102"/>
        <v/>
      </c>
      <c r="W293" s="450" t="str">
        <f>IF(R293=0,"-",SUMIFS($R$2:R293,$A$2:A293,A293,$C$2:C293,C293)/SUMIFS($J$2:J293,$A$2:A293,A293,$C$2:C293,C293)-1)</f>
        <v>-</v>
      </c>
      <c r="X293" s="450" t="str">
        <f t="shared" si="103"/>
        <v/>
      </c>
      <c r="Y293" s="450" t="str">
        <f>IFERROR(IF(R293=0,"-",SUMIFS($R$2:R293,$A$2:A293,A293,$C$2:C293,C293)/SUMIFS($N$2:N293,$A$2:A293,A293,$C$2:C293,C293)-1),"")</f>
        <v>-</v>
      </c>
      <c r="Z293" s="269" t="str">
        <f>IF(R293=0,"",(S293/VLOOKUP(_xlfn.NUMBERVALUE(_xlfn.CONCAT(LEFT(F293,4),52)),$F$2:T500,COLUMNS($F$2:T500),FALSE)))</f>
        <v/>
      </c>
      <c r="AA293" s="269" t="str">
        <f>IFERROR(IF(R293=0,"",(S293/VLOOKUP(_xlfn.NUMBERVALUE(_xlfn.CONCAT(LEFT(F293,4),52)),$F$2:U500,COLUMNS($F$2:U500),FALSE))),"")</f>
        <v/>
      </c>
      <c r="AB293" s="268" t="str">
        <f t="shared" si="104"/>
        <v/>
      </c>
      <c r="AC293" s="450" t="str">
        <f t="shared" si="105"/>
        <v/>
      </c>
      <c r="AD293" s="450" t="str">
        <f t="shared" si="106"/>
        <v/>
      </c>
      <c r="AE293" s="269" t="str">
        <f t="shared" si="107"/>
        <v/>
      </c>
      <c r="AF293" s="268" t="str">
        <f t="shared" si="108"/>
        <v/>
      </c>
      <c r="AG293" s="450" t="str">
        <f t="shared" si="109"/>
        <v/>
      </c>
      <c r="AH293" s="450" t="str">
        <f t="shared" si="110"/>
        <v/>
      </c>
      <c r="AI293" s="269" t="str">
        <f t="shared" si="111"/>
        <v/>
      </c>
      <c r="AJ293" s="450" t="str">
        <f>IF(O293=0,"-",SUMIFS($O$2:O293,$A$2:A293,$A293,$F$2:F293,"&lt;="&amp;$F293)/SUMIFS($G$2:G293,$A$2:A293,$A293,$F$2:F293,"&lt;="&amp;$F293)-1)</f>
        <v>-</v>
      </c>
      <c r="AK293" s="450" t="str">
        <f>IF(P293=0,"-",SUMIFS($P$2:P293,$A$2:A293,$A293,$F$2:F293,"&lt;="&amp;$F293)/SUMIFS($H$2:H293,$A$2:A293,$A293,$F$2:F293,"&lt;="&amp;$F293)-1)</f>
        <v>-</v>
      </c>
      <c r="AL293" s="450" t="str">
        <f>IF(Q293=0,"-",SUMIFS($Q$2:Q293,$A$2:A293,$A293,$F$2:F293,"&lt;="&amp;$F293)/SUMIFS($I$2:I293,$A$2:A293,$A293,$F$2:F293,"&lt;="&amp;$F293)-1)</f>
        <v>-</v>
      </c>
      <c r="AM293" s="450" t="str">
        <f>IFERROR(IF(O293=0,"-",SUMIFS($O$2:O293,$A$2:A293,$A293,$F$2:F293,"&lt;="&amp;$F293)/SUMIFS($K$2:K293,$A$2:A293,$A293,$F$2:F293,"&lt;="&amp;$F293)-1),"")</f>
        <v>-</v>
      </c>
      <c r="AN293" s="450" t="str">
        <f>IFERROR(IF(P293=0,"-",SUMIFS($P$2:P293,$A$2:A293,$A293,$F$2:F293,"&lt;="&amp;$F293)/SUMIFS($L$2:L293,$A$2:A293,$A293,$F$2:F293,"&lt;="&amp;$F293)-1),"")</f>
        <v>-</v>
      </c>
      <c r="AO293" s="269" t="str">
        <f>IFERROR(IF(Q293=0,"-",SUMIFS($Q$2:Q293,$A$2:A293,$A293,$F$2:F293,"&lt;="&amp;$F293)/SUMIFS($M$2:M293,$A$2:A293,$A293,$F$2:F293,"&lt;="&amp;$F293)-1),"")</f>
        <v>-</v>
      </c>
      <c r="AP293" s="134"/>
      <c r="AQ293" s="452" t="str">
        <f>'Overall Metrics'!AO298</f>
        <v/>
      </c>
      <c r="AR293" s="450" t="str">
        <f t="shared" si="112"/>
        <v/>
      </c>
      <c r="AS293" s="453" t="str">
        <f>IFERROR(IF(R294=0,"-",AVERAGEIFS($AQ$2:AQ293,$A$2:A293,$A293,$F$2:F293,"&lt;="&amp;$F293)-AVERAGEIFS($AP$2:AP293,$A$2:A293,$A293,$F$2:F293,"&lt;="&amp;$F293)),"")</f>
        <v>-</v>
      </c>
      <c r="AT293" s="390" t="str">
        <f>IFERROR(IF(R294=0,"-",AVERAGEIFS($AQ$2:AQ293,$A$2:A293,A293,$C$2:C293,C293)-AVERAGEIFS($AP$2:AP293,$A$2:A293,A293,$C$2:C293,C293)),"")</f>
        <v>-</v>
      </c>
      <c r="AU293" s="451"/>
      <c r="AV293" s="452">
        <f>'Overall Metrics'!AS298</f>
        <v>0</v>
      </c>
      <c r="AW293" s="450" t="str">
        <f t="shared" si="119"/>
        <v/>
      </c>
      <c r="AX293" s="453" t="str">
        <f>IFERROR(IF(R297=0,"-",AVERAGEIFS($AV$2:AV293,$A$2:A293,$A293,$F$2:F293,"&lt;="&amp;$F293)-AVERAGEIFS($AU$2:AU293,$A$2:A293,$A293,$F$2:F293,"&lt;="&amp;$F293)),"")</f>
        <v>-</v>
      </c>
      <c r="AY293" s="390" t="str">
        <f>IFERROR(IF(R297=0,"-",AVERAGEIFS($AV$2:AV293,$A$2:A293,A293,$C$2:C293,C293)-AVERAGEIFS($AU$2:AU293,$A$2:A293,A293,$C$2:C293,C293)),"")</f>
        <v>-</v>
      </c>
      <c r="AZ293" s="103"/>
      <c r="BA293" s="449">
        <f>'Glass Metrics'!AC298</f>
        <v>0</v>
      </c>
      <c r="BB293" s="450" t="str">
        <f t="shared" si="113"/>
        <v/>
      </c>
      <c r="BC293" s="450" t="str">
        <f>IFERROR(IF(R293=0,"-",AVERAGEIFS($BA$2:BA293,$A$2:A293,$A293,$F$2:F293,"&lt;="&amp;$F293)/AVERAGEIFS($AZ$2:AZ293,$A$2:A293,$A293,$F$2:F293,"&lt;="&amp;$F293)-1),"")</f>
        <v>-</v>
      </c>
      <c r="BD293" s="269" t="str">
        <f>IFERROR(IF(R293=0,"-",AVERAGEIFS($BA$2:BA293,$A$2:A293,A293,$C$2:C293,C293)/AVERAGEIFS($AZ$2:AZ293,$A$2:A293,A293,$C$2:C293,C293)-1),"")</f>
        <v>-</v>
      </c>
    </row>
    <row r="294" spans="1:56" ht="15.6" customHeight="1">
      <c r="A294" s="175">
        <f t="shared" si="93"/>
        <v>2026</v>
      </c>
      <c r="B294" s="447" t="str">
        <f t="shared" si="94"/>
        <v>32</v>
      </c>
      <c r="C294" s="447" t="str">
        <f t="array" ref="C294">_xlfn.IFS(_xlfn.NUMBERVALUE(B294)&lt;=13,"Q1",AND(_xlfn.NUMBERVALUE(B294)&gt;13,_xlfn.NUMBERVALUE(B294)&lt;=26),"Q2", AND(_xlfn.NUMBERVALUE(B294)&gt;26,_xlfn.NUMBERVALUE(B294)&lt;=39),"Q3",_xlfn.NUMBERVALUE(B294)&gt;39,"Q4")</f>
        <v>Q3</v>
      </c>
      <c r="D294" s="448">
        <f t="shared" si="114"/>
        <v>45906</v>
      </c>
      <c r="E294" s="448">
        <f t="shared" si="95"/>
        <v>45912</v>
      </c>
      <c r="F294" s="79">
        <v>202532</v>
      </c>
      <c r="G294" s="103"/>
      <c r="H294" s="429"/>
      <c r="I294" s="429"/>
      <c r="J294" s="214">
        <f t="shared" si="96"/>
        <v>0</v>
      </c>
      <c r="K294" s="429"/>
      <c r="L294" s="429"/>
      <c r="M294" s="429"/>
      <c r="N294" s="214">
        <f t="shared" si="97"/>
        <v>0</v>
      </c>
      <c r="O294" s="449">
        <f>'Overall Metrics'!L299</f>
        <v>0</v>
      </c>
      <c r="P294" s="449">
        <f>'Overall Metrics'!M299</f>
        <v>0</v>
      </c>
      <c r="Q294" s="449">
        <f>'Overall Metrics'!N299</f>
        <v>0</v>
      </c>
      <c r="R294" s="449">
        <f t="shared" si="98"/>
        <v>0</v>
      </c>
      <c r="S294" s="180">
        <f t="shared" si="99"/>
        <v>0</v>
      </c>
      <c r="T294" s="449">
        <f t="shared" si="100"/>
        <v>1256337</v>
      </c>
      <c r="U294" s="449">
        <f t="shared" si="101"/>
        <v>1322941</v>
      </c>
      <c r="V294" s="450" t="str">
        <f t="shared" si="102"/>
        <v/>
      </c>
      <c r="W294" s="450" t="str">
        <f>IF(R294=0,"-",SUMIFS($R$2:R294,$A$2:A294,A294,$C$2:C294,C294)/SUMIFS($J$2:J294,$A$2:A294,A294,$C$2:C294,C294)-1)</f>
        <v>-</v>
      </c>
      <c r="X294" s="450" t="str">
        <f t="shared" si="103"/>
        <v/>
      </c>
      <c r="Y294" s="450" t="str">
        <f>IFERROR(IF(R294=0,"-",SUMIFS($R$2:R294,$A$2:A294,A294,$C$2:C294,C294)/SUMIFS($N$2:N294,$A$2:A294,A294,$C$2:C294,C294)-1),"")</f>
        <v>-</v>
      </c>
      <c r="Z294" s="269" t="str">
        <f>IF(R294=0,"",(S294/VLOOKUP(_xlfn.NUMBERVALUE(_xlfn.CONCAT(LEFT(F294,4),52)),$F$2:T501,COLUMNS($F$2:T501),FALSE)))</f>
        <v/>
      </c>
      <c r="AA294" s="269" t="str">
        <f>IFERROR(IF(R294=0,"",(S294/VLOOKUP(_xlfn.NUMBERVALUE(_xlfn.CONCAT(LEFT(F294,4),52)),$F$2:U501,COLUMNS($F$2:U501),FALSE))),"")</f>
        <v/>
      </c>
      <c r="AB294" s="268" t="str">
        <f t="shared" si="104"/>
        <v/>
      </c>
      <c r="AC294" s="450" t="str">
        <f t="shared" si="105"/>
        <v/>
      </c>
      <c r="AD294" s="450" t="str">
        <f t="shared" si="106"/>
        <v/>
      </c>
      <c r="AE294" s="269" t="str">
        <f t="shared" si="107"/>
        <v/>
      </c>
      <c r="AF294" s="268" t="str">
        <f t="shared" si="108"/>
        <v/>
      </c>
      <c r="AG294" s="450" t="str">
        <f t="shared" si="109"/>
        <v/>
      </c>
      <c r="AH294" s="450" t="str">
        <f t="shared" si="110"/>
        <v/>
      </c>
      <c r="AI294" s="269" t="str">
        <f t="shared" si="111"/>
        <v/>
      </c>
      <c r="AJ294" s="450" t="str">
        <f>IF(O294=0,"-",SUMIFS($O$2:O294,$A$2:A294,$A294,$F$2:F294,"&lt;="&amp;$F294)/SUMIFS($G$2:G294,$A$2:A294,$A294,$F$2:F294,"&lt;="&amp;$F294)-1)</f>
        <v>-</v>
      </c>
      <c r="AK294" s="450" t="str">
        <f>IF(P294=0,"-",SUMIFS($P$2:P294,$A$2:A294,$A294,$F$2:F294,"&lt;="&amp;$F294)/SUMIFS($H$2:H294,$A$2:A294,$A294,$F$2:F294,"&lt;="&amp;$F294)-1)</f>
        <v>-</v>
      </c>
      <c r="AL294" s="450" t="str">
        <f>IF(Q294=0,"-",SUMIFS($Q$2:Q294,$A$2:A294,$A294,$F$2:F294,"&lt;="&amp;$F294)/SUMIFS($I$2:I294,$A$2:A294,$A294,$F$2:F294,"&lt;="&amp;$F294)-1)</f>
        <v>-</v>
      </c>
      <c r="AM294" s="450" t="str">
        <f>IFERROR(IF(O294=0,"-",SUMIFS($O$2:O294,$A$2:A294,$A294,$F$2:F294,"&lt;="&amp;$F294)/SUMIFS($K$2:K294,$A$2:A294,$A294,$F$2:F294,"&lt;="&amp;$F294)-1),"")</f>
        <v>-</v>
      </c>
      <c r="AN294" s="450" t="str">
        <f>IFERROR(IF(P294=0,"-",SUMIFS($P$2:P294,$A$2:A294,$A294,$F$2:F294,"&lt;="&amp;$F294)/SUMIFS($L$2:L294,$A$2:A294,$A294,$F$2:F294,"&lt;="&amp;$F294)-1),"")</f>
        <v>-</v>
      </c>
      <c r="AO294" s="269" t="str">
        <f>IFERROR(IF(Q294=0,"-",SUMIFS($Q$2:Q294,$A$2:A294,$A294,$F$2:F294,"&lt;="&amp;$F294)/SUMIFS($M$2:M294,$A$2:A294,$A294,$F$2:F294,"&lt;="&amp;$F294)-1),"")</f>
        <v>-</v>
      </c>
      <c r="AP294" s="134"/>
      <c r="AQ294" s="452" t="str">
        <f>'Overall Metrics'!AO299</f>
        <v/>
      </c>
      <c r="AR294" s="450" t="str">
        <f t="shared" si="112"/>
        <v/>
      </c>
      <c r="AS294" s="453" t="str">
        <f>IFERROR(IF(R295=0,"-",AVERAGEIFS($AQ$2:AQ294,$A$2:A294,$A294,$F$2:F294,"&lt;="&amp;$F294)-AVERAGEIFS($AP$2:AP294,$A$2:A294,$A294,$F$2:F294,"&lt;="&amp;$F294)),"")</f>
        <v>-</v>
      </c>
      <c r="AT294" s="390" t="str">
        <f>IFERROR(IF(R295=0,"-",AVERAGEIFS($AQ$2:AQ294,$A$2:A294,A294,$C$2:C294,C294)-AVERAGEIFS($AP$2:AP294,$A$2:A294,A294,$C$2:C294,C294)),"")</f>
        <v>-</v>
      </c>
      <c r="AU294" s="451"/>
      <c r="AV294" s="452">
        <f>'Overall Metrics'!AS299</f>
        <v>0</v>
      </c>
      <c r="AW294" s="450" t="str">
        <f t="shared" si="119"/>
        <v/>
      </c>
      <c r="AX294" s="453" t="str">
        <f>IFERROR(IF(R298=0,"-",AVERAGEIFS($AV$2:AV294,$A$2:A294,$A294,$F$2:F294,"&lt;="&amp;$F294)-AVERAGEIFS($AU$2:AU294,$A$2:A294,$A294,$F$2:F294,"&lt;="&amp;$F294)),"")</f>
        <v>-</v>
      </c>
      <c r="AY294" s="390" t="str">
        <f>IFERROR(IF(R298=0,"-",AVERAGEIFS($AV$2:AV294,$A$2:A294,A294,$C$2:C294,C294)-AVERAGEIFS($AU$2:AU294,$A$2:A294,A294,$C$2:C294,C294)),"")</f>
        <v>-</v>
      </c>
      <c r="AZ294" s="103"/>
      <c r="BA294" s="449">
        <f>'Glass Metrics'!AC299</f>
        <v>0</v>
      </c>
      <c r="BB294" s="450" t="str">
        <f t="shared" si="113"/>
        <v/>
      </c>
      <c r="BC294" s="450" t="str">
        <f>IFERROR(IF(R294=0,"-",AVERAGEIFS($BA$2:BA294,$A$2:A294,$A294,$F$2:F294,"&lt;="&amp;$F294)/AVERAGEIFS($AZ$2:AZ294,$A$2:A294,$A294,$F$2:F294,"&lt;="&amp;$F294)-1),"")</f>
        <v>-</v>
      </c>
      <c r="BD294" s="269" t="str">
        <f>IFERROR(IF(R294=0,"-",AVERAGEIFS($BA$2:BA294,$A$2:A294,A294,$C$2:C294,C294)/AVERAGEIFS($AZ$2:AZ294,$A$2:A294,A294,$C$2:C294,C294)-1),"")</f>
        <v>-</v>
      </c>
    </row>
    <row r="295" spans="1:56" ht="15.6" customHeight="1">
      <c r="A295" s="175">
        <f t="shared" si="93"/>
        <v>2026</v>
      </c>
      <c r="B295" s="447" t="str">
        <f t="shared" si="94"/>
        <v>33</v>
      </c>
      <c r="C295" s="447" t="str">
        <f t="array" ref="C295">_xlfn.IFS(_xlfn.NUMBERVALUE(B295)&lt;=13,"Q1",AND(_xlfn.NUMBERVALUE(B295)&gt;13,_xlfn.NUMBERVALUE(B295)&lt;=26),"Q2", AND(_xlfn.NUMBERVALUE(B295)&gt;26,_xlfn.NUMBERVALUE(B295)&lt;=39),"Q3",_xlfn.NUMBERVALUE(B295)&gt;39,"Q4")</f>
        <v>Q3</v>
      </c>
      <c r="D295" s="448">
        <f t="shared" si="114"/>
        <v>45913</v>
      </c>
      <c r="E295" s="448">
        <f t="shared" si="95"/>
        <v>45919</v>
      </c>
      <c r="F295" s="79">
        <v>202533</v>
      </c>
      <c r="G295" s="103"/>
      <c r="H295" s="429"/>
      <c r="I295" s="429"/>
      <c r="J295" s="214">
        <f t="shared" si="96"/>
        <v>0</v>
      </c>
      <c r="K295" s="429"/>
      <c r="L295" s="429"/>
      <c r="M295" s="429"/>
      <c r="N295" s="214">
        <f t="shared" si="97"/>
        <v>0</v>
      </c>
      <c r="O295" s="449">
        <f>'Overall Metrics'!L300</f>
        <v>0</v>
      </c>
      <c r="P295" s="449">
        <f>'Overall Metrics'!M300</f>
        <v>0</v>
      </c>
      <c r="Q295" s="449">
        <f>'Overall Metrics'!N300</f>
        <v>0</v>
      </c>
      <c r="R295" s="449">
        <f t="shared" si="98"/>
        <v>0</v>
      </c>
      <c r="S295" s="180">
        <f t="shared" si="99"/>
        <v>0</v>
      </c>
      <c r="T295" s="449">
        <f t="shared" si="100"/>
        <v>1256337</v>
      </c>
      <c r="U295" s="449">
        <f t="shared" si="101"/>
        <v>1322941</v>
      </c>
      <c r="V295" s="450" t="str">
        <f t="shared" si="102"/>
        <v/>
      </c>
      <c r="W295" s="450" t="str">
        <f>IF(R295=0,"-",SUMIFS($R$2:R295,$A$2:A295,A295,$C$2:C295,C295)/SUMIFS($J$2:J295,$A$2:A295,A295,$C$2:C295,C295)-1)</f>
        <v>-</v>
      </c>
      <c r="X295" s="450" t="str">
        <f t="shared" si="103"/>
        <v/>
      </c>
      <c r="Y295" s="450" t="str">
        <f>IFERROR(IF(R295=0,"-",SUMIFS($R$2:R295,$A$2:A295,A295,$C$2:C295,C295)/SUMIFS($N$2:N295,$A$2:A295,A295,$C$2:C295,C295)-1),"")</f>
        <v>-</v>
      </c>
      <c r="Z295" s="269" t="str">
        <f>IF(R295=0,"",(S295/VLOOKUP(_xlfn.NUMBERVALUE(_xlfn.CONCAT(LEFT(F295,4),52)),$F$2:T502,COLUMNS($F$2:T502),FALSE)))</f>
        <v/>
      </c>
      <c r="AA295" s="269" t="str">
        <f>IFERROR(IF(R295=0,"",(S295/VLOOKUP(_xlfn.NUMBERVALUE(_xlfn.CONCAT(LEFT(F295,4),52)),$F$2:U502,COLUMNS($F$2:U502),FALSE))),"")</f>
        <v/>
      </c>
      <c r="AB295" s="268" t="str">
        <f t="shared" si="104"/>
        <v/>
      </c>
      <c r="AC295" s="450" t="str">
        <f t="shared" si="105"/>
        <v/>
      </c>
      <c r="AD295" s="450" t="str">
        <f t="shared" si="106"/>
        <v/>
      </c>
      <c r="AE295" s="269" t="str">
        <f t="shared" si="107"/>
        <v/>
      </c>
      <c r="AF295" s="268" t="str">
        <f t="shared" si="108"/>
        <v/>
      </c>
      <c r="AG295" s="450" t="str">
        <f t="shared" si="109"/>
        <v/>
      </c>
      <c r="AH295" s="450" t="str">
        <f t="shared" si="110"/>
        <v/>
      </c>
      <c r="AI295" s="269" t="str">
        <f t="shared" si="111"/>
        <v/>
      </c>
      <c r="AJ295" s="450" t="str">
        <f>IF(O295=0,"-",SUMIFS($O$2:O295,$A$2:A295,$A295,$F$2:F295,"&lt;="&amp;$F295)/SUMIFS($G$2:G295,$A$2:A295,$A295,$F$2:F295,"&lt;="&amp;$F295)-1)</f>
        <v>-</v>
      </c>
      <c r="AK295" s="450" t="str">
        <f>IF(P295=0,"-",SUMIFS($P$2:P295,$A$2:A295,$A295,$F$2:F295,"&lt;="&amp;$F295)/SUMIFS($H$2:H295,$A$2:A295,$A295,$F$2:F295,"&lt;="&amp;$F295)-1)</f>
        <v>-</v>
      </c>
      <c r="AL295" s="450" t="str">
        <f>IF(Q295=0,"-",SUMIFS($Q$2:Q295,$A$2:A295,$A295,$F$2:F295,"&lt;="&amp;$F295)/SUMIFS($I$2:I295,$A$2:A295,$A295,$F$2:F295,"&lt;="&amp;$F295)-1)</f>
        <v>-</v>
      </c>
      <c r="AM295" s="450" t="str">
        <f>IFERROR(IF(O295=0,"-",SUMIFS($O$2:O295,$A$2:A295,$A295,$F$2:F295,"&lt;="&amp;$F295)/SUMIFS($K$2:K295,$A$2:A295,$A295,$F$2:F295,"&lt;="&amp;$F295)-1),"")</f>
        <v>-</v>
      </c>
      <c r="AN295" s="450" t="str">
        <f>IFERROR(IF(P295=0,"-",SUMIFS($P$2:P295,$A$2:A295,$A295,$F$2:F295,"&lt;="&amp;$F295)/SUMIFS($L$2:L295,$A$2:A295,$A295,$F$2:F295,"&lt;="&amp;$F295)-1),"")</f>
        <v>-</v>
      </c>
      <c r="AO295" s="269" t="str">
        <f>IFERROR(IF(Q295=0,"-",SUMIFS($Q$2:Q295,$A$2:A295,$A295,$F$2:F295,"&lt;="&amp;$F295)/SUMIFS($M$2:M295,$A$2:A295,$A295,$F$2:F295,"&lt;="&amp;$F295)-1),"")</f>
        <v>-</v>
      </c>
      <c r="AP295" s="134"/>
      <c r="AQ295" s="452" t="str">
        <f>'Overall Metrics'!AO300</f>
        <v/>
      </c>
      <c r="AR295" s="450" t="str">
        <f t="shared" si="112"/>
        <v/>
      </c>
      <c r="AS295" s="453" t="str">
        <f>IFERROR(IF(R296=0,"-",AVERAGEIFS($AQ$2:AQ295,$A$2:A295,$A295,$F$2:F295,"&lt;="&amp;$F295)-AVERAGEIFS($AP$2:AP295,$A$2:A295,$A295,$F$2:F295,"&lt;="&amp;$F295)),"")</f>
        <v>-</v>
      </c>
      <c r="AT295" s="390" t="str">
        <f>IFERROR(IF(R296=0,"-",AVERAGEIFS($AQ$2:AQ295,$A$2:A295,A295,$C$2:C295,C295)-AVERAGEIFS($AP$2:AP295,$A$2:A295,A295,$C$2:C295,C295)),"")</f>
        <v>-</v>
      </c>
      <c r="AU295" s="451"/>
      <c r="AV295" s="452">
        <f>'Overall Metrics'!AS300</f>
        <v>0</v>
      </c>
      <c r="AW295" s="450" t="str">
        <f t="shared" si="119"/>
        <v/>
      </c>
      <c r="AX295" s="453" t="str">
        <f>IFERROR(IF(R299=0,"-",AVERAGEIFS($AV$2:AV295,$A$2:A295,$A295,$F$2:F295,"&lt;="&amp;$F295)-AVERAGEIFS($AU$2:AU295,$A$2:A295,$A295,$F$2:F295,"&lt;="&amp;$F295)),"")</f>
        <v>-</v>
      </c>
      <c r="AY295" s="390" t="str">
        <f>IFERROR(IF(R299=0,"-",AVERAGEIFS($AV$2:AV295,$A$2:A295,A295,$C$2:C295,C295)-AVERAGEIFS($AU$2:AU295,$A$2:A295,A295,$C$2:C295,C295)),"")</f>
        <v>-</v>
      </c>
      <c r="AZ295" s="103"/>
      <c r="BA295" s="449">
        <f>'Glass Metrics'!AC300</f>
        <v>0</v>
      </c>
      <c r="BB295" s="450" t="str">
        <f t="shared" si="113"/>
        <v/>
      </c>
      <c r="BC295" s="450" t="str">
        <f>IFERROR(IF(R295=0,"-",AVERAGEIFS($BA$2:BA295,$A$2:A295,$A295,$F$2:F295,"&lt;="&amp;$F295)/AVERAGEIFS($AZ$2:AZ295,$A$2:A295,$A295,$F$2:F295,"&lt;="&amp;$F295)-1),"")</f>
        <v>-</v>
      </c>
      <c r="BD295" s="269" t="str">
        <f>IFERROR(IF(R295=0,"-",AVERAGEIFS($BA$2:BA295,$A$2:A295,A295,$C$2:C295,C295)/AVERAGEIFS($AZ$2:AZ295,$A$2:A295,A295,$C$2:C295,C295)-1),"")</f>
        <v>-</v>
      </c>
    </row>
    <row r="296" spans="1:56" ht="15.6" customHeight="1">
      <c r="A296" s="175">
        <f t="shared" si="93"/>
        <v>2026</v>
      </c>
      <c r="B296" s="447" t="str">
        <f t="shared" si="94"/>
        <v>34</v>
      </c>
      <c r="C296" s="447" t="str">
        <f t="array" ref="C296">_xlfn.IFS(_xlfn.NUMBERVALUE(B296)&lt;=13,"Q1",AND(_xlfn.NUMBERVALUE(B296)&gt;13,_xlfn.NUMBERVALUE(B296)&lt;=26),"Q2", AND(_xlfn.NUMBERVALUE(B296)&gt;26,_xlfn.NUMBERVALUE(B296)&lt;=39),"Q3",_xlfn.NUMBERVALUE(B296)&gt;39,"Q4")</f>
        <v>Q3</v>
      </c>
      <c r="D296" s="448">
        <f t="shared" si="114"/>
        <v>45920</v>
      </c>
      <c r="E296" s="448">
        <f t="shared" si="95"/>
        <v>45926</v>
      </c>
      <c r="F296" s="79">
        <v>202534</v>
      </c>
      <c r="G296" s="103"/>
      <c r="H296" s="429"/>
      <c r="I296" s="429"/>
      <c r="J296" s="214">
        <f t="shared" si="96"/>
        <v>0</v>
      </c>
      <c r="K296" s="429"/>
      <c r="L296" s="429"/>
      <c r="M296" s="429"/>
      <c r="N296" s="214">
        <f t="shared" si="97"/>
        <v>0</v>
      </c>
      <c r="O296" s="449">
        <f>'Overall Metrics'!L301</f>
        <v>0</v>
      </c>
      <c r="P296" s="449">
        <f>'Overall Metrics'!M301</f>
        <v>0</v>
      </c>
      <c r="Q296" s="449">
        <f>'Overall Metrics'!N301</f>
        <v>0</v>
      </c>
      <c r="R296" s="449">
        <f t="shared" si="98"/>
        <v>0</v>
      </c>
      <c r="S296" s="180">
        <f t="shared" si="99"/>
        <v>0</v>
      </c>
      <c r="T296" s="449">
        <f t="shared" si="100"/>
        <v>1256337</v>
      </c>
      <c r="U296" s="449">
        <f t="shared" si="101"/>
        <v>1322941</v>
      </c>
      <c r="V296" s="450" t="str">
        <f t="shared" si="102"/>
        <v/>
      </c>
      <c r="W296" s="450" t="str">
        <f>IF(R296=0,"-",SUMIFS($R$2:R296,$A$2:A296,A296,$C$2:C296,C296)/SUMIFS($J$2:J296,$A$2:A296,A296,$C$2:C296,C296)-1)</f>
        <v>-</v>
      </c>
      <c r="X296" s="450" t="str">
        <f t="shared" si="103"/>
        <v/>
      </c>
      <c r="Y296" s="450" t="str">
        <f>IFERROR(IF(R296=0,"-",SUMIFS($R$2:R296,$A$2:A296,A296,$C$2:C296,C296)/SUMIFS($N$2:N296,$A$2:A296,A296,$C$2:C296,C296)-1),"")</f>
        <v>-</v>
      </c>
      <c r="Z296" s="269" t="str">
        <f>IF(R296=0,"",(S296/VLOOKUP(_xlfn.NUMBERVALUE(_xlfn.CONCAT(LEFT(F296,4),52)),$F$2:T503,COLUMNS($F$2:T503),FALSE)))</f>
        <v/>
      </c>
      <c r="AA296" s="269" t="str">
        <f>IFERROR(IF(R296=0,"",(S296/VLOOKUP(_xlfn.NUMBERVALUE(_xlfn.CONCAT(LEFT(F296,4),52)),$F$2:U503,COLUMNS($F$2:U503),FALSE))),"")</f>
        <v/>
      </c>
      <c r="AB296" s="268" t="str">
        <f t="shared" si="104"/>
        <v/>
      </c>
      <c r="AC296" s="450" t="str">
        <f t="shared" si="105"/>
        <v/>
      </c>
      <c r="AD296" s="450" t="str">
        <f t="shared" si="106"/>
        <v/>
      </c>
      <c r="AE296" s="269" t="str">
        <f t="shared" si="107"/>
        <v/>
      </c>
      <c r="AF296" s="268" t="str">
        <f t="shared" si="108"/>
        <v/>
      </c>
      <c r="AG296" s="450" t="str">
        <f t="shared" si="109"/>
        <v/>
      </c>
      <c r="AH296" s="450" t="str">
        <f t="shared" si="110"/>
        <v/>
      </c>
      <c r="AI296" s="269" t="str">
        <f t="shared" si="111"/>
        <v/>
      </c>
      <c r="AJ296" s="450" t="str">
        <f>IF(O296=0,"-",SUMIFS($O$2:O296,$A$2:A296,$A296,$F$2:F296,"&lt;="&amp;$F296)/SUMIFS($G$2:G296,$A$2:A296,$A296,$F$2:F296,"&lt;="&amp;$F296)-1)</f>
        <v>-</v>
      </c>
      <c r="AK296" s="450" t="str">
        <f>IF(P296=0,"-",SUMIFS($P$2:P296,$A$2:A296,$A296,$F$2:F296,"&lt;="&amp;$F296)/SUMIFS($H$2:H296,$A$2:A296,$A296,$F$2:F296,"&lt;="&amp;$F296)-1)</f>
        <v>-</v>
      </c>
      <c r="AL296" s="450" t="str">
        <f>IF(Q296=0,"-",SUMIFS($Q$2:Q296,$A$2:A296,$A296,$F$2:F296,"&lt;="&amp;$F296)/SUMIFS($I$2:I296,$A$2:A296,$A296,$F$2:F296,"&lt;="&amp;$F296)-1)</f>
        <v>-</v>
      </c>
      <c r="AM296" s="450" t="str">
        <f>IFERROR(IF(O296=0,"-",SUMIFS($O$2:O296,$A$2:A296,$A296,$F$2:F296,"&lt;="&amp;$F296)/SUMIFS($K$2:K296,$A$2:A296,$A296,$F$2:F296,"&lt;="&amp;$F296)-1),"")</f>
        <v>-</v>
      </c>
      <c r="AN296" s="450" t="str">
        <f>IFERROR(IF(P296=0,"-",SUMIFS($P$2:P296,$A$2:A296,$A296,$F$2:F296,"&lt;="&amp;$F296)/SUMIFS($L$2:L296,$A$2:A296,$A296,$F$2:F296,"&lt;="&amp;$F296)-1),"")</f>
        <v>-</v>
      </c>
      <c r="AO296" s="269" t="str">
        <f>IFERROR(IF(Q296=0,"-",SUMIFS($Q$2:Q296,$A$2:A296,$A296,$F$2:F296,"&lt;="&amp;$F296)/SUMIFS($M$2:M296,$A$2:A296,$A296,$F$2:F296,"&lt;="&amp;$F296)-1),"")</f>
        <v>-</v>
      </c>
      <c r="AP296" s="134"/>
      <c r="AQ296" s="452" t="str">
        <f>'Overall Metrics'!AO301</f>
        <v/>
      </c>
      <c r="AR296" s="450" t="str">
        <f t="shared" si="112"/>
        <v/>
      </c>
      <c r="AS296" s="453" t="str">
        <f>IFERROR(IF(R297=0,"-",AVERAGEIFS($AQ$2:AQ296,$A$2:A296,$A296,$F$2:F296,"&lt;="&amp;$F296)-AVERAGEIFS($AP$2:AP296,$A$2:A296,$A296,$F$2:F296,"&lt;="&amp;$F296)),"")</f>
        <v>-</v>
      </c>
      <c r="AT296" s="390" t="str">
        <f>IFERROR(IF(R297=0,"-",AVERAGEIFS($AQ$2:AQ296,$A$2:A296,A296,$C$2:C296,C296)-AVERAGEIFS($AP$2:AP296,$A$2:A296,A296,$C$2:C296,C296)),"")</f>
        <v>-</v>
      </c>
      <c r="AU296" s="451"/>
      <c r="AV296" s="452">
        <f>'Overall Metrics'!AS301</f>
        <v>0</v>
      </c>
      <c r="AW296" s="450" t="str">
        <f t="shared" si="119"/>
        <v/>
      </c>
      <c r="AX296" s="453" t="str">
        <f>IFERROR(IF(R300=0,"-",AVERAGEIFS($AV$2:AV296,$A$2:A296,$A296,$F$2:F296,"&lt;="&amp;$F296)-AVERAGEIFS($AU$2:AU296,$A$2:A296,$A296,$F$2:F296,"&lt;="&amp;$F296)),"")</f>
        <v>-</v>
      </c>
      <c r="AY296" s="390" t="str">
        <f>IFERROR(IF(R300=0,"-",AVERAGEIFS($AV$2:AV296,$A$2:A296,A296,$C$2:C296,C296)-AVERAGEIFS($AU$2:AU296,$A$2:A296,A296,$C$2:C296,C296)),"")</f>
        <v>-</v>
      </c>
      <c r="AZ296" s="103"/>
      <c r="BA296" s="449">
        <f>'Glass Metrics'!AC301</f>
        <v>0</v>
      </c>
      <c r="BB296" s="450" t="str">
        <f t="shared" si="113"/>
        <v/>
      </c>
      <c r="BC296" s="450" t="str">
        <f>IFERROR(IF(R296=0,"-",AVERAGEIFS($BA$2:BA296,$A$2:A296,$A296,$F$2:F296,"&lt;="&amp;$F296)/AVERAGEIFS($AZ$2:AZ296,$A$2:A296,$A296,$F$2:F296,"&lt;="&amp;$F296)-1),"")</f>
        <v>-</v>
      </c>
      <c r="BD296" s="269" t="str">
        <f>IFERROR(IF(R296=0,"-",AVERAGEIFS($BA$2:BA296,$A$2:A296,A296,$C$2:C296,C296)/AVERAGEIFS($AZ$2:AZ296,$A$2:A296,A296,$C$2:C296,C296)-1),"")</f>
        <v>-</v>
      </c>
    </row>
    <row r="297" spans="1:56" ht="15.6" customHeight="1">
      <c r="A297" s="175">
        <f t="shared" si="93"/>
        <v>2026</v>
      </c>
      <c r="B297" s="447" t="str">
        <f t="shared" si="94"/>
        <v>35</v>
      </c>
      <c r="C297" s="447" t="str">
        <f t="array" ref="C297">_xlfn.IFS(_xlfn.NUMBERVALUE(B297)&lt;=13,"Q1",AND(_xlfn.NUMBERVALUE(B297)&gt;13,_xlfn.NUMBERVALUE(B297)&lt;=26),"Q2", AND(_xlfn.NUMBERVALUE(B297)&gt;26,_xlfn.NUMBERVALUE(B297)&lt;=39),"Q3",_xlfn.NUMBERVALUE(B297)&gt;39,"Q4")</f>
        <v>Q3</v>
      </c>
      <c r="D297" s="448">
        <f t="shared" si="114"/>
        <v>45927</v>
      </c>
      <c r="E297" s="448">
        <f t="shared" si="95"/>
        <v>45933</v>
      </c>
      <c r="F297" s="79">
        <v>202535</v>
      </c>
      <c r="G297" s="103"/>
      <c r="H297" s="429"/>
      <c r="I297" s="429"/>
      <c r="J297" s="214">
        <f t="shared" si="96"/>
        <v>0</v>
      </c>
      <c r="K297" s="429"/>
      <c r="L297" s="429"/>
      <c r="M297" s="429"/>
      <c r="N297" s="214">
        <f t="shared" si="97"/>
        <v>0</v>
      </c>
      <c r="O297" s="449">
        <f>'Overall Metrics'!L302</f>
        <v>0</v>
      </c>
      <c r="P297" s="449">
        <f>'Overall Metrics'!M302</f>
        <v>0</v>
      </c>
      <c r="Q297" s="449">
        <f>'Overall Metrics'!N302</f>
        <v>0</v>
      </c>
      <c r="R297" s="449">
        <f t="shared" si="98"/>
        <v>0</v>
      </c>
      <c r="S297" s="180">
        <f t="shared" si="99"/>
        <v>0</v>
      </c>
      <c r="T297" s="449">
        <f t="shared" si="100"/>
        <v>1256337</v>
      </c>
      <c r="U297" s="449">
        <f t="shared" si="101"/>
        <v>1322941</v>
      </c>
      <c r="V297" s="450" t="str">
        <f t="shared" si="102"/>
        <v/>
      </c>
      <c r="W297" s="450" t="str">
        <f>IF(R297=0,"-",SUMIFS($R$2:R297,$A$2:A297,A297,$C$2:C297,C297)/SUMIFS($J$2:J297,$A$2:A297,A297,$C$2:C297,C297)-1)</f>
        <v>-</v>
      </c>
      <c r="X297" s="450" t="str">
        <f t="shared" si="103"/>
        <v/>
      </c>
      <c r="Y297" s="450" t="str">
        <f>IFERROR(IF(R297=0,"-",SUMIFS($R$2:R297,$A$2:A297,A297,$C$2:C297,C297)/SUMIFS($N$2:N297,$A$2:A297,A297,$C$2:C297,C297)-1),"")</f>
        <v>-</v>
      </c>
      <c r="Z297" s="269" t="str">
        <f>IF(R297=0,"",(S297/VLOOKUP(_xlfn.NUMBERVALUE(_xlfn.CONCAT(LEFT(F297,4),52)),$F$2:T504,COLUMNS($F$2:T504),FALSE)))</f>
        <v/>
      </c>
      <c r="AA297" s="269" t="str">
        <f>IFERROR(IF(R297=0,"",(S297/VLOOKUP(_xlfn.NUMBERVALUE(_xlfn.CONCAT(LEFT(F297,4),52)),$F$2:U504,COLUMNS($F$2:U504),FALSE))),"")</f>
        <v/>
      </c>
      <c r="AB297" s="268" t="str">
        <f t="shared" si="104"/>
        <v/>
      </c>
      <c r="AC297" s="450" t="str">
        <f t="shared" si="105"/>
        <v/>
      </c>
      <c r="AD297" s="450" t="str">
        <f t="shared" si="106"/>
        <v/>
      </c>
      <c r="AE297" s="269" t="str">
        <f t="shared" si="107"/>
        <v/>
      </c>
      <c r="AF297" s="268" t="str">
        <f t="shared" si="108"/>
        <v/>
      </c>
      <c r="AG297" s="450" t="str">
        <f t="shared" si="109"/>
        <v/>
      </c>
      <c r="AH297" s="450" t="str">
        <f t="shared" si="110"/>
        <v/>
      </c>
      <c r="AI297" s="269" t="str">
        <f t="shared" si="111"/>
        <v/>
      </c>
      <c r="AJ297" s="450" t="str">
        <f>IF(O297=0,"-",SUMIFS($O$2:O297,$A$2:A297,$A297,$F$2:F297,"&lt;="&amp;$F297)/SUMIFS($G$2:G297,$A$2:A297,$A297,$F$2:F297,"&lt;="&amp;$F297)-1)</f>
        <v>-</v>
      </c>
      <c r="AK297" s="450" t="str">
        <f>IF(P297=0,"-",SUMIFS($P$2:P297,$A$2:A297,$A297,$F$2:F297,"&lt;="&amp;$F297)/SUMIFS($H$2:H297,$A$2:A297,$A297,$F$2:F297,"&lt;="&amp;$F297)-1)</f>
        <v>-</v>
      </c>
      <c r="AL297" s="450" t="str">
        <f>IF(Q297=0,"-",SUMIFS($Q$2:Q297,$A$2:A297,$A297,$F$2:F297,"&lt;="&amp;$F297)/SUMIFS($I$2:I297,$A$2:A297,$A297,$F$2:F297,"&lt;="&amp;$F297)-1)</f>
        <v>-</v>
      </c>
      <c r="AM297" s="450" t="str">
        <f>IFERROR(IF(O297=0,"-",SUMIFS($O$2:O297,$A$2:A297,$A297,$F$2:F297,"&lt;="&amp;$F297)/SUMIFS($K$2:K297,$A$2:A297,$A297,$F$2:F297,"&lt;="&amp;$F297)-1),"")</f>
        <v>-</v>
      </c>
      <c r="AN297" s="450" t="str">
        <f>IFERROR(IF(P297=0,"-",SUMIFS($P$2:P297,$A$2:A297,$A297,$F$2:F297,"&lt;="&amp;$F297)/SUMIFS($L$2:L297,$A$2:A297,$A297,$F$2:F297,"&lt;="&amp;$F297)-1),"")</f>
        <v>-</v>
      </c>
      <c r="AO297" s="269" t="str">
        <f>IFERROR(IF(Q297=0,"-",SUMIFS($Q$2:Q297,$A$2:A297,$A297,$F$2:F297,"&lt;="&amp;$F297)/SUMIFS($M$2:M297,$A$2:A297,$A297,$F$2:F297,"&lt;="&amp;$F297)-1),"")</f>
        <v>-</v>
      </c>
      <c r="AP297" s="134"/>
      <c r="AQ297" s="452" t="str">
        <f>'Overall Metrics'!AO302</f>
        <v/>
      </c>
      <c r="AR297" s="450" t="str">
        <f t="shared" si="112"/>
        <v/>
      </c>
      <c r="AS297" s="453" t="str">
        <f>IFERROR(IF(R298=0,"-",AVERAGEIFS($AQ$2:AQ297,$A$2:A297,$A297,$F$2:F297,"&lt;="&amp;$F297)-AVERAGEIFS($AP$2:AP297,$A$2:A297,$A297,$F$2:F297,"&lt;="&amp;$F297)),"")</f>
        <v>-</v>
      </c>
      <c r="AT297" s="390" t="str">
        <f>IFERROR(IF(R298=0,"-",AVERAGEIFS($AQ$2:AQ297,$A$2:A297,A297,$C$2:C297,C297)-AVERAGEIFS($AP$2:AP297,$A$2:A297,A297,$C$2:C297,C297)),"")</f>
        <v>-</v>
      </c>
      <c r="AU297" s="451"/>
      <c r="AV297" s="452">
        <f>'Overall Metrics'!AS302</f>
        <v>0</v>
      </c>
      <c r="AW297" s="450" t="str">
        <f t="shared" si="119"/>
        <v/>
      </c>
      <c r="AX297" s="453" t="str">
        <f>IFERROR(IF(R301=0,"-",AVERAGEIFS($AV$2:AV297,$A$2:A297,$A297,$F$2:F297,"&lt;="&amp;$F297)-AVERAGEIFS($AU$2:AU297,$A$2:A297,$A297,$F$2:F297,"&lt;="&amp;$F297)),"")</f>
        <v>-</v>
      </c>
      <c r="AY297" s="390" t="str">
        <f>IFERROR(IF(R301=0,"-",AVERAGEIFS($AV$2:AV297,$A$2:A297,A297,$C$2:C297,C297)-AVERAGEIFS($AU$2:AU297,$A$2:A297,A297,$C$2:C297,C297)),"")</f>
        <v>-</v>
      </c>
      <c r="AZ297" s="103"/>
      <c r="BA297" s="449">
        <f>'Glass Metrics'!AC302</f>
        <v>0</v>
      </c>
      <c r="BB297" s="450" t="str">
        <f t="shared" si="113"/>
        <v/>
      </c>
      <c r="BC297" s="450" t="str">
        <f>IFERROR(IF(R297=0,"-",AVERAGEIFS($BA$2:BA297,$A$2:A297,$A297,$F$2:F297,"&lt;="&amp;$F297)/AVERAGEIFS($AZ$2:AZ297,$A$2:A297,$A297,$F$2:F297,"&lt;="&amp;$F297)-1),"")</f>
        <v>-</v>
      </c>
      <c r="BD297" s="269" t="str">
        <f>IFERROR(IF(R297=0,"-",AVERAGEIFS($BA$2:BA297,$A$2:A297,A297,$C$2:C297,C297)/AVERAGEIFS($AZ$2:AZ297,$A$2:A297,A297,$C$2:C297,C297)-1),"")</f>
        <v>-</v>
      </c>
    </row>
    <row r="298" spans="1:56" ht="15.6" customHeight="1">
      <c r="A298" s="175">
        <f t="shared" si="93"/>
        <v>2026</v>
      </c>
      <c r="B298" s="447" t="str">
        <f t="shared" si="94"/>
        <v>36</v>
      </c>
      <c r="C298" s="447" t="str">
        <f t="array" ref="C298">_xlfn.IFS(_xlfn.NUMBERVALUE(B298)&lt;=13,"Q1",AND(_xlfn.NUMBERVALUE(B298)&gt;13,_xlfn.NUMBERVALUE(B298)&lt;=26),"Q2", AND(_xlfn.NUMBERVALUE(B298)&gt;26,_xlfn.NUMBERVALUE(B298)&lt;=39),"Q3",_xlfn.NUMBERVALUE(B298)&gt;39,"Q4")</f>
        <v>Q3</v>
      </c>
      <c r="D298" s="448">
        <f t="shared" si="114"/>
        <v>45934</v>
      </c>
      <c r="E298" s="448">
        <f t="shared" si="95"/>
        <v>45940</v>
      </c>
      <c r="F298" s="79">
        <v>202536</v>
      </c>
      <c r="G298" s="103"/>
      <c r="H298" s="429"/>
      <c r="I298" s="429"/>
      <c r="J298" s="214">
        <f t="shared" si="96"/>
        <v>0</v>
      </c>
      <c r="K298" s="429"/>
      <c r="L298" s="429"/>
      <c r="M298" s="429"/>
      <c r="N298" s="214">
        <f t="shared" si="97"/>
        <v>0</v>
      </c>
      <c r="O298" s="449">
        <f>'Overall Metrics'!L303</f>
        <v>0</v>
      </c>
      <c r="P298" s="449">
        <f>'Overall Metrics'!M303</f>
        <v>0</v>
      </c>
      <c r="Q298" s="449">
        <f>'Overall Metrics'!N303</f>
        <v>0</v>
      </c>
      <c r="R298" s="449">
        <f t="shared" si="98"/>
        <v>0</v>
      </c>
      <c r="S298" s="180">
        <f t="shared" si="99"/>
        <v>0</v>
      </c>
      <c r="T298" s="449">
        <f t="shared" si="100"/>
        <v>1256337</v>
      </c>
      <c r="U298" s="449">
        <f t="shared" si="101"/>
        <v>1322941</v>
      </c>
      <c r="V298" s="450" t="str">
        <f t="shared" si="102"/>
        <v/>
      </c>
      <c r="W298" s="450" t="str">
        <f>IF(R298=0,"-",SUMIFS($R$2:R298,$A$2:A298,A298,$C$2:C298,C298)/SUMIFS($J$2:J298,$A$2:A298,A298,$C$2:C298,C298)-1)</f>
        <v>-</v>
      </c>
      <c r="X298" s="450" t="str">
        <f t="shared" si="103"/>
        <v/>
      </c>
      <c r="Y298" s="450" t="str">
        <f>IFERROR(IF(R298=0,"-",SUMIFS($R$2:R298,$A$2:A298,A298,$C$2:C298,C298)/SUMIFS($N$2:N298,$A$2:A298,A298,$C$2:C298,C298)-1),"")</f>
        <v>-</v>
      </c>
      <c r="Z298" s="269" t="str">
        <f>IF(R298=0,"",(S298/VLOOKUP(_xlfn.NUMBERVALUE(_xlfn.CONCAT(LEFT(F298,4),52)),$F$2:T505,COLUMNS($F$2:T505),FALSE)))</f>
        <v/>
      </c>
      <c r="AA298" s="269" t="str">
        <f>IFERROR(IF(R298=0,"",(S298/VLOOKUP(_xlfn.NUMBERVALUE(_xlfn.CONCAT(LEFT(F298,4),52)),$F$2:U505,COLUMNS($F$2:U505),FALSE))),"")</f>
        <v/>
      </c>
      <c r="AB298" s="268" t="str">
        <f t="shared" si="104"/>
        <v/>
      </c>
      <c r="AC298" s="450" t="str">
        <f t="shared" si="105"/>
        <v/>
      </c>
      <c r="AD298" s="450" t="str">
        <f t="shared" si="106"/>
        <v/>
      </c>
      <c r="AE298" s="269" t="str">
        <f t="shared" si="107"/>
        <v/>
      </c>
      <c r="AF298" s="268" t="str">
        <f t="shared" si="108"/>
        <v/>
      </c>
      <c r="AG298" s="450" t="str">
        <f t="shared" si="109"/>
        <v/>
      </c>
      <c r="AH298" s="450" t="str">
        <f t="shared" si="110"/>
        <v/>
      </c>
      <c r="AI298" s="269" t="str">
        <f t="shared" si="111"/>
        <v/>
      </c>
      <c r="AJ298" s="450" t="str">
        <f>IF(O298=0,"-",SUMIFS($O$2:O298,$A$2:A298,$A298,$F$2:F298,"&lt;="&amp;$F298)/SUMIFS($G$2:G298,$A$2:A298,$A298,$F$2:F298,"&lt;="&amp;$F298)-1)</f>
        <v>-</v>
      </c>
      <c r="AK298" s="450" t="str">
        <f>IF(P298=0,"-",SUMIFS($P$2:P298,$A$2:A298,$A298,$F$2:F298,"&lt;="&amp;$F298)/SUMIFS($H$2:H298,$A$2:A298,$A298,$F$2:F298,"&lt;="&amp;$F298)-1)</f>
        <v>-</v>
      </c>
      <c r="AL298" s="450" t="str">
        <f>IF(Q298=0,"-",SUMIFS($Q$2:Q298,$A$2:A298,$A298,$F$2:F298,"&lt;="&amp;$F298)/SUMIFS($I$2:I298,$A$2:A298,$A298,$F$2:F298,"&lt;="&amp;$F298)-1)</f>
        <v>-</v>
      </c>
      <c r="AM298" s="450" t="str">
        <f>IFERROR(IF(O298=0,"-",SUMIFS($O$2:O298,$A$2:A298,$A298,$F$2:F298,"&lt;="&amp;$F298)/SUMIFS($K$2:K298,$A$2:A298,$A298,$F$2:F298,"&lt;="&amp;$F298)-1),"")</f>
        <v>-</v>
      </c>
      <c r="AN298" s="450" t="str">
        <f>IFERROR(IF(P298=0,"-",SUMIFS($P$2:P298,$A$2:A298,$A298,$F$2:F298,"&lt;="&amp;$F298)/SUMIFS($L$2:L298,$A$2:A298,$A298,$F$2:F298,"&lt;="&amp;$F298)-1),"")</f>
        <v>-</v>
      </c>
      <c r="AO298" s="269" t="str">
        <f>IFERROR(IF(Q298=0,"-",SUMIFS($Q$2:Q298,$A$2:A298,$A298,$F$2:F298,"&lt;="&amp;$F298)/SUMIFS($M$2:M298,$A$2:A298,$A298,$F$2:F298,"&lt;="&amp;$F298)-1),"")</f>
        <v>-</v>
      </c>
      <c r="AP298" s="134"/>
      <c r="AQ298" s="452" t="str">
        <f>'Overall Metrics'!AO303</f>
        <v/>
      </c>
      <c r="AR298" s="450" t="str">
        <f t="shared" si="112"/>
        <v/>
      </c>
      <c r="AS298" s="453" t="str">
        <f>IFERROR(IF(R299=0,"-",AVERAGEIFS($AQ$2:AQ298,$A$2:A298,$A298,$F$2:F298,"&lt;="&amp;$F298)-AVERAGEIFS($AP$2:AP298,$A$2:A298,$A298,$F$2:F298,"&lt;="&amp;$F298)),"")</f>
        <v>-</v>
      </c>
      <c r="AT298" s="390" t="str">
        <f>IFERROR(IF(R299=0,"-",AVERAGEIFS($AQ$2:AQ298,$A$2:A298,A298,$C$2:C298,C298)-AVERAGEIFS($AP$2:AP298,$A$2:A298,A298,$C$2:C298,C298)),"")</f>
        <v>-</v>
      </c>
      <c r="AU298" s="451"/>
      <c r="AV298" s="452">
        <f>'Overall Metrics'!AS303</f>
        <v>0</v>
      </c>
      <c r="AW298" s="450" t="str">
        <f t="shared" si="119"/>
        <v/>
      </c>
      <c r="AX298" s="453" t="str">
        <f>IFERROR(IF(R302=0,"-",AVERAGEIFS($AV$2:AV298,$A$2:A298,$A298,$F$2:F298,"&lt;="&amp;$F298)-AVERAGEIFS($AU$2:AU298,$A$2:A298,$A298,$F$2:F298,"&lt;="&amp;$F298)),"")</f>
        <v>-</v>
      </c>
      <c r="AY298" s="390" t="str">
        <f>IFERROR(IF(R302=0,"-",AVERAGEIFS($AV$2:AV298,$A$2:A298,A298,$C$2:C298,C298)-AVERAGEIFS($AU$2:AU298,$A$2:A298,A298,$C$2:C298,C298)),"")</f>
        <v>-</v>
      </c>
      <c r="AZ298" s="103"/>
      <c r="BA298" s="449">
        <f>'Glass Metrics'!AC303</f>
        <v>0</v>
      </c>
      <c r="BB298" s="450" t="str">
        <f t="shared" si="113"/>
        <v/>
      </c>
      <c r="BC298" s="450" t="str">
        <f>IFERROR(IF(R298=0,"-",AVERAGEIFS($BA$2:BA298,$A$2:A298,$A298,$F$2:F298,"&lt;="&amp;$F298)/AVERAGEIFS($AZ$2:AZ298,$A$2:A298,$A298,$F$2:F298,"&lt;="&amp;$F298)-1),"")</f>
        <v>-</v>
      </c>
      <c r="BD298" s="269" t="str">
        <f>IFERROR(IF(R298=0,"-",AVERAGEIFS($BA$2:BA298,$A$2:A298,A298,$C$2:C298,C298)/AVERAGEIFS($AZ$2:AZ298,$A$2:A298,A298,$C$2:C298,C298)-1),"")</f>
        <v>-</v>
      </c>
    </row>
    <row r="299" spans="1:56" ht="15.6" customHeight="1">
      <c r="A299" s="175">
        <f t="shared" si="93"/>
        <v>2026</v>
      </c>
      <c r="B299" s="447" t="str">
        <f t="shared" si="94"/>
        <v>37</v>
      </c>
      <c r="C299" s="447" t="str">
        <f t="array" ref="C299">_xlfn.IFS(_xlfn.NUMBERVALUE(B299)&lt;=13,"Q1",AND(_xlfn.NUMBERVALUE(B299)&gt;13,_xlfn.NUMBERVALUE(B299)&lt;=26),"Q2", AND(_xlfn.NUMBERVALUE(B299)&gt;26,_xlfn.NUMBERVALUE(B299)&lt;=39),"Q3",_xlfn.NUMBERVALUE(B299)&gt;39,"Q4")</f>
        <v>Q3</v>
      </c>
      <c r="D299" s="448">
        <f t="shared" si="114"/>
        <v>45941</v>
      </c>
      <c r="E299" s="448">
        <f t="shared" si="95"/>
        <v>45947</v>
      </c>
      <c r="F299" s="79">
        <v>202537</v>
      </c>
      <c r="G299" s="103"/>
      <c r="H299" s="429"/>
      <c r="I299" s="429"/>
      <c r="J299" s="214">
        <f t="shared" si="96"/>
        <v>0</v>
      </c>
      <c r="K299" s="429"/>
      <c r="L299" s="429"/>
      <c r="M299" s="429"/>
      <c r="N299" s="214">
        <f t="shared" si="97"/>
        <v>0</v>
      </c>
      <c r="O299" s="449">
        <f>'Overall Metrics'!L304</f>
        <v>0</v>
      </c>
      <c r="P299" s="449">
        <f>'Overall Metrics'!M304</f>
        <v>0</v>
      </c>
      <c r="Q299" s="449">
        <f>'Overall Metrics'!N304</f>
        <v>0</v>
      </c>
      <c r="R299" s="449">
        <f t="shared" si="98"/>
        <v>0</v>
      </c>
      <c r="S299" s="180">
        <f t="shared" si="99"/>
        <v>0</v>
      </c>
      <c r="T299" s="449">
        <f t="shared" si="100"/>
        <v>1256337</v>
      </c>
      <c r="U299" s="449">
        <f t="shared" si="101"/>
        <v>1322941</v>
      </c>
      <c r="V299" s="450" t="str">
        <f t="shared" si="102"/>
        <v/>
      </c>
      <c r="W299" s="450" t="str">
        <f>IF(R299=0,"-",SUMIFS($R$2:R299,$A$2:A299,A299,$C$2:C299,C299)/SUMIFS($J$2:J299,$A$2:A299,A299,$C$2:C299,C299)-1)</f>
        <v>-</v>
      </c>
      <c r="X299" s="450" t="str">
        <f t="shared" si="103"/>
        <v/>
      </c>
      <c r="Y299" s="450" t="str">
        <f>IFERROR(IF(R299=0,"-",SUMIFS($R$2:R299,$A$2:A299,A299,$C$2:C299,C299)/SUMIFS($N$2:N299,$A$2:A299,A299,$C$2:C299,C299)-1),"")</f>
        <v>-</v>
      </c>
      <c r="Z299" s="269" t="str">
        <f>IF(R299=0,"",(S299/VLOOKUP(_xlfn.NUMBERVALUE(_xlfn.CONCAT(LEFT(F299,4),52)),$F$2:T506,COLUMNS($F$2:T506),FALSE)))</f>
        <v/>
      </c>
      <c r="AA299" s="269" t="str">
        <f>IFERROR(IF(R299=0,"",(S299/VLOOKUP(_xlfn.NUMBERVALUE(_xlfn.CONCAT(LEFT(F299,4),52)),$F$2:U506,COLUMNS($F$2:U506),FALSE))),"")</f>
        <v/>
      </c>
      <c r="AB299" s="268" t="str">
        <f t="shared" si="104"/>
        <v/>
      </c>
      <c r="AC299" s="450" t="str">
        <f t="shared" si="105"/>
        <v/>
      </c>
      <c r="AD299" s="450" t="str">
        <f t="shared" si="106"/>
        <v/>
      </c>
      <c r="AE299" s="269" t="str">
        <f t="shared" si="107"/>
        <v/>
      </c>
      <c r="AF299" s="268" t="str">
        <f t="shared" si="108"/>
        <v/>
      </c>
      <c r="AG299" s="450" t="str">
        <f t="shared" si="109"/>
        <v/>
      </c>
      <c r="AH299" s="450" t="str">
        <f t="shared" si="110"/>
        <v/>
      </c>
      <c r="AI299" s="269" t="str">
        <f t="shared" si="111"/>
        <v/>
      </c>
      <c r="AJ299" s="450" t="str">
        <f>IF(O299=0,"-",SUMIFS($O$2:O299,$A$2:A299,$A299,$F$2:F299,"&lt;="&amp;$F299)/SUMIFS($G$2:G299,$A$2:A299,$A299,$F$2:F299,"&lt;="&amp;$F299)-1)</f>
        <v>-</v>
      </c>
      <c r="AK299" s="450" t="str">
        <f>IF(P299=0,"-",SUMIFS($P$2:P299,$A$2:A299,$A299,$F$2:F299,"&lt;="&amp;$F299)/SUMIFS($H$2:H299,$A$2:A299,$A299,$F$2:F299,"&lt;="&amp;$F299)-1)</f>
        <v>-</v>
      </c>
      <c r="AL299" s="450" t="str">
        <f>IF(Q299=0,"-",SUMIFS($Q$2:Q299,$A$2:A299,$A299,$F$2:F299,"&lt;="&amp;$F299)/SUMIFS($I$2:I299,$A$2:A299,$A299,$F$2:F299,"&lt;="&amp;$F299)-1)</f>
        <v>-</v>
      </c>
      <c r="AM299" s="450" t="str">
        <f>IFERROR(IF(O299=0,"-",SUMIFS($O$2:O299,$A$2:A299,$A299,$F$2:F299,"&lt;="&amp;$F299)/SUMIFS($K$2:K299,$A$2:A299,$A299,$F$2:F299,"&lt;="&amp;$F299)-1),"")</f>
        <v>-</v>
      </c>
      <c r="AN299" s="450" t="str">
        <f>IFERROR(IF(P299=0,"-",SUMIFS($P$2:P299,$A$2:A299,$A299,$F$2:F299,"&lt;="&amp;$F299)/SUMIFS($L$2:L299,$A$2:A299,$A299,$F$2:F299,"&lt;="&amp;$F299)-1),"")</f>
        <v>-</v>
      </c>
      <c r="AO299" s="269" t="str">
        <f>IFERROR(IF(Q299=0,"-",SUMIFS($Q$2:Q299,$A$2:A299,$A299,$F$2:F299,"&lt;="&amp;$F299)/SUMIFS($M$2:M299,$A$2:A299,$A299,$F$2:F299,"&lt;="&amp;$F299)-1),"")</f>
        <v>-</v>
      </c>
      <c r="AP299" s="134"/>
      <c r="AQ299" s="452" t="str">
        <f>'Overall Metrics'!AO304</f>
        <v/>
      </c>
      <c r="AR299" s="450" t="str">
        <f t="shared" si="112"/>
        <v/>
      </c>
      <c r="AS299" s="453" t="str">
        <f>IFERROR(IF(R300=0,"-",AVERAGEIFS($AQ$2:AQ299,$A$2:A299,$A299,$F$2:F299,"&lt;="&amp;$F299)-AVERAGEIFS($AP$2:AP299,$A$2:A299,$A299,$F$2:F299,"&lt;="&amp;$F299)),"")</f>
        <v>-</v>
      </c>
      <c r="AT299" s="390" t="str">
        <f>IFERROR(IF(R300=0,"-",AVERAGEIFS($AQ$2:AQ299,$A$2:A299,A299,$C$2:C299,C299)-AVERAGEIFS($AP$2:AP299,$A$2:A299,A299,$C$2:C299,C299)),"")</f>
        <v>-</v>
      </c>
      <c r="AU299" s="451"/>
      <c r="AV299" s="452">
        <f>'Overall Metrics'!AS304</f>
        <v>0</v>
      </c>
      <c r="AW299" s="450" t="str">
        <f t="shared" si="119"/>
        <v/>
      </c>
      <c r="AX299" s="453" t="str">
        <f>IFERROR(IF(R303=0,"-",AVERAGEIFS($AV$2:AV299,$A$2:A299,$A299,$F$2:F299,"&lt;="&amp;$F299)-AVERAGEIFS($AU$2:AU299,$A$2:A299,$A299,$F$2:F299,"&lt;="&amp;$F299)),"")</f>
        <v>-</v>
      </c>
      <c r="AY299" s="390" t="str">
        <f>IFERROR(IF(R303=0,"-",AVERAGEIFS($AV$2:AV299,$A$2:A299,A299,$C$2:C299,C299)-AVERAGEIFS($AU$2:AU299,$A$2:A299,A299,$C$2:C299,C299)),"")</f>
        <v>-</v>
      </c>
      <c r="AZ299" s="103"/>
      <c r="BA299" s="449">
        <f>'Glass Metrics'!AC304</f>
        <v>0</v>
      </c>
      <c r="BB299" s="450" t="str">
        <f t="shared" si="113"/>
        <v/>
      </c>
      <c r="BC299" s="450" t="str">
        <f>IFERROR(IF(R299=0,"-",AVERAGEIFS($BA$2:BA299,$A$2:A299,$A299,$F$2:F299,"&lt;="&amp;$F299)/AVERAGEIFS($AZ$2:AZ299,$A$2:A299,$A299,$F$2:F299,"&lt;="&amp;$F299)-1),"")</f>
        <v>-</v>
      </c>
      <c r="BD299" s="269" t="str">
        <f>IFERROR(IF(R299=0,"-",AVERAGEIFS($BA$2:BA299,$A$2:A299,A299,$C$2:C299,C299)/AVERAGEIFS($AZ$2:AZ299,$A$2:A299,A299,$C$2:C299,C299)-1),"")</f>
        <v>-</v>
      </c>
    </row>
    <row r="300" spans="1:56" ht="15.6" customHeight="1">
      <c r="A300" s="175">
        <f t="shared" si="93"/>
        <v>2026</v>
      </c>
      <c r="B300" s="447" t="str">
        <f t="shared" si="94"/>
        <v>38</v>
      </c>
      <c r="C300" s="447" t="str">
        <f t="array" ref="C300">_xlfn.IFS(_xlfn.NUMBERVALUE(B300)&lt;=13,"Q1",AND(_xlfn.NUMBERVALUE(B300)&gt;13,_xlfn.NUMBERVALUE(B300)&lt;=26),"Q2", AND(_xlfn.NUMBERVALUE(B300)&gt;26,_xlfn.NUMBERVALUE(B300)&lt;=39),"Q3",_xlfn.NUMBERVALUE(B300)&gt;39,"Q4")</f>
        <v>Q3</v>
      </c>
      <c r="D300" s="448">
        <f t="shared" si="114"/>
        <v>45948</v>
      </c>
      <c r="E300" s="448">
        <f t="shared" si="95"/>
        <v>45954</v>
      </c>
      <c r="F300" s="79">
        <v>202538</v>
      </c>
      <c r="G300" s="103"/>
      <c r="H300" s="429"/>
      <c r="I300" s="429"/>
      <c r="J300" s="214">
        <f t="shared" si="96"/>
        <v>0</v>
      </c>
      <c r="K300" s="429"/>
      <c r="L300" s="429"/>
      <c r="M300" s="429"/>
      <c r="N300" s="214">
        <f t="shared" si="97"/>
        <v>0</v>
      </c>
      <c r="O300" s="449">
        <f>'Overall Metrics'!L305</f>
        <v>0</v>
      </c>
      <c r="P300" s="449">
        <f>'Overall Metrics'!M305</f>
        <v>0</v>
      </c>
      <c r="Q300" s="449">
        <f>'Overall Metrics'!N305</f>
        <v>0</v>
      </c>
      <c r="R300" s="449">
        <f t="shared" si="98"/>
        <v>0</v>
      </c>
      <c r="S300" s="180">
        <f t="shared" si="99"/>
        <v>0</v>
      </c>
      <c r="T300" s="449">
        <f t="shared" si="100"/>
        <v>1256337</v>
      </c>
      <c r="U300" s="449">
        <f t="shared" si="101"/>
        <v>1322941</v>
      </c>
      <c r="V300" s="450" t="str">
        <f t="shared" si="102"/>
        <v/>
      </c>
      <c r="W300" s="450" t="str">
        <f>IF(R300=0,"-",SUMIFS($R$2:R300,$A$2:A300,A300,$C$2:C300,C300)/SUMIFS($J$2:J300,$A$2:A300,A300,$C$2:C300,C300)-1)</f>
        <v>-</v>
      </c>
      <c r="X300" s="450" t="str">
        <f t="shared" si="103"/>
        <v/>
      </c>
      <c r="Y300" s="450" t="str">
        <f>IFERROR(IF(R300=0,"-",SUMIFS($R$2:R300,$A$2:A300,A300,$C$2:C300,C300)/SUMIFS($N$2:N300,$A$2:A300,A300,$C$2:C300,C300)-1),"")</f>
        <v>-</v>
      </c>
      <c r="Z300" s="269" t="str">
        <f>IF(R300=0,"",(S300/VLOOKUP(_xlfn.NUMBERVALUE(_xlfn.CONCAT(LEFT(F300,4),52)),$F$2:T507,COLUMNS($F$2:T507),FALSE)))</f>
        <v/>
      </c>
      <c r="AA300" s="269" t="str">
        <f>IFERROR(IF(R300=0,"",(S300/VLOOKUP(_xlfn.NUMBERVALUE(_xlfn.CONCAT(LEFT(F300,4),52)),$F$2:U507,COLUMNS($F$2:U507),FALSE))),"")</f>
        <v/>
      </c>
      <c r="AB300" s="268" t="str">
        <f t="shared" si="104"/>
        <v/>
      </c>
      <c r="AC300" s="450" t="str">
        <f t="shared" si="105"/>
        <v/>
      </c>
      <c r="AD300" s="450" t="str">
        <f t="shared" si="106"/>
        <v/>
      </c>
      <c r="AE300" s="269" t="str">
        <f t="shared" si="107"/>
        <v/>
      </c>
      <c r="AF300" s="268" t="str">
        <f t="shared" si="108"/>
        <v/>
      </c>
      <c r="AG300" s="450" t="str">
        <f t="shared" si="109"/>
        <v/>
      </c>
      <c r="AH300" s="450" t="str">
        <f t="shared" si="110"/>
        <v/>
      </c>
      <c r="AI300" s="269" t="str">
        <f t="shared" si="111"/>
        <v/>
      </c>
      <c r="AJ300" s="450" t="str">
        <f>IF(O300=0,"-",SUMIFS($O$2:O300,$A$2:A300,$A300,$F$2:F300,"&lt;="&amp;$F300)/SUMIFS($G$2:G300,$A$2:A300,$A300,$F$2:F300,"&lt;="&amp;$F300)-1)</f>
        <v>-</v>
      </c>
      <c r="AK300" s="450" t="str">
        <f>IF(P300=0,"-",SUMIFS($P$2:P300,$A$2:A300,$A300,$F$2:F300,"&lt;="&amp;$F300)/SUMIFS($H$2:H300,$A$2:A300,$A300,$F$2:F300,"&lt;="&amp;$F300)-1)</f>
        <v>-</v>
      </c>
      <c r="AL300" s="450" t="str">
        <f>IF(Q300=0,"-",SUMIFS($Q$2:Q300,$A$2:A300,$A300,$F$2:F300,"&lt;="&amp;$F300)/SUMIFS($I$2:I300,$A$2:A300,$A300,$F$2:F300,"&lt;="&amp;$F300)-1)</f>
        <v>-</v>
      </c>
      <c r="AM300" s="450" t="str">
        <f>IFERROR(IF(O300=0,"-",SUMIFS($O$2:O300,$A$2:A300,$A300,$F$2:F300,"&lt;="&amp;$F300)/SUMIFS($K$2:K300,$A$2:A300,$A300,$F$2:F300,"&lt;="&amp;$F300)-1),"")</f>
        <v>-</v>
      </c>
      <c r="AN300" s="450" t="str">
        <f>IFERROR(IF(P300=0,"-",SUMIFS($P$2:P300,$A$2:A300,$A300,$F$2:F300,"&lt;="&amp;$F300)/SUMIFS($L$2:L300,$A$2:A300,$A300,$F$2:F300,"&lt;="&amp;$F300)-1),"")</f>
        <v>-</v>
      </c>
      <c r="AO300" s="269" t="str">
        <f>IFERROR(IF(Q300=0,"-",SUMIFS($Q$2:Q300,$A$2:A300,$A300,$F$2:F300,"&lt;="&amp;$F300)/SUMIFS($M$2:M300,$A$2:A300,$A300,$F$2:F300,"&lt;="&amp;$F300)-1),"")</f>
        <v>-</v>
      </c>
      <c r="AP300" s="134"/>
      <c r="AQ300" s="452" t="str">
        <f>'Overall Metrics'!AO305</f>
        <v/>
      </c>
      <c r="AR300" s="450" t="str">
        <f t="shared" si="112"/>
        <v/>
      </c>
      <c r="AS300" s="453" t="str">
        <f>IFERROR(IF(R301=0,"-",AVERAGEIFS($AQ$2:AQ300,$A$2:A300,$A300,$F$2:F300,"&lt;="&amp;$F300)-AVERAGEIFS($AP$2:AP300,$A$2:A300,$A300,$F$2:F300,"&lt;="&amp;$F300)),"")</f>
        <v>-</v>
      </c>
      <c r="AT300" s="390" t="str">
        <f>IFERROR(IF(R301=0,"-",AVERAGEIFS($AQ$2:AQ300,$A$2:A300,A300,$C$2:C300,C300)-AVERAGEIFS($AP$2:AP300,$A$2:A300,A300,$C$2:C300,C300)),"")</f>
        <v>-</v>
      </c>
      <c r="AU300" s="451"/>
      <c r="AV300" s="452">
        <f>'Overall Metrics'!AS305</f>
        <v>0</v>
      </c>
      <c r="AW300" s="450" t="str">
        <f t="shared" si="119"/>
        <v/>
      </c>
      <c r="AX300" s="453" t="str">
        <f>IFERROR(IF(R304=0,"-",AVERAGEIFS($AV$2:AV300,$A$2:A300,$A300,$F$2:F300,"&lt;="&amp;$F300)-AVERAGEIFS($AU$2:AU300,$A$2:A300,$A300,$F$2:F300,"&lt;="&amp;$F300)),"")</f>
        <v>-</v>
      </c>
      <c r="AY300" s="390" t="str">
        <f>IFERROR(IF(R304=0,"-",AVERAGEIFS($AV$2:AV300,$A$2:A300,A300,$C$2:C300,C300)-AVERAGEIFS($AU$2:AU300,$A$2:A300,A300,$C$2:C300,C300)),"")</f>
        <v>-</v>
      </c>
      <c r="AZ300" s="103"/>
      <c r="BA300" s="449">
        <f>'Glass Metrics'!AC305</f>
        <v>0</v>
      </c>
      <c r="BB300" s="450" t="str">
        <f t="shared" si="113"/>
        <v/>
      </c>
      <c r="BC300" s="450" t="str">
        <f>IFERROR(IF(R300=0,"-",AVERAGEIFS($BA$2:BA300,$A$2:A300,$A300,$F$2:F300,"&lt;="&amp;$F300)/AVERAGEIFS($AZ$2:AZ300,$A$2:A300,$A300,$F$2:F300,"&lt;="&amp;$F300)-1),"")</f>
        <v>-</v>
      </c>
      <c r="BD300" s="269" t="str">
        <f>IFERROR(IF(R300=0,"-",AVERAGEIFS($BA$2:BA300,$A$2:A300,A300,$C$2:C300,C300)/AVERAGEIFS($AZ$2:AZ300,$A$2:A300,A300,$C$2:C300,C300)-1),"")</f>
        <v>-</v>
      </c>
    </row>
    <row r="301" spans="1:56" ht="15.6" customHeight="1">
      <c r="A301" s="175">
        <f t="shared" si="93"/>
        <v>2026</v>
      </c>
      <c r="B301" s="447" t="str">
        <f t="shared" si="94"/>
        <v>39</v>
      </c>
      <c r="C301" s="447" t="str">
        <f t="array" ref="C301">_xlfn.IFS(_xlfn.NUMBERVALUE(B301)&lt;=13,"Q1",AND(_xlfn.NUMBERVALUE(B301)&gt;13,_xlfn.NUMBERVALUE(B301)&lt;=26),"Q2", AND(_xlfn.NUMBERVALUE(B301)&gt;26,_xlfn.NUMBERVALUE(B301)&lt;=39),"Q3",_xlfn.NUMBERVALUE(B301)&gt;39,"Q4")</f>
        <v>Q3</v>
      </c>
      <c r="D301" s="448">
        <f t="shared" si="114"/>
        <v>45955</v>
      </c>
      <c r="E301" s="448">
        <f t="shared" si="95"/>
        <v>45961</v>
      </c>
      <c r="F301" s="79">
        <v>202539</v>
      </c>
      <c r="G301" s="103"/>
      <c r="H301" s="429"/>
      <c r="I301" s="429"/>
      <c r="J301" s="214">
        <f t="shared" si="96"/>
        <v>0</v>
      </c>
      <c r="K301" s="429"/>
      <c r="L301" s="429"/>
      <c r="M301" s="429"/>
      <c r="N301" s="214">
        <f t="shared" si="97"/>
        <v>0</v>
      </c>
      <c r="O301" s="449">
        <f>'Overall Metrics'!L306</f>
        <v>0</v>
      </c>
      <c r="P301" s="449">
        <f>'Overall Metrics'!M306</f>
        <v>0</v>
      </c>
      <c r="Q301" s="449">
        <f>'Overall Metrics'!N306</f>
        <v>0</v>
      </c>
      <c r="R301" s="449">
        <f t="shared" si="98"/>
        <v>0</v>
      </c>
      <c r="S301" s="180">
        <f t="shared" si="99"/>
        <v>0</v>
      </c>
      <c r="T301" s="449">
        <f t="shared" si="100"/>
        <v>1256337</v>
      </c>
      <c r="U301" s="449">
        <f t="shared" si="101"/>
        <v>1322941</v>
      </c>
      <c r="V301" s="450" t="str">
        <f t="shared" si="102"/>
        <v/>
      </c>
      <c r="W301" s="450" t="str">
        <f>IF(R301=0,"-",SUMIFS($R$2:R301,$A$2:A301,A301,$C$2:C301,C301)/SUMIFS($J$2:J301,$A$2:A301,A301,$C$2:C301,C301)-1)</f>
        <v>-</v>
      </c>
      <c r="X301" s="450" t="str">
        <f t="shared" si="103"/>
        <v/>
      </c>
      <c r="Y301" s="450" t="str">
        <f>IFERROR(IF(R301=0,"-",SUMIFS($R$2:R301,$A$2:A301,A301,$C$2:C301,C301)/SUMIFS($N$2:N301,$A$2:A301,A301,$C$2:C301,C301)-1),"")</f>
        <v>-</v>
      </c>
      <c r="Z301" s="269" t="str">
        <f>IF(R301=0,"",(S301/VLOOKUP(_xlfn.NUMBERVALUE(_xlfn.CONCAT(LEFT(F301,4),52)),$F$2:T508,COLUMNS($F$2:T508),FALSE)))</f>
        <v/>
      </c>
      <c r="AA301" s="269" t="str">
        <f>IFERROR(IF(R301=0,"",(S301/VLOOKUP(_xlfn.NUMBERVALUE(_xlfn.CONCAT(LEFT(F301,4),52)),$F$2:U508,COLUMNS($F$2:U508),FALSE))),"")</f>
        <v/>
      </c>
      <c r="AB301" s="268" t="str">
        <f t="shared" si="104"/>
        <v/>
      </c>
      <c r="AC301" s="450" t="str">
        <f t="shared" si="105"/>
        <v/>
      </c>
      <c r="AD301" s="450" t="str">
        <f t="shared" si="106"/>
        <v/>
      </c>
      <c r="AE301" s="269" t="str">
        <f t="shared" si="107"/>
        <v/>
      </c>
      <c r="AF301" s="268" t="str">
        <f t="shared" si="108"/>
        <v/>
      </c>
      <c r="AG301" s="450" t="str">
        <f t="shared" si="109"/>
        <v/>
      </c>
      <c r="AH301" s="450" t="str">
        <f t="shared" si="110"/>
        <v/>
      </c>
      <c r="AI301" s="269" t="str">
        <f t="shared" si="111"/>
        <v/>
      </c>
      <c r="AJ301" s="450" t="str">
        <f>IF(O301=0,"-",SUMIFS($O$2:O301,$A$2:A301,$A301,$F$2:F301,"&lt;="&amp;$F301)/SUMIFS($G$2:G301,$A$2:A301,$A301,$F$2:F301,"&lt;="&amp;$F301)-1)</f>
        <v>-</v>
      </c>
      <c r="AK301" s="450" t="str">
        <f>IF(P301=0,"-",SUMIFS($P$2:P301,$A$2:A301,$A301,$F$2:F301,"&lt;="&amp;$F301)/SUMIFS($H$2:H301,$A$2:A301,$A301,$F$2:F301,"&lt;="&amp;$F301)-1)</f>
        <v>-</v>
      </c>
      <c r="AL301" s="450" t="str">
        <f>IF(Q301=0,"-",SUMIFS($Q$2:Q301,$A$2:A301,$A301,$F$2:F301,"&lt;="&amp;$F301)/SUMIFS($I$2:I301,$A$2:A301,$A301,$F$2:F301,"&lt;="&amp;$F301)-1)</f>
        <v>-</v>
      </c>
      <c r="AM301" s="450" t="str">
        <f>IFERROR(IF(O301=0,"-",SUMIFS($O$2:O301,$A$2:A301,$A301,$F$2:F301,"&lt;="&amp;$F301)/SUMIFS($K$2:K301,$A$2:A301,$A301,$F$2:F301,"&lt;="&amp;$F301)-1),"")</f>
        <v>-</v>
      </c>
      <c r="AN301" s="450" t="str">
        <f>IFERROR(IF(P301=0,"-",SUMIFS($P$2:P301,$A$2:A301,$A301,$F$2:F301,"&lt;="&amp;$F301)/SUMIFS($L$2:L301,$A$2:A301,$A301,$F$2:F301,"&lt;="&amp;$F301)-1),"")</f>
        <v>-</v>
      </c>
      <c r="AO301" s="269" t="str">
        <f>IFERROR(IF(Q301=0,"-",SUMIFS($Q$2:Q301,$A$2:A301,$A301,$F$2:F301,"&lt;="&amp;$F301)/SUMIFS($M$2:M301,$A$2:A301,$A301,$F$2:F301,"&lt;="&amp;$F301)-1),"")</f>
        <v>-</v>
      </c>
      <c r="AP301" s="134"/>
      <c r="AQ301" s="452" t="str">
        <f>'Overall Metrics'!AO306</f>
        <v/>
      </c>
      <c r="AR301" s="450" t="str">
        <f t="shared" si="112"/>
        <v/>
      </c>
      <c r="AS301" s="453" t="str">
        <f>IFERROR(IF(R302=0,"-",AVERAGEIFS($AQ$2:AQ301,$A$2:A301,$A301,$F$2:F301,"&lt;="&amp;$F301)-AVERAGEIFS($AP$2:AP301,$A$2:A301,$A301,$F$2:F301,"&lt;="&amp;$F301)),"")</f>
        <v>-</v>
      </c>
      <c r="AT301" s="390" t="str">
        <f>IFERROR(IF(R302=0,"-",AVERAGEIFS($AQ$2:AQ301,$A$2:A301,A301,$C$2:C301,C301)-AVERAGEIFS($AP$2:AP301,$A$2:A301,A301,$C$2:C301,C301)),"")</f>
        <v>-</v>
      </c>
      <c r="AU301" s="451"/>
      <c r="AV301" s="452">
        <f>'Overall Metrics'!AS306</f>
        <v>0</v>
      </c>
      <c r="AW301" s="450" t="str">
        <f t="shared" si="119"/>
        <v/>
      </c>
      <c r="AX301" s="453" t="str">
        <f>IFERROR(IF(R305=0,"-",AVERAGEIFS($AV$2:AV301,$A$2:A301,$A301,$F$2:F301,"&lt;="&amp;$F301)-AVERAGEIFS($AU$2:AU301,$A$2:A301,$A301,$F$2:F301,"&lt;="&amp;$F301)),"")</f>
        <v>-</v>
      </c>
      <c r="AY301" s="390" t="str">
        <f>IFERROR(IF(R305=0,"-",AVERAGEIFS($AV$2:AV301,$A$2:A301,A301,$C$2:C301,C301)-AVERAGEIFS($AU$2:AU301,$A$2:A301,A301,$C$2:C301,C301)),"")</f>
        <v>-</v>
      </c>
      <c r="AZ301" s="103"/>
      <c r="BA301" s="449">
        <f>'Glass Metrics'!AC306</f>
        <v>0</v>
      </c>
      <c r="BB301" s="450" t="str">
        <f t="shared" si="113"/>
        <v/>
      </c>
      <c r="BC301" s="450" t="str">
        <f>IFERROR(IF(R301=0,"-",AVERAGEIFS($BA$2:BA301,$A$2:A301,$A301,$F$2:F301,"&lt;="&amp;$F301)/AVERAGEIFS($AZ$2:AZ301,$A$2:A301,$A301,$F$2:F301,"&lt;="&amp;$F301)-1),"")</f>
        <v>-</v>
      </c>
      <c r="BD301" s="269" t="str">
        <f>IFERROR(IF(R301=0,"-",AVERAGEIFS($BA$2:BA301,$A$2:A301,A301,$C$2:C301,C301)/AVERAGEIFS($AZ$2:AZ301,$A$2:A301,A301,$C$2:C301,C301)-1),"")</f>
        <v>-</v>
      </c>
    </row>
    <row r="302" spans="1:56" ht="15.6" customHeight="1">
      <c r="A302" s="175">
        <f t="shared" si="93"/>
        <v>2026</v>
      </c>
      <c r="B302" s="447" t="str">
        <f t="shared" si="94"/>
        <v>40</v>
      </c>
      <c r="C302" s="447" t="str">
        <f t="array" ref="C302">_xlfn.IFS(_xlfn.NUMBERVALUE(B302)&lt;=13,"Q1",AND(_xlfn.NUMBERVALUE(B302)&gt;13,_xlfn.NUMBERVALUE(B302)&lt;=26),"Q2", AND(_xlfn.NUMBERVALUE(B302)&gt;26,_xlfn.NUMBERVALUE(B302)&lt;=39),"Q3",_xlfn.NUMBERVALUE(B302)&gt;39,"Q4")</f>
        <v>Q4</v>
      </c>
      <c r="D302" s="448">
        <f t="shared" si="114"/>
        <v>45962</v>
      </c>
      <c r="E302" s="448">
        <f t="shared" si="95"/>
        <v>45968</v>
      </c>
      <c r="F302" s="79">
        <v>202540</v>
      </c>
      <c r="G302" s="103"/>
      <c r="H302" s="429"/>
      <c r="I302" s="429"/>
      <c r="J302" s="214">
        <f t="shared" si="96"/>
        <v>0</v>
      </c>
      <c r="K302" s="429"/>
      <c r="L302" s="429"/>
      <c r="M302" s="429"/>
      <c r="N302" s="214">
        <f t="shared" si="97"/>
        <v>0</v>
      </c>
      <c r="O302" s="449">
        <f>'Overall Metrics'!L307</f>
        <v>0</v>
      </c>
      <c r="P302" s="449">
        <f>'Overall Metrics'!M307</f>
        <v>0</v>
      </c>
      <c r="Q302" s="449">
        <f>'Overall Metrics'!N307</f>
        <v>0</v>
      </c>
      <c r="R302" s="449">
        <f t="shared" si="98"/>
        <v>0</v>
      </c>
      <c r="S302" s="180">
        <f t="shared" si="99"/>
        <v>0</v>
      </c>
      <c r="T302" s="449">
        <f t="shared" si="100"/>
        <v>1256337</v>
      </c>
      <c r="U302" s="449">
        <f t="shared" si="101"/>
        <v>1322941</v>
      </c>
      <c r="V302" s="450" t="str">
        <f t="shared" si="102"/>
        <v/>
      </c>
      <c r="W302" s="450" t="str">
        <f>IF(R302=0,"-",SUMIFS($R$2:R302,$A$2:A302,A302,$C$2:C302,C302)/SUMIFS($J$2:J302,$A$2:A302,A302,$C$2:C302,C302)-1)</f>
        <v>-</v>
      </c>
      <c r="X302" s="450" t="str">
        <f t="shared" si="103"/>
        <v/>
      </c>
      <c r="Y302" s="450" t="str">
        <f>IFERROR(IF(R302=0,"-",SUMIFS($R$2:R302,$A$2:A302,A302,$C$2:C302,C302)/SUMIFS($N$2:N302,$A$2:A302,A302,$C$2:C302,C302)-1),"")</f>
        <v>-</v>
      </c>
      <c r="Z302" s="269" t="str">
        <f>IF(R302=0,"",(S302/VLOOKUP(_xlfn.NUMBERVALUE(_xlfn.CONCAT(LEFT(F302,4),52)),$F$2:T509,COLUMNS($F$2:T509),FALSE)))</f>
        <v/>
      </c>
      <c r="AA302" s="269" t="str">
        <f>IFERROR(IF(R302=0,"",(S302/VLOOKUP(_xlfn.NUMBERVALUE(_xlfn.CONCAT(LEFT(F302,4),52)),$F$2:U509,COLUMNS($F$2:U509),FALSE))),"")</f>
        <v/>
      </c>
      <c r="AB302" s="268" t="str">
        <f t="shared" si="104"/>
        <v/>
      </c>
      <c r="AC302" s="450" t="str">
        <f t="shared" si="105"/>
        <v/>
      </c>
      <c r="AD302" s="450" t="str">
        <f t="shared" si="106"/>
        <v/>
      </c>
      <c r="AE302" s="269" t="str">
        <f t="shared" si="107"/>
        <v/>
      </c>
      <c r="AF302" s="268" t="str">
        <f t="shared" si="108"/>
        <v/>
      </c>
      <c r="AG302" s="450" t="str">
        <f t="shared" si="109"/>
        <v/>
      </c>
      <c r="AH302" s="450" t="str">
        <f t="shared" si="110"/>
        <v/>
      </c>
      <c r="AI302" s="269" t="str">
        <f t="shared" si="111"/>
        <v/>
      </c>
      <c r="AJ302" s="450" t="str">
        <f>IF(O302=0,"-",SUMIFS($O$2:O302,$A$2:A302,$A302,$F$2:F302,"&lt;="&amp;$F302)/SUMIFS($G$2:G302,$A$2:A302,$A302,$F$2:F302,"&lt;="&amp;$F302)-1)</f>
        <v>-</v>
      </c>
      <c r="AK302" s="450" t="str">
        <f>IF(P302=0,"-",SUMIFS($P$2:P302,$A$2:A302,$A302,$F$2:F302,"&lt;="&amp;$F302)/SUMIFS($H$2:H302,$A$2:A302,$A302,$F$2:F302,"&lt;="&amp;$F302)-1)</f>
        <v>-</v>
      </c>
      <c r="AL302" s="450" t="str">
        <f>IF(Q302=0,"-",SUMIFS($Q$2:Q302,$A$2:A302,$A302,$F$2:F302,"&lt;="&amp;$F302)/SUMIFS($I$2:I302,$A$2:A302,$A302,$F$2:F302,"&lt;="&amp;$F302)-1)</f>
        <v>-</v>
      </c>
      <c r="AM302" s="450" t="str">
        <f>IFERROR(IF(O302=0,"-",SUMIFS($O$2:O302,$A$2:A302,$A302,$F$2:F302,"&lt;="&amp;$F302)/SUMIFS($K$2:K302,$A$2:A302,$A302,$F$2:F302,"&lt;="&amp;$F302)-1),"")</f>
        <v>-</v>
      </c>
      <c r="AN302" s="450" t="str">
        <f>IFERROR(IF(P302=0,"-",SUMIFS($P$2:P302,$A$2:A302,$A302,$F$2:F302,"&lt;="&amp;$F302)/SUMIFS($L$2:L302,$A$2:A302,$A302,$F$2:F302,"&lt;="&amp;$F302)-1),"")</f>
        <v>-</v>
      </c>
      <c r="AO302" s="269" t="str">
        <f>IFERROR(IF(Q302=0,"-",SUMIFS($Q$2:Q302,$A$2:A302,$A302,$F$2:F302,"&lt;="&amp;$F302)/SUMIFS($M$2:M302,$A$2:A302,$A302,$F$2:F302,"&lt;="&amp;$F302)-1),"")</f>
        <v>-</v>
      </c>
      <c r="AP302" s="134"/>
      <c r="AQ302" s="452" t="str">
        <f>'Overall Metrics'!AO307</f>
        <v/>
      </c>
      <c r="AR302" s="450" t="str">
        <f t="shared" si="112"/>
        <v/>
      </c>
      <c r="AS302" s="453" t="str">
        <f>IFERROR(IF(R303=0,"-",AVERAGEIFS($AQ$2:AQ302,$A$2:A302,$A302,$F$2:F302,"&lt;="&amp;$F302)-AVERAGEIFS($AP$2:AP302,$A$2:A302,$A302,$F$2:F302,"&lt;="&amp;$F302)),"")</f>
        <v>-</v>
      </c>
      <c r="AT302" s="390" t="str">
        <f>IFERROR(IF(R303=0,"-",AVERAGEIFS($AQ$2:AQ302,$A$2:A302,A302,$C$2:C302,C302)-AVERAGEIFS($AP$2:AP302,$A$2:A302,A302,$C$2:C302,C302)),"")</f>
        <v>-</v>
      </c>
      <c r="AU302" s="451"/>
      <c r="AV302" s="452">
        <f>'Overall Metrics'!AS307</f>
        <v>0</v>
      </c>
      <c r="AW302" s="450" t="str">
        <f t="shared" si="119"/>
        <v/>
      </c>
      <c r="AX302" s="453" t="str">
        <f>IFERROR(IF(R306=0,"-",AVERAGEIFS($AV$2:AV302,$A$2:A302,$A302,$F$2:F302,"&lt;="&amp;$F302)-AVERAGEIFS($AU$2:AU302,$A$2:A302,$A302,$F$2:F302,"&lt;="&amp;$F302)),"")</f>
        <v>-</v>
      </c>
      <c r="AY302" s="390" t="str">
        <f>IFERROR(IF(R306=0,"-",AVERAGEIFS($AV$2:AV302,$A$2:A302,A302,$C$2:C302,C302)-AVERAGEIFS($AU$2:AU302,$A$2:A302,A302,$C$2:C302,C302)),"")</f>
        <v>-</v>
      </c>
      <c r="AZ302" s="103"/>
      <c r="BA302" s="449">
        <f>'Glass Metrics'!AC307</f>
        <v>0</v>
      </c>
      <c r="BB302" s="450" t="str">
        <f t="shared" si="113"/>
        <v/>
      </c>
      <c r="BC302" s="450" t="str">
        <f>IFERROR(IF(R302=0,"-",AVERAGEIFS($BA$2:BA302,$A$2:A302,$A302,$F$2:F302,"&lt;="&amp;$F302)/AVERAGEIFS($AZ$2:AZ302,$A$2:A302,$A302,$F$2:F302,"&lt;="&amp;$F302)-1),"")</f>
        <v>-</v>
      </c>
      <c r="BD302" s="269" t="str">
        <f>IFERROR(IF(R302=0,"-",AVERAGEIFS($BA$2:BA302,$A$2:A302,A302,$C$2:C302,C302)/AVERAGEIFS($AZ$2:AZ302,$A$2:A302,A302,$C$2:C302,C302)-1),"")</f>
        <v>-</v>
      </c>
    </row>
    <row r="303" spans="1:56" ht="15.6" customHeight="1">
      <c r="A303" s="175">
        <f t="shared" si="93"/>
        <v>2026</v>
      </c>
      <c r="B303" s="447" t="str">
        <f t="shared" si="94"/>
        <v>41</v>
      </c>
      <c r="C303" s="447" t="str">
        <f t="array" ref="C303">_xlfn.IFS(_xlfn.NUMBERVALUE(B303)&lt;=13,"Q1",AND(_xlfn.NUMBERVALUE(B303)&gt;13,_xlfn.NUMBERVALUE(B303)&lt;=26),"Q2", AND(_xlfn.NUMBERVALUE(B303)&gt;26,_xlfn.NUMBERVALUE(B303)&lt;=39),"Q3",_xlfn.NUMBERVALUE(B303)&gt;39,"Q4")</f>
        <v>Q4</v>
      </c>
      <c r="D303" s="448">
        <f t="shared" si="114"/>
        <v>45969</v>
      </c>
      <c r="E303" s="448">
        <f t="shared" si="95"/>
        <v>45975</v>
      </c>
      <c r="F303" s="79">
        <v>202541</v>
      </c>
      <c r="G303" s="103"/>
      <c r="H303" s="429"/>
      <c r="I303" s="429"/>
      <c r="J303" s="214">
        <f t="shared" si="96"/>
        <v>0</v>
      </c>
      <c r="K303" s="429"/>
      <c r="L303" s="429"/>
      <c r="M303" s="429"/>
      <c r="N303" s="214">
        <f t="shared" si="97"/>
        <v>0</v>
      </c>
      <c r="O303" s="449">
        <f>'Overall Metrics'!L308</f>
        <v>0</v>
      </c>
      <c r="P303" s="449">
        <f>'Overall Metrics'!M308</f>
        <v>0</v>
      </c>
      <c r="Q303" s="449">
        <f>'Overall Metrics'!N308</f>
        <v>0</v>
      </c>
      <c r="R303" s="449">
        <f t="shared" si="98"/>
        <v>0</v>
      </c>
      <c r="S303" s="180">
        <f t="shared" si="99"/>
        <v>0</v>
      </c>
      <c r="T303" s="449">
        <f t="shared" si="100"/>
        <v>1256337</v>
      </c>
      <c r="U303" s="449">
        <f t="shared" si="101"/>
        <v>1322941</v>
      </c>
      <c r="V303" s="450" t="str">
        <f t="shared" si="102"/>
        <v/>
      </c>
      <c r="W303" s="450" t="str">
        <f>IF(R303=0,"-",SUMIFS($R$2:R303,$A$2:A303,A303,$C$2:C303,C303)/SUMIFS($J$2:J303,$A$2:A303,A303,$C$2:C303,C303)-1)</f>
        <v>-</v>
      </c>
      <c r="X303" s="450" t="str">
        <f t="shared" si="103"/>
        <v/>
      </c>
      <c r="Y303" s="450" t="str">
        <f>IFERROR(IF(R303=0,"-",SUMIFS($R$2:R303,$A$2:A303,A303,$C$2:C303,C303)/SUMIFS($N$2:N303,$A$2:A303,A303,$C$2:C303,C303)-1),"")</f>
        <v>-</v>
      </c>
      <c r="Z303" s="269" t="str">
        <f>IF(R303=0,"",(S303/VLOOKUP(_xlfn.NUMBERVALUE(_xlfn.CONCAT(LEFT(F303,4),52)),$F$2:T510,COLUMNS($F$2:T510),FALSE)))</f>
        <v/>
      </c>
      <c r="AA303" s="269" t="str">
        <f>IFERROR(IF(R303=0,"",(S303/VLOOKUP(_xlfn.NUMBERVALUE(_xlfn.CONCAT(LEFT(F303,4),52)),$F$2:U510,COLUMNS($F$2:U510),FALSE))),"")</f>
        <v/>
      </c>
      <c r="AB303" s="268" t="str">
        <f t="shared" si="104"/>
        <v/>
      </c>
      <c r="AC303" s="450" t="str">
        <f t="shared" si="105"/>
        <v/>
      </c>
      <c r="AD303" s="450" t="str">
        <f t="shared" si="106"/>
        <v/>
      </c>
      <c r="AE303" s="269" t="str">
        <f t="shared" si="107"/>
        <v/>
      </c>
      <c r="AF303" s="268" t="str">
        <f t="shared" si="108"/>
        <v/>
      </c>
      <c r="AG303" s="450" t="str">
        <f t="shared" si="109"/>
        <v/>
      </c>
      <c r="AH303" s="450" t="str">
        <f t="shared" si="110"/>
        <v/>
      </c>
      <c r="AI303" s="269" t="str">
        <f t="shared" si="111"/>
        <v/>
      </c>
      <c r="AJ303" s="450" t="str">
        <f>IF(O303=0,"-",SUMIFS($O$2:O303,$A$2:A303,$A303,$F$2:F303,"&lt;="&amp;$F303)/SUMIFS($G$2:G303,$A$2:A303,$A303,$F$2:F303,"&lt;="&amp;$F303)-1)</f>
        <v>-</v>
      </c>
      <c r="AK303" s="450" t="str">
        <f>IF(P303=0,"-",SUMIFS($P$2:P303,$A$2:A303,$A303,$F$2:F303,"&lt;="&amp;$F303)/SUMIFS($H$2:H303,$A$2:A303,$A303,$F$2:F303,"&lt;="&amp;$F303)-1)</f>
        <v>-</v>
      </c>
      <c r="AL303" s="450" t="str">
        <f>IF(Q303=0,"-",SUMIFS($Q$2:Q303,$A$2:A303,$A303,$F$2:F303,"&lt;="&amp;$F303)/SUMIFS($I$2:I303,$A$2:A303,$A303,$F$2:F303,"&lt;="&amp;$F303)-1)</f>
        <v>-</v>
      </c>
      <c r="AM303" s="450" t="str">
        <f>IFERROR(IF(O303=0,"-",SUMIFS($O$2:O303,$A$2:A303,$A303,$F$2:F303,"&lt;="&amp;$F303)/SUMIFS($K$2:K303,$A$2:A303,$A303,$F$2:F303,"&lt;="&amp;$F303)-1),"")</f>
        <v>-</v>
      </c>
      <c r="AN303" s="450" t="str">
        <f>IFERROR(IF(P303=0,"-",SUMIFS($P$2:P303,$A$2:A303,$A303,$F$2:F303,"&lt;="&amp;$F303)/SUMIFS($L$2:L303,$A$2:A303,$A303,$F$2:F303,"&lt;="&amp;$F303)-1),"")</f>
        <v>-</v>
      </c>
      <c r="AO303" s="269" t="str">
        <f>IFERROR(IF(Q303=0,"-",SUMIFS($Q$2:Q303,$A$2:A303,$A303,$F$2:F303,"&lt;="&amp;$F303)/SUMIFS($M$2:M303,$A$2:A303,$A303,$F$2:F303,"&lt;="&amp;$F303)-1),"")</f>
        <v>-</v>
      </c>
      <c r="AP303" s="134"/>
      <c r="AQ303" s="452" t="str">
        <f>'Overall Metrics'!AO308</f>
        <v/>
      </c>
      <c r="AR303" s="450" t="str">
        <f t="shared" si="112"/>
        <v/>
      </c>
      <c r="AS303" s="453" t="str">
        <f>IFERROR(IF(R304=0,"-",AVERAGEIFS($AQ$2:AQ303,$A$2:A303,$A303,$F$2:F303,"&lt;="&amp;$F303)-AVERAGEIFS($AP$2:AP303,$A$2:A303,$A303,$F$2:F303,"&lt;="&amp;$F303)),"")</f>
        <v>-</v>
      </c>
      <c r="AT303" s="390" t="str">
        <f>IFERROR(IF(R304=0,"-",AVERAGEIFS($AQ$2:AQ303,$A$2:A303,A303,$C$2:C303,C303)-AVERAGEIFS($AP$2:AP303,$A$2:A303,A303,$C$2:C303,C303)),"")</f>
        <v>-</v>
      </c>
      <c r="AU303" s="451"/>
      <c r="AV303" s="452">
        <f>'Overall Metrics'!AS308</f>
        <v>0</v>
      </c>
      <c r="AW303" s="450" t="str">
        <f t="shared" si="119"/>
        <v/>
      </c>
      <c r="AX303" s="453" t="str">
        <f>IFERROR(IF(R307=0,"-",AVERAGEIFS($AV$2:AV303,$A$2:A303,$A303,$F$2:F303,"&lt;="&amp;$F303)-AVERAGEIFS($AU$2:AU303,$A$2:A303,$A303,$F$2:F303,"&lt;="&amp;$F303)),"")</f>
        <v>-</v>
      </c>
      <c r="AY303" s="390" t="str">
        <f>IFERROR(IF(R307=0,"-",AVERAGEIFS($AV$2:AV303,$A$2:A303,A303,$C$2:C303,C303)-AVERAGEIFS($AU$2:AU303,$A$2:A303,A303,$C$2:C303,C303)),"")</f>
        <v>-</v>
      </c>
      <c r="AZ303" s="103"/>
      <c r="BA303" s="449">
        <f>'Glass Metrics'!AC308</f>
        <v>0</v>
      </c>
      <c r="BB303" s="450" t="str">
        <f t="shared" si="113"/>
        <v/>
      </c>
      <c r="BC303" s="450" t="str">
        <f>IFERROR(IF(R303=0,"-",AVERAGEIFS($BA$2:BA303,$A$2:A303,$A303,$F$2:F303,"&lt;="&amp;$F303)/AVERAGEIFS($AZ$2:AZ303,$A$2:A303,$A303,$F$2:F303,"&lt;="&amp;$F303)-1),"")</f>
        <v>-</v>
      </c>
      <c r="BD303" s="269" t="str">
        <f>IFERROR(IF(R303=0,"-",AVERAGEIFS($BA$2:BA303,$A$2:A303,A303,$C$2:C303,C303)/AVERAGEIFS($AZ$2:AZ303,$A$2:A303,A303,$C$2:C303,C303)-1),"")</f>
        <v>-</v>
      </c>
    </row>
    <row r="304" spans="1:56" ht="15.6" customHeight="1">
      <c r="A304" s="175">
        <f t="shared" si="93"/>
        <v>2026</v>
      </c>
      <c r="B304" s="447" t="str">
        <f t="shared" si="94"/>
        <v>42</v>
      </c>
      <c r="C304" s="447" t="str">
        <f t="array" ref="C304">_xlfn.IFS(_xlfn.NUMBERVALUE(B304)&lt;=13,"Q1",AND(_xlfn.NUMBERVALUE(B304)&gt;13,_xlfn.NUMBERVALUE(B304)&lt;=26),"Q2", AND(_xlfn.NUMBERVALUE(B304)&gt;26,_xlfn.NUMBERVALUE(B304)&lt;=39),"Q3",_xlfn.NUMBERVALUE(B304)&gt;39,"Q4")</f>
        <v>Q4</v>
      </c>
      <c r="D304" s="448">
        <f t="shared" si="114"/>
        <v>45976</v>
      </c>
      <c r="E304" s="448">
        <f t="shared" si="95"/>
        <v>45982</v>
      </c>
      <c r="F304" s="79">
        <v>202542</v>
      </c>
      <c r="G304" s="103"/>
      <c r="H304" s="429"/>
      <c r="I304" s="429"/>
      <c r="J304" s="214">
        <f t="shared" si="96"/>
        <v>0</v>
      </c>
      <c r="K304" s="429"/>
      <c r="L304" s="429"/>
      <c r="M304" s="429"/>
      <c r="N304" s="214">
        <f t="shared" si="97"/>
        <v>0</v>
      </c>
      <c r="O304" s="449">
        <f>'Overall Metrics'!L309</f>
        <v>0</v>
      </c>
      <c r="P304" s="449">
        <f>'Overall Metrics'!M309</f>
        <v>0</v>
      </c>
      <c r="Q304" s="449">
        <f>'Overall Metrics'!N309</f>
        <v>0</v>
      </c>
      <c r="R304" s="449">
        <f t="shared" si="98"/>
        <v>0</v>
      </c>
      <c r="S304" s="180">
        <f t="shared" si="99"/>
        <v>0</v>
      </c>
      <c r="T304" s="449">
        <f t="shared" si="100"/>
        <v>1256337</v>
      </c>
      <c r="U304" s="449">
        <f t="shared" si="101"/>
        <v>1322941</v>
      </c>
      <c r="V304" s="450" t="str">
        <f t="shared" si="102"/>
        <v/>
      </c>
      <c r="W304" s="450" t="str">
        <f>IF(R304=0,"-",SUMIFS($R$2:R304,$A$2:A304,A304,$C$2:C304,C304)/SUMIFS($J$2:J304,$A$2:A304,A304,$C$2:C304,C304)-1)</f>
        <v>-</v>
      </c>
      <c r="X304" s="450" t="str">
        <f t="shared" si="103"/>
        <v/>
      </c>
      <c r="Y304" s="450" t="str">
        <f>IFERROR(IF(R304=0,"-",SUMIFS($R$2:R304,$A$2:A304,A304,$C$2:C304,C304)/SUMIFS($N$2:N304,$A$2:A304,A304,$C$2:C304,C304)-1),"")</f>
        <v>-</v>
      </c>
      <c r="Z304" s="269" t="str">
        <f>IF(R304=0,"",(S304/VLOOKUP(_xlfn.NUMBERVALUE(_xlfn.CONCAT(LEFT(F304,4),52)),$F$2:T511,COLUMNS($F$2:T511),FALSE)))</f>
        <v/>
      </c>
      <c r="AA304" s="269" t="str">
        <f>IFERROR(IF(R304=0,"",(S304/VLOOKUP(_xlfn.NUMBERVALUE(_xlfn.CONCAT(LEFT(F304,4),52)),$F$2:U511,COLUMNS($F$2:U511),FALSE))),"")</f>
        <v/>
      </c>
      <c r="AB304" s="268" t="str">
        <f t="shared" si="104"/>
        <v/>
      </c>
      <c r="AC304" s="450" t="str">
        <f t="shared" si="105"/>
        <v/>
      </c>
      <c r="AD304" s="450" t="str">
        <f t="shared" si="106"/>
        <v/>
      </c>
      <c r="AE304" s="269" t="str">
        <f t="shared" si="107"/>
        <v/>
      </c>
      <c r="AF304" s="268" t="str">
        <f t="shared" si="108"/>
        <v/>
      </c>
      <c r="AG304" s="450" t="str">
        <f t="shared" si="109"/>
        <v/>
      </c>
      <c r="AH304" s="450" t="str">
        <f t="shared" si="110"/>
        <v/>
      </c>
      <c r="AI304" s="269" t="str">
        <f t="shared" si="111"/>
        <v/>
      </c>
      <c r="AJ304" s="450" t="str">
        <f>IF(O304=0,"-",SUMIFS($O$2:O304,$A$2:A304,$A304,$F$2:F304,"&lt;="&amp;$F304)/SUMIFS($G$2:G304,$A$2:A304,$A304,$F$2:F304,"&lt;="&amp;$F304)-1)</f>
        <v>-</v>
      </c>
      <c r="AK304" s="450" t="str">
        <f>IF(P304=0,"-",SUMIFS($P$2:P304,$A$2:A304,$A304,$F$2:F304,"&lt;="&amp;$F304)/SUMIFS($H$2:H304,$A$2:A304,$A304,$F$2:F304,"&lt;="&amp;$F304)-1)</f>
        <v>-</v>
      </c>
      <c r="AL304" s="450" t="str">
        <f>IF(Q304=0,"-",SUMIFS($Q$2:Q304,$A$2:A304,$A304,$F$2:F304,"&lt;="&amp;$F304)/SUMIFS($I$2:I304,$A$2:A304,$A304,$F$2:F304,"&lt;="&amp;$F304)-1)</f>
        <v>-</v>
      </c>
      <c r="AM304" s="450" t="str">
        <f>IFERROR(IF(O304=0,"-",SUMIFS($O$2:O304,$A$2:A304,$A304,$F$2:F304,"&lt;="&amp;$F304)/SUMIFS($K$2:K304,$A$2:A304,$A304,$F$2:F304,"&lt;="&amp;$F304)-1),"")</f>
        <v>-</v>
      </c>
      <c r="AN304" s="450" t="str">
        <f>IFERROR(IF(P304=0,"-",SUMIFS($P$2:P304,$A$2:A304,$A304,$F$2:F304,"&lt;="&amp;$F304)/SUMIFS($L$2:L304,$A$2:A304,$A304,$F$2:F304,"&lt;="&amp;$F304)-1),"")</f>
        <v>-</v>
      </c>
      <c r="AO304" s="269" t="str">
        <f>IFERROR(IF(Q304=0,"-",SUMIFS($Q$2:Q304,$A$2:A304,$A304,$F$2:F304,"&lt;="&amp;$F304)/SUMIFS($M$2:M304,$A$2:A304,$A304,$F$2:F304,"&lt;="&amp;$F304)-1),"")</f>
        <v>-</v>
      </c>
      <c r="AP304" s="134"/>
      <c r="AQ304" s="452" t="str">
        <f>'Overall Metrics'!AO309</f>
        <v/>
      </c>
      <c r="AR304" s="450" t="str">
        <f t="shared" si="112"/>
        <v/>
      </c>
      <c r="AS304" s="453" t="str">
        <f>IFERROR(IF(R305=0,"-",AVERAGEIFS($AQ$2:AQ304,$A$2:A304,$A304,$F$2:F304,"&lt;="&amp;$F304)-AVERAGEIFS($AP$2:AP304,$A$2:A304,$A304,$F$2:F304,"&lt;="&amp;$F304)),"")</f>
        <v>-</v>
      </c>
      <c r="AT304" s="390" t="str">
        <f>IFERROR(IF(R305=0,"-",AVERAGEIFS($AQ$2:AQ304,$A$2:A304,A304,$C$2:C304,C304)-AVERAGEIFS($AP$2:AP304,$A$2:A304,A304,$C$2:C304,C304)),"")</f>
        <v>-</v>
      </c>
      <c r="AU304" s="451"/>
      <c r="AV304" s="452">
        <f>'Overall Metrics'!AS309</f>
        <v>0</v>
      </c>
      <c r="AW304" s="450" t="str">
        <f t="shared" si="119"/>
        <v/>
      </c>
      <c r="AX304" s="453" t="str">
        <f>IFERROR(IF(R308=0,"-",AVERAGEIFS($AV$2:AV304,$A$2:A304,$A304,$F$2:F304,"&lt;="&amp;$F304)-AVERAGEIFS($AU$2:AU304,$A$2:A304,$A304,$F$2:F304,"&lt;="&amp;$F304)),"")</f>
        <v>-</v>
      </c>
      <c r="AY304" s="390" t="str">
        <f>IFERROR(IF(R308=0,"-",AVERAGEIFS($AV$2:AV304,$A$2:A304,A304,$C$2:C304,C304)-AVERAGEIFS($AU$2:AU304,$A$2:A304,A304,$C$2:C304,C304)),"")</f>
        <v>-</v>
      </c>
      <c r="AZ304" s="103"/>
      <c r="BA304" s="449">
        <f>'Glass Metrics'!AC309</f>
        <v>0</v>
      </c>
      <c r="BB304" s="450" t="str">
        <f t="shared" si="113"/>
        <v/>
      </c>
      <c r="BC304" s="450" t="str">
        <f>IFERROR(IF(R304=0,"-",AVERAGEIFS($BA$2:BA304,$A$2:A304,$A304,$F$2:F304,"&lt;="&amp;$F304)/AVERAGEIFS($AZ$2:AZ304,$A$2:A304,$A304,$F$2:F304,"&lt;="&amp;$F304)-1),"")</f>
        <v>-</v>
      </c>
      <c r="BD304" s="269" t="str">
        <f>IFERROR(IF(R304=0,"-",AVERAGEIFS($BA$2:BA304,$A$2:A304,A304,$C$2:C304,C304)/AVERAGEIFS($AZ$2:AZ304,$A$2:A304,A304,$C$2:C304,C304)-1),"")</f>
        <v>-</v>
      </c>
    </row>
    <row r="305" spans="1:56" ht="15.6" customHeight="1">
      <c r="A305" s="175">
        <f t="shared" si="93"/>
        <v>2026</v>
      </c>
      <c r="B305" s="447" t="str">
        <f t="shared" si="94"/>
        <v>43</v>
      </c>
      <c r="C305" s="447" t="str">
        <f t="array" ref="C305">_xlfn.IFS(_xlfn.NUMBERVALUE(B305)&lt;=13,"Q1",AND(_xlfn.NUMBERVALUE(B305)&gt;13,_xlfn.NUMBERVALUE(B305)&lt;=26),"Q2", AND(_xlfn.NUMBERVALUE(B305)&gt;26,_xlfn.NUMBERVALUE(B305)&lt;=39),"Q3",_xlfn.NUMBERVALUE(B305)&gt;39,"Q4")</f>
        <v>Q4</v>
      </c>
      <c r="D305" s="448">
        <f t="shared" si="114"/>
        <v>45983</v>
      </c>
      <c r="E305" s="448">
        <f t="shared" si="95"/>
        <v>45989</v>
      </c>
      <c r="F305" s="79">
        <v>202543</v>
      </c>
      <c r="G305" s="103"/>
      <c r="H305" s="429"/>
      <c r="I305" s="429"/>
      <c r="J305" s="214">
        <f t="shared" si="96"/>
        <v>0</v>
      </c>
      <c r="K305" s="429"/>
      <c r="L305" s="429"/>
      <c r="M305" s="429"/>
      <c r="N305" s="214">
        <f t="shared" si="97"/>
        <v>0</v>
      </c>
      <c r="O305" s="449">
        <f>'Overall Metrics'!L310</f>
        <v>0</v>
      </c>
      <c r="P305" s="449">
        <f>'Overall Metrics'!M310</f>
        <v>0</v>
      </c>
      <c r="Q305" s="449">
        <f>'Overall Metrics'!N310</f>
        <v>0</v>
      </c>
      <c r="R305" s="449">
        <f t="shared" si="98"/>
        <v>0</v>
      </c>
      <c r="S305" s="180">
        <f t="shared" si="99"/>
        <v>0</v>
      </c>
      <c r="T305" s="449">
        <f t="shared" si="100"/>
        <v>1256337</v>
      </c>
      <c r="U305" s="449">
        <f t="shared" si="101"/>
        <v>1322941</v>
      </c>
      <c r="V305" s="450" t="str">
        <f t="shared" si="102"/>
        <v/>
      </c>
      <c r="W305" s="450" t="str">
        <f>IF(R305=0,"-",SUMIFS($R$2:R305,$A$2:A305,A305,$C$2:C305,C305)/SUMIFS($J$2:J305,$A$2:A305,A305,$C$2:C305,C305)-1)</f>
        <v>-</v>
      </c>
      <c r="X305" s="450" t="str">
        <f t="shared" si="103"/>
        <v/>
      </c>
      <c r="Y305" s="450" t="str">
        <f>IFERROR(IF(R305=0,"-",SUMIFS($R$2:R305,$A$2:A305,A305,$C$2:C305,C305)/SUMIFS($N$2:N305,$A$2:A305,A305,$C$2:C305,C305)-1),"")</f>
        <v>-</v>
      </c>
      <c r="Z305" s="269" t="str">
        <f>IF(R305=0,"",(S305/VLOOKUP(_xlfn.NUMBERVALUE(_xlfn.CONCAT(LEFT(F305,4),52)),$F$2:T512,COLUMNS($F$2:T512),FALSE)))</f>
        <v/>
      </c>
      <c r="AA305" s="269" t="str">
        <f>IFERROR(IF(R305=0,"",(S305/VLOOKUP(_xlfn.NUMBERVALUE(_xlfn.CONCAT(LEFT(F305,4),52)),$F$2:U512,COLUMNS($F$2:U512),FALSE))),"")</f>
        <v/>
      </c>
      <c r="AB305" s="268" t="str">
        <f t="shared" si="104"/>
        <v/>
      </c>
      <c r="AC305" s="450" t="str">
        <f t="shared" si="105"/>
        <v/>
      </c>
      <c r="AD305" s="450" t="str">
        <f t="shared" si="106"/>
        <v/>
      </c>
      <c r="AE305" s="269" t="str">
        <f t="shared" si="107"/>
        <v/>
      </c>
      <c r="AF305" s="268" t="str">
        <f t="shared" si="108"/>
        <v/>
      </c>
      <c r="AG305" s="450" t="str">
        <f t="shared" si="109"/>
        <v/>
      </c>
      <c r="AH305" s="450" t="str">
        <f t="shared" si="110"/>
        <v/>
      </c>
      <c r="AI305" s="269" t="str">
        <f t="shared" si="111"/>
        <v/>
      </c>
      <c r="AJ305" s="450" t="str">
        <f>IF(O305=0,"-",SUMIFS($O$2:O305,$A$2:A305,$A305,$F$2:F305,"&lt;="&amp;$F305)/SUMIFS($G$2:G305,$A$2:A305,$A305,$F$2:F305,"&lt;="&amp;$F305)-1)</f>
        <v>-</v>
      </c>
      <c r="AK305" s="450" t="str">
        <f>IF(P305=0,"-",SUMIFS($P$2:P305,$A$2:A305,$A305,$F$2:F305,"&lt;="&amp;$F305)/SUMIFS($H$2:H305,$A$2:A305,$A305,$F$2:F305,"&lt;="&amp;$F305)-1)</f>
        <v>-</v>
      </c>
      <c r="AL305" s="450" t="str">
        <f>IF(Q305=0,"-",SUMIFS($Q$2:Q305,$A$2:A305,$A305,$F$2:F305,"&lt;="&amp;$F305)/SUMIFS($I$2:I305,$A$2:A305,$A305,$F$2:F305,"&lt;="&amp;$F305)-1)</f>
        <v>-</v>
      </c>
      <c r="AM305" s="450" t="str">
        <f>IFERROR(IF(O305=0,"-",SUMIFS($O$2:O305,$A$2:A305,$A305,$F$2:F305,"&lt;="&amp;$F305)/SUMIFS($K$2:K305,$A$2:A305,$A305,$F$2:F305,"&lt;="&amp;$F305)-1),"")</f>
        <v>-</v>
      </c>
      <c r="AN305" s="450" t="str">
        <f>IFERROR(IF(P305=0,"-",SUMIFS($P$2:P305,$A$2:A305,$A305,$F$2:F305,"&lt;="&amp;$F305)/SUMIFS($L$2:L305,$A$2:A305,$A305,$F$2:F305,"&lt;="&amp;$F305)-1),"")</f>
        <v>-</v>
      </c>
      <c r="AO305" s="269" t="str">
        <f>IFERROR(IF(Q305=0,"-",SUMIFS($Q$2:Q305,$A$2:A305,$A305,$F$2:F305,"&lt;="&amp;$F305)/SUMIFS($M$2:M305,$A$2:A305,$A305,$F$2:F305,"&lt;="&amp;$F305)-1),"")</f>
        <v>-</v>
      </c>
      <c r="AP305" s="134"/>
      <c r="AQ305" s="452" t="str">
        <f>'Overall Metrics'!AO310</f>
        <v/>
      </c>
      <c r="AR305" s="450" t="str">
        <f t="shared" si="112"/>
        <v/>
      </c>
      <c r="AS305" s="453" t="str">
        <f>IFERROR(IF(R306=0,"-",AVERAGEIFS($AQ$2:AQ305,$A$2:A305,$A305,$F$2:F305,"&lt;="&amp;$F305)-AVERAGEIFS($AP$2:AP305,$A$2:A305,$A305,$F$2:F305,"&lt;="&amp;$F305)),"")</f>
        <v>-</v>
      </c>
      <c r="AT305" s="390" t="str">
        <f>IFERROR(IF(R306=0,"-",AVERAGEIFS($AQ$2:AQ305,$A$2:A305,A305,$C$2:C305,C305)-AVERAGEIFS($AP$2:AP305,$A$2:A305,A305,$C$2:C305,C305)),"")</f>
        <v>-</v>
      </c>
      <c r="AU305" s="451"/>
      <c r="AV305" s="452">
        <f>'Overall Metrics'!AS310</f>
        <v>0</v>
      </c>
      <c r="AW305" s="450" t="str">
        <f t="shared" si="119"/>
        <v/>
      </c>
      <c r="AX305" s="453" t="str">
        <f>IFERROR(IF(R309=0,"-",AVERAGEIFS($AV$2:AV305,$A$2:A305,$A305,$F$2:F305,"&lt;="&amp;$F305)-AVERAGEIFS($AU$2:AU305,$A$2:A305,$A305,$F$2:F305,"&lt;="&amp;$F305)),"")</f>
        <v>-</v>
      </c>
      <c r="AY305" s="390" t="str">
        <f>IFERROR(IF(R309=0,"-",AVERAGEIFS($AV$2:AV305,$A$2:A305,A305,$C$2:C305,C305)-AVERAGEIFS($AU$2:AU305,$A$2:A305,A305,$C$2:C305,C305)),"")</f>
        <v>-</v>
      </c>
      <c r="AZ305" s="103"/>
      <c r="BA305" s="449">
        <f>'Glass Metrics'!AC310</f>
        <v>0</v>
      </c>
      <c r="BB305" s="450" t="str">
        <f t="shared" si="113"/>
        <v/>
      </c>
      <c r="BC305" s="450" t="str">
        <f>IFERROR(IF(R305=0,"-",AVERAGEIFS($BA$2:BA305,$A$2:A305,$A305,$F$2:F305,"&lt;="&amp;$F305)/AVERAGEIFS($AZ$2:AZ305,$A$2:A305,$A305,$F$2:F305,"&lt;="&amp;$F305)-1),"")</f>
        <v>-</v>
      </c>
      <c r="BD305" s="269" t="str">
        <f>IFERROR(IF(R305=0,"-",AVERAGEIFS($BA$2:BA305,$A$2:A305,A305,$C$2:C305,C305)/AVERAGEIFS($AZ$2:AZ305,$A$2:A305,A305,$C$2:C305,C305)-1),"")</f>
        <v>-</v>
      </c>
    </row>
    <row r="306" spans="1:56" ht="15.6" customHeight="1">
      <c r="A306" s="175">
        <f t="shared" si="93"/>
        <v>2026</v>
      </c>
      <c r="B306" s="447" t="str">
        <f t="shared" si="94"/>
        <v>44</v>
      </c>
      <c r="C306" s="447" t="str">
        <f t="array" ref="C306">_xlfn.IFS(_xlfn.NUMBERVALUE(B306)&lt;=13,"Q1",AND(_xlfn.NUMBERVALUE(B306)&gt;13,_xlfn.NUMBERVALUE(B306)&lt;=26),"Q2", AND(_xlfn.NUMBERVALUE(B306)&gt;26,_xlfn.NUMBERVALUE(B306)&lt;=39),"Q3",_xlfn.NUMBERVALUE(B306)&gt;39,"Q4")</f>
        <v>Q4</v>
      </c>
      <c r="D306" s="448">
        <f t="shared" si="114"/>
        <v>45990</v>
      </c>
      <c r="E306" s="448">
        <f t="shared" si="95"/>
        <v>45996</v>
      </c>
      <c r="F306" s="79">
        <v>202544</v>
      </c>
      <c r="G306" s="103"/>
      <c r="H306" s="429"/>
      <c r="I306" s="429"/>
      <c r="J306" s="214">
        <f t="shared" si="96"/>
        <v>0</v>
      </c>
      <c r="K306" s="429"/>
      <c r="L306" s="429"/>
      <c r="M306" s="429"/>
      <c r="N306" s="214">
        <f t="shared" si="97"/>
        <v>0</v>
      </c>
      <c r="O306" s="449">
        <f>'Overall Metrics'!L311</f>
        <v>0</v>
      </c>
      <c r="P306" s="449">
        <f>'Overall Metrics'!M311</f>
        <v>0</v>
      </c>
      <c r="Q306" s="449">
        <f>'Overall Metrics'!N311</f>
        <v>0</v>
      </c>
      <c r="R306" s="449">
        <f t="shared" si="98"/>
        <v>0</v>
      </c>
      <c r="S306" s="180">
        <f t="shared" si="99"/>
        <v>0</v>
      </c>
      <c r="T306" s="449">
        <f t="shared" si="100"/>
        <v>1256337</v>
      </c>
      <c r="U306" s="449">
        <f t="shared" si="101"/>
        <v>1322941</v>
      </c>
      <c r="V306" s="450" t="str">
        <f t="shared" si="102"/>
        <v/>
      </c>
      <c r="W306" s="450" t="str">
        <f>IF(R306=0,"-",SUMIFS($R$2:R306,$A$2:A306,A306,$C$2:C306,C306)/SUMIFS($J$2:J306,$A$2:A306,A306,$C$2:C306,C306)-1)</f>
        <v>-</v>
      </c>
      <c r="X306" s="450" t="str">
        <f t="shared" si="103"/>
        <v/>
      </c>
      <c r="Y306" s="450" t="str">
        <f>IFERROR(IF(R306=0,"-",SUMIFS($R$2:R306,$A$2:A306,A306,$C$2:C306,C306)/SUMIFS($N$2:N306,$A$2:A306,A306,$C$2:C306,C306)-1),"")</f>
        <v>-</v>
      </c>
      <c r="Z306" s="269" t="str">
        <f>IF(R306=0,"",(S306/VLOOKUP(_xlfn.NUMBERVALUE(_xlfn.CONCAT(LEFT(F306,4),52)),$F$2:T513,COLUMNS($F$2:T513),FALSE)))</f>
        <v/>
      </c>
      <c r="AA306" s="269" t="str">
        <f>IFERROR(IF(R306=0,"",(S306/VLOOKUP(_xlfn.NUMBERVALUE(_xlfn.CONCAT(LEFT(F306,4),52)),$F$2:U513,COLUMNS($F$2:U513),FALSE))),"")</f>
        <v/>
      </c>
      <c r="AB306" s="268" t="str">
        <f t="shared" si="104"/>
        <v/>
      </c>
      <c r="AC306" s="450" t="str">
        <f t="shared" si="105"/>
        <v/>
      </c>
      <c r="AD306" s="450" t="str">
        <f t="shared" si="106"/>
        <v/>
      </c>
      <c r="AE306" s="269" t="str">
        <f t="shared" si="107"/>
        <v/>
      </c>
      <c r="AF306" s="268" t="str">
        <f t="shared" si="108"/>
        <v/>
      </c>
      <c r="AG306" s="450" t="str">
        <f t="shared" si="109"/>
        <v/>
      </c>
      <c r="AH306" s="450" t="str">
        <f t="shared" si="110"/>
        <v/>
      </c>
      <c r="AI306" s="269" t="str">
        <f t="shared" si="111"/>
        <v/>
      </c>
      <c r="AJ306" s="450" t="str">
        <f>IF(O306=0,"-",SUMIFS($O$2:O306,$A$2:A306,$A306,$F$2:F306,"&lt;="&amp;$F306)/SUMIFS($G$2:G306,$A$2:A306,$A306,$F$2:F306,"&lt;="&amp;$F306)-1)</f>
        <v>-</v>
      </c>
      <c r="AK306" s="450" t="str">
        <f>IF(P306=0,"-",SUMIFS($P$2:P306,$A$2:A306,$A306,$F$2:F306,"&lt;="&amp;$F306)/SUMIFS($H$2:H306,$A$2:A306,$A306,$F$2:F306,"&lt;="&amp;$F306)-1)</f>
        <v>-</v>
      </c>
      <c r="AL306" s="450" t="str">
        <f>IF(Q306=0,"-",SUMIFS($Q$2:Q306,$A$2:A306,$A306,$F$2:F306,"&lt;="&amp;$F306)/SUMIFS($I$2:I306,$A$2:A306,$A306,$F$2:F306,"&lt;="&amp;$F306)-1)</f>
        <v>-</v>
      </c>
      <c r="AM306" s="450" t="str">
        <f>IFERROR(IF(O306=0,"-",SUMIFS($O$2:O306,$A$2:A306,$A306,$F$2:F306,"&lt;="&amp;$F306)/SUMIFS($K$2:K306,$A$2:A306,$A306,$F$2:F306,"&lt;="&amp;$F306)-1),"")</f>
        <v>-</v>
      </c>
      <c r="AN306" s="450" t="str">
        <f>IFERROR(IF(P306=0,"-",SUMIFS($P$2:P306,$A$2:A306,$A306,$F$2:F306,"&lt;="&amp;$F306)/SUMIFS($L$2:L306,$A$2:A306,$A306,$F$2:F306,"&lt;="&amp;$F306)-1),"")</f>
        <v>-</v>
      </c>
      <c r="AO306" s="269" t="str">
        <f>IFERROR(IF(Q306=0,"-",SUMIFS($Q$2:Q306,$A$2:A306,$A306,$F$2:F306,"&lt;="&amp;$F306)/SUMIFS($M$2:M306,$A$2:A306,$A306,$F$2:F306,"&lt;="&amp;$F306)-1),"")</f>
        <v>-</v>
      </c>
      <c r="AP306" s="134"/>
      <c r="AQ306" s="452" t="str">
        <f>'Overall Metrics'!AO311</f>
        <v/>
      </c>
      <c r="AR306" s="450" t="str">
        <f t="shared" si="112"/>
        <v/>
      </c>
      <c r="AS306" s="453" t="str">
        <f>IFERROR(IF(R307=0,"-",AVERAGEIFS($AQ$2:AQ306,$A$2:A306,$A306,$F$2:F306,"&lt;="&amp;$F306)-AVERAGEIFS($AP$2:AP306,$A$2:A306,$A306,$F$2:F306,"&lt;="&amp;$F306)),"")</f>
        <v>-</v>
      </c>
      <c r="AT306" s="390" t="str">
        <f>IFERROR(IF(R307=0,"-",AVERAGEIFS($AQ$2:AQ306,$A$2:A306,A306,$C$2:C306,C306)-AVERAGEIFS($AP$2:AP306,$A$2:A306,A306,$C$2:C306,C306)),"")</f>
        <v>-</v>
      </c>
      <c r="AU306" s="451"/>
      <c r="AV306" s="452">
        <f>'Overall Metrics'!AS311</f>
        <v>0</v>
      </c>
      <c r="AW306" s="450" t="str">
        <f t="shared" si="119"/>
        <v/>
      </c>
      <c r="AX306" s="453" t="str">
        <f>IFERROR(IF(R310=0,"-",AVERAGEIFS($AV$2:AV306,$A$2:A306,$A306,$F$2:F306,"&lt;="&amp;$F306)-AVERAGEIFS($AU$2:AU306,$A$2:A306,$A306,$F$2:F306,"&lt;="&amp;$F306)),"")</f>
        <v>-</v>
      </c>
      <c r="AY306" s="390" t="str">
        <f>IFERROR(IF(R310=0,"-",AVERAGEIFS($AV$2:AV306,$A$2:A306,A306,$C$2:C306,C306)-AVERAGEIFS($AU$2:AU306,$A$2:A306,A306,$C$2:C306,C306)),"")</f>
        <v>-</v>
      </c>
      <c r="AZ306" s="103"/>
      <c r="BA306" s="449">
        <f>'Glass Metrics'!AC311</f>
        <v>0</v>
      </c>
      <c r="BB306" s="450" t="str">
        <f t="shared" si="113"/>
        <v/>
      </c>
      <c r="BC306" s="450" t="str">
        <f>IFERROR(IF(R306=0,"-",AVERAGEIFS($BA$2:BA306,$A$2:A306,$A306,$F$2:F306,"&lt;="&amp;$F306)/AVERAGEIFS($AZ$2:AZ306,$A$2:A306,$A306,$F$2:F306,"&lt;="&amp;$F306)-1),"")</f>
        <v>-</v>
      </c>
      <c r="BD306" s="269" t="str">
        <f>IFERROR(IF(R306=0,"-",AVERAGEIFS($BA$2:BA306,$A$2:A306,A306,$C$2:C306,C306)/AVERAGEIFS($AZ$2:AZ306,$A$2:A306,A306,$C$2:C306,C306)-1),"")</f>
        <v>-</v>
      </c>
    </row>
    <row r="307" spans="1:56" ht="15.6" customHeight="1">
      <c r="A307" s="175">
        <f t="shared" si="93"/>
        <v>2026</v>
      </c>
      <c r="B307" s="447" t="str">
        <f t="shared" si="94"/>
        <v>45</v>
      </c>
      <c r="C307" s="447" t="str">
        <f t="array" ref="C307">_xlfn.IFS(_xlfn.NUMBERVALUE(B307)&lt;=13,"Q1",AND(_xlfn.NUMBERVALUE(B307)&gt;13,_xlfn.NUMBERVALUE(B307)&lt;=26),"Q2", AND(_xlfn.NUMBERVALUE(B307)&gt;26,_xlfn.NUMBERVALUE(B307)&lt;=39),"Q3",_xlfn.NUMBERVALUE(B307)&gt;39,"Q4")</f>
        <v>Q4</v>
      </c>
      <c r="D307" s="448">
        <f t="shared" si="114"/>
        <v>45997</v>
      </c>
      <c r="E307" s="448">
        <f t="shared" si="95"/>
        <v>46003</v>
      </c>
      <c r="F307" s="79">
        <v>202545</v>
      </c>
      <c r="G307" s="103"/>
      <c r="H307" s="429"/>
      <c r="I307" s="429"/>
      <c r="J307" s="214">
        <f t="shared" si="96"/>
        <v>0</v>
      </c>
      <c r="K307" s="429"/>
      <c r="L307" s="429"/>
      <c r="M307" s="429"/>
      <c r="N307" s="214">
        <f t="shared" si="97"/>
        <v>0</v>
      </c>
      <c r="O307" s="449">
        <f>'Overall Metrics'!L312</f>
        <v>0</v>
      </c>
      <c r="P307" s="449">
        <f>'Overall Metrics'!M312</f>
        <v>0</v>
      </c>
      <c r="Q307" s="449">
        <f>'Overall Metrics'!N312</f>
        <v>0</v>
      </c>
      <c r="R307" s="449">
        <f t="shared" si="98"/>
        <v>0</v>
      </c>
      <c r="S307" s="180">
        <f t="shared" si="99"/>
        <v>0</v>
      </c>
      <c r="T307" s="449">
        <f t="shared" si="100"/>
        <v>1256337</v>
      </c>
      <c r="U307" s="449">
        <f t="shared" si="101"/>
        <v>1322941</v>
      </c>
      <c r="V307" s="450" t="str">
        <f t="shared" si="102"/>
        <v/>
      </c>
      <c r="W307" s="450" t="str">
        <f>IF(R307=0,"-",SUMIFS($R$2:R307,$A$2:A307,A307,$C$2:C307,C307)/SUMIFS($J$2:J307,$A$2:A307,A307,$C$2:C307,C307)-1)</f>
        <v>-</v>
      </c>
      <c r="X307" s="450" t="str">
        <f t="shared" si="103"/>
        <v/>
      </c>
      <c r="Y307" s="450" t="str">
        <f>IFERROR(IF(R307=0,"-",SUMIFS($R$2:R307,$A$2:A307,A307,$C$2:C307,C307)/SUMIFS($N$2:N307,$A$2:A307,A307,$C$2:C307,C307)-1),"")</f>
        <v>-</v>
      </c>
      <c r="Z307" s="269" t="str">
        <f>IF(R307=0,"",(S307/VLOOKUP(_xlfn.NUMBERVALUE(_xlfn.CONCAT(LEFT(F307,4),52)),$F$2:T514,COLUMNS($F$2:T514),FALSE)))</f>
        <v/>
      </c>
      <c r="AA307" s="269" t="str">
        <f>IFERROR(IF(R307=0,"",(S307/VLOOKUP(_xlfn.NUMBERVALUE(_xlfn.CONCAT(LEFT(F307,4),52)),$F$2:U514,COLUMNS($F$2:U514),FALSE))),"")</f>
        <v/>
      </c>
      <c r="AB307" s="268" t="str">
        <f t="shared" si="104"/>
        <v/>
      </c>
      <c r="AC307" s="450" t="str">
        <f t="shared" si="105"/>
        <v/>
      </c>
      <c r="AD307" s="450" t="str">
        <f t="shared" si="106"/>
        <v/>
      </c>
      <c r="AE307" s="269" t="str">
        <f t="shared" si="107"/>
        <v/>
      </c>
      <c r="AF307" s="268" t="str">
        <f t="shared" si="108"/>
        <v/>
      </c>
      <c r="AG307" s="450" t="str">
        <f t="shared" si="109"/>
        <v/>
      </c>
      <c r="AH307" s="450" t="str">
        <f t="shared" si="110"/>
        <v/>
      </c>
      <c r="AI307" s="269" t="str">
        <f t="shared" si="111"/>
        <v/>
      </c>
      <c r="AJ307" s="450" t="str">
        <f>IF(O307=0,"-",SUMIFS($O$2:O307,$A$2:A307,$A307,$F$2:F307,"&lt;="&amp;$F307)/SUMIFS($G$2:G307,$A$2:A307,$A307,$F$2:F307,"&lt;="&amp;$F307)-1)</f>
        <v>-</v>
      </c>
      <c r="AK307" s="450" t="str">
        <f>IF(P307=0,"-",SUMIFS($P$2:P307,$A$2:A307,$A307,$F$2:F307,"&lt;="&amp;$F307)/SUMIFS($H$2:H307,$A$2:A307,$A307,$F$2:F307,"&lt;="&amp;$F307)-1)</f>
        <v>-</v>
      </c>
      <c r="AL307" s="450" t="str">
        <f>IF(Q307=0,"-",SUMIFS($Q$2:Q307,$A$2:A307,$A307,$F$2:F307,"&lt;="&amp;$F307)/SUMIFS($I$2:I307,$A$2:A307,$A307,$F$2:F307,"&lt;="&amp;$F307)-1)</f>
        <v>-</v>
      </c>
      <c r="AM307" s="450" t="str">
        <f>IFERROR(IF(O307=0,"-",SUMIFS($O$2:O307,$A$2:A307,$A307,$F$2:F307,"&lt;="&amp;$F307)/SUMIFS($K$2:K307,$A$2:A307,$A307,$F$2:F307,"&lt;="&amp;$F307)-1),"")</f>
        <v>-</v>
      </c>
      <c r="AN307" s="450" t="str">
        <f>IFERROR(IF(P307=0,"-",SUMIFS($P$2:P307,$A$2:A307,$A307,$F$2:F307,"&lt;="&amp;$F307)/SUMIFS($L$2:L307,$A$2:A307,$A307,$F$2:F307,"&lt;="&amp;$F307)-1),"")</f>
        <v>-</v>
      </c>
      <c r="AO307" s="269" t="str">
        <f>IFERROR(IF(Q307=0,"-",SUMIFS($Q$2:Q307,$A$2:A307,$A307,$F$2:F307,"&lt;="&amp;$F307)/SUMIFS($M$2:M307,$A$2:A307,$A307,$F$2:F307,"&lt;="&amp;$F307)-1),"")</f>
        <v>-</v>
      </c>
      <c r="AP307" s="134"/>
      <c r="AQ307" s="452" t="str">
        <f>'Overall Metrics'!AO312</f>
        <v/>
      </c>
      <c r="AR307" s="450" t="str">
        <f t="shared" si="112"/>
        <v/>
      </c>
      <c r="AS307" s="453" t="str">
        <f>IFERROR(IF(R308=0,"-",AVERAGEIFS($AQ$2:AQ307,$A$2:A307,$A307,$F$2:F307,"&lt;="&amp;$F307)-AVERAGEIFS($AP$2:AP307,$A$2:A307,$A307,$F$2:F307,"&lt;="&amp;$F307)),"")</f>
        <v>-</v>
      </c>
      <c r="AT307" s="390" t="str">
        <f>IFERROR(IF(R308=0,"-",AVERAGEIFS($AQ$2:AQ307,$A$2:A307,A307,$C$2:C307,C307)-AVERAGEIFS($AP$2:AP307,$A$2:A307,A307,$C$2:C307,C307)),"")</f>
        <v>-</v>
      </c>
      <c r="AU307" s="451"/>
      <c r="AV307" s="452">
        <f>'Overall Metrics'!AS312</f>
        <v>0</v>
      </c>
      <c r="AW307" s="450" t="str">
        <f t="shared" si="119"/>
        <v/>
      </c>
      <c r="AX307" s="453" t="str">
        <f>IFERROR(IF(R311=0,"-",AVERAGEIFS($AV$2:AV307,$A$2:A307,$A307,$F$2:F307,"&lt;="&amp;$F307)-AVERAGEIFS($AU$2:AU307,$A$2:A307,$A307,$F$2:F307,"&lt;="&amp;$F307)),"")</f>
        <v>-</v>
      </c>
      <c r="AY307" s="390" t="str">
        <f>IFERROR(IF(R311=0,"-",AVERAGEIFS($AV$2:AV307,$A$2:A307,A307,$C$2:C307,C307)-AVERAGEIFS($AU$2:AU307,$A$2:A307,A307,$C$2:C307,C307)),"")</f>
        <v>-</v>
      </c>
      <c r="AZ307" s="103"/>
      <c r="BA307" s="449">
        <f>'Glass Metrics'!AC312</f>
        <v>0</v>
      </c>
      <c r="BB307" s="450" t="str">
        <f t="shared" si="113"/>
        <v/>
      </c>
      <c r="BC307" s="450" t="str">
        <f>IFERROR(IF(R307=0,"-",AVERAGEIFS($BA$2:BA307,$A$2:A307,$A307,$F$2:F307,"&lt;="&amp;$F307)/AVERAGEIFS($AZ$2:AZ307,$A$2:A307,$A307,$F$2:F307,"&lt;="&amp;$F307)-1),"")</f>
        <v>-</v>
      </c>
      <c r="BD307" s="269" t="str">
        <f>IFERROR(IF(R307=0,"-",AVERAGEIFS($BA$2:BA307,$A$2:A307,A307,$C$2:C307,C307)/AVERAGEIFS($AZ$2:AZ307,$A$2:A307,A307,$C$2:C307,C307)-1),"")</f>
        <v>-</v>
      </c>
    </row>
    <row r="308" spans="1:56" ht="15.6" customHeight="1">
      <c r="A308" s="175">
        <f t="shared" si="93"/>
        <v>2026</v>
      </c>
      <c r="B308" s="447" t="str">
        <f t="shared" si="94"/>
        <v>46</v>
      </c>
      <c r="C308" s="447" t="str">
        <f t="array" ref="C308">_xlfn.IFS(_xlfn.NUMBERVALUE(B308)&lt;=13,"Q1",AND(_xlfn.NUMBERVALUE(B308)&gt;13,_xlfn.NUMBERVALUE(B308)&lt;=26),"Q2", AND(_xlfn.NUMBERVALUE(B308)&gt;26,_xlfn.NUMBERVALUE(B308)&lt;=39),"Q3",_xlfn.NUMBERVALUE(B308)&gt;39,"Q4")</f>
        <v>Q4</v>
      </c>
      <c r="D308" s="448">
        <f t="shared" si="114"/>
        <v>46004</v>
      </c>
      <c r="E308" s="448">
        <f t="shared" si="95"/>
        <v>46010</v>
      </c>
      <c r="F308" s="79">
        <v>202546</v>
      </c>
      <c r="G308" s="103"/>
      <c r="H308" s="429"/>
      <c r="I308" s="429"/>
      <c r="J308" s="214">
        <f t="shared" si="96"/>
        <v>0</v>
      </c>
      <c r="K308" s="429"/>
      <c r="L308" s="429"/>
      <c r="M308" s="429"/>
      <c r="N308" s="214">
        <f t="shared" si="97"/>
        <v>0</v>
      </c>
      <c r="O308" s="449">
        <f>'Overall Metrics'!L313</f>
        <v>0</v>
      </c>
      <c r="P308" s="449">
        <f>'Overall Metrics'!M313</f>
        <v>0</v>
      </c>
      <c r="Q308" s="449">
        <f>'Overall Metrics'!N313</f>
        <v>0</v>
      </c>
      <c r="R308" s="449">
        <f t="shared" si="98"/>
        <v>0</v>
      </c>
      <c r="S308" s="180">
        <f t="shared" si="99"/>
        <v>0</v>
      </c>
      <c r="T308" s="449">
        <f t="shared" si="100"/>
        <v>1256337</v>
      </c>
      <c r="U308" s="449">
        <f t="shared" si="101"/>
        <v>1322941</v>
      </c>
      <c r="V308" s="450" t="str">
        <f t="shared" si="102"/>
        <v/>
      </c>
      <c r="W308" s="450" t="str">
        <f>IF(R308=0,"-",SUMIFS($R$2:R308,$A$2:A308,A308,$C$2:C308,C308)/SUMIFS($J$2:J308,$A$2:A308,A308,$C$2:C308,C308)-1)</f>
        <v>-</v>
      </c>
      <c r="X308" s="450" t="str">
        <f t="shared" si="103"/>
        <v/>
      </c>
      <c r="Y308" s="450" t="str">
        <f>IFERROR(IF(R308=0,"-",SUMIFS($R$2:R308,$A$2:A308,A308,$C$2:C308,C308)/SUMIFS($N$2:N308,$A$2:A308,A308,$C$2:C308,C308)-1),"")</f>
        <v>-</v>
      </c>
      <c r="Z308" s="269" t="str">
        <f>IF(R308=0,"",(S308/VLOOKUP(_xlfn.NUMBERVALUE(_xlfn.CONCAT(LEFT(F308,4),52)),$F$2:T515,COLUMNS($F$2:T515),FALSE)))</f>
        <v/>
      </c>
      <c r="AA308" s="269" t="str">
        <f>IFERROR(IF(R308=0,"",(S308/VLOOKUP(_xlfn.NUMBERVALUE(_xlfn.CONCAT(LEFT(F308,4),52)),$F$2:U515,COLUMNS($F$2:U515),FALSE))),"")</f>
        <v/>
      </c>
      <c r="AB308" s="268" t="str">
        <f t="shared" si="104"/>
        <v/>
      </c>
      <c r="AC308" s="450" t="str">
        <f t="shared" si="105"/>
        <v/>
      </c>
      <c r="AD308" s="450" t="str">
        <f t="shared" si="106"/>
        <v/>
      </c>
      <c r="AE308" s="269" t="str">
        <f t="shared" si="107"/>
        <v/>
      </c>
      <c r="AF308" s="268" t="str">
        <f t="shared" si="108"/>
        <v/>
      </c>
      <c r="AG308" s="450" t="str">
        <f t="shared" si="109"/>
        <v/>
      </c>
      <c r="AH308" s="450" t="str">
        <f t="shared" si="110"/>
        <v/>
      </c>
      <c r="AI308" s="269" t="str">
        <f t="shared" si="111"/>
        <v/>
      </c>
      <c r="AJ308" s="450" t="str">
        <f>IF(O308=0,"-",SUMIFS($O$2:O308,$A$2:A308,$A308,$F$2:F308,"&lt;="&amp;$F308)/SUMIFS($G$2:G308,$A$2:A308,$A308,$F$2:F308,"&lt;="&amp;$F308)-1)</f>
        <v>-</v>
      </c>
      <c r="AK308" s="450" t="str">
        <f>IF(P308=0,"-",SUMIFS($P$2:P308,$A$2:A308,$A308,$F$2:F308,"&lt;="&amp;$F308)/SUMIFS($H$2:H308,$A$2:A308,$A308,$F$2:F308,"&lt;="&amp;$F308)-1)</f>
        <v>-</v>
      </c>
      <c r="AL308" s="450" t="str">
        <f>IF(Q308=0,"-",SUMIFS($Q$2:Q308,$A$2:A308,$A308,$F$2:F308,"&lt;="&amp;$F308)/SUMIFS($I$2:I308,$A$2:A308,$A308,$F$2:F308,"&lt;="&amp;$F308)-1)</f>
        <v>-</v>
      </c>
      <c r="AM308" s="450" t="str">
        <f>IFERROR(IF(O308=0,"-",SUMIFS($O$2:O308,$A$2:A308,$A308,$F$2:F308,"&lt;="&amp;$F308)/SUMIFS($K$2:K308,$A$2:A308,$A308,$F$2:F308,"&lt;="&amp;$F308)-1),"")</f>
        <v>-</v>
      </c>
      <c r="AN308" s="450" t="str">
        <f>IFERROR(IF(P308=0,"-",SUMIFS($P$2:P308,$A$2:A308,$A308,$F$2:F308,"&lt;="&amp;$F308)/SUMIFS($L$2:L308,$A$2:A308,$A308,$F$2:F308,"&lt;="&amp;$F308)-1),"")</f>
        <v>-</v>
      </c>
      <c r="AO308" s="269" t="str">
        <f>IFERROR(IF(Q308=0,"-",SUMIFS($Q$2:Q308,$A$2:A308,$A308,$F$2:F308,"&lt;="&amp;$F308)/SUMIFS($M$2:M308,$A$2:A308,$A308,$F$2:F308,"&lt;="&amp;$F308)-1),"")</f>
        <v>-</v>
      </c>
      <c r="AP308" s="134"/>
      <c r="AQ308" s="452" t="str">
        <f>'Overall Metrics'!AO313</f>
        <v/>
      </c>
      <c r="AR308" s="450" t="str">
        <f t="shared" si="112"/>
        <v/>
      </c>
      <c r="AS308" s="453" t="str">
        <f>IFERROR(IF(R309=0,"-",AVERAGEIFS($AQ$2:AQ308,$A$2:A308,$A308,$F$2:F308,"&lt;="&amp;$F308)-AVERAGEIFS($AP$2:AP308,$A$2:A308,$A308,$F$2:F308,"&lt;="&amp;$F308)),"")</f>
        <v>-</v>
      </c>
      <c r="AT308" s="390" t="str">
        <f>IFERROR(IF(R309=0,"-",AVERAGEIFS($AQ$2:AQ308,$A$2:A308,A308,$C$2:C308,C308)-AVERAGEIFS($AP$2:AP308,$A$2:A308,A308,$C$2:C308,C308)),"")</f>
        <v>-</v>
      </c>
      <c r="AU308" s="451"/>
      <c r="AV308" s="452">
        <f>'Overall Metrics'!AS313</f>
        <v>0</v>
      </c>
      <c r="AW308" s="450" t="str">
        <f t="shared" si="119"/>
        <v/>
      </c>
      <c r="AX308" s="453" t="str">
        <f>IFERROR(IF(R312=0,"-",AVERAGEIFS($AV$2:AV308,$A$2:A308,$A308,$F$2:F308,"&lt;="&amp;$F308)-AVERAGEIFS($AU$2:AU308,$A$2:A308,$A308,$F$2:F308,"&lt;="&amp;$F308)),"")</f>
        <v>-</v>
      </c>
      <c r="AY308" s="390" t="str">
        <f>IFERROR(IF(R312=0,"-",AVERAGEIFS($AV$2:AV308,$A$2:A308,A308,$C$2:C308,C308)-AVERAGEIFS($AU$2:AU308,$A$2:A308,A308,$C$2:C308,C308)),"")</f>
        <v>-</v>
      </c>
      <c r="AZ308" s="103"/>
      <c r="BA308" s="449">
        <f>'Glass Metrics'!AC313</f>
        <v>0</v>
      </c>
      <c r="BB308" s="450" t="str">
        <f t="shared" si="113"/>
        <v/>
      </c>
      <c r="BC308" s="450" t="str">
        <f>IFERROR(IF(R308=0,"-",AVERAGEIFS($BA$2:BA308,$A$2:A308,$A308,$F$2:F308,"&lt;="&amp;$F308)/AVERAGEIFS($AZ$2:AZ308,$A$2:A308,$A308,$F$2:F308,"&lt;="&amp;$F308)-1),"")</f>
        <v>-</v>
      </c>
      <c r="BD308" s="269" t="str">
        <f>IFERROR(IF(R308=0,"-",AVERAGEIFS($BA$2:BA308,$A$2:A308,A308,$C$2:C308,C308)/AVERAGEIFS($AZ$2:AZ308,$A$2:A308,A308,$C$2:C308,C308)-1),"")</f>
        <v>-</v>
      </c>
    </row>
    <row r="309" spans="1:56" ht="15.6" customHeight="1">
      <c r="A309" s="175">
        <f t="shared" si="93"/>
        <v>2026</v>
      </c>
      <c r="B309" s="447" t="str">
        <f t="shared" si="94"/>
        <v>47</v>
      </c>
      <c r="C309" s="447" t="str">
        <f t="array" ref="C309">_xlfn.IFS(_xlfn.NUMBERVALUE(B309)&lt;=13,"Q1",AND(_xlfn.NUMBERVALUE(B309)&gt;13,_xlfn.NUMBERVALUE(B309)&lt;=26),"Q2", AND(_xlfn.NUMBERVALUE(B309)&gt;26,_xlfn.NUMBERVALUE(B309)&lt;=39),"Q3",_xlfn.NUMBERVALUE(B309)&gt;39,"Q4")</f>
        <v>Q4</v>
      </c>
      <c r="D309" s="448">
        <f t="shared" si="114"/>
        <v>46011</v>
      </c>
      <c r="E309" s="448">
        <f t="shared" si="95"/>
        <v>46017</v>
      </c>
      <c r="F309" s="79">
        <v>202547</v>
      </c>
      <c r="G309" s="103"/>
      <c r="H309" s="429"/>
      <c r="I309" s="429"/>
      <c r="J309" s="214">
        <f t="shared" si="96"/>
        <v>0</v>
      </c>
      <c r="K309" s="429"/>
      <c r="L309" s="429"/>
      <c r="M309" s="429"/>
      <c r="N309" s="214">
        <f t="shared" si="97"/>
        <v>0</v>
      </c>
      <c r="O309" s="449">
        <f>'Overall Metrics'!L314</f>
        <v>0</v>
      </c>
      <c r="P309" s="449">
        <f>'Overall Metrics'!M314</f>
        <v>0</v>
      </c>
      <c r="Q309" s="449">
        <f>'Overall Metrics'!N314</f>
        <v>0</v>
      </c>
      <c r="R309" s="449">
        <f t="shared" si="98"/>
        <v>0</v>
      </c>
      <c r="S309" s="180">
        <f t="shared" si="99"/>
        <v>0</v>
      </c>
      <c r="T309" s="449">
        <f t="shared" si="100"/>
        <v>1256337</v>
      </c>
      <c r="U309" s="449">
        <f t="shared" si="101"/>
        <v>1322941</v>
      </c>
      <c r="V309" s="450" t="str">
        <f t="shared" si="102"/>
        <v/>
      </c>
      <c r="W309" s="450" t="str">
        <f>IF(R309=0,"-",SUMIFS($R$2:R309,$A$2:A309,A309,$C$2:C309,C309)/SUMIFS($J$2:J309,$A$2:A309,A309,$C$2:C309,C309)-1)</f>
        <v>-</v>
      </c>
      <c r="X309" s="450" t="str">
        <f t="shared" si="103"/>
        <v/>
      </c>
      <c r="Y309" s="450" t="str">
        <f>IFERROR(IF(R309=0,"-",SUMIFS($R$2:R309,$A$2:A309,A309,$C$2:C309,C309)/SUMIFS($N$2:N309,$A$2:A309,A309,$C$2:C309,C309)-1),"")</f>
        <v>-</v>
      </c>
      <c r="Z309" s="269" t="str">
        <f>IF(R309=0,"",(S309/VLOOKUP(_xlfn.NUMBERVALUE(_xlfn.CONCAT(LEFT(F309,4),52)),$F$2:T516,COLUMNS($F$2:T516),FALSE)))</f>
        <v/>
      </c>
      <c r="AA309" s="269" t="str">
        <f>IFERROR(IF(R309=0,"",(S309/VLOOKUP(_xlfn.NUMBERVALUE(_xlfn.CONCAT(LEFT(F309,4),52)),$F$2:U516,COLUMNS($F$2:U516),FALSE))),"")</f>
        <v/>
      </c>
      <c r="AB309" s="268" t="str">
        <f t="shared" si="104"/>
        <v/>
      </c>
      <c r="AC309" s="450" t="str">
        <f t="shared" si="105"/>
        <v/>
      </c>
      <c r="AD309" s="450" t="str">
        <f t="shared" si="106"/>
        <v/>
      </c>
      <c r="AE309" s="269" t="str">
        <f t="shared" si="107"/>
        <v/>
      </c>
      <c r="AF309" s="268" t="str">
        <f t="shared" si="108"/>
        <v/>
      </c>
      <c r="AG309" s="450" t="str">
        <f t="shared" si="109"/>
        <v/>
      </c>
      <c r="AH309" s="450" t="str">
        <f t="shared" si="110"/>
        <v/>
      </c>
      <c r="AI309" s="269" t="str">
        <f t="shared" si="111"/>
        <v/>
      </c>
      <c r="AJ309" s="450" t="str">
        <f>IF(O309=0,"-",SUMIFS($O$2:O309,$A$2:A309,$A309,$F$2:F309,"&lt;="&amp;$F309)/SUMIFS($G$2:G309,$A$2:A309,$A309,$F$2:F309,"&lt;="&amp;$F309)-1)</f>
        <v>-</v>
      </c>
      <c r="AK309" s="450" t="str">
        <f>IF(P309=0,"-",SUMIFS($P$2:P309,$A$2:A309,$A309,$F$2:F309,"&lt;="&amp;$F309)/SUMIFS($H$2:H309,$A$2:A309,$A309,$F$2:F309,"&lt;="&amp;$F309)-1)</f>
        <v>-</v>
      </c>
      <c r="AL309" s="450" t="str">
        <f>IF(Q309=0,"-",SUMIFS($Q$2:Q309,$A$2:A309,$A309,$F$2:F309,"&lt;="&amp;$F309)/SUMIFS($I$2:I309,$A$2:A309,$A309,$F$2:F309,"&lt;="&amp;$F309)-1)</f>
        <v>-</v>
      </c>
      <c r="AM309" s="450" t="str">
        <f>IFERROR(IF(O309=0,"-",SUMIFS($O$2:O309,$A$2:A309,$A309,$F$2:F309,"&lt;="&amp;$F309)/SUMIFS($K$2:K309,$A$2:A309,$A309,$F$2:F309,"&lt;="&amp;$F309)-1),"")</f>
        <v>-</v>
      </c>
      <c r="AN309" s="450" t="str">
        <f>IFERROR(IF(P309=0,"-",SUMIFS($P$2:P309,$A$2:A309,$A309,$F$2:F309,"&lt;="&amp;$F309)/SUMIFS($L$2:L309,$A$2:A309,$A309,$F$2:F309,"&lt;="&amp;$F309)-1),"")</f>
        <v>-</v>
      </c>
      <c r="AO309" s="269" t="str">
        <f>IFERROR(IF(Q309=0,"-",SUMIFS($Q$2:Q309,$A$2:A309,$A309,$F$2:F309,"&lt;="&amp;$F309)/SUMIFS($M$2:M309,$A$2:A309,$A309,$F$2:F309,"&lt;="&amp;$F309)-1),"")</f>
        <v>-</v>
      </c>
      <c r="AP309" s="134"/>
      <c r="AQ309" s="452" t="str">
        <f>'Overall Metrics'!AO314</f>
        <v/>
      </c>
      <c r="AR309" s="450" t="str">
        <f t="shared" si="112"/>
        <v/>
      </c>
      <c r="AS309" s="453" t="str">
        <f>IFERROR(IF(R310=0,"-",AVERAGEIFS($AQ$2:AQ309,$A$2:A309,$A309,$F$2:F309,"&lt;="&amp;$F309)-AVERAGEIFS($AP$2:AP309,$A$2:A309,$A309,$F$2:F309,"&lt;="&amp;$F309)),"")</f>
        <v>-</v>
      </c>
      <c r="AT309" s="390" t="str">
        <f>IFERROR(IF(R310=0,"-",AVERAGEIFS($AQ$2:AQ309,$A$2:A309,A309,$C$2:C309,C309)-AVERAGEIFS($AP$2:AP309,$A$2:A309,A309,$C$2:C309,C309)),"")</f>
        <v>-</v>
      </c>
      <c r="AU309" s="451"/>
      <c r="AV309" s="452">
        <f>'Overall Metrics'!AS314</f>
        <v>0</v>
      </c>
      <c r="AW309" s="450" t="str">
        <f t="shared" si="119"/>
        <v/>
      </c>
      <c r="AX309" s="453" t="str">
        <f>IFERROR(IF(R313=0,"-",AVERAGEIFS($AV$2:AV309,$A$2:A309,$A309,$F$2:F309,"&lt;="&amp;$F309)-AVERAGEIFS($AU$2:AU309,$A$2:A309,$A309,$F$2:F309,"&lt;="&amp;$F309)),"")</f>
        <v>-</v>
      </c>
      <c r="AY309" s="390" t="str">
        <f>IFERROR(IF(R313=0,"-",AVERAGEIFS($AV$2:AV309,$A$2:A309,A309,$C$2:C309,C309)-AVERAGEIFS($AU$2:AU309,$A$2:A309,A309,$C$2:C309,C309)),"")</f>
        <v>-</v>
      </c>
      <c r="AZ309" s="103"/>
      <c r="BA309" s="449">
        <f>'Glass Metrics'!AC314</f>
        <v>0</v>
      </c>
      <c r="BB309" s="450" t="str">
        <f t="shared" si="113"/>
        <v/>
      </c>
      <c r="BC309" s="450" t="str">
        <f>IFERROR(IF(R309=0,"-",AVERAGEIFS($BA$2:BA309,$A$2:A309,$A309,$F$2:F309,"&lt;="&amp;$F309)/AVERAGEIFS($AZ$2:AZ309,$A$2:A309,$A309,$F$2:F309,"&lt;="&amp;$F309)-1),"")</f>
        <v>-</v>
      </c>
      <c r="BD309" s="269" t="str">
        <f>IFERROR(IF(R309=0,"-",AVERAGEIFS($BA$2:BA309,$A$2:A309,A309,$C$2:C309,C309)/AVERAGEIFS($AZ$2:AZ309,$A$2:A309,A309,$C$2:C309,C309)-1),"")</f>
        <v>-</v>
      </c>
    </row>
    <row r="310" spans="1:56" ht="15.6" customHeight="1">
      <c r="A310" s="175">
        <f t="shared" si="93"/>
        <v>2026</v>
      </c>
      <c r="B310" s="447" t="str">
        <f t="shared" si="94"/>
        <v>48</v>
      </c>
      <c r="C310" s="447" t="str">
        <f t="array" ref="C310">_xlfn.IFS(_xlfn.NUMBERVALUE(B310)&lt;=13,"Q1",AND(_xlfn.NUMBERVALUE(B310)&gt;13,_xlfn.NUMBERVALUE(B310)&lt;=26),"Q2", AND(_xlfn.NUMBERVALUE(B310)&gt;26,_xlfn.NUMBERVALUE(B310)&lt;=39),"Q3",_xlfn.NUMBERVALUE(B310)&gt;39,"Q4")</f>
        <v>Q4</v>
      </c>
      <c r="D310" s="448">
        <f t="shared" si="114"/>
        <v>46018</v>
      </c>
      <c r="E310" s="448">
        <f t="shared" si="95"/>
        <v>46024</v>
      </c>
      <c r="F310" s="79">
        <v>202548</v>
      </c>
      <c r="G310" s="103"/>
      <c r="H310" s="429"/>
      <c r="I310" s="429"/>
      <c r="J310" s="214">
        <f t="shared" si="96"/>
        <v>0</v>
      </c>
      <c r="K310" s="429"/>
      <c r="L310" s="429"/>
      <c r="M310" s="429"/>
      <c r="N310" s="214">
        <f t="shared" si="97"/>
        <v>0</v>
      </c>
      <c r="O310" s="449">
        <f>'Overall Metrics'!L315</f>
        <v>0</v>
      </c>
      <c r="P310" s="449">
        <f>'Overall Metrics'!M315</f>
        <v>0</v>
      </c>
      <c r="Q310" s="449">
        <f>'Overall Metrics'!N315</f>
        <v>0</v>
      </c>
      <c r="R310" s="449">
        <f t="shared" si="98"/>
        <v>0</v>
      </c>
      <c r="S310" s="180">
        <f t="shared" si="99"/>
        <v>0</v>
      </c>
      <c r="T310" s="449">
        <f t="shared" si="100"/>
        <v>1256337</v>
      </c>
      <c r="U310" s="449">
        <f t="shared" si="101"/>
        <v>1322941</v>
      </c>
      <c r="V310" s="450" t="str">
        <f t="shared" si="102"/>
        <v/>
      </c>
      <c r="W310" s="450" t="str">
        <f>IF(R310=0,"-",SUMIFS($R$2:R310,$A$2:A310,A310,$C$2:C310,C310)/SUMIFS($J$2:J310,$A$2:A310,A310,$C$2:C310,C310)-1)</f>
        <v>-</v>
      </c>
      <c r="X310" s="450" t="str">
        <f t="shared" si="103"/>
        <v/>
      </c>
      <c r="Y310" s="450" t="str">
        <f>IFERROR(IF(R310=0,"-",SUMIFS($R$2:R310,$A$2:A310,A310,$C$2:C310,C310)/SUMIFS($N$2:N310,$A$2:A310,A310,$C$2:C310,C310)-1),"")</f>
        <v>-</v>
      </c>
      <c r="Z310" s="269" t="str">
        <f>IF(R310=0,"",(S310/VLOOKUP(_xlfn.NUMBERVALUE(_xlfn.CONCAT(LEFT(F310,4),52)),$F$2:T517,COLUMNS($F$2:T517),FALSE)))</f>
        <v/>
      </c>
      <c r="AA310" s="269" t="str">
        <f>IFERROR(IF(R310=0,"",(S310/VLOOKUP(_xlfn.NUMBERVALUE(_xlfn.CONCAT(LEFT(F310,4),52)),$F$2:U517,COLUMNS($F$2:U517),FALSE))),"")</f>
        <v/>
      </c>
      <c r="AB310" s="268" t="str">
        <f t="shared" si="104"/>
        <v/>
      </c>
      <c r="AC310" s="450" t="str">
        <f t="shared" si="105"/>
        <v/>
      </c>
      <c r="AD310" s="450" t="str">
        <f t="shared" si="106"/>
        <v/>
      </c>
      <c r="AE310" s="269" t="str">
        <f t="shared" si="107"/>
        <v/>
      </c>
      <c r="AF310" s="268" t="str">
        <f t="shared" si="108"/>
        <v/>
      </c>
      <c r="AG310" s="450" t="str">
        <f t="shared" si="109"/>
        <v/>
      </c>
      <c r="AH310" s="450" t="str">
        <f t="shared" si="110"/>
        <v/>
      </c>
      <c r="AI310" s="269" t="str">
        <f t="shared" si="111"/>
        <v/>
      </c>
      <c r="AJ310" s="450" t="str">
        <f>IF(O310=0,"-",SUMIFS($O$2:O310,$A$2:A310,$A310,$F$2:F310,"&lt;="&amp;$F310)/SUMIFS($G$2:G310,$A$2:A310,$A310,$F$2:F310,"&lt;="&amp;$F310)-1)</f>
        <v>-</v>
      </c>
      <c r="AK310" s="450" t="str">
        <f>IF(P310=0,"-",SUMIFS($P$2:P310,$A$2:A310,$A310,$F$2:F310,"&lt;="&amp;$F310)/SUMIFS($H$2:H310,$A$2:A310,$A310,$F$2:F310,"&lt;="&amp;$F310)-1)</f>
        <v>-</v>
      </c>
      <c r="AL310" s="450" t="str">
        <f>IF(Q310=0,"-",SUMIFS($Q$2:Q310,$A$2:A310,$A310,$F$2:F310,"&lt;="&amp;$F310)/SUMIFS($I$2:I310,$A$2:A310,$A310,$F$2:F310,"&lt;="&amp;$F310)-1)</f>
        <v>-</v>
      </c>
      <c r="AM310" s="450" t="str">
        <f>IFERROR(IF(O310=0,"-",SUMIFS($O$2:O310,$A$2:A310,$A310,$F$2:F310,"&lt;="&amp;$F310)/SUMIFS($K$2:K310,$A$2:A310,$A310,$F$2:F310,"&lt;="&amp;$F310)-1),"")</f>
        <v>-</v>
      </c>
      <c r="AN310" s="450" t="str">
        <f>IFERROR(IF(P310=0,"-",SUMIFS($P$2:P310,$A$2:A310,$A310,$F$2:F310,"&lt;="&amp;$F310)/SUMIFS($L$2:L310,$A$2:A310,$A310,$F$2:F310,"&lt;="&amp;$F310)-1),"")</f>
        <v>-</v>
      </c>
      <c r="AO310" s="269" t="str">
        <f>IFERROR(IF(Q310=0,"-",SUMIFS($Q$2:Q310,$A$2:A310,$A310,$F$2:F310,"&lt;="&amp;$F310)/SUMIFS($M$2:M310,$A$2:A310,$A310,$F$2:F310,"&lt;="&amp;$F310)-1),"")</f>
        <v>-</v>
      </c>
      <c r="AP310" s="134"/>
      <c r="AQ310" s="452" t="str">
        <f>'Overall Metrics'!AO315</f>
        <v/>
      </c>
      <c r="AR310" s="450" t="str">
        <f t="shared" si="112"/>
        <v/>
      </c>
      <c r="AS310" s="453" t="str">
        <f>IFERROR(IF(R311=0,"-",AVERAGEIFS($AQ$2:AQ310,$A$2:A310,$A310,$F$2:F310,"&lt;="&amp;$F310)-AVERAGEIFS($AP$2:AP310,$A$2:A310,$A310,$F$2:F310,"&lt;="&amp;$F310)),"")</f>
        <v>-</v>
      </c>
      <c r="AT310" s="390" t="str">
        <f>IFERROR(IF(R311=0,"-",AVERAGEIFS($AQ$2:AQ310,$A$2:A310,A310,$C$2:C310,C310)-AVERAGEIFS($AP$2:AP310,$A$2:A310,A310,$C$2:C310,C310)),"")</f>
        <v>-</v>
      </c>
      <c r="AU310" s="451"/>
      <c r="AV310" s="452">
        <f>'Overall Metrics'!AS315</f>
        <v>0</v>
      </c>
      <c r="AW310" s="450" t="str">
        <f t="shared" si="119"/>
        <v/>
      </c>
      <c r="AX310" s="453" t="str">
        <f>IFERROR(IF(R314=0,"-",AVERAGEIFS($AV$2:AV310,$A$2:A310,$A310,$F$2:F310,"&lt;="&amp;$F310)-AVERAGEIFS($AU$2:AU310,$A$2:A310,$A310,$F$2:F310,"&lt;="&amp;$F310)),"")</f>
        <v>-</v>
      </c>
      <c r="AY310" s="390" t="str">
        <f>IFERROR(IF(R314=0,"-",AVERAGEIFS($AV$2:AV310,$A$2:A310,A310,$C$2:C310,C310)-AVERAGEIFS($AU$2:AU310,$A$2:A310,A310,$C$2:C310,C310)),"")</f>
        <v>-</v>
      </c>
      <c r="AZ310" s="103"/>
      <c r="BA310" s="449">
        <f>'Glass Metrics'!AC315</f>
        <v>0</v>
      </c>
      <c r="BB310" s="450" t="str">
        <f t="shared" si="113"/>
        <v/>
      </c>
      <c r="BC310" s="450" t="str">
        <f>IFERROR(IF(R310=0,"-",AVERAGEIFS($BA$2:BA310,$A$2:A310,$A310,$F$2:F310,"&lt;="&amp;$F310)/AVERAGEIFS($AZ$2:AZ310,$A$2:A310,$A310,$F$2:F310,"&lt;="&amp;$F310)-1),"")</f>
        <v>-</v>
      </c>
      <c r="BD310" s="269" t="str">
        <f>IFERROR(IF(R310=0,"-",AVERAGEIFS($BA$2:BA310,$A$2:A310,A310,$C$2:C310,C310)/AVERAGEIFS($AZ$2:AZ310,$A$2:A310,A310,$C$2:C310,C310)-1),"")</f>
        <v>-</v>
      </c>
    </row>
    <row r="311" spans="1:56" ht="15.6" customHeight="1">
      <c r="A311" s="175">
        <f t="shared" si="93"/>
        <v>2026</v>
      </c>
      <c r="B311" s="447" t="str">
        <f t="shared" si="94"/>
        <v>49</v>
      </c>
      <c r="C311" s="447" t="str">
        <f t="array" ref="C311">_xlfn.IFS(_xlfn.NUMBERVALUE(B311)&lt;=13,"Q1",AND(_xlfn.NUMBERVALUE(B311)&gt;13,_xlfn.NUMBERVALUE(B311)&lt;=26),"Q2", AND(_xlfn.NUMBERVALUE(B311)&gt;26,_xlfn.NUMBERVALUE(B311)&lt;=39),"Q3",_xlfn.NUMBERVALUE(B311)&gt;39,"Q4")</f>
        <v>Q4</v>
      </c>
      <c r="D311" s="448">
        <f t="shared" si="114"/>
        <v>46025</v>
      </c>
      <c r="E311" s="448">
        <f t="shared" si="95"/>
        <v>46031</v>
      </c>
      <c r="F311" s="79">
        <v>202549</v>
      </c>
      <c r="G311" s="103"/>
      <c r="H311" s="429"/>
      <c r="I311" s="429"/>
      <c r="J311" s="214">
        <f t="shared" si="96"/>
        <v>0</v>
      </c>
      <c r="K311" s="429"/>
      <c r="L311" s="429"/>
      <c r="M311" s="429"/>
      <c r="N311" s="214">
        <f t="shared" si="97"/>
        <v>0</v>
      </c>
      <c r="O311" s="449">
        <f>'Overall Metrics'!L316</f>
        <v>0</v>
      </c>
      <c r="P311" s="449">
        <f>'Overall Metrics'!M316</f>
        <v>0</v>
      </c>
      <c r="Q311" s="449">
        <f>'Overall Metrics'!N316</f>
        <v>0</v>
      </c>
      <c r="R311" s="449">
        <f t="shared" si="98"/>
        <v>0</v>
      </c>
      <c r="S311" s="180">
        <f t="shared" si="99"/>
        <v>0</v>
      </c>
      <c r="T311" s="449">
        <f t="shared" si="100"/>
        <v>1256337</v>
      </c>
      <c r="U311" s="449">
        <f t="shared" si="101"/>
        <v>1322941</v>
      </c>
      <c r="V311" s="450" t="str">
        <f t="shared" si="102"/>
        <v/>
      </c>
      <c r="W311" s="450" t="str">
        <f>IF(R311=0,"-",SUMIFS($R$2:R311,$A$2:A311,A311,$C$2:C311,C311)/SUMIFS($J$2:J311,$A$2:A311,A311,$C$2:C311,C311)-1)</f>
        <v>-</v>
      </c>
      <c r="X311" s="450" t="str">
        <f t="shared" si="103"/>
        <v/>
      </c>
      <c r="Y311" s="450" t="str">
        <f>IFERROR(IF(R311=0,"-",SUMIFS($R$2:R311,$A$2:A311,A311,$C$2:C311,C311)/SUMIFS($N$2:N311,$A$2:A311,A311,$C$2:C311,C311)-1),"")</f>
        <v>-</v>
      </c>
      <c r="Z311" s="269" t="str">
        <f>IF(R311=0,"",(S311/VLOOKUP(_xlfn.NUMBERVALUE(_xlfn.CONCAT(LEFT(F311,4),52)),$F$2:T518,COLUMNS($F$2:T518),FALSE)))</f>
        <v/>
      </c>
      <c r="AA311" s="269" t="str">
        <f>IFERROR(IF(R311=0,"",(S311/VLOOKUP(_xlfn.NUMBERVALUE(_xlfn.CONCAT(LEFT(F311,4),52)),$F$2:U518,COLUMNS($F$2:U518),FALSE))),"")</f>
        <v/>
      </c>
      <c r="AB311" s="268" t="str">
        <f t="shared" si="104"/>
        <v/>
      </c>
      <c r="AC311" s="450" t="str">
        <f t="shared" si="105"/>
        <v/>
      </c>
      <c r="AD311" s="450" t="str">
        <f t="shared" si="106"/>
        <v/>
      </c>
      <c r="AE311" s="269" t="str">
        <f t="shared" si="107"/>
        <v/>
      </c>
      <c r="AF311" s="268" t="str">
        <f t="shared" si="108"/>
        <v/>
      </c>
      <c r="AG311" s="450" t="str">
        <f t="shared" si="109"/>
        <v/>
      </c>
      <c r="AH311" s="450" t="str">
        <f t="shared" si="110"/>
        <v/>
      </c>
      <c r="AI311" s="269" t="str">
        <f t="shared" si="111"/>
        <v/>
      </c>
      <c r="AJ311" s="450" t="str">
        <f>IF(O311=0,"-",SUMIFS($O$2:O311,$A$2:A311,$A311,$F$2:F311,"&lt;="&amp;$F311)/SUMIFS($G$2:G311,$A$2:A311,$A311,$F$2:F311,"&lt;="&amp;$F311)-1)</f>
        <v>-</v>
      </c>
      <c r="AK311" s="450" t="str">
        <f>IF(P311=0,"-",SUMIFS($P$2:P311,$A$2:A311,$A311,$F$2:F311,"&lt;="&amp;$F311)/SUMIFS($H$2:H311,$A$2:A311,$A311,$F$2:F311,"&lt;="&amp;$F311)-1)</f>
        <v>-</v>
      </c>
      <c r="AL311" s="450" t="str">
        <f>IF(Q311=0,"-",SUMIFS($Q$2:Q311,$A$2:A311,$A311,$F$2:F311,"&lt;="&amp;$F311)/SUMIFS($I$2:I311,$A$2:A311,$A311,$F$2:F311,"&lt;="&amp;$F311)-1)</f>
        <v>-</v>
      </c>
      <c r="AM311" s="450" t="str">
        <f>IFERROR(IF(O311=0,"-",SUMIFS($O$2:O311,$A$2:A311,$A311,$F$2:F311,"&lt;="&amp;$F311)/SUMIFS($K$2:K311,$A$2:A311,$A311,$F$2:F311,"&lt;="&amp;$F311)-1),"")</f>
        <v>-</v>
      </c>
      <c r="AN311" s="450" t="str">
        <f>IFERROR(IF(P311=0,"-",SUMIFS($P$2:P311,$A$2:A311,$A311,$F$2:F311,"&lt;="&amp;$F311)/SUMIFS($L$2:L311,$A$2:A311,$A311,$F$2:F311,"&lt;="&amp;$F311)-1),"")</f>
        <v>-</v>
      </c>
      <c r="AO311" s="269" t="str">
        <f>IFERROR(IF(Q311=0,"-",SUMIFS($Q$2:Q311,$A$2:A311,$A311,$F$2:F311,"&lt;="&amp;$F311)/SUMIFS($M$2:M311,$A$2:A311,$A311,$F$2:F311,"&lt;="&amp;$F311)-1),"")</f>
        <v>-</v>
      </c>
      <c r="AP311" s="134"/>
      <c r="AQ311" s="452" t="str">
        <f>'Overall Metrics'!AO316</f>
        <v/>
      </c>
      <c r="AR311" s="450" t="str">
        <f t="shared" si="112"/>
        <v/>
      </c>
      <c r="AS311" s="453" t="str">
        <f>IFERROR(IF(R312=0,"-",AVERAGEIFS($AQ$2:AQ311,$A$2:A311,$A311,$F$2:F311,"&lt;="&amp;$F311)-AVERAGEIFS($AP$2:AP311,$A$2:A311,$A311,$F$2:F311,"&lt;="&amp;$F311)),"")</f>
        <v>-</v>
      </c>
      <c r="AT311" s="390" t="str">
        <f>IFERROR(IF(R312=0,"-",AVERAGEIFS($AQ$2:AQ311,$A$2:A311,A311,$C$2:C311,C311)-AVERAGEIFS($AP$2:AP311,$A$2:A311,A311,$C$2:C311,C311)),"")</f>
        <v>-</v>
      </c>
      <c r="AU311" s="451"/>
      <c r="AV311" s="452">
        <f>'Overall Metrics'!AS316</f>
        <v>0</v>
      </c>
      <c r="AW311" s="450" t="str">
        <f t="shared" si="119"/>
        <v/>
      </c>
      <c r="AX311" s="453" t="str">
        <f>IFERROR(IF(R315=0,"-",AVERAGEIFS($AV$2:AV311,$A$2:A311,$A311,$F$2:F311,"&lt;="&amp;$F311)-AVERAGEIFS($AU$2:AU311,$A$2:A311,$A311,$F$2:F311,"&lt;="&amp;$F311)),"")</f>
        <v>-</v>
      </c>
      <c r="AY311" s="390" t="str">
        <f>IFERROR(IF(R315=0,"-",AVERAGEIFS($AV$2:AV311,$A$2:A311,A311,$C$2:C311,C311)-AVERAGEIFS($AU$2:AU311,$A$2:A311,A311,$C$2:C311,C311)),"")</f>
        <v>-</v>
      </c>
      <c r="AZ311" s="103"/>
      <c r="BA311" s="449">
        <f>'Glass Metrics'!AC316</f>
        <v>0</v>
      </c>
      <c r="BB311" s="450" t="str">
        <f t="shared" si="113"/>
        <v/>
      </c>
      <c r="BC311" s="450" t="str">
        <f>IFERROR(IF(R311=0,"-",AVERAGEIFS($BA$2:BA311,$A$2:A311,$A311,$F$2:F311,"&lt;="&amp;$F311)/AVERAGEIFS($AZ$2:AZ311,$A$2:A311,$A311,$F$2:F311,"&lt;="&amp;$F311)-1),"")</f>
        <v>-</v>
      </c>
      <c r="BD311" s="269" t="str">
        <f>IFERROR(IF(R311=0,"-",AVERAGEIFS($BA$2:BA311,$A$2:A311,A311,$C$2:C311,C311)/AVERAGEIFS($AZ$2:AZ311,$A$2:A311,A311,$C$2:C311,C311)-1),"")</f>
        <v>-</v>
      </c>
    </row>
    <row r="312" spans="1:56" ht="15.6" customHeight="1">
      <c r="A312" s="175">
        <f t="shared" si="93"/>
        <v>2026</v>
      </c>
      <c r="B312" s="447" t="str">
        <f t="shared" si="94"/>
        <v>50</v>
      </c>
      <c r="C312" s="447" t="str">
        <f t="array" ref="C312">_xlfn.IFS(_xlfn.NUMBERVALUE(B312)&lt;=13,"Q1",AND(_xlfn.NUMBERVALUE(B312)&gt;13,_xlfn.NUMBERVALUE(B312)&lt;=26),"Q2", AND(_xlfn.NUMBERVALUE(B312)&gt;26,_xlfn.NUMBERVALUE(B312)&lt;=39),"Q3",_xlfn.NUMBERVALUE(B312)&gt;39,"Q4")</f>
        <v>Q4</v>
      </c>
      <c r="D312" s="448">
        <f t="shared" si="114"/>
        <v>46032</v>
      </c>
      <c r="E312" s="448">
        <f t="shared" si="95"/>
        <v>46038</v>
      </c>
      <c r="F312" s="79">
        <v>202550</v>
      </c>
      <c r="G312" s="103"/>
      <c r="H312" s="429"/>
      <c r="I312" s="429"/>
      <c r="J312" s="214">
        <f t="shared" si="96"/>
        <v>0</v>
      </c>
      <c r="K312" s="429"/>
      <c r="L312" s="429"/>
      <c r="M312" s="429"/>
      <c r="N312" s="214">
        <f t="shared" si="97"/>
        <v>0</v>
      </c>
      <c r="O312" s="449">
        <f>'Overall Metrics'!L317</f>
        <v>0</v>
      </c>
      <c r="P312" s="449">
        <f>'Overall Metrics'!M317</f>
        <v>0</v>
      </c>
      <c r="Q312" s="449">
        <f>'Overall Metrics'!N317</f>
        <v>0</v>
      </c>
      <c r="R312" s="449">
        <f t="shared" si="98"/>
        <v>0</v>
      </c>
      <c r="S312" s="180">
        <f t="shared" si="99"/>
        <v>0</v>
      </c>
      <c r="T312" s="449">
        <f t="shared" si="100"/>
        <v>1256337</v>
      </c>
      <c r="U312" s="449">
        <f t="shared" si="101"/>
        <v>1322941</v>
      </c>
      <c r="V312" s="450" t="str">
        <f t="shared" si="102"/>
        <v/>
      </c>
      <c r="W312" s="450" t="str">
        <f>IF(R312=0,"-",SUMIFS($R$2:R312,$A$2:A312,A312,$C$2:C312,C312)/SUMIFS($J$2:J312,$A$2:A312,A312,$C$2:C312,C312)-1)</f>
        <v>-</v>
      </c>
      <c r="X312" s="450" t="str">
        <f t="shared" si="103"/>
        <v/>
      </c>
      <c r="Y312" s="450" t="str">
        <f>IFERROR(IF(R312=0,"-",SUMIFS($R$2:R312,$A$2:A312,A312,$C$2:C312,C312)/SUMIFS($N$2:N312,$A$2:A312,A312,$C$2:C312,C312)-1),"")</f>
        <v>-</v>
      </c>
      <c r="Z312" s="269" t="str">
        <f>IF(R312=0,"",(S312/VLOOKUP(_xlfn.NUMBERVALUE(_xlfn.CONCAT(LEFT(F312,4),52)),$F$2:T519,COLUMNS($F$2:T519),FALSE)))</f>
        <v/>
      </c>
      <c r="AA312" s="269" t="str">
        <f>IFERROR(IF(R312=0,"",(S312/VLOOKUP(_xlfn.NUMBERVALUE(_xlfn.CONCAT(LEFT(F312,4),52)),$F$2:U519,COLUMNS($F$2:U519),FALSE))),"")</f>
        <v/>
      </c>
      <c r="AB312" s="268" t="str">
        <f t="shared" si="104"/>
        <v/>
      </c>
      <c r="AC312" s="450" t="str">
        <f t="shared" si="105"/>
        <v/>
      </c>
      <c r="AD312" s="450" t="str">
        <f t="shared" si="106"/>
        <v/>
      </c>
      <c r="AE312" s="269" t="str">
        <f t="shared" si="107"/>
        <v/>
      </c>
      <c r="AF312" s="268" t="str">
        <f t="shared" si="108"/>
        <v/>
      </c>
      <c r="AG312" s="450" t="str">
        <f t="shared" si="109"/>
        <v/>
      </c>
      <c r="AH312" s="450" t="str">
        <f t="shared" si="110"/>
        <v/>
      </c>
      <c r="AI312" s="269" t="str">
        <f t="shared" si="111"/>
        <v/>
      </c>
      <c r="AJ312" s="450" t="str">
        <f>IF(O312=0,"-",SUMIFS($O$2:O312,$A$2:A312,$A312,$F$2:F312,"&lt;="&amp;$F312)/SUMIFS($G$2:G312,$A$2:A312,$A312,$F$2:F312,"&lt;="&amp;$F312)-1)</f>
        <v>-</v>
      </c>
      <c r="AK312" s="450" t="str">
        <f>IF(P312=0,"-",SUMIFS($P$2:P312,$A$2:A312,$A312,$F$2:F312,"&lt;="&amp;$F312)/SUMIFS($H$2:H312,$A$2:A312,$A312,$F$2:F312,"&lt;="&amp;$F312)-1)</f>
        <v>-</v>
      </c>
      <c r="AL312" s="450" t="str">
        <f>IF(Q312=0,"-",SUMIFS($Q$2:Q312,$A$2:A312,$A312,$F$2:F312,"&lt;="&amp;$F312)/SUMIFS($I$2:I312,$A$2:A312,$A312,$F$2:F312,"&lt;="&amp;$F312)-1)</f>
        <v>-</v>
      </c>
      <c r="AM312" s="450" t="str">
        <f>IFERROR(IF(O312=0,"-",SUMIFS($O$2:O312,$A$2:A312,$A312,$F$2:F312,"&lt;="&amp;$F312)/SUMIFS($K$2:K312,$A$2:A312,$A312,$F$2:F312,"&lt;="&amp;$F312)-1),"")</f>
        <v>-</v>
      </c>
      <c r="AN312" s="450" t="str">
        <f>IFERROR(IF(P312=0,"-",SUMIFS($P$2:P312,$A$2:A312,$A312,$F$2:F312,"&lt;="&amp;$F312)/SUMIFS($L$2:L312,$A$2:A312,$A312,$F$2:F312,"&lt;="&amp;$F312)-1),"")</f>
        <v>-</v>
      </c>
      <c r="AO312" s="269" t="str">
        <f>IFERROR(IF(Q312=0,"-",SUMIFS($Q$2:Q312,$A$2:A312,$A312,$F$2:F312,"&lt;="&amp;$F312)/SUMIFS($M$2:M312,$A$2:A312,$A312,$F$2:F312,"&lt;="&amp;$F312)-1),"")</f>
        <v>-</v>
      </c>
      <c r="AP312" s="134"/>
      <c r="AQ312" s="452" t="str">
        <f>'Overall Metrics'!AO317</f>
        <v/>
      </c>
      <c r="AR312" s="450" t="str">
        <f t="shared" si="112"/>
        <v/>
      </c>
      <c r="AS312" s="453" t="str">
        <f>IFERROR(IF(R313=0,"-",AVERAGEIFS($AQ$2:AQ312,$A$2:A312,$A312,$F$2:F312,"&lt;="&amp;$F312)-AVERAGEIFS($AP$2:AP312,$A$2:A312,$A312,$F$2:F312,"&lt;="&amp;$F312)),"")</f>
        <v>-</v>
      </c>
      <c r="AT312" s="390" t="str">
        <f>IFERROR(IF(R313=0,"-",AVERAGEIFS($AQ$2:AQ312,$A$2:A312,A312,$C$2:C312,C312)-AVERAGEIFS($AP$2:AP312,$A$2:A312,A312,$C$2:C312,C312)),"")</f>
        <v>-</v>
      </c>
      <c r="AU312" s="451"/>
      <c r="AV312" s="452">
        <f>'Overall Metrics'!AS317</f>
        <v>0</v>
      </c>
      <c r="AW312" s="450" t="str">
        <f t="shared" si="119"/>
        <v/>
      </c>
      <c r="AX312" s="453" t="str">
        <f>IFERROR(IF(R316=0,"-",AVERAGEIFS($AV$2:AV312,$A$2:A312,$A312,$F$2:F312,"&lt;="&amp;$F312)-AVERAGEIFS($AU$2:AU312,$A$2:A312,$A312,$F$2:F312,"&lt;="&amp;$F312)),"")</f>
        <v>-</v>
      </c>
      <c r="AY312" s="390" t="str">
        <f>IFERROR(IF(R316=0,"-",AVERAGEIFS($AV$2:AV312,$A$2:A312,A312,$C$2:C312,C312)-AVERAGEIFS($AU$2:AU312,$A$2:A312,A312,$C$2:C312,C312)),"")</f>
        <v>-</v>
      </c>
      <c r="AZ312" s="103"/>
      <c r="BA312" s="449">
        <f>'Glass Metrics'!AC317</f>
        <v>0</v>
      </c>
      <c r="BB312" s="450" t="str">
        <f t="shared" si="113"/>
        <v/>
      </c>
      <c r="BC312" s="450" t="str">
        <f>IFERROR(IF(R312=0,"-",AVERAGEIFS($BA$2:BA312,$A$2:A312,$A312,$F$2:F312,"&lt;="&amp;$F312)/AVERAGEIFS($AZ$2:AZ312,$A$2:A312,$A312,$F$2:F312,"&lt;="&amp;$F312)-1),"")</f>
        <v>-</v>
      </c>
      <c r="BD312" s="269" t="str">
        <f>IFERROR(IF(R312=0,"-",AVERAGEIFS($BA$2:BA312,$A$2:A312,A312,$C$2:C312,C312)/AVERAGEIFS($AZ$2:AZ312,$A$2:A312,A312,$C$2:C312,C312)-1),"")</f>
        <v>-</v>
      </c>
    </row>
    <row r="313" spans="1:56" ht="15.6" customHeight="1">
      <c r="A313" s="175">
        <f t="shared" si="93"/>
        <v>2026</v>
      </c>
      <c r="B313" s="447" t="str">
        <f t="shared" si="94"/>
        <v>51</v>
      </c>
      <c r="C313" s="447" t="str">
        <f t="array" ref="C313">_xlfn.IFS(_xlfn.NUMBERVALUE(B313)&lt;=13,"Q1",AND(_xlfn.NUMBERVALUE(B313)&gt;13,_xlfn.NUMBERVALUE(B313)&lt;=26),"Q2", AND(_xlfn.NUMBERVALUE(B313)&gt;26,_xlfn.NUMBERVALUE(B313)&lt;=39),"Q3",_xlfn.NUMBERVALUE(B313)&gt;39,"Q4")</f>
        <v>Q4</v>
      </c>
      <c r="D313" s="448">
        <f t="shared" si="114"/>
        <v>46039</v>
      </c>
      <c r="E313" s="448">
        <f t="shared" si="95"/>
        <v>46045</v>
      </c>
      <c r="F313" s="79">
        <v>202551</v>
      </c>
      <c r="G313" s="103"/>
      <c r="H313" s="429"/>
      <c r="I313" s="429"/>
      <c r="J313" s="214">
        <f t="shared" si="96"/>
        <v>0</v>
      </c>
      <c r="K313" s="429"/>
      <c r="L313" s="429"/>
      <c r="M313" s="429"/>
      <c r="N313" s="214">
        <f t="shared" si="97"/>
        <v>0</v>
      </c>
      <c r="O313" s="449">
        <f>'Overall Metrics'!L318</f>
        <v>0</v>
      </c>
      <c r="P313" s="449">
        <f>'Overall Metrics'!M318</f>
        <v>0</v>
      </c>
      <c r="Q313" s="449">
        <f>'Overall Metrics'!N318</f>
        <v>0</v>
      </c>
      <c r="R313" s="449">
        <f t="shared" si="98"/>
        <v>0</v>
      </c>
      <c r="S313" s="180">
        <f t="shared" si="99"/>
        <v>0</v>
      </c>
      <c r="T313" s="449">
        <f t="shared" si="100"/>
        <v>1256337</v>
      </c>
      <c r="U313" s="449">
        <f t="shared" si="101"/>
        <v>1322941</v>
      </c>
      <c r="V313" s="450" t="str">
        <f t="shared" si="102"/>
        <v/>
      </c>
      <c r="W313" s="450" t="str">
        <f>IF(R313=0,"-",SUMIFS($R$2:R313,$A$2:A313,A313,$C$2:C313,C313)/SUMIFS($J$2:J313,$A$2:A313,A313,$C$2:C313,C313)-1)</f>
        <v>-</v>
      </c>
      <c r="X313" s="450" t="str">
        <f t="shared" si="103"/>
        <v/>
      </c>
      <c r="Y313" s="450" t="str">
        <f>IFERROR(IF(R313=0,"-",SUMIFS($R$2:R313,$A$2:A313,A313,$C$2:C313,C313)/SUMIFS($N$2:N313,$A$2:A313,A313,$C$2:C313,C313)-1),"")</f>
        <v>-</v>
      </c>
      <c r="Z313" s="269" t="str">
        <f>IF(R313=0,"",(S313/VLOOKUP(_xlfn.NUMBERVALUE(_xlfn.CONCAT(LEFT(F313,4),52)),$F$2:T520,COLUMNS($F$2:T520),FALSE)))</f>
        <v/>
      </c>
      <c r="AA313" s="269" t="str">
        <f>IFERROR(IF(R313=0,"",(S313/VLOOKUP(_xlfn.NUMBERVALUE(_xlfn.CONCAT(LEFT(F313,4),52)),$F$2:U520,COLUMNS($F$2:U520),FALSE))),"")</f>
        <v/>
      </c>
      <c r="AB313" s="268" t="str">
        <f t="shared" si="104"/>
        <v/>
      </c>
      <c r="AC313" s="450" t="str">
        <f t="shared" si="105"/>
        <v/>
      </c>
      <c r="AD313" s="450" t="str">
        <f t="shared" si="106"/>
        <v/>
      </c>
      <c r="AE313" s="269" t="str">
        <f t="shared" si="107"/>
        <v/>
      </c>
      <c r="AF313" s="268" t="str">
        <f t="shared" si="108"/>
        <v/>
      </c>
      <c r="AG313" s="450" t="str">
        <f t="shared" si="109"/>
        <v/>
      </c>
      <c r="AH313" s="450" t="str">
        <f t="shared" si="110"/>
        <v/>
      </c>
      <c r="AI313" s="269" t="str">
        <f t="shared" si="111"/>
        <v/>
      </c>
      <c r="AJ313" s="450" t="str">
        <f>IF(O313=0,"-",SUMIFS($O$2:O313,$A$2:A313,$A313,$F$2:F313,"&lt;="&amp;$F313)/SUMIFS($G$2:G313,$A$2:A313,$A313,$F$2:F313,"&lt;="&amp;$F313)-1)</f>
        <v>-</v>
      </c>
      <c r="AK313" s="450" t="str">
        <f>IF(P313=0,"-",SUMIFS($P$2:P313,$A$2:A313,$A313,$F$2:F313,"&lt;="&amp;$F313)/SUMIFS($H$2:H313,$A$2:A313,$A313,$F$2:F313,"&lt;="&amp;$F313)-1)</f>
        <v>-</v>
      </c>
      <c r="AL313" s="450" t="str">
        <f>IF(Q313=0,"-",SUMIFS($Q$2:Q313,$A$2:A313,$A313,$F$2:F313,"&lt;="&amp;$F313)/SUMIFS($I$2:I313,$A$2:A313,$A313,$F$2:F313,"&lt;="&amp;$F313)-1)</f>
        <v>-</v>
      </c>
      <c r="AM313" s="450" t="str">
        <f>IFERROR(IF(O313=0,"-",SUMIFS($O$2:O313,$A$2:A313,$A313,$F$2:F313,"&lt;="&amp;$F313)/SUMIFS($K$2:K313,$A$2:A313,$A313,$F$2:F313,"&lt;="&amp;$F313)-1),"")</f>
        <v>-</v>
      </c>
      <c r="AN313" s="450" t="str">
        <f>IFERROR(IF(P313=0,"-",SUMIFS($P$2:P313,$A$2:A313,$A313,$F$2:F313,"&lt;="&amp;$F313)/SUMIFS($L$2:L313,$A$2:A313,$A313,$F$2:F313,"&lt;="&amp;$F313)-1),"")</f>
        <v>-</v>
      </c>
      <c r="AO313" s="269" t="str">
        <f>IFERROR(IF(Q313=0,"-",SUMIFS($Q$2:Q313,$A$2:A313,$A313,$F$2:F313,"&lt;="&amp;$F313)/SUMIFS($M$2:M313,$A$2:A313,$A313,$F$2:F313,"&lt;="&amp;$F313)-1),"")</f>
        <v>-</v>
      </c>
      <c r="AP313" s="134"/>
      <c r="AQ313" s="452" t="str">
        <f>'Overall Metrics'!AO318</f>
        <v/>
      </c>
      <c r="AR313" s="450" t="str">
        <f t="shared" si="112"/>
        <v/>
      </c>
      <c r="AS313" s="453" t="str">
        <f>IFERROR(IF(R314=0,"-",AVERAGEIFS($AQ$2:AQ313,$A$2:A313,$A313,$F$2:F313,"&lt;="&amp;$F313)-AVERAGEIFS($AP$2:AP313,$A$2:A313,$A313,$F$2:F313,"&lt;="&amp;$F313)),"")</f>
        <v>-</v>
      </c>
      <c r="AT313" s="390" t="str">
        <f>IFERROR(IF(R314=0,"-",AVERAGEIFS($AQ$2:AQ313,$A$2:A313,A313,$C$2:C313,C313)-AVERAGEIFS($AP$2:AP313,$A$2:A313,A313,$C$2:C313,C313)),"")</f>
        <v>-</v>
      </c>
      <c r="AU313" s="451"/>
      <c r="AV313" s="452">
        <f>'Overall Metrics'!AS318</f>
        <v>0</v>
      </c>
      <c r="AW313" s="450" t="str">
        <f t="shared" si="119"/>
        <v/>
      </c>
      <c r="AX313" s="453" t="str">
        <f>IFERROR(IF(R317=0,"-",AVERAGEIFS($AV$2:AV313,$A$2:A313,$A313,$F$2:F313,"&lt;="&amp;$F313)-AVERAGEIFS($AU$2:AU313,$A$2:A313,$A313,$F$2:F313,"&lt;="&amp;$F313)),"")</f>
        <v>-</v>
      </c>
      <c r="AY313" s="390" t="str">
        <f>IFERROR(IF(R317=0,"-",AVERAGEIFS($AV$2:AV313,$A$2:A313,A313,$C$2:C313,C313)-AVERAGEIFS($AU$2:AU313,$A$2:A313,A313,$C$2:C313,C313)),"")</f>
        <v>-</v>
      </c>
      <c r="AZ313" s="103"/>
      <c r="BA313" s="449">
        <f>'Glass Metrics'!AC318</f>
        <v>0</v>
      </c>
      <c r="BB313" s="450" t="str">
        <f t="shared" si="113"/>
        <v/>
      </c>
      <c r="BC313" s="450" t="str">
        <f>IFERROR(IF(R313=0,"-",AVERAGEIFS($BA$2:BA313,$A$2:A313,$A313,$F$2:F313,"&lt;="&amp;$F313)/AVERAGEIFS($AZ$2:AZ313,$A$2:A313,$A313,$F$2:F313,"&lt;="&amp;$F313)-1),"")</f>
        <v>-</v>
      </c>
      <c r="BD313" s="269" t="str">
        <f>IFERROR(IF(R313=0,"-",AVERAGEIFS($BA$2:BA313,$A$2:A313,A313,$C$2:C313,C313)/AVERAGEIFS($AZ$2:AZ313,$A$2:A313,A313,$C$2:C313,C313)-1),"")</f>
        <v>-</v>
      </c>
    </row>
    <row r="314" spans="1:56" ht="15.75" customHeight="1" thickBot="1">
      <c r="A314" s="176">
        <f t="shared" si="93"/>
        <v>2026</v>
      </c>
      <c r="B314" s="332" t="str">
        <f t="shared" si="94"/>
        <v>52</v>
      </c>
      <c r="C314" s="332" t="str">
        <f t="array" ref="C314">_xlfn.IFS(_xlfn.NUMBERVALUE(B314)&lt;=13,"Q1",AND(_xlfn.NUMBERVALUE(B314)&gt;13,_xlfn.NUMBERVALUE(B314)&lt;=26),"Q2", AND(_xlfn.NUMBERVALUE(B314)&gt;26,_xlfn.NUMBERVALUE(B314)&lt;=39),"Q3",_xlfn.NUMBERVALUE(B314)&gt;39,"Q4")</f>
        <v>Q4</v>
      </c>
      <c r="D314" s="178">
        <f t="shared" si="114"/>
        <v>46046</v>
      </c>
      <c r="E314" s="178">
        <f t="shared" si="95"/>
        <v>46052</v>
      </c>
      <c r="F314" s="88">
        <v>202552</v>
      </c>
      <c r="G314" s="104"/>
      <c r="H314" s="105"/>
      <c r="I314" s="105"/>
      <c r="J314" s="215">
        <f t="shared" si="96"/>
        <v>0</v>
      </c>
      <c r="K314" s="105"/>
      <c r="L314" s="105"/>
      <c r="M314" s="105"/>
      <c r="N314" s="215">
        <f t="shared" si="97"/>
        <v>0</v>
      </c>
      <c r="O314" s="189">
        <f>'Overall Metrics'!L319</f>
        <v>0</v>
      </c>
      <c r="P314" s="189">
        <f>'Overall Metrics'!M319</f>
        <v>0</v>
      </c>
      <c r="Q314" s="189">
        <f>'Overall Metrics'!N319</f>
        <v>0</v>
      </c>
      <c r="R314" s="189">
        <f t="shared" si="98"/>
        <v>0</v>
      </c>
      <c r="S314" s="181">
        <f t="shared" si="99"/>
        <v>0</v>
      </c>
      <c r="T314" s="189">
        <f t="shared" si="100"/>
        <v>1256337</v>
      </c>
      <c r="U314" s="189">
        <f t="shared" si="101"/>
        <v>1322941</v>
      </c>
      <c r="V314" s="271" t="str">
        <f t="shared" si="102"/>
        <v/>
      </c>
      <c r="W314" s="271" t="str">
        <f>IF(R314=0,"-",SUMIFS($R$2:R314,$A$2:A314,A314,$C$2:C314,C314)/SUMIFS($J$2:J314,$A$2:A314,A314,$C$2:C314,C314)-1)</f>
        <v>-</v>
      </c>
      <c r="X314" s="271" t="str">
        <f t="shared" si="103"/>
        <v/>
      </c>
      <c r="Y314" s="271" t="str">
        <f>IFERROR(IF(R314=0,"-",SUMIFS($R$2:R314,$A$2:A314,A314,$C$2:C314,C314)/SUMIFS($N$2:N314,$A$2:A314,A314,$C$2:C314,C314)-1),"")</f>
        <v>-</v>
      </c>
      <c r="Z314" s="272" t="str">
        <f>IF(R314=0,"",(S314/VLOOKUP(_xlfn.NUMBERVALUE(_xlfn.CONCAT(LEFT(F314,4),52)),$F$2:T521,COLUMNS($F$2:T521),FALSE)))</f>
        <v/>
      </c>
      <c r="AA314" s="272" t="str">
        <f>IFERROR(IF(R314=0,"",(S314/VLOOKUP(_xlfn.NUMBERVALUE(_xlfn.CONCAT(LEFT(F314,4),52)),$F$2:U521,COLUMNS($F$2:U521),FALSE))),"")</f>
        <v/>
      </c>
      <c r="AB314" s="270" t="str">
        <f t="shared" si="104"/>
        <v/>
      </c>
      <c r="AC314" s="271" t="str">
        <f t="shared" si="105"/>
        <v/>
      </c>
      <c r="AD314" s="271" t="str">
        <f t="shared" si="106"/>
        <v/>
      </c>
      <c r="AE314" s="272" t="str">
        <f t="shared" si="107"/>
        <v/>
      </c>
      <c r="AF314" s="270" t="str">
        <f t="shared" si="108"/>
        <v/>
      </c>
      <c r="AG314" s="271" t="str">
        <f t="shared" si="109"/>
        <v/>
      </c>
      <c r="AH314" s="271" t="str">
        <f t="shared" si="110"/>
        <v/>
      </c>
      <c r="AI314" s="272" t="str">
        <f t="shared" si="111"/>
        <v/>
      </c>
      <c r="AJ314" s="271" t="str">
        <f>IF(O314=0,"-",SUMIFS($O$2:O314,$A$2:A314,$A314,$F$2:F314,"&lt;="&amp;$F314)/SUMIFS($G$2:G314,$A$2:A314,$A314,$F$2:F314,"&lt;="&amp;$F314)-1)</f>
        <v>-</v>
      </c>
      <c r="AK314" s="271" t="str">
        <f>IF(P314=0,"-",SUMIFS($P$2:P314,$A$2:A314,$A314,$F$2:F314,"&lt;="&amp;$F314)/SUMIFS($H$2:H314,$A$2:A314,$A314,$F$2:F314,"&lt;="&amp;$F314)-1)</f>
        <v>-</v>
      </c>
      <c r="AL314" s="271" t="str">
        <f>IF(Q314=0,"-",SUMIFS($Q$2:Q314,$A$2:A314,$A314,$F$2:F314,"&lt;="&amp;$F314)/SUMIFS($I$2:I314,$A$2:A314,$A314,$F$2:F314,"&lt;="&amp;$F314)-1)</f>
        <v>-</v>
      </c>
      <c r="AM314" s="271" t="str">
        <f>IFERROR(IF(O314=0,"-",SUMIFS($O$2:O314,$A$2:A314,$A314,$F$2:F314,"&lt;="&amp;$F314)/SUMIFS($K$2:K314,$A$2:A314,$A314,$F$2:F314,"&lt;="&amp;$F314)-1),"")</f>
        <v>-</v>
      </c>
      <c r="AN314" s="271" t="str">
        <f>IFERROR(IF(P314=0,"-",SUMIFS($P$2:P314,$A$2:A314,$A314,$F$2:F314,"&lt;="&amp;$F314)/SUMIFS($L$2:L314,$A$2:A314,$A314,$F$2:F314,"&lt;="&amp;$F314)-1),"")</f>
        <v>-</v>
      </c>
      <c r="AO314" s="272" t="str">
        <f>IFERROR(IF(Q314=0,"-",SUMIFS($Q$2:Q314,$A$2:A314,$A314,$F$2:F314,"&lt;="&amp;$F314)/SUMIFS($M$2:M314,$A$2:A314,$A314,$F$2:F314,"&lt;="&amp;$F314)-1),"")</f>
        <v>-</v>
      </c>
      <c r="AP314" s="784"/>
      <c r="AQ314" s="785" t="str">
        <f>'Overall Metrics'!AO319</f>
        <v/>
      </c>
      <c r="AR314" s="271" t="str">
        <f t="shared" si="112"/>
        <v/>
      </c>
      <c r="AS314" s="190" t="str">
        <f>IFERROR(IF(R315=0,"-",AVERAGEIFS($AQ$2:AQ314,$A$2:A314,$A314,$F$2:F314,"&lt;="&amp;$F314)-AVERAGEIFS($AP$2:AP314,$A$2:A314,$A314,$F$2:F314,"&lt;="&amp;$F314)),"")</f>
        <v>-</v>
      </c>
      <c r="AT314" s="391" t="str">
        <f>IFERROR(IF(R315=0,"-",AVERAGEIFS($AQ$2:AQ314,$A$2:A314,A314,$C$2:C314,C314)-AVERAGEIFS($AP$2:AP314,$A$2:A314,A314,$C$2:C314,C314)),"")</f>
        <v>-</v>
      </c>
      <c r="AU314" s="784"/>
      <c r="AV314" s="785">
        <f>'Overall Metrics'!AS319</f>
        <v>0</v>
      </c>
      <c r="AW314" s="271" t="str">
        <f t="shared" si="119"/>
        <v/>
      </c>
      <c r="AX314" s="190" t="str">
        <f>IFERROR(IF(R318=0,"-",AVERAGEIFS($AV$2:AV314,$A$2:A314,$A314,$F$2:F314,"&lt;="&amp;$F314)-AVERAGEIFS($AU$2:AU314,$A$2:A314,$A314,$F$2:F314,"&lt;="&amp;$F314)),"")</f>
        <v>-</v>
      </c>
      <c r="AY314" s="391" t="str">
        <f>IFERROR(IF(R318=0,"-",AVERAGEIFS($AV$2:AV314,$A$2:A314,A314,$C$2:C314,C314)-AVERAGEIFS($AU$2:AU314,$A$2:A314,A314,$C$2:C314,C314)),"")</f>
        <v>-</v>
      </c>
      <c r="AZ314" s="104"/>
      <c r="BA314" s="189">
        <f>'Glass Metrics'!AC319</f>
        <v>0</v>
      </c>
      <c r="BB314" s="271" t="str">
        <f t="shared" si="113"/>
        <v/>
      </c>
      <c r="BC314" s="271" t="str">
        <f>IFERROR(IF(R314=0,"-",AVERAGEIFS($BA$2:BA314,$A$2:A314,$A314,$F$2:F314,"&lt;="&amp;$F314)/AVERAGEIFS($AZ$2:AZ314,$A$2:A314,$A314,$F$2:F314,"&lt;="&amp;$F314)-1),"")</f>
        <v>-</v>
      </c>
      <c r="BD314" s="272" t="str">
        <f>IFERROR(IF(R314=0,"-",AVERAGEIFS($BA$2:BA314,$A$2:A314,A314,$C$2:C314,C314)/AVERAGEIFS($AZ$2:AZ314,$A$2:A314,A314,$C$2:C314,C314)-1),"")</f>
        <v>-</v>
      </c>
    </row>
    <row r="315" spans="1:56">
      <c r="G315" s="327"/>
      <c r="H315" s="315"/>
      <c r="I315" s="328"/>
      <c r="J315" s="19"/>
      <c r="K315" s="327"/>
      <c r="L315" s="315"/>
      <c r="M315" s="328"/>
      <c r="N315" s="19"/>
    </row>
  </sheetData>
  <pageMargins left="0.7" right="0.7" top="0.75" bottom="0.75" header="0.3" footer="0.3"/>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250"/>
  <sheetViews>
    <sheetView showGridLines="0" zoomScale="80" zoomScaleNormal="80" workbookViewId="0">
      <selection activeCell="B136" sqref="B136"/>
    </sheetView>
  </sheetViews>
  <sheetFormatPr defaultColWidth="8.5703125" defaultRowHeight="14.25"/>
  <cols>
    <col min="1" max="1" width="45.5703125" style="413" bestFit="1" customWidth="1"/>
    <col min="2" max="2" width="142.42578125" style="413" bestFit="1" customWidth="1"/>
    <col min="3" max="5" width="8.5703125" style="413" customWidth="1"/>
    <col min="6" max="6" width="25.42578125" style="413" customWidth="1"/>
    <col min="7" max="65" width="8.5703125" style="413" customWidth="1"/>
    <col min="66" max="16384" width="8.5703125" style="413"/>
  </cols>
  <sheetData>
    <row r="1" spans="1:7" ht="17.100000000000001" customHeight="1" thickBot="1">
      <c r="A1" s="416" t="s">
        <v>458</v>
      </c>
      <c r="B1" s="416" t="s">
        <v>459</v>
      </c>
    </row>
    <row r="2" spans="1:7">
      <c r="A2" s="414" t="s">
        <v>41</v>
      </c>
      <c r="B2" s="414" t="s">
        <v>460</v>
      </c>
    </row>
    <row r="3" spans="1:7">
      <c r="A3" s="414" t="s">
        <v>44</v>
      </c>
      <c r="B3" s="414" t="s">
        <v>461</v>
      </c>
    </row>
    <row r="4" spans="1:7">
      <c r="A4" s="414" t="s">
        <v>177</v>
      </c>
      <c r="B4" s="414" t="s">
        <v>462</v>
      </c>
      <c r="F4" s="413" t="s">
        <v>463</v>
      </c>
    </row>
    <row r="5" spans="1:7">
      <c r="A5" s="414" t="s">
        <v>47</v>
      </c>
      <c r="B5" s="414" t="s">
        <v>464</v>
      </c>
      <c r="F5" s="413" t="s">
        <v>465</v>
      </c>
      <c r="G5" s="413" t="s">
        <v>466</v>
      </c>
    </row>
    <row r="6" spans="1:7">
      <c r="A6" s="414" t="s">
        <v>48</v>
      </c>
      <c r="B6" s="414" t="s">
        <v>467</v>
      </c>
      <c r="F6" s="413" t="s">
        <v>468</v>
      </c>
    </row>
    <row r="7" spans="1:7">
      <c r="A7" s="414" t="s">
        <v>178</v>
      </c>
      <c r="B7" s="414" t="s">
        <v>469</v>
      </c>
      <c r="F7" s="413" t="s">
        <v>470</v>
      </c>
      <c r="G7" s="413" t="s">
        <v>471</v>
      </c>
    </row>
    <row r="8" spans="1:7">
      <c r="A8" s="414" t="s">
        <v>50</v>
      </c>
      <c r="B8" s="414" t="s">
        <v>472</v>
      </c>
      <c r="F8" s="413" t="s">
        <v>473</v>
      </c>
      <c r="G8" s="413" t="s">
        <v>474</v>
      </c>
    </row>
    <row r="9" spans="1:7">
      <c r="A9" s="414" t="s">
        <v>54</v>
      </c>
      <c r="B9" s="414" t="s">
        <v>475</v>
      </c>
      <c r="F9" s="413" t="s">
        <v>476</v>
      </c>
      <c r="G9" s="413" t="s">
        <v>477</v>
      </c>
    </row>
    <row r="10" spans="1:7">
      <c r="A10" s="414" t="s">
        <v>52</v>
      </c>
      <c r="B10" s="414" t="s">
        <v>478</v>
      </c>
      <c r="F10" s="413" t="s">
        <v>479</v>
      </c>
      <c r="G10" s="413" t="s">
        <v>480</v>
      </c>
    </row>
    <row r="11" spans="1:7">
      <c r="A11" s="414" t="s">
        <v>181</v>
      </c>
      <c r="B11" s="414" t="s">
        <v>481</v>
      </c>
      <c r="F11" s="413" t="s">
        <v>482</v>
      </c>
      <c r="G11" s="413" t="s">
        <v>483</v>
      </c>
    </row>
    <row r="12" spans="1:7">
      <c r="A12" s="414" t="s">
        <v>182</v>
      </c>
      <c r="B12" s="414" t="s">
        <v>484</v>
      </c>
      <c r="F12" s="413" t="s">
        <v>485</v>
      </c>
      <c r="G12" s="413" t="s">
        <v>486</v>
      </c>
    </row>
    <row r="13" spans="1:7">
      <c r="A13" s="414" t="s">
        <v>56</v>
      </c>
      <c r="B13" s="414" t="s">
        <v>487</v>
      </c>
      <c r="F13" s="413" t="s">
        <v>488</v>
      </c>
      <c r="G13" s="413" t="s">
        <v>489</v>
      </c>
    </row>
    <row r="14" spans="1:7">
      <c r="A14" s="414" t="s">
        <v>59</v>
      </c>
      <c r="B14" s="414" t="s">
        <v>490</v>
      </c>
    </row>
    <row r="15" spans="1:7">
      <c r="A15" s="414" t="s">
        <v>62</v>
      </c>
      <c r="B15" s="414" t="s">
        <v>491</v>
      </c>
    </row>
    <row r="16" spans="1:7">
      <c r="A16" s="414" t="s">
        <v>492</v>
      </c>
      <c r="B16" s="414" t="s">
        <v>493</v>
      </c>
    </row>
    <row r="17" spans="1:2">
      <c r="A17" s="414" t="s">
        <v>494</v>
      </c>
      <c r="B17" s="414" t="s">
        <v>495</v>
      </c>
    </row>
    <row r="18" spans="1:2">
      <c r="A18" s="414" t="s">
        <v>187</v>
      </c>
      <c r="B18" s="414" t="s">
        <v>496</v>
      </c>
    </row>
    <row r="19" spans="1:2">
      <c r="A19" s="414" t="s">
        <v>71</v>
      </c>
      <c r="B19" s="414" t="s">
        <v>497</v>
      </c>
    </row>
    <row r="20" spans="1:2">
      <c r="A20" s="414" t="s">
        <v>189</v>
      </c>
      <c r="B20" s="414" t="s">
        <v>498</v>
      </c>
    </row>
    <row r="21" spans="1:2">
      <c r="A21" s="414" t="s">
        <v>190</v>
      </c>
      <c r="B21" s="414" t="s">
        <v>499</v>
      </c>
    </row>
    <row r="22" spans="1:2">
      <c r="A22" s="414" t="s">
        <v>191</v>
      </c>
      <c r="B22" s="414" t="s">
        <v>500</v>
      </c>
    </row>
    <row r="23" spans="1:2">
      <c r="A23" s="414" t="s">
        <v>192</v>
      </c>
      <c r="B23" s="414" t="s">
        <v>501</v>
      </c>
    </row>
    <row r="24" spans="1:2">
      <c r="A24" s="414" t="s">
        <v>193</v>
      </c>
      <c r="B24" s="414" t="s">
        <v>502</v>
      </c>
    </row>
    <row r="25" spans="1:2">
      <c r="A25" s="414" t="s">
        <v>194</v>
      </c>
      <c r="B25" s="414" t="s">
        <v>503</v>
      </c>
    </row>
    <row r="26" spans="1:2">
      <c r="A26" s="414" t="s">
        <v>195</v>
      </c>
      <c r="B26" s="414" t="s">
        <v>504</v>
      </c>
    </row>
    <row r="27" spans="1:2">
      <c r="A27" s="414" t="s">
        <v>196</v>
      </c>
      <c r="B27" s="414" t="s">
        <v>505</v>
      </c>
    </row>
    <row r="28" spans="1:2">
      <c r="A28" s="414" t="s">
        <v>197</v>
      </c>
      <c r="B28" s="414" t="s">
        <v>506</v>
      </c>
    </row>
    <row r="29" spans="1:2">
      <c r="A29" s="414" t="s">
        <v>84</v>
      </c>
      <c r="B29" s="414" t="s">
        <v>507</v>
      </c>
    </row>
    <row r="30" spans="1:2">
      <c r="A30" s="414" t="s">
        <v>109</v>
      </c>
      <c r="B30" s="414" t="s">
        <v>508</v>
      </c>
    </row>
    <row r="31" spans="1:2">
      <c r="A31" s="414" t="s">
        <v>113</v>
      </c>
      <c r="B31" s="414" t="s">
        <v>509</v>
      </c>
    </row>
    <row r="32" spans="1:2">
      <c r="A32" s="414" t="s">
        <v>198</v>
      </c>
      <c r="B32" s="414" t="s">
        <v>510</v>
      </c>
    </row>
    <row r="33" spans="1:2">
      <c r="A33" s="414" t="s">
        <v>199</v>
      </c>
      <c r="B33" s="414" t="s">
        <v>511</v>
      </c>
    </row>
    <row r="34" spans="1:2">
      <c r="A34" s="414" t="s">
        <v>512</v>
      </c>
      <c r="B34" s="414" t="s">
        <v>513</v>
      </c>
    </row>
    <row r="35" spans="1:2">
      <c r="A35" s="414" t="s">
        <v>361</v>
      </c>
      <c r="B35" s="414" t="s">
        <v>514</v>
      </c>
    </row>
    <row r="36" spans="1:2">
      <c r="A36" s="414" t="s">
        <v>515</v>
      </c>
      <c r="B36" s="414" t="s">
        <v>516</v>
      </c>
    </row>
    <row r="37" spans="1:2">
      <c r="A37" s="414" t="s">
        <v>203</v>
      </c>
      <c r="B37" s="414" t="s">
        <v>517</v>
      </c>
    </row>
    <row r="38" spans="1:2">
      <c r="A38" s="414" t="s">
        <v>204</v>
      </c>
      <c r="B38" s="414" t="s">
        <v>518</v>
      </c>
    </row>
    <row r="39" spans="1:2">
      <c r="A39" s="414" t="s">
        <v>205</v>
      </c>
      <c r="B39" s="414" t="s">
        <v>519</v>
      </c>
    </row>
    <row r="40" spans="1:2">
      <c r="A40" s="414" t="s">
        <v>206</v>
      </c>
      <c r="B40" s="414" t="s">
        <v>520</v>
      </c>
    </row>
    <row r="41" spans="1:2">
      <c r="A41" s="414" t="s">
        <v>207</v>
      </c>
      <c r="B41" s="414" t="s">
        <v>521</v>
      </c>
    </row>
    <row r="42" spans="1:2">
      <c r="A42" s="414" t="s">
        <v>208</v>
      </c>
      <c r="B42" s="414" t="s">
        <v>522</v>
      </c>
    </row>
    <row r="43" spans="1:2">
      <c r="A43" s="414" t="s">
        <v>209</v>
      </c>
      <c r="B43" s="414" t="s">
        <v>523</v>
      </c>
    </row>
    <row r="44" spans="1:2">
      <c r="A44" s="414" t="s">
        <v>210</v>
      </c>
      <c r="B44" s="414" t="s">
        <v>524</v>
      </c>
    </row>
    <row r="45" spans="1:2">
      <c r="A45" s="414" t="s">
        <v>211</v>
      </c>
      <c r="B45" s="414" t="s">
        <v>525</v>
      </c>
    </row>
    <row r="46" spans="1:2">
      <c r="A46" s="414" t="s">
        <v>212</v>
      </c>
      <c r="B46" s="414" t="s">
        <v>526</v>
      </c>
    </row>
    <row r="47" spans="1:2">
      <c r="A47" s="414" t="s">
        <v>213</v>
      </c>
      <c r="B47" s="414" t="s">
        <v>527</v>
      </c>
    </row>
    <row r="48" spans="1:2">
      <c r="A48" s="414" t="s">
        <v>214</v>
      </c>
      <c r="B48" s="414" t="s">
        <v>528</v>
      </c>
    </row>
    <row r="49" spans="1:2">
      <c r="A49" s="414" t="s">
        <v>215</v>
      </c>
      <c r="B49" s="414" t="s">
        <v>529</v>
      </c>
    </row>
    <row r="50" spans="1:2">
      <c r="A50" s="414" t="s">
        <v>216</v>
      </c>
      <c r="B50" s="414" t="s">
        <v>530</v>
      </c>
    </row>
    <row r="51" spans="1:2">
      <c r="A51" s="414" t="s">
        <v>217</v>
      </c>
      <c r="B51" s="414" t="s">
        <v>531</v>
      </c>
    </row>
    <row r="52" spans="1:2">
      <c r="A52" s="414" t="s">
        <v>218</v>
      </c>
      <c r="B52" s="414" t="s">
        <v>532</v>
      </c>
    </row>
    <row r="53" spans="1:2">
      <c r="A53" s="414" t="s">
        <v>58</v>
      </c>
      <c r="B53" s="414" t="s">
        <v>533</v>
      </c>
    </row>
    <row r="54" spans="1:2">
      <c r="A54" s="414" t="s">
        <v>57</v>
      </c>
      <c r="B54" s="414" t="s">
        <v>534</v>
      </c>
    </row>
    <row r="55" spans="1:2">
      <c r="A55" s="414" t="s">
        <v>61</v>
      </c>
      <c r="B55" s="414" t="s">
        <v>535</v>
      </c>
    </row>
    <row r="56" spans="1:2">
      <c r="A56" s="414" t="s">
        <v>60</v>
      </c>
      <c r="B56" s="414" t="s">
        <v>536</v>
      </c>
    </row>
    <row r="57" spans="1:2">
      <c r="A57" s="414" t="s">
        <v>223</v>
      </c>
      <c r="B57" s="414" t="s">
        <v>537</v>
      </c>
    </row>
    <row r="58" spans="1:2">
      <c r="A58" s="414" t="s">
        <v>63</v>
      </c>
      <c r="B58" s="414" t="s">
        <v>538</v>
      </c>
    </row>
    <row r="59" spans="1:2">
      <c r="A59" s="414" t="s">
        <v>224</v>
      </c>
      <c r="B59" s="414" t="s">
        <v>539</v>
      </c>
    </row>
    <row r="60" spans="1:2">
      <c r="A60" s="414" t="s">
        <v>225</v>
      </c>
      <c r="B60" s="414" t="s">
        <v>540</v>
      </c>
    </row>
    <row r="61" spans="1:2">
      <c r="A61" s="414" t="s">
        <v>226</v>
      </c>
      <c r="B61" s="414" t="s">
        <v>541</v>
      </c>
    </row>
    <row r="62" spans="1:2">
      <c r="A62" s="414" t="s">
        <v>227</v>
      </c>
      <c r="B62" s="414" t="s">
        <v>542</v>
      </c>
    </row>
    <row r="63" spans="1:2">
      <c r="A63" s="414" t="s">
        <v>228</v>
      </c>
      <c r="B63" s="414" t="s">
        <v>543</v>
      </c>
    </row>
    <row r="64" spans="1:2">
      <c r="A64" s="414" t="s">
        <v>229</v>
      </c>
      <c r="B64" s="414" t="s">
        <v>544</v>
      </c>
    </row>
    <row r="65" spans="1:2">
      <c r="A65" s="414" t="s">
        <v>234</v>
      </c>
      <c r="B65" s="414" t="s">
        <v>545</v>
      </c>
    </row>
    <row r="66" spans="1:2">
      <c r="A66" s="414" t="s">
        <v>235</v>
      </c>
      <c r="B66" s="414" t="s">
        <v>546</v>
      </c>
    </row>
    <row r="67" spans="1:2">
      <c r="A67" s="414" t="s">
        <v>236</v>
      </c>
      <c r="B67" s="414" t="s">
        <v>547</v>
      </c>
    </row>
    <row r="68" spans="1:2">
      <c r="A68" s="414" t="s">
        <v>237</v>
      </c>
      <c r="B68" s="414" t="s">
        <v>548</v>
      </c>
    </row>
    <row r="69" spans="1:2">
      <c r="A69" s="414" t="s">
        <v>238</v>
      </c>
      <c r="B69" s="414" t="s">
        <v>549</v>
      </c>
    </row>
    <row r="70" spans="1:2">
      <c r="A70" s="414" t="s">
        <v>239</v>
      </c>
      <c r="B70" s="414" t="s">
        <v>550</v>
      </c>
    </row>
    <row r="71" spans="1:2">
      <c r="A71" s="414" t="s">
        <v>240</v>
      </c>
      <c r="B71" s="414" t="s">
        <v>551</v>
      </c>
    </row>
    <row r="72" spans="1:2">
      <c r="A72" s="414" t="s">
        <v>241</v>
      </c>
      <c r="B72" s="414" t="s">
        <v>552</v>
      </c>
    </row>
    <row r="73" spans="1:2">
      <c r="A73" s="414" t="s">
        <v>242</v>
      </c>
      <c r="B73" s="414" t="s">
        <v>553</v>
      </c>
    </row>
    <row r="74" spans="1:2">
      <c r="A74" s="414" t="s">
        <v>243</v>
      </c>
      <c r="B74" s="414" t="s">
        <v>554</v>
      </c>
    </row>
    <row r="75" spans="1:2">
      <c r="A75" s="414" t="s">
        <v>244</v>
      </c>
      <c r="B75" s="414" t="s">
        <v>555</v>
      </c>
    </row>
    <row r="76" spans="1:2">
      <c r="A76" s="414" t="s">
        <v>245</v>
      </c>
      <c r="B76" s="414" t="s">
        <v>556</v>
      </c>
    </row>
    <row r="77" spans="1:2">
      <c r="A77" s="414" t="s">
        <v>246</v>
      </c>
      <c r="B77" s="414" t="s">
        <v>557</v>
      </c>
    </row>
    <row r="78" spans="1:2">
      <c r="A78" s="414" t="s">
        <v>247</v>
      </c>
      <c r="B78" s="414" t="s">
        <v>558</v>
      </c>
    </row>
    <row r="79" spans="1:2">
      <c r="A79" s="414" t="s">
        <v>248</v>
      </c>
      <c r="B79" s="414" t="s">
        <v>559</v>
      </c>
    </row>
    <row r="80" spans="1:2">
      <c r="A80" s="414" t="s">
        <v>252</v>
      </c>
      <c r="B80" s="414" t="s">
        <v>560</v>
      </c>
    </row>
    <row r="81" spans="1:2">
      <c r="A81" s="414" t="s">
        <v>253</v>
      </c>
      <c r="B81" s="414" t="s">
        <v>561</v>
      </c>
    </row>
    <row r="82" spans="1:2">
      <c r="A82" s="414" t="s">
        <v>62</v>
      </c>
      <c r="B82" s="414" t="s">
        <v>491</v>
      </c>
    </row>
    <row r="83" spans="1:2">
      <c r="A83" s="414" t="s">
        <v>255</v>
      </c>
      <c r="B83" s="414" t="s">
        <v>562</v>
      </c>
    </row>
    <row r="84" spans="1:2">
      <c r="A84" s="414" t="s">
        <v>256</v>
      </c>
      <c r="B84" s="414" t="s">
        <v>563</v>
      </c>
    </row>
    <row r="85" spans="1:2">
      <c r="A85" s="414" t="s">
        <v>257</v>
      </c>
      <c r="B85" s="414" t="s">
        <v>564</v>
      </c>
    </row>
    <row r="86" spans="1:2">
      <c r="A86" s="414" t="s">
        <v>258</v>
      </c>
      <c r="B86" s="414" t="s">
        <v>565</v>
      </c>
    </row>
    <row r="87" spans="1:2">
      <c r="A87" s="414" t="s">
        <v>259</v>
      </c>
      <c r="B87" s="414" t="s">
        <v>566</v>
      </c>
    </row>
    <row r="88" spans="1:2">
      <c r="A88" s="414" t="s">
        <v>260</v>
      </c>
      <c r="B88" s="414" t="s">
        <v>567</v>
      </c>
    </row>
    <row r="89" spans="1:2">
      <c r="A89" s="414" t="s">
        <v>261</v>
      </c>
      <c r="B89" s="414" t="s">
        <v>568</v>
      </c>
    </row>
    <row r="90" spans="1:2">
      <c r="A90" s="414" t="s">
        <v>262</v>
      </c>
      <c r="B90" s="414" t="s">
        <v>569</v>
      </c>
    </row>
    <row r="91" spans="1:2">
      <c r="A91" s="414" t="s">
        <v>263</v>
      </c>
      <c r="B91" s="414" t="s">
        <v>570</v>
      </c>
    </row>
    <row r="92" spans="1:2">
      <c r="A92" s="414" t="s">
        <v>264</v>
      </c>
      <c r="B92" s="414" t="s">
        <v>571</v>
      </c>
    </row>
    <row r="93" spans="1:2">
      <c r="A93" s="414" t="s">
        <v>265</v>
      </c>
      <c r="B93" s="414" t="s">
        <v>572</v>
      </c>
    </row>
    <row r="94" spans="1:2">
      <c r="A94" s="414" t="s">
        <v>266</v>
      </c>
      <c r="B94" s="414" t="s">
        <v>573</v>
      </c>
    </row>
    <row r="95" spans="1:2">
      <c r="A95" s="414" t="s">
        <v>267</v>
      </c>
      <c r="B95" s="414" t="s">
        <v>574</v>
      </c>
    </row>
    <row r="96" spans="1:2">
      <c r="A96" s="414" t="s">
        <v>194</v>
      </c>
      <c r="B96" s="414" t="s">
        <v>503</v>
      </c>
    </row>
    <row r="97" spans="1:2">
      <c r="A97" s="414" t="s">
        <v>575</v>
      </c>
      <c r="B97" s="414" t="s">
        <v>576</v>
      </c>
    </row>
    <row r="98" spans="1:2">
      <c r="A98" s="414" t="s">
        <v>577</v>
      </c>
      <c r="B98" s="414" t="s">
        <v>578</v>
      </c>
    </row>
    <row r="99" spans="1:2">
      <c r="A99" s="414" t="s">
        <v>579</v>
      </c>
      <c r="B99" s="414" t="s">
        <v>580</v>
      </c>
    </row>
    <row r="100" spans="1:2">
      <c r="A100" s="414" t="s">
        <v>581</v>
      </c>
      <c r="B100" s="414" t="s">
        <v>582</v>
      </c>
    </row>
    <row r="101" spans="1:2">
      <c r="A101" s="414" t="s">
        <v>583</v>
      </c>
      <c r="B101" s="414" t="s">
        <v>584</v>
      </c>
    </row>
    <row r="102" spans="1:2">
      <c r="A102" s="414" t="s">
        <v>585</v>
      </c>
      <c r="B102" s="414" t="s">
        <v>586</v>
      </c>
    </row>
    <row r="103" spans="1:2">
      <c r="A103" s="414" t="s">
        <v>587</v>
      </c>
      <c r="B103" s="414" t="s">
        <v>588</v>
      </c>
    </row>
    <row r="104" spans="1:2">
      <c r="A104" s="414" t="s">
        <v>589</v>
      </c>
      <c r="B104" s="414" t="s">
        <v>590</v>
      </c>
    </row>
    <row r="105" spans="1:2">
      <c r="A105" s="414" t="s">
        <v>591</v>
      </c>
      <c r="B105" s="414" t="s">
        <v>592</v>
      </c>
    </row>
    <row r="106" spans="1:2">
      <c r="A106" s="414" t="s">
        <v>593</v>
      </c>
      <c r="B106" s="414" t="s">
        <v>594</v>
      </c>
    </row>
    <row r="107" spans="1:2">
      <c r="A107" s="414" t="s">
        <v>595</v>
      </c>
      <c r="B107" s="414" t="s">
        <v>596</v>
      </c>
    </row>
    <row r="108" spans="1:2">
      <c r="A108" s="414" t="s">
        <v>597</v>
      </c>
      <c r="B108" s="414" t="s">
        <v>598</v>
      </c>
    </row>
    <row r="109" spans="1:2">
      <c r="A109" s="414" t="s">
        <v>599</v>
      </c>
      <c r="B109" s="414" t="s">
        <v>600</v>
      </c>
    </row>
    <row r="110" spans="1:2">
      <c r="A110" s="414" t="s">
        <v>287</v>
      </c>
      <c r="B110" s="414" t="s">
        <v>601</v>
      </c>
    </row>
    <row r="111" spans="1:2">
      <c r="A111" s="414" t="s">
        <v>288</v>
      </c>
      <c r="B111" s="414" t="s">
        <v>602</v>
      </c>
    </row>
    <row r="112" spans="1:2">
      <c r="A112" s="414" t="s">
        <v>289</v>
      </c>
      <c r="B112" s="414" t="s">
        <v>603</v>
      </c>
    </row>
    <row r="113" spans="1:2">
      <c r="A113" s="414" t="s">
        <v>290</v>
      </c>
      <c r="B113" s="414" t="s">
        <v>604</v>
      </c>
    </row>
    <row r="114" spans="1:2">
      <c r="A114" s="414" t="s">
        <v>291</v>
      </c>
      <c r="B114" s="414" t="s">
        <v>605</v>
      </c>
    </row>
    <row r="115" spans="1:2">
      <c r="A115" s="414" t="s">
        <v>292</v>
      </c>
      <c r="B115" s="414" t="s">
        <v>606</v>
      </c>
    </row>
    <row r="116" spans="1:2">
      <c r="A116" s="414" t="s">
        <v>293</v>
      </c>
      <c r="B116" s="414" t="s">
        <v>607</v>
      </c>
    </row>
    <row r="117" spans="1:2">
      <c r="A117" s="414" t="s">
        <v>294</v>
      </c>
      <c r="B117" s="414" t="s">
        <v>608</v>
      </c>
    </row>
    <row r="118" spans="1:2">
      <c r="A118" s="414" t="s">
        <v>295</v>
      </c>
      <c r="B118" s="414" t="s">
        <v>609</v>
      </c>
    </row>
    <row r="119" spans="1:2">
      <c r="A119" s="414" t="s">
        <v>296</v>
      </c>
      <c r="B119" s="414" t="s">
        <v>610</v>
      </c>
    </row>
    <row r="120" spans="1:2">
      <c r="A120" s="414" t="s">
        <v>297</v>
      </c>
      <c r="B120" s="414" t="s">
        <v>611</v>
      </c>
    </row>
    <row r="121" spans="1:2">
      <c r="A121" s="414" t="s">
        <v>612</v>
      </c>
      <c r="B121" s="414" t="s">
        <v>613</v>
      </c>
    </row>
    <row r="122" spans="1:2">
      <c r="A122" s="414" t="s">
        <v>614</v>
      </c>
      <c r="B122" s="414" t="s">
        <v>615</v>
      </c>
    </row>
    <row r="123" spans="1:2">
      <c r="A123" s="414" t="s">
        <v>616</v>
      </c>
      <c r="B123" s="414" t="s">
        <v>617</v>
      </c>
    </row>
    <row r="124" spans="1:2">
      <c r="A124" s="414" t="s">
        <v>618</v>
      </c>
      <c r="B124" s="414" t="s">
        <v>619</v>
      </c>
    </row>
    <row r="125" spans="1:2">
      <c r="A125" s="414" t="s">
        <v>302</v>
      </c>
      <c r="B125" s="414" t="s">
        <v>620</v>
      </c>
    </row>
    <row r="126" spans="1:2">
      <c r="A126" s="414" t="s">
        <v>306</v>
      </c>
      <c r="B126" s="414" t="s">
        <v>621</v>
      </c>
    </row>
    <row r="127" spans="1:2">
      <c r="A127" s="414" t="s">
        <v>307</v>
      </c>
      <c r="B127" s="414" t="s">
        <v>622</v>
      </c>
    </row>
    <row r="128" spans="1:2">
      <c r="A128" s="414" t="s">
        <v>308</v>
      </c>
      <c r="B128" s="414" t="s">
        <v>623</v>
      </c>
    </row>
    <row r="129" spans="1:2">
      <c r="A129" s="414" t="s">
        <v>624</v>
      </c>
      <c r="B129" s="414" t="s">
        <v>625</v>
      </c>
    </row>
    <row r="130" spans="1:2">
      <c r="A130" s="414" t="s">
        <v>626</v>
      </c>
      <c r="B130" s="414" t="s">
        <v>627</v>
      </c>
    </row>
    <row r="131" spans="1:2">
      <c r="A131" s="414" t="s">
        <v>628</v>
      </c>
      <c r="B131" s="414" t="s">
        <v>508</v>
      </c>
    </row>
    <row r="132" spans="1:2">
      <c r="A132" s="414" t="s">
        <v>629</v>
      </c>
      <c r="B132" s="414" t="s">
        <v>630</v>
      </c>
    </row>
    <row r="133" spans="1:2">
      <c r="A133" s="414" t="s">
        <v>631</v>
      </c>
      <c r="B133" s="414" t="s">
        <v>632</v>
      </c>
    </row>
    <row r="134" spans="1:2">
      <c r="A134" s="414" t="s">
        <v>633</v>
      </c>
      <c r="B134" s="414" t="s">
        <v>634</v>
      </c>
    </row>
    <row r="135" spans="1:2">
      <c r="A135" s="414" t="s">
        <v>635</v>
      </c>
      <c r="B135" s="414" t="s">
        <v>636</v>
      </c>
    </row>
    <row r="136" spans="1:2">
      <c r="A136" s="414" t="s">
        <v>113</v>
      </c>
      <c r="B136" s="414" t="s">
        <v>509</v>
      </c>
    </row>
    <row r="137" spans="1:2">
      <c r="A137" s="414" t="s">
        <v>100</v>
      </c>
      <c r="B137" s="414" t="s">
        <v>637</v>
      </c>
    </row>
    <row r="138" spans="1:2">
      <c r="A138" s="414" t="s">
        <v>93</v>
      </c>
      <c r="B138" s="414" t="s">
        <v>638</v>
      </c>
    </row>
    <row r="139" spans="1:2">
      <c r="A139" s="414" t="s">
        <v>639</v>
      </c>
      <c r="B139" s="414" t="s">
        <v>640</v>
      </c>
    </row>
    <row r="140" spans="1:2">
      <c r="A140" s="414" t="s">
        <v>641</v>
      </c>
      <c r="B140" s="414" t="s">
        <v>642</v>
      </c>
    </row>
    <row r="141" spans="1:2">
      <c r="A141" s="414" t="s">
        <v>198</v>
      </c>
      <c r="B141" s="414" t="s">
        <v>510</v>
      </c>
    </row>
    <row r="142" spans="1:2">
      <c r="A142" s="414" t="s">
        <v>342</v>
      </c>
      <c r="B142" s="414" t="s">
        <v>643</v>
      </c>
    </row>
    <row r="143" spans="1:2">
      <c r="A143" s="414" t="s">
        <v>343</v>
      </c>
      <c r="B143" s="414" t="s">
        <v>644</v>
      </c>
    </row>
    <row r="144" spans="1:2">
      <c r="A144" s="414" t="s">
        <v>344</v>
      </c>
      <c r="B144" s="414" t="s">
        <v>645</v>
      </c>
    </row>
    <row r="145" spans="1:2">
      <c r="A145" s="414" t="s">
        <v>345</v>
      </c>
      <c r="B145" s="414" t="s">
        <v>646</v>
      </c>
    </row>
    <row r="146" spans="1:2">
      <c r="A146" s="414" t="s">
        <v>346</v>
      </c>
      <c r="B146" s="414" t="s">
        <v>647</v>
      </c>
    </row>
    <row r="147" spans="1:2">
      <c r="A147" s="414" t="s">
        <v>648</v>
      </c>
      <c r="B147" s="414" t="s">
        <v>649</v>
      </c>
    </row>
    <row r="148" spans="1:2">
      <c r="A148" s="414" t="s">
        <v>650</v>
      </c>
      <c r="B148" s="414" t="s">
        <v>651</v>
      </c>
    </row>
    <row r="149" spans="1:2">
      <c r="A149" s="414" t="s">
        <v>652</v>
      </c>
      <c r="B149" s="414" t="s">
        <v>653</v>
      </c>
    </row>
    <row r="150" spans="1:2">
      <c r="A150" s="414" t="s">
        <v>654</v>
      </c>
      <c r="B150" s="414" t="s">
        <v>655</v>
      </c>
    </row>
    <row r="151" spans="1:2">
      <c r="A151" s="414" t="s">
        <v>84</v>
      </c>
      <c r="B151" s="414" t="s">
        <v>656</v>
      </c>
    </row>
    <row r="152" spans="1:2">
      <c r="A152" s="414" t="s">
        <v>98</v>
      </c>
      <c r="B152" s="414" t="s">
        <v>657</v>
      </c>
    </row>
    <row r="153" spans="1:2">
      <c r="A153" s="414" t="s">
        <v>91</v>
      </c>
      <c r="B153" s="414" t="s">
        <v>658</v>
      </c>
    </row>
    <row r="154" spans="1:2">
      <c r="A154" s="414" t="s">
        <v>659</v>
      </c>
      <c r="B154" s="414" t="s">
        <v>660</v>
      </c>
    </row>
    <row r="155" spans="1:2">
      <c r="A155" s="414" t="s">
        <v>661</v>
      </c>
      <c r="B155" s="414" t="s">
        <v>662</v>
      </c>
    </row>
    <row r="156" spans="1:2">
      <c r="A156" s="414" t="s">
        <v>663</v>
      </c>
      <c r="B156" s="414" t="s">
        <v>664</v>
      </c>
    </row>
    <row r="157" spans="1:2">
      <c r="A157" s="414" t="s">
        <v>512</v>
      </c>
      <c r="B157" s="414" t="s">
        <v>513</v>
      </c>
    </row>
    <row r="158" spans="1:2">
      <c r="A158" s="414" t="s">
        <v>665</v>
      </c>
      <c r="B158" s="414" t="s">
        <v>666</v>
      </c>
    </row>
    <row r="159" spans="1:2">
      <c r="A159" s="414" t="s">
        <v>667</v>
      </c>
      <c r="B159" s="414" t="s">
        <v>668</v>
      </c>
    </row>
    <row r="160" spans="1:2">
      <c r="A160" s="414" t="s">
        <v>669</v>
      </c>
      <c r="B160" s="414" t="s">
        <v>670</v>
      </c>
    </row>
    <row r="161" spans="1:2">
      <c r="A161" s="414" t="s">
        <v>671</v>
      </c>
      <c r="B161" s="414" t="s">
        <v>672</v>
      </c>
    </row>
    <row r="162" spans="1:2">
      <c r="A162" s="414" t="s">
        <v>361</v>
      </c>
      <c r="B162" s="414" t="s">
        <v>514</v>
      </c>
    </row>
    <row r="163" spans="1:2">
      <c r="A163" s="414" t="s">
        <v>104</v>
      </c>
      <c r="B163" s="414" t="s">
        <v>673</v>
      </c>
    </row>
    <row r="164" spans="1:2">
      <c r="A164" s="414" t="s">
        <v>97</v>
      </c>
      <c r="B164" s="414" t="s">
        <v>674</v>
      </c>
    </row>
    <row r="165" spans="1:2">
      <c r="A165" s="414" t="s">
        <v>363</v>
      </c>
      <c r="B165" s="414" t="s">
        <v>675</v>
      </c>
    </row>
    <row r="166" spans="1:2">
      <c r="A166" s="414" t="s">
        <v>364</v>
      </c>
      <c r="B166" s="414" t="s">
        <v>676</v>
      </c>
    </row>
    <row r="167" spans="1:2">
      <c r="A167" s="414" t="s">
        <v>365</v>
      </c>
      <c r="B167" s="414" t="s">
        <v>677</v>
      </c>
    </row>
    <row r="168" spans="1:2">
      <c r="A168" s="414" t="s">
        <v>366</v>
      </c>
      <c r="B168" s="414" t="s">
        <v>678</v>
      </c>
    </row>
    <row r="169" spans="1:2">
      <c r="A169" s="414" t="s">
        <v>367</v>
      </c>
      <c r="B169" s="414" t="s">
        <v>679</v>
      </c>
    </row>
    <row r="170" spans="1:2">
      <c r="A170" s="414" t="s">
        <v>680</v>
      </c>
      <c r="B170" s="414" t="s">
        <v>681</v>
      </c>
    </row>
    <row r="171" spans="1:2">
      <c r="A171" s="414" t="s">
        <v>682</v>
      </c>
      <c r="B171" s="414" t="s">
        <v>683</v>
      </c>
    </row>
    <row r="172" spans="1:2">
      <c r="A172" s="414" t="s">
        <v>371</v>
      </c>
      <c r="B172" s="414" t="s">
        <v>684</v>
      </c>
    </row>
    <row r="173" spans="1:2">
      <c r="A173" s="414" t="s">
        <v>372</v>
      </c>
      <c r="B173" s="414" t="s">
        <v>685</v>
      </c>
    </row>
    <row r="174" spans="1:2">
      <c r="A174" s="414" t="s">
        <v>686</v>
      </c>
      <c r="B174" s="414" t="s">
        <v>687</v>
      </c>
    </row>
    <row r="175" spans="1:2">
      <c r="A175" s="414" t="s">
        <v>688</v>
      </c>
      <c r="B175" s="414" t="s">
        <v>689</v>
      </c>
    </row>
    <row r="176" spans="1:2">
      <c r="A176" s="414" t="s">
        <v>690</v>
      </c>
      <c r="B176" s="414" t="s">
        <v>691</v>
      </c>
    </row>
    <row r="177" spans="1:2">
      <c r="A177" s="414" t="s">
        <v>692</v>
      </c>
      <c r="B177" s="414" t="s">
        <v>693</v>
      </c>
    </row>
    <row r="178" spans="1:2">
      <c r="A178" s="414" t="s">
        <v>377</v>
      </c>
      <c r="B178" s="414" t="s">
        <v>694</v>
      </c>
    </row>
    <row r="179" spans="1:2">
      <c r="A179" s="414" t="s">
        <v>378</v>
      </c>
      <c r="B179" s="414" t="s">
        <v>695</v>
      </c>
    </row>
    <row r="180" spans="1:2">
      <c r="A180" s="414" t="s">
        <v>696</v>
      </c>
      <c r="B180" s="414" t="s">
        <v>697</v>
      </c>
    </row>
    <row r="181" spans="1:2">
      <c r="A181" s="414" t="s">
        <v>380</v>
      </c>
      <c r="B181" s="414" t="s">
        <v>698</v>
      </c>
    </row>
    <row r="182" spans="1:2">
      <c r="A182" s="414" t="s">
        <v>381</v>
      </c>
      <c r="B182" s="414" t="s">
        <v>699</v>
      </c>
    </row>
    <row r="183" spans="1:2">
      <c r="A183" s="414" t="s">
        <v>700</v>
      </c>
      <c r="B183" s="414" t="s">
        <v>701</v>
      </c>
    </row>
    <row r="184" spans="1:2">
      <c r="A184" s="414" t="s">
        <v>383</v>
      </c>
      <c r="B184" s="414" t="s">
        <v>702</v>
      </c>
    </row>
    <row r="185" spans="1:2">
      <c r="A185" s="414" t="s">
        <v>384</v>
      </c>
      <c r="B185" s="414" t="s">
        <v>703</v>
      </c>
    </row>
    <row r="186" spans="1:2">
      <c r="A186" s="414" t="s">
        <v>385</v>
      </c>
      <c r="B186" s="414" t="s">
        <v>704</v>
      </c>
    </row>
    <row r="187" spans="1:2">
      <c r="A187" s="414" t="s">
        <v>386</v>
      </c>
      <c r="B187" s="414" t="s">
        <v>705</v>
      </c>
    </row>
    <row r="188" spans="1:2">
      <c r="A188" s="414" t="s">
        <v>387</v>
      </c>
      <c r="B188" s="414" t="s">
        <v>706</v>
      </c>
    </row>
    <row r="189" spans="1:2">
      <c r="A189" s="414" t="s">
        <v>707</v>
      </c>
      <c r="B189" s="414" t="s">
        <v>708</v>
      </c>
    </row>
    <row r="190" spans="1:2">
      <c r="A190" s="414" t="s">
        <v>390</v>
      </c>
      <c r="B190" s="414" t="s">
        <v>709</v>
      </c>
    </row>
    <row r="191" spans="1:2">
      <c r="A191" s="414" t="s">
        <v>710</v>
      </c>
      <c r="B191" s="414" t="s">
        <v>711</v>
      </c>
    </row>
    <row r="192" spans="1:2">
      <c r="A192" s="414" t="s">
        <v>105</v>
      </c>
      <c r="B192" s="414" t="s">
        <v>712</v>
      </c>
    </row>
    <row r="193" spans="1:2">
      <c r="A193" s="414" t="s">
        <v>393</v>
      </c>
      <c r="B193" s="414" t="s">
        <v>713</v>
      </c>
    </row>
    <row r="194" spans="1:2">
      <c r="A194" s="414" t="s">
        <v>394</v>
      </c>
      <c r="B194" s="414" t="s">
        <v>714</v>
      </c>
    </row>
    <row r="195" spans="1:2">
      <c r="A195" s="414" t="s">
        <v>715</v>
      </c>
      <c r="B195" s="414" t="s">
        <v>716</v>
      </c>
    </row>
    <row r="196" spans="1:2">
      <c r="A196" s="414" t="s">
        <v>109</v>
      </c>
      <c r="B196" s="414" t="s">
        <v>508</v>
      </c>
    </row>
    <row r="197" spans="1:2">
      <c r="A197" s="414" t="s">
        <v>717</v>
      </c>
      <c r="B197" s="414" t="s">
        <v>718</v>
      </c>
    </row>
    <row r="198" spans="1:2">
      <c r="A198" s="414" t="s">
        <v>719</v>
      </c>
      <c r="B198" s="414" t="s">
        <v>720</v>
      </c>
    </row>
    <row r="199" spans="1:2">
      <c r="A199" s="414" t="s">
        <v>721</v>
      </c>
      <c r="B199" s="414" t="s">
        <v>722</v>
      </c>
    </row>
    <row r="200" spans="1:2">
      <c r="A200" s="414" t="s">
        <v>113</v>
      </c>
      <c r="B200" s="414" t="s">
        <v>509</v>
      </c>
    </row>
    <row r="201" spans="1:2">
      <c r="A201" s="414" t="s">
        <v>417</v>
      </c>
      <c r="B201" s="414" t="s">
        <v>723</v>
      </c>
    </row>
    <row r="202" spans="1:2">
      <c r="A202" s="414" t="s">
        <v>418</v>
      </c>
      <c r="B202" s="414" t="s">
        <v>724</v>
      </c>
    </row>
    <row r="203" spans="1:2">
      <c r="A203" s="414" t="s">
        <v>419</v>
      </c>
      <c r="B203" s="414" t="s">
        <v>725</v>
      </c>
    </row>
    <row r="204" spans="1:2">
      <c r="A204" s="414" t="s">
        <v>71</v>
      </c>
      <c r="B204" s="414" t="s">
        <v>497</v>
      </c>
    </row>
    <row r="205" spans="1:2">
      <c r="A205" s="414" t="s">
        <v>420</v>
      </c>
      <c r="B205" s="414" t="s">
        <v>726</v>
      </c>
    </row>
    <row r="206" spans="1:2">
      <c r="A206" s="414" t="s">
        <v>421</v>
      </c>
      <c r="B206" s="414" t="s">
        <v>727</v>
      </c>
    </row>
    <row r="207" spans="1:2">
      <c r="A207" s="414" t="s">
        <v>422</v>
      </c>
      <c r="B207" s="414" t="s">
        <v>728</v>
      </c>
    </row>
    <row r="208" spans="1:2">
      <c r="A208" s="414" t="s">
        <v>189</v>
      </c>
      <c r="B208" s="414" t="s">
        <v>498</v>
      </c>
    </row>
    <row r="209" spans="1:2">
      <c r="A209" s="414" t="s">
        <v>56</v>
      </c>
      <c r="B209" s="414" t="s">
        <v>487</v>
      </c>
    </row>
    <row r="210" spans="1:2">
      <c r="A210" s="414" t="s">
        <v>59</v>
      </c>
      <c r="B210" s="414" t="s">
        <v>490</v>
      </c>
    </row>
    <row r="211" spans="1:2">
      <c r="A211" s="414" t="s">
        <v>62</v>
      </c>
      <c r="B211" s="414" t="s">
        <v>491</v>
      </c>
    </row>
    <row r="212" spans="1:2">
      <c r="A212" s="414" t="s">
        <v>50</v>
      </c>
      <c r="B212" s="414" t="s">
        <v>472</v>
      </c>
    </row>
    <row r="213" spans="1:2">
      <c r="A213" s="414" t="s">
        <v>423</v>
      </c>
      <c r="B213" s="414" t="s">
        <v>729</v>
      </c>
    </row>
    <row r="214" spans="1:2">
      <c r="A214" s="414" t="s">
        <v>191</v>
      </c>
      <c r="B214" s="414" t="s">
        <v>500</v>
      </c>
    </row>
    <row r="215" spans="1:2">
      <c r="A215" s="414" t="s">
        <v>192</v>
      </c>
      <c r="B215" s="414" t="s">
        <v>501</v>
      </c>
    </row>
    <row r="216" spans="1:2">
      <c r="A216" s="414" t="s">
        <v>425</v>
      </c>
      <c r="B216" s="414" t="s">
        <v>730</v>
      </c>
    </row>
    <row r="217" spans="1:2">
      <c r="A217" s="414" t="s">
        <v>426</v>
      </c>
      <c r="B217" s="414" t="s">
        <v>731</v>
      </c>
    </row>
    <row r="218" spans="1:2">
      <c r="A218" s="414" t="s">
        <v>427</v>
      </c>
      <c r="B218" s="414" t="s">
        <v>732</v>
      </c>
    </row>
    <row r="219" spans="1:2">
      <c r="A219" s="414" t="s">
        <v>428</v>
      </c>
      <c r="B219" s="414" t="s">
        <v>733</v>
      </c>
    </row>
    <row r="220" spans="1:2">
      <c r="A220" s="414" t="s">
        <v>429</v>
      </c>
      <c r="B220" s="414" t="s">
        <v>734</v>
      </c>
    </row>
    <row r="221" spans="1:2">
      <c r="A221" s="414" t="s">
        <v>430</v>
      </c>
      <c r="B221" s="414" t="s">
        <v>735</v>
      </c>
    </row>
    <row r="222" spans="1:2">
      <c r="A222" s="414" t="s">
        <v>736</v>
      </c>
      <c r="B222" s="414" t="s">
        <v>737</v>
      </c>
    </row>
    <row r="223" spans="1:2">
      <c r="A223" s="414" t="s">
        <v>738</v>
      </c>
      <c r="B223" s="414" t="s">
        <v>739</v>
      </c>
    </row>
    <row r="224" spans="1:2">
      <c r="A224" s="414" t="s">
        <v>740</v>
      </c>
      <c r="B224" s="414" t="s">
        <v>741</v>
      </c>
    </row>
    <row r="225" spans="1:2">
      <c r="A225" s="414" t="s">
        <v>742</v>
      </c>
      <c r="B225" s="414" t="s">
        <v>743</v>
      </c>
    </row>
    <row r="226" spans="1:2">
      <c r="A226" s="414" t="s">
        <v>744</v>
      </c>
      <c r="B226" s="414" t="s">
        <v>745</v>
      </c>
    </row>
    <row r="227" spans="1:2">
      <c r="A227" s="414" t="s">
        <v>746</v>
      </c>
      <c r="B227" s="414" t="s">
        <v>747</v>
      </c>
    </row>
    <row r="228" spans="1:2">
      <c r="A228" s="414" t="s">
        <v>748</v>
      </c>
      <c r="B228" s="414" t="s">
        <v>749</v>
      </c>
    </row>
    <row r="229" spans="1:2">
      <c r="A229" s="414" t="s">
        <v>750</v>
      </c>
      <c r="B229" s="414" t="s">
        <v>751</v>
      </c>
    </row>
    <row r="230" spans="1:2">
      <c r="A230" s="414" t="s">
        <v>752</v>
      </c>
      <c r="B230" s="414" t="s">
        <v>753</v>
      </c>
    </row>
    <row r="231" spans="1:2">
      <c r="A231" s="414" t="s">
        <v>440</v>
      </c>
      <c r="B231" s="414" t="s">
        <v>754</v>
      </c>
    </row>
    <row r="232" spans="1:2">
      <c r="A232" s="414" t="s">
        <v>755</v>
      </c>
      <c r="B232" s="414" t="s">
        <v>756</v>
      </c>
    </row>
    <row r="233" spans="1:2">
      <c r="A233" s="414" t="s">
        <v>757</v>
      </c>
      <c r="B233" s="414" t="s">
        <v>758</v>
      </c>
    </row>
    <row r="234" spans="1:2">
      <c r="A234" s="414" t="s">
        <v>443</v>
      </c>
      <c r="B234" s="414" t="s">
        <v>759</v>
      </c>
    </row>
    <row r="235" spans="1:2">
      <c r="A235" s="414" t="s">
        <v>760</v>
      </c>
      <c r="B235" s="414" t="s">
        <v>761</v>
      </c>
    </row>
    <row r="236" spans="1:2">
      <c r="A236" s="414" t="s">
        <v>762</v>
      </c>
      <c r="B236" s="414" t="s">
        <v>763</v>
      </c>
    </row>
    <row r="237" spans="1:2">
      <c r="A237" s="414" t="s">
        <v>203</v>
      </c>
      <c r="B237" s="414" t="s">
        <v>517</v>
      </c>
    </row>
    <row r="238" spans="1:2">
      <c r="A238" s="414" t="s">
        <v>764</v>
      </c>
      <c r="B238" s="414" t="s">
        <v>765</v>
      </c>
    </row>
    <row r="239" spans="1:2">
      <c r="A239" s="414" t="s">
        <v>766</v>
      </c>
      <c r="B239" s="414" t="s">
        <v>767</v>
      </c>
    </row>
    <row r="240" spans="1:2">
      <c r="A240" s="414" t="s">
        <v>768</v>
      </c>
      <c r="B240" s="414" t="s">
        <v>769</v>
      </c>
    </row>
    <row r="241" spans="1:2">
      <c r="A241" s="414" t="s">
        <v>770</v>
      </c>
      <c r="B241" s="414" t="s">
        <v>771</v>
      </c>
    </row>
    <row r="242" spans="1:2">
      <c r="A242" s="414" t="s">
        <v>209</v>
      </c>
      <c r="B242" s="414" t="s">
        <v>523</v>
      </c>
    </row>
    <row r="243" spans="1:2">
      <c r="A243" s="414" t="s">
        <v>772</v>
      </c>
      <c r="B243" s="414" t="s">
        <v>773</v>
      </c>
    </row>
    <row r="244" spans="1:2">
      <c r="A244" s="414" t="s">
        <v>774</v>
      </c>
      <c r="B244" s="414" t="s">
        <v>775</v>
      </c>
    </row>
    <row r="245" spans="1:2">
      <c r="A245" s="414" t="s">
        <v>776</v>
      </c>
      <c r="B245" s="414" t="s">
        <v>777</v>
      </c>
    </row>
    <row r="246" spans="1:2">
      <c r="A246" s="414" t="s">
        <v>778</v>
      </c>
      <c r="B246" s="414" t="s">
        <v>779</v>
      </c>
    </row>
    <row r="247" spans="1:2">
      <c r="A247" s="414" t="s">
        <v>84</v>
      </c>
      <c r="B247" s="414" t="s">
        <v>780</v>
      </c>
    </row>
    <row r="248" spans="1:2">
      <c r="A248" s="414" t="s">
        <v>455</v>
      </c>
      <c r="B248" s="414" t="s">
        <v>781</v>
      </c>
    </row>
    <row r="249" spans="1:2">
      <c r="A249" s="414" t="s">
        <v>782</v>
      </c>
      <c r="B249" s="414" t="s">
        <v>783</v>
      </c>
    </row>
    <row r="250" spans="1:2" ht="17.100000000000001" customHeight="1" thickBot="1">
      <c r="A250" s="415" t="s">
        <v>784</v>
      </c>
      <c r="B250" s="415" t="s">
        <v>785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2:AC138"/>
  <sheetViews>
    <sheetView showGridLines="0" topLeftCell="F59" zoomScale="80" zoomScaleNormal="80" workbookViewId="0">
      <selection activeCell="M83" sqref="M83"/>
    </sheetView>
  </sheetViews>
  <sheetFormatPr defaultColWidth="9.42578125" defaultRowHeight="14.25"/>
  <cols>
    <col min="1" max="1" width="30.42578125" style="413" customWidth="1"/>
    <col min="2" max="2" width="26.5703125" style="413" customWidth="1"/>
    <col min="3" max="4" width="25.5703125" style="413" customWidth="1"/>
    <col min="5" max="5" width="27.42578125" style="413" customWidth="1"/>
    <col min="6" max="6" width="29" style="413" customWidth="1"/>
    <col min="7" max="7" width="37.42578125" style="413" customWidth="1"/>
    <col min="8" max="8" width="12.42578125" style="413" customWidth="1"/>
    <col min="9" max="11" width="14" style="413" customWidth="1"/>
    <col min="12" max="12" width="17.42578125" style="413" customWidth="1"/>
    <col min="13" max="13" width="15.42578125" style="413" customWidth="1"/>
    <col min="14" max="18" width="14" style="413" customWidth="1"/>
    <col min="19" max="19" width="14.5703125" style="413" bestFit="1" customWidth="1"/>
    <col min="20" max="58" width="9.42578125" style="413" customWidth="1"/>
    <col min="59" max="16384" width="9.42578125" style="413"/>
  </cols>
  <sheetData>
    <row r="2" spans="2:17" ht="15">
      <c r="H2" s="629" t="s">
        <v>786</v>
      </c>
    </row>
    <row r="3" spans="2:17" ht="15">
      <c r="H3" s="629"/>
    </row>
    <row r="4" spans="2:17" ht="15">
      <c r="N4" s="630"/>
      <c r="O4" s="630"/>
      <c r="P4" s="631" t="s">
        <v>787</v>
      </c>
    </row>
    <row r="5" spans="2:17" ht="14.45" customHeight="1">
      <c r="H5" s="1008" t="s">
        <v>788</v>
      </c>
      <c r="I5" s="1007"/>
      <c r="J5" s="1007"/>
      <c r="K5" s="1007"/>
      <c r="L5" s="1009"/>
      <c r="M5" s="673">
        <f>'QC Checklist'!C2</f>
        <v>202505</v>
      </c>
      <c r="N5" s="632"/>
      <c r="O5" s="632"/>
      <c r="P5" s="633">
        <f t="shared" ref="P5:P14" si="0">VALUE(F9)</f>
        <v>202449</v>
      </c>
      <c r="Q5" s="413" t="str">
        <f t="shared" ref="Q5:Q14" si="1">"FY"&amp;(RIGHT(LEFT(P5,4),2)+1)&amp;" WK"&amp;RIGHT(P5,2)</f>
        <v>FY25 WK49</v>
      </c>
    </row>
    <row r="6" spans="2:17">
      <c r="M6" s="634"/>
      <c r="N6" s="632"/>
      <c r="O6" s="632"/>
      <c r="P6" s="633">
        <f t="shared" si="0"/>
        <v>202450</v>
      </c>
      <c r="Q6" s="413" t="str">
        <f t="shared" si="1"/>
        <v>FY25 WK50</v>
      </c>
    </row>
    <row r="7" spans="2:17" ht="14.45" customHeight="1">
      <c r="B7" s="635" t="s">
        <v>789</v>
      </c>
      <c r="H7" s="636" t="s">
        <v>790</v>
      </c>
      <c r="P7" s="633">
        <f t="shared" si="0"/>
        <v>202451</v>
      </c>
      <c r="Q7" s="413" t="str">
        <f t="shared" si="1"/>
        <v>FY25 WK51</v>
      </c>
    </row>
    <row r="8" spans="2:17" ht="14.45" customHeight="1">
      <c r="B8" s="635" t="s">
        <v>791</v>
      </c>
      <c r="H8" s="637" t="s">
        <v>136</v>
      </c>
      <c r="I8" s="637" t="s">
        <v>792</v>
      </c>
      <c r="J8" s="637" t="s">
        <v>793</v>
      </c>
      <c r="K8" s="637" t="s">
        <v>794</v>
      </c>
      <c r="L8" s="637" t="s">
        <v>795</v>
      </c>
      <c r="P8" s="633">
        <f t="shared" si="0"/>
        <v>202452</v>
      </c>
      <c r="Q8" s="413" t="str">
        <f t="shared" si="1"/>
        <v>FY25 WK52</v>
      </c>
    </row>
    <row r="9" spans="2:17">
      <c r="B9" s="413">
        <f t="shared" ref="B9:B18" si="2">VALUE(RIGHT(G9,2))</f>
        <v>96</v>
      </c>
      <c r="C9" s="413">
        <f t="shared" ref="C9:C17" si="3">IF(C10-1=0, 53, C10-1)</f>
        <v>49</v>
      </c>
      <c r="D9" s="632">
        <f t="shared" ref="D9:D18" si="4">IF(C9&lt;10,0&amp;C9,C9)</f>
        <v>49</v>
      </c>
      <c r="E9" s="413">
        <f t="shared" ref="E9:E17" si="5">IF(B9=0,E10-1,E10)</f>
        <v>2024</v>
      </c>
      <c r="F9" s="413" t="str">
        <f t="shared" ref="F9:F18" si="6">E9&amp;D9</f>
        <v>202449</v>
      </c>
      <c r="G9" s="638">
        <f t="shared" ref="G9:G17" si="7">G10-1</f>
        <v>202496</v>
      </c>
      <c r="H9" s="633">
        <f t="shared" ref="H9:H18" si="8">VALUE(F9)</f>
        <v>202449</v>
      </c>
      <c r="I9" s="639">
        <f>VLOOKUP(H9,'Overall Metrics'!$F:$G,2,FALSE)</f>
        <v>267546.3</v>
      </c>
      <c r="J9" s="639">
        <f>VLOOKUP(IF(RIGHT(H9,2)="53", H9-52, IF(LEFT(H9,4)="2025", H9-99, H9-100)),'Overall Metrics'!$F:$G,2,FALSE)</f>
        <v>330754.05</v>
      </c>
      <c r="K9" s="639">
        <f>VLOOKUP(H9,Forecast!F:J,5,FALSE)</f>
        <v>211710</v>
      </c>
      <c r="L9" s="640">
        <f t="shared" ref="L9:L18" si="9">I9/J9-1</f>
        <v>-0.19110196836592019</v>
      </c>
      <c r="P9" s="633">
        <f t="shared" si="0"/>
        <v>202453</v>
      </c>
      <c r="Q9" s="413" t="str">
        <f t="shared" si="1"/>
        <v>FY25 WK53</v>
      </c>
    </row>
    <row r="10" spans="2:17">
      <c r="B10" s="413">
        <f t="shared" si="2"/>
        <v>97</v>
      </c>
      <c r="C10" s="413">
        <f t="shared" si="3"/>
        <v>50</v>
      </c>
      <c r="D10" s="632">
        <f t="shared" si="4"/>
        <v>50</v>
      </c>
      <c r="E10" s="413">
        <f t="shared" si="5"/>
        <v>2024</v>
      </c>
      <c r="F10" s="413" t="str">
        <f t="shared" si="6"/>
        <v>202450</v>
      </c>
      <c r="G10" s="638">
        <f t="shared" si="7"/>
        <v>202497</v>
      </c>
      <c r="H10" s="633">
        <f t="shared" si="8"/>
        <v>202450</v>
      </c>
      <c r="I10" s="639">
        <f>VLOOKUP(H10,'Overall Metrics'!$F:$G,2,FALSE)</f>
        <v>284680.95</v>
      </c>
      <c r="J10" s="639">
        <f>VLOOKUP(IF(RIGHT(H10,2)="53", H10-52, IF(LEFT(H10,4)="2025", H10-99, H10-100)),'Overall Metrics'!$F:$G,2,FALSE)</f>
        <v>357467.25</v>
      </c>
      <c r="K10" s="639">
        <f>VLOOKUP(H10,Forecast!F:J,5,FALSE)</f>
        <v>243228</v>
      </c>
      <c r="L10" s="640">
        <f t="shared" si="9"/>
        <v>-0.20361669495597146</v>
      </c>
      <c r="P10" s="633">
        <f t="shared" si="0"/>
        <v>202501</v>
      </c>
      <c r="Q10" s="413" t="str">
        <f t="shared" si="1"/>
        <v>FY26 WK01</v>
      </c>
    </row>
    <row r="11" spans="2:17">
      <c r="B11" s="413">
        <f t="shared" si="2"/>
        <v>98</v>
      </c>
      <c r="C11" s="413">
        <f t="shared" si="3"/>
        <v>51</v>
      </c>
      <c r="D11" s="632">
        <f t="shared" si="4"/>
        <v>51</v>
      </c>
      <c r="E11" s="413">
        <f t="shared" si="5"/>
        <v>2024</v>
      </c>
      <c r="F11" s="413" t="str">
        <f t="shared" si="6"/>
        <v>202451</v>
      </c>
      <c r="G11" s="638">
        <f t="shared" si="7"/>
        <v>202498</v>
      </c>
      <c r="H11" s="633">
        <f t="shared" si="8"/>
        <v>202451</v>
      </c>
      <c r="I11" s="639">
        <f>VLOOKUP(H11,'Overall Metrics'!$F:$G,2,FALSE)</f>
        <v>299101.95</v>
      </c>
      <c r="J11" s="639">
        <f>VLOOKUP(IF(RIGHT(H11,2)="53", H11-52, IF(LEFT(H11,4)="2025", H11-99, H11-100)),'Overall Metrics'!$F:$G,2,FALSE)</f>
        <v>305077.35000000003</v>
      </c>
      <c r="K11" s="639">
        <f>VLOOKUP(H11,Forecast!F:J,5,FALSE)</f>
        <v>211156</v>
      </c>
      <c r="L11" s="640">
        <f t="shared" si="9"/>
        <v>-1.9586508142934944E-2</v>
      </c>
      <c r="P11" s="633">
        <f t="shared" si="0"/>
        <v>202502</v>
      </c>
      <c r="Q11" s="413" t="str">
        <f t="shared" si="1"/>
        <v>FY26 WK02</v>
      </c>
    </row>
    <row r="12" spans="2:17">
      <c r="B12" s="413">
        <f t="shared" si="2"/>
        <v>99</v>
      </c>
      <c r="C12" s="413">
        <f t="shared" si="3"/>
        <v>52</v>
      </c>
      <c r="D12" s="632">
        <f t="shared" si="4"/>
        <v>52</v>
      </c>
      <c r="E12" s="413">
        <f t="shared" si="5"/>
        <v>2024</v>
      </c>
      <c r="F12" s="413" t="str">
        <f t="shared" si="6"/>
        <v>202452</v>
      </c>
      <c r="G12" s="638">
        <f t="shared" si="7"/>
        <v>202499</v>
      </c>
      <c r="H12" s="633">
        <f t="shared" si="8"/>
        <v>202452</v>
      </c>
      <c r="I12" s="639">
        <f>VLOOKUP(H12,'Overall Metrics'!$F:$G,2,FALSE)</f>
        <v>289992.75</v>
      </c>
      <c r="J12" s="639">
        <f>VLOOKUP(IF(RIGHT(H12,2)="53", H12-52, IF(LEFT(H12,4)="2025", H12-99, H12-100)),'Overall Metrics'!$F:$G,2,FALSE)</f>
        <v>309909</v>
      </c>
      <c r="K12" s="639">
        <f>VLOOKUP(H12,Forecast!F:J,5,FALSE)</f>
        <v>198621</v>
      </c>
      <c r="L12" s="640">
        <f t="shared" si="9"/>
        <v>-6.4264832579886355E-2</v>
      </c>
      <c r="P12" s="633">
        <f t="shared" si="0"/>
        <v>202503</v>
      </c>
      <c r="Q12" s="413" t="str">
        <f t="shared" si="1"/>
        <v>FY26 WK03</v>
      </c>
    </row>
    <row r="13" spans="2:17">
      <c r="B13" s="413">
        <f t="shared" si="2"/>
        <v>0</v>
      </c>
      <c r="C13" s="413">
        <f t="shared" si="3"/>
        <v>53</v>
      </c>
      <c r="D13" s="413">
        <f t="shared" si="4"/>
        <v>53</v>
      </c>
      <c r="E13" s="413">
        <f t="shared" si="5"/>
        <v>2024</v>
      </c>
      <c r="F13" s="413" t="str">
        <f t="shared" si="6"/>
        <v>202453</v>
      </c>
      <c r="G13" s="638">
        <f t="shared" si="7"/>
        <v>202500</v>
      </c>
      <c r="H13" s="633">
        <f t="shared" si="8"/>
        <v>202453</v>
      </c>
      <c r="I13" s="639">
        <f>VLOOKUP(H13,'Overall Metrics'!$F:$G,2,FALSE)</f>
        <v>291963.3</v>
      </c>
      <c r="J13" s="639">
        <f>VLOOKUP(IF(RIGHT(H13,2)="53", H13-52, IF(LEFT(H13,4)="2025", H13-99, H13-100)),'Overall Metrics'!$F:$G,2,FALSE)</f>
        <v>316383.3</v>
      </c>
      <c r="K13" s="639">
        <f>VLOOKUP(H13,Forecast!F:J,5,FALSE)</f>
        <v>210039</v>
      </c>
      <c r="L13" s="640">
        <f t="shared" si="9"/>
        <v>-7.7184857734273637E-2</v>
      </c>
      <c r="P13" s="633">
        <f t="shared" si="0"/>
        <v>202504</v>
      </c>
      <c r="Q13" s="413" t="str">
        <f t="shared" si="1"/>
        <v>FY26 WK04</v>
      </c>
    </row>
    <row r="14" spans="2:17">
      <c r="B14" s="413">
        <f t="shared" si="2"/>
        <v>1</v>
      </c>
      <c r="C14" s="413">
        <f t="shared" si="3"/>
        <v>1</v>
      </c>
      <c r="D14" s="413" t="str">
        <f t="shared" si="4"/>
        <v>01</v>
      </c>
      <c r="E14" s="413" t="str">
        <f t="shared" si="5"/>
        <v>2025</v>
      </c>
      <c r="F14" s="413" t="str">
        <f t="shared" si="6"/>
        <v>202501</v>
      </c>
      <c r="G14" s="638">
        <f t="shared" si="7"/>
        <v>202501</v>
      </c>
      <c r="H14" s="633">
        <f t="shared" si="8"/>
        <v>202501</v>
      </c>
      <c r="I14" s="639">
        <f>VLOOKUP(H14,'Overall Metrics'!$F:$G,2,FALSE)</f>
        <v>353362.5</v>
      </c>
      <c r="J14" s="639">
        <f>VLOOKUP(IF(RIGHT(H14,2)="53", H14-52, IF(LEFT(H14,4)="2025", H14-99, H14-100)),'Overall Metrics'!$F:$G,2,FALSE)</f>
        <v>279995.69999999995</v>
      </c>
      <c r="K14" s="639">
        <f>VLOOKUP(H14,Forecast!F:J,5,FALSE)</f>
        <v>191530</v>
      </c>
      <c r="L14" s="640">
        <f t="shared" si="9"/>
        <v>0.26202830972047098</v>
      </c>
      <c r="P14" s="633">
        <f t="shared" si="0"/>
        <v>202505</v>
      </c>
      <c r="Q14" s="413" t="str">
        <f t="shared" si="1"/>
        <v>FY26 WK05</v>
      </c>
    </row>
    <row r="15" spans="2:17">
      <c r="B15" s="413">
        <f t="shared" si="2"/>
        <v>2</v>
      </c>
      <c r="C15" s="413">
        <f t="shared" si="3"/>
        <v>2</v>
      </c>
      <c r="D15" s="413" t="str">
        <f t="shared" si="4"/>
        <v>02</v>
      </c>
      <c r="E15" s="413" t="str">
        <f t="shared" si="5"/>
        <v>2025</v>
      </c>
      <c r="F15" s="413" t="str">
        <f t="shared" si="6"/>
        <v>202502</v>
      </c>
      <c r="G15" s="638">
        <f t="shared" si="7"/>
        <v>202502</v>
      </c>
      <c r="H15" s="633">
        <f t="shared" si="8"/>
        <v>202502</v>
      </c>
      <c r="I15" s="639">
        <f>VLOOKUP(H15,'Overall Metrics'!$F:$G,2,FALSE)</f>
        <v>294482.55000000005</v>
      </c>
      <c r="J15" s="639">
        <f>VLOOKUP(IF(RIGHT(H15,2)="53", H15-52, IF(LEFT(H15,4)="2025", H15-99, H15-100)),'Overall Metrics'!$F:$G,2,FALSE)</f>
        <v>316588.5</v>
      </c>
      <c r="K15" s="639">
        <f>VLOOKUP(H15,Forecast!F:J,5,FALSE)</f>
        <v>238039</v>
      </c>
      <c r="L15" s="640">
        <f t="shared" si="9"/>
        <v>-6.9825499031076488E-2</v>
      </c>
    </row>
    <row r="16" spans="2:17">
      <c r="B16" s="413">
        <f t="shared" si="2"/>
        <v>3</v>
      </c>
      <c r="C16" s="413">
        <f t="shared" si="3"/>
        <v>3</v>
      </c>
      <c r="D16" s="413" t="str">
        <f t="shared" si="4"/>
        <v>03</v>
      </c>
      <c r="E16" s="413" t="str">
        <f t="shared" si="5"/>
        <v>2025</v>
      </c>
      <c r="F16" s="413" t="str">
        <f t="shared" si="6"/>
        <v>202503</v>
      </c>
      <c r="G16" s="638">
        <f t="shared" si="7"/>
        <v>202503</v>
      </c>
      <c r="H16" s="633">
        <f t="shared" si="8"/>
        <v>202503</v>
      </c>
      <c r="I16" s="639">
        <f>VLOOKUP(H16,'Overall Metrics'!$F:$G,2,FALSE)</f>
        <v>326350.8</v>
      </c>
      <c r="J16" s="639">
        <f>VLOOKUP(IF(RIGHT(H16,2)="53", H16-52, IF(LEFT(H16,4)="2025", H16-99, H16-100)),'Overall Metrics'!$F:$G,2,FALSE)</f>
        <v>311843.25</v>
      </c>
      <c r="K16" s="639">
        <f>VLOOKUP(H16,Forecast!F:J,5,FALSE)</f>
        <v>187605</v>
      </c>
      <c r="L16" s="640">
        <f t="shared" si="9"/>
        <v>4.6521930489115793E-2</v>
      </c>
    </row>
    <row r="17" spans="2:17">
      <c r="B17" s="413">
        <f t="shared" si="2"/>
        <v>4</v>
      </c>
      <c r="C17" s="413">
        <f t="shared" si="3"/>
        <v>4</v>
      </c>
      <c r="D17" s="413" t="str">
        <f t="shared" si="4"/>
        <v>04</v>
      </c>
      <c r="E17" s="413" t="str">
        <f t="shared" si="5"/>
        <v>2025</v>
      </c>
      <c r="F17" s="413" t="str">
        <f t="shared" si="6"/>
        <v>202504</v>
      </c>
      <c r="G17" s="638">
        <f t="shared" si="7"/>
        <v>202504</v>
      </c>
      <c r="H17" s="633">
        <f t="shared" si="8"/>
        <v>202504</v>
      </c>
      <c r="I17" s="639">
        <f>VLOOKUP(H17,'Overall Metrics'!$F:$G,2,FALSE)</f>
        <v>358902.75</v>
      </c>
      <c r="J17" s="639">
        <f>VLOOKUP(IF(RIGHT(H17,2)="53", H17-52, IF(LEFT(H17,4)="2025", H17-99, H17-100)),'Overall Metrics'!$F:$G,2,FALSE)</f>
        <v>355742.7</v>
      </c>
      <c r="K17" s="639">
        <f>VLOOKUP(H17,Forecast!F:J,5,FALSE)</f>
        <v>202527</v>
      </c>
      <c r="L17" s="640">
        <f t="shared" si="9"/>
        <v>8.8829651318214076E-3</v>
      </c>
    </row>
    <row r="18" spans="2:17">
      <c r="B18" s="413">
        <f t="shared" si="2"/>
        <v>5</v>
      </c>
      <c r="C18" s="413">
        <f>IF(B18=0,52,B18)</f>
        <v>5</v>
      </c>
      <c r="D18" s="632" t="str">
        <f t="shared" si="4"/>
        <v>05</v>
      </c>
      <c r="E18" s="632" t="str">
        <f>LEFT(G18,4)</f>
        <v>2025</v>
      </c>
      <c r="F18" s="413" t="str">
        <f t="shared" si="6"/>
        <v>202505</v>
      </c>
      <c r="G18" s="638">
        <f>M5</f>
        <v>202505</v>
      </c>
      <c r="H18" s="633">
        <f t="shared" si="8"/>
        <v>202505</v>
      </c>
      <c r="I18" s="639">
        <f>VLOOKUP(H18,'Overall Metrics'!$F:$G,2,FALSE)</f>
        <v>335376.59999999998</v>
      </c>
      <c r="J18" s="639">
        <f>VLOOKUP(IF(RIGHT(H18,2)="53", H18-52, IF(LEFT(H18,4)="2025", H18-99, H18-100)),'Overall Metrics'!$F:$G,2,FALSE)</f>
        <v>316070.09999999998</v>
      </c>
      <c r="K18" s="639">
        <f>VLOOKUP(H18,Forecast!F:J,5,FALSE)</f>
        <v>243459</v>
      </c>
      <c r="L18" s="640">
        <f t="shared" si="9"/>
        <v>6.1082968619935896E-2</v>
      </c>
    </row>
    <row r="20" spans="2:17" ht="15">
      <c r="I20"/>
      <c r="J20"/>
      <c r="K20"/>
      <c r="L20"/>
    </row>
    <row r="21" spans="2:17">
      <c r="L21" s="634"/>
    </row>
    <row r="22" spans="2:17">
      <c r="I22" s="641"/>
      <c r="L22" s="634"/>
    </row>
    <row r="23" spans="2:17">
      <c r="J23" s="642"/>
      <c r="L23" s="634"/>
    </row>
    <row r="24" spans="2:17">
      <c r="L24" s="634"/>
    </row>
    <row r="25" spans="2:17" ht="15">
      <c r="H25" s="629" t="s">
        <v>796</v>
      </c>
      <c r="L25" s="634"/>
    </row>
    <row r="26" spans="2:17" ht="14.45" customHeight="1">
      <c r="I26" s="1006" t="s">
        <v>792</v>
      </c>
      <c r="J26" s="1007"/>
      <c r="K26" s="991"/>
      <c r="L26" s="1006" t="s">
        <v>793</v>
      </c>
      <c r="M26" s="1007"/>
      <c r="N26" s="991"/>
      <c r="O26" s="1006" t="s">
        <v>794</v>
      </c>
      <c r="P26" s="1007"/>
      <c r="Q26" s="991"/>
    </row>
    <row r="27" spans="2:17" ht="15">
      <c r="H27" s="637" t="s">
        <v>136</v>
      </c>
      <c r="I27" s="637" t="s">
        <v>479</v>
      </c>
      <c r="J27" s="637" t="s">
        <v>476</v>
      </c>
      <c r="K27" s="637" t="s">
        <v>797</v>
      </c>
      <c r="L27" s="637" t="s">
        <v>479</v>
      </c>
      <c r="M27" s="637" t="s">
        <v>476</v>
      </c>
      <c r="N27" s="637" t="s">
        <v>797</v>
      </c>
      <c r="O27" s="637" t="s">
        <v>479</v>
      </c>
      <c r="P27" s="637" t="s">
        <v>476</v>
      </c>
      <c r="Q27" s="637" t="s">
        <v>797</v>
      </c>
    </row>
    <row r="28" spans="2:17">
      <c r="H28" s="643">
        <f t="shared" ref="H28:H37" si="10">H9</f>
        <v>202449</v>
      </c>
      <c r="I28" s="643">
        <f>VLOOKUP(H28,'Overall Metrics'!$F:$N,7,FALSE)</f>
        <v>89182.099999999991</v>
      </c>
      <c r="J28" s="643">
        <f>VLOOKUP(H28,'Overall Metrics'!$F:$N,8,FALSE)</f>
        <v>89023</v>
      </c>
      <c r="K28" s="643">
        <f>VLOOKUP(H28,'Overall Metrics'!$F:$N,9,FALSE)</f>
        <v>67085.2</v>
      </c>
      <c r="L28" s="643">
        <f>VLOOKUP(IF(RIGHT(H28,2)="53", H28-52, IF(LEFT(H28,4)="2025", H28-99, H28-100)),'Overall Metrics'!$F:$N,7,FALSE)</f>
        <v>110251.34999999999</v>
      </c>
      <c r="M28" s="643">
        <f>VLOOKUP(IF(RIGHT(H9,2)="53", H9-52, IF(LEFT(H9,4)="2025", H9-99, H9-100)),'Overall Metrics'!$F:$N,8,FALSE)</f>
        <v>163031</v>
      </c>
      <c r="N28" s="643">
        <f>VLOOKUP(IF(RIGHT(H9,2)="53", H9-52, IF(LEFT(H9,4)="2025", H9-99, H9-100)),'Overall Metrics'!$F:$N,9,FALSE)</f>
        <v>57471.7</v>
      </c>
      <c r="O28" s="644">
        <f>VLOOKUP(H28,Forecast!F:I,2,FALSE)</f>
        <v>58440</v>
      </c>
      <c r="P28" s="644">
        <f>VLOOKUP(H28,Forecast!F:I,3,FALSE)</f>
        <v>98966</v>
      </c>
      <c r="Q28" s="644">
        <f>VLOOKUP(H28,Forecast!F:I,4,FALSE)</f>
        <v>54304</v>
      </c>
    </row>
    <row r="29" spans="2:17">
      <c r="H29" s="643">
        <f t="shared" si="10"/>
        <v>202450</v>
      </c>
      <c r="I29" s="643">
        <f>VLOOKUP(H29,'Overall Metrics'!$F:$N,7,FALSE)</f>
        <v>94893.650000000009</v>
      </c>
      <c r="J29" s="643">
        <f>VLOOKUP(H29,'Overall Metrics'!$F:$N,8,FALSE)</f>
        <v>105923</v>
      </c>
      <c r="K29" s="643">
        <f>VLOOKUP(H29,'Overall Metrics'!$F:$N,9,FALSE)</f>
        <v>57383.3</v>
      </c>
      <c r="L29" s="643">
        <f>VLOOKUP(IF(RIGHT(H29,2)="53", H29-52, IF(LEFT(H29,4)="2025", H29-99, H29-100)),'Overall Metrics'!$F:$N,7,FALSE)</f>
        <v>119155.75000000001</v>
      </c>
      <c r="M29" s="643">
        <f>VLOOKUP(IF(RIGHT(H10,2)="53", H10-52, IF(LEFT(H10,4)="2025", H10-99, H10-100)),'Overall Metrics'!$F:$N,8,FALSE)</f>
        <v>162008</v>
      </c>
      <c r="N29" s="643">
        <f>VLOOKUP(IF(RIGHT(H10,2)="53", H10-52, IF(LEFT(H10,4)="2025", H10-99, H10-100)),'Overall Metrics'!$F:$N,9,FALSE)</f>
        <v>76303.5</v>
      </c>
      <c r="O29" s="644">
        <f>VLOOKUP(H29,Forecast!F:I,2,FALSE)</f>
        <v>64402</v>
      </c>
      <c r="P29" s="644">
        <f>VLOOKUP(H29,Forecast!F:I,3,FALSE)</f>
        <v>99352</v>
      </c>
      <c r="Q29" s="644">
        <f>VLOOKUP(H29,Forecast!F:I,4,FALSE)</f>
        <v>79474</v>
      </c>
    </row>
    <row r="30" spans="2:17">
      <c r="H30" s="643">
        <f t="shared" si="10"/>
        <v>202451</v>
      </c>
      <c r="I30" s="643">
        <f>VLOOKUP(H30,'Overall Metrics'!$F:$N,7,FALSE)</f>
        <v>99700.650000000009</v>
      </c>
      <c r="J30" s="643">
        <f>VLOOKUP(H30,'Overall Metrics'!$F:$N,8,FALSE)</f>
        <v>103308</v>
      </c>
      <c r="K30" s="643">
        <f>VLOOKUP(H30,'Overall Metrics'!$F:$N,9,FALSE)</f>
        <v>70266.3</v>
      </c>
      <c r="L30" s="643">
        <f>VLOOKUP(IF(RIGHT(H30,2)="53", H30-52, IF(LEFT(H30,4)="2025", H30-99, H30-100)),'Overall Metrics'!$F:$N,7,FALSE)</f>
        <v>101692.45000000003</v>
      </c>
      <c r="M30" s="643">
        <f>VLOOKUP(IF(RIGHT(H11,2)="53", H11-52, IF(LEFT(H11,4)="2025", H11-99, H11-100)),'Overall Metrics'!$F:$N,8,FALSE)</f>
        <v>141761</v>
      </c>
      <c r="N30" s="643">
        <f>VLOOKUP(IF(RIGHT(H11,2)="53", H11-52, IF(LEFT(H11,4)="2025", H11-99, H11-100)),'Overall Metrics'!$F:$N,9,FALSE)</f>
        <v>61623.899999999994</v>
      </c>
      <c r="O30" s="644">
        <f>VLOOKUP(H30,Forecast!F:I,2,FALSE)</f>
        <v>72653</v>
      </c>
      <c r="P30" s="644">
        <f>VLOOKUP(H30,Forecast!F:I,3,FALSE)</f>
        <v>54712</v>
      </c>
      <c r="Q30" s="644">
        <f>VLOOKUP(H30,Forecast!F:I,4,FALSE)</f>
        <v>83791</v>
      </c>
    </row>
    <row r="31" spans="2:17">
      <c r="H31" s="643">
        <f t="shared" si="10"/>
        <v>202452</v>
      </c>
      <c r="I31" s="643">
        <f>VLOOKUP(H31,'Overall Metrics'!$F:$N,7,FALSE)</f>
        <v>96664.25</v>
      </c>
      <c r="J31" s="643">
        <f>VLOOKUP(H31,'Overall Metrics'!$F:$N,8,FALSE)</f>
        <v>104228</v>
      </c>
      <c r="K31" s="643">
        <f>VLOOKUP(H31,'Overall Metrics'!$F:$N,9,FALSE)</f>
        <v>63043.5</v>
      </c>
      <c r="L31" s="643">
        <f>VLOOKUP(IF(RIGHT(H31,2)="53", H31-52, IF(LEFT(H31,4)="2025", H31-99, H31-100)),'Overall Metrics'!$F:$N,7,FALSE)</f>
        <v>103303</v>
      </c>
      <c r="M31" s="643">
        <f>VLOOKUP(IF(RIGHT(H12,2)="53", H12-52, IF(LEFT(H12,4)="2025", H12-99, H12-100)),'Overall Metrics'!$F:$N,8,FALSE)</f>
        <v>142776</v>
      </c>
      <c r="N31" s="643">
        <f>VLOOKUP(IF(RIGHT(H12,2)="53", H12-52, IF(LEFT(H12,4)="2025", H12-99, H12-100)),'Overall Metrics'!$F:$N,9,FALSE)</f>
        <v>63830</v>
      </c>
      <c r="O31" s="644">
        <f>VLOOKUP(H31,Forecast!F:I,2,FALSE)</f>
        <v>83549</v>
      </c>
      <c r="P31" s="644">
        <f>VLOOKUP(H31,Forecast!F:I,3,FALSE)</f>
        <v>61198</v>
      </c>
      <c r="Q31" s="644">
        <f>VLOOKUP(H31,Forecast!F:I,4,FALSE)</f>
        <v>53874</v>
      </c>
    </row>
    <row r="32" spans="2:17">
      <c r="H32" s="643">
        <f t="shared" si="10"/>
        <v>202453</v>
      </c>
      <c r="I32" s="643">
        <f>VLOOKUP(H32,'Overall Metrics'!$F:$N,7,FALSE)</f>
        <v>97321.099999999991</v>
      </c>
      <c r="J32" s="643">
        <f>VLOOKUP(H32,'Overall Metrics'!$F:$N,8,FALSE)</f>
        <v>111718</v>
      </c>
      <c r="K32" s="643">
        <f>VLOOKUP(H32,'Overall Metrics'!$F:$N,9,FALSE)</f>
        <v>54995.199999999997</v>
      </c>
      <c r="L32" s="643">
        <f>VLOOKUP(IF(RIGHT(H32,2)="53", H32-52, IF(LEFT(H32,4)="2025", H32-99, H32-100)),'Overall Metrics'!$F:$N,7,FALSE)</f>
        <v>105461.09999999999</v>
      </c>
      <c r="M32" s="643">
        <f>VLOOKUP(IF(RIGHT(H13,2)="53", H13-52, IF(LEFT(H13,4)="2025", H13-99, H13-100)),'Overall Metrics'!$F:$N,8,FALSE)</f>
        <v>118252</v>
      </c>
      <c r="N32" s="643">
        <f>VLOOKUP(IF(RIGHT(H13,2)="53", H13-52, IF(LEFT(H13,4)="2025", H13-99, H13-100)),'Overall Metrics'!$F:$N,9,FALSE)</f>
        <v>63107.199999999997</v>
      </c>
      <c r="O32" s="644">
        <f>VLOOKUP(H32,Forecast!F:I,2,FALSE)</f>
        <v>63742</v>
      </c>
      <c r="P32" s="644">
        <f>VLOOKUP(H32,Forecast!F:I,3,FALSE)</f>
        <v>59688</v>
      </c>
      <c r="Q32" s="644">
        <f>VLOOKUP(H32,Forecast!F:I,4,FALSE)</f>
        <v>86609</v>
      </c>
    </row>
    <row r="33" spans="8:17">
      <c r="H33" s="643">
        <f t="shared" si="10"/>
        <v>202501</v>
      </c>
      <c r="I33" s="643">
        <f>VLOOKUP(H33,'Overall Metrics'!$F:$N,7,FALSE)</f>
        <v>117787.5</v>
      </c>
      <c r="J33" s="643">
        <f>VLOOKUP(H33,'Overall Metrics'!$F:$N,8,FALSE)</f>
        <v>136699</v>
      </c>
      <c r="K33" s="643">
        <f>VLOOKUP(H33,'Overall Metrics'!$F:$N,9,FALSE)</f>
        <v>64701</v>
      </c>
      <c r="L33" s="643">
        <f>VLOOKUP(IF(RIGHT(H33,2)="53", H33-52, IF(LEFT(H33,4)="2025", H33-99, H33-100)),'Overall Metrics'!$F:$N,7,FALSE)</f>
        <v>93331.89999999998</v>
      </c>
      <c r="M33" s="643">
        <f>VLOOKUP(IF(RIGHT(H14,2)="53", H14-52, IF(LEFT(H14,4)="2025", H14-99, H14-100)),'Overall Metrics'!$F:$N,8,FALSE)</f>
        <v>102972</v>
      </c>
      <c r="N33" s="643">
        <f>VLOOKUP(IF(RIGHT(H14,2)="53", H14-52, IF(LEFT(H14,4)="2025", H14-99, H14-100)),'Overall Metrics'!$F:$N,9,FALSE)</f>
        <v>57948.800000000003</v>
      </c>
      <c r="O33" s="644">
        <f>VLOOKUP(H33,Forecast!F:I,2,FALSE)</f>
        <v>70640</v>
      </c>
      <c r="P33" s="644">
        <f>VLOOKUP(H33,Forecast!F:I,3,FALSE)</f>
        <v>69024</v>
      </c>
      <c r="Q33" s="644">
        <f>VLOOKUP(H33,Forecast!F:I,4,FALSE)</f>
        <v>51866</v>
      </c>
    </row>
    <row r="34" spans="8:17">
      <c r="H34" s="643">
        <f t="shared" si="10"/>
        <v>202502</v>
      </c>
      <c r="I34" s="643">
        <f>VLOOKUP(H34,'Overall Metrics'!$F:$N,7,FALSE)</f>
        <v>98160.850000000035</v>
      </c>
      <c r="J34" s="643">
        <f>VLOOKUP(H34,'Overall Metrics'!$F:$N,8,FALSE)</f>
        <v>105131</v>
      </c>
      <c r="K34" s="643">
        <f>VLOOKUP(H34,'Overall Metrics'!$F:$N,9,FALSE)</f>
        <v>64907.7</v>
      </c>
      <c r="L34" s="643">
        <f>VLOOKUP(IF(RIGHT(H34,2)="53", H34-52, IF(LEFT(H34,4)="2025", H34-99, H34-100)),'Overall Metrics'!$F:$N,7,FALSE)</f>
        <v>105529.5</v>
      </c>
      <c r="M34" s="643">
        <f>VLOOKUP(IF(RIGHT(H15,2)="53", H15-52, IF(LEFT(H15,4)="2025", H15-99, H15-100)),'Overall Metrics'!$F:$N,8,FALSE)</f>
        <v>117721</v>
      </c>
      <c r="N34" s="643">
        <f>VLOOKUP(IF(RIGHT(H15,2)="53", H15-52, IF(LEFT(H15,4)="2025", H15-99, H15-100)),'Overall Metrics'!$F:$N,9,FALSE)</f>
        <v>63908</v>
      </c>
      <c r="O34" s="644">
        <f>VLOOKUP(H34,Forecast!F:I,2,FALSE)</f>
        <v>80835</v>
      </c>
      <c r="P34" s="644">
        <f>VLOOKUP(H34,Forecast!F:I,3,FALSE)</f>
        <v>74355</v>
      </c>
      <c r="Q34" s="644">
        <f>VLOOKUP(H34,Forecast!F:I,4,FALSE)</f>
        <v>82849</v>
      </c>
    </row>
    <row r="35" spans="8:17">
      <c r="H35" s="643">
        <f t="shared" si="10"/>
        <v>202503</v>
      </c>
      <c r="I35" s="643">
        <f>VLOOKUP(H35,'Overall Metrics'!$F:$N,7,FALSE)</f>
        <v>108783.59999999999</v>
      </c>
      <c r="J35" s="643">
        <f>VLOOKUP(H35,'Overall Metrics'!$F:$N,8,FALSE)</f>
        <v>122112</v>
      </c>
      <c r="K35" s="643">
        <f>VLOOKUP(H35,'Overall Metrics'!$F:$N,9,FALSE)</f>
        <v>64927.200000000004</v>
      </c>
      <c r="L35" s="643">
        <f>VLOOKUP(IF(RIGHT(H35,2)="53", H35-52, IF(LEFT(H35,4)="2025", H35-99, H35-100)),'Overall Metrics'!$F:$N,7,FALSE)</f>
        <v>103947.75000000001</v>
      </c>
      <c r="M35" s="643">
        <f>VLOOKUP(IF(RIGHT(H16,2)="53", H16-52, IF(LEFT(H16,4)="2025", H16-99, H16-100)),'Overall Metrics'!$F:$N,8,FALSE)</f>
        <v>107697</v>
      </c>
      <c r="N35" s="643">
        <f>VLOOKUP(IF(RIGHT(H16,2)="53", H16-52, IF(LEFT(H16,4)="2025", H16-99, H16-100)),'Overall Metrics'!$F:$N,9,FALSE)</f>
        <v>73274.5</v>
      </c>
      <c r="O35" s="644">
        <f>VLOOKUP(H35,Forecast!F:I,2,FALSE)</f>
        <v>54667</v>
      </c>
      <c r="P35" s="644">
        <f>VLOOKUP(H35,Forecast!F:I,3,FALSE)</f>
        <v>51750</v>
      </c>
      <c r="Q35" s="644">
        <f>VLOOKUP(H35,Forecast!F:I,4,FALSE)</f>
        <v>81188</v>
      </c>
    </row>
    <row r="36" spans="8:17">
      <c r="H36" s="643">
        <f t="shared" si="10"/>
        <v>202504</v>
      </c>
      <c r="I36" s="643">
        <f>VLOOKUP(H36,'Overall Metrics'!$F:$N,7,FALSE)</f>
        <v>119634.25</v>
      </c>
      <c r="J36" s="643">
        <f>VLOOKUP(H36,'Overall Metrics'!$F:$N,8,FALSE)</f>
        <v>137267</v>
      </c>
      <c r="K36" s="643">
        <f>VLOOKUP(H36,'Overall Metrics'!$F:$N,9,FALSE)</f>
        <v>67684.5</v>
      </c>
      <c r="L36" s="643">
        <f>VLOOKUP(IF(RIGHT(H36,2)="53", H36-52, IF(LEFT(H36,4)="2025", H36-99, H36-100)),'Overall Metrics'!$F:$N,7,FALSE)</f>
        <v>118580.90000000001</v>
      </c>
      <c r="M36" s="643">
        <f>VLOOKUP(IF(RIGHT(H17,2)="53", H17-52, IF(LEFT(H17,4)="2025", H17-99, H17-100)),'Overall Metrics'!$F:$N,8,FALSE)</f>
        <v>143786</v>
      </c>
      <c r="N36" s="643">
        <f>VLOOKUP(IF(RIGHT(H17,2)="53", H17-52, IF(LEFT(H17,4)="2025", H17-99, H17-100)),'Overall Metrics'!$F:$N,9,FALSE)</f>
        <v>57428.800000000003</v>
      </c>
      <c r="O36" s="644">
        <f>VLOOKUP(H36,Forecast!F:I,2,FALSE)</f>
        <v>57191</v>
      </c>
      <c r="P36" s="644">
        <f>VLOOKUP(H36,Forecast!F:I,3,FALSE)</f>
        <v>67513</v>
      </c>
      <c r="Q36" s="644">
        <f>VLOOKUP(H36,Forecast!F:I,4,FALSE)</f>
        <v>77823</v>
      </c>
    </row>
    <row r="37" spans="8:17">
      <c r="H37" s="643">
        <f t="shared" si="10"/>
        <v>202505</v>
      </c>
      <c r="I37" s="643">
        <f>VLOOKUP(H37,'Overall Metrics'!$F:$N,7,FALSE)</f>
        <v>111792.2</v>
      </c>
      <c r="J37" s="860">
        <f>VLOOKUP(H37,'Overall Metrics'!$F:$N,8,FALSE)</f>
        <v>117718</v>
      </c>
      <c r="K37" s="860">
        <f>VLOOKUP(H37,'Overall Metrics'!$F:$N,9,FALSE)</f>
        <v>76437.399999999994</v>
      </c>
      <c r="L37" s="643">
        <f>VLOOKUP(IF(RIGHT(H37,2)="53", H37-52, IF(LEFT(H37,4)="2025", H37-99, H37-100)),'Overall Metrics'!$F:$N,7,FALSE)</f>
        <v>105356.69999999998</v>
      </c>
      <c r="M37" s="643">
        <f>VLOOKUP(IF(RIGHT(H18,2)="53", H18-52, IF(LEFT(H18,4)="2025", H18-99, H18-100)),'Overall Metrics'!$F:$N,8,FALSE)</f>
        <v>110874</v>
      </c>
      <c r="N37" s="643">
        <f>VLOOKUP(IF(RIGHT(H18,2)="53", H18-52, IF(LEFT(H18,4)="2025", H18-99, H18-100)),'Overall Metrics'!$F:$N,9,FALSE)</f>
        <v>72121.399999999994</v>
      </c>
      <c r="O37" s="644">
        <f>VLOOKUP(H37,Forecast!F:I,2,FALSE)</f>
        <v>99895</v>
      </c>
      <c r="P37" s="644">
        <f>VLOOKUP(H37,Forecast!F:I,3,FALSE)</f>
        <v>76529</v>
      </c>
      <c r="Q37" s="644">
        <f>VLOOKUP(H37,Forecast!F:I,4,FALSE)</f>
        <v>67035</v>
      </c>
    </row>
    <row r="40" spans="8:17" ht="15">
      <c r="I40" s="637" t="s">
        <v>479</v>
      </c>
      <c r="J40" s="652">
        <f>I37</f>
        <v>111792.2</v>
      </c>
      <c r="K40" s="637" t="s">
        <v>797</v>
      </c>
      <c r="L40" s="652">
        <f>K37</f>
        <v>76437.399999999994</v>
      </c>
      <c r="M40" s="637" t="s">
        <v>476</v>
      </c>
      <c r="N40" s="652">
        <f>J37</f>
        <v>117718</v>
      </c>
    </row>
    <row r="41" spans="8:17" ht="15">
      <c r="I41" s="645" t="s">
        <v>162</v>
      </c>
      <c r="J41" s="646">
        <f>I37/I36-1</f>
        <v>-6.5550208238861374E-2</v>
      </c>
      <c r="K41" s="645" t="s">
        <v>162</v>
      </c>
      <c r="L41" s="646">
        <f>K37/K36-1</f>
        <v>0.12931912033035631</v>
      </c>
      <c r="M41" s="645" t="s">
        <v>162</v>
      </c>
      <c r="N41" s="646">
        <f>J37/J36-1</f>
        <v>-0.14241587562924807</v>
      </c>
      <c r="O41" s="653"/>
    </row>
    <row r="42" spans="8:17" ht="15">
      <c r="I42" s="645" t="s">
        <v>163</v>
      </c>
      <c r="J42" s="646">
        <f>I37/L37-1</f>
        <v>6.1082968619936118E-2</v>
      </c>
      <c r="K42" s="645" t="s">
        <v>163</v>
      </c>
      <c r="L42" s="646">
        <f>K37/N37-1</f>
        <v>5.9843541584051252E-2</v>
      </c>
      <c r="M42" s="645" t="s">
        <v>163</v>
      </c>
      <c r="N42" s="646">
        <f>J37/M37-1</f>
        <v>6.1727726969352581E-2</v>
      </c>
      <c r="O42" s="653"/>
    </row>
    <row r="52" spans="8:14" ht="15">
      <c r="H52" s="629" t="s">
        <v>798</v>
      </c>
    </row>
    <row r="54" spans="8:14" ht="15">
      <c r="H54" s="637" t="s">
        <v>136</v>
      </c>
      <c r="I54" s="637" t="s">
        <v>799</v>
      </c>
      <c r="J54" s="637" t="s">
        <v>800</v>
      </c>
      <c r="K54" s="637" t="s">
        <v>801</v>
      </c>
      <c r="L54" s="637" t="s">
        <v>802</v>
      </c>
      <c r="M54" s="637" t="s">
        <v>803</v>
      </c>
      <c r="N54" s="637" t="s">
        <v>804</v>
      </c>
    </row>
    <row r="55" spans="8:14">
      <c r="H55" s="643">
        <f t="shared" ref="H55:H64" si="11">H28</f>
        <v>202449</v>
      </c>
      <c r="I55" s="647">
        <f>VLOOKUP(H55,'Owned Breakdown (Glass)'!$F:$R,6,FALSE)</f>
        <v>4229</v>
      </c>
      <c r="J55" s="647">
        <f>VLOOKUP(H55,'Owned Breakdown (Glass)'!$F:$R,3,FALSE)</f>
        <v>3802</v>
      </c>
      <c r="K55" s="647">
        <f>VLOOKUP(H55,'Owned Breakdown (Glass)'!$F:$R,4,FALSE)</f>
        <v>1019</v>
      </c>
      <c r="L55" s="647">
        <v>0</v>
      </c>
      <c r="M55" s="647">
        <f t="shared" ref="M55:M64" si="12">N55-SUM(I55:L55)</f>
        <v>79973</v>
      </c>
      <c r="N55" s="647">
        <f>VLOOKUP(H55,'Owned Breakdown (Glass)'!$F:$U,16,FALSE)</f>
        <v>89023</v>
      </c>
    </row>
    <row r="56" spans="8:14">
      <c r="H56" s="643">
        <f t="shared" si="11"/>
        <v>202450</v>
      </c>
      <c r="I56" s="647">
        <f>VLOOKUP(H56,'Owned Breakdown (Glass)'!$F:$R,6,FALSE)</f>
        <v>3116</v>
      </c>
      <c r="J56" s="647">
        <f>VLOOKUP(H56,'Owned Breakdown (Glass)'!$F:$R,3,FALSE)</f>
        <v>1156</v>
      </c>
      <c r="K56" s="647">
        <f>VLOOKUP(H56,'Owned Breakdown (Glass)'!$F:$R,4,FALSE)</f>
        <v>2078</v>
      </c>
      <c r="L56" s="647">
        <f>VLOOKUP(H56,'Owned Breakdown (Glass)'!$F:$R,2,FALSE)</f>
        <v>3594</v>
      </c>
      <c r="M56" s="647">
        <f t="shared" si="12"/>
        <v>95979</v>
      </c>
      <c r="N56" s="647">
        <f>VLOOKUP(H56,'Owned Breakdown (Glass)'!$F:$U,16,FALSE)</f>
        <v>105923</v>
      </c>
    </row>
    <row r="57" spans="8:14">
      <c r="H57" s="643">
        <f t="shared" si="11"/>
        <v>202451</v>
      </c>
      <c r="I57" s="647">
        <f>VLOOKUP(H57,'Owned Breakdown (Glass)'!$F:$R,6,FALSE)</f>
        <v>2517</v>
      </c>
      <c r="J57" s="647">
        <f>VLOOKUP(H57,'Owned Breakdown (Glass)'!$F:$R,3,FALSE)</f>
        <v>4402</v>
      </c>
      <c r="K57" s="647">
        <f>VLOOKUP(H57,'Owned Breakdown (Glass)'!$F:$R,4,FALSE)</f>
        <v>1613</v>
      </c>
      <c r="L57" s="647">
        <f>VLOOKUP(H57,'Owned Breakdown (Glass)'!$F:$R,2,FALSE)</f>
        <v>2186</v>
      </c>
      <c r="M57" s="647">
        <f t="shared" si="12"/>
        <v>92590</v>
      </c>
      <c r="N57" s="647">
        <f>VLOOKUP(H57,'Owned Breakdown (Glass)'!$F:$U,16,FALSE)</f>
        <v>103308</v>
      </c>
    </row>
    <row r="58" spans="8:14">
      <c r="H58" s="643">
        <f t="shared" si="11"/>
        <v>202452</v>
      </c>
      <c r="I58" s="647">
        <f>VLOOKUP(H58,'Owned Breakdown (Glass)'!$F:$R,6,FALSE)</f>
        <v>1378</v>
      </c>
      <c r="J58" s="647">
        <f>VLOOKUP(H58,'Owned Breakdown (Glass)'!$F:$R,3,FALSE)</f>
        <v>3778</v>
      </c>
      <c r="K58" s="647">
        <f>VLOOKUP(H58,'Owned Breakdown (Glass)'!$F:$R,4,FALSE)</f>
        <v>4182</v>
      </c>
      <c r="L58" s="647">
        <f>VLOOKUP(H58,'Owned Breakdown (Glass)'!$F:$R,2,FALSE)</f>
        <v>4084</v>
      </c>
      <c r="M58" s="647">
        <f t="shared" si="12"/>
        <v>90806</v>
      </c>
      <c r="N58" s="647">
        <f>VLOOKUP(H58,'Owned Breakdown (Glass)'!$F:$U,16,FALSE)</f>
        <v>104228</v>
      </c>
    </row>
    <row r="59" spans="8:14">
      <c r="H59" s="643">
        <f t="shared" si="11"/>
        <v>202453</v>
      </c>
      <c r="I59" s="647">
        <f>VLOOKUP(H59,'Owned Breakdown (Glass)'!$F:$R,6,FALSE)</f>
        <v>4579</v>
      </c>
      <c r="J59" s="647">
        <f>VLOOKUP(H59,'Owned Breakdown (Glass)'!$F:$R,3,FALSE)</f>
        <v>4583</v>
      </c>
      <c r="K59" s="647">
        <f>VLOOKUP(H59,'Owned Breakdown (Glass)'!$F:$R,4,FALSE)</f>
        <v>2587</v>
      </c>
      <c r="L59" s="647">
        <f>VLOOKUP(H59,'Owned Breakdown (Glass)'!$F:$R,2,FALSE)</f>
        <v>4377</v>
      </c>
      <c r="M59" s="647">
        <f t="shared" si="12"/>
        <v>95592</v>
      </c>
      <c r="N59" s="647">
        <f>VLOOKUP(H59,'Owned Breakdown (Glass)'!$F:$U,16,FALSE)</f>
        <v>111718</v>
      </c>
    </row>
    <row r="60" spans="8:14">
      <c r="H60" s="643">
        <f t="shared" si="11"/>
        <v>202501</v>
      </c>
      <c r="I60" s="647">
        <f>VLOOKUP(H60,'Owned Breakdown (Glass)'!$F:$R,6,FALSE)</f>
        <v>3279</v>
      </c>
      <c r="J60" s="647">
        <f>VLOOKUP(H60,'Owned Breakdown (Glass)'!$F:$R,3,FALSE)</f>
        <v>4988</v>
      </c>
      <c r="K60" s="647">
        <f>VLOOKUP(H60,'Owned Breakdown (Glass)'!$F:$R,4,FALSE)</f>
        <v>3793</v>
      </c>
      <c r="L60" s="647">
        <f>VLOOKUP(H60,'Owned Breakdown (Glass)'!$F:$R,2,FALSE)</f>
        <v>4911</v>
      </c>
      <c r="M60" s="647">
        <f t="shared" si="12"/>
        <v>119728</v>
      </c>
      <c r="N60" s="647">
        <f>VLOOKUP(H60,'Owned Breakdown (Glass)'!$F:$U,16,FALSE)</f>
        <v>136699</v>
      </c>
    </row>
    <row r="61" spans="8:14">
      <c r="H61" s="643">
        <f t="shared" si="11"/>
        <v>202502</v>
      </c>
      <c r="I61" s="647">
        <f>VLOOKUP(H61,'Owned Breakdown (Glass)'!$F:$R,6,FALSE)</f>
        <v>3590</v>
      </c>
      <c r="J61" s="647">
        <f>VLOOKUP(H61,'Owned Breakdown (Glass)'!$F:$R,3,FALSE)</f>
        <v>4002</v>
      </c>
      <c r="K61" s="647">
        <f>VLOOKUP(H61,'Owned Breakdown (Glass)'!$F:$R,4,FALSE)</f>
        <v>1763</v>
      </c>
      <c r="L61" s="647">
        <f>VLOOKUP(H61,'Owned Breakdown (Glass)'!$F:$R,2,FALSE)</f>
        <v>3284</v>
      </c>
      <c r="M61" s="647">
        <f t="shared" si="12"/>
        <v>92492</v>
      </c>
      <c r="N61" s="647">
        <f>VLOOKUP(H61,'Owned Breakdown (Glass)'!$F:$U,16,FALSE)</f>
        <v>105131</v>
      </c>
    </row>
    <row r="62" spans="8:14">
      <c r="H62" s="643">
        <f t="shared" si="11"/>
        <v>202503</v>
      </c>
      <c r="I62" s="647">
        <f>VLOOKUP(H62,'Owned Breakdown (Glass)'!$F:$R,6,FALSE)</f>
        <v>2756</v>
      </c>
      <c r="J62" s="647">
        <f>VLOOKUP(H62,'Owned Breakdown (Glass)'!$F:$R,3,FALSE)</f>
        <v>4272</v>
      </c>
      <c r="K62" s="647">
        <f>VLOOKUP(H62,'Owned Breakdown (Glass)'!$F:$R,4,FALSE)</f>
        <v>4683</v>
      </c>
      <c r="L62" s="647">
        <f>VLOOKUP(H62,'Owned Breakdown (Glass)'!$F:$R,2,FALSE)</f>
        <v>4871</v>
      </c>
      <c r="M62" s="647">
        <f t="shared" si="12"/>
        <v>105530</v>
      </c>
      <c r="N62" s="647">
        <f>VLOOKUP(H62,'Owned Breakdown (Glass)'!$F:$U,16,FALSE)</f>
        <v>122112</v>
      </c>
    </row>
    <row r="63" spans="8:14">
      <c r="H63" s="643">
        <f t="shared" si="11"/>
        <v>202504</v>
      </c>
      <c r="I63" s="647">
        <f>VLOOKUP(H63,'Owned Breakdown (Glass)'!$F:$R,6,FALSE)</f>
        <v>3162</v>
      </c>
      <c r="J63" s="647">
        <f>VLOOKUP(H63,'Owned Breakdown (Glass)'!$F:$R,3,FALSE)</f>
        <v>2820</v>
      </c>
      <c r="K63" s="647">
        <f>VLOOKUP(H63,'Owned Breakdown (Glass)'!$F:$R,4,FALSE)</f>
        <v>4255</v>
      </c>
      <c r="L63" s="647">
        <f>VLOOKUP(H63,'Owned Breakdown (Glass)'!$F:$R,2,FALSE)</f>
        <v>2005</v>
      </c>
      <c r="M63" s="647">
        <f t="shared" si="12"/>
        <v>125025</v>
      </c>
      <c r="N63" s="647">
        <f>VLOOKUP(H63,'Owned Breakdown (Glass)'!$F:$U,16,FALSE)</f>
        <v>137267</v>
      </c>
    </row>
    <row r="64" spans="8:14">
      <c r="H64" s="643">
        <f t="shared" si="11"/>
        <v>202505</v>
      </c>
      <c r="I64" s="647">
        <f>VLOOKUP(H64,'Owned Breakdown (Glass)'!$F:$R,6,FALSE)</f>
        <v>4037</v>
      </c>
      <c r="J64" s="647">
        <f>VLOOKUP(H64,'Owned Breakdown (Glass)'!$F:$R,3,FALSE)</f>
        <v>1667</v>
      </c>
      <c r="K64" s="647">
        <f>VLOOKUP(H64,'Owned Breakdown (Glass)'!$F:$R,4,FALSE)</f>
        <v>3913</v>
      </c>
      <c r="L64" s="647">
        <f>VLOOKUP(H64,'Owned Breakdown (Glass)'!$F:$R,2,FALSE)</f>
        <v>3091</v>
      </c>
      <c r="M64" s="647">
        <f t="shared" si="12"/>
        <v>105010</v>
      </c>
      <c r="N64" s="647">
        <f>VLOOKUP(H64,'Owned Breakdown (Glass)'!$F:$U,16,FALSE)</f>
        <v>117718</v>
      </c>
    </row>
    <row r="67" spans="8:19" ht="15">
      <c r="H67" s="629" t="s">
        <v>805</v>
      </c>
    </row>
    <row r="69" spans="8:19" ht="15">
      <c r="H69" s="648" t="s">
        <v>136</v>
      </c>
      <c r="I69" s="648" t="s">
        <v>806</v>
      </c>
      <c r="J69" s="648" t="s">
        <v>807</v>
      </c>
      <c r="K69" s="648" t="s">
        <v>1012</v>
      </c>
      <c r="L69" s="648" t="s">
        <v>809</v>
      </c>
      <c r="M69" s="648" t="s">
        <v>810</v>
      </c>
      <c r="N69" s="648" t="s">
        <v>811</v>
      </c>
      <c r="O69" s="648" t="s">
        <v>812</v>
      </c>
      <c r="P69" s="648" t="s">
        <v>315</v>
      </c>
      <c r="Q69" s="649" t="s">
        <v>813</v>
      </c>
      <c r="R69" s="649" t="s">
        <v>804</v>
      </c>
      <c r="S69" s="821" t="s">
        <v>814</v>
      </c>
    </row>
    <row r="70" spans="8:19">
      <c r="H70" s="643">
        <f t="shared" ref="H70:H79" si="13">H55</f>
        <v>202449</v>
      </c>
      <c r="I70" s="643">
        <f>VLOOKUP(H70,'Channel &amp; Campaign Metrics'!F:AA,3,FALSE)</f>
        <v>7852</v>
      </c>
      <c r="J70" s="643">
        <f>VLOOKUP(H70,'Channel &amp; Campaign Metrics'!$F:$AA,2,FALSE)</f>
        <v>13129</v>
      </c>
      <c r="K70" s="643">
        <f>VLOOKUP(H70,'Channel &amp; Campaign Metrics'!$F:$AA,6,FALSE)</f>
        <v>6787</v>
      </c>
      <c r="L70" s="643">
        <f>VLOOKUP(H70,'Channel &amp; Campaign Metrics'!$F:$AA,7,FALSE)</f>
        <v>8400</v>
      </c>
      <c r="M70" s="643">
        <f>VLOOKUP(H70,'Channel &amp; Campaign Metrics'!$F:$AA,10,FALSE)</f>
        <v>9771</v>
      </c>
      <c r="N70" s="643">
        <f>VLOOKUP(H70,'Channel &amp; Campaign Metrics'!$F:$AA,11,FALSE)</f>
        <v>5665</v>
      </c>
      <c r="O70" s="643">
        <f>VLOOKUP(H70,'Channel &amp; Campaign Metrics'!$F:$AA,19,0)</f>
        <v>0</v>
      </c>
      <c r="P70" s="650">
        <f>VLOOKUP(H70,'Channel &amp; Campaign Metrics'!$F:$AR,39,FALSE)</f>
        <v>1268734</v>
      </c>
      <c r="Q70" s="643">
        <f>VLOOKUP(H70,'Channel &amp; Campaign Metrics'!$F:$AA,21,FALSE)</f>
        <v>51604</v>
      </c>
      <c r="R70" s="643">
        <f t="shared" ref="R70:R79" si="14">Q70</f>
        <v>51604</v>
      </c>
      <c r="S70" s="643">
        <f>VLOOKUP(H70,'Channel &amp; Campaign Metrics'!$F:$AA,20,FALSE)</f>
        <v>15481.199999999997</v>
      </c>
    </row>
    <row r="71" spans="8:19">
      <c r="H71" s="643">
        <f t="shared" si="13"/>
        <v>202450</v>
      </c>
      <c r="I71" s="643">
        <f>VLOOKUP(H71,'Channel &amp; Campaign Metrics'!F:AA,3,FALSE)</f>
        <v>6160</v>
      </c>
      <c r="J71" s="643">
        <f>VLOOKUP(H71,'Channel &amp; Campaign Metrics'!$F:$AA,2,FALSE)</f>
        <v>8998</v>
      </c>
      <c r="K71" s="643">
        <f>VLOOKUP(H71,'Channel &amp; Campaign Metrics'!$F:$AA,6,FALSE)</f>
        <v>9141</v>
      </c>
      <c r="L71" s="643">
        <f>VLOOKUP(H71,'Channel &amp; Campaign Metrics'!$F:$AA,7,FALSE)</f>
        <v>6243</v>
      </c>
      <c r="M71" s="643">
        <f>VLOOKUP(H71,'Channel &amp; Campaign Metrics'!$F:$AA,10,FALSE)</f>
        <v>6643</v>
      </c>
      <c r="N71" s="643">
        <f>VLOOKUP(H71,'Channel &amp; Campaign Metrics'!$F:$AA,11,FALSE)</f>
        <v>6956</v>
      </c>
      <c r="O71" s="643">
        <f>VLOOKUP(H71,'Channel &amp; Campaign Metrics'!$F:$AA,19,0)</f>
        <v>0</v>
      </c>
      <c r="P71" s="650">
        <f>VLOOKUP(H71,'Channel &amp; Campaign Metrics'!$F:$AR,39,FALSE)</f>
        <v>1218263</v>
      </c>
      <c r="Q71" s="643">
        <f>VLOOKUP(H71,'Channel &amp; Campaign Metrics'!$F:$AA,21,FALSE)</f>
        <v>44141</v>
      </c>
      <c r="R71" s="643">
        <f t="shared" si="14"/>
        <v>44141</v>
      </c>
      <c r="S71" s="643">
        <f>VLOOKUP(H71,'Channel &amp; Campaign Metrics'!$F:$AA,20,FALSE)</f>
        <v>13242.300000000003</v>
      </c>
    </row>
    <row r="72" spans="8:19">
      <c r="H72" s="643">
        <f t="shared" si="13"/>
        <v>202451</v>
      </c>
      <c r="I72" s="643">
        <f>VLOOKUP(H72,'Channel &amp; Campaign Metrics'!F:AA,3,FALSE)</f>
        <v>13886</v>
      </c>
      <c r="J72" s="643">
        <f>VLOOKUP(H72,'Channel &amp; Campaign Metrics'!$F:$AA,2,FALSE)</f>
        <v>12585</v>
      </c>
      <c r="K72" s="643">
        <f>VLOOKUP(H72,'Channel &amp; Campaign Metrics'!$F:$AA,6,FALSE)</f>
        <v>6683</v>
      </c>
      <c r="L72" s="643">
        <f>VLOOKUP(H72,'Channel &amp; Campaign Metrics'!$F:$AA,7,FALSE)</f>
        <v>7275</v>
      </c>
      <c r="M72" s="643">
        <f>VLOOKUP(H72,'Channel &amp; Campaign Metrics'!$F:$AA,10,FALSE)</f>
        <v>6447</v>
      </c>
      <c r="N72" s="643">
        <f>VLOOKUP(H72,'Channel &amp; Campaign Metrics'!$F:$AA,11,FALSE)</f>
        <v>7175</v>
      </c>
      <c r="O72" s="643">
        <f>VLOOKUP(H72,'Channel &amp; Campaign Metrics'!$F:$AA,19,0)</f>
        <v>0</v>
      </c>
      <c r="P72" s="650">
        <f>VLOOKUP(H72,'Channel &amp; Campaign Metrics'!$F:$AR,39,FALSE)</f>
        <v>1225069</v>
      </c>
      <c r="Q72" s="643">
        <f>VLOOKUP(H72,'Channel &amp; Campaign Metrics'!$F:$AA,21,FALSE)</f>
        <v>54051</v>
      </c>
      <c r="R72" s="643">
        <f t="shared" si="14"/>
        <v>54051</v>
      </c>
      <c r="S72" s="643">
        <f>VLOOKUP(H72,'Channel &amp; Campaign Metrics'!$F:$AA,20,FALSE)</f>
        <v>16215.300000000003</v>
      </c>
    </row>
    <row r="73" spans="8:19">
      <c r="H73" s="643">
        <f t="shared" si="13"/>
        <v>202452</v>
      </c>
      <c r="I73" s="643">
        <f>VLOOKUP(H73,'Channel &amp; Campaign Metrics'!F:AA,3,FALSE)</f>
        <v>11048</v>
      </c>
      <c r="J73" s="643">
        <f>VLOOKUP(H73,'Channel &amp; Campaign Metrics'!$F:$AA,2,FALSE)</f>
        <v>8191</v>
      </c>
      <c r="K73" s="643">
        <f>VLOOKUP(H73,'Channel &amp; Campaign Metrics'!$F:$AA,6,FALSE)</f>
        <v>6960</v>
      </c>
      <c r="L73" s="643">
        <f>VLOOKUP(H73,'Channel &amp; Campaign Metrics'!$F:$AA,7,FALSE)</f>
        <v>9492</v>
      </c>
      <c r="M73" s="643">
        <f>VLOOKUP(H73,'Channel &amp; Campaign Metrics'!$F:$AA,10,FALSE)</f>
        <v>5186</v>
      </c>
      <c r="N73" s="643">
        <f>VLOOKUP(H73,'Channel &amp; Campaign Metrics'!$F:$AA,11,FALSE)</f>
        <v>7618</v>
      </c>
      <c r="O73" s="643">
        <f>VLOOKUP(H73,'Channel &amp; Campaign Metrics'!$F:$AA,19,0)</f>
        <v>0</v>
      </c>
      <c r="P73" s="650">
        <f>VLOOKUP(H73,'Channel &amp; Campaign Metrics'!$F:$AR,39,FALSE)</f>
        <v>1182991</v>
      </c>
      <c r="Q73" s="643">
        <f>VLOOKUP(H73,'Channel &amp; Campaign Metrics'!$F:$AA,21,FALSE)</f>
        <v>48495</v>
      </c>
      <c r="R73" s="643">
        <f t="shared" si="14"/>
        <v>48495</v>
      </c>
      <c r="S73" s="643">
        <f>VLOOKUP(H73,'Channel &amp; Campaign Metrics'!$F:$AA,20,FALSE)</f>
        <v>14548.5</v>
      </c>
    </row>
    <row r="74" spans="8:19">
      <c r="H74" s="643">
        <f t="shared" si="13"/>
        <v>202453</v>
      </c>
      <c r="I74" s="643">
        <f>VLOOKUP(H74,'Channel &amp; Campaign Metrics'!F:AA,3,FALSE)</f>
        <v>9238</v>
      </c>
      <c r="J74" s="643">
        <f>VLOOKUP(H74,'Channel &amp; Campaign Metrics'!$F:$AA,2,FALSE)</f>
        <v>6495</v>
      </c>
      <c r="K74" s="643">
        <f>VLOOKUP(H74,'Channel &amp; Campaign Metrics'!$F:$AA,6,FALSE)</f>
        <v>7788</v>
      </c>
      <c r="L74" s="643">
        <f>VLOOKUP(H74,'Channel &amp; Campaign Metrics'!$F:$AA,7,FALSE)</f>
        <v>8029</v>
      </c>
      <c r="M74" s="643">
        <f>VLOOKUP(H74,'Channel &amp; Campaign Metrics'!$F:$AA,10,FALSE)</f>
        <v>5464</v>
      </c>
      <c r="N74" s="643">
        <f>VLOOKUP(H74,'Channel &amp; Campaign Metrics'!$F:$AA,11,FALSE)</f>
        <v>5290</v>
      </c>
      <c r="O74" s="643">
        <f>VLOOKUP(H74,'Channel &amp; Campaign Metrics'!$F:$AA,19,0)</f>
        <v>0</v>
      </c>
      <c r="P74" s="650">
        <f>VLOOKUP(H74,'Channel &amp; Campaign Metrics'!$F:$AR,39,FALSE)</f>
        <v>1200930</v>
      </c>
      <c r="Q74" s="643">
        <f>VLOOKUP(H74,'Channel &amp; Campaign Metrics'!$F:$AA,21,FALSE)</f>
        <v>42304</v>
      </c>
      <c r="R74" s="643">
        <f t="shared" si="14"/>
        <v>42304</v>
      </c>
      <c r="S74" s="643">
        <f>VLOOKUP(H74,'Channel &amp; Campaign Metrics'!$F:$AA,20,FALSE)</f>
        <v>12691.199999999997</v>
      </c>
    </row>
    <row r="75" spans="8:19">
      <c r="H75" s="643">
        <f t="shared" si="13"/>
        <v>202501</v>
      </c>
      <c r="I75" s="643">
        <f>VLOOKUP(H75,'Channel &amp; Campaign Metrics'!F:AA,3,FALSE)</f>
        <v>11022</v>
      </c>
      <c r="J75" s="643">
        <f>VLOOKUP(H75,'Channel &amp; Campaign Metrics'!$F:$AA,2,FALSE)</f>
        <v>7520</v>
      </c>
      <c r="K75" s="643">
        <f>VLOOKUP(H75,'Channel &amp; Campaign Metrics'!$F:$AA,6,FALSE)</f>
        <v>7964</v>
      </c>
      <c r="L75" s="643">
        <f>VLOOKUP(H75,'Channel &amp; Campaign Metrics'!$F:$AA,7,FALSE)</f>
        <v>7143</v>
      </c>
      <c r="M75" s="643">
        <f>VLOOKUP(H75,'Channel &amp; Campaign Metrics'!$F:$AA,10,FALSE)</f>
        <v>6728</v>
      </c>
      <c r="N75" s="643">
        <f>VLOOKUP(H75,'Channel &amp; Campaign Metrics'!$F:$AA,11,FALSE)</f>
        <v>9393</v>
      </c>
      <c r="O75" s="643">
        <f>VLOOKUP(H75,'Channel &amp; Campaign Metrics'!$F:$AA,19,0)</f>
        <v>0</v>
      </c>
      <c r="P75" s="650">
        <f>VLOOKUP(H75,'Channel &amp; Campaign Metrics'!$F:$AR,39,FALSE)</f>
        <v>1124309</v>
      </c>
      <c r="Q75" s="643">
        <f>VLOOKUP(H75,'Channel &amp; Campaign Metrics'!$F:$AA,21,FALSE)</f>
        <v>49770</v>
      </c>
      <c r="R75" s="643">
        <f t="shared" si="14"/>
        <v>49770</v>
      </c>
      <c r="S75" s="643">
        <f>VLOOKUP(H75,'Channel &amp; Campaign Metrics'!$F:$AA,20,FALSE)</f>
        <v>14931</v>
      </c>
    </row>
    <row r="76" spans="8:19">
      <c r="H76" s="643">
        <f t="shared" si="13"/>
        <v>202502</v>
      </c>
      <c r="I76" s="643">
        <f>VLOOKUP(H76,'Channel &amp; Campaign Metrics'!F:AA,3,FALSE)</f>
        <v>8709</v>
      </c>
      <c r="J76" s="643">
        <f>VLOOKUP(H76,'Channel &amp; Campaign Metrics'!$F:$AA,2,FALSE)</f>
        <v>13377</v>
      </c>
      <c r="K76" s="643">
        <f>VLOOKUP(H76,'Channel &amp; Campaign Metrics'!$F:$AA,6,FALSE)</f>
        <v>7572</v>
      </c>
      <c r="L76" s="643">
        <f>VLOOKUP(H76,'Channel &amp; Campaign Metrics'!$F:$AA,7,FALSE)</f>
        <v>7262</v>
      </c>
      <c r="M76" s="643">
        <f>VLOOKUP(H76,'Channel &amp; Campaign Metrics'!$F:$AA,10,FALSE)</f>
        <v>7961</v>
      </c>
      <c r="N76" s="643">
        <f>VLOOKUP(H76,'Channel &amp; Campaign Metrics'!$F:$AA,11,FALSE)</f>
        <v>5048</v>
      </c>
      <c r="O76" s="643">
        <f>VLOOKUP(H76,'Channel &amp; Campaign Metrics'!$F:$AA,19,0)</f>
        <v>0</v>
      </c>
      <c r="P76" s="650">
        <f>VLOOKUP(H76,'Channel &amp; Campaign Metrics'!$F:$AR,39,FALSE)</f>
        <v>1173559</v>
      </c>
      <c r="Q76" s="643">
        <f>VLOOKUP(H76,'Channel &amp; Campaign Metrics'!$F:$AA,21,FALSE)</f>
        <v>49929</v>
      </c>
      <c r="R76" s="643">
        <f t="shared" si="14"/>
        <v>49929</v>
      </c>
      <c r="S76" s="643">
        <f>VLOOKUP(H76,'Channel &amp; Campaign Metrics'!$F:$AA,20,FALSE)</f>
        <v>14978.699999999997</v>
      </c>
    </row>
    <row r="77" spans="8:19">
      <c r="H77" s="643">
        <f t="shared" si="13"/>
        <v>202503</v>
      </c>
      <c r="I77" s="643">
        <f>VLOOKUP(H77,'Channel &amp; Campaign Metrics'!F:AA,3,FALSE)</f>
        <v>10046</v>
      </c>
      <c r="J77" s="643">
        <f>VLOOKUP(H77,'Channel &amp; Campaign Metrics'!$F:$AA,2,FALSE)</f>
        <v>10159</v>
      </c>
      <c r="K77" s="643">
        <f>VLOOKUP(H77,'Channel &amp; Campaign Metrics'!$F:$AA,6,FALSE)</f>
        <v>5350</v>
      </c>
      <c r="L77" s="643">
        <f>VLOOKUP(H77,'Channel &amp; Campaign Metrics'!$F:$AA,7,FALSE)</f>
        <v>7716</v>
      </c>
      <c r="M77" s="643">
        <f>VLOOKUP(H77,'Channel &amp; Campaign Metrics'!$F:$AA,10,FALSE)</f>
        <v>9673</v>
      </c>
      <c r="N77" s="643">
        <f>VLOOKUP(H77,'Channel &amp; Campaign Metrics'!$F:$AA,11,FALSE)</f>
        <v>7000</v>
      </c>
      <c r="O77" s="643">
        <f>VLOOKUP(H77,'Channel &amp; Campaign Metrics'!$F:$AA,19,0)</f>
        <v>0</v>
      </c>
      <c r="P77" s="650">
        <f>VLOOKUP(H77,'Channel &amp; Campaign Metrics'!$F:$AR,39,FALSE)</f>
        <v>1169097</v>
      </c>
      <c r="Q77" s="643">
        <f>VLOOKUP(H77,'Channel &amp; Campaign Metrics'!$F:$AA,21,FALSE)</f>
        <v>49944</v>
      </c>
      <c r="R77" s="643">
        <f t="shared" si="14"/>
        <v>49944</v>
      </c>
      <c r="S77" s="643">
        <f>VLOOKUP(H77,'Channel &amp; Campaign Metrics'!$F:$AA,20,FALSE)</f>
        <v>14983.200000000004</v>
      </c>
    </row>
    <row r="78" spans="8:19">
      <c r="H78" s="643">
        <f t="shared" si="13"/>
        <v>202504</v>
      </c>
      <c r="I78" s="643">
        <f>VLOOKUP(H78,'Channel &amp; Campaign Metrics'!F:AA,3,FALSE)</f>
        <v>14175</v>
      </c>
      <c r="J78" s="643">
        <f>VLOOKUP(H78,'Channel &amp; Campaign Metrics'!$F:$AA,2,FALSE)</f>
        <v>10111</v>
      </c>
      <c r="K78" s="643">
        <f>VLOOKUP(H78,'Channel &amp; Campaign Metrics'!$F:$AA,6,FALSE)</f>
        <v>9365</v>
      </c>
      <c r="L78" s="643">
        <f>VLOOKUP(H78,'Channel &amp; Campaign Metrics'!$F:$AA,7,FALSE)</f>
        <v>6909</v>
      </c>
      <c r="M78" s="643">
        <f>VLOOKUP(H78,'Channel &amp; Campaign Metrics'!$F:$AA,10,FALSE)</f>
        <v>6492</v>
      </c>
      <c r="N78" s="643">
        <f>VLOOKUP(H78,'Channel &amp; Campaign Metrics'!$F:$AA,11,FALSE)</f>
        <v>5013</v>
      </c>
      <c r="O78" s="643">
        <f>VLOOKUP(H78,'Channel &amp; Campaign Metrics'!$F:$AA,19,0)</f>
        <v>0</v>
      </c>
      <c r="P78" s="650">
        <f>VLOOKUP(H78,'Channel &amp; Campaign Metrics'!$F:$AR,39,FALSE)</f>
        <v>1279132</v>
      </c>
      <c r="Q78" s="643">
        <f>VLOOKUP(H78,'Channel &amp; Campaign Metrics'!$F:$AA,21,FALSE)</f>
        <v>52065</v>
      </c>
      <c r="R78" s="643">
        <f t="shared" si="14"/>
        <v>52065</v>
      </c>
      <c r="S78" s="643">
        <f>VLOOKUP(H78,'Channel &amp; Campaign Metrics'!$F:$AA,20,FALSE)</f>
        <v>15619.5</v>
      </c>
    </row>
    <row r="79" spans="8:19">
      <c r="H79" s="643">
        <f t="shared" si="13"/>
        <v>202505</v>
      </c>
      <c r="I79" s="643">
        <f>VLOOKUP(H79,'Channel &amp; Campaign Metrics'!F:AA,3,FALSE)</f>
        <v>10818</v>
      </c>
      <c r="J79" s="643">
        <f>VLOOKUP(H79,'Channel &amp; Campaign Metrics'!$F:$AA,2,FALSE)</f>
        <v>9410</v>
      </c>
      <c r="K79" s="643">
        <f>VLOOKUP(H79,'Channel &amp; Campaign Metrics'!$F:$AA,6,FALSE)</f>
        <v>8631</v>
      </c>
      <c r="L79" s="643">
        <f>VLOOKUP(H79,'Channel &amp; Campaign Metrics'!$F:$AA,7,FALSE)</f>
        <v>7635</v>
      </c>
      <c r="M79" s="643">
        <f>VLOOKUP(H79,'Channel &amp; Campaign Metrics'!$F:$AA,10,FALSE)</f>
        <v>6128</v>
      </c>
      <c r="N79" s="643">
        <f>VLOOKUP(H79,'Channel &amp; Campaign Metrics'!$F:$AA,11,FALSE)</f>
        <v>8388</v>
      </c>
      <c r="O79" s="643">
        <f>VLOOKUP(H79,'Channel &amp; Campaign Metrics'!$F:$AA,19,0)</f>
        <v>7788</v>
      </c>
      <c r="P79" s="650">
        <f>VLOOKUP(H79,'Channel &amp; Campaign Metrics'!$F:$AR,39,FALSE)</f>
        <v>1204261</v>
      </c>
      <c r="Q79" s="643">
        <f>VLOOKUP(H79,'Channel &amp; Campaign Metrics'!$F:$AA,21,FALSE)</f>
        <v>58798</v>
      </c>
      <c r="R79" s="643">
        <f t="shared" si="14"/>
        <v>58798</v>
      </c>
      <c r="S79" s="643">
        <f>VLOOKUP(H79,'Channel &amp; Campaign Metrics'!$F:$AA,20,FALSE)</f>
        <v>17639.399999999994</v>
      </c>
    </row>
    <row r="82" spans="8:17" ht="15">
      <c r="H82" s="648" t="str">
        <f>Q13</f>
        <v>FY26 WK04</v>
      </c>
      <c r="I82" s="648" t="str">
        <f>J69</f>
        <v>Meta</v>
      </c>
      <c r="J82" s="648" t="str">
        <f>L69</f>
        <v>inMobi</v>
      </c>
      <c r="K82" s="648" t="s">
        <v>806</v>
      </c>
      <c r="L82" s="648" t="s">
        <v>815</v>
      </c>
      <c r="M82" s="648" t="s">
        <v>1012</v>
      </c>
      <c r="N82" s="648" t="s">
        <v>811</v>
      </c>
      <c r="O82" s="648" t="s">
        <v>812</v>
      </c>
      <c r="P82" s="648" t="str">
        <f>Q14</f>
        <v>FY26 WK05</v>
      </c>
      <c r="Q82" s="648" t="s">
        <v>814</v>
      </c>
    </row>
    <row r="83" spans="8:17">
      <c r="H83" s="651">
        <f>R78</f>
        <v>52065</v>
      </c>
      <c r="I83" s="651">
        <f>J79-J78</f>
        <v>-701</v>
      </c>
      <c r="J83" s="651">
        <f>L79-L78</f>
        <v>726</v>
      </c>
      <c r="K83" s="651">
        <f>I79-I78</f>
        <v>-3357</v>
      </c>
      <c r="L83" s="651">
        <f>M79-M78</f>
        <v>-364</v>
      </c>
      <c r="M83" s="651">
        <f>K79-K78</f>
        <v>-734</v>
      </c>
      <c r="N83" s="651">
        <f>N79-N78</f>
        <v>3375</v>
      </c>
      <c r="O83" s="651">
        <f>O79-O78</f>
        <v>7788</v>
      </c>
      <c r="P83" s="651">
        <f>R79</f>
        <v>58798</v>
      </c>
      <c r="Q83" s="651">
        <f>S79-S78</f>
        <v>2019.8999999999942</v>
      </c>
    </row>
    <row r="86" spans="8:17" ht="15">
      <c r="H86" s="629" t="s">
        <v>816</v>
      </c>
    </row>
    <row r="88" spans="8:17" ht="15">
      <c r="H88" s="648" t="s">
        <v>136</v>
      </c>
      <c r="I88" s="648" t="s">
        <v>807</v>
      </c>
      <c r="J88" s="648" t="s">
        <v>806</v>
      </c>
      <c r="K88" s="648" t="s">
        <v>315</v>
      </c>
    </row>
    <row r="89" spans="8:17">
      <c r="H89" s="643">
        <f t="shared" ref="H89:H98" si="15">H70</f>
        <v>202449</v>
      </c>
      <c r="I89" s="652">
        <f>VLOOKUP($H89,'Channel &amp; Campaign Metrics'!$F:BJ,COLUMNS('Channel &amp; Campaign Metrics'!$F:BJ),FALSE)</f>
        <v>154703</v>
      </c>
      <c r="J89" s="652">
        <f>VLOOKUP($H89,'Channel &amp; Campaign Metrics'!$F:BK,COLUMNS('Channel &amp; Campaign Metrics'!$F:BK),FALSE)</f>
        <v>307252</v>
      </c>
      <c r="K89" s="652">
        <f>VLOOKUP($H89,'Channel &amp; Campaign Metrics'!$F:BS,COLUMNS('Channel &amp; Campaign Metrics'!$F:BS),FALSE)</f>
        <v>645533</v>
      </c>
    </row>
    <row r="90" spans="8:17">
      <c r="H90" s="643">
        <f t="shared" si="15"/>
        <v>202450</v>
      </c>
      <c r="I90" s="652">
        <f>VLOOKUP($H90,'Channel &amp; Campaign Metrics'!$F:BJ,COLUMNS('Channel &amp; Campaign Metrics'!$F:BJ),FALSE)</f>
        <v>159435</v>
      </c>
      <c r="J90" s="652">
        <f>VLOOKUP($H90,'Channel &amp; Campaign Metrics'!$F:BK,COLUMNS('Channel &amp; Campaign Metrics'!$F:BK),FALSE)</f>
        <v>257476</v>
      </c>
      <c r="K90" s="652">
        <f>VLOOKUP($H90,'Channel &amp; Campaign Metrics'!$F:BS,COLUMNS('Channel &amp; Campaign Metrics'!$F:BS),FALSE)</f>
        <v>632663</v>
      </c>
    </row>
    <row r="91" spans="8:17">
      <c r="H91" s="643">
        <f t="shared" si="15"/>
        <v>202451</v>
      </c>
      <c r="I91" s="652">
        <f>VLOOKUP($H91,'Channel &amp; Campaign Metrics'!$F:BJ,COLUMNS('Channel &amp; Campaign Metrics'!$F:BJ),FALSE)</f>
        <v>132534</v>
      </c>
      <c r="J91" s="652">
        <f>VLOOKUP($H91,'Channel &amp; Campaign Metrics'!$F:BK,COLUMNS('Channel &amp; Campaign Metrics'!$F:BK),FALSE)</f>
        <v>291289</v>
      </c>
      <c r="K91" s="652">
        <f>VLOOKUP($H91,'Channel &amp; Campaign Metrics'!$F:BS,COLUMNS('Channel &amp; Campaign Metrics'!$F:BS),FALSE)</f>
        <v>530727</v>
      </c>
    </row>
    <row r="92" spans="8:17">
      <c r="H92" s="643">
        <f t="shared" si="15"/>
        <v>202452</v>
      </c>
      <c r="I92" s="652">
        <f>VLOOKUP($H92,'Channel &amp; Campaign Metrics'!$F:BJ,COLUMNS('Channel &amp; Campaign Metrics'!$F:BJ),FALSE)</f>
        <v>168033</v>
      </c>
      <c r="J92" s="652">
        <f>VLOOKUP($H92,'Channel &amp; Campaign Metrics'!$F:BK,COLUMNS('Channel &amp; Campaign Metrics'!$F:BK),FALSE)</f>
        <v>326841</v>
      </c>
      <c r="K92" s="652">
        <f>VLOOKUP($H92,'Channel &amp; Campaign Metrics'!$F:BS,COLUMNS('Channel &amp; Campaign Metrics'!$F:BS),FALSE)</f>
        <v>597237</v>
      </c>
    </row>
    <row r="93" spans="8:17">
      <c r="H93" s="643">
        <f t="shared" si="15"/>
        <v>202453</v>
      </c>
      <c r="I93" s="652">
        <f>VLOOKUP($H93,'Channel &amp; Campaign Metrics'!$F:BJ,COLUMNS('Channel &amp; Campaign Metrics'!$F:BJ),FALSE)</f>
        <v>133609</v>
      </c>
      <c r="J93" s="652">
        <f>VLOOKUP($H93,'Channel &amp; Campaign Metrics'!$F:BK,COLUMNS('Channel &amp; Campaign Metrics'!$F:BK),FALSE)</f>
        <v>303291</v>
      </c>
      <c r="K93" s="652">
        <f>VLOOKUP($H93,'Channel &amp; Campaign Metrics'!$F:BS,COLUMNS('Channel &amp; Campaign Metrics'!$F:BS),FALSE)</f>
        <v>671207</v>
      </c>
    </row>
    <row r="94" spans="8:17">
      <c r="H94" s="643">
        <f t="shared" si="15"/>
        <v>202501</v>
      </c>
      <c r="I94" s="652">
        <f>VLOOKUP($H94,'Channel &amp; Campaign Metrics'!$F:BJ,COLUMNS('Channel &amp; Campaign Metrics'!$F:BJ),FALSE)</f>
        <v>146850</v>
      </c>
      <c r="J94" s="652">
        <f>VLOOKUP($H94,'Channel &amp; Campaign Metrics'!$F:BK,COLUMNS('Channel &amp; Campaign Metrics'!$F:BK),FALSE)</f>
        <v>310644</v>
      </c>
      <c r="K94" s="652">
        <f>VLOOKUP($H94,'Channel &amp; Campaign Metrics'!$F:BS,COLUMNS('Channel &amp; Campaign Metrics'!$F:BS),FALSE)</f>
        <v>678801</v>
      </c>
    </row>
    <row r="95" spans="8:17">
      <c r="H95" s="643">
        <f t="shared" si="15"/>
        <v>202502</v>
      </c>
      <c r="I95" s="652">
        <f>VLOOKUP($H95,'Channel &amp; Campaign Metrics'!$F:BJ,COLUMNS('Channel &amp; Campaign Metrics'!$F:BJ),FALSE)</f>
        <v>158338</v>
      </c>
      <c r="J95" s="652">
        <f>VLOOKUP($H95,'Channel &amp; Campaign Metrics'!$F:BK,COLUMNS('Channel &amp; Campaign Metrics'!$F:BK),FALSE)</f>
        <v>277770</v>
      </c>
      <c r="K95" s="652">
        <f>VLOOKUP($H95,'Channel &amp; Campaign Metrics'!$F:BS,COLUMNS('Channel &amp; Campaign Metrics'!$F:BS),FALSE)</f>
        <v>491328</v>
      </c>
    </row>
    <row r="96" spans="8:17">
      <c r="H96" s="643">
        <f t="shared" si="15"/>
        <v>202503</v>
      </c>
      <c r="I96" s="652">
        <f>VLOOKUP($H96,'Channel &amp; Campaign Metrics'!$F:BJ,COLUMNS('Channel &amp; Campaign Metrics'!$F:BJ),FALSE)</f>
        <v>119173</v>
      </c>
      <c r="J96" s="652">
        <f>VLOOKUP($H96,'Channel &amp; Campaign Metrics'!$F:BK,COLUMNS('Channel &amp; Campaign Metrics'!$F:BK),FALSE)</f>
        <v>312241</v>
      </c>
      <c r="K96" s="652">
        <f>VLOOKUP($H96,'Channel &amp; Campaign Metrics'!$F:BS,COLUMNS('Channel &amp; Campaign Metrics'!$F:BS),FALSE)</f>
        <v>604727</v>
      </c>
    </row>
    <row r="97" spans="8:16">
      <c r="H97" s="643">
        <f t="shared" si="15"/>
        <v>202504</v>
      </c>
      <c r="I97" s="652">
        <f>VLOOKUP($H97,'Channel &amp; Campaign Metrics'!$F:BJ,COLUMNS('Channel &amp; Campaign Metrics'!$F:BJ),FALSE)</f>
        <v>144507</v>
      </c>
      <c r="J97" s="652">
        <f>VLOOKUP($H97,'Channel &amp; Campaign Metrics'!$F:BK,COLUMNS('Channel &amp; Campaign Metrics'!$F:BK),FALSE)</f>
        <v>301252</v>
      </c>
      <c r="K97" s="652">
        <f>VLOOKUP($H97,'Channel &amp; Campaign Metrics'!$F:BS,COLUMNS('Channel &amp; Campaign Metrics'!$F:BS),FALSE)</f>
        <v>611363</v>
      </c>
    </row>
    <row r="98" spans="8:16">
      <c r="H98" s="643">
        <f t="shared" si="15"/>
        <v>202505</v>
      </c>
      <c r="I98" s="652">
        <f>VLOOKUP($H98,'Channel &amp; Campaign Metrics'!$F:BJ,COLUMNS('Channel &amp; Campaign Metrics'!$F:BJ),FALSE)</f>
        <v>137457</v>
      </c>
      <c r="J98" s="652">
        <f>VLOOKUP($H98,'Channel &amp; Campaign Metrics'!$F:BK,COLUMNS('Channel &amp; Campaign Metrics'!$F:BK),FALSE)</f>
        <v>300631</v>
      </c>
      <c r="K98" s="652">
        <f>VLOOKUP($H98,'Channel &amp; Campaign Metrics'!$F:BS,COLUMNS('Channel &amp; Campaign Metrics'!$F:BS),FALSE)</f>
        <v>553773</v>
      </c>
    </row>
    <row r="101" spans="8:16" ht="15">
      <c r="H101" s="629" t="s">
        <v>817</v>
      </c>
    </row>
    <row r="103" spans="8:16" ht="15">
      <c r="H103" s="648" t="s">
        <v>136</v>
      </c>
      <c r="I103" s="648" t="s">
        <v>792</v>
      </c>
      <c r="J103" s="648" t="s">
        <v>793</v>
      </c>
      <c r="K103" s="648" t="s">
        <v>794</v>
      </c>
      <c r="L103" s="648" t="s">
        <v>818</v>
      </c>
      <c r="M103" s="648" t="s">
        <v>795</v>
      </c>
    </row>
    <row r="104" spans="8:16" ht="15">
      <c r="H104" s="643">
        <f t="shared" ref="H104:H113" si="16">H89</f>
        <v>202449</v>
      </c>
      <c r="I104" s="652">
        <f>VLOOKUP(H104,'Glass Metrics'!$F:$AC,24,FALSE)</f>
        <v>186469</v>
      </c>
      <c r="J104" s="652">
        <f>VLOOKUP(IF(RIGHT(H104,2)="53", H104-52, IF(LEFT(H104,4)="2025", H104-99, H104-100)),'Glass Metrics'!$F:$AC,24,FALSE)</f>
        <v>122171</v>
      </c>
      <c r="K104" s="652">
        <f>VLOOKUP(H104,Forecast!$F:$AZ,47,FALSE)</f>
        <v>135127</v>
      </c>
      <c r="L104" s="640">
        <f t="shared" ref="L104:L113" si="17">I104/K104-1</f>
        <v>0.37995367321112727</v>
      </c>
      <c r="M104" s="640">
        <f t="shared" ref="M104:M113" si="18">I104/J104-1</f>
        <v>0.52629511095104409</v>
      </c>
      <c r="O104" s="965">
        <v>-7.8778291010305312E-2</v>
      </c>
      <c r="P104" s="965">
        <v>-0.16384226710556615</v>
      </c>
    </row>
    <row r="105" spans="8:16" ht="15">
      <c r="H105" s="643">
        <f t="shared" si="16"/>
        <v>202450</v>
      </c>
      <c r="I105" s="652">
        <f>VLOOKUP(H105,'Glass Metrics'!$F:$AC,24,FALSE)</f>
        <v>123452</v>
      </c>
      <c r="J105" s="652">
        <f>VLOOKUP(IF(RIGHT(H105,2)="53", H105-52, IF(LEFT(H105,4)="2025", H105-99, H105-100)),'Glass Metrics'!$F:$AC,24,FALSE)</f>
        <v>147642</v>
      </c>
      <c r="K105" s="652">
        <f>VLOOKUP(H105,Forecast!$F:$AZ,47,FALSE)</f>
        <v>134009</v>
      </c>
      <c r="L105" s="640">
        <f t="shared" si="17"/>
        <v>-7.8778291010305312E-2</v>
      </c>
      <c r="M105" s="640">
        <f t="shared" si="18"/>
        <v>-0.16384226710556615</v>
      </c>
      <c r="O105" s="965">
        <v>0.16750279110904898</v>
      </c>
      <c r="P105" s="965">
        <v>0.39221432646921528</v>
      </c>
    </row>
    <row r="106" spans="8:16" ht="15">
      <c r="H106" s="643">
        <f t="shared" si="16"/>
        <v>202451</v>
      </c>
      <c r="I106" s="652">
        <f>VLOOKUP(H106,'Glass Metrics'!$F:$AC,24,FALSE)</f>
        <v>161043</v>
      </c>
      <c r="J106" s="652">
        <f>VLOOKUP(IF(RIGHT(H106,2)="53", H106-52, IF(LEFT(H106,4)="2025", H106-99, H106-100)),'Glass Metrics'!$F:$AC,24,FALSE)</f>
        <v>115674</v>
      </c>
      <c r="K106" s="652">
        <f>VLOOKUP(H106,Forecast!$F:$AZ,47,FALSE)</f>
        <v>137938</v>
      </c>
      <c r="L106" s="640">
        <f t="shared" si="17"/>
        <v>0.16750279110904898</v>
      </c>
      <c r="M106" s="640">
        <f t="shared" si="18"/>
        <v>0.39221432646921528</v>
      </c>
      <c r="O106" s="965">
        <v>-0.35161430009504158</v>
      </c>
      <c r="P106" s="965">
        <v>-0.27414094863949434</v>
      </c>
    </row>
    <row r="107" spans="8:16" ht="15">
      <c r="H107" s="643">
        <f t="shared" si="16"/>
        <v>202452</v>
      </c>
      <c r="I107" s="652">
        <f>VLOOKUP(H107,'Glass Metrics'!$F:$AC,24,FALSE)</f>
        <v>115294</v>
      </c>
      <c r="J107" s="652">
        <f>VLOOKUP(IF(RIGHT(H107,2)="53", H107-52, IF(LEFT(H107,4)="2025", H107-99, H107-100)),'Glass Metrics'!$F:$AC,24,FALSE)</f>
        <v>158838</v>
      </c>
      <c r="K107" s="652">
        <f>VLOOKUP(H107,Forecast!$F:$AZ,47,FALSE)</f>
        <v>177817</v>
      </c>
      <c r="L107" s="640">
        <f t="shared" si="17"/>
        <v>-0.35161430009504158</v>
      </c>
      <c r="M107" s="640">
        <f t="shared" si="18"/>
        <v>-0.27414094863949434</v>
      </c>
      <c r="O107" s="965">
        <v>2.3812146049374761E-2</v>
      </c>
      <c r="P107" s="965">
        <v>0.12558788666692156</v>
      </c>
    </row>
    <row r="108" spans="8:16" ht="15">
      <c r="H108" s="643">
        <f t="shared" si="16"/>
        <v>202453</v>
      </c>
      <c r="I108" s="652">
        <f>VLOOKUP(H108,'Glass Metrics'!$F:$AC,24,FALSE)</f>
        <v>176625</v>
      </c>
      <c r="J108" s="652">
        <f>VLOOKUP(IF(RIGHT(H108,2)="53", H108-52, IF(LEFT(H108,4)="2025", H108-99, H108-100)),'Glass Metrics'!$F:$AC,24,FALSE)</f>
        <v>156918</v>
      </c>
      <c r="K108" s="652">
        <f>VLOOKUP(H108,Forecast!$F:$AZ,47,FALSE)</f>
        <v>172517</v>
      </c>
      <c r="L108" s="640">
        <f t="shared" si="17"/>
        <v>2.3812146049374761E-2</v>
      </c>
      <c r="M108" s="640">
        <f t="shared" si="18"/>
        <v>0.12558788666692156</v>
      </c>
      <c r="O108" s="965">
        <v>0.23454864769933259</v>
      </c>
      <c r="P108" s="965">
        <v>0.27403616117386065</v>
      </c>
    </row>
    <row r="109" spans="8:16" ht="15">
      <c r="H109" s="643">
        <f t="shared" si="16"/>
        <v>202501</v>
      </c>
      <c r="I109" s="652">
        <f>VLOOKUP(H109,'Glass Metrics'!$F:$AC,24,FALSE)</f>
        <v>175738</v>
      </c>
      <c r="J109" s="652">
        <f>VLOOKUP(IF(RIGHT(H109,2)="53", H109-52, IF(LEFT(H109,4)="2025", H109-99, H109-100)),'Glass Metrics'!$F:$AC,24,FALSE)</f>
        <v>137938</v>
      </c>
      <c r="K109" s="652">
        <f>VLOOKUP(H109,Forecast!$F:$AZ,47,FALSE)</f>
        <v>142350</v>
      </c>
      <c r="L109" s="640">
        <f t="shared" si="17"/>
        <v>0.23454864769933259</v>
      </c>
      <c r="M109" s="640">
        <f t="shared" si="18"/>
        <v>0.27403616117386065</v>
      </c>
      <c r="O109" s="965">
        <v>0.21390209358742451</v>
      </c>
      <c r="P109" s="965">
        <v>-2.6336064605746334E-2</v>
      </c>
    </row>
    <row r="110" spans="8:16" ht="15">
      <c r="H110" s="643">
        <f t="shared" si="16"/>
        <v>202502</v>
      </c>
      <c r="I110" s="652">
        <f>VLOOKUP(H110,'Glass Metrics'!$F:$AC,24,FALSE)</f>
        <v>173134</v>
      </c>
      <c r="J110" s="652">
        <f>VLOOKUP(IF(RIGHT(H110,2)="53", H110-52, IF(LEFT(H110,4)="2025", H110-99, H110-100)),'Glass Metrics'!$F:$AC,24,FALSE)</f>
        <v>177817</v>
      </c>
      <c r="K110" s="652">
        <f>VLOOKUP(H110,Forecast!$F:$AZ,47,FALSE)</f>
        <v>142626</v>
      </c>
      <c r="L110" s="640">
        <f t="shared" si="17"/>
        <v>0.21390209358742451</v>
      </c>
      <c r="M110" s="640">
        <f t="shared" si="18"/>
        <v>-2.6336064605746334E-2</v>
      </c>
      <c r="O110" s="965">
        <v>0.15114771024565909</v>
      </c>
      <c r="P110" s="965">
        <v>5.9872360405061498E-2</v>
      </c>
    </row>
    <row r="111" spans="8:16" ht="15">
      <c r="H111" s="643">
        <f t="shared" si="16"/>
        <v>202503</v>
      </c>
      <c r="I111" s="652">
        <f>VLOOKUP(H111,'Glass Metrics'!$F:$AC,24,FALSE)</f>
        <v>182846</v>
      </c>
      <c r="J111" s="652">
        <f>VLOOKUP(IF(RIGHT(H111,2)="53", H111-52, IF(LEFT(H111,4)="2025", H111-99, H111-100)),'Glass Metrics'!$F:$AC,24,FALSE)</f>
        <v>172517</v>
      </c>
      <c r="K111" s="652">
        <f>VLOOKUP(H111,Forecast!$F:$AZ,47,FALSE)</f>
        <v>158838</v>
      </c>
      <c r="L111" s="640">
        <f t="shared" si="17"/>
        <v>0.15114771024565909</v>
      </c>
      <c r="M111" s="640">
        <f t="shared" si="18"/>
        <v>5.9872360405061498E-2</v>
      </c>
      <c r="O111" s="965">
        <v>-0.24030956870420317</v>
      </c>
      <c r="P111" s="965">
        <v>-0.1056199508254303</v>
      </c>
    </row>
    <row r="112" spans="8:16" ht="15">
      <c r="H112" s="643">
        <f t="shared" si="16"/>
        <v>202504</v>
      </c>
      <c r="I112" s="652">
        <f>VLOOKUP(H112,'Glass Metrics'!$F:$AC,24,FALSE)</f>
        <v>127315</v>
      </c>
      <c r="J112" s="652">
        <f>VLOOKUP(IF(RIGHT(H112,2)="53", H112-52, IF(LEFT(H112,4)="2025", H112-99, H112-100)),'Glass Metrics'!$F:$AC,24,FALSE)</f>
        <v>142350</v>
      </c>
      <c r="K112" s="652">
        <f>VLOOKUP(H112,Forecast!$F:$AZ,47,FALSE)</f>
        <v>167588</v>
      </c>
      <c r="L112" s="640">
        <f t="shared" si="17"/>
        <v>-0.24030956870420317</v>
      </c>
      <c r="M112" s="640">
        <f t="shared" si="18"/>
        <v>-0.1056199508254303</v>
      </c>
      <c r="O112" s="965">
        <v>-0.12420067669294654</v>
      </c>
      <c r="P112" s="965">
        <v>-0.24138656345967779</v>
      </c>
    </row>
    <row r="113" spans="8:29" ht="15">
      <c r="H113" s="643">
        <f t="shared" si="16"/>
        <v>202505</v>
      </c>
      <c r="I113" s="652">
        <f>VLOOKUP(H113,'Glass Metrics'!$F:$AC,24,FALSE)</f>
        <v>108198</v>
      </c>
      <c r="J113" s="652">
        <f>VLOOKUP(IF(RIGHT(H113,2)="53", H113-52, IF(LEFT(H113,4)="2025", H113-99, H113-100)),'Glass Metrics'!$F:$AC,24,FALSE)</f>
        <v>142626</v>
      </c>
      <c r="K113" s="652">
        <f>VLOOKUP(H113,Forecast!$F:$AZ,47,FALSE)</f>
        <v>123542</v>
      </c>
      <c r="L113" s="640">
        <f t="shared" si="17"/>
        <v>-0.12420067669294654</v>
      </c>
      <c r="M113" s="640">
        <f t="shared" si="18"/>
        <v>-0.24138656345967779</v>
      </c>
      <c r="O113" s="965">
        <v>0.1665394624893648</v>
      </c>
      <c r="P113" s="965">
        <v>0.173957113537063</v>
      </c>
    </row>
    <row r="116" spans="8:29" ht="15">
      <c r="H116" s="629" t="s">
        <v>819</v>
      </c>
    </row>
    <row r="117" spans="8:29">
      <c r="V117" s="413" t="s">
        <v>163</v>
      </c>
    </row>
    <row r="118" spans="8:29" ht="34.5" customHeight="1">
      <c r="H118" s="681" t="s">
        <v>136</v>
      </c>
      <c r="I118" s="683" t="s">
        <v>820</v>
      </c>
      <c r="J118" s="683" t="s">
        <v>821</v>
      </c>
      <c r="K118" s="683" t="s">
        <v>822</v>
      </c>
      <c r="L118" s="681" t="s">
        <v>823</v>
      </c>
      <c r="M118" s="663"/>
      <c r="N118" s="681" t="s">
        <v>136</v>
      </c>
      <c r="O118" s="683" t="s">
        <v>820</v>
      </c>
      <c r="P118" s="683" t="s">
        <v>821</v>
      </c>
      <c r="Q118" s="683" t="s">
        <v>822</v>
      </c>
      <c r="R118" s="681" t="s">
        <v>823</v>
      </c>
      <c r="S118" s="663"/>
      <c r="T118" s="663"/>
      <c r="U118" s="682" t="s">
        <v>824</v>
      </c>
      <c r="V118" s="682" t="s">
        <v>825</v>
      </c>
      <c r="W118" s="682" t="s">
        <v>826</v>
      </c>
      <c r="X118" s="682" t="s">
        <v>827</v>
      </c>
    </row>
    <row r="119" spans="8:29" ht="15">
      <c r="H119" s="643">
        <f t="shared" ref="H119:H128" si="19">H104</f>
        <v>202449</v>
      </c>
      <c r="I119" s="652">
        <f>VLOOKUP(H119,'Lifecycle (Glass)'!$F:$K,4,FALSE)</f>
        <v>61092</v>
      </c>
      <c r="J119" s="652">
        <f>VLOOKUP(H119,'Lifecycle (Glass)'!$F:$J,5,FALSE)</f>
        <v>62507</v>
      </c>
      <c r="K119" s="652">
        <f>VLOOKUP(H120,'Lifecycle (Glass)'!$F:$K,6,FALSE)</f>
        <v>217296</v>
      </c>
      <c r="L119" s="652">
        <f>VLOOKUP(H119,'Lifecycle (Glass)'!$F:$K,3,FALSE)</f>
        <v>69441</v>
      </c>
      <c r="N119" s="643">
        <f t="shared" ref="N119:N128" si="20">IF(RIGHT(H119,2)="53", H119-52, IF(LEFT(H119,4)="2025", H119-99, H119-100))</f>
        <v>202349</v>
      </c>
      <c r="O119" s="652">
        <f>VLOOKUP(N119,'Lifecycle (Glass)'!$F:$K,4,FALSE)</f>
        <v>97778</v>
      </c>
      <c r="P119" s="652">
        <f>VLOOKUP(N119,'Lifecycle (Glass)'!$F:$J,5,FALSE)</f>
        <v>99335</v>
      </c>
      <c r="Q119" s="652">
        <f>VLOOKUP(N120,'Lifecycle (Glass)'!$F:$K,6,FALSE)</f>
        <v>216673</v>
      </c>
      <c r="R119" s="652">
        <f>VLOOKUP(N119,'Lifecycle (Glass)'!$F:$K,3,FALSE)</f>
        <v>55590</v>
      </c>
      <c r="U119" s="653">
        <f t="shared" ref="U119:U127" si="21">I119/O119-1</f>
        <v>-0.37519687455255779</v>
      </c>
      <c r="V119" s="653">
        <f t="shared" ref="V119:V127" si="22">J119/P119-1</f>
        <v>-0.37074545729098507</v>
      </c>
      <c r="W119" s="653">
        <f t="shared" ref="W119:W127" si="23">K119/Q119-1</f>
        <v>2.875300568137229E-3</v>
      </c>
      <c r="X119" s="653">
        <f t="shared" ref="X119:X127" si="24">L119/R119-1</f>
        <v>0.24916351861845665</v>
      </c>
      <c r="Z119" s="965">
        <v>1.8425482840440655E-3</v>
      </c>
      <c r="AA119" s="965">
        <v>0.23786265338879198</v>
      </c>
      <c r="AB119" s="965">
        <v>-5.9587295295424503E-2</v>
      </c>
      <c r="AC119" s="965">
        <v>9.8326121612388961E-2</v>
      </c>
    </row>
    <row r="120" spans="8:29" ht="15">
      <c r="H120" s="643">
        <f t="shared" si="19"/>
        <v>202450</v>
      </c>
      <c r="I120" s="652">
        <f>VLOOKUP(H120,'Lifecycle (Glass)'!$F:$K,4,FALSE)</f>
        <v>75578</v>
      </c>
      <c r="J120" s="652">
        <f>VLOOKUP(H120,'Lifecycle (Glass)'!$F:$J,5,FALSE)</f>
        <v>71723</v>
      </c>
      <c r="K120" s="652">
        <f>VLOOKUP(H121,'Lifecycle (Glass)'!$F:$K,6,FALSE)</f>
        <v>204031</v>
      </c>
      <c r="L120" s="652">
        <f>VLOOKUP(H120,'Lifecycle (Glass)'!$F:$K,3,FALSE)</f>
        <v>77164</v>
      </c>
      <c r="N120" s="643">
        <f t="shared" si="20"/>
        <v>202350</v>
      </c>
      <c r="O120" s="652">
        <f>VLOOKUP(N120,'Lifecycle (Glass)'!$F:$K,4,FALSE)</f>
        <v>75439</v>
      </c>
      <c r="P120" s="652">
        <f>VLOOKUP(N120,'Lifecycle (Glass)'!$F:$J,5,FALSE)</f>
        <v>57941</v>
      </c>
      <c r="Q120" s="652">
        <f>VLOOKUP(N121,'Lifecycle (Glass)'!$F:$K,6,FALSE)</f>
        <v>216959</v>
      </c>
      <c r="R120" s="652">
        <f>VLOOKUP(N120,'Lifecycle (Glass)'!$F:$K,3,FALSE)</f>
        <v>70256</v>
      </c>
      <c r="U120" s="653">
        <f t="shared" si="21"/>
        <v>1.8425482840440655E-3</v>
      </c>
      <c r="V120" s="653">
        <f t="shared" si="22"/>
        <v>0.23786265338879198</v>
      </c>
      <c r="W120" s="653">
        <f t="shared" si="23"/>
        <v>-5.9587295295424503E-2</v>
      </c>
      <c r="X120" s="653">
        <f t="shared" si="24"/>
        <v>9.8326121612388961E-2</v>
      </c>
      <c r="Z120" s="965">
        <v>-3.0706961683756084E-2</v>
      </c>
      <c r="AA120" s="965">
        <v>-0.48446167010620622</v>
      </c>
      <c r="AB120" s="965">
        <v>0.30526894961616047</v>
      </c>
      <c r="AC120" s="965">
        <v>2.2111313383378572E-2</v>
      </c>
    </row>
    <row r="121" spans="8:29" ht="15">
      <c r="H121" s="643">
        <f t="shared" si="19"/>
        <v>202451</v>
      </c>
      <c r="I121" s="652">
        <f>VLOOKUP(H121,'Lifecycle (Glass)'!$F:$K,4,FALSE)</f>
        <v>53883</v>
      </c>
      <c r="J121" s="652">
        <f>VLOOKUP(H121,'Lifecycle (Glass)'!$F:$J,5,FALSE)</f>
        <v>51211</v>
      </c>
      <c r="K121" s="652">
        <f>VLOOKUP(H122,'Lifecycle (Glass)'!$F:$K,6,FALSE)</f>
        <v>249091</v>
      </c>
      <c r="L121" s="652">
        <f>VLOOKUP(H121,'Lifecycle (Glass)'!$F:$K,3,FALSE)</f>
        <v>99940</v>
      </c>
      <c r="N121" s="643">
        <f t="shared" si="20"/>
        <v>202351</v>
      </c>
      <c r="O121" s="652">
        <f>VLOOKUP(N121,'Lifecycle (Glass)'!$F:$K,4,FALSE)</f>
        <v>55590</v>
      </c>
      <c r="P121" s="652">
        <f>VLOOKUP(N121,'Lifecycle (Glass)'!$F:$J,5,FALSE)</f>
        <v>99335</v>
      </c>
      <c r="Q121" s="652">
        <f>VLOOKUP(N122,'Lifecycle (Glass)'!$F:$K,6,FALSE)</f>
        <v>190835</v>
      </c>
      <c r="R121" s="652">
        <f>VLOOKUP(N121,'Lifecycle (Glass)'!$F:$K,3,FALSE)</f>
        <v>97778</v>
      </c>
      <c r="U121" s="653">
        <f t="shared" si="21"/>
        <v>-3.0706961683756084E-2</v>
      </c>
      <c r="V121" s="653">
        <f t="shared" si="22"/>
        <v>-0.48446167010620622</v>
      </c>
      <c r="W121" s="653">
        <f t="shared" si="23"/>
        <v>0.30526894961616047</v>
      </c>
      <c r="X121" s="653">
        <f t="shared" si="24"/>
        <v>2.2111313383378572E-2</v>
      </c>
      <c r="Z121" s="965">
        <v>-0.24091589085469134</v>
      </c>
      <c r="AA121" s="965">
        <v>-0.15770190546251817</v>
      </c>
      <c r="AB121" s="965">
        <v>-9.1009572524072491E-2</v>
      </c>
      <c r="AC121" s="965">
        <v>8.9129352775268789E-2</v>
      </c>
    </row>
    <row r="122" spans="8:29" ht="15">
      <c r="H122" s="643">
        <f t="shared" si="19"/>
        <v>202452</v>
      </c>
      <c r="I122" s="652">
        <f>VLOOKUP(H122,'Lifecycle (Glass)'!$F:$K,4,FALSE)</f>
        <v>61397</v>
      </c>
      <c r="J122" s="652">
        <f>VLOOKUP(H122,'Lifecycle (Glass)'!$F:$J,5,FALSE)</f>
        <v>58394</v>
      </c>
      <c r="K122" s="652">
        <f>VLOOKUP(H123,'Lifecycle (Glass)'!$F:$K,6,FALSE)</f>
        <v>225336</v>
      </c>
      <c r="L122" s="652">
        <f>VLOOKUP(H122,'Lifecycle (Glass)'!$F:$K,3,FALSE)</f>
        <v>59082</v>
      </c>
      <c r="N122" s="643">
        <f t="shared" si="20"/>
        <v>202352</v>
      </c>
      <c r="O122" s="652">
        <f>VLOOKUP(N122,'Lifecycle (Glass)'!$F:$K,4,FALSE)</f>
        <v>80883</v>
      </c>
      <c r="P122" s="652">
        <f>VLOOKUP(N122,'Lifecycle (Glass)'!$F:$J,5,FALSE)</f>
        <v>69327</v>
      </c>
      <c r="Q122" s="652">
        <f>VLOOKUP(N123,'Lifecycle (Glass)'!$F:$K,6,FALSE)</f>
        <v>247897</v>
      </c>
      <c r="R122" s="652">
        <f>VLOOKUP(N122,'Lifecycle (Glass)'!$F:$K,3,FALSE)</f>
        <v>54247</v>
      </c>
      <c r="U122" s="653">
        <f t="shared" si="21"/>
        <v>-0.24091589085469134</v>
      </c>
      <c r="V122" s="653">
        <f t="shared" si="22"/>
        <v>-0.15770190546251817</v>
      </c>
      <c r="W122" s="653">
        <f t="shared" si="23"/>
        <v>-9.1009572524072491E-2</v>
      </c>
      <c r="X122" s="653">
        <f t="shared" si="24"/>
        <v>8.9129352775268789E-2</v>
      </c>
      <c r="Z122" s="965">
        <v>-7.7447679652719037E-3</v>
      </c>
      <c r="AA122" s="965">
        <v>-4.6885035324341628E-2</v>
      </c>
      <c r="AB122" s="965">
        <v>-9.1753108854059628E-2</v>
      </c>
      <c r="AC122" s="965">
        <v>0.10062856813332566</v>
      </c>
    </row>
    <row r="123" spans="8:29" ht="15">
      <c r="H123" s="643">
        <f t="shared" si="19"/>
        <v>202453</v>
      </c>
      <c r="I123" s="652">
        <f>VLOOKUP(H123,'Lifecycle (Glass)'!$F:$K,4,FALSE)</f>
        <v>80459</v>
      </c>
      <c r="J123" s="652">
        <f>VLOOKUP(H123,'Lifecycle (Glass)'!$F:$J,5,FALSE)</f>
        <v>62328</v>
      </c>
      <c r="K123" s="652">
        <f>VLOOKUP(H124,'Lifecycle (Glass)'!$F:$K,6,FALSE)</f>
        <v>251905</v>
      </c>
      <c r="L123" s="652">
        <f>VLOOKUP(H123,'Lifecycle (Glass)'!$F:$K,3,FALSE)</f>
        <v>57258</v>
      </c>
      <c r="N123" s="643">
        <f t="shared" si="20"/>
        <v>202401</v>
      </c>
      <c r="O123" s="652">
        <f>VLOOKUP(N123,'Lifecycle (Glass)'!$F:$K,4,FALSE)</f>
        <v>81087</v>
      </c>
      <c r="P123" s="652">
        <f>VLOOKUP(N123,'Lifecycle (Glass)'!$F:$J,5,FALSE)</f>
        <v>65394</v>
      </c>
      <c r="Q123" s="652">
        <f>VLOOKUP(N124,'Lifecycle (Glass)'!$F:$K,6,FALSE)</f>
        <v>277353</v>
      </c>
      <c r="R123" s="652">
        <f>VLOOKUP(N123,'Lifecycle (Glass)'!$F:$K,3,FALSE)</f>
        <v>52023</v>
      </c>
      <c r="U123" s="653">
        <f t="shared" si="21"/>
        <v>-7.7447679652719037E-3</v>
      </c>
      <c r="V123" s="653">
        <f t="shared" si="22"/>
        <v>-4.6885035324341628E-2</v>
      </c>
      <c r="W123" s="653">
        <f t="shared" si="23"/>
        <v>-9.1753108854059628E-2</v>
      </c>
      <c r="X123" s="653">
        <f t="shared" si="24"/>
        <v>0.10062856813332566</v>
      </c>
      <c r="Z123" s="965">
        <v>-0.19173107365676512</v>
      </c>
      <c r="AA123" s="965">
        <v>-0.28142458803515169</v>
      </c>
      <c r="AB123" s="965">
        <v>-2.4673012557267282E-2</v>
      </c>
      <c r="AC123" s="965">
        <v>2.5027329645211482E-2</v>
      </c>
    </row>
    <row r="124" spans="8:29" ht="15">
      <c r="H124" s="643">
        <f t="shared" si="19"/>
        <v>202501</v>
      </c>
      <c r="I124" s="652">
        <f>VLOOKUP(H124,'Lifecycle (Glass)'!$F:$K,4,FALSE)</f>
        <v>52080</v>
      </c>
      <c r="J124" s="652">
        <f>VLOOKUP(H124,'Lifecycle (Glass)'!$F:$J,5,FALSE)</f>
        <v>71384</v>
      </c>
      <c r="K124" s="652">
        <f>VLOOKUP(H125,'Lifecycle (Glass)'!$F:$K,6,FALSE)</f>
        <v>205438</v>
      </c>
      <c r="L124" s="652">
        <f>VLOOKUP(H124,'Lifecycle (Glass)'!$F:$K,3,FALSE)</f>
        <v>61885</v>
      </c>
      <c r="N124" s="643">
        <f t="shared" si="20"/>
        <v>202402</v>
      </c>
      <c r="O124" s="652">
        <f>VLOOKUP(N124,'Lifecycle (Glass)'!$F:$K,4,FALSE)</f>
        <v>64434</v>
      </c>
      <c r="P124" s="652">
        <f>VLOOKUP(N124,'Lifecycle (Glass)'!$F:$J,5,FALSE)</f>
        <v>99341</v>
      </c>
      <c r="Q124" s="652">
        <f>VLOOKUP(N125,'Lifecycle (Glass)'!$F:$K,6,FALSE)</f>
        <v>210635</v>
      </c>
      <c r="R124" s="652">
        <f>VLOOKUP(N124,'Lifecycle (Glass)'!$F:$K,3,FALSE)</f>
        <v>60374</v>
      </c>
      <c r="U124" s="653">
        <f t="shared" si="21"/>
        <v>-0.19173107365676512</v>
      </c>
      <c r="V124" s="653">
        <f t="shared" si="22"/>
        <v>-0.28142458803515169</v>
      </c>
      <c r="W124" s="653">
        <f t="shared" si="23"/>
        <v>-2.4673012557267282E-2</v>
      </c>
      <c r="X124" s="653">
        <f t="shared" si="24"/>
        <v>2.5027329645211482E-2</v>
      </c>
      <c r="Z124" s="965">
        <v>-0.23081897603592172</v>
      </c>
      <c r="AA124" s="965">
        <v>-0.22863773380251495</v>
      </c>
      <c r="AB124" s="965">
        <v>0.23131608817731042</v>
      </c>
      <c r="AC124" s="965">
        <v>0.34313752783964357</v>
      </c>
    </row>
    <row r="125" spans="8:29" ht="15">
      <c r="H125" s="643">
        <f t="shared" si="19"/>
        <v>202502</v>
      </c>
      <c r="I125" s="652">
        <f>VLOOKUP(H125,'Lifecycle (Glass)'!$F:$K,4,FALSE)</f>
        <v>63039</v>
      </c>
      <c r="J125" s="652">
        <f>VLOOKUP(H125,'Lifecycle (Glass)'!$F:$J,5,FALSE)</f>
        <v>61159</v>
      </c>
      <c r="K125" s="652">
        <f>VLOOKUP(H126,'Lifecycle (Glass)'!$F:$K,6,FALSE)</f>
        <v>247332</v>
      </c>
      <c r="L125" s="652">
        <f>VLOOKUP(H125,'Lifecycle (Glass)'!$F:$K,3,FALSE)</f>
        <v>96491</v>
      </c>
      <c r="N125" s="643">
        <f t="shared" si="20"/>
        <v>202403</v>
      </c>
      <c r="O125" s="652">
        <f>VLOOKUP(N125,'Lifecycle (Glass)'!$F:$K,4,FALSE)</f>
        <v>81956</v>
      </c>
      <c r="P125" s="652">
        <f>VLOOKUP(N125,'Lifecycle (Glass)'!$F:$J,5,FALSE)</f>
        <v>79287</v>
      </c>
      <c r="Q125" s="652">
        <f>VLOOKUP(N126,'Lifecycle (Glass)'!$F:$K,6,FALSE)</f>
        <v>200868</v>
      </c>
      <c r="R125" s="652">
        <f>VLOOKUP(N125,'Lifecycle (Glass)'!$F:$K,3,FALSE)</f>
        <v>71840</v>
      </c>
      <c r="U125" s="653">
        <f t="shared" si="21"/>
        <v>-0.23081897603592172</v>
      </c>
      <c r="V125" s="653">
        <f t="shared" si="22"/>
        <v>-0.22863773380251495</v>
      </c>
      <c r="W125" s="653">
        <f t="shared" si="23"/>
        <v>0.23131608817731042</v>
      </c>
      <c r="X125" s="653">
        <f t="shared" si="24"/>
        <v>0.34313752783964357</v>
      </c>
      <c r="Z125" s="965">
        <v>-0.12188755672526019</v>
      </c>
      <c r="AA125" s="965">
        <v>0.34240059457450767</v>
      </c>
      <c r="AB125" s="965">
        <v>0.17036289914247416</v>
      </c>
      <c r="AC125" s="965">
        <v>-0.23785173465928355</v>
      </c>
    </row>
    <row r="126" spans="8:29" ht="15">
      <c r="H126" s="643">
        <f t="shared" si="19"/>
        <v>202503</v>
      </c>
      <c r="I126" s="652">
        <f>VLOOKUP(H126,'Lifecycle (Glass)'!$F:$K,4,FALSE)</f>
        <v>81077</v>
      </c>
      <c r="J126" s="652">
        <f>VLOOKUP(H126,'Lifecycle (Glass)'!$F:$J,5,FALSE)</f>
        <v>72248</v>
      </c>
      <c r="K126" s="652">
        <f>VLOOKUP(H127,'Lifecycle (Glass)'!$F:$K,6,FALSE)</f>
        <v>288931</v>
      </c>
      <c r="L126" s="652">
        <f>VLOOKUP(H126,'Lifecycle (Glass)'!$F:$K,3,FALSE)</f>
        <v>53954</v>
      </c>
      <c r="N126" s="643">
        <f t="shared" si="20"/>
        <v>202404</v>
      </c>
      <c r="O126" s="652">
        <f>VLOOKUP(N126,'Lifecycle (Glass)'!$F:$K,4,FALSE)</f>
        <v>92331</v>
      </c>
      <c r="P126" s="652">
        <f>VLOOKUP(N126,'Lifecycle (Glass)'!$F:$J,5,FALSE)</f>
        <v>53820</v>
      </c>
      <c r="Q126" s="652">
        <f>VLOOKUP(N127,'Lifecycle (Glass)'!$F:$K,6,FALSE)</f>
        <v>246873</v>
      </c>
      <c r="R126" s="652">
        <f>VLOOKUP(N126,'Lifecycle (Glass)'!$F:$K,3,FALSE)</f>
        <v>70792</v>
      </c>
      <c r="U126" s="653">
        <f t="shared" si="21"/>
        <v>-0.12188755672526019</v>
      </c>
      <c r="V126" s="653">
        <f t="shared" si="22"/>
        <v>0.34240059457450767</v>
      </c>
      <c r="W126" s="653">
        <f t="shared" si="23"/>
        <v>0.17036289914247416</v>
      </c>
      <c r="X126" s="653">
        <f t="shared" si="24"/>
        <v>-0.23785173465928355</v>
      </c>
      <c r="Z126" s="965">
        <v>-9.8598331396748673E-2</v>
      </c>
      <c r="AA126" s="965">
        <v>2.2337620621812881E-2</v>
      </c>
      <c r="AB126" s="965">
        <v>-8.1302000860840051E-2</v>
      </c>
      <c r="AC126" s="965">
        <v>-9.4937999673682105E-3</v>
      </c>
    </row>
    <row r="127" spans="8:29" ht="15">
      <c r="H127" s="643">
        <f t="shared" si="19"/>
        <v>202504</v>
      </c>
      <c r="I127" s="652">
        <f>VLOOKUP(H127,'Lifecycle (Glass)'!$F:$K,4,FALSE)</f>
        <v>86110</v>
      </c>
      <c r="J127" s="652">
        <f>VLOOKUP(H127,'Lifecycle (Glass)'!$F:$J,5,FALSE)</f>
        <v>76386</v>
      </c>
      <c r="K127" s="652">
        <f>VLOOKUP(H128,'Lifecycle (Glass)'!$F:$K,6,FALSE)</f>
        <v>232652</v>
      </c>
      <c r="L127" s="652">
        <f>VLOOKUP(H127,'Lifecycle (Glass)'!$F:$K,3,FALSE)</f>
        <v>97133</v>
      </c>
      <c r="N127" s="643">
        <f t="shared" si="20"/>
        <v>202405</v>
      </c>
      <c r="O127" s="652">
        <f>VLOOKUP(N127,'Lifecycle (Glass)'!$F:$K,4,FALSE)</f>
        <v>95529</v>
      </c>
      <c r="P127" s="652">
        <f>VLOOKUP(N127,'Lifecycle (Glass)'!$F:$J,5,FALSE)</f>
        <v>74717</v>
      </c>
      <c r="Q127" s="652">
        <f>VLOOKUP(N128,'Lifecycle (Glass)'!$F:$K,6,FALSE)</f>
        <v>253241</v>
      </c>
      <c r="R127" s="652">
        <f>VLOOKUP(N127,'Lifecycle (Glass)'!$F:$K,3,FALSE)</f>
        <v>98064</v>
      </c>
      <c r="U127" s="653">
        <f t="shared" si="21"/>
        <v>-9.8598331396748673E-2</v>
      </c>
      <c r="V127" s="653">
        <f t="shared" si="22"/>
        <v>2.2337620621812881E-2</v>
      </c>
      <c r="W127" s="653">
        <f t="shared" si="23"/>
        <v>-8.1302000860840051E-2</v>
      </c>
      <c r="X127" s="653">
        <f t="shared" si="24"/>
        <v>-9.4937999673682105E-3</v>
      </c>
      <c r="Z127" s="965">
        <v>4.3146377812511405E-2</v>
      </c>
      <c r="AA127" s="965">
        <v>-0.1535593666388877</v>
      </c>
      <c r="AB127" s="965">
        <v>-0.17465338409717646</v>
      </c>
      <c r="AC127" s="965">
        <v>3.8510550983822611E-2</v>
      </c>
    </row>
    <row r="128" spans="8:29" ht="15">
      <c r="H128" s="643">
        <f t="shared" si="19"/>
        <v>202505</v>
      </c>
      <c r="I128" s="652">
        <f>VLOOKUP(H128,'Lifecycle (Glass)'!$F:$K,4,FALSE)</f>
        <v>57396</v>
      </c>
      <c r="J128" s="652">
        <f>VLOOKUP(H128,'Lifecycle (Glass)'!$F:$J,5,FALSE)</f>
        <v>77192</v>
      </c>
      <c r="K128" s="652"/>
      <c r="L128" s="652">
        <f>VLOOKUP(H128,'Lifecycle (Glass)'!$F:$K,3,FALSE)</f>
        <v>96164</v>
      </c>
      <c r="N128" s="643">
        <f t="shared" si="20"/>
        <v>202406</v>
      </c>
      <c r="O128" s="652">
        <f>VLOOKUP(N128,'Lifecycle (Glass)'!$F:$K,4,FALSE)</f>
        <v>55022</v>
      </c>
      <c r="P128" s="652">
        <f>VLOOKUP(N128,'Lifecycle (Glass)'!$F:$J,5,FALSE)</f>
        <v>91196</v>
      </c>
      <c r="Q128" s="652"/>
      <c r="R128" s="652">
        <f>VLOOKUP(N128,'Lifecycle (Glass)'!$F:$K,3,FALSE)</f>
        <v>92598</v>
      </c>
      <c r="U128" s="653">
        <f>I128/O128-1</f>
        <v>4.3146377812511405E-2</v>
      </c>
      <c r="V128" s="653">
        <f>J128/P128-1</f>
        <v>-0.1535593666388877</v>
      </c>
      <c r="W128" s="653"/>
      <c r="X128" s="653">
        <f>L128/R128-1</f>
        <v>3.8510550983822611E-2</v>
      </c>
      <c r="Z128" s="965">
        <v>-0.12942456115990331</v>
      </c>
      <c r="AA128" s="965">
        <v>0.11342690199385586</v>
      </c>
      <c r="AB128" s="965"/>
      <c r="AC128" s="965">
        <v>0.3120488535135697</v>
      </c>
    </row>
    <row r="136" spans="8:14">
      <c r="H136" s="643" t="s">
        <v>1005</v>
      </c>
      <c r="I136" s="875" t="s">
        <v>1006</v>
      </c>
      <c r="J136" s="875" t="s">
        <v>1007</v>
      </c>
      <c r="K136" s="875" t="s">
        <v>1008</v>
      </c>
      <c r="L136" s="875" t="s">
        <v>1009</v>
      </c>
      <c r="M136" s="875" t="s">
        <v>804</v>
      </c>
      <c r="N136" s="875" t="s">
        <v>804</v>
      </c>
    </row>
    <row r="137" spans="8:14">
      <c r="H137" s="643" t="s">
        <v>1010</v>
      </c>
      <c r="I137" s="875">
        <v>96861</v>
      </c>
      <c r="J137" s="875">
        <v>76511</v>
      </c>
      <c r="K137" s="875">
        <v>74564</v>
      </c>
      <c r="L137" s="875">
        <v>63923</v>
      </c>
      <c r="M137" s="875">
        <v>0</v>
      </c>
      <c r="N137" s="875">
        <f>SUM(I137:M137)</f>
        <v>311859</v>
      </c>
    </row>
    <row r="138" spans="8:14">
      <c r="H138" s="643" t="s">
        <v>794</v>
      </c>
      <c r="I138" s="875"/>
      <c r="J138" s="875"/>
      <c r="K138" s="875"/>
      <c r="L138" s="875"/>
      <c r="M138" s="875">
        <v>289859</v>
      </c>
      <c r="N138" s="875"/>
    </row>
  </sheetData>
  <mergeCells count="4">
    <mergeCell ref="L26:N26"/>
    <mergeCell ref="I26:K26"/>
    <mergeCell ref="O26:Q26"/>
    <mergeCell ref="H5:L5"/>
  </mergeCells>
  <conditionalFormatting sqref="H83:Q83">
    <cfRule type="cellIs" dxfId="63" priority="1" operator="between">
      <formula>-999</formula>
      <formula>999</formula>
    </cfRule>
  </conditionalFormatting>
  <pageMargins left="0.7" right="0.7" top="0.75" bottom="0.75" header="0.3" footer="0.3"/>
  <pageSetup orientation="portrait"/>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F114"/>
  <sheetViews>
    <sheetView showGridLines="0" topLeftCell="A59" zoomScale="90" zoomScaleNormal="90" workbookViewId="0">
      <selection activeCell="N71" sqref="N71"/>
    </sheetView>
  </sheetViews>
  <sheetFormatPr defaultColWidth="9.42578125" defaultRowHeight="14.25"/>
  <cols>
    <col min="1" max="1" width="3.42578125" style="413" customWidth="1"/>
    <col min="2" max="2" width="20.5703125" style="413" customWidth="1"/>
    <col min="3" max="6" width="19" style="413" customWidth="1"/>
    <col min="7" max="8" width="13.5703125" style="413" customWidth="1"/>
    <col min="9" max="9" width="13.5703125" style="413" bestFit="1" customWidth="1"/>
    <col min="10" max="10" width="10.42578125" style="413" bestFit="1" customWidth="1"/>
    <col min="11" max="11" width="9.5703125" style="413" customWidth="1"/>
    <col min="12" max="12" width="7" style="413" customWidth="1"/>
    <col min="13" max="13" width="14.42578125" style="413" customWidth="1"/>
    <col min="14" max="15" width="9.42578125" style="413" customWidth="1"/>
    <col min="16" max="16" width="21.42578125" style="413" bestFit="1" customWidth="1"/>
    <col min="17" max="17" width="14.42578125" style="413" bestFit="1" customWidth="1"/>
    <col min="18" max="19" width="9.42578125" style="413" customWidth="1"/>
    <col min="20" max="20" width="14.42578125" style="413" bestFit="1" customWidth="1"/>
    <col min="21" max="21" width="10.42578125" style="413" bestFit="1" customWidth="1"/>
    <col min="22" max="22" width="9.42578125" style="413" customWidth="1"/>
    <col min="23" max="23" width="14.42578125" style="413" bestFit="1" customWidth="1"/>
    <col min="24" max="24" width="18.5703125" style="413" bestFit="1" customWidth="1"/>
    <col min="25" max="25" width="11.5703125" style="413" bestFit="1" customWidth="1"/>
    <col min="26" max="26" width="9.42578125" style="413" customWidth="1"/>
    <col min="27" max="30" width="11.5703125" style="413" bestFit="1" customWidth="1"/>
    <col min="31" max="31" width="12.5703125" style="413" bestFit="1" customWidth="1"/>
    <col min="32" max="63" width="9.42578125" style="413" customWidth="1"/>
    <col min="64" max="16384" width="9.42578125" style="413"/>
  </cols>
  <sheetData>
    <row r="1" spans="2:24" ht="15">
      <c r="B1" s="629" t="s">
        <v>828</v>
      </c>
    </row>
    <row r="2" spans="2:24" ht="15">
      <c r="M2" s="636" t="s">
        <v>829</v>
      </c>
    </row>
    <row r="3" spans="2:24" ht="15">
      <c r="B3" s="864" t="s">
        <v>830</v>
      </c>
    </row>
    <row r="4" spans="2:24" ht="18" customHeight="1">
      <c r="B4" s="1042" t="s">
        <v>831</v>
      </c>
      <c r="C4" s="1043"/>
      <c r="D4" s="1057" t="str">
        <f>_xlfn.CONCAT("Week"," ",RIGHT(P4,2))</f>
        <v>Week 05</v>
      </c>
      <c r="E4" s="1058"/>
      <c r="F4" s="1058"/>
      <c r="G4" s="1058"/>
      <c r="H4" s="1058"/>
      <c r="I4" s="1059"/>
      <c r="M4" s="1008" t="s">
        <v>788</v>
      </c>
      <c r="N4" s="1007"/>
      <c r="O4" s="1009"/>
      <c r="P4" s="673">
        <f>'QC Checklist'!C2</f>
        <v>202505</v>
      </c>
      <c r="Q4" s="638"/>
    </row>
    <row r="5" spans="2:24" ht="28.5" customHeight="1">
      <c r="B5" s="1044"/>
      <c r="C5" s="1045"/>
      <c r="D5" s="791" t="s">
        <v>832</v>
      </c>
      <c r="E5" s="791" t="s">
        <v>794</v>
      </c>
      <c r="F5" s="791" t="s">
        <v>162</v>
      </c>
      <c r="G5" s="791" t="s">
        <v>163</v>
      </c>
      <c r="H5" s="791" t="s">
        <v>833</v>
      </c>
      <c r="I5" s="792" t="s">
        <v>834</v>
      </c>
      <c r="M5" s="1008" t="s">
        <v>835</v>
      </c>
      <c r="N5" s="1007"/>
      <c r="O5" s="1009"/>
      <c r="P5" s="673">
        <f>P4-1</f>
        <v>202504</v>
      </c>
    </row>
    <row r="6" spans="2:24" ht="20.85" customHeight="1">
      <c r="B6" s="1049" t="s">
        <v>836</v>
      </c>
      <c r="C6" s="822" t="s">
        <v>837</v>
      </c>
      <c r="D6" s="933">
        <f>IFERROR(VLOOKUP($P$4,'Overall Metrics'!$F:$G,COLUMNS('Overall Metrics'!$F:$G),FALSE),"Error")</f>
        <v>335376.59999999998</v>
      </c>
      <c r="E6" s="934">
        <f>IFERROR(VLOOKUP($P$4,Forecast!$F:$AE,COLUMNS(Forecast!$F:$AE),FALSE),"Error")</f>
        <v>0.25666991156621854</v>
      </c>
      <c r="F6" s="934">
        <f>'Overall Metrics'!G1</f>
        <v>-6.5550208238861374E-2</v>
      </c>
      <c r="G6" s="935">
        <f>'Overall Metrics'!G2</f>
        <v>6.1082968619935896E-2</v>
      </c>
      <c r="H6" s="934">
        <f>IFERROR(VLOOKUP($P$4,Forecast!$F:$W,COLUMNS(Forecast!$F:$W),FALSE),"Error")</f>
        <v>0.42381504195041209</v>
      </c>
      <c r="I6" s="936">
        <f>IFERROR(VLOOKUP($P$4,Forecast!$F:$V,COLUMNS(Forecast!$F:$V),FALSE),"Error")</f>
        <v>0.42381504195041209</v>
      </c>
      <c r="M6" s="1008" t="s">
        <v>838</v>
      </c>
      <c r="N6" s="1007"/>
      <c r="O6" s="1009"/>
      <c r="P6" s="673">
        <f>P4-4</f>
        <v>202501</v>
      </c>
    </row>
    <row r="7" spans="2:24" ht="20.85" customHeight="1">
      <c r="B7" s="1050"/>
      <c r="C7" s="823" t="s">
        <v>839</v>
      </c>
      <c r="D7" s="937">
        <f>IFERROR(VLOOKUP('QC Checklist'!$C$2,'Overall Metrics'!$F:$H,COLUMNS('Overall Metrics'!$F:$H),FALSE),"Error")</f>
        <v>116120.09999999999</v>
      </c>
      <c r="E7" s="938"/>
      <c r="F7" s="939">
        <f>'Overall Metrics'!H1</f>
        <v>-0.18452122616664912</v>
      </c>
      <c r="G7" s="939">
        <f>'Overall Metrics'!H2</f>
        <v>-0.15347915611888163</v>
      </c>
      <c r="H7" s="938"/>
      <c r="I7" s="940"/>
      <c r="M7" s="1008" t="s">
        <v>840</v>
      </c>
      <c r="N7" s="1007"/>
      <c r="O7" s="1009"/>
      <c r="P7" s="765">
        <f>P4-99</f>
        <v>202406</v>
      </c>
    </row>
    <row r="8" spans="2:24" ht="20.85" customHeight="1">
      <c r="B8" s="1050"/>
      <c r="C8" s="822" t="s">
        <v>841</v>
      </c>
      <c r="D8" s="933">
        <f>IFERROR(VLOOKUP('QC Checklist'!$C$2,'Overall Metrics'!$F:$I,COLUMNS('Overall Metrics'!$F:$I),FALSE),"Error")</f>
        <v>219256.5</v>
      </c>
      <c r="E8" s="941"/>
      <c r="F8" s="934">
        <f>'Overall Metrics'!I1</f>
        <v>1.2695850379489837E-2</v>
      </c>
      <c r="G8" s="935">
        <f>'Overall Metrics'!I2</f>
        <v>0.22560359536995511</v>
      </c>
      <c r="H8" s="941"/>
      <c r="I8" s="942"/>
    </row>
    <row r="9" spans="2:24" ht="20.85" customHeight="1">
      <c r="B9" s="1050"/>
      <c r="C9" s="823" t="s">
        <v>842</v>
      </c>
      <c r="D9" s="943">
        <f>IFERROR(VLOOKUP('QC Checklist'!$C$2,'Channel &amp; Campaign Metrics'!$F:$AR,COLUMNS('Channel &amp; Campaign Metrics'!$F:$AR),FALSE),"Error")</f>
        <v>1204261</v>
      </c>
      <c r="E9" s="938"/>
      <c r="F9" s="939">
        <f>'Channel &amp; Campaign Metrics'!AR1</f>
        <v>-5.853266121088363E-2</v>
      </c>
      <c r="G9" s="939">
        <f>'Channel &amp; Campaign Metrics'!AR3</f>
        <v>-7.9418141011136312E-2</v>
      </c>
      <c r="H9" s="938"/>
      <c r="I9" s="940"/>
      <c r="L9" s="670" t="s">
        <v>843</v>
      </c>
      <c r="M9" s="654"/>
      <c r="N9" s="654"/>
      <c r="O9" s="654"/>
      <c r="P9" s="654"/>
      <c r="Q9" s="654"/>
      <c r="R9" s="654"/>
      <c r="S9" s="654"/>
      <c r="T9" s="654"/>
      <c r="U9" s="654"/>
      <c r="V9" s="654"/>
      <c r="W9" s="654"/>
      <c r="X9" s="655"/>
    </row>
    <row r="10" spans="2:24" ht="20.85" customHeight="1">
      <c r="B10" s="1051"/>
      <c r="C10" s="822" t="s">
        <v>844</v>
      </c>
      <c r="D10" s="944">
        <f>IFERROR(VLOOKUP('QC Checklist'!$C$2,'Channel &amp; Campaign Metrics'!$F:$BI,COLUMNS('Channel &amp; Campaign Metrics'!$F:$BI),FALSE),"Error")</f>
        <v>20.481325895438619</v>
      </c>
      <c r="E10" s="941"/>
      <c r="F10" s="935">
        <f>'Channel &amp; Campaign Metrics'!BI1</f>
        <v>-0.16634074298351409</v>
      </c>
      <c r="G10" s="935">
        <f>'Channel &amp; Campaign Metrics'!BI3</f>
        <v>-0.13139834053906296</v>
      </c>
      <c r="H10" s="941"/>
      <c r="I10" s="942"/>
      <c r="L10" s="671" t="s">
        <v>845</v>
      </c>
      <c r="M10" s="656"/>
      <c r="X10" s="657"/>
    </row>
    <row r="11" spans="2:24" ht="20.85" customHeight="1">
      <c r="B11" s="1049" t="s">
        <v>846</v>
      </c>
      <c r="C11" s="823" t="s">
        <v>847</v>
      </c>
      <c r="D11" s="937">
        <f>IFERROR(VLOOKUP($P$4,'Overall Metrics'!$F:$AB,COLUMNS('Overall Metrics'!$F:$AB),FALSE),"Error")</f>
        <v>108198</v>
      </c>
      <c r="E11" s="946">
        <f>IFERROR(VLOOKUP($P$4,Forecast!$F:$BB,COLUMNS(Forecast!$F:$BB),FALSE),"Error")</f>
        <v>-0.12420067669294654</v>
      </c>
      <c r="F11" s="946">
        <f>'Overall Metrics'!AB1</f>
        <v>-0.15015512704708789</v>
      </c>
      <c r="G11" s="946">
        <f>'Overall Metrics'!AB2</f>
        <v>-0.24138656345967779</v>
      </c>
      <c r="H11" s="946">
        <f>IFERROR(VLOOKUP($P$4,Forecast!$F:$BD,COLUMNS(Forecast!$F:$BD),FALSE),"Error")</f>
        <v>4.3931238298428266E-2</v>
      </c>
      <c r="I11" s="947">
        <f>IFERROR(VLOOKUP($P$4,Forecast!$F:$BC,COLUMNS(Forecast!$F:$BC),FALSE),"Error")</f>
        <v>4.3931238298428266E-2</v>
      </c>
      <c r="L11" s="672" t="s">
        <v>848</v>
      </c>
      <c r="M11" s="656"/>
      <c r="X11" s="657"/>
    </row>
    <row r="12" spans="2:24" ht="24" customHeight="1">
      <c r="B12" s="1050"/>
      <c r="C12" s="822" t="s">
        <v>849</v>
      </c>
      <c r="D12" s="933">
        <f>IFERROR(VLOOKUP($P$4,'Overall Metrics'!$F:$BN,COLUMNS('Overall Metrics'!$F:$BN),FALSE),"Error")</f>
        <v>168967</v>
      </c>
      <c r="E12" s="941"/>
      <c r="F12" s="934">
        <f>'Overall Metrics'!BN1</f>
        <v>0.20307449126354604</v>
      </c>
      <c r="G12" s="934">
        <f>'Overall Metrics'!BN2</f>
        <v>0.23590681344402586</v>
      </c>
      <c r="H12" s="941"/>
      <c r="I12" s="942"/>
      <c r="L12" s="671" t="s">
        <v>850</v>
      </c>
      <c r="M12" s="656"/>
      <c r="X12" s="657"/>
    </row>
    <row r="13" spans="2:24" ht="24" customHeight="1">
      <c r="B13" s="1051"/>
      <c r="C13" s="823" t="s">
        <v>851</v>
      </c>
      <c r="D13" s="945" t="s">
        <v>852</v>
      </c>
      <c r="E13" s="946">
        <v>-0.03</v>
      </c>
      <c r="F13" s="946"/>
      <c r="G13" s="946">
        <v>0.12</v>
      </c>
      <c r="H13" s="946">
        <v>-0.03</v>
      </c>
      <c r="I13" s="947">
        <v>-0.03</v>
      </c>
      <c r="L13" s="658"/>
      <c r="M13" s="659"/>
      <c r="N13" s="659"/>
      <c r="O13" s="659"/>
      <c r="P13" s="659"/>
      <c r="Q13" s="659"/>
      <c r="R13" s="659"/>
      <c r="S13" s="659"/>
      <c r="T13" s="659"/>
      <c r="U13" s="659"/>
      <c r="V13" s="659"/>
      <c r="W13" s="659"/>
      <c r="X13" s="660"/>
    </row>
    <row r="14" spans="2:24" ht="24" customHeight="1">
      <c r="B14" s="1052" t="s">
        <v>853</v>
      </c>
      <c r="C14" s="822" t="str">
        <f>_xlfn.CONCAT("7 Day RR (WK",RIGHT(P5,2),")**")</f>
        <v>7 Day RR (WK04)**</v>
      </c>
      <c r="D14" s="948">
        <f>IFERROR(VLOOKUP($P$5,'Overall Metrics'!$F:$AJ,COLUMNS('Overall Metrics'!$F:$AJ),FALSE),"Error")</f>
        <v>0.42066360505684436</v>
      </c>
      <c r="E14" s="906" t="str">
        <f>ROUND(IFERROR(VLOOKUP($P$5,Forecast!$F:$AR,COLUMNS(Forecast!$F:$AR),FALSE),"Error")*100,0) &amp; " ppts"</f>
        <v>-5758458 ppts</v>
      </c>
      <c r="F14" s="906" t="str">
        <f>ROUND('Overall Metrics'!AJ1*100,0) &amp; " ppts"</f>
        <v>3 ppts</v>
      </c>
      <c r="G14" s="906" t="str">
        <f>ROUND('Overall Metrics'!AJ2*100,0) &amp; " ppts"</f>
        <v>-33 ppts</v>
      </c>
      <c r="H14" s="906" t="str">
        <f>ROUND(IFERROR(VLOOKUP($P$5,Forecast!$F:$AT,COLUMNS(Forecast!$F:$AT),FALSE),"Error")*100,0) &amp; " ppts"</f>
        <v>-7777432 ppts</v>
      </c>
      <c r="I14" s="962" t="str">
        <f>ROUND(IFERROR(VLOOKUP($P$5,Forecast!$F:$AS,COLUMNS(Forecast!$F:$AS),FALSE),"Error")*100,0) &amp; " ppts"</f>
        <v>-7777432 ppts</v>
      </c>
    </row>
    <row r="15" spans="2:24" ht="24" customHeight="1">
      <c r="B15" s="1053"/>
      <c r="C15" s="824" t="str">
        <f>_xlfn.CONCAT("30 Day RR (WK",RIGHT(P6,2),")")</f>
        <v>30 Day RR (WK01)</v>
      </c>
      <c r="D15" s="949">
        <f>IFERROR(VLOOKUP($P$6,'Overall Metrics'!$F:$AP,COLUMNS('Overall Metrics'!$F:$AP),FALSE),"Error")</f>
        <v>0.66889426698691135</v>
      </c>
      <c r="E15" s="963" t="str">
        <f>ROUND(IFERROR(VLOOKUP($P$6,Forecast!$F:$AW,COLUMNS(Forecast!$F:$AW),FALSE),"Error")*100,0) &amp; " ppts"</f>
        <v>23 ppts</v>
      </c>
      <c r="F15" s="963" t="str">
        <f>ROUND('Overall Metrics'!AP1*100,0) &amp; " ppts"</f>
        <v>54 ppts</v>
      </c>
      <c r="G15" s="963" t="str">
        <f>ROUND('Overall Metrics'!AP2*100,0) &amp; " ppts"</f>
        <v>67 ppts</v>
      </c>
      <c r="H15" s="963" t="str">
        <f>ROUND(IFERROR(VLOOKUP($P$6,Forecast!$F:$AY,COLUMNS(Forecast!$F:$AY),FALSE),"Error")*100,0) &amp; " ppts"</f>
        <v>23 ppts</v>
      </c>
      <c r="I15" s="964" t="str">
        <f>ROUND(IFERROR(VLOOKUP($P$6,Forecast!$F:$AX,COLUMNS(Forecast!$F:$AX),FALSE),"Error")*100,0) &amp;  " ppts"</f>
        <v>23 ppts</v>
      </c>
    </row>
    <row r="17" spans="1:18" ht="14.85" customHeight="1"/>
    <row r="18" spans="1:18" ht="14.85" customHeight="1">
      <c r="B18" s="636" t="s">
        <v>854</v>
      </c>
      <c r="G18" s="661"/>
    </row>
    <row r="19" spans="1:18" ht="28.5" customHeight="1">
      <c r="B19" s="795" t="s">
        <v>855</v>
      </c>
      <c r="C19" s="796" t="s">
        <v>856</v>
      </c>
      <c r="D19" s="797" t="s">
        <v>857</v>
      </c>
      <c r="E19" s="829" t="s">
        <v>843</v>
      </c>
      <c r="F19" s="846"/>
      <c r="G19" s="846"/>
      <c r="H19" s="846"/>
      <c r="I19" s="846"/>
      <c r="J19" s="846"/>
      <c r="K19" s="846"/>
      <c r="L19" s="846"/>
      <c r="M19" s="846"/>
      <c r="N19" s="847"/>
      <c r="P19" s="795" t="s">
        <v>855</v>
      </c>
      <c r="Q19" s="796" t="s">
        <v>856</v>
      </c>
      <c r="R19" s="797" t="s">
        <v>857</v>
      </c>
    </row>
    <row r="20" spans="1:18" s="662" customFormat="1" ht="30" customHeight="1">
      <c r="B20" s="922" t="s">
        <v>858</v>
      </c>
      <c r="C20" s="923">
        <f>IFERROR(VLOOKUP($P$4,'Owned Breakdown (Glass)'!$F:$U,4,FALSE),"Error")</f>
        <v>3913</v>
      </c>
      <c r="D20" s="924">
        <f>(IFERROR(VLOOKUP($P$4,'Owned Breakdown (Glass)'!$F:$U,4,FALSE), "Error")/IFERROR(VLOOKUP($P$5,'Owned Breakdown (Glass)'!$F:$U,4,FALSE), "Error"))-1</f>
        <v>-8.0376028202115202E-2</v>
      </c>
      <c r="E20" s="848" t="s">
        <v>859</v>
      </c>
      <c r="F20" s="849"/>
      <c r="G20" s="849"/>
      <c r="H20" s="849"/>
      <c r="I20" s="849"/>
      <c r="J20" s="849"/>
      <c r="K20" s="849"/>
      <c r="L20" s="849"/>
      <c r="M20" s="849"/>
      <c r="N20" s="850"/>
      <c r="P20" s="950" t="s">
        <v>858</v>
      </c>
      <c r="Q20" s="951">
        <f>IFERROR(VLOOKUP($P$4,'Owned Breakdown (Glass)'!$F:$U,4,FALSE),"Error")</f>
        <v>3913</v>
      </c>
      <c r="R20" s="952">
        <f>(IFERROR(VLOOKUP($P$4,'Owned Breakdown (Glass)'!$F:$U,4,FALSE), "Error")/IFERROR(VLOOKUP($P$5,'Owned Breakdown (Glass)'!$F:$U,4,FALSE), "Error"))-1</f>
        <v>-8.0376028202115202E-2</v>
      </c>
    </row>
    <row r="21" spans="1:18" s="662" customFormat="1" ht="30" customHeight="1">
      <c r="B21" s="925" t="s">
        <v>860</v>
      </c>
      <c r="C21" s="926">
        <f>IFERROR(VLOOKUP($P$4,'Owned Breakdown (Glass)'!$F:$U,2,FALSE), "Error")</f>
        <v>3091</v>
      </c>
      <c r="D21" s="927">
        <f>(IFERROR(VLOOKUP($P$4,'Owned Breakdown (Glass)'!$F:$U,2,FALSE), "Error")/IFERROR(VLOOKUP($P$5,'Owned Breakdown (Glass)'!$F:$U,2,FALSE), "Error"))-1</f>
        <v>0.54164588528678315</v>
      </c>
      <c r="E21" s="848" t="s">
        <v>861</v>
      </c>
      <c r="F21" s="849"/>
      <c r="G21" s="849"/>
      <c r="H21" s="849"/>
      <c r="I21" s="849"/>
      <c r="J21" s="849"/>
      <c r="K21" s="849"/>
      <c r="L21" s="849"/>
      <c r="M21" s="849"/>
      <c r="N21" s="850"/>
      <c r="P21" s="953" t="s">
        <v>860</v>
      </c>
      <c r="Q21" s="954">
        <f>IFERROR(VLOOKUP($P$4,'Owned Breakdown (Glass)'!$F:$U,2,FALSE), "Error")</f>
        <v>3091</v>
      </c>
      <c r="R21" s="955">
        <f>(IFERROR(VLOOKUP($P$4,'Owned Breakdown (Glass)'!$F:$U,2,FALSE), "Error")/IFERROR(VLOOKUP($P$5,'Owned Breakdown (Glass)'!$F:$U,2,FALSE), "Error"))-1</f>
        <v>0.54164588528678315</v>
      </c>
    </row>
    <row r="22" spans="1:18" s="662" customFormat="1" ht="31.5" customHeight="1">
      <c r="B22" s="922" t="s">
        <v>862</v>
      </c>
      <c r="C22" s="923">
        <f>IFERROR(VLOOKUP($P$4,'Owned Breakdown (Glass)'!$F:$U,6,FALSE), "Error")</f>
        <v>4037</v>
      </c>
      <c r="D22" s="928">
        <f>(IFERROR(VLOOKUP($P$4,'Owned Breakdown (Glass)'!$F:$K,6,FALSE), "Error")/IFERROR(VLOOKUP($P$5,'Owned Breakdown (Glass)'!$F:$K,6,FALSE), "Error"))-1</f>
        <v>0.2767235926628715</v>
      </c>
      <c r="E22" s="848" t="s">
        <v>863</v>
      </c>
      <c r="F22" s="849"/>
      <c r="G22" s="849"/>
      <c r="H22" s="849"/>
      <c r="I22" s="849"/>
      <c r="J22" s="849"/>
      <c r="K22" s="849"/>
      <c r="L22" s="849"/>
      <c r="M22" s="849"/>
      <c r="N22" s="851"/>
      <c r="P22" s="953" t="s">
        <v>864</v>
      </c>
      <c r="Q22" s="954">
        <f>IFERROR(VLOOKUP($P$4,'Owned Breakdown (Glass)'!$F:$U,5,FALSE), "Error")</f>
        <v>1679</v>
      </c>
      <c r="R22" s="955">
        <f>(IFERROR(VLOOKUP($P$4,'Owned Breakdown (Glass)'!$F:$U,5,FALSE), "Error")/IFERROR(VLOOKUP($P$5,'Owned Breakdown (Glass)'!$F:$U,5,FALSE), "Error"))-1</f>
        <v>-0.58767190569744598</v>
      </c>
    </row>
    <row r="23" spans="1:18" s="662" customFormat="1" ht="30" customHeight="1">
      <c r="B23" s="925" t="s">
        <v>864</v>
      </c>
      <c r="C23" s="926">
        <f>IFERROR(VLOOKUP($P$4,'Owned Breakdown (Glass)'!$F:$U,5,FALSE), "Error")</f>
        <v>1679</v>
      </c>
      <c r="D23" s="927">
        <f>(IFERROR(VLOOKUP($P$4,'Owned Breakdown (Glass)'!$F:$U,5,FALSE), "Error")/IFERROR(VLOOKUP($P$5,'Owned Breakdown (Glass)'!$F:$U,5,FALSE), "Error"))-1</f>
        <v>-0.58767190569744598</v>
      </c>
      <c r="E23" s="849"/>
      <c r="F23" s="849"/>
      <c r="G23" s="849"/>
      <c r="H23" s="849"/>
      <c r="I23" s="849"/>
      <c r="J23" s="849"/>
      <c r="K23" s="849"/>
      <c r="L23" s="849"/>
      <c r="M23" s="849"/>
      <c r="N23" s="850"/>
      <c r="P23" s="950" t="s">
        <v>865</v>
      </c>
      <c r="Q23" s="951">
        <f>IFERROR(VLOOKUP($P$4,'Owned Breakdown (Glass)'!$F:$U,9,FALSE), "Error")</f>
        <v>2428</v>
      </c>
      <c r="R23" s="956">
        <f>(IFERROR(VLOOKUP($P$4,'Owned Breakdown (Glass)'!$F:$U,9,FALSE), "Error")/IFERROR(VLOOKUP($P$5,'Owned Breakdown (Glass)'!$F:$U,9,FALSE), "Error"))-1</f>
        <v>0.93620414673046248</v>
      </c>
    </row>
    <row r="24" spans="1:18" s="662" customFormat="1" ht="30" customHeight="1">
      <c r="B24" s="922" t="s">
        <v>866</v>
      </c>
      <c r="C24" s="923">
        <f>IFERROR(VLOOKUP($P$4,'Owned Breakdown (Glass)'!$F:$U,3,FALSE), "Error")</f>
        <v>1667</v>
      </c>
      <c r="D24" s="928">
        <f>(IFERROR(VLOOKUP($P$4,'Owned Breakdown (Glass)'!$F:$U,3,FALSE), "Error")/IFERROR(VLOOKUP($P$5,'Owned Breakdown (Glass)'!$F:$U,3,FALSE), "Error"))-1</f>
        <v>-0.40886524822695036</v>
      </c>
      <c r="E24" s="849"/>
      <c r="F24" s="849"/>
      <c r="G24" s="849"/>
      <c r="H24" s="849"/>
      <c r="I24" s="849"/>
      <c r="J24" s="849"/>
      <c r="K24" s="849"/>
      <c r="L24" s="849"/>
      <c r="M24" s="849"/>
      <c r="N24" s="850"/>
      <c r="P24" s="950" t="s">
        <v>862</v>
      </c>
      <c r="Q24" s="951">
        <f>IFERROR(VLOOKUP($P$4,'Owned Breakdown (Glass)'!$F:$U,6,FALSE), "Error")</f>
        <v>4037</v>
      </c>
      <c r="R24" s="956">
        <f>(IFERROR(VLOOKUP($P$4,'Owned Breakdown (Glass)'!$F:$K,6,FALSE), "Error")/IFERROR(VLOOKUP($P$5,'Owned Breakdown (Glass)'!$F:$K,6,FALSE), "Error"))-1</f>
        <v>0.2767235926628715</v>
      </c>
    </row>
    <row r="25" spans="1:18" s="662" customFormat="1" ht="30" customHeight="1">
      <c r="B25" s="925" t="s">
        <v>867</v>
      </c>
      <c r="C25" s="926">
        <f>IFERROR(VLOOKUP($P$4,'Owned Breakdown (Glass)'!$F:$U,8,FALSE), "Error")</f>
        <v>3557</v>
      </c>
      <c r="D25" s="927">
        <f>(IFERROR(VLOOKUP($P$4,'Owned Breakdown (Glass)'!$F:$U,8,FALSE), "Error")/IFERROR(VLOOKUP($P$5,'Owned Breakdown (Glass)'!$F:$U,8,FALSE), "Error"))-1</f>
        <v>0.59937050359712241</v>
      </c>
      <c r="E25" s="849"/>
      <c r="F25" s="849"/>
      <c r="G25" s="849"/>
      <c r="H25" s="849"/>
      <c r="I25" s="849"/>
      <c r="J25" s="849"/>
      <c r="K25" s="849"/>
      <c r="L25" s="849"/>
      <c r="M25" s="849"/>
      <c r="N25" s="850"/>
      <c r="P25" s="950" t="s">
        <v>866</v>
      </c>
      <c r="Q25" s="951">
        <f>IFERROR(VLOOKUP($P$4,'Owned Breakdown (Glass)'!$F:$U,3,FALSE), "Error")</f>
        <v>1667</v>
      </c>
      <c r="R25" s="956">
        <f>(IFERROR(VLOOKUP($P$4,'Owned Breakdown (Glass)'!$F:$U,3,FALSE), "Error")/IFERROR(VLOOKUP($P$5,'Owned Breakdown (Glass)'!$F:$U,3,FALSE), "Error"))-1</f>
        <v>-0.40886524822695036</v>
      </c>
    </row>
    <row r="26" spans="1:18" s="662" customFormat="1" ht="30" customHeight="1">
      <c r="B26" s="922" t="s">
        <v>865</v>
      </c>
      <c r="C26" s="923">
        <f>IFERROR(VLOOKUP($P$4,'Owned Breakdown (Glass)'!$F:$U,9,FALSE), "Error")</f>
        <v>2428</v>
      </c>
      <c r="D26" s="928">
        <f>(IFERROR(VLOOKUP($P$4,'Owned Breakdown (Glass)'!$F:$U,9,FALSE), "Error")/IFERROR(VLOOKUP($P$5,'Owned Breakdown (Glass)'!$F:$U,9,FALSE), "Error"))-1</f>
        <v>0.93620414673046248</v>
      </c>
      <c r="E26" s="849"/>
      <c r="F26" s="849"/>
      <c r="G26" s="849"/>
      <c r="H26" s="849"/>
      <c r="I26" s="849"/>
      <c r="J26" s="849"/>
      <c r="K26" s="849"/>
      <c r="L26" s="849"/>
      <c r="M26" s="849"/>
      <c r="N26" s="850"/>
      <c r="P26" s="953" t="s">
        <v>868</v>
      </c>
      <c r="Q26" s="954">
        <f>IFERROR(VLOOKUP($P$4,'Owned Breakdown (Glass)'!$F:$U,7,FALSE), "Error")</f>
        <v>4220</v>
      </c>
      <c r="R26" s="955">
        <f>(IFERROR(VLOOKUP($P$4,'Owned Breakdown (Glass)'!$F:$U,7,FALSE), "Error")/IFERROR(VLOOKUP($P$5,'Owned Breakdown (Glass)'!$F:$U,7,FALSE), "Error"))-1</f>
        <v>5.4209342992755483E-2</v>
      </c>
    </row>
    <row r="27" spans="1:18" s="662" customFormat="1" ht="30" customHeight="1">
      <c r="A27" s="674"/>
      <c r="B27" s="925" t="s">
        <v>869</v>
      </c>
      <c r="C27" s="926">
        <v>4439</v>
      </c>
      <c r="D27" s="929">
        <f>C27/M27-1</f>
        <v>2.9930394431554541E-2</v>
      </c>
      <c r="E27" s="848" t="s">
        <v>870</v>
      </c>
      <c r="F27" s="849"/>
      <c r="G27" s="849"/>
      <c r="H27" s="849"/>
      <c r="I27" s="849"/>
      <c r="J27" s="849"/>
      <c r="K27" s="849"/>
      <c r="L27" s="849"/>
      <c r="M27" s="1071">
        <v>4310</v>
      </c>
      <c r="N27" s="1072"/>
      <c r="P27" s="950" t="s">
        <v>871</v>
      </c>
      <c r="Q27" s="951">
        <v>5076</v>
      </c>
      <c r="R27" s="956">
        <f>D28</f>
        <v>0.12975740040062322</v>
      </c>
    </row>
    <row r="28" spans="1:18" s="662" customFormat="1" ht="30" customHeight="1">
      <c r="A28" s="674"/>
      <c r="B28" s="922" t="s">
        <v>871</v>
      </c>
      <c r="C28" s="923">
        <v>5076</v>
      </c>
      <c r="D28" s="928">
        <f>C28/M28-1</f>
        <v>0.12975740040062322</v>
      </c>
      <c r="E28" s="848" t="s">
        <v>872</v>
      </c>
      <c r="F28" s="849"/>
      <c r="G28" s="849"/>
      <c r="H28" s="849"/>
      <c r="I28" s="849"/>
      <c r="J28" s="849"/>
      <c r="K28" s="849"/>
      <c r="L28" s="849"/>
      <c r="M28" s="1065">
        <v>4493</v>
      </c>
      <c r="N28" s="1066"/>
      <c r="P28" s="953" t="s">
        <v>869</v>
      </c>
      <c r="Q28" s="954">
        <v>4439</v>
      </c>
      <c r="R28" s="957">
        <f>D27</f>
        <v>2.9930394431554541E-2</v>
      </c>
    </row>
    <row r="29" spans="1:18" s="662" customFormat="1" ht="30" customHeight="1">
      <c r="B29" s="925" t="s">
        <v>868</v>
      </c>
      <c r="C29" s="926">
        <f>IFERROR(VLOOKUP($P$4,'Owned Breakdown (Glass)'!$F:$U,7,FALSE), "Error")</f>
        <v>4220</v>
      </c>
      <c r="D29" s="927">
        <f>(IFERROR(VLOOKUP($P$4,'Owned Breakdown (Glass)'!$F:$U,7,FALSE), "Error")/IFERROR(VLOOKUP($P$5,'Owned Breakdown (Glass)'!$F:$U,7,FALSE), "Error"))-1</f>
        <v>5.4209342992755483E-2</v>
      </c>
      <c r="E29" s="849"/>
      <c r="F29" s="849"/>
      <c r="G29" s="849"/>
      <c r="H29" s="849"/>
      <c r="I29" s="849"/>
      <c r="J29" s="849"/>
      <c r="K29" s="849"/>
      <c r="L29" s="849"/>
      <c r="M29" s="849"/>
      <c r="N29" s="850"/>
      <c r="P29" s="953" t="s">
        <v>867</v>
      </c>
      <c r="Q29" s="954">
        <f>IFERROR(VLOOKUP($P$4,'Owned Breakdown (Glass)'!$F:$U,8,FALSE), "Error")</f>
        <v>3557</v>
      </c>
      <c r="R29" s="955">
        <f>(IFERROR(VLOOKUP($P$4,'Owned Breakdown (Glass)'!$F:$U,8,FALSE), "Error")/IFERROR(VLOOKUP($P$5,'Owned Breakdown (Glass)'!$F:$U,8,FALSE), "Error"))-1</f>
        <v>0.59937050359712241</v>
      </c>
    </row>
    <row r="30" spans="1:18" s="662" customFormat="1" ht="30" customHeight="1">
      <c r="B30" s="922" t="s">
        <v>873</v>
      </c>
      <c r="C30" s="923">
        <f>IFERROR(VLOOKUP($P$4,'Owned Breakdown (Glass)'!$F:$U,10,FALSE), "Error")</f>
        <v>4065</v>
      </c>
      <c r="D30" s="928">
        <f>(IFERROR(VLOOKUP($P$4,'Owned Breakdown (Glass)'!$F:$U,10,FALSE), "Error")/IFERROR(VLOOKUP($P$5,'Owned Breakdown (Glass)'!$F:$U,10,FALSE), "Error"))-1</f>
        <v>0.44353693181818188</v>
      </c>
      <c r="E30" s="849"/>
      <c r="F30" s="849"/>
      <c r="G30" s="849"/>
      <c r="H30" s="849"/>
      <c r="I30" s="849"/>
      <c r="J30" s="849"/>
      <c r="K30" s="849"/>
      <c r="L30" s="849"/>
      <c r="M30" s="849"/>
      <c r="N30" s="850"/>
      <c r="P30" s="950" t="s">
        <v>873</v>
      </c>
      <c r="Q30" s="951">
        <f>IFERROR(VLOOKUP($P$4,'Owned Breakdown (Glass)'!$F:$U,10,FALSE), "Error")</f>
        <v>4065</v>
      </c>
      <c r="R30" s="956">
        <f>(IFERROR(VLOOKUP($P$4,'Owned Breakdown (Glass)'!$F:$U,10,FALSE), "Error")/IFERROR(VLOOKUP($P$5,'Owned Breakdown (Glass)'!$F:$U,10,FALSE), "Error"))-1</f>
        <v>0.44353693181818188</v>
      </c>
    </row>
    <row r="31" spans="1:18" s="662" customFormat="1" ht="14.45" customHeight="1">
      <c r="A31" s="674"/>
      <c r="B31" s="966" t="s">
        <v>1004</v>
      </c>
      <c r="C31" s="926">
        <f>$C$32-SUM(C20:C30)</f>
        <v>79546</v>
      </c>
      <c r="D31" s="929">
        <f>C31/M31-1</f>
        <v>19.597099948213362</v>
      </c>
      <c r="E31" s="848" t="s">
        <v>874</v>
      </c>
      <c r="F31" s="849"/>
      <c r="G31" s="849"/>
      <c r="H31" s="849"/>
      <c r="I31" s="849"/>
      <c r="J31" s="849"/>
      <c r="K31" s="849"/>
      <c r="L31" s="849"/>
      <c r="M31" s="1068">
        <v>3862</v>
      </c>
      <c r="N31" s="991"/>
      <c r="P31" s="966" t="s">
        <v>1011</v>
      </c>
      <c r="Q31" s="954">
        <f>$C$32-SUM(Q20:Q30)</f>
        <v>79546</v>
      </c>
      <c r="R31" s="957">
        <f>D31</f>
        <v>19.597099948213362</v>
      </c>
    </row>
    <row r="32" spans="1:18" s="662" customFormat="1" ht="17.850000000000001" customHeight="1">
      <c r="B32" s="930" t="s">
        <v>875</v>
      </c>
      <c r="C32" s="931">
        <f>IFERROR(VLOOKUP($P$4,'Owned Breakdown (Glass)'!$F:$U,16,FALSE), "Error")</f>
        <v>117718</v>
      </c>
      <c r="D32" s="932">
        <f>(IFERROR(VLOOKUP($P$4,'Owned Breakdown (Glass)'!$F:$U,16,FALSE), "Error")/IFERROR(VLOOKUP($P$5,'Owned Breakdown (Glass)'!$F:$U,16,FALSE), "Error"))-1</f>
        <v>-0.14241587562924807</v>
      </c>
      <c r="E32" s="852"/>
      <c r="F32" s="852"/>
      <c r="G32" s="852"/>
      <c r="H32" s="852"/>
      <c r="I32" s="852"/>
      <c r="J32" s="852"/>
      <c r="K32" s="852"/>
      <c r="L32" s="852"/>
      <c r="M32" s="852"/>
      <c r="N32" s="853"/>
      <c r="P32" s="958" t="s">
        <v>875</v>
      </c>
      <c r="Q32" s="959">
        <f>IFERROR(VLOOKUP($P$4,'Owned Breakdown (Glass)'!$F:$U,16,FALSE), "Error")</f>
        <v>117718</v>
      </c>
      <c r="R32" s="960">
        <f>(IFERROR(VLOOKUP($P$4,'Owned Breakdown (Glass)'!$F:$U,16,FALSE), "Error")/IFERROR(VLOOKUP($P$5,'Owned Breakdown (Glass)'!$F:$U,16,FALSE), "Error"))-1</f>
        <v>-0.14241587562924807</v>
      </c>
    </row>
    <row r="34" spans="2:18" ht="15">
      <c r="B34" s="629"/>
    </row>
    <row r="35" spans="2:18" ht="15.75" customHeight="1" thickBot="1">
      <c r="B35" s="629" t="s">
        <v>876</v>
      </c>
    </row>
    <row r="36" spans="2:18" ht="15" customHeight="1">
      <c r="B36" s="825" t="s">
        <v>877</v>
      </c>
      <c r="C36" s="1012" t="s">
        <v>807</v>
      </c>
      <c r="D36" s="1012" t="s">
        <v>809</v>
      </c>
      <c r="E36" s="1012" t="s">
        <v>806</v>
      </c>
      <c r="F36" s="1012" t="s">
        <v>810</v>
      </c>
      <c r="G36" s="1012" t="s">
        <v>808</v>
      </c>
      <c r="H36" s="1012" t="s">
        <v>811</v>
      </c>
      <c r="I36" s="1012" t="s">
        <v>812</v>
      </c>
      <c r="J36" s="1012" t="s">
        <v>804</v>
      </c>
    </row>
    <row r="37" spans="2:18" ht="15.75" customHeight="1" thickBot="1">
      <c r="B37" s="826" t="s">
        <v>878</v>
      </c>
      <c r="C37" s="1013"/>
      <c r="D37" s="1013"/>
      <c r="E37" s="1013"/>
      <c r="F37" s="1013"/>
      <c r="G37" s="1013"/>
      <c r="H37" s="1013"/>
      <c r="I37" s="1013"/>
      <c r="J37" s="1013"/>
      <c r="L37" s="670" t="s">
        <v>843</v>
      </c>
      <c r="M37" s="654"/>
      <c r="N37" s="654"/>
      <c r="O37" s="654"/>
      <c r="P37" s="654"/>
      <c r="Q37" s="654"/>
      <c r="R37" s="655"/>
    </row>
    <row r="38" spans="2:18" ht="15.75" customHeight="1">
      <c r="B38" s="827" t="s">
        <v>879</v>
      </c>
      <c r="C38" s="909">
        <f>IFERROR(VLOOKUP($P$4,'Channel &amp; Campaign Metrics'!$F:$G,COLUMNS('Channel &amp; Campaign Metrics'!$F:$G),FALSE),"Error")</f>
        <v>9410</v>
      </c>
      <c r="D38" s="909">
        <f>IFERROR(VLOOKUP($P$4,'Channel &amp; Campaign Metrics'!$F:$L,COLUMNS('Channel &amp; Campaign Metrics'!$F:$L),FALSE),"Error")</f>
        <v>7635</v>
      </c>
      <c r="E38" s="909">
        <f>IFERROR(VLOOKUP($P$4,'Channel &amp; Campaign Metrics'!$F:$H,COLUMNS('Channel &amp; Campaign Metrics'!$F:$H),FALSE),"Error")</f>
        <v>10818</v>
      </c>
      <c r="F38" s="909">
        <f>IFERROR(VLOOKUP($P$4,'Channel &amp; Campaign Metrics'!$F:$O,COLUMNS('Channel &amp; Campaign Metrics'!$F:$O),FALSE),"Error")</f>
        <v>6128</v>
      </c>
      <c r="G38" s="909">
        <f>IFERROR(VLOOKUP($P$4,'Channel &amp; Campaign Metrics'!$F:$K,COLUMNS('Channel &amp; Campaign Metrics'!$F:$K),FALSE),"Error")</f>
        <v>8631</v>
      </c>
      <c r="H38" s="909">
        <f>IFERROR(VLOOKUP($P$4,'Channel &amp; Campaign Metrics'!$F:$P,COLUMNS('Channel &amp; Campaign Metrics'!$F:$P),FALSE),"Error")</f>
        <v>8388</v>
      </c>
      <c r="I38" s="909">
        <f>IFERROR(VLOOKUP($P$4,'Channel &amp; Campaign Metrics'!$F:$X,COLUMNS('Channel &amp; Campaign Metrics'!$F:$X),FALSE),"Error")</f>
        <v>7788</v>
      </c>
      <c r="J38" s="910">
        <f>IFERROR(VLOOKUP($P$4,'Channel &amp; Campaign Metrics'!$F:$Z,COLUMNS('Channel &amp; Campaign Metrics'!$F:$Z),FALSE),"Error")</f>
        <v>58798</v>
      </c>
      <c r="L38" s="675" t="s">
        <v>880</v>
      </c>
      <c r="R38" s="657"/>
    </row>
    <row r="39" spans="2:18" ht="15.75" customHeight="1" thickBot="1">
      <c r="B39" s="828" t="s">
        <v>881</v>
      </c>
      <c r="C39" s="911">
        <f>'Channel &amp; Campaign Metrics'!G1</f>
        <v>-6.933043220255164E-2</v>
      </c>
      <c r="D39" s="911">
        <f>'Channel &amp; Campaign Metrics'!L1</f>
        <v>0.10508033000434214</v>
      </c>
      <c r="E39" s="911">
        <f>'Channel &amp; Campaign Metrics'!H1</f>
        <v>-0.23682539682539683</v>
      </c>
      <c r="F39" s="911">
        <f>'Channel &amp; Campaign Metrics'!O1</f>
        <v>-5.6069008009858257E-2</v>
      </c>
      <c r="G39" s="911">
        <f>'Channel &amp; Campaign Metrics'!K1</f>
        <v>-7.8376935397757586E-2</v>
      </c>
      <c r="H39" s="912">
        <f>'Channel &amp; Campaign Metrics'!P1</f>
        <v>0.67324955116696583</v>
      </c>
      <c r="I39" s="911" t="str">
        <f>'Channel &amp; Campaign Metrics'!X1</f>
        <v>NA</v>
      </c>
      <c r="J39" s="913">
        <f>'Channel &amp; Campaign Metrics'!Z1</f>
        <v>0.12931912033035631</v>
      </c>
      <c r="L39" s="672" t="s">
        <v>882</v>
      </c>
      <c r="R39" s="657"/>
    </row>
    <row r="40" spans="2:18" ht="18.75">
      <c r="B40" s="827" t="s">
        <v>315</v>
      </c>
      <c r="C40" s="914">
        <f>IFERROR(VLOOKUP($P$4,'Channel &amp; Campaign Metrics'!$F:$AB,COLUMNS('Channel &amp; Campaign Metrics'!$F:$AB),FALSE),"Error")</f>
        <v>76740</v>
      </c>
      <c r="D40" s="914">
        <f>IFERROR(VLOOKUP($P$4,'Channel &amp; Campaign Metrics'!$F:$AG,COLUMNS('Channel &amp; Campaign Metrics'!$F:$AG),FALSE),"Error")</f>
        <v>88917</v>
      </c>
      <c r="E40" s="914">
        <f>IFERROR(VLOOKUP($P$4,'Channel &amp; Campaign Metrics'!$F:$AC,COLUMNS('Channel &amp; Campaign Metrics'!$F:$AC),FALSE),"Error")</f>
        <v>52436</v>
      </c>
      <c r="F40" s="914">
        <f>IFERROR(VLOOKUP($P$4,'Channel &amp; Campaign Metrics'!$F:$AH,COLUMNS('Channel &amp; Campaign Metrics'!$F:$AH),FALSE),"Error")</f>
        <v>66390</v>
      </c>
      <c r="G40" s="914">
        <f>IFERROR(VLOOKUP($P$4,'Channel &amp; Campaign Metrics'!$F:$AF,COLUMNS('Channel &amp; Campaign Metrics'!$F:$AF),FALSE),"Error")</f>
        <v>75422</v>
      </c>
      <c r="H40" s="914">
        <f>IFERROR(VLOOKUP($P$4,'Channel &amp; Campaign Metrics'!$F:$AI,COLUMNS('Channel &amp; Campaign Metrics'!$F:$AI),FALSE),"Error")</f>
        <v>54403</v>
      </c>
      <c r="I40" s="914">
        <f>IFERROR(VLOOKUP($P$4,'Channel &amp; Campaign Metrics'!$F:$AQ,COLUMNS('Channel &amp; Campaign Metrics'!$F:$AQ),FALSE),"Error")</f>
        <v>61008</v>
      </c>
      <c r="J40" s="915">
        <f>IFERROR(VLOOKUP($P$4,'Channel &amp; Campaign Metrics'!$F:$AR,COLUMNS('Channel &amp; Campaign Metrics'!$F:$AR),FALSE),"Error")</f>
        <v>1204261</v>
      </c>
      <c r="K40" s="764"/>
      <c r="L40" s="424"/>
      <c r="M40" s="659"/>
      <c r="N40" s="659"/>
      <c r="O40" s="659"/>
      <c r="P40" s="659"/>
      <c r="Q40" s="659"/>
      <c r="R40" s="660"/>
    </row>
    <row r="41" spans="2:18" ht="15.75" customHeight="1" thickBot="1">
      <c r="B41" s="828" t="s">
        <v>881</v>
      </c>
      <c r="C41" s="916">
        <f>'Channel &amp; Campaign Metrics'!AB1</f>
        <v>-0.16265671544076732</v>
      </c>
      <c r="D41" s="916">
        <f>'Channel &amp; Campaign Metrics'!AG1</f>
        <v>0.17147110748069871</v>
      </c>
      <c r="E41" s="916">
        <f>'Channel &amp; Campaign Metrics'!AC1</f>
        <v>-2.8819084308786436E-2</v>
      </c>
      <c r="F41" s="916">
        <f>'Channel &amp; Campaign Metrics'!AH1</f>
        <v>-0.17309153412133971</v>
      </c>
      <c r="G41" s="916">
        <f>'Channel &amp; Campaign Metrics'!AF1</f>
        <v>-5.7613734334586941E-2</v>
      </c>
      <c r="H41" s="916">
        <f>'Channel &amp; Campaign Metrics'!AI1</f>
        <v>-0.30534877485092637</v>
      </c>
      <c r="I41" s="916">
        <f>'Channel &amp; Campaign Metrics'!AQ1</f>
        <v>-0.25762055999707956</v>
      </c>
      <c r="J41" s="917">
        <f>'Channel &amp; Campaign Metrics'!AR1</f>
        <v>-5.853266121088363E-2</v>
      </c>
    </row>
    <row r="42" spans="2:18" ht="18.75">
      <c r="B42" s="827" t="s">
        <v>488</v>
      </c>
      <c r="C42" s="918">
        <f>IFERROR(VLOOKUP($P$4,'Channel &amp; Campaign Metrics'!$F:$AS,COLUMNS('Channel &amp; Campaign Metrics'!$F:$AS),FALSE),"Error")</f>
        <v>8.1551540913921361</v>
      </c>
      <c r="D42" s="919">
        <f>IFERROR(VLOOKUP($P$4,'Channel &amp; Campaign Metrics'!$F:$AX,COLUMNS('Channel &amp; Campaign Metrics'!$F:$AX),FALSE),"Error")</f>
        <v>11.645972495088408</v>
      </c>
      <c r="E42" s="918">
        <f>IFERROR(VLOOKUP($P$4,'Channel &amp; Campaign Metrics'!$F:$AT,COLUMNS('Channel &amp; Campaign Metrics'!$F:$AT),FALSE),"Error")</f>
        <v>4.8471066740617488</v>
      </c>
      <c r="F42" s="918">
        <f>IFERROR(VLOOKUP($P$4,'Channel &amp; Campaign Metrics'!$F:$AY,COLUMNS('Channel &amp; Campaign Metrics'!$F:$AY),FALSE),"Error")</f>
        <v>10.8338772845953</v>
      </c>
      <c r="G42" s="918">
        <f>IFERROR(VLOOKUP($P$4,'Channel &amp; Campaign Metrics'!$F:$AW,COLUMNS('Channel &amp; Campaign Metrics'!$F:$AW),FALSE),"Error")</f>
        <v>8.7385007530992933</v>
      </c>
      <c r="H42" s="918">
        <f>IFERROR(VLOOKUP($P$4,'Channel &amp; Campaign Metrics'!$F:$AZ,COLUMNS('Channel &amp; Campaign Metrics'!$F:$AZ),FALSE),"Error")</f>
        <v>6.4858130662851696</v>
      </c>
      <c r="I42" s="918">
        <f>IFERROR(VLOOKUP($P$4,'Channel &amp; Campaign Metrics'!$F:$BH,COLUMNS('Channel &amp; Campaign Metrics'!$F:$BH),FALSE),"Error")</f>
        <v>7.8335901386748841</v>
      </c>
      <c r="J42" s="918">
        <f>IFERROR(VLOOKUP($P$4,'Channel &amp; Campaign Metrics'!$F:$BI,COLUMNS('Channel &amp; Campaign Metrics'!$F:$BI),FALSE),"Error")</f>
        <v>20.481325895438619</v>
      </c>
      <c r="K42" s="763"/>
    </row>
    <row r="43" spans="2:18" ht="15.75" customHeight="1" thickBot="1">
      <c r="B43" s="828" t="s">
        <v>881</v>
      </c>
      <c r="C43" s="920">
        <f>'Channel &amp; Campaign Metrics'!AS1</f>
        <v>-0.10027864503948969</v>
      </c>
      <c r="D43" s="920">
        <f>'Channel &amp; Campaign Metrics'!AX1</f>
        <v>6.0077784097465337E-2</v>
      </c>
      <c r="E43" s="920">
        <f>'Channel &amp; Campaign Metrics'!AT1</f>
        <v>0.27255402846394428</v>
      </c>
      <c r="F43" s="920">
        <f>'Channel &amp; Campaign Metrics'!AY1</f>
        <v>-0.12397360305413474</v>
      </c>
      <c r="G43" s="920">
        <f>'Channel &amp; Campaign Metrics'!AW1</f>
        <v>2.2528951217309023E-2</v>
      </c>
      <c r="H43" s="920">
        <f>'Channel &amp; Campaign Metrics'!AZ1</f>
        <v>-0.58484899956219527</v>
      </c>
      <c r="I43" s="920" t="str">
        <f>'Channel &amp; Campaign Metrics'!BH1</f>
        <v>NA</v>
      </c>
      <c r="J43" s="921">
        <f>'Channel &amp; Campaign Metrics'!BI1</f>
        <v>-0.16634074298351409</v>
      </c>
    </row>
    <row r="50" spans="2:17" ht="23.85" customHeight="1"/>
    <row r="51" spans="2:17">
      <c r="B51" s="663"/>
      <c r="C51" s="663" t="s">
        <v>883</v>
      </c>
      <c r="D51" s="663" t="s">
        <v>884</v>
      </c>
      <c r="E51" s="663" t="s">
        <v>885</v>
      </c>
      <c r="F51" s="663"/>
      <c r="G51" s="1023" t="s">
        <v>886</v>
      </c>
      <c r="H51" s="1015"/>
      <c r="I51" s="1023" t="s">
        <v>884</v>
      </c>
      <c r="J51" s="1015"/>
      <c r="K51" s="1023" t="s">
        <v>885</v>
      </c>
      <c r="L51" s="1015"/>
      <c r="M51" s="663"/>
    </row>
    <row r="52" spans="2:17">
      <c r="B52" s="663" t="s">
        <v>887</v>
      </c>
      <c r="C52" s="664">
        <f>'Overall Metrics'!O1</f>
        <v>5.5511151231257827E-17</v>
      </c>
      <c r="D52" s="664">
        <f>'Overall Metrics'!P1</f>
        <v>-3.1460512050262901E-2</v>
      </c>
      <c r="E52" s="664">
        <f>'Overall Metrics'!Q1</f>
        <v>3.9327827491671186E-2</v>
      </c>
      <c r="F52" s="663"/>
      <c r="G52" s="663" t="s">
        <v>888</v>
      </c>
      <c r="H52" s="663" t="s">
        <v>889</v>
      </c>
      <c r="I52" s="663" t="s">
        <v>888</v>
      </c>
      <c r="J52" s="663" t="s">
        <v>889</v>
      </c>
      <c r="K52" s="663" t="s">
        <v>888</v>
      </c>
      <c r="L52" s="663" t="s">
        <v>889</v>
      </c>
      <c r="M52" s="663"/>
    </row>
    <row r="53" spans="2:17">
      <c r="B53" s="663" t="s">
        <v>890</v>
      </c>
      <c r="C53" s="664">
        <f>'Overall Metrics'!O2</f>
        <v>5.5511151231257827E-17</v>
      </c>
      <c r="D53" s="664">
        <f>'Overall Metrics'!P2</f>
        <v>2.1315421896828113E-4</v>
      </c>
      <c r="E53" s="664">
        <f>'Overall Metrics'!Q2</f>
        <v>-2.6653383994543201E-4</v>
      </c>
      <c r="F53" s="663"/>
      <c r="G53" s="665">
        <f>'Overall Metrics'!AZ1</f>
        <v>-0.18452122616664912</v>
      </c>
      <c r="H53" s="665">
        <f>'Overall Metrics'!BA1</f>
        <v>1.2695850379489837E-2</v>
      </c>
      <c r="I53" s="665">
        <f>'Overall Metrics'!BB1</f>
        <v>-0.26564192763099204</v>
      </c>
      <c r="J53" s="665">
        <f>'Overall Metrics'!BC1</f>
        <v>-3.8604026845637573E-2</v>
      </c>
      <c r="K53" s="665">
        <f>'Overall Metrics'!BD1</f>
        <v>0.20189423835832687</v>
      </c>
      <c r="L53" s="665">
        <f>'Overall Metrics'!BE1</f>
        <v>0.10597791597918516</v>
      </c>
      <c r="M53" s="663" t="s">
        <v>887</v>
      </c>
    </row>
    <row r="54" spans="2:17">
      <c r="B54" s="663"/>
      <c r="C54" s="663"/>
      <c r="D54" s="663"/>
      <c r="E54" s="663"/>
      <c r="F54" s="663"/>
      <c r="G54" s="665">
        <f>'Overall Metrics'!AZ2</f>
        <v>-0.15347915611888141</v>
      </c>
      <c r="H54" s="665">
        <f>'Overall Metrics'!BA2</f>
        <v>0.22560359536995511</v>
      </c>
      <c r="I54" s="665">
        <f>'Overall Metrics'!BB2</f>
        <v>-0.26392508559456285</v>
      </c>
      <c r="J54" s="665">
        <f>'Overall Metrics'!BC2</f>
        <v>0.4843490947675575</v>
      </c>
      <c r="K54" s="665">
        <f>'Overall Metrics'!BD2</f>
        <v>0.50281259251949084</v>
      </c>
      <c r="L54" s="665">
        <f>'Overall Metrics'!BE2</f>
        <v>-3.9144337854228661E-2</v>
      </c>
      <c r="M54" s="663" t="s">
        <v>890</v>
      </c>
    </row>
    <row r="55" spans="2:17" ht="14.45" customHeight="1">
      <c r="H55" s="666" t="s">
        <v>891</v>
      </c>
    </row>
    <row r="58" spans="2:17" ht="15" customHeight="1" thickBot="1"/>
    <row r="59" spans="2:17" ht="93" customHeight="1" thickBot="1">
      <c r="B59" s="807" t="s">
        <v>855</v>
      </c>
      <c r="C59" s="1054" t="s">
        <v>892</v>
      </c>
      <c r="D59" s="1048"/>
      <c r="E59" s="1047" t="s">
        <v>893</v>
      </c>
      <c r="F59" s="1048"/>
      <c r="G59" s="1063" t="s">
        <v>894</v>
      </c>
      <c r="H59" s="1064"/>
      <c r="K59" s="670" t="s">
        <v>843</v>
      </c>
      <c r="L59" s="654"/>
      <c r="M59" s="654"/>
      <c r="N59" s="654"/>
      <c r="O59" s="654"/>
      <c r="P59" s="654"/>
      <c r="Q59" s="655"/>
    </row>
    <row r="60" spans="2:17" ht="15.6" customHeight="1">
      <c r="B60" s="1034" t="s">
        <v>895</v>
      </c>
      <c r="C60" s="1022">
        <f>IFERROR(VLOOKUP($P$4,'Overall Metrics'!$F:$BE,47,FALSE),"Error")</f>
        <v>38706.699999999997</v>
      </c>
      <c r="D60" s="980"/>
      <c r="E60" s="1018">
        <f>IFERROR(VLOOKUP($P$4,'Overall Metrics'!$F:$BE,48,FALSE),"Error")</f>
        <v>73085.5</v>
      </c>
      <c r="F60" s="1015"/>
      <c r="G60" s="1010">
        <f>SUM(C60:F60)/$G$66</f>
        <v>0.33333333333333337</v>
      </c>
      <c r="H60" s="1011"/>
      <c r="K60" s="675" t="s">
        <v>896</v>
      </c>
      <c r="Q60" s="657"/>
    </row>
    <row r="61" spans="2:17">
      <c r="B61" s="1035"/>
      <c r="C61" s="798" t="str">
        <f>"WoW :"&amp;ROUND((G53*100),0)&amp;"%"</f>
        <v>WoW :-18%</v>
      </c>
      <c r="D61" s="798" t="str">
        <f>"YoY :"&amp;ROUND((G54*100),0)&amp;"%"</f>
        <v>YoY :-15%</v>
      </c>
      <c r="E61" s="798" t="str">
        <f>"WoW :"&amp;ROUND((H53*100),0)&amp;"%"</f>
        <v>WoW :1%</v>
      </c>
      <c r="F61" s="798" t="str">
        <f>"YoY :"&amp;ROUND((H54*100),0)&amp;"%"</f>
        <v>YoY :23%</v>
      </c>
      <c r="G61" s="799" t="str">
        <f>"WoW :"&amp;ROUND((C52*100),0)&amp;"%"</f>
        <v>WoW :0%</v>
      </c>
      <c r="H61" s="800" t="str">
        <f>"YoY :"&amp;ROUND((C53*100),0)&amp;"%"</f>
        <v>YoY :0%</v>
      </c>
      <c r="K61" s="672" t="s">
        <v>897</v>
      </c>
      <c r="Q61" s="657"/>
    </row>
    <row r="62" spans="2:17" ht="15.6" customHeight="1">
      <c r="B62" s="1037" t="s">
        <v>798</v>
      </c>
      <c r="C62" s="1040">
        <f>IFERROR(VLOOKUP($P$4,'Overall Metrics'!$F:$BE,49,FALSE),"Error")</f>
        <v>57617</v>
      </c>
      <c r="D62" s="1015"/>
      <c r="E62" s="1041">
        <f>IFERROR(VLOOKUP($P$4,'Overall Metrics'!$F:$BE,50,FALSE),"Error")</f>
        <v>89530</v>
      </c>
      <c r="F62" s="1015"/>
      <c r="G62" s="1069">
        <f>SUM(C62:F62)/$G$66</f>
        <v>0.43875154080517248</v>
      </c>
      <c r="H62" s="1032"/>
      <c r="K62" s="676" t="s">
        <v>898</v>
      </c>
      <c r="L62" s="659"/>
      <c r="M62" s="659"/>
      <c r="N62" s="659"/>
      <c r="O62" s="659"/>
      <c r="P62" s="659"/>
      <c r="Q62" s="660"/>
    </row>
    <row r="63" spans="2:17">
      <c r="B63" s="1035"/>
      <c r="C63" s="801" t="str">
        <f>"WoW :"&amp;ROUND((I53*100),0)&amp;"%"</f>
        <v>WoW :-27%</v>
      </c>
      <c r="D63" s="801" t="str">
        <f>"YoY :"&amp;ROUND((I54*100),0)&amp;"%"</f>
        <v>YoY :-26%</v>
      </c>
      <c r="E63" s="801" t="str">
        <f>"WoW :"&amp;ROUND((J53*100),0)&amp;"%"</f>
        <v>WoW :-4%</v>
      </c>
      <c r="F63" s="801" t="str">
        <f>"YoY :"&amp;ROUND((J54*100),0)&amp;"%"</f>
        <v>YoY :48%</v>
      </c>
      <c r="G63" s="802" t="str">
        <f>"WoW :"&amp;ROUND((D52*100),0)&amp;"%"</f>
        <v>WoW :-3%</v>
      </c>
      <c r="H63" s="803" t="str">
        <f>"YoY :"&amp;ROUND((D53*100),0)&amp;"%"</f>
        <v>YoY :0%</v>
      </c>
    </row>
    <row r="64" spans="2:17" ht="15.6" customHeight="1">
      <c r="B64" s="1034" t="s">
        <v>805</v>
      </c>
      <c r="C64" s="1039">
        <f>IFERROR(VLOOKUP($P$4,'Overall Metrics'!$F:$BE,51,FALSE),"Error")</f>
        <v>19796.400000000001</v>
      </c>
      <c r="D64" s="1015"/>
      <c r="E64" s="1018">
        <f>IFERROR(VLOOKUP($P$4,'Overall Metrics'!$F:$BE,52,FALSE),"Error")</f>
        <v>56641</v>
      </c>
      <c r="F64" s="1015"/>
      <c r="G64" s="1031">
        <f>SUM(C64:F64)/$G$66</f>
        <v>0.22791512586149421</v>
      </c>
      <c r="H64" s="1032"/>
    </row>
    <row r="65" spans="2:11" ht="15" customHeight="1" thickBot="1">
      <c r="B65" s="1035"/>
      <c r="C65" s="798" t="str">
        <f>"WoW :"&amp;ROUND((K53*100),0)&amp;"%"</f>
        <v>WoW :20%</v>
      </c>
      <c r="D65" s="798" t="str">
        <f>"YoY :"&amp;ROUND((K54*100),0)&amp;"%"</f>
        <v>YoY :50%</v>
      </c>
      <c r="E65" s="798" t="str">
        <f>"WoW :"&amp;ROUND((L53*100),0)&amp;"%"</f>
        <v>WoW :11%</v>
      </c>
      <c r="F65" s="798" t="str">
        <f>"YoY :"&amp;ROUND((L54*100),0)&amp;"%"</f>
        <v>YoY :-4%</v>
      </c>
      <c r="G65" s="804" t="str">
        <f>"WoW :"&amp;ROUND((E52*100),0)&amp;"%"</f>
        <v>WoW :4%</v>
      </c>
      <c r="H65" s="805" t="str">
        <f>"YoY :"&amp;ROUND((E53*100),0)&amp;"%"</f>
        <v>YoY :0%</v>
      </c>
    </row>
    <row r="66" spans="2:11" ht="15.6" customHeight="1" thickBot="1">
      <c r="B66" s="1070" t="s">
        <v>837</v>
      </c>
      <c r="C66" s="1067">
        <f>IFERROR(VLOOKUP($P$4,'Overall Metrics'!$F:$BE,3,FALSE),"Error")</f>
        <v>116120.09999999999</v>
      </c>
      <c r="D66" s="980"/>
      <c r="E66" s="1033">
        <f>IFERROR(VLOOKUP($P$4,'Overall Metrics'!$F:$BE,4,FALSE),"Error")</f>
        <v>219256.5</v>
      </c>
      <c r="F66" s="980"/>
      <c r="G66" s="1016">
        <f>IFERROR(VLOOKUP($P$4,'Overall Metrics'!$F:$BE,2,FALSE),"Error")</f>
        <v>335376.59999999998</v>
      </c>
      <c r="H66" s="1011"/>
    </row>
    <row r="67" spans="2:11" ht="15" customHeight="1" thickBot="1">
      <c r="B67" s="1013"/>
      <c r="C67" s="806" t="str">
        <f>"WoW :"&amp;ROUND(('Overall Metrics'!H1*100),0)&amp;"%"</f>
        <v>WoW :-18%</v>
      </c>
      <c r="D67" s="806" t="str">
        <f>"YoY :"&amp;ROUND(('Overall Metrics'!H2*100),0)&amp;"%"</f>
        <v>YoY :-15%</v>
      </c>
      <c r="E67" s="806" t="str">
        <f>"WoW :"&amp;ROUND(('Overall Metrics'!I1*100),0)&amp;"%"</f>
        <v>WoW :1%</v>
      </c>
      <c r="F67" s="806" t="str">
        <f>"YoY :"&amp;ROUND(('Overall Metrics'!I2*100),0)&amp;"%"</f>
        <v>YoY :23%</v>
      </c>
      <c r="G67" s="982"/>
      <c r="H67" s="1017"/>
    </row>
    <row r="71" spans="2:11" ht="15">
      <c r="B71" s="629" t="s">
        <v>899</v>
      </c>
    </row>
    <row r="72" spans="2:11" ht="17.850000000000001" customHeight="1" thickBot="1"/>
    <row r="73" spans="2:11" ht="15" customHeight="1">
      <c r="B73" s="1055" t="s">
        <v>900</v>
      </c>
      <c r="C73" s="1019" t="s">
        <v>901</v>
      </c>
      <c r="D73" s="1020"/>
      <c r="E73" s="1021"/>
      <c r="F73" s="1019" t="s">
        <v>902</v>
      </c>
      <c r="G73" s="1020"/>
      <c r="H73" s="1021"/>
      <c r="I73" s="1019" t="s">
        <v>903</v>
      </c>
      <c r="J73" s="1020"/>
      <c r="K73" s="1021"/>
    </row>
    <row r="74" spans="2:11" ht="15" customHeight="1">
      <c r="B74" s="1056"/>
      <c r="C74" s="830" t="s">
        <v>877</v>
      </c>
      <c r="D74" s="830" t="s">
        <v>162</v>
      </c>
      <c r="E74" s="830" t="s">
        <v>163</v>
      </c>
      <c r="F74" s="830" t="s">
        <v>877</v>
      </c>
      <c r="G74" s="830" t="s">
        <v>162</v>
      </c>
      <c r="H74" s="830" t="s">
        <v>163</v>
      </c>
      <c r="I74" s="838" t="s">
        <v>877</v>
      </c>
      <c r="J74" s="838" t="s">
        <v>162</v>
      </c>
      <c r="K74" s="839" t="s">
        <v>163</v>
      </c>
    </row>
    <row r="75" spans="2:11" ht="18.75">
      <c r="B75" s="831" t="s">
        <v>904</v>
      </c>
      <c r="C75" s="973">
        <f>VLOOKUP($P$4,'Glass Metrics'!$F:$AU,24,FALSE)</f>
        <v>108198</v>
      </c>
      <c r="D75" s="900">
        <f>'Glass Metrics'!AC1</f>
        <v>-0.15015512704708789</v>
      </c>
      <c r="E75" s="900">
        <f>'Glass Metrics'!AC2</f>
        <v>-0.24138656345967779</v>
      </c>
      <c r="F75" s="967">
        <f>VLOOKUP($P$4,'Glass Metrics'!$F:$AU,26,FALSE)</f>
        <v>51322</v>
      </c>
      <c r="G75" s="900">
        <f>'Glass Metrics'!AE1</f>
        <v>-0.4413506335176558</v>
      </c>
      <c r="H75" s="900">
        <f>'Glass Metrics'!AE2</f>
        <v>-0.40862370943952797</v>
      </c>
      <c r="I75" s="970">
        <f>VLOOKUP($P$4,'Glass Metrics'!$F:$AU,25,FALSE)</f>
        <v>69500</v>
      </c>
      <c r="J75" s="900">
        <f>'Glass Metrics'!AD1</f>
        <v>-0.23679211095615127</v>
      </c>
      <c r="K75" s="901">
        <f>'Glass Metrics'!AD2</f>
        <v>-0.23566738884184368</v>
      </c>
    </row>
    <row r="76" spans="2:11" ht="18.75">
      <c r="B76" s="831" t="s">
        <v>905</v>
      </c>
      <c r="C76" s="973">
        <f>VLOOKUP($P$4,'Glass Metrics'!$F:$AU,19,FALSE)</f>
        <v>131645</v>
      </c>
      <c r="D76" s="902">
        <f>'Glass Metrics'!X1</f>
        <v>0.10304406478587658</v>
      </c>
      <c r="E76" s="902">
        <f>'Glass Metrics'!X2</f>
        <v>8.0678394641142015E-2</v>
      </c>
      <c r="F76" s="967">
        <f>VLOOKUP($P$4,'Glass Metrics'!$F:$AU,21,FALSE)</f>
        <v>68153</v>
      </c>
      <c r="G76" s="902">
        <f>'Glass Metrics'!Z1</f>
        <v>-0.25880369766177269</v>
      </c>
      <c r="H76" s="902">
        <f>'Glass Metrics'!Z2</f>
        <v>-7.3240049497545479E-2</v>
      </c>
      <c r="I76" s="970">
        <f>VLOOKUP($P$4,'Glass Metrics'!$F:$AU,20,FALSE)</f>
        <v>56340</v>
      </c>
      <c r="J76" s="902">
        <f>'Glass Metrics'!Y1</f>
        <v>-0.14927671911333917</v>
      </c>
      <c r="K76" s="903">
        <f>'Glass Metrics'!Y2</f>
        <v>-6.4026314915107796E-2</v>
      </c>
    </row>
    <row r="77" spans="2:11" ht="30" customHeight="1">
      <c r="B77" s="831" t="s">
        <v>906</v>
      </c>
      <c r="C77" s="973">
        <f>VLOOKUP($P$4,'Glass Metrics'!$F:$AU,14,FALSE)</f>
        <v>169068</v>
      </c>
      <c r="D77" s="900">
        <f>'Glass Metrics'!S1</f>
        <v>0.17178858069613678</v>
      </c>
      <c r="E77" s="900">
        <f>'Glass Metrics'!S2</f>
        <v>0.12478793967174728</v>
      </c>
      <c r="F77" s="967">
        <f>VLOOKUP($P$4,'Glass Metrics'!$F:$AU,16,FALSE)</f>
        <v>92887</v>
      </c>
      <c r="G77" s="900">
        <f>'Glass Metrics'!U1</f>
        <v>0.72255396483940371</v>
      </c>
      <c r="H77" s="900">
        <f>'Glass Metrics'!U2</f>
        <v>0.35738188832546647</v>
      </c>
      <c r="I77" s="970">
        <f>VLOOKUP($P$4,'Glass Metrics'!$F:$AU,15,FALSE)</f>
        <v>79507</v>
      </c>
      <c r="J77" s="900">
        <f>'Glass Metrics'!T1</f>
        <v>-0.18852191308252875</v>
      </c>
      <c r="K77" s="901">
        <f>'Glass Metrics'!T2</f>
        <v>-2.1586616297895045E-3</v>
      </c>
    </row>
    <row r="78" spans="2:11" ht="18.75">
      <c r="B78" s="831" t="s">
        <v>907</v>
      </c>
      <c r="C78" s="973">
        <f>VLOOKUP($P$4,'Glass Metrics'!$F:$AU,4,FALSE)</f>
        <v>121763</v>
      </c>
      <c r="D78" s="904">
        <f>'Glass Metrics'!I1</f>
        <v>-0.17094709607135561</v>
      </c>
      <c r="E78" s="904">
        <f>'Glass Metrics'!I2</f>
        <v>-0.14903416079615339</v>
      </c>
      <c r="F78" s="967">
        <f>VLOOKUP($P$4,'Glass Metrics'!$F:$AU,6,FALSE)</f>
        <v>55160</v>
      </c>
      <c r="G78" s="904">
        <f>'Glass Metrics'!K1</f>
        <v>9.7645911686864428E-2</v>
      </c>
      <c r="H78" s="904">
        <f>'Glass Metrics'!K2</f>
        <v>-0.29793300071275841</v>
      </c>
      <c r="I78" s="970">
        <f>VLOOKUP($P$4,'Glass Metrics'!$F:$AU,5,FALSE)</f>
        <v>51637</v>
      </c>
      <c r="J78" s="904">
        <f>'Glass Metrics'!J1</f>
        <v>-0.42237907736364044</v>
      </c>
      <c r="K78" s="905">
        <f>'Glass Metrics'!J2</f>
        <v>-0.3523598098606564</v>
      </c>
    </row>
    <row r="79" spans="2:11" ht="25.35" customHeight="1">
      <c r="B79" s="831" t="s">
        <v>908</v>
      </c>
      <c r="C79" s="974">
        <f>VLOOKUP($P$4,'Glass Metrics'!$F:$AU,30,FALSE)</f>
        <v>0.72020133910615847</v>
      </c>
      <c r="D79" s="906" t="str">
        <f>ROUND('Glass Metrics'!AI1,1)&amp;" ppt"</f>
        <v>-29.8 ppt</v>
      </c>
      <c r="E79" s="906" t="str">
        <f>ROUND('Glass Metrics'!AI2,1)&amp;" ppt"</f>
        <v>-23.2 ppt</v>
      </c>
      <c r="F79" s="968">
        <f>VLOOKUP($P$4,'Glass Metrics'!$F:$AU,32,FALSE)</f>
        <v>0.59383982688643189</v>
      </c>
      <c r="G79" s="906" t="str">
        <f>ROUND('Glass Metrics'!AK1,1)&amp;" ppt"</f>
        <v>-33.8 ppt</v>
      </c>
      <c r="H79" s="906" t="str">
        <f>ROUND('Glass Metrics'!AK2,1)&amp;" ppt"</f>
        <v>-55.4 ppt</v>
      </c>
      <c r="I79" s="971">
        <f>VLOOKUP($P$4,'Glass Metrics'!$F:$AU,31,FALSE)</f>
        <v>0.6494648269963651</v>
      </c>
      <c r="J79" s="906" t="str">
        <f>ROUND('Glass Metrics'!AJ1,1)&amp;" ppt"</f>
        <v>-26.3 ppt</v>
      </c>
      <c r="K79" s="961" t="str">
        <f>ROUND('Glass Metrics'!AJ2,1)&amp;" ppt"</f>
        <v>-35.1 ppt</v>
      </c>
    </row>
    <row r="80" spans="2:11" ht="18.75">
      <c r="B80" s="831" t="s">
        <v>909</v>
      </c>
      <c r="C80" s="973">
        <f>VLOOKUP($P$4,'Glass Metrics'!$F:$AU,9,FALSE)</f>
        <v>143766</v>
      </c>
      <c r="D80" s="904">
        <f>'Glass Metrics'!N1</f>
        <v>-0.16849721513716098</v>
      </c>
      <c r="E80" s="904">
        <f>'Glass Metrics'!N2</f>
        <v>4.8567906817303275E-2</v>
      </c>
      <c r="F80" s="967">
        <f>VLOOKUP($P$4,'Glass Metrics'!$F:$AU,11,FALSE)</f>
        <v>97195</v>
      </c>
      <c r="G80" s="904">
        <f>'Glass Metrics'!P1</f>
        <v>0.58903639276722353</v>
      </c>
      <c r="H80" s="904">
        <f>'Glass Metrics'!P2</f>
        <v>0.34703069780333995</v>
      </c>
      <c r="I80" s="970">
        <f>VLOOKUP($P$4,'Glass Metrics'!$F:$AU,10,FALSE)</f>
        <v>55507</v>
      </c>
      <c r="J80" s="904">
        <f>'Glass Metrics'!O1</f>
        <v>-0.32770941330361902</v>
      </c>
      <c r="K80" s="905">
        <f>'Glass Metrics'!O2</f>
        <v>-0.2874582798459564</v>
      </c>
    </row>
    <row r="81" spans="2:32" ht="18" customHeight="1">
      <c r="B81" s="832" t="s">
        <v>910</v>
      </c>
      <c r="C81" s="975">
        <f>VLOOKUP($P$4,'Glass Metrics'!$F:$AU,35,FALSE)</f>
        <v>1.1807034977784714</v>
      </c>
      <c r="D81" s="907">
        <f>'Glass Metrics'!AN1</f>
        <v>2.955035707112863E-3</v>
      </c>
      <c r="E81" s="907">
        <f>'Glass Metrics'!AN2</f>
        <v>0.23220916576196626</v>
      </c>
      <c r="F81" s="969">
        <f>VLOOKUP($P$4,'Glass Metrics'!$F:$AU,37,FALSE)</f>
        <v>1.7620558375634519</v>
      </c>
      <c r="G81" s="907">
        <f>'Glass Metrics'!AP1</f>
        <v>0.44767668320760157</v>
      </c>
      <c r="H81" s="907">
        <f>'Glass Metrics'!AP2</f>
        <v>0.91866402945998593</v>
      </c>
      <c r="I81" s="972">
        <f>VLOOKUP($P$4,'Glass Metrics'!$F:$AU,36,FALSE)</f>
        <v>1.0749462594651122</v>
      </c>
      <c r="J81" s="907">
        <f>'Glass Metrics'!AO1</f>
        <v>0.16389583609252423</v>
      </c>
      <c r="K81" s="908">
        <f>'Glass Metrics'!AO2</f>
        <v>0.10021232623123066</v>
      </c>
    </row>
    <row r="84" spans="2:32" ht="15">
      <c r="B84" s="629" t="s">
        <v>911</v>
      </c>
    </row>
    <row r="85" spans="2:32" ht="17.850000000000001" customHeight="1"/>
    <row r="86" spans="2:32" ht="23.85" customHeight="1">
      <c r="B86" s="808" t="s">
        <v>912</v>
      </c>
      <c r="C86" s="1029" t="s">
        <v>913</v>
      </c>
      <c r="D86" s="1030"/>
      <c r="E86" s="1030"/>
      <c r="F86" s="1030"/>
      <c r="G86" s="1029" t="s">
        <v>893</v>
      </c>
      <c r="H86" s="1030"/>
      <c r="I86" s="809" t="s">
        <v>804</v>
      </c>
    </row>
    <row r="87" spans="2:32" ht="18" customHeight="1">
      <c r="B87" s="810" t="s">
        <v>914</v>
      </c>
      <c r="C87" s="1014" t="s">
        <v>806</v>
      </c>
      <c r="D87" s="1015"/>
      <c r="E87" s="1014" t="s">
        <v>807</v>
      </c>
      <c r="F87" s="1015"/>
      <c r="G87" s="1014" t="s">
        <v>806</v>
      </c>
      <c r="H87" s="1015"/>
      <c r="I87" s="1060" t="s">
        <v>915</v>
      </c>
    </row>
    <row r="88" spans="2:32" ht="28.5" customHeight="1">
      <c r="B88" s="810" t="s">
        <v>916</v>
      </c>
      <c r="C88" s="811" t="s">
        <v>917</v>
      </c>
      <c r="D88" s="811" t="s">
        <v>918</v>
      </c>
      <c r="E88" s="811" t="s">
        <v>917</v>
      </c>
      <c r="F88" s="811" t="s">
        <v>918</v>
      </c>
      <c r="G88" s="811" t="s">
        <v>917</v>
      </c>
      <c r="H88" s="811" t="s">
        <v>918</v>
      </c>
      <c r="I88" s="1061"/>
    </row>
    <row r="89" spans="2:32" ht="14.45" customHeight="1">
      <c r="B89" s="812" t="s">
        <v>314</v>
      </c>
      <c r="C89" s="890">
        <f>VLOOKUP('MAE - Audience Level Data'!$A$1,'MAE - Audience Level Data'!$F$7:M171,COLUMNS($F$7:M7),FALSE)</f>
        <v>54394</v>
      </c>
      <c r="D89" s="890">
        <f>VLOOKUP('MAE - Audience Level Data'!$A$1,'MAE - Audience Level Data'!$F$7:N171,COLUMNS($F$7:N7),FALSE)</f>
        <v>69956</v>
      </c>
      <c r="E89" s="890">
        <f>VLOOKUP('MAE - Audience Level Data'!$A$1,'MAE - Audience Level Data'!$F$7:O171,COLUMNS($F$7:O7),FALSE)</f>
        <v>69297</v>
      </c>
      <c r="F89" s="890">
        <f>VLOOKUP('MAE - Audience Level Data'!$A$1,'MAE - Audience Level Data'!$F$7:P171,COLUMNS($F$7:P7),FALSE)</f>
        <v>68160</v>
      </c>
      <c r="G89" s="890">
        <f>VLOOKUP('MAE - Audience Level Data'!$A$1,'MAE - Audience Level Data'!$F$7:Q171,COLUMNS($F$7:Q7),FALSE)</f>
        <v>95208</v>
      </c>
      <c r="H89" s="890">
        <f>VLOOKUP('MAE - Audience Level Data'!$A$1,'MAE - Audience Level Data'!$F$7:R171,COLUMNS($F$7:R7),FALSE)</f>
        <v>81073</v>
      </c>
      <c r="I89" s="891">
        <f>SUM(C89:H89)</f>
        <v>438088</v>
      </c>
      <c r="P89" s="754" t="s">
        <v>919</v>
      </c>
      <c r="Q89" s="1028" t="s">
        <v>920</v>
      </c>
      <c r="R89" s="1007"/>
      <c r="S89" s="1007"/>
      <c r="T89" s="1007"/>
      <c r="U89" s="1007"/>
      <c r="V89" s="991"/>
      <c r="W89" s="727" t="s">
        <v>921</v>
      </c>
      <c r="X89" s="759" t="s">
        <v>919</v>
      </c>
      <c r="Y89" s="1027" t="s">
        <v>922</v>
      </c>
      <c r="Z89" s="1007"/>
      <c r="AA89" s="1007"/>
      <c r="AB89" s="1007"/>
      <c r="AC89" s="1007"/>
      <c r="AD89" s="991"/>
      <c r="AE89" s="760" t="s">
        <v>921</v>
      </c>
      <c r="AF89" s="761" t="s">
        <v>923</v>
      </c>
    </row>
    <row r="90" spans="2:32" ht="15.75">
      <c r="B90" s="813" t="s">
        <v>881</v>
      </c>
      <c r="C90" s="892">
        <f>'MAE - Audience Level Data'!M1</f>
        <v>-0.37595796429718686</v>
      </c>
      <c r="D90" s="892">
        <f>IFERROR('MAE - Audience Level Data'!N1,"-")</f>
        <v>5.5875871645485464E-2</v>
      </c>
      <c r="E90" s="892">
        <f>'MAE - Audience Level Data'!O1</f>
        <v>5.576123223182039E-2</v>
      </c>
      <c r="F90" s="892">
        <f>'MAE - Audience Level Data'!P1</f>
        <v>-0.13579307721567135</v>
      </c>
      <c r="G90" s="892">
        <f>'MAE - Audience Level Data'!Q1</f>
        <v>0.27074463115465219</v>
      </c>
      <c r="H90" s="892">
        <f>IFERROR('MAE - Audience Level Data'!R1,"-")</f>
        <v>0.11194469970237697</v>
      </c>
      <c r="I90" s="893">
        <f>'Channel &amp; Campaign Metrics'!BN1</f>
        <v>1.6848978770861445E-2</v>
      </c>
      <c r="P90" s="643" t="s">
        <v>924</v>
      </c>
      <c r="Q90" s="643">
        <f>VLOOKUP('MAE - Audience Level Data'!$A$1-1,'MAE - Audience Level Data'!$F$7:Y170,COLUMNS($F6:Y$7),FALSE)</f>
        <v>50375</v>
      </c>
      <c r="R90" s="643">
        <f>VLOOKUP('MAE - Audience Level Data'!$A$1-1,'MAE - Audience Level Data'!$F$7:Z170,COLUMNS($F6:Z$7),FALSE)</f>
        <v>57926</v>
      </c>
      <c r="S90" s="643">
        <f>VLOOKUP('MAE - Audience Level Data'!$A$1-1,'MAE - Audience Level Data'!$F$7:AA170,COLUMNS($F6:AA$7),FALSE)</f>
        <v>70036</v>
      </c>
      <c r="T90" s="643">
        <f>VLOOKUP('MAE - Audience Level Data'!$A$1-1,'MAE - Audience Level Data'!$F$7:AB170,COLUMNS($F6:AB$7),FALSE)</f>
        <v>90601</v>
      </c>
      <c r="U90" s="643">
        <f>VLOOKUP('MAE - Audience Level Data'!$A$1-1,'MAE - Audience Level Data'!$F$7:AC170,COLUMNS($F6:AC$7),FALSE)</f>
        <v>81779</v>
      </c>
      <c r="V90" s="643">
        <f>VLOOKUP('MAE - Audience Level Data'!$A$1-1,'MAE - Audience Level Data'!$F$7:AD170,COLUMNS($F6:AD$7),FALSE)</f>
        <v>74495</v>
      </c>
      <c r="W90" s="644">
        <f>SUM(Q90:V90)</f>
        <v>425212</v>
      </c>
      <c r="X90" s="643" t="s">
        <v>924</v>
      </c>
      <c r="Y90" s="643">
        <f>VLOOKUP('MAE - Audience Level Data'!$A$1-1,'MAE - Audience Level Data'!$F$7:S170,COLUMNS($F6:S7),FALSE)</f>
        <v>81224</v>
      </c>
      <c r="Z90" s="643">
        <f>VLOOKUP('MAE - Audience Level Data'!$A$1-1,'MAE - Audience Level Data'!$F$7:T170,COLUMNS($F6:T7),FALSE)</f>
        <v>58513</v>
      </c>
      <c r="AA90" s="643">
        <f>VLOOKUP('MAE - Audience Level Data'!$A$1-1,'MAE - Audience Level Data'!$F$7:U170,COLUMNS($F6:U7),FALSE)</f>
        <v>98894</v>
      </c>
      <c r="AB90" s="643">
        <f>VLOOKUP('MAE - Audience Level Data'!$A$1-1,'MAE - Audience Level Data'!$F$7:V170,COLUMNS($F6:V7),FALSE)</f>
        <v>93951</v>
      </c>
      <c r="AC90" s="643">
        <f>VLOOKUP('MAE - Audience Level Data'!$A$1-1,'MAE - Audience Level Data'!$F$7:W170,COLUMNS($F6:W7),FALSE)</f>
        <v>69797</v>
      </c>
      <c r="AD90" s="643">
        <f>VLOOKUP('MAE - Audience Level Data'!$A$1-1,'MAE - Audience Level Data'!$F$7:X170,COLUMNS($F6:X7),FALSE)</f>
        <v>73082</v>
      </c>
      <c r="AE90" s="643">
        <f>SUM(Y90:AD90)</f>
        <v>475461</v>
      </c>
      <c r="AF90" s="643">
        <f>W90/AE90</f>
        <v>0.89431520145711219</v>
      </c>
    </row>
    <row r="91" spans="2:32" ht="15.75">
      <c r="B91" s="812" t="s">
        <v>315</v>
      </c>
      <c r="C91" s="894">
        <f>VLOOKUP('MAE - Audience Level Data'!$A$1,'MAE - Audience Level Data'!$F$7:S171,COLUMNS($F$7:S7),FALSE)</f>
        <v>97365</v>
      </c>
      <c r="D91" s="894">
        <f>VLOOKUP('MAE - Audience Level Data'!$A$1,'MAE - Audience Level Data'!$F$7:T171,COLUMNS($F$7:T7),FALSE)</f>
        <v>58098</v>
      </c>
      <c r="E91" s="894">
        <f>VLOOKUP('MAE - Audience Level Data'!$A$1,'MAE - Audience Level Data'!$F$7:U171,COLUMNS($F$7:U7),FALSE)</f>
        <v>69415</v>
      </c>
      <c r="F91" s="894">
        <f>VLOOKUP('MAE - Audience Level Data'!$A$1,'MAE - Audience Level Data'!$F$7:V171,COLUMNS($F$7:V7),FALSE)</f>
        <v>84762</v>
      </c>
      <c r="G91" s="894">
        <f>VLOOKUP('MAE - Audience Level Data'!$A$1,'MAE - Audience Level Data'!$F$7:W171,COLUMNS($F$7:W7),FALSE)</f>
        <v>72320</v>
      </c>
      <c r="H91" s="894">
        <f>VLOOKUP('MAE - Audience Level Data'!$A$1,'MAE - Audience Level Data'!$F$7:X171,COLUMNS($F$7:X7),FALSE)</f>
        <v>54712</v>
      </c>
      <c r="I91" s="895">
        <f>SUM(C91:H91)</f>
        <v>436672</v>
      </c>
      <c r="P91" s="643" t="s">
        <v>925</v>
      </c>
      <c r="Q91" s="643">
        <f>VLOOKUP('MAE - Audience Level Data'!$A$1,'MAE - Audience Level Data'!$F$7:Y171,COLUMNS($F$7:Y7),FALSE)</f>
        <v>95696</v>
      </c>
      <c r="R91" s="643">
        <f>VLOOKUP('MAE - Audience Level Data'!$A$1,'MAE - Audience Level Data'!$F$7:Z171,COLUMNS($F$7:Z7),FALSE)</f>
        <v>80888</v>
      </c>
      <c r="S91" s="643">
        <f>VLOOKUP('MAE - Audience Level Data'!$A$1,'MAE - Audience Level Data'!$F$7:AA171,COLUMNS($F$7:AA7),FALSE)</f>
        <v>52443</v>
      </c>
      <c r="T91" s="643">
        <f>VLOOKUP('MAE - Audience Level Data'!$A$1,'MAE - Audience Level Data'!$F$7:AB171,COLUMNS($F$7:AB7),FALSE)</f>
        <v>59088</v>
      </c>
      <c r="U91" s="643">
        <f>VLOOKUP('MAE - Audience Level Data'!$A$1,'MAE - Audience Level Data'!$F$7:AC171,COLUMNS($F$7:AC7),FALSE)</f>
        <v>66990</v>
      </c>
      <c r="V91" s="643">
        <f>VLOOKUP('MAE - Audience Level Data'!$A$1,'MAE - Audience Level Data'!$F$7:AD171,COLUMNS($F$7:AD7),FALSE)</f>
        <v>81110</v>
      </c>
      <c r="W91" s="643">
        <f>SUM(Q91:V91)</f>
        <v>436215</v>
      </c>
      <c r="X91" s="643" t="s">
        <v>925</v>
      </c>
      <c r="Y91" s="643">
        <f>VLOOKUP('MAE - Audience Level Data'!$A$1,'MAE - Audience Level Data'!$F$7:S171,COLUMNS($F7:S8),FALSE)</f>
        <v>97365</v>
      </c>
      <c r="Z91" s="643">
        <f>VLOOKUP('MAE - Audience Level Data'!$A$1,'MAE - Audience Level Data'!$F$7:T171,COLUMNS($F7:T8),FALSE)</f>
        <v>58098</v>
      </c>
      <c r="AA91" s="643">
        <f>VLOOKUP('MAE - Audience Level Data'!$A$1,'MAE - Audience Level Data'!$F$7:U171,COLUMNS($F7:U8),FALSE)</f>
        <v>69415</v>
      </c>
      <c r="AB91" s="643">
        <f>VLOOKUP('MAE - Audience Level Data'!$A$1,'MAE - Audience Level Data'!$F$7:V171,COLUMNS($F7:V8),FALSE)</f>
        <v>84762</v>
      </c>
      <c r="AC91" s="643">
        <f>VLOOKUP('MAE - Audience Level Data'!$A$1,'MAE - Audience Level Data'!$F$7:W171,COLUMNS($F7:W8),FALSE)</f>
        <v>72320</v>
      </c>
      <c r="AD91" s="643">
        <f>VLOOKUP('MAE - Audience Level Data'!$A$1,'MAE - Audience Level Data'!$F$7:X171,COLUMNS($F7:X8),FALSE)</f>
        <v>54712</v>
      </c>
      <c r="AE91" s="643">
        <f>SUM(Y91:AD91)</f>
        <v>436672</v>
      </c>
      <c r="AF91" s="643">
        <f>W91/AE91</f>
        <v>0.99895344789681961</v>
      </c>
    </row>
    <row r="92" spans="2:32" ht="15.75">
      <c r="B92" s="813" t="s">
        <v>881</v>
      </c>
      <c r="C92" s="892">
        <f>IFERROR('MAE - Audience Level Data'!S1,"-")</f>
        <v>0.19872205259529196</v>
      </c>
      <c r="D92" s="892">
        <f>IFERROR('MAE - Audience Level Data'!T1,"-")</f>
        <v>-7.0924409960180235E-3</v>
      </c>
      <c r="E92" s="892">
        <f>'MAE - Audience Level Data'!U1</f>
        <v>-0.2980868404554371</v>
      </c>
      <c r="F92" s="892">
        <f>'MAE - Audience Level Data'!V1</f>
        <v>-9.7806303285755347E-2</v>
      </c>
      <c r="G92" s="892">
        <f>'MAE - Audience Level Data'!W1</f>
        <v>3.614768543060598E-2</v>
      </c>
      <c r="H92" s="892">
        <f>IFERROR('MAE - Audience Level Data'!X1,"-")</f>
        <v>-0.25136148436003392</v>
      </c>
      <c r="I92" s="893">
        <f>'Channel &amp; Campaign Metrics'!BS1</f>
        <v>-9.4199354556948944E-2</v>
      </c>
      <c r="Q92" s="1036"/>
      <c r="R92" s="1015"/>
      <c r="S92" s="1015"/>
      <c r="T92" s="1015"/>
      <c r="U92" s="1015"/>
      <c r="V92" s="1015"/>
    </row>
    <row r="93" spans="2:32" ht="15.75">
      <c r="B93" s="812" t="s">
        <v>318</v>
      </c>
      <c r="C93" s="896">
        <f t="shared" ref="C93:H93" si="0">IFERROR(C91/C89,"-")</f>
        <v>1.7899952200610361</v>
      </c>
      <c r="D93" s="896">
        <f t="shared" si="0"/>
        <v>0.83049345302761735</v>
      </c>
      <c r="E93" s="896">
        <f t="shared" si="0"/>
        <v>1.0017028154176948</v>
      </c>
      <c r="F93" s="896">
        <f t="shared" si="0"/>
        <v>1.2435739436619719</v>
      </c>
      <c r="G93" s="896">
        <f t="shared" si="0"/>
        <v>0.75960003361062101</v>
      </c>
      <c r="H93" s="896">
        <f t="shared" si="0"/>
        <v>0.67484859324312652</v>
      </c>
      <c r="I93" s="897">
        <f>I91/I89</f>
        <v>0.99676777268493999</v>
      </c>
    </row>
    <row r="94" spans="2:32" ht="17.850000000000001" customHeight="1">
      <c r="B94" s="813" t="s">
        <v>881</v>
      </c>
      <c r="C94" s="892">
        <f>'MAE - Audience Level Data'!AK1</f>
        <v>0.92089952922042939</v>
      </c>
      <c r="D94" s="892">
        <f>IFERROR('MAE - Audience Level Data'!AL1,"-")</f>
        <v>-5.9636093912604715E-2</v>
      </c>
      <c r="E94" s="892">
        <f>'MAE - Audience Level Data'!AM1</f>
        <v>-0.33515918361507036</v>
      </c>
      <c r="F94" s="892">
        <f>'MAE - Audience Level Data'!AN1</f>
        <v>4.395564641802352E-2</v>
      </c>
      <c r="G94" s="892">
        <f>'MAE - Audience Level Data'!AO1</f>
        <v>-0.18461376107556837</v>
      </c>
      <c r="H94" s="892">
        <f>IFERROR('MAE - Audience Level Data'!AP1,"-")</f>
        <v>-0.32673044276361352</v>
      </c>
      <c r="I94" s="893">
        <f>'Channel &amp; Campaign Metrics'!BX1</f>
        <v>-0.10920828524806359</v>
      </c>
    </row>
    <row r="95" spans="2:32" ht="15.75">
      <c r="B95" s="812" t="s">
        <v>923</v>
      </c>
      <c r="C95" s="896">
        <f>VLOOKUP('MAE - Audience Level Data'!$A$1,'MAE - Audience Level Data'!$F$7:AQ171,COLUMNS($F$7:AQ7),FALSE)</f>
        <v>0.98285831664355772</v>
      </c>
      <c r="D95" s="896">
        <f>VLOOKUP('MAE - Audience Level Data'!$A$1,'MAE - Audience Level Data'!$F$7:AR171,COLUMNS($F$7:AR7),FALSE)</f>
        <v>1.3922682364281043</v>
      </c>
      <c r="E95" s="896">
        <f>VLOOKUP('MAE - Audience Level Data'!$A$1,'MAE - Audience Level Data'!$F$7:AS171,COLUMNS($F$7:AS7),FALSE)</f>
        <v>0.75549953180148388</v>
      </c>
      <c r="F95" s="896">
        <f>VLOOKUP('MAE - Audience Level Data'!$A$1,'MAE - Audience Level Data'!$F$7:AT171,COLUMNS($F$7:AT7),FALSE)</f>
        <v>0.69710483471366891</v>
      </c>
      <c r="G95" s="896">
        <f>VLOOKUP('MAE - Audience Level Data'!$A$1,'MAE - Audience Level Data'!$F$7:AU171,COLUMNS($F$7:AU7),FALSE)</f>
        <v>0.92629977876106195</v>
      </c>
      <c r="H95" s="896">
        <f>VLOOKUP('MAE - Audience Level Data'!$A$1,'MAE - Audience Level Data'!$F$7:AV171,COLUMNS($F$7:AV7),FALSE)</f>
        <v>1.4824901301359847</v>
      </c>
      <c r="I95" s="897">
        <f>W91/I91</f>
        <v>0.99895344789681961</v>
      </c>
    </row>
    <row r="96" spans="2:32" ht="17.850000000000001" customHeight="1">
      <c r="B96" s="814" t="s">
        <v>881</v>
      </c>
      <c r="C96" s="898">
        <f>IFERROR('MAE - Audience Level Data'!AQ1,"-")</f>
        <v>0.58474806771327703</v>
      </c>
      <c r="D96" s="898">
        <f>IFERROR('MAE - Audience Level Data'!AR1,"-")</f>
        <v>0.40637695194071166</v>
      </c>
      <c r="E96" s="898">
        <f>IFERROR('MAE - Audience Level Data'!AS1,"-")</f>
        <v>6.6799513078644512E-2</v>
      </c>
      <c r="F96" s="898">
        <f>IFERROR('MAE - Audience Level Data'!AT1,"-")</f>
        <v>-0.27711949839202754</v>
      </c>
      <c r="G96" s="898">
        <f>IFERROR('MAE - Audience Level Data'!AU1,"-")</f>
        <v>-0.20941873025855251</v>
      </c>
      <c r="H96" s="898">
        <f>IFERROR('MAE - Audience Level Data'!AV1,"-")</f>
        <v>0.45437067844282208</v>
      </c>
      <c r="I96" s="899">
        <f>IFERROR((AF91-AF90)/AF90,"-")</f>
        <v>0.11700376586378027</v>
      </c>
    </row>
    <row r="101" spans="2:5" ht="14.45" customHeight="1" thickBot="1"/>
    <row r="102" spans="2:5" ht="14.45" customHeight="1" thickBot="1">
      <c r="B102" s="861" t="s">
        <v>855</v>
      </c>
      <c r="C102" s="862" t="s">
        <v>892</v>
      </c>
      <c r="D102" s="863" t="s">
        <v>893</v>
      </c>
      <c r="E102" s="861" t="s">
        <v>894</v>
      </c>
    </row>
    <row r="103" spans="2:5" ht="19.5">
      <c r="B103" s="1046" t="s">
        <v>895</v>
      </c>
      <c r="C103" s="881">
        <f>IFERROR(VLOOKUP($P$4,'Overall Metrics'!$F:$BE,47,FALSE),"Error")</f>
        <v>38706.699999999997</v>
      </c>
      <c r="D103" s="882">
        <f>IFERROR(VLOOKUP($P$4,'Overall Metrics'!$F:$BE,48,FALSE),"Error")</f>
        <v>73085.5</v>
      </c>
      <c r="E103" s="885">
        <f>SUM(C60:F60)/$G$66</f>
        <v>0.33333333333333337</v>
      </c>
    </row>
    <row r="104" spans="2:5" ht="15.75">
      <c r="B104" s="1025"/>
      <c r="C104" s="876" t="str">
        <f>"WoW: "&amp;ROUND((G53*100),0)&amp;"%"</f>
        <v>WoW: -18%</v>
      </c>
      <c r="D104" s="877" t="str">
        <f>"WoW: "&amp;ROUND((H53*100),0)&amp;"%"</f>
        <v>WoW: 1%</v>
      </c>
      <c r="E104" s="878" t="str">
        <f>"WoW: "&amp;ROUND((C52*100),0)&amp;"%"</f>
        <v>WoW: 0%</v>
      </c>
    </row>
    <row r="105" spans="2:5" ht="15.75">
      <c r="B105" s="1025"/>
      <c r="C105" s="876" t="str">
        <f>"YoY: "&amp;ROUND((G54*100),0)&amp;"%"</f>
        <v>YoY: -15%</v>
      </c>
      <c r="D105" s="877" t="str">
        <f>"YoY: "&amp;ROUND((H54*100),0)&amp;"%"</f>
        <v>YoY: 23%</v>
      </c>
      <c r="E105" s="878" t="str">
        <f>"YoY: "&amp;ROUND((C53*100),0)&amp;"%"</f>
        <v>YoY: 0%</v>
      </c>
    </row>
    <row r="106" spans="2:5" ht="19.5">
      <c r="B106" s="1062" t="s">
        <v>798</v>
      </c>
      <c r="C106" s="883">
        <f>IFERROR(VLOOKUP($P$4,'Overall Metrics'!$F:$BE,49,FALSE),"Error")</f>
        <v>57617</v>
      </c>
      <c r="D106" s="882">
        <f>IFERROR(VLOOKUP($P$4,'Overall Metrics'!$F:$BE,50,FALSE),"Error")</f>
        <v>89530</v>
      </c>
      <c r="E106" s="886">
        <f>SUM(C62:F62)/$G$66</f>
        <v>0.43875154080517248</v>
      </c>
    </row>
    <row r="107" spans="2:5" ht="15.75">
      <c r="B107" s="1025"/>
      <c r="C107" s="876" t="str">
        <f>"WoW: "&amp;ROUND((I53*100),0)&amp;"%"</f>
        <v>WoW: -27%</v>
      </c>
      <c r="D107" s="877" t="str">
        <f>"WoW: "&amp;ROUND((J53*100),0)&amp;"%"</f>
        <v>WoW: -4%</v>
      </c>
      <c r="E107" s="878" t="str">
        <f>"WoW: "&amp;ROUND((D52*100),0)&amp;"%"</f>
        <v>WoW: -3%</v>
      </c>
    </row>
    <row r="108" spans="2:5" ht="15.75">
      <c r="B108" s="1025"/>
      <c r="C108" s="876" t="str">
        <f>"YoY: "&amp;ROUND((I54*100),0)&amp;"%"</f>
        <v>YoY: -26%</v>
      </c>
      <c r="D108" s="877" t="str">
        <f>"YoY: "&amp;ROUND((J54*100),0)&amp;"%"</f>
        <v>YoY: 48%</v>
      </c>
      <c r="E108" s="878" t="str">
        <f>"YoY: "&amp;ROUND((D53*100),0)&amp;"%"</f>
        <v>YoY: 0%</v>
      </c>
    </row>
    <row r="109" spans="2:5" ht="20.25" thickBot="1">
      <c r="B109" s="1024" t="s">
        <v>805</v>
      </c>
      <c r="C109" s="883">
        <f>IFERROR(VLOOKUP($P$4,'Overall Metrics'!$F:$BE,51,FALSE),"Error")</f>
        <v>19796.400000000001</v>
      </c>
      <c r="D109" s="882">
        <f>IFERROR(VLOOKUP($P$4,'Overall Metrics'!$F:$BE,52,FALSE),"Error")</f>
        <v>56641</v>
      </c>
      <c r="E109" s="886">
        <f>SUM(C64:F64)/$G$66</f>
        <v>0.22791512586149421</v>
      </c>
    </row>
    <row r="110" spans="2:5" ht="15.75">
      <c r="B110" s="1025"/>
      <c r="C110" s="876" t="str">
        <f>"WoW: "&amp;ROUND((K53*100),0)&amp;"%"</f>
        <v>WoW: 20%</v>
      </c>
      <c r="D110" s="877" t="str">
        <f>"WoW: "&amp;ROUND((L53*100),0)&amp;"%"</f>
        <v>WoW: 11%</v>
      </c>
      <c r="E110" s="878" t="str">
        <f>"WoW: "&amp;ROUND((E52*100),0)&amp;"%"</f>
        <v>WoW: 4%</v>
      </c>
    </row>
    <row r="111" spans="2:5" ht="14.45" customHeight="1" thickBot="1">
      <c r="B111" s="1026"/>
      <c r="C111" s="876" t="str">
        <f>"YoY: "&amp;ROUND((K54*100),0)&amp;"%"</f>
        <v>YoY: 50%</v>
      </c>
      <c r="D111" s="877" t="str">
        <f>"YoY: "&amp;ROUND((L54*100),0)&amp;"%"</f>
        <v>YoY: -4%</v>
      </c>
      <c r="E111" s="878" t="str">
        <f>"YoY: "&amp;ROUND((E53*100),0)&amp;"%"</f>
        <v>YoY: 0%</v>
      </c>
    </row>
    <row r="112" spans="2:5" ht="19.5" thickBot="1">
      <c r="B112" s="1038" t="s">
        <v>837</v>
      </c>
      <c r="C112" s="881">
        <f>IFERROR(VLOOKUP($P$4,'Overall Metrics'!$F:$BE,3,FALSE),"Error")</f>
        <v>116120.09999999999</v>
      </c>
      <c r="D112" s="884">
        <f>IFERROR(VLOOKUP($P$4,'Overall Metrics'!$F:$BE,4,FALSE),"Error")</f>
        <v>219256.5</v>
      </c>
      <c r="E112" s="879"/>
    </row>
    <row r="113" spans="2:5" ht="18.75">
      <c r="B113" s="1025"/>
      <c r="C113" s="876" t="str">
        <f>"WoW: "&amp;ROUND(('Overall Metrics'!H1*100),0)&amp;"%"</f>
        <v>WoW: -18%</v>
      </c>
      <c r="D113" s="877" t="str">
        <f>"WoW: "&amp;ROUND(('Overall Metrics'!I1*100),0)&amp;"%"</f>
        <v>WoW: 1%</v>
      </c>
      <c r="E113" s="887">
        <f>IFERROR(VLOOKUP($P$4,'Overall Metrics'!$F:$BE,2,FALSE),"Error")</f>
        <v>335376.59999999998</v>
      </c>
    </row>
    <row r="114" spans="2:5" ht="14.45" customHeight="1" thickBot="1">
      <c r="B114" s="1026"/>
      <c r="C114" s="888" t="str">
        <f>"YoY: "&amp;ROUND(('Overall Metrics'!H2*100),0)&amp;"%"</f>
        <v>YoY: -15%</v>
      </c>
      <c r="D114" s="889" t="str">
        <f>"YoY: "&amp;ROUND(('Overall Metrics'!I2*100),0)&amp;"%"</f>
        <v>YoY: 23%</v>
      </c>
      <c r="E114" s="880"/>
    </row>
  </sheetData>
  <mergeCells count="59">
    <mergeCell ref="M4:O4"/>
    <mergeCell ref="C36:C37"/>
    <mergeCell ref="F73:H73"/>
    <mergeCell ref="E36:E37"/>
    <mergeCell ref="B106:B108"/>
    <mergeCell ref="G59:H59"/>
    <mergeCell ref="C73:E73"/>
    <mergeCell ref="M28:N28"/>
    <mergeCell ref="C66:D66"/>
    <mergeCell ref="M31:N31"/>
    <mergeCell ref="G62:H62"/>
    <mergeCell ref="M5:O5"/>
    <mergeCell ref="E87:F87"/>
    <mergeCell ref="B66:B67"/>
    <mergeCell ref="M7:O7"/>
    <mergeCell ref="M27:N27"/>
    <mergeCell ref="B112:B114"/>
    <mergeCell ref="C64:D64"/>
    <mergeCell ref="C62:D62"/>
    <mergeCell ref="E62:F62"/>
    <mergeCell ref="B4:C5"/>
    <mergeCell ref="B103:B105"/>
    <mergeCell ref="E59:F59"/>
    <mergeCell ref="B6:B10"/>
    <mergeCell ref="E64:F64"/>
    <mergeCell ref="B14:B15"/>
    <mergeCell ref="B64:B65"/>
    <mergeCell ref="C59:D59"/>
    <mergeCell ref="B73:B74"/>
    <mergeCell ref="B11:B13"/>
    <mergeCell ref="D4:I4"/>
    <mergeCell ref="I87:I88"/>
    <mergeCell ref="B109:B111"/>
    <mergeCell ref="Y89:AD89"/>
    <mergeCell ref="Q89:V89"/>
    <mergeCell ref="C86:F86"/>
    <mergeCell ref="G36:G37"/>
    <mergeCell ref="I36:I37"/>
    <mergeCell ref="G86:H86"/>
    <mergeCell ref="K51:L51"/>
    <mergeCell ref="D36:D37"/>
    <mergeCell ref="F36:F37"/>
    <mergeCell ref="G64:H64"/>
    <mergeCell ref="G51:H51"/>
    <mergeCell ref="E66:F66"/>
    <mergeCell ref="B60:B61"/>
    <mergeCell ref="Q92:V92"/>
    <mergeCell ref="B62:B63"/>
    <mergeCell ref="M6:O6"/>
    <mergeCell ref="G60:H60"/>
    <mergeCell ref="J36:J37"/>
    <mergeCell ref="C87:D87"/>
    <mergeCell ref="G66:H67"/>
    <mergeCell ref="E60:F60"/>
    <mergeCell ref="I73:K73"/>
    <mergeCell ref="C60:D60"/>
    <mergeCell ref="I51:J51"/>
    <mergeCell ref="H36:H37"/>
    <mergeCell ref="G87:H87"/>
  </mergeCells>
  <conditionalFormatting sqref="C113:D114">
    <cfRule type="expression" dxfId="62" priority="39">
      <formula>_xlfn.NUMBERVALUE(MID(C113,FIND(" ",C113)+1,LEN(C113)))&lt;0</formula>
    </cfRule>
    <cfRule type="expression" dxfId="61" priority="40">
      <formula>_xlfn.NUMBERVALUE(MID(C113,FIND(" ",C113)+1,LEN(C113)))&gt;0</formula>
    </cfRule>
    <cfRule type="expression" dxfId="60" priority="41">
      <formula>_xlfn.NUMBERVALUE(MID(C113,FIND(" ",C113)+1,LEN(C113)))=0</formula>
    </cfRule>
  </conditionalFormatting>
  <conditionalFormatting sqref="C104:E105">
    <cfRule type="expression" dxfId="59" priority="76">
      <formula>_xlfn.NUMBERVALUE(MID(C104,FIND(" ",C104)+1,LEN(C104)))&gt;0</formula>
    </cfRule>
    <cfRule type="expression" dxfId="58" priority="77">
      <formula>_xlfn.NUMBERVALUE(MID(C104,FIND(" ",C104)+1,LEN(C104)))=0</formula>
    </cfRule>
    <cfRule type="expression" dxfId="57" priority="75">
      <formula>_xlfn.NUMBERVALUE(MID(C104,FIND(" ",C104)+1,LEN(C104)))&lt;0</formula>
    </cfRule>
  </conditionalFormatting>
  <conditionalFormatting sqref="C107:E108">
    <cfRule type="expression" dxfId="56" priority="33">
      <formula>_xlfn.NUMBERVALUE(MID(C107,FIND(" ",C107)+1,LEN(C107)))&lt;0</formula>
    </cfRule>
    <cfRule type="expression" dxfId="55" priority="34">
      <formula>_xlfn.NUMBERVALUE(MID(C107,FIND(" ",C107)+1,LEN(C107)))&gt;0</formula>
    </cfRule>
    <cfRule type="expression" dxfId="54" priority="35">
      <formula>_xlfn.NUMBERVALUE(MID(C107,FIND(" ",C107)+1,LEN(C107)))=0</formula>
    </cfRule>
  </conditionalFormatting>
  <conditionalFormatting sqref="C110:E111">
    <cfRule type="expression" dxfId="53" priority="27">
      <formula>_xlfn.NUMBERVALUE(MID(C110,FIND(" ",C110)+1,LEN(C110)))&lt;0</formula>
    </cfRule>
    <cfRule type="expression" dxfId="52" priority="28">
      <formula>_xlfn.NUMBERVALUE(MID(C110,FIND(" ",C110)+1,LEN(C110)))&gt;0</formula>
    </cfRule>
    <cfRule type="expression" dxfId="51" priority="29">
      <formula>_xlfn.NUMBERVALUE(MID(C110,FIND(" ",C110)+1,LEN(C110)))=0</formula>
    </cfRule>
  </conditionalFormatting>
  <conditionalFormatting sqref="C90:I90">
    <cfRule type="expression" dxfId="50" priority="127">
      <formula>C90&gt;0</formula>
    </cfRule>
    <cfRule type="expression" dxfId="49" priority="128">
      <formula>C90&lt;0</formula>
    </cfRule>
    <cfRule type="expression" dxfId="48" priority="126">
      <formula>C90=0</formula>
    </cfRule>
  </conditionalFormatting>
  <conditionalFormatting sqref="C92:I92">
    <cfRule type="expression" dxfId="47" priority="123">
      <formula>C92=0</formula>
    </cfRule>
    <cfRule type="expression" dxfId="46" priority="124">
      <formula>C92&gt;0</formula>
    </cfRule>
    <cfRule type="expression" dxfId="45" priority="125">
      <formula>C92&lt;0</formula>
    </cfRule>
  </conditionalFormatting>
  <conditionalFormatting sqref="C94:I94">
    <cfRule type="expression" dxfId="44" priority="121">
      <formula>C94&lt;0</formula>
    </cfRule>
    <cfRule type="expression" dxfId="43" priority="120">
      <formula>C94=0</formula>
    </cfRule>
    <cfRule type="expression" dxfId="42" priority="122">
      <formula>C94&gt;0</formula>
    </cfRule>
  </conditionalFormatting>
  <conditionalFormatting sqref="C96:I96">
    <cfRule type="expression" dxfId="41" priority="96">
      <formula>C96=0</formula>
    </cfRule>
    <cfRule type="expression" dxfId="40" priority="97">
      <formula>C96&gt;0</formula>
    </cfRule>
    <cfRule type="expression" dxfId="39" priority="98">
      <formula>C96&lt;0</formula>
    </cfRule>
  </conditionalFormatting>
  <conditionalFormatting sqref="C39:J39 C41:J41">
    <cfRule type="cellIs" dxfId="38" priority="230" operator="equal">
      <formula>0</formula>
    </cfRule>
    <cfRule type="cellIs" dxfId="37" priority="250" operator="lessThan">
      <formula>0</formula>
    </cfRule>
    <cfRule type="cellIs" dxfId="36" priority="249" operator="greaterThan">
      <formula>0</formula>
    </cfRule>
  </conditionalFormatting>
  <conditionalFormatting sqref="C43:J43">
    <cfRule type="cellIs" dxfId="35" priority="229" operator="greaterThan">
      <formula>0</formula>
    </cfRule>
    <cfRule type="cellIs" dxfId="34" priority="227" operator="equal">
      <formula>0</formula>
    </cfRule>
    <cfRule type="cellIs" dxfId="33" priority="226" operator="lessThan">
      <formula>0</formula>
    </cfRule>
  </conditionalFormatting>
  <conditionalFormatting sqref="D20:D32 R20:R32">
    <cfRule type="cellIs" dxfId="32" priority="251" operator="equal">
      <formula>0</formula>
    </cfRule>
    <cfRule type="cellIs" dxfId="31" priority="252" operator="lessThan">
      <formula>0</formula>
    </cfRule>
    <cfRule type="cellIs" dxfId="30" priority="253" operator="greaterThan">
      <formula>0</formula>
    </cfRule>
  </conditionalFormatting>
  <conditionalFormatting sqref="D75:E78 D80:E81">
    <cfRule type="cellIs" dxfId="29" priority="202" operator="greaterThan">
      <formula>0</formula>
    </cfRule>
    <cfRule type="cellIs" dxfId="28" priority="201" operator="lessThan">
      <formula>0</formula>
    </cfRule>
  </conditionalFormatting>
  <conditionalFormatting sqref="D79:E79">
    <cfRule type="expression" dxfId="27" priority="26">
      <formula>_xlfn.NUMBERVALUE(LEFT(D79, FIND(" ", D79)))&lt;0</formula>
    </cfRule>
    <cfRule type="expression" dxfId="26" priority="25">
      <formula>_xlfn.NUMBERVALUE(LEFT(D79, FIND(" ", D79)))&gt;0</formula>
    </cfRule>
  </conditionalFormatting>
  <conditionalFormatting sqref="E6:I13">
    <cfRule type="cellIs" dxfId="25" priority="239" operator="lessThan">
      <formula>-0.005</formula>
    </cfRule>
    <cfRule type="cellIs" dxfId="24" priority="240" operator="greaterThan">
      <formula>0.005</formula>
    </cfRule>
    <cfRule type="cellIs" dxfId="23" priority="241" operator="between">
      <formula>-0.005</formula>
      <formula>0.005</formula>
    </cfRule>
    <cfRule type="cellIs" dxfId="22" priority="243" operator="greaterThan">
      <formula>0.005</formula>
    </cfRule>
    <cfRule type="cellIs" dxfId="21" priority="244" operator="equal">
      <formula>0</formula>
    </cfRule>
    <cfRule type="cellIs" dxfId="20" priority="245" operator="greaterThan">
      <formula>0</formula>
    </cfRule>
    <cfRule type="cellIs" dxfId="19" priority="246" operator="lessThan">
      <formula>0</formula>
    </cfRule>
    <cfRule type="cellIs" dxfId="18" priority="247" operator="greaterThan">
      <formula>0</formula>
    </cfRule>
    <cfRule type="cellIs" dxfId="17" priority="242" operator="lessThan">
      <formula>-0.5</formula>
    </cfRule>
  </conditionalFormatting>
  <conditionalFormatting sqref="E14:I15">
    <cfRule type="expression" dxfId="16" priority="2">
      <formula>_xlfn.NUMBERVALUE(LEFT(E14, FIND(" ", E14)))&lt;0</formula>
    </cfRule>
    <cfRule type="expression" dxfId="15" priority="1">
      <formula>_xlfn.NUMBERVALUE(LEFT(E14, FIND(" ", E14)))&gt;0</formula>
    </cfRule>
  </conditionalFormatting>
  <conditionalFormatting sqref="F10:G10">
    <cfRule type="cellIs" dxfId="14" priority="235" operator="lessThan">
      <formula>0</formula>
    </cfRule>
    <cfRule type="cellIs" dxfId="13" priority="236" operator="greaterThan">
      <formula>0</formula>
    </cfRule>
    <cfRule type="cellIs" dxfId="12" priority="237" operator="lessThan">
      <formula>0</formula>
    </cfRule>
  </conditionalFormatting>
  <conditionalFormatting sqref="G18">
    <cfRule type="cellIs" dxfId="11" priority="257" operator="between">
      <formula>-0.1</formula>
      <formula>0</formula>
    </cfRule>
    <cfRule type="cellIs" dxfId="10" priority="258" operator="between">
      <formula>0</formula>
      <formula>0.1</formula>
    </cfRule>
    <cfRule type="cellIs" dxfId="9" priority="259" operator="lessThanOrEqual">
      <formula>-0.1</formula>
    </cfRule>
    <cfRule type="cellIs" dxfId="8" priority="260" operator="greaterThanOrEqual">
      <formula>0.1</formula>
    </cfRule>
  </conditionalFormatting>
  <conditionalFormatting sqref="G75:H78 G80:H81">
    <cfRule type="cellIs" dxfId="7" priority="199" operator="lessThan">
      <formula>0</formula>
    </cfRule>
    <cfRule type="cellIs" dxfId="6" priority="200" operator="greaterThan">
      <formula>0</formula>
    </cfRule>
  </conditionalFormatting>
  <conditionalFormatting sqref="G79:H79">
    <cfRule type="expression" dxfId="5" priority="22">
      <formula>_xlfn.NUMBERVALUE(LEFT(G79, FIND(" ", G79)))&lt;0</formula>
    </cfRule>
    <cfRule type="expression" dxfId="4" priority="21">
      <formula>_xlfn.NUMBERVALUE(LEFT(G79, FIND(" ", G79)))&gt;0</formula>
    </cfRule>
  </conditionalFormatting>
  <conditionalFormatting sqref="J75:K78 J80:K81">
    <cfRule type="cellIs" dxfId="3" priority="197" operator="lessThan">
      <formula>0</formula>
    </cfRule>
    <cfRule type="cellIs" dxfId="2" priority="198" operator="greaterThan">
      <formula>0</formula>
    </cfRule>
  </conditionalFormatting>
  <conditionalFormatting sqref="J79:K79">
    <cfRule type="expression" dxfId="1" priority="18">
      <formula>_xlfn.NUMBERVALUE(LEFT(J79, FIND(" ", J79)))&lt;0</formula>
    </cfRule>
    <cfRule type="expression" dxfId="0" priority="17">
      <formula>_xlfn.NUMBERVALUE(LEFT(J79, FIND(" ", J79)))&gt;0</formula>
    </cfRule>
  </conditionalFormatting>
  <pageMargins left="0.7" right="0.7" top="0.75" bottom="0.75" header="0.3" footer="0.3"/>
  <pageSetup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3:L22"/>
  <sheetViews>
    <sheetView showGridLines="0" zoomScale="80" zoomScaleNormal="80" workbookViewId="0">
      <selection activeCell="F24" sqref="F24"/>
    </sheetView>
  </sheetViews>
  <sheetFormatPr defaultRowHeight="15"/>
  <cols>
    <col min="2" max="2" width="12.5703125" bestFit="1" customWidth="1"/>
    <col min="3" max="3" width="13.5703125" customWidth="1"/>
    <col min="4" max="4" width="16" bestFit="1" customWidth="1"/>
    <col min="5" max="5" width="12" customWidth="1"/>
    <col min="8" max="9" width="12.5703125" bestFit="1" customWidth="1"/>
    <col min="10" max="10" width="16" bestFit="1" customWidth="1"/>
    <col min="11" max="11" width="13.5703125" customWidth="1"/>
    <col min="14" max="14" width="9.5703125" bestFit="1" customWidth="1"/>
  </cols>
  <sheetData>
    <row r="3" spans="2:12" ht="15" customHeight="1" thickBot="1"/>
    <row r="4" spans="2:12" ht="15" customHeight="1" thickBot="1">
      <c r="B4" s="574" t="s">
        <v>912</v>
      </c>
      <c r="C4" s="575" t="s">
        <v>914</v>
      </c>
      <c r="D4" s="575" t="s">
        <v>926</v>
      </c>
      <c r="E4" s="575" t="s">
        <v>315</v>
      </c>
      <c r="F4" s="576" t="s">
        <v>318</v>
      </c>
      <c r="H4" s="574" t="s">
        <v>912</v>
      </c>
      <c r="I4" s="575" t="s">
        <v>914</v>
      </c>
      <c r="J4" s="575" t="s">
        <v>927</v>
      </c>
      <c r="K4" s="575" t="s">
        <v>315</v>
      </c>
      <c r="L4" s="576" t="s">
        <v>317</v>
      </c>
    </row>
    <row r="5" spans="2:12">
      <c r="B5" s="570" t="s">
        <v>913</v>
      </c>
      <c r="C5" s="571" t="s">
        <v>807</v>
      </c>
      <c r="D5" s="572"/>
      <c r="E5" s="573">
        <v>0</v>
      </c>
      <c r="F5" s="599" t="e">
        <f>E5/D5</f>
        <v>#DIV/0!</v>
      </c>
      <c r="H5" s="570" t="s">
        <v>913</v>
      </c>
      <c r="I5" s="571" t="s">
        <v>807</v>
      </c>
      <c r="J5" s="572"/>
      <c r="K5" s="597">
        <f>E5</f>
        <v>0</v>
      </c>
      <c r="L5" s="599" t="e">
        <f>K5/J5</f>
        <v>#DIV/0!</v>
      </c>
    </row>
    <row r="6" spans="2:12">
      <c r="B6" s="568" t="s">
        <v>913</v>
      </c>
      <c r="C6" s="38" t="s">
        <v>806</v>
      </c>
      <c r="D6" s="550">
        <v>25052</v>
      </c>
      <c r="E6" s="551">
        <v>21846.51</v>
      </c>
      <c r="F6" s="620">
        <f>E6/D6</f>
        <v>0.87204654319016439</v>
      </c>
      <c r="H6" s="568" t="s">
        <v>913</v>
      </c>
      <c r="I6" s="38" t="s">
        <v>806</v>
      </c>
      <c r="J6" s="550">
        <v>24430</v>
      </c>
      <c r="K6" s="622">
        <f>E6</f>
        <v>21846.51</v>
      </c>
      <c r="L6" s="620">
        <f>K6/J6</f>
        <v>0.89424928366762169</v>
      </c>
    </row>
    <row r="7" spans="2:12" ht="15" customHeight="1" thickBot="1">
      <c r="B7" s="569" t="s">
        <v>893</v>
      </c>
      <c r="C7" s="564" t="s">
        <v>806</v>
      </c>
      <c r="D7" s="552">
        <v>39273</v>
      </c>
      <c r="E7" s="565">
        <v>5926.31</v>
      </c>
      <c r="F7" s="621">
        <f>E7/D7</f>
        <v>0.15090036411784177</v>
      </c>
      <c r="H7" s="577" t="s">
        <v>893</v>
      </c>
      <c r="I7" s="578" t="s">
        <v>806</v>
      </c>
      <c r="J7" s="579">
        <v>20740</v>
      </c>
      <c r="K7" s="602">
        <f>E7</f>
        <v>5926.31</v>
      </c>
      <c r="L7" s="604">
        <f>K7/J7</f>
        <v>0.28574300867888142</v>
      </c>
    </row>
    <row r="8" spans="2:12" ht="15" customHeight="1" thickBot="1">
      <c r="B8" s="566" t="s">
        <v>804</v>
      </c>
      <c r="C8" s="567"/>
      <c r="D8" s="617">
        <f>SUM(D5:D7)</f>
        <v>64325</v>
      </c>
      <c r="E8" s="618">
        <f>SUM(E5:E7)</f>
        <v>27772.82</v>
      </c>
      <c r="F8" s="619">
        <f>E8/D8</f>
        <v>0.43175779246016321</v>
      </c>
      <c r="H8" s="580" t="s">
        <v>804</v>
      </c>
      <c r="I8" s="581"/>
      <c r="J8" s="606">
        <f>SUM(J5:J7)</f>
        <v>45170</v>
      </c>
      <c r="K8" s="607">
        <f>SUM(K5:K7)</f>
        <v>27772.82</v>
      </c>
      <c r="L8" s="609">
        <f>K8/J8</f>
        <v>0.61485100730573394</v>
      </c>
    </row>
    <row r="9" spans="2:12" ht="15" customHeight="1" thickBot="1"/>
    <row r="10" spans="2:12" ht="15" customHeight="1" thickBot="1">
      <c r="C10" s="1073" t="s">
        <v>928</v>
      </c>
      <c r="D10" s="980"/>
      <c r="E10" s="980"/>
      <c r="F10" s="980"/>
      <c r="G10" s="1074"/>
      <c r="H10" s="1075" t="s">
        <v>929</v>
      </c>
      <c r="I10" s="1074"/>
      <c r="J10" s="1075" t="s">
        <v>162</v>
      </c>
      <c r="K10" s="1074"/>
    </row>
    <row r="11" spans="2:12" ht="15" customHeight="1" thickBot="1">
      <c r="B11" s="585" t="s">
        <v>912</v>
      </c>
      <c r="C11" s="574" t="s">
        <v>930</v>
      </c>
      <c r="D11" s="575" t="s">
        <v>927</v>
      </c>
      <c r="E11" s="575" t="s">
        <v>315</v>
      </c>
      <c r="F11" s="575" t="s">
        <v>318</v>
      </c>
      <c r="G11" s="576" t="s">
        <v>317</v>
      </c>
      <c r="H11" s="588" t="s">
        <v>318</v>
      </c>
      <c r="I11" s="576" t="s">
        <v>317</v>
      </c>
      <c r="J11" s="588" t="s">
        <v>318</v>
      </c>
      <c r="K11" s="576" t="s">
        <v>317</v>
      </c>
    </row>
    <row r="12" spans="2:12">
      <c r="B12" s="586" t="s">
        <v>913</v>
      </c>
      <c r="C12" s="595">
        <f>D5+D6</f>
        <v>25052</v>
      </c>
      <c r="D12" s="596">
        <f>J5+J6</f>
        <v>24430</v>
      </c>
      <c r="E12" s="597">
        <f>E5+E6</f>
        <v>21846.51</v>
      </c>
      <c r="F12" s="598">
        <f>E12/C12</f>
        <v>0.87204654319016439</v>
      </c>
      <c r="G12" s="599">
        <f>E12/D12</f>
        <v>0.89424928366762169</v>
      </c>
      <c r="H12" s="589">
        <v>1.0297857789855069</v>
      </c>
      <c r="I12" s="592">
        <v>1.073544381491973</v>
      </c>
      <c r="J12" s="610">
        <f t="shared" ref="J12:K14" si="0">F12/H12-1</f>
        <v>-0.15317674706164552</v>
      </c>
      <c r="K12" s="611">
        <f t="shared" si="0"/>
        <v>-0.16701228278534086</v>
      </c>
    </row>
    <row r="13" spans="2:12" ht="15" customHeight="1" thickBot="1">
      <c r="B13" s="587" t="s">
        <v>893</v>
      </c>
      <c r="C13" s="600">
        <f>D7</f>
        <v>39273</v>
      </c>
      <c r="D13" s="601">
        <f>J7</f>
        <v>20740</v>
      </c>
      <c r="E13" s="602">
        <f>E7</f>
        <v>5926.31</v>
      </c>
      <c r="F13" s="603">
        <f>E13/C13</f>
        <v>0.15090036411784177</v>
      </c>
      <c r="G13" s="604">
        <f>E13/D13</f>
        <v>0.28574300867888142</v>
      </c>
      <c r="H13" s="590">
        <v>0.18744123340707969</v>
      </c>
      <c r="I13" s="593">
        <v>0.34942002835416941</v>
      </c>
      <c r="J13" s="612">
        <f t="shared" si="0"/>
        <v>-0.19494573645852764</v>
      </c>
      <c r="K13" s="613">
        <f t="shared" si="0"/>
        <v>-0.18223631878005997</v>
      </c>
    </row>
    <row r="14" spans="2:12" ht="15" customHeight="1" thickBot="1">
      <c r="B14" s="563" t="s">
        <v>804</v>
      </c>
      <c r="C14" s="605">
        <f>C13+C12</f>
        <v>64325</v>
      </c>
      <c r="D14" s="606">
        <f>D13+D12</f>
        <v>45170</v>
      </c>
      <c r="E14" s="607">
        <f>E13+E12</f>
        <v>27772.82</v>
      </c>
      <c r="F14" s="608">
        <f>E14/C14</f>
        <v>0.43175779246016321</v>
      </c>
      <c r="G14" s="609">
        <f>E14/D14</f>
        <v>0.61485100730573394</v>
      </c>
      <c r="H14" s="591">
        <v>0.55206967534504392</v>
      </c>
      <c r="I14" s="594">
        <v>0.76734345195923481</v>
      </c>
      <c r="J14" s="614">
        <f t="shared" si="0"/>
        <v>-0.21792880184858132</v>
      </c>
      <c r="K14" s="615">
        <f t="shared" si="0"/>
        <v>-0.19872775908121265</v>
      </c>
    </row>
    <row r="15" spans="2:12">
      <c r="C15" s="19"/>
    </row>
    <row r="17" spans="2:9" ht="15" customHeight="1" thickBot="1">
      <c r="I17" s="562"/>
    </row>
    <row r="18" spans="2:9" ht="15" customHeight="1" thickBot="1">
      <c r="B18" s="574" t="s">
        <v>912</v>
      </c>
      <c r="C18" s="575" t="s">
        <v>914</v>
      </c>
      <c r="D18" s="576" t="s">
        <v>931</v>
      </c>
      <c r="I18" s="562"/>
    </row>
    <row r="19" spans="2:9">
      <c r="B19" s="570" t="s">
        <v>913</v>
      </c>
      <c r="C19" s="571" t="s">
        <v>807</v>
      </c>
      <c r="D19" s="584"/>
    </row>
    <row r="20" spans="2:9">
      <c r="B20" s="568" t="s">
        <v>913</v>
      </c>
      <c r="C20" s="38" t="s">
        <v>806</v>
      </c>
      <c r="D20" s="582">
        <v>146</v>
      </c>
    </row>
    <row r="21" spans="2:9" ht="15" customHeight="1" thickBot="1">
      <c r="B21" s="577" t="s">
        <v>893</v>
      </c>
      <c r="C21" s="578" t="s">
        <v>806</v>
      </c>
      <c r="D21" s="583">
        <v>21</v>
      </c>
    </row>
    <row r="22" spans="2:9" ht="15" customHeight="1" thickBot="1">
      <c r="B22" s="580" t="s">
        <v>804</v>
      </c>
      <c r="C22" s="581"/>
      <c r="D22" s="616">
        <f>SUM(D19:D21)</f>
        <v>167</v>
      </c>
    </row>
  </sheetData>
  <mergeCells count="3">
    <mergeCell ref="C10:G10"/>
    <mergeCell ref="H10:I10"/>
    <mergeCell ref="J10:K10"/>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C3:S36"/>
  <sheetViews>
    <sheetView showGridLines="0" zoomScale="80" zoomScaleNormal="80" workbookViewId="0">
      <selection activeCell="M29" sqref="M29"/>
    </sheetView>
  </sheetViews>
  <sheetFormatPr defaultRowHeight="15"/>
  <cols>
    <col min="4" max="4" width="16.42578125" customWidth="1"/>
    <col min="5" max="5" width="14.42578125" customWidth="1"/>
    <col min="6" max="6" width="13.42578125" customWidth="1"/>
    <col min="7" max="7" width="16.42578125" customWidth="1"/>
    <col min="12" max="12" width="10.42578125" bestFit="1" customWidth="1"/>
    <col min="13" max="13" width="11" bestFit="1" customWidth="1"/>
    <col min="14" max="14" width="10.42578125" bestFit="1" customWidth="1"/>
    <col min="18" max="19" width="14" bestFit="1" customWidth="1"/>
  </cols>
  <sheetData>
    <row r="3" spans="3:19">
      <c r="D3" s="1076" t="s">
        <v>913</v>
      </c>
      <c r="E3" s="1002"/>
      <c r="L3" s="1077" t="s">
        <v>932</v>
      </c>
      <c r="M3" s="1002"/>
      <c r="N3" s="1002"/>
    </row>
    <row r="4" spans="3:19">
      <c r="C4" s="9" t="s">
        <v>136</v>
      </c>
      <c r="D4" s="9" t="s">
        <v>933</v>
      </c>
      <c r="E4" s="9" t="s">
        <v>932</v>
      </c>
      <c r="F4" s="9" t="s">
        <v>934</v>
      </c>
      <c r="G4" s="140" t="s">
        <v>935</v>
      </c>
      <c r="H4" s="9"/>
      <c r="I4" s="9"/>
      <c r="J4" s="9"/>
      <c r="K4" s="9"/>
      <c r="L4" s="560" t="s">
        <v>136</v>
      </c>
      <c r="M4" s="560" t="s">
        <v>936</v>
      </c>
      <c r="N4" s="560" t="s">
        <v>162</v>
      </c>
    </row>
    <row r="5" spans="3:19">
      <c r="C5" s="9">
        <v>50</v>
      </c>
      <c r="D5" s="553">
        <v>11074484</v>
      </c>
      <c r="E5" s="553">
        <v>12522637</v>
      </c>
      <c r="F5" s="554">
        <f t="shared" ref="F5:F10" si="0">D5/E5-1</f>
        <v>-0.11564281548686595</v>
      </c>
      <c r="G5" s="9"/>
      <c r="H5" s="9"/>
      <c r="I5" s="9"/>
      <c r="J5" s="9"/>
      <c r="K5" s="9"/>
      <c r="L5" s="9">
        <v>52</v>
      </c>
      <c r="M5" s="17">
        <f>SUM(G7,G17)</f>
        <v>35009071.320154689</v>
      </c>
      <c r="N5" s="9"/>
    </row>
    <row r="6" spans="3:19">
      <c r="C6" s="9">
        <v>51</v>
      </c>
      <c r="D6" s="553">
        <v>10910022</v>
      </c>
      <c r="E6" s="553">
        <v>12375136</v>
      </c>
      <c r="F6" s="554">
        <f t="shared" si="0"/>
        <v>-0.1183917493916834</v>
      </c>
      <c r="G6" s="9"/>
      <c r="H6" s="9"/>
      <c r="I6" s="9"/>
      <c r="J6" s="9"/>
      <c r="K6" s="9"/>
      <c r="L6" s="9">
        <v>1</v>
      </c>
      <c r="M6" s="17">
        <f>SUM(G8,G18)</f>
        <v>34863406.613925532</v>
      </c>
      <c r="N6" s="555">
        <f>M6/M5-1</f>
        <v>-4.1607703585470057E-3</v>
      </c>
    </row>
    <row r="7" spans="3:19">
      <c r="C7" s="9">
        <v>52</v>
      </c>
      <c r="D7" s="556">
        <v>10448303</v>
      </c>
      <c r="E7" s="553">
        <v>12115355</v>
      </c>
      <c r="F7" s="557">
        <f t="shared" si="0"/>
        <v>-0.13759827920849199</v>
      </c>
      <c r="G7" s="17">
        <f>E7*(1+$F$11)</f>
        <v>10697649.082112921</v>
      </c>
      <c r="H7" s="9"/>
      <c r="I7" s="9"/>
      <c r="J7" s="9"/>
      <c r="K7" s="9"/>
      <c r="L7" s="9">
        <v>2</v>
      </c>
      <c r="M7" s="17">
        <f>SUM(G9,G19)</f>
        <v>34940113.546741903</v>
      </c>
      <c r="N7" s="555">
        <f>M7/M6-1</f>
        <v>2.2002133545300229E-3</v>
      </c>
    </row>
    <row r="8" spans="3:19">
      <c r="C8" s="9">
        <v>1</v>
      </c>
      <c r="D8" s="556">
        <v>7858604</v>
      </c>
      <c r="E8" s="553">
        <v>12071848</v>
      </c>
      <c r="F8" s="557">
        <f t="shared" si="0"/>
        <v>-0.34901400348977218</v>
      </c>
      <c r="G8" s="17">
        <f>E8*(1+$F$11)</f>
        <v>10659233.153020008</v>
      </c>
      <c r="H8" s="9"/>
      <c r="I8" s="9"/>
      <c r="J8" s="9"/>
      <c r="K8" s="9"/>
      <c r="L8" s="9">
        <v>3</v>
      </c>
      <c r="M8" s="17">
        <f>SUM(G10,G20)</f>
        <v>34803158.175871909</v>
      </c>
      <c r="N8" s="555">
        <f>M8/M7-1</f>
        <v>-3.9197173955024533E-3</v>
      </c>
    </row>
    <row r="9" spans="3:19">
      <c r="C9" s="9">
        <v>2</v>
      </c>
      <c r="D9" s="556">
        <v>7627444</v>
      </c>
      <c r="E9" s="553">
        <v>11960389</v>
      </c>
      <c r="F9" s="557">
        <f t="shared" si="0"/>
        <v>-0.36227458822618563</v>
      </c>
      <c r="G9" s="17">
        <f>E9*(1+$F$11)</f>
        <v>10560816.782303406</v>
      </c>
      <c r="H9" s="9"/>
      <c r="I9" s="9"/>
      <c r="J9" s="9"/>
      <c r="K9" s="9"/>
    </row>
    <row r="10" spans="3:19">
      <c r="C10" s="9">
        <v>3</v>
      </c>
      <c r="D10" s="558">
        <v>10526429</v>
      </c>
      <c r="E10" s="553">
        <v>11931585</v>
      </c>
      <c r="F10" s="554">
        <f t="shared" si="0"/>
        <v>-0.11776775675654161</v>
      </c>
      <c r="G10" s="17">
        <f>E10*(1+$F$11)</f>
        <v>10535383.348106787</v>
      </c>
      <c r="H10" s="9"/>
      <c r="I10" s="9"/>
      <c r="J10" s="9"/>
      <c r="K10" s="9"/>
    </row>
    <row r="11" spans="3:19">
      <c r="E11" s="28" t="s">
        <v>937</v>
      </c>
      <c r="F11" s="559">
        <f>AVERAGE(F5:F6)</f>
        <v>-0.11701728243927467</v>
      </c>
      <c r="R11" t="s">
        <v>933</v>
      </c>
      <c r="S11" t="s">
        <v>938</v>
      </c>
    </row>
    <row r="12" spans="3:19">
      <c r="Q12">
        <v>202402</v>
      </c>
      <c r="R12" s="423">
        <v>24826143</v>
      </c>
      <c r="S12" s="423">
        <v>34940113.546741903</v>
      </c>
    </row>
    <row r="13" spans="3:19">
      <c r="D13" s="1076" t="s">
        <v>893</v>
      </c>
      <c r="E13" s="1002"/>
      <c r="Q13">
        <v>202403</v>
      </c>
      <c r="R13" s="423">
        <v>34834489</v>
      </c>
      <c r="S13" s="423">
        <v>34834489</v>
      </c>
    </row>
    <row r="14" spans="3:19">
      <c r="C14" s="9" t="s">
        <v>136</v>
      </c>
      <c r="D14" s="9" t="s">
        <v>933</v>
      </c>
      <c r="E14" s="9" t="s">
        <v>932</v>
      </c>
      <c r="F14" s="9" t="s">
        <v>934</v>
      </c>
      <c r="G14" s="140" t="s">
        <v>935</v>
      </c>
      <c r="Q14">
        <v>202404</v>
      </c>
      <c r="R14" s="423">
        <v>35340700</v>
      </c>
      <c r="S14" s="423">
        <v>35340700</v>
      </c>
    </row>
    <row r="15" spans="3:19">
      <c r="C15" s="9">
        <v>50</v>
      </c>
      <c r="D15" s="553">
        <v>25129645</v>
      </c>
      <c r="E15" s="553">
        <v>26095048</v>
      </c>
      <c r="F15" s="554">
        <f t="shared" ref="F15:F20" si="1">D15/E15-1</f>
        <v>-3.6995639939041314E-2</v>
      </c>
      <c r="Q15">
        <v>202405</v>
      </c>
      <c r="R15" s="423">
        <v>35327268</v>
      </c>
      <c r="S15" s="423">
        <v>35327268</v>
      </c>
    </row>
    <row r="16" spans="3:19">
      <c r="C16" s="9">
        <v>51</v>
      </c>
      <c r="D16" s="553">
        <v>24892502</v>
      </c>
      <c r="E16" s="553">
        <v>25740426</v>
      </c>
      <c r="F16" s="554">
        <f t="shared" si="1"/>
        <v>-3.2941335158944152E-2</v>
      </c>
      <c r="Q16" t="s">
        <v>939</v>
      </c>
      <c r="R16" s="19">
        <f>AVERAGE(R12:R15)</f>
        <v>32582150</v>
      </c>
      <c r="S16" s="19">
        <f>AVERAGE(S12:S15)</f>
        <v>35110642.636685476</v>
      </c>
    </row>
    <row r="17" spans="3:14">
      <c r="C17" s="9">
        <v>52</v>
      </c>
      <c r="D17" s="556">
        <v>23837339</v>
      </c>
      <c r="E17" s="553">
        <v>25192361</v>
      </c>
      <c r="F17" s="557">
        <f t="shared" si="1"/>
        <v>-5.378701900945293E-2</v>
      </c>
      <c r="G17" s="17">
        <f>E17*(1+$F$21)</f>
        <v>24311422.23804177</v>
      </c>
    </row>
    <row r="18" spans="3:14">
      <c r="C18" s="9">
        <v>1</v>
      </c>
      <c r="D18" s="556">
        <v>17698050</v>
      </c>
      <c r="E18" s="553">
        <v>25081226</v>
      </c>
      <c r="F18" s="557">
        <f t="shared" si="1"/>
        <v>-0.29437061808701059</v>
      </c>
      <c r="G18" s="17">
        <f>E18*(1+$F$21)</f>
        <v>24204173.460905526</v>
      </c>
    </row>
    <row r="19" spans="3:14">
      <c r="C19" s="9">
        <v>2</v>
      </c>
      <c r="D19" s="556">
        <v>17198699</v>
      </c>
      <c r="E19" s="553">
        <v>25262695</v>
      </c>
      <c r="F19" s="557">
        <f t="shared" si="1"/>
        <v>-0.31920569044593228</v>
      </c>
      <c r="G19" s="17">
        <f>E19*(1+$F$21)</f>
        <v>24379296.764438499</v>
      </c>
    </row>
    <row r="20" spans="3:14">
      <c r="C20" s="9">
        <v>3</v>
      </c>
      <c r="D20" s="558">
        <v>24308060</v>
      </c>
      <c r="E20" s="553">
        <v>25147132</v>
      </c>
      <c r="F20" s="554">
        <f t="shared" si="1"/>
        <v>-3.3366508753363999E-2</v>
      </c>
      <c r="G20" s="17">
        <f>E20*(1+$F$21)</f>
        <v>24267774.827765122</v>
      </c>
    </row>
    <row r="21" spans="3:14">
      <c r="E21" s="28" t="s">
        <v>937</v>
      </c>
      <c r="F21" s="559">
        <f>AVERAGE(F15:F16)</f>
        <v>-3.4968487548992733E-2</v>
      </c>
    </row>
    <row r="27" spans="3:14">
      <c r="K27" s="560"/>
      <c r="L27" s="1077" t="s">
        <v>804</v>
      </c>
      <c r="M27" s="1002"/>
    </row>
    <row r="28" spans="3:14">
      <c r="C28" s="543"/>
      <c r="D28" s="1077" t="s">
        <v>913</v>
      </c>
      <c r="E28" s="1002"/>
      <c r="F28" s="543"/>
      <c r="G28" s="543"/>
      <c r="K28" s="560" t="s">
        <v>940</v>
      </c>
      <c r="L28" s="560" t="s">
        <v>933</v>
      </c>
      <c r="M28" s="560" t="s">
        <v>932</v>
      </c>
      <c r="N28" s="560" t="s">
        <v>941</v>
      </c>
    </row>
    <row r="29" spans="3:14">
      <c r="C29" s="543" t="s">
        <v>940</v>
      </c>
      <c r="D29" s="560" t="s">
        <v>933</v>
      </c>
      <c r="E29" s="560" t="s">
        <v>932</v>
      </c>
      <c r="F29" s="561" t="s">
        <v>935</v>
      </c>
      <c r="G29" s="543"/>
      <c r="L29" s="53">
        <f>D30+D36</f>
        <v>57177882</v>
      </c>
      <c r="M29" s="19">
        <f>F30+F36</f>
        <v>60350008.431815594</v>
      </c>
      <c r="N29" s="19">
        <f>M29-L29</f>
        <v>3172126.4318155944</v>
      </c>
    </row>
    <row r="30" spans="3:14">
      <c r="D30" s="53">
        <v>17181294</v>
      </c>
      <c r="E30" s="53">
        <v>20237794</v>
      </c>
      <c r="F30" s="17">
        <f>E30*(1+$F$11)</f>
        <v>17869622.343554143</v>
      </c>
    </row>
    <row r="34" spans="3:6">
      <c r="C34" s="543"/>
      <c r="D34" s="1077" t="s">
        <v>893</v>
      </c>
      <c r="E34" s="1002"/>
      <c r="F34" s="543"/>
    </row>
    <row r="35" spans="3:6">
      <c r="C35" s="543" t="s">
        <v>940</v>
      </c>
      <c r="D35" s="560" t="s">
        <v>933</v>
      </c>
      <c r="E35" s="560" t="s">
        <v>932</v>
      </c>
      <c r="F35" s="561" t="s">
        <v>935</v>
      </c>
    </row>
    <row r="36" spans="3:6">
      <c r="D36" s="53">
        <v>39996588</v>
      </c>
      <c r="E36" s="53">
        <v>44019688</v>
      </c>
      <c r="F36" s="17">
        <f>E36*(1+$F$21)</f>
        <v>42480386.088261455</v>
      </c>
    </row>
  </sheetData>
  <mergeCells count="6">
    <mergeCell ref="D13:E13"/>
    <mergeCell ref="D34:E34"/>
    <mergeCell ref="D3:E3"/>
    <mergeCell ref="D28:E28"/>
    <mergeCell ref="L27:M27"/>
    <mergeCell ref="L3:N3"/>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FF00"/>
  </sheetPr>
  <dimension ref="A3:F18"/>
  <sheetViews>
    <sheetView showGridLines="0" workbookViewId="0">
      <selection activeCell="C11" sqref="C11"/>
    </sheetView>
  </sheetViews>
  <sheetFormatPr defaultRowHeight="15"/>
  <cols>
    <col min="1" max="1" width="32.42578125" bestFit="1" customWidth="1"/>
    <col min="2" max="2" width="16.42578125" bestFit="1" customWidth="1"/>
    <col min="3" max="5" width="11.5703125" bestFit="1" customWidth="1"/>
    <col min="6" max="6" width="12.5703125" bestFit="1" customWidth="1"/>
    <col min="7" max="9" width="11.5703125" bestFit="1" customWidth="1"/>
    <col min="10" max="10" width="32.42578125" bestFit="1" customWidth="1"/>
    <col min="11" max="11" width="22.5703125" bestFit="1" customWidth="1"/>
    <col min="12" max="18" width="27.42578125" bestFit="1" customWidth="1"/>
    <col min="19" max="19" width="32" bestFit="1" customWidth="1"/>
    <col min="20" max="20" width="22.42578125" bestFit="1" customWidth="1"/>
    <col min="21" max="28" width="27.42578125" bestFit="1" customWidth="1"/>
    <col min="29" max="29" width="32" bestFit="1" customWidth="1"/>
    <col min="30" max="30" width="22.42578125" bestFit="1" customWidth="1"/>
    <col min="31" max="38" width="27.42578125" bestFit="1" customWidth="1"/>
    <col min="39" max="39" width="32" bestFit="1" customWidth="1"/>
    <col min="40" max="40" width="22.42578125" bestFit="1" customWidth="1"/>
    <col min="41" max="41" width="32.42578125" bestFit="1" customWidth="1"/>
    <col min="42" max="42" width="22.5703125" bestFit="1" customWidth="1"/>
  </cols>
  <sheetData>
    <row r="3" spans="1:6">
      <c r="B3" s="139" t="s">
        <v>942</v>
      </c>
    </row>
    <row r="4" spans="1:6">
      <c r="A4" s="139" t="s">
        <v>943</v>
      </c>
      <c r="B4" t="s">
        <v>944</v>
      </c>
      <c r="C4" t="s">
        <v>945</v>
      </c>
      <c r="D4" t="s">
        <v>946</v>
      </c>
      <c r="E4" t="s">
        <v>947</v>
      </c>
      <c r="F4" t="s">
        <v>948</v>
      </c>
    </row>
    <row r="5" spans="1:6">
      <c r="A5" s="140">
        <v>2021</v>
      </c>
      <c r="B5" s="19"/>
      <c r="C5" s="19"/>
      <c r="D5" s="19"/>
      <c r="E5" s="19"/>
      <c r="F5" s="19"/>
    </row>
    <row r="6" spans="1:6">
      <c r="A6" s="148" t="s">
        <v>949</v>
      </c>
      <c r="B6" s="19">
        <v>8176432.6370082358</v>
      </c>
      <c r="C6" s="19">
        <v>12803412.12686681</v>
      </c>
      <c r="D6" s="19">
        <v>12848743.24650103</v>
      </c>
      <c r="E6" s="19">
        <v>14201186.9083459</v>
      </c>
      <c r="F6" s="19">
        <v>48029774.918721959</v>
      </c>
    </row>
    <row r="7" spans="1:6">
      <c r="A7" s="148" t="s">
        <v>950</v>
      </c>
      <c r="B7" s="19">
        <v>12862525</v>
      </c>
      <c r="C7" s="19">
        <v>15705425</v>
      </c>
      <c r="D7" s="19">
        <v>13954648</v>
      </c>
      <c r="E7" s="19">
        <v>18652649</v>
      </c>
      <c r="F7" s="19">
        <v>61175247</v>
      </c>
    </row>
    <row r="8" spans="1:6">
      <c r="A8" s="140">
        <v>2022</v>
      </c>
      <c r="B8" s="19"/>
      <c r="C8" s="19"/>
      <c r="D8" s="19"/>
      <c r="E8" s="19"/>
      <c r="F8" s="19"/>
    </row>
    <row r="9" spans="1:6">
      <c r="A9" s="148" t="s">
        <v>949</v>
      </c>
      <c r="B9" s="19">
        <v>11399029.138149399</v>
      </c>
      <c r="C9" s="19">
        <v>12009450.69292756</v>
      </c>
      <c r="D9" s="19">
        <v>12423502.35213034</v>
      </c>
      <c r="E9" s="19">
        <v>15959592.839051921</v>
      </c>
      <c r="F9" s="19">
        <v>51791575.022259243</v>
      </c>
    </row>
    <row r="10" spans="1:6">
      <c r="A10" s="148" t="s">
        <v>950</v>
      </c>
      <c r="B10" s="19">
        <v>13018005</v>
      </c>
      <c r="C10" s="19">
        <v>11886813</v>
      </c>
      <c r="D10" s="19">
        <v>12340967</v>
      </c>
      <c r="E10" s="19">
        <v>14844901</v>
      </c>
      <c r="F10" s="19">
        <v>52090686</v>
      </c>
    </row>
    <row r="11" spans="1:6">
      <c r="A11" s="140">
        <v>2023</v>
      </c>
      <c r="B11" s="19"/>
      <c r="C11" s="19"/>
      <c r="D11" s="19"/>
      <c r="E11" s="19"/>
      <c r="F11" s="19"/>
    </row>
    <row r="12" spans="1:6">
      <c r="A12" s="148" t="s">
        <v>949</v>
      </c>
      <c r="B12" s="19">
        <v>12312915.72372238</v>
      </c>
      <c r="C12" s="19">
        <v>12424761.263837149</v>
      </c>
      <c r="D12" s="19">
        <v>13084571.84724527</v>
      </c>
      <c r="E12" s="19">
        <v>16377072.832399931</v>
      </c>
      <c r="F12" s="19">
        <v>54199321.667204738</v>
      </c>
    </row>
    <row r="13" spans="1:6">
      <c r="A13" s="148" t="s">
        <v>950</v>
      </c>
      <c r="B13" s="19">
        <v>11485974</v>
      </c>
      <c r="C13" s="19">
        <v>11470875</v>
      </c>
      <c r="D13" s="19">
        <v>13287819</v>
      </c>
      <c r="E13" s="19">
        <v>16704969</v>
      </c>
      <c r="F13" s="19">
        <v>52949637</v>
      </c>
    </row>
    <row r="14" spans="1:6">
      <c r="A14" s="140">
        <v>2024</v>
      </c>
      <c r="B14" s="19"/>
      <c r="C14" s="19"/>
      <c r="D14" s="19"/>
      <c r="E14" s="19"/>
      <c r="F14" s="19"/>
    </row>
    <row r="15" spans="1:6">
      <c r="A15" s="148" t="s">
        <v>949</v>
      </c>
      <c r="B15" s="19">
        <v>11871998.10935571</v>
      </c>
      <c r="C15" s="19">
        <v>11358677.34165597</v>
      </c>
      <c r="D15" s="19">
        <v>11950767.815425189</v>
      </c>
      <c r="E15" s="19">
        <v>15047671.85395514</v>
      </c>
      <c r="F15" s="19">
        <v>50229115.120392017</v>
      </c>
    </row>
    <row r="16" spans="1:6">
      <c r="A16" s="148" t="s">
        <v>950</v>
      </c>
      <c r="B16" s="19">
        <v>13026767</v>
      </c>
      <c r="C16" s="19">
        <v>12897496</v>
      </c>
      <c r="D16" s="19">
        <v>3125931</v>
      </c>
      <c r="E16" s="19">
        <v>0</v>
      </c>
      <c r="F16" s="19">
        <v>29050194</v>
      </c>
    </row>
    <row r="17" spans="1:6">
      <c r="A17" s="140" t="s">
        <v>951</v>
      </c>
      <c r="B17" s="19">
        <v>43760375.608235732</v>
      </c>
      <c r="C17" s="19">
        <v>48596301.4252875</v>
      </c>
      <c r="D17" s="19">
        <v>50307585.261301838</v>
      </c>
      <c r="E17" s="19">
        <v>61585524.433752887</v>
      </c>
      <c r="F17" s="19">
        <v>204249786.728578</v>
      </c>
    </row>
    <row r="18" spans="1:6">
      <c r="A18" s="140" t="s">
        <v>952</v>
      </c>
      <c r="B18" s="19">
        <v>50393271</v>
      </c>
      <c r="C18" s="19">
        <v>51960609</v>
      </c>
      <c r="D18" s="19">
        <v>42709365</v>
      </c>
      <c r="E18" s="19">
        <v>50202519</v>
      </c>
      <c r="F18" s="19">
        <v>195265764</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FF00"/>
  </sheetPr>
  <dimension ref="A3:F9"/>
  <sheetViews>
    <sheetView showGridLines="0" workbookViewId="0">
      <selection activeCell="C11" sqref="C11"/>
    </sheetView>
  </sheetViews>
  <sheetFormatPr defaultRowHeight="15"/>
  <cols>
    <col min="1" max="1" width="21.42578125" bestFit="1" customWidth="1"/>
    <col min="2" max="2" width="16.42578125" bestFit="1" customWidth="1"/>
    <col min="3" max="5" width="9" bestFit="1" customWidth="1"/>
    <col min="6" max="6" width="11.42578125" bestFit="1" customWidth="1"/>
  </cols>
  <sheetData>
    <row r="3" spans="1:6">
      <c r="A3" s="139" t="s">
        <v>953</v>
      </c>
      <c r="B3" s="139" t="s">
        <v>942</v>
      </c>
    </row>
    <row r="4" spans="1:6">
      <c r="A4" s="139" t="s">
        <v>943</v>
      </c>
      <c r="B4" t="s">
        <v>944</v>
      </c>
      <c r="C4" t="s">
        <v>945</v>
      </c>
      <c r="D4" t="s">
        <v>946</v>
      </c>
      <c r="E4" t="s">
        <v>947</v>
      </c>
      <c r="F4" t="s">
        <v>948</v>
      </c>
    </row>
    <row r="5" spans="1:6">
      <c r="A5" s="140">
        <v>2021</v>
      </c>
    </row>
    <row r="6" spans="1:6">
      <c r="A6" s="140">
        <v>2022</v>
      </c>
      <c r="C6">
        <v>482872</v>
      </c>
      <c r="D6">
        <v>10992895</v>
      </c>
      <c r="E6">
        <v>30869174</v>
      </c>
      <c r="F6">
        <v>42344941</v>
      </c>
    </row>
    <row r="7" spans="1:6">
      <c r="A7" s="140">
        <v>2023</v>
      </c>
      <c r="B7">
        <v>19265737</v>
      </c>
      <c r="C7">
        <v>19887598</v>
      </c>
      <c r="D7">
        <v>19672361</v>
      </c>
      <c r="E7">
        <v>28996313</v>
      </c>
      <c r="F7">
        <v>87822009</v>
      </c>
    </row>
    <row r="8" spans="1:6">
      <c r="A8" s="140">
        <v>2024</v>
      </c>
      <c r="B8">
        <v>21541839</v>
      </c>
      <c r="C8">
        <v>20400356</v>
      </c>
      <c r="D8">
        <v>4953098</v>
      </c>
      <c r="F8">
        <v>46895293</v>
      </c>
    </row>
    <row r="9" spans="1:6">
      <c r="A9" s="140" t="s">
        <v>948</v>
      </c>
      <c r="B9">
        <v>40807576</v>
      </c>
      <c r="C9">
        <v>40770826</v>
      </c>
      <c r="D9">
        <v>35618354</v>
      </c>
      <c r="E9">
        <v>59865487</v>
      </c>
      <c r="F9">
        <v>177062243</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autoPageBreaks="0"/>
  </sheetPr>
  <dimension ref="A1:CS226"/>
  <sheetViews>
    <sheetView zoomScale="70" zoomScaleNormal="70" zoomScaleSheetLayoutView="50" workbookViewId="0">
      <selection activeCell="E33" sqref="E33"/>
    </sheetView>
  </sheetViews>
  <sheetFormatPr defaultColWidth="8.42578125" defaultRowHeight="15"/>
  <cols>
    <col min="2" max="2" width="19.5703125" customWidth="1"/>
    <col min="3" max="3" width="24.42578125" bestFit="1" customWidth="1"/>
    <col min="4" max="6" width="24.42578125" customWidth="1"/>
    <col min="7" max="7" width="15.42578125" bestFit="1" customWidth="1"/>
    <col min="8" max="8" width="13.5703125" bestFit="1" customWidth="1"/>
    <col min="9" max="9" width="15.42578125" style="1" bestFit="1" customWidth="1"/>
    <col min="10" max="10" width="14.5703125" bestFit="1" customWidth="1"/>
    <col min="11" max="11" width="15.42578125" bestFit="1" customWidth="1"/>
    <col min="12" max="12" width="13.42578125" bestFit="1" customWidth="1"/>
    <col min="13" max="13" width="25.42578125" customWidth="1"/>
    <col min="14" max="14" width="17.42578125" bestFit="1" customWidth="1"/>
    <col min="15" max="15" width="20.42578125" customWidth="1"/>
    <col min="16" max="16" width="15.42578125" bestFit="1" customWidth="1"/>
    <col min="17" max="17" width="17.42578125" customWidth="1"/>
    <col min="18" max="18" width="17.42578125" bestFit="1" customWidth="1"/>
    <col min="19" max="19" width="14.42578125" customWidth="1"/>
    <col min="20" max="20" width="17.42578125" bestFit="1" customWidth="1"/>
    <col min="21" max="21" width="18" bestFit="1" customWidth="1"/>
    <col min="22" max="22" width="11.5703125" customWidth="1"/>
    <col min="23" max="23" width="9.42578125" bestFit="1" customWidth="1"/>
    <col min="24" max="24" width="13.42578125" bestFit="1" customWidth="1"/>
    <col min="25" max="25" width="12.42578125" bestFit="1" customWidth="1"/>
    <col min="26" max="27" width="12.5703125" bestFit="1" customWidth="1"/>
    <col min="28" max="28" width="9.42578125" customWidth="1"/>
    <col min="29" max="29" width="9.5703125" customWidth="1"/>
    <col min="30" max="31" width="13.42578125" customWidth="1"/>
    <col min="32" max="32" width="16.5703125" customWidth="1"/>
    <col min="33" max="33" width="12.42578125" customWidth="1"/>
    <col min="34" max="34" width="14.42578125" bestFit="1" customWidth="1"/>
    <col min="35" max="35" width="13.5703125" bestFit="1" customWidth="1"/>
    <col min="36" max="39" width="9.42578125" customWidth="1"/>
    <col min="40" max="40" width="14.5703125" customWidth="1"/>
    <col min="41" max="42" width="9.42578125" customWidth="1"/>
    <col min="43" max="44" width="13.42578125" customWidth="1"/>
    <col min="45" max="45" width="22.42578125" customWidth="1"/>
    <col min="46" max="53" width="9.42578125" customWidth="1"/>
    <col min="54" max="54" width="12.5703125" customWidth="1"/>
    <col min="55" max="55" width="15.42578125" customWidth="1"/>
    <col min="56" max="58" width="14.42578125" customWidth="1"/>
    <col min="59" max="60" width="18.42578125" customWidth="1"/>
    <col min="61" max="65" width="13" customWidth="1"/>
    <col min="66" max="66" width="15.42578125" customWidth="1"/>
    <col min="67" max="73" width="13" customWidth="1"/>
    <col min="74" max="74" width="15.42578125" customWidth="1"/>
    <col min="75" max="75" width="27.42578125" customWidth="1"/>
    <col min="76" max="76" width="13" customWidth="1"/>
    <col min="77" max="78" width="13.5703125" bestFit="1" customWidth="1"/>
    <col min="79" max="79" width="13.42578125" bestFit="1" customWidth="1"/>
    <col min="80" max="80" width="13.5703125" bestFit="1" customWidth="1"/>
    <col min="81" max="81" width="12" bestFit="1" customWidth="1"/>
    <col min="82" max="82" width="12" customWidth="1"/>
    <col min="83" max="83" width="12.5703125" bestFit="1" customWidth="1"/>
    <col min="84" max="84" width="12.42578125" bestFit="1" customWidth="1"/>
    <col min="85" max="85" width="10.5703125" bestFit="1" customWidth="1"/>
    <col min="86" max="86" width="8.5703125" bestFit="1" customWidth="1"/>
    <col min="87" max="87" width="11" customWidth="1"/>
    <col min="88" max="88" width="9.42578125" customWidth="1"/>
    <col min="89" max="89" width="10.5703125" bestFit="1" customWidth="1"/>
    <col min="90" max="90" width="8.5703125" bestFit="1" customWidth="1"/>
    <col min="91" max="91" width="31.42578125" customWidth="1"/>
    <col min="92" max="92" width="27.5703125" customWidth="1"/>
    <col min="93" max="93" width="11.42578125" bestFit="1" customWidth="1"/>
  </cols>
  <sheetData>
    <row r="1" spans="1:97" ht="62.25" customHeight="1">
      <c r="C1" s="1081" t="s">
        <v>136</v>
      </c>
      <c r="D1" s="3"/>
      <c r="E1" s="3"/>
      <c r="F1" s="3"/>
      <c r="G1" s="4" t="s">
        <v>954</v>
      </c>
      <c r="H1" s="1078" t="s">
        <v>912</v>
      </c>
      <c r="I1" s="1079"/>
      <c r="J1" s="1081" t="s">
        <v>914</v>
      </c>
      <c r="K1" s="1002"/>
      <c r="L1" s="1002"/>
      <c r="M1" s="4" t="s">
        <v>794</v>
      </c>
      <c r="N1" s="5" t="s">
        <v>955</v>
      </c>
      <c r="O1" s="6" t="s">
        <v>956</v>
      </c>
      <c r="P1" s="3" t="s">
        <v>936</v>
      </c>
      <c r="Q1" s="3" t="s">
        <v>907</v>
      </c>
      <c r="R1" s="3" t="s">
        <v>316</v>
      </c>
      <c r="S1" s="3" t="s">
        <v>957</v>
      </c>
      <c r="T1" s="3" t="s">
        <v>908</v>
      </c>
      <c r="U1" s="3" t="s">
        <v>910</v>
      </c>
      <c r="V1" s="1081" t="s">
        <v>958</v>
      </c>
      <c r="W1" s="1002"/>
      <c r="X1" s="1002"/>
      <c r="Y1" s="1002"/>
      <c r="Z1" s="1002"/>
      <c r="AA1" s="1002"/>
      <c r="AB1" s="1002"/>
      <c r="AC1" s="1002"/>
      <c r="AD1" s="1002"/>
      <c r="AE1" s="1002"/>
      <c r="AF1" s="1081" t="s">
        <v>959</v>
      </c>
      <c r="AG1" s="1002"/>
      <c r="AH1" s="1002"/>
      <c r="AI1" s="1002"/>
      <c r="AJ1" s="1002"/>
      <c r="AK1" s="1002"/>
      <c r="AL1" s="1002"/>
      <c r="AM1" s="1002"/>
      <c r="AN1" s="1081" t="s">
        <v>960</v>
      </c>
      <c r="AO1" s="1002"/>
      <c r="AP1" s="1002"/>
      <c r="AQ1" s="1002"/>
      <c r="AR1" s="1002"/>
      <c r="AS1" s="1081" t="s">
        <v>961</v>
      </c>
      <c r="AT1" s="1002"/>
      <c r="AU1" s="1002"/>
      <c r="AV1" s="1002"/>
      <c r="AW1" s="1002"/>
      <c r="AX1" s="1081" t="s">
        <v>962</v>
      </c>
      <c r="AY1" s="1002"/>
      <c r="AZ1" s="1002"/>
      <c r="BA1" s="1002"/>
      <c r="BB1" s="3" t="s">
        <v>963</v>
      </c>
      <c r="BC1" s="1080" t="s">
        <v>964</v>
      </c>
      <c r="BD1" s="1002"/>
      <c r="BE1" s="1002"/>
      <c r="BF1" s="1080" t="s">
        <v>965</v>
      </c>
      <c r="BG1" s="1002"/>
      <c r="BH1" s="1002"/>
      <c r="BI1" s="3" t="s">
        <v>879</v>
      </c>
      <c r="BJ1" s="3" t="s">
        <v>936</v>
      </c>
      <c r="BK1" s="3" t="s">
        <v>907</v>
      </c>
      <c r="BL1" s="3" t="s">
        <v>316</v>
      </c>
      <c r="BM1" s="3" t="s">
        <v>957</v>
      </c>
      <c r="BN1" s="3" t="s">
        <v>908</v>
      </c>
      <c r="BO1" s="3" t="s">
        <v>910</v>
      </c>
      <c r="BP1" s="3" t="s">
        <v>966</v>
      </c>
      <c r="BQ1" s="3" t="s">
        <v>879</v>
      </c>
      <c r="BR1" s="3" t="s">
        <v>936</v>
      </c>
      <c r="BS1" s="3" t="s">
        <v>907</v>
      </c>
      <c r="BT1" s="3" t="s">
        <v>316</v>
      </c>
      <c r="BU1" s="3" t="s">
        <v>957</v>
      </c>
      <c r="BV1" s="3" t="s">
        <v>908</v>
      </c>
      <c r="BW1" s="3" t="s">
        <v>910</v>
      </c>
      <c r="BX1" s="3" t="s">
        <v>966</v>
      </c>
      <c r="BY1" s="1078" t="s">
        <v>804</v>
      </c>
      <c r="BZ1" s="1002"/>
      <c r="CA1" s="1078" t="s">
        <v>479</v>
      </c>
      <c r="CB1" s="1002"/>
      <c r="CC1" s="1078" t="s">
        <v>476</v>
      </c>
      <c r="CD1" s="1002"/>
      <c r="CE1" s="1078" t="s">
        <v>797</v>
      </c>
      <c r="CF1" s="1002"/>
      <c r="CG1" s="1078" t="s">
        <v>479</v>
      </c>
      <c r="CH1" s="1002"/>
      <c r="CI1" s="1078" t="s">
        <v>476</v>
      </c>
      <c r="CJ1" s="1002"/>
      <c r="CK1" s="1078" t="s">
        <v>797</v>
      </c>
      <c r="CL1" s="1002"/>
    </row>
    <row r="2" spans="1:97">
      <c r="C2" s="1002"/>
      <c r="G2" s="4" t="s">
        <v>804</v>
      </c>
      <c r="H2" s="4" t="s">
        <v>913</v>
      </c>
      <c r="I2" s="7" t="s">
        <v>893</v>
      </c>
      <c r="J2" s="4" t="s">
        <v>479</v>
      </c>
      <c r="K2" s="4" t="s">
        <v>476</v>
      </c>
      <c r="L2" s="4" t="s">
        <v>797</v>
      </c>
      <c r="M2" s="3">
        <v>2023</v>
      </c>
      <c r="N2" s="3">
        <v>2023</v>
      </c>
      <c r="O2" s="3">
        <v>2023</v>
      </c>
      <c r="P2" s="8" t="s">
        <v>967</v>
      </c>
      <c r="Q2" s="8" t="s">
        <v>326</v>
      </c>
      <c r="R2" s="8" t="s">
        <v>968</v>
      </c>
      <c r="S2" s="8" t="s">
        <v>969</v>
      </c>
      <c r="T2" s="8" t="s">
        <v>166</v>
      </c>
      <c r="U2" s="8" t="s">
        <v>166</v>
      </c>
      <c r="V2" s="8" t="s">
        <v>970</v>
      </c>
      <c r="W2" s="8" t="s">
        <v>971</v>
      </c>
      <c r="X2" s="8" t="s">
        <v>972</v>
      </c>
      <c r="Y2" s="8" t="s">
        <v>973</v>
      </c>
      <c r="Z2" s="8" t="s">
        <v>974</v>
      </c>
      <c r="AA2" s="8" t="s">
        <v>975</v>
      </c>
      <c r="AB2" s="8" t="s">
        <v>976</v>
      </c>
      <c r="AC2" s="8" t="s">
        <v>977</v>
      </c>
      <c r="AD2" s="8" t="s">
        <v>978</v>
      </c>
      <c r="AE2" s="8" t="s">
        <v>979</v>
      </c>
      <c r="AF2" s="8" t="s">
        <v>980</v>
      </c>
      <c r="AG2" s="8" t="s">
        <v>981</v>
      </c>
      <c r="AH2" s="8" t="s">
        <v>982</v>
      </c>
      <c r="AI2" s="8" t="s">
        <v>983</v>
      </c>
      <c r="AJ2" s="8" t="s">
        <v>984</v>
      </c>
      <c r="AK2" s="8" t="s">
        <v>985</v>
      </c>
      <c r="AL2" s="8" t="s">
        <v>986</v>
      </c>
      <c r="AM2" s="8" t="s">
        <v>987</v>
      </c>
      <c r="AN2" s="8" t="s">
        <v>988</v>
      </c>
      <c r="AO2" s="8" t="s">
        <v>989</v>
      </c>
      <c r="AP2" s="8" t="s">
        <v>990</v>
      </c>
      <c r="AQ2" s="8" t="s">
        <v>991</v>
      </c>
      <c r="AR2" s="8" t="s">
        <v>992</v>
      </c>
      <c r="AS2" s="8" t="s">
        <v>993</v>
      </c>
      <c r="AT2" s="8" t="s">
        <v>984</v>
      </c>
      <c r="AU2" s="8" t="s">
        <v>985</v>
      </c>
      <c r="AV2" s="8" t="s">
        <v>986</v>
      </c>
      <c r="AW2" s="8" t="s">
        <v>987</v>
      </c>
      <c r="AX2" s="8" t="s">
        <v>984</v>
      </c>
      <c r="AY2" s="8" t="s">
        <v>985</v>
      </c>
      <c r="AZ2" s="8" t="s">
        <v>986</v>
      </c>
      <c r="BA2" s="8" t="s">
        <v>987</v>
      </c>
      <c r="BB2" s="8"/>
      <c r="BC2" s="8" t="s">
        <v>913</v>
      </c>
      <c r="BD2" s="8" t="s">
        <v>893</v>
      </c>
      <c r="BE2" s="8" t="s">
        <v>994</v>
      </c>
      <c r="BF2" s="8" t="s">
        <v>913</v>
      </c>
      <c r="BG2" s="8" t="s">
        <v>893</v>
      </c>
      <c r="BH2" s="8" t="s">
        <v>995</v>
      </c>
      <c r="BI2" s="3" t="s">
        <v>166</v>
      </c>
      <c r="BJ2" s="8" t="s">
        <v>166</v>
      </c>
      <c r="BK2" s="8" t="s">
        <v>166</v>
      </c>
      <c r="BL2" s="8" t="s">
        <v>166</v>
      </c>
      <c r="BM2" s="8" t="s">
        <v>166</v>
      </c>
      <c r="BN2" s="8" t="s">
        <v>166</v>
      </c>
      <c r="BO2" s="8" t="s">
        <v>166</v>
      </c>
      <c r="BP2" s="8" t="s">
        <v>166</v>
      </c>
      <c r="BQ2" s="3" t="s">
        <v>166</v>
      </c>
      <c r="BR2" s="8" t="s">
        <v>166</v>
      </c>
      <c r="BS2" s="8" t="s">
        <v>166</v>
      </c>
      <c r="BT2" s="8" t="s">
        <v>166</v>
      </c>
      <c r="BU2" s="8" t="s">
        <v>166</v>
      </c>
      <c r="BV2" s="8" t="s">
        <v>166</v>
      </c>
      <c r="BW2" s="8" t="s">
        <v>166</v>
      </c>
      <c r="BX2" s="8" t="s">
        <v>166</v>
      </c>
      <c r="BY2" s="4" t="s">
        <v>913</v>
      </c>
      <c r="BZ2" s="4" t="s">
        <v>893</v>
      </c>
      <c r="CA2" s="4" t="s">
        <v>913</v>
      </c>
      <c r="CB2" s="4" t="s">
        <v>893</v>
      </c>
      <c r="CC2" s="4" t="s">
        <v>913</v>
      </c>
      <c r="CD2" s="4" t="s">
        <v>893</v>
      </c>
      <c r="CE2" s="4" t="s">
        <v>913</v>
      </c>
      <c r="CF2" s="4" t="s">
        <v>893</v>
      </c>
      <c r="CG2" s="4" t="s">
        <v>996</v>
      </c>
      <c r="CH2" s="4" t="s">
        <v>997</v>
      </c>
      <c r="CI2" s="4" t="s">
        <v>996</v>
      </c>
      <c r="CJ2" s="4" t="s">
        <v>997</v>
      </c>
      <c r="CK2" s="4" t="s">
        <v>996</v>
      </c>
      <c r="CL2" s="4" t="s">
        <v>997</v>
      </c>
    </row>
    <row r="3" spans="1:97">
      <c r="G3" s="9"/>
      <c r="H3" s="9"/>
      <c r="I3" s="56"/>
      <c r="J3" s="9"/>
      <c r="K3" s="9"/>
      <c r="L3" s="9"/>
      <c r="M3" s="10"/>
      <c r="N3" s="10"/>
      <c r="O3" s="10"/>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0"/>
      <c r="BJ3" s="12"/>
      <c r="BK3" s="12"/>
      <c r="BL3" s="12"/>
      <c r="BM3" s="12"/>
      <c r="BN3" s="12"/>
      <c r="BO3" s="12"/>
      <c r="BP3" s="12"/>
      <c r="BQ3" s="10"/>
      <c r="BR3" s="12"/>
      <c r="BS3" s="12"/>
      <c r="BT3" s="12"/>
      <c r="BU3" s="12"/>
      <c r="BV3" s="12"/>
      <c r="BW3" s="12"/>
      <c r="BX3" s="12"/>
      <c r="BY3" s="9"/>
      <c r="BZ3" s="9"/>
      <c r="CA3" s="9"/>
      <c r="CB3" s="9"/>
      <c r="CC3" s="9"/>
      <c r="CD3" s="9"/>
      <c r="CE3" s="9"/>
      <c r="CF3" s="9"/>
      <c r="CG3" s="9"/>
      <c r="CH3" s="9"/>
      <c r="CI3" s="9"/>
      <c r="CJ3" s="9"/>
      <c r="CK3" s="9"/>
      <c r="CL3" s="9"/>
    </row>
    <row r="4" spans="1:97" s="47" customFormat="1">
      <c r="A4" s="47" t="s">
        <v>998</v>
      </c>
      <c r="B4" t="s">
        <v>41</v>
      </c>
      <c r="C4" t="s">
        <v>40</v>
      </c>
      <c r="D4" t="s">
        <v>44</v>
      </c>
      <c r="E4" t="s">
        <v>47</v>
      </c>
      <c r="F4" t="s">
        <v>48</v>
      </c>
      <c r="G4" t="s">
        <v>50</v>
      </c>
      <c r="H4" t="s">
        <v>999</v>
      </c>
      <c r="I4" t="s">
        <v>52</v>
      </c>
      <c r="J4" t="s">
        <v>56</v>
      </c>
      <c r="K4" t="s">
        <v>59</v>
      </c>
      <c r="L4" t="s">
        <v>62</v>
      </c>
      <c r="M4" t="s">
        <v>71</v>
      </c>
      <c r="N4" s="48"/>
      <c r="O4" s="48"/>
      <c r="P4" s="49"/>
      <c r="Q4" s="49"/>
      <c r="R4" s="49"/>
      <c r="S4" s="49"/>
      <c r="T4" s="49"/>
      <c r="U4" s="49"/>
      <c r="V4" s="49"/>
      <c r="W4" s="49"/>
      <c r="X4" s="49"/>
      <c r="Y4" s="49"/>
      <c r="Z4" s="49"/>
      <c r="AA4" s="49"/>
      <c r="AB4" s="49"/>
      <c r="AC4" s="49"/>
      <c r="AD4" s="49"/>
      <c r="AE4" s="49"/>
      <c r="AF4" s="49"/>
      <c r="AG4" s="49"/>
      <c r="AH4" s="49"/>
      <c r="AI4" s="49"/>
      <c r="AJ4" s="49"/>
      <c r="AK4" s="49"/>
      <c r="AL4" s="49"/>
      <c r="AM4" s="49"/>
      <c r="AN4" s="49"/>
      <c r="AO4" s="49"/>
      <c r="AP4" s="49"/>
      <c r="AQ4" s="49"/>
      <c r="AR4" s="49"/>
      <c r="AS4" s="49"/>
      <c r="AT4" s="49"/>
      <c r="AU4" s="49"/>
      <c r="AV4" s="49"/>
      <c r="AW4" s="49"/>
      <c r="AX4" s="49"/>
      <c r="AY4" s="49"/>
      <c r="AZ4" s="49"/>
      <c r="BA4" s="49"/>
      <c r="BB4" s="49"/>
      <c r="BC4" s="49"/>
      <c r="BD4" s="49"/>
      <c r="BE4" s="49"/>
      <c r="BF4" s="49"/>
      <c r="BG4" s="49"/>
      <c r="BH4" s="49"/>
      <c r="BI4" s="48"/>
      <c r="BJ4" s="49"/>
      <c r="BK4" s="49"/>
      <c r="BL4" s="49"/>
      <c r="BM4" s="49"/>
      <c r="BN4" s="49"/>
      <c r="BO4" s="49"/>
      <c r="BP4" s="49"/>
      <c r="BQ4" s="48"/>
      <c r="BR4" s="49"/>
      <c r="BS4" s="49"/>
      <c r="BT4" s="49"/>
      <c r="BU4" s="49"/>
      <c r="BV4" s="49"/>
      <c r="BW4" s="49"/>
      <c r="BX4" s="49"/>
      <c r="BY4" s="46"/>
      <c r="BZ4" s="46"/>
      <c r="CA4" s="46"/>
      <c r="CB4" s="46"/>
      <c r="CC4" s="46"/>
      <c r="CD4" s="46"/>
      <c r="CE4" s="46"/>
      <c r="CF4" s="46"/>
      <c r="CG4" s="46"/>
      <c r="CH4" s="46"/>
      <c r="CI4" s="46"/>
      <c r="CJ4" s="46"/>
      <c r="CK4" s="46"/>
      <c r="CL4" s="46"/>
      <c r="CM4" s="47" t="s">
        <v>1000</v>
      </c>
      <c r="CN4" s="47" t="s">
        <v>1001</v>
      </c>
    </row>
    <row r="5" spans="1:97">
      <c r="B5" t="str">
        <f t="shared" ref="B5:B68" si="0">LEFT(C5,4)</f>
        <v>2023</v>
      </c>
      <c r="C5">
        <v>202301</v>
      </c>
      <c r="G5" s="51">
        <f t="shared" ref="G5:G36" si="1">SUM(H5:I5)</f>
        <v>944165</v>
      </c>
      <c r="H5" s="51">
        <v>408302</v>
      </c>
      <c r="I5" s="51">
        <v>535863</v>
      </c>
      <c r="J5" s="51">
        <v>650867</v>
      </c>
      <c r="K5" s="51">
        <v>115527</v>
      </c>
      <c r="L5" s="51">
        <v>177771</v>
      </c>
      <c r="M5" s="51">
        <v>979652.8456</v>
      </c>
      <c r="N5" s="51">
        <f>IF(G5&gt;0,SUM($G$5:G5),"-")</f>
        <v>944165</v>
      </c>
      <c r="O5" s="11">
        <f>M5</f>
        <v>979652.8456</v>
      </c>
      <c r="P5" s="51">
        <v>31008980</v>
      </c>
      <c r="Q5" s="51">
        <v>7840971</v>
      </c>
      <c r="R5" s="57">
        <v>772186346</v>
      </c>
      <c r="S5" s="51">
        <v>107115742</v>
      </c>
      <c r="T5" s="58">
        <f t="shared" ref="T5:T36" si="2">IFERROR(Q5/S5,"-")</f>
        <v>7.3200921298757382E-2</v>
      </c>
      <c r="U5" s="13">
        <f t="shared" ref="U5:U36" si="3">IFERROR(R5/Q5,"-")</f>
        <v>98.480959309758958</v>
      </c>
      <c r="V5" s="52">
        <f>((W5*Y5)+(X5*Z5))/(Y5+Z5)</f>
        <v>0.51821591340257223</v>
      </c>
      <c r="W5" s="30">
        <f>X5-8%</f>
        <v>0.4836182215778691</v>
      </c>
      <c r="X5" s="52">
        <v>0.56361822157786912</v>
      </c>
      <c r="Y5" s="51">
        <v>510688</v>
      </c>
      <c r="Z5" s="51">
        <v>389157</v>
      </c>
      <c r="AA5" s="14">
        <f t="shared" ref="AA5:AA36" si="4">V5</f>
        <v>0.51821591340257223</v>
      </c>
      <c r="AB5" s="12"/>
      <c r="AC5" s="12"/>
      <c r="AD5" s="12"/>
      <c r="AE5" s="12"/>
      <c r="AF5" s="52">
        <v>0.72250205353544905</v>
      </c>
      <c r="AG5" s="30">
        <f>AH5-8%</f>
        <v>0.68678799956228009</v>
      </c>
      <c r="AH5" s="52">
        <v>0.76678799956228005</v>
      </c>
      <c r="AI5" s="52">
        <f t="shared" ref="AI5:AI24" si="5">AF5</f>
        <v>0.72250205353544905</v>
      </c>
      <c r="AJ5" s="12"/>
      <c r="AK5" s="12"/>
      <c r="AL5" s="12"/>
      <c r="AM5" s="12"/>
      <c r="AN5" s="12"/>
      <c r="AO5" s="12"/>
      <c r="AP5" s="12"/>
      <c r="AQ5" s="12"/>
      <c r="AR5" s="12"/>
      <c r="AS5" s="12"/>
      <c r="AT5" s="12"/>
      <c r="AU5" s="12"/>
      <c r="AV5" s="12"/>
      <c r="AW5" s="12"/>
      <c r="AX5" s="12"/>
      <c r="AY5" s="12"/>
      <c r="AZ5" s="12"/>
      <c r="BA5" s="12"/>
      <c r="BB5" s="59">
        <f t="shared" ref="BB5:BB36" si="6">IFERROR(G5/P5,"-")</f>
        <v>3.0448115352391468E-2</v>
      </c>
      <c r="BC5" s="17">
        <v>63832</v>
      </c>
      <c r="BD5" s="17">
        <v>56126</v>
      </c>
      <c r="BE5" s="17">
        <f t="shared" ref="BE5:BE36" si="7">SUM(BC5:BD5)</f>
        <v>119958</v>
      </c>
      <c r="BF5" s="17">
        <f t="shared" ref="BF5:BF20" si="8">CE5-BC5</f>
        <v>55695</v>
      </c>
      <c r="BG5" s="17">
        <f t="shared" ref="BG5:BG20" si="9">CF5-BD5</f>
        <v>2118</v>
      </c>
      <c r="BH5" s="17">
        <f t="shared" ref="BH5:BH36" si="10">SUM(BF5:BG5)</f>
        <v>57813</v>
      </c>
      <c r="BI5" s="10"/>
      <c r="BJ5" s="12"/>
      <c r="BK5" s="12"/>
      <c r="BL5" s="12"/>
      <c r="BM5" s="12"/>
      <c r="BN5" s="12"/>
      <c r="BO5" s="12"/>
      <c r="BP5" s="12"/>
      <c r="BQ5" s="10"/>
      <c r="BR5" s="12"/>
      <c r="BS5" s="12"/>
      <c r="BT5" s="12"/>
      <c r="BU5" s="12"/>
      <c r="BV5" s="12"/>
      <c r="BW5" s="12"/>
      <c r="BX5" s="12"/>
      <c r="BY5" s="51">
        <v>408302</v>
      </c>
      <c r="BZ5" s="51">
        <v>535863</v>
      </c>
      <c r="CA5" s="51">
        <f t="shared" ref="CA5:CA36" si="11">BY5-CC5-CE5</f>
        <v>237226</v>
      </c>
      <c r="CB5" s="51">
        <f t="shared" ref="CB5:CB36" si="12">BZ5-CD5-CF5</f>
        <v>413641</v>
      </c>
      <c r="CC5" s="29">
        <v>51549</v>
      </c>
      <c r="CD5" s="29">
        <v>63978</v>
      </c>
      <c r="CE5" s="51">
        <v>119527</v>
      </c>
      <c r="CF5" s="51">
        <v>58244</v>
      </c>
      <c r="CG5" s="52">
        <f t="shared" ref="CG5:CG36" si="13">IFERROR(CA5/($CA5+$CB5),"-")</f>
        <v>0.3644769207841233</v>
      </c>
      <c r="CH5" s="52">
        <f t="shared" ref="CH5:CH36" si="14">IFERROR(CB5/($CA5+$CB5),"-")</f>
        <v>0.6355230792158767</v>
      </c>
      <c r="CI5" s="52">
        <f t="shared" ref="CI5:CI36" si="15">IFERROR(CC5/($CC5+$CD5),"-")</f>
        <v>0.44620738009296529</v>
      </c>
      <c r="CJ5" s="52">
        <f t="shared" ref="CJ5:CJ36" si="16">IFERROR(CD5/($CC5+$CD5),"-")</f>
        <v>0.55379261990703477</v>
      </c>
      <c r="CK5" s="52">
        <f t="shared" ref="CK5:CK36" si="17">IFERROR(CE5/($CE5+$CF5),"-")</f>
        <v>0.67236500891596496</v>
      </c>
      <c r="CL5" s="52">
        <f t="shared" ref="CL5:CL36" si="18">IFERROR(CF5/($CE5+$CF5),"-")</f>
        <v>0.3276349910840351</v>
      </c>
      <c r="CN5" s="52"/>
      <c r="CO5" s="51"/>
      <c r="CP5" s="52"/>
      <c r="CQ5" s="52"/>
      <c r="CR5" s="52"/>
      <c r="CS5" s="52"/>
    </row>
    <row r="6" spans="1:97">
      <c r="B6" t="str">
        <f t="shared" si="0"/>
        <v>2023</v>
      </c>
      <c r="C6">
        <v>202302</v>
      </c>
      <c r="G6" s="51">
        <f t="shared" si="1"/>
        <v>939745</v>
      </c>
      <c r="H6" s="51">
        <v>398689</v>
      </c>
      <c r="I6" s="51">
        <v>541056</v>
      </c>
      <c r="J6" s="51">
        <v>724470</v>
      </c>
      <c r="K6" s="51">
        <v>120774</v>
      </c>
      <c r="L6" s="51">
        <v>94501</v>
      </c>
      <c r="M6" s="51">
        <v>925105.47239999997</v>
      </c>
      <c r="N6" s="51">
        <f>IF(G6&gt;0,SUM($G$5:G6),"-")</f>
        <v>1883910</v>
      </c>
      <c r="O6" s="11">
        <f t="shared" ref="O6:O37" si="19">O5+M6</f>
        <v>1904758.318</v>
      </c>
      <c r="P6" s="51">
        <v>31469112</v>
      </c>
      <c r="Q6" s="51">
        <v>8101452</v>
      </c>
      <c r="R6" s="57">
        <v>804950782</v>
      </c>
      <c r="S6" s="51">
        <v>110462530</v>
      </c>
      <c r="T6" s="58">
        <f t="shared" si="2"/>
        <v>7.3341177320490489E-2</v>
      </c>
      <c r="U6" s="13">
        <f t="shared" si="3"/>
        <v>99.358828763041487</v>
      </c>
      <c r="V6" s="30">
        <f>((W6*Y6)+(X6*Z6))/(Y6+Z6)</f>
        <v>0.51459288750020993</v>
      </c>
      <c r="W6" s="52">
        <v>0.47201124129846389</v>
      </c>
      <c r="X6" s="52">
        <v>0.57155685644121668</v>
      </c>
      <c r="Y6" s="51">
        <v>510973</v>
      </c>
      <c r="Z6" s="51">
        <v>381962</v>
      </c>
      <c r="AA6" s="14">
        <f t="shared" si="4"/>
        <v>0.51459288750020993</v>
      </c>
      <c r="AB6" s="12"/>
      <c r="AC6" s="12"/>
      <c r="AD6" s="12"/>
      <c r="AE6" s="12"/>
      <c r="AF6" s="52">
        <v>0.707586506157174</v>
      </c>
      <c r="AG6" s="52">
        <v>0.65914237776086693</v>
      </c>
      <c r="AH6" s="52">
        <v>0.77277395834297191</v>
      </c>
      <c r="AI6" s="52">
        <f t="shared" si="5"/>
        <v>0.707586506157174</v>
      </c>
      <c r="AJ6" s="12"/>
      <c r="AK6" s="12"/>
      <c r="AL6" s="12"/>
      <c r="AM6" s="12"/>
      <c r="AN6" s="12"/>
      <c r="AO6" s="12"/>
      <c r="AP6" s="12"/>
      <c r="AQ6" s="12"/>
      <c r="AR6" s="12"/>
      <c r="AS6" s="12"/>
      <c r="AT6" s="12"/>
      <c r="AU6" s="12"/>
      <c r="AV6" s="12"/>
      <c r="AW6" s="12"/>
      <c r="AX6" s="12"/>
      <c r="AY6" s="12"/>
      <c r="AZ6" s="12"/>
      <c r="BA6" s="12"/>
      <c r="BB6" s="59">
        <f t="shared" si="6"/>
        <v>2.9862456875173346E-2</v>
      </c>
      <c r="BC6" s="17">
        <v>29520</v>
      </c>
      <c r="BD6" s="17">
        <v>5735</v>
      </c>
      <c r="BE6" s="17">
        <f t="shared" si="7"/>
        <v>35255</v>
      </c>
      <c r="BF6" s="17">
        <f t="shared" si="8"/>
        <v>57081</v>
      </c>
      <c r="BG6" s="17">
        <f t="shared" si="9"/>
        <v>2165</v>
      </c>
      <c r="BH6" s="17">
        <f t="shared" si="10"/>
        <v>59246</v>
      </c>
      <c r="BI6" s="10"/>
      <c r="BJ6" s="12"/>
      <c r="BK6" s="12"/>
      <c r="BL6" s="12"/>
      <c r="BM6" s="12"/>
      <c r="BN6" s="12"/>
      <c r="BO6" s="12"/>
      <c r="BP6" s="12"/>
      <c r="BQ6" s="10"/>
      <c r="BR6" s="12"/>
      <c r="BS6" s="12"/>
      <c r="BT6" s="12"/>
      <c r="BU6" s="12"/>
      <c r="BV6" s="12"/>
      <c r="BW6" s="12"/>
      <c r="BX6" s="12"/>
      <c r="BY6" s="51">
        <v>398689</v>
      </c>
      <c r="BZ6" s="51">
        <v>541056</v>
      </c>
      <c r="CA6" s="51">
        <f t="shared" si="11"/>
        <v>259121</v>
      </c>
      <c r="CB6" s="51">
        <f t="shared" si="12"/>
        <v>465349</v>
      </c>
      <c r="CC6" s="51">
        <v>52967</v>
      </c>
      <c r="CD6" s="51">
        <v>67807</v>
      </c>
      <c r="CE6" s="51">
        <v>86601</v>
      </c>
      <c r="CF6" s="51">
        <v>7900</v>
      </c>
      <c r="CG6" s="52">
        <f t="shared" si="13"/>
        <v>0.35766974477894187</v>
      </c>
      <c r="CH6" s="52">
        <f t="shared" si="14"/>
        <v>0.64233025522105813</v>
      </c>
      <c r="CI6" s="52">
        <f t="shared" si="15"/>
        <v>0.43856293573120042</v>
      </c>
      <c r="CJ6" s="52">
        <f t="shared" si="16"/>
        <v>0.56143706426879958</v>
      </c>
      <c r="CK6" s="52">
        <f t="shared" si="17"/>
        <v>0.91640300102644412</v>
      </c>
      <c r="CL6" s="52">
        <f t="shared" si="18"/>
        <v>8.3596998973555839E-2</v>
      </c>
      <c r="CN6" s="52"/>
      <c r="CO6" s="51"/>
      <c r="CP6" s="52"/>
      <c r="CQ6" s="52"/>
      <c r="CR6" s="52"/>
      <c r="CS6" s="52"/>
    </row>
    <row r="7" spans="1:97">
      <c r="B7" t="str">
        <f t="shared" si="0"/>
        <v>2023</v>
      </c>
      <c r="C7">
        <v>202303</v>
      </c>
      <c r="G7" s="51">
        <f t="shared" si="1"/>
        <v>948035</v>
      </c>
      <c r="H7" s="51">
        <v>418335</v>
      </c>
      <c r="I7" s="51">
        <v>529700</v>
      </c>
      <c r="J7" s="51">
        <v>698694</v>
      </c>
      <c r="K7" s="51">
        <v>111617</v>
      </c>
      <c r="L7" s="51">
        <v>137724</v>
      </c>
      <c r="M7" s="51">
        <v>911732.59479999996</v>
      </c>
      <c r="N7" s="51">
        <f>IF(G7&gt;0,SUM($G$5:G7),"-")</f>
        <v>2831945</v>
      </c>
      <c r="O7" s="11">
        <f t="shared" si="19"/>
        <v>2816490.9128</v>
      </c>
      <c r="P7" s="51">
        <v>30327203</v>
      </c>
      <c r="Q7" s="51">
        <v>7921390</v>
      </c>
      <c r="R7" s="57">
        <v>691241376</v>
      </c>
      <c r="S7" s="51">
        <v>106255389</v>
      </c>
      <c r="T7" s="58">
        <f t="shared" si="2"/>
        <v>7.4550477623304356E-2</v>
      </c>
      <c r="U7" s="13">
        <f t="shared" si="3"/>
        <v>87.262636481728592</v>
      </c>
      <c r="V7" s="30">
        <f>((W7*Y7)+(X7*Z7))/(Y7+Z7)</f>
        <v>0.56990560012755243</v>
      </c>
      <c r="W7" s="52">
        <v>0.55700000000000005</v>
      </c>
      <c r="X7" s="52">
        <v>0.58599999999999997</v>
      </c>
      <c r="Y7" s="51">
        <v>501234</v>
      </c>
      <c r="Z7" s="51">
        <v>401924</v>
      </c>
      <c r="AA7" s="14">
        <f t="shared" si="4"/>
        <v>0.56990560012755243</v>
      </c>
      <c r="AB7" s="12"/>
      <c r="AC7" s="12"/>
      <c r="AD7" s="12"/>
      <c r="AE7" s="12"/>
      <c r="AF7" s="52">
        <v>0.75090118187563215</v>
      </c>
      <c r="AG7" s="52">
        <v>0.7262156525025254</v>
      </c>
      <c r="AH7" s="52">
        <v>0.78276107876915768</v>
      </c>
      <c r="AI7" s="52">
        <f t="shared" si="5"/>
        <v>0.75090118187563215</v>
      </c>
      <c r="AJ7" s="12"/>
      <c r="AK7" s="12"/>
      <c r="AL7" s="12"/>
      <c r="AM7" s="12"/>
      <c r="AN7" s="12"/>
      <c r="AO7" s="12"/>
      <c r="AP7" s="12"/>
      <c r="AQ7" s="12"/>
      <c r="AR7" s="12"/>
      <c r="AS7" s="12"/>
      <c r="AT7" s="12"/>
      <c r="AU7" s="12"/>
      <c r="AV7" s="12"/>
      <c r="AW7" s="12"/>
      <c r="AX7" s="12"/>
      <c r="AY7" s="12"/>
      <c r="AZ7" s="12"/>
      <c r="BA7" s="12"/>
      <c r="BB7" s="59">
        <f t="shared" si="6"/>
        <v>3.1260218754759546E-2</v>
      </c>
      <c r="BC7" s="17">
        <v>25665</v>
      </c>
      <c r="BD7" s="17">
        <v>55579</v>
      </c>
      <c r="BE7" s="17">
        <f t="shared" si="7"/>
        <v>81244</v>
      </c>
      <c r="BF7" s="17">
        <f t="shared" si="8"/>
        <v>54723</v>
      </c>
      <c r="BG7" s="17">
        <f t="shared" si="9"/>
        <v>1757</v>
      </c>
      <c r="BH7" s="17">
        <f t="shared" si="10"/>
        <v>56480</v>
      </c>
      <c r="BI7" s="10"/>
      <c r="BJ7" s="12"/>
      <c r="BK7" s="12"/>
      <c r="BL7" s="12"/>
      <c r="BM7" s="12"/>
      <c r="BN7" s="12"/>
      <c r="BO7" s="12"/>
      <c r="BP7" s="12"/>
      <c r="BQ7" s="10"/>
      <c r="BR7" s="12"/>
      <c r="BS7" s="12"/>
      <c r="BT7" s="12"/>
      <c r="BU7" s="12"/>
      <c r="BV7" s="12"/>
      <c r="BW7" s="12"/>
      <c r="BX7" s="12"/>
      <c r="BY7" s="51">
        <v>418335</v>
      </c>
      <c r="BZ7" s="51">
        <v>529700</v>
      </c>
      <c r="CA7" s="51">
        <f t="shared" si="11"/>
        <v>288460</v>
      </c>
      <c r="CB7" s="51">
        <f t="shared" si="12"/>
        <v>410234</v>
      </c>
      <c r="CC7" s="51">
        <v>49487</v>
      </c>
      <c r="CD7" s="51">
        <v>62130</v>
      </c>
      <c r="CE7" s="51">
        <v>80388</v>
      </c>
      <c r="CF7" s="51">
        <v>57336</v>
      </c>
      <c r="CG7" s="52">
        <f t="shared" si="13"/>
        <v>0.41285598559598335</v>
      </c>
      <c r="CH7" s="52">
        <f t="shared" si="14"/>
        <v>0.58714401440401665</v>
      </c>
      <c r="CI7" s="52">
        <f t="shared" si="15"/>
        <v>0.44336436205954288</v>
      </c>
      <c r="CJ7" s="52">
        <f t="shared" si="16"/>
        <v>0.55663563794045712</v>
      </c>
      <c r="CK7" s="52">
        <f t="shared" si="17"/>
        <v>0.58368911736516516</v>
      </c>
      <c r="CL7" s="52">
        <f t="shared" si="18"/>
        <v>0.4163108826348349</v>
      </c>
      <c r="CN7" s="52"/>
      <c r="CO7" s="52"/>
      <c r="CP7" s="52"/>
      <c r="CQ7" s="52"/>
      <c r="CR7" s="52"/>
      <c r="CS7" s="52"/>
    </row>
    <row r="8" spans="1:97">
      <c r="B8" t="str">
        <f t="shared" si="0"/>
        <v>2023</v>
      </c>
      <c r="C8">
        <v>202304</v>
      </c>
      <c r="G8" s="51">
        <f t="shared" si="1"/>
        <v>1025924</v>
      </c>
      <c r="H8" s="51">
        <v>478215</v>
      </c>
      <c r="I8" s="51">
        <v>547709</v>
      </c>
      <c r="J8" s="51">
        <v>714316</v>
      </c>
      <c r="K8" s="51">
        <v>117781</v>
      </c>
      <c r="L8" s="51">
        <v>193827</v>
      </c>
      <c r="M8" s="51">
        <v>903263.97089999996</v>
      </c>
      <c r="N8" s="51">
        <f>IF(G8&gt;0,SUM($G$5:G8),"-")</f>
        <v>3857869</v>
      </c>
      <c r="O8" s="11">
        <f t="shared" si="19"/>
        <v>3719754.8837000001</v>
      </c>
      <c r="P8" s="51">
        <v>31066342</v>
      </c>
      <c r="Q8" s="51">
        <v>8226616</v>
      </c>
      <c r="R8" s="57">
        <v>765629891</v>
      </c>
      <c r="S8" s="51">
        <v>110991575</v>
      </c>
      <c r="T8" s="58">
        <f t="shared" si="2"/>
        <v>7.4119283378040177E-2</v>
      </c>
      <c r="U8" s="13">
        <f t="shared" si="3"/>
        <v>93.067415690728723</v>
      </c>
      <c r="V8" s="52">
        <v>0.57691236695413584</v>
      </c>
      <c r="W8" s="52">
        <v>0.54901874039465814</v>
      </c>
      <c r="X8" s="52">
        <v>0.60840343798724006</v>
      </c>
      <c r="Y8" s="51">
        <v>519893</v>
      </c>
      <c r="Z8" s="51">
        <v>460502</v>
      </c>
      <c r="AA8" s="14">
        <f t="shared" si="4"/>
        <v>0.57691236695413584</v>
      </c>
      <c r="AB8" s="12"/>
      <c r="AC8" s="12"/>
      <c r="AD8" s="12"/>
      <c r="AE8" s="12"/>
      <c r="AF8" s="52">
        <v>0.75998033060498693</v>
      </c>
      <c r="AG8" s="52">
        <v>0.72546299947866266</v>
      </c>
      <c r="AH8" s="52">
        <v>0.79895348685668111</v>
      </c>
      <c r="AI8" s="52">
        <f t="shared" si="5"/>
        <v>0.75998033060498693</v>
      </c>
      <c r="AJ8" s="12"/>
      <c r="AK8" s="12"/>
      <c r="AL8" s="12"/>
      <c r="AM8" s="12"/>
      <c r="AN8" s="12"/>
      <c r="AO8" s="12"/>
      <c r="AP8" s="12"/>
      <c r="AQ8" s="12"/>
      <c r="AR8" s="12"/>
      <c r="AS8" s="12"/>
      <c r="AT8" s="12"/>
      <c r="AU8" s="12"/>
      <c r="AV8" s="12"/>
      <c r="AW8" s="12"/>
      <c r="AX8" s="12"/>
      <c r="AY8" s="12"/>
      <c r="AZ8" s="12"/>
      <c r="BA8" s="12"/>
      <c r="BB8" s="59">
        <f t="shared" si="6"/>
        <v>3.3023649839430728E-2</v>
      </c>
      <c r="BC8" s="17">
        <v>28999</v>
      </c>
      <c r="BD8" s="17">
        <v>101731</v>
      </c>
      <c r="BE8" s="17">
        <f t="shared" si="7"/>
        <v>130730</v>
      </c>
      <c r="BF8" s="17">
        <f t="shared" si="8"/>
        <v>61453</v>
      </c>
      <c r="BG8" s="17">
        <f t="shared" si="9"/>
        <v>1644</v>
      </c>
      <c r="BH8" s="17">
        <f t="shared" si="10"/>
        <v>63097</v>
      </c>
      <c r="BI8" s="10"/>
      <c r="BJ8" s="12"/>
      <c r="BK8" s="12"/>
      <c r="BL8" s="12"/>
      <c r="BM8" s="12"/>
      <c r="BN8" s="12"/>
      <c r="BO8" s="12"/>
      <c r="BP8" s="12"/>
      <c r="BQ8" s="10"/>
      <c r="BR8" s="12"/>
      <c r="BS8" s="12"/>
      <c r="BT8" s="12"/>
      <c r="BU8" s="12"/>
      <c r="BV8" s="12"/>
      <c r="BW8" s="12"/>
      <c r="BX8" s="12"/>
      <c r="BY8" s="51">
        <v>478215</v>
      </c>
      <c r="BZ8" s="51">
        <v>547709</v>
      </c>
      <c r="CA8" s="51">
        <f t="shared" si="11"/>
        <v>335804</v>
      </c>
      <c r="CB8" s="51">
        <f t="shared" si="12"/>
        <v>378512</v>
      </c>
      <c r="CC8" s="51">
        <v>51959</v>
      </c>
      <c r="CD8" s="51">
        <v>65822</v>
      </c>
      <c r="CE8" s="51">
        <v>90452</v>
      </c>
      <c r="CF8" s="51">
        <v>103375</v>
      </c>
      <c r="CG8" s="52">
        <f t="shared" si="13"/>
        <v>0.47010566751969718</v>
      </c>
      <c r="CH8" s="52">
        <f t="shared" si="14"/>
        <v>0.52989433248030282</v>
      </c>
      <c r="CI8" s="52">
        <f t="shared" si="15"/>
        <v>0.44114925157707952</v>
      </c>
      <c r="CJ8" s="52">
        <f t="shared" si="16"/>
        <v>0.55885074842292048</v>
      </c>
      <c r="CK8" s="52">
        <f t="shared" si="17"/>
        <v>0.46666357112270218</v>
      </c>
      <c r="CL8" s="52">
        <f t="shared" si="18"/>
        <v>0.53333642887729782</v>
      </c>
      <c r="CN8" s="52"/>
      <c r="CO8" s="52"/>
      <c r="CP8" s="52"/>
      <c r="CQ8" s="52"/>
      <c r="CR8" s="52"/>
      <c r="CS8" s="52"/>
    </row>
    <row r="9" spans="1:97">
      <c r="B9" t="str">
        <f t="shared" si="0"/>
        <v>2023</v>
      </c>
      <c r="C9">
        <v>202305</v>
      </c>
      <c r="G9" s="51">
        <f t="shared" si="1"/>
        <v>1052493</v>
      </c>
      <c r="H9" s="51">
        <v>499311</v>
      </c>
      <c r="I9" s="51">
        <v>553182</v>
      </c>
      <c r="J9" s="51">
        <v>742260</v>
      </c>
      <c r="K9" s="51">
        <v>116699</v>
      </c>
      <c r="L9" s="51">
        <v>193534</v>
      </c>
      <c r="M9" s="51">
        <v>904416.13210000005</v>
      </c>
      <c r="N9" s="51">
        <f>IF(G9&gt;0,SUM($G$5:G9),"-")</f>
        <v>4910362</v>
      </c>
      <c r="O9" s="11">
        <f t="shared" si="19"/>
        <v>4624171.0158000002</v>
      </c>
      <c r="P9" s="51">
        <v>31135929</v>
      </c>
      <c r="Q9" s="51">
        <v>8444070</v>
      </c>
      <c r="R9" s="57">
        <v>785059010</v>
      </c>
      <c r="S9" s="51">
        <v>113124035</v>
      </c>
      <c r="T9" s="58">
        <f t="shared" si="2"/>
        <v>7.4644349452351128E-2</v>
      </c>
      <c r="U9" s="13">
        <f t="shared" si="3"/>
        <v>92.971636900215174</v>
      </c>
      <c r="V9" s="52">
        <v>0.55554059135411538</v>
      </c>
      <c r="W9" s="52">
        <v>0.50694331612187149</v>
      </c>
      <c r="X9" s="52">
        <v>0.60624306521777416</v>
      </c>
      <c r="Y9" s="51">
        <v>473909</v>
      </c>
      <c r="Z9" s="51">
        <v>454232</v>
      </c>
      <c r="AA9" s="14">
        <f t="shared" si="4"/>
        <v>0.55554059135411538</v>
      </c>
      <c r="AB9" s="12"/>
      <c r="AC9" s="12"/>
      <c r="AD9" s="12"/>
      <c r="AE9" s="12"/>
      <c r="AF9" s="52">
        <v>0.75368598119999997</v>
      </c>
      <c r="AG9" s="52">
        <v>0.71</v>
      </c>
      <c r="AH9" s="52">
        <v>0.8</v>
      </c>
      <c r="AI9" s="52">
        <f t="shared" si="5"/>
        <v>0.75368598119999997</v>
      </c>
      <c r="AJ9" s="12"/>
      <c r="AK9" s="12"/>
      <c r="AL9" s="12"/>
      <c r="AM9" s="12"/>
      <c r="AN9" s="12"/>
      <c r="AO9" s="12"/>
      <c r="AP9" s="12"/>
      <c r="AQ9" s="12"/>
      <c r="AR9" s="12"/>
      <c r="AS9" s="12"/>
      <c r="AT9" s="12"/>
      <c r="AU9" s="12"/>
      <c r="AV9" s="12"/>
      <c r="AW9" s="12"/>
      <c r="AX9" s="12"/>
      <c r="AY9" s="12"/>
      <c r="AZ9" s="12"/>
      <c r="BA9" s="12"/>
      <c r="BB9" s="59">
        <f t="shared" si="6"/>
        <v>3.3803166753110209E-2</v>
      </c>
      <c r="BC9" s="17">
        <v>31998</v>
      </c>
      <c r="BD9" s="17">
        <v>102328</v>
      </c>
      <c r="BE9" s="17">
        <f t="shared" si="7"/>
        <v>134326</v>
      </c>
      <c r="BF9" s="17">
        <f t="shared" si="8"/>
        <v>57725</v>
      </c>
      <c r="BG9" s="17">
        <f t="shared" si="9"/>
        <v>1483</v>
      </c>
      <c r="BH9" s="17">
        <f t="shared" si="10"/>
        <v>59208</v>
      </c>
      <c r="BI9" s="10"/>
      <c r="BJ9" s="12"/>
      <c r="BK9" s="12"/>
      <c r="BL9" s="12"/>
      <c r="BM9" s="12"/>
      <c r="BN9" s="12"/>
      <c r="BO9" s="12"/>
      <c r="BP9" s="12"/>
      <c r="BQ9" s="10"/>
      <c r="BR9" s="12"/>
      <c r="BS9" s="12"/>
      <c r="BT9" s="12"/>
      <c r="BU9" s="12"/>
      <c r="BV9" s="12"/>
      <c r="BW9" s="12"/>
      <c r="BX9" s="12"/>
      <c r="BY9" s="51">
        <v>499311</v>
      </c>
      <c r="BZ9" s="51">
        <v>553182</v>
      </c>
      <c r="CA9" s="51">
        <f t="shared" si="11"/>
        <v>355424</v>
      </c>
      <c r="CB9" s="51">
        <f t="shared" si="12"/>
        <v>386836</v>
      </c>
      <c r="CC9" s="51">
        <v>54164</v>
      </c>
      <c r="CD9" s="51">
        <v>62535</v>
      </c>
      <c r="CE9" s="51">
        <v>89723</v>
      </c>
      <c r="CF9" s="51">
        <v>103811</v>
      </c>
      <c r="CG9" s="52">
        <f t="shared" si="13"/>
        <v>0.47884029854767873</v>
      </c>
      <c r="CH9" s="52">
        <f t="shared" si="14"/>
        <v>0.52115970145232127</v>
      </c>
      <c r="CI9" s="52">
        <f t="shared" si="15"/>
        <v>0.46413422565746065</v>
      </c>
      <c r="CJ9" s="52">
        <f t="shared" si="16"/>
        <v>0.53586577434253935</v>
      </c>
      <c r="CK9" s="52">
        <f t="shared" si="17"/>
        <v>0.46360329451155868</v>
      </c>
      <c r="CL9" s="52">
        <f t="shared" si="18"/>
        <v>0.53639670548844132</v>
      </c>
      <c r="CN9" s="52"/>
      <c r="CO9" s="52"/>
      <c r="CP9" s="52"/>
      <c r="CQ9" s="52"/>
      <c r="CR9" s="52"/>
      <c r="CS9" s="52"/>
    </row>
    <row r="10" spans="1:97">
      <c r="B10" t="str">
        <f t="shared" si="0"/>
        <v>2023</v>
      </c>
      <c r="C10">
        <v>202306</v>
      </c>
      <c r="G10" s="51">
        <f t="shared" si="1"/>
        <v>1007591</v>
      </c>
      <c r="H10" s="51">
        <v>477602</v>
      </c>
      <c r="I10" s="51">
        <v>529989</v>
      </c>
      <c r="J10" s="51">
        <v>736865</v>
      </c>
      <c r="K10" s="51">
        <v>113408</v>
      </c>
      <c r="L10" s="51">
        <v>157318</v>
      </c>
      <c r="M10" s="51">
        <v>910255.95270000002</v>
      </c>
      <c r="N10" s="51">
        <f>IF(G10&gt;0,SUM($G$5:G10),"-")</f>
        <v>5917953</v>
      </c>
      <c r="O10" s="11">
        <f t="shared" si="19"/>
        <v>5534426.9685000004</v>
      </c>
      <c r="P10" s="51">
        <v>30178740</v>
      </c>
      <c r="Q10" s="51">
        <v>8464437</v>
      </c>
      <c r="R10" s="57">
        <v>880221626</v>
      </c>
      <c r="S10" s="51">
        <v>111290016</v>
      </c>
      <c r="T10" s="58">
        <f t="shared" si="2"/>
        <v>7.6057469521794305E-2</v>
      </c>
      <c r="U10" s="13">
        <f t="shared" si="3"/>
        <v>103.99056972129392</v>
      </c>
      <c r="V10" s="52">
        <v>0.55786189541528119</v>
      </c>
      <c r="W10" s="52">
        <v>0.5147873774667967</v>
      </c>
      <c r="X10" s="52">
        <v>0.60494049530820049</v>
      </c>
      <c r="Y10" s="51">
        <v>503639</v>
      </c>
      <c r="Z10" s="51">
        <v>460804</v>
      </c>
      <c r="AA10" s="14">
        <f t="shared" si="4"/>
        <v>0.55786189541528119</v>
      </c>
      <c r="AB10" s="12"/>
      <c r="AC10" s="12"/>
      <c r="AD10" s="12"/>
      <c r="AE10" s="12"/>
      <c r="AF10" s="52">
        <v>0.76068523436455848</v>
      </c>
      <c r="AG10" s="52">
        <v>0.72605267056177702</v>
      </c>
      <c r="AH10" s="52">
        <v>0.79978886272601679</v>
      </c>
      <c r="AI10" s="52">
        <f t="shared" si="5"/>
        <v>0.76068523436455848</v>
      </c>
      <c r="AJ10" s="12"/>
      <c r="AK10" s="12"/>
      <c r="AL10" s="12"/>
      <c r="AM10" s="12"/>
      <c r="AN10" s="12"/>
      <c r="AO10" s="12"/>
      <c r="AP10" s="12"/>
      <c r="AQ10" s="12"/>
      <c r="AR10" s="12"/>
      <c r="AS10" s="12"/>
      <c r="AT10" s="12"/>
      <c r="AU10" s="12"/>
      <c r="AV10" s="12"/>
      <c r="AW10" s="12"/>
      <c r="AX10" s="12"/>
      <c r="AY10" s="12"/>
      <c r="AZ10" s="12"/>
      <c r="BA10" s="12"/>
      <c r="BB10" s="59">
        <f t="shared" si="6"/>
        <v>3.3387444273684057E-2</v>
      </c>
      <c r="BC10" s="17">
        <v>37528</v>
      </c>
      <c r="BD10" s="17">
        <v>69838</v>
      </c>
      <c r="BE10" s="17">
        <f t="shared" si="7"/>
        <v>107366</v>
      </c>
      <c r="BF10" s="17">
        <f t="shared" si="8"/>
        <v>49091</v>
      </c>
      <c r="BG10" s="17">
        <f t="shared" si="9"/>
        <v>861</v>
      </c>
      <c r="BH10" s="17">
        <f t="shared" si="10"/>
        <v>49952</v>
      </c>
      <c r="BI10" s="10"/>
      <c r="BJ10" s="12"/>
      <c r="BK10" s="12"/>
      <c r="BL10" s="12"/>
      <c r="BM10" s="12"/>
      <c r="BN10" s="12"/>
      <c r="BO10" s="12"/>
      <c r="BP10" s="12"/>
      <c r="BQ10" s="10"/>
      <c r="BR10" s="12"/>
      <c r="BS10" s="12"/>
      <c r="BT10" s="12"/>
      <c r="BU10" s="12"/>
      <c r="BV10" s="12"/>
      <c r="BW10" s="12"/>
      <c r="BX10" s="12"/>
      <c r="BY10" s="51">
        <v>477602</v>
      </c>
      <c r="BZ10" s="51">
        <v>529989</v>
      </c>
      <c r="CA10" s="51">
        <f t="shared" si="11"/>
        <v>339367</v>
      </c>
      <c r="CB10" s="51">
        <f t="shared" si="12"/>
        <v>397498</v>
      </c>
      <c r="CC10" s="51">
        <v>51616</v>
      </c>
      <c r="CD10" s="51">
        <v>61792</v>
      </c>
      <c r="CE10" s="51">
        <v>86619</v>
      </c>
      <c r="CF10" s="51">
        <v>70699</v>
      </c>
      <c r="CG10" s="52">
        <f t="shared" si="13"/>
        <v>0.46055518989231409</v>
      </c>
      <c r="CH10" s="52">
        <f t="shared" si="14"/>
        <v>0.53944481010768597</v>
      </c>
      <c r="CI10" s="52">
        <f t="shared" si="15"/>
        <v>0.45513544018058688</v>
      </c>
      <c r="CJ10" s="52">
        <f t="shared" si="16"/>
        <v>0.54486455981941306</v>
      </c>
      <c r="CK10" s="52">
        <f t="shared" si="17"/>
        <v>0.55059815151476632</v>
      </c>
      <c r="CL10" s="52">
        <f t="shared" si="18"/>
        <v>0.44940184848523373</v>
      </c>
      <c r="CN10" s="52"/>
      <c r="CO10" s="52"/>
      <c r="CP10" s="52"/>
      <c r="CQ10" s="52"/>
      <c r="CR10" s="52"/>
      <c r="CS10" s="52"/>
    </row>
    <row r="11" spans="1:97">
      <c r="B11" t="str">
        <f t="shared" si="0"/>
        <v>2023</v>
      </c>
      <c r="C11">
        <v>202307</v>
      </c>
      <c r="G11" s="51">
        <f t="shared" si="1"/>
        <v>991200</v>
      </c>
      <c r="H11" s="51">
        <v>462053</v>
      </c>
      <c r="I11" s="51">
        <v>529147</v>
      </c>
      <c r="J11" s="51">
        <v>714673</v>
      </c>
      <c r="K11" s="51">
        <v>112943</v>
      </c>
      <c r="L11" s="51">
        <v>163584</v>
      </c>
      <c r="M11" s="51">
        <v>909774.26610000001</v>
      </c>
      <c r="N11" s="51">
        <f>IF(G11&gt;0,SUM($G$5:G11),"-")</f>
        <v>6909153</v>
      </c>
      <c r="O11" s="11">
        <f t="shared" si="19"/>
        <v>6444201.2346000001</v>
      </c>
      <c r="P11" s="51">
        <v>30225835</v>
      </c>
      <c r="Q11" s="51">
        <v>8296158</v>
      </c>
      <c r="R11" s="57">
        <v>851096589</v>
      </c>
      <c r="S11" s="51">
        <v>109471168</v>
      </c>
      <c r="T11" s="58">
        <f t="shared" si="2"/>
        <v>7.5783954365043399E-2</v>
      </c>
      <c r="U11" s="13">
        <f t="shared" si="3"/>
        <v>102.58924540733193</v>
      </c>
      <c r="V11" s="52">
        <v>0.52879127554320271</v>
      </c>
      <c r="W11" s="52">
        <v>0.48789929394199288</v>
      </c>
      <c r="X11" s="52">
        <v>0.57326788903359416</v>
      </c>
      <c r="Y11" s="51">
        <v>476873</v>
      </c>
      <c r="Z11" s="51">
        <v>438439</v>
      </c>
      <c r="AA11" s="14">
        <f t="shared" si="4"/>
        <v>0.52879127554320271</v>
      </c>
      <c r="AB11" s="12"/>
      <c r="AC11" s="12"/>
      <c r="AD11" s="12"/>
      <c r="AE11" s="12"/>
      <c r="AF11" s="52">
        <v>0.74788767842375869</v>
      </c>
      <c r="AG11" s="52">
        <v>0.70799999999999996</v>
      </c>
      <c r="AH11" s="52">
        <v>0.79100000000000004</v>
      </c>
      <c r="AI11" s="52">
        <f t="shared" si="5"/>
        <v>0.74788767842375869</v>
      </c>
      <c r="AJ11" s="12"/>
      <c r="AK11" s="12"/>
      <c r="AL11" s="12"/>
      <c r="AM11" s="12"/>
      <c r="AN11" s="12"/>
      <c r="AO11" s="12"/>
      <c r="AP11" s="12"/>
      <c r="AQ11" s="12"/>
      <c r="AR11" s="12"/>
      <c r="AS11" s="12"/>
      <c r="AT11" s="12"/>
      <c r="AU11" s="12"/>
      <c r="AV11" s="12"/>
      <c r="AW11" s="12"/>
      <c r="AX11" s="12"/>
      <c r="AY11" s="12"/>
      <c r="AZ11" s="12"/>
      <c r="BA11" s="12"/>
      <c r="BB11" s="59">
        <f t="shared" si="6"/>
        <v>3.2793138717259591E-2</v>
      </c>
      <c r="BC11" s="17">
        <v>44628</v>
      </c>
      <c r="BD11" s="17">
        <v>74746</v>
      </c>
      <c r="BE11" s="17">
        <f t="shared" si="7"/>
        <v>119374</v>
      </c>
      <c r="BF11" s="17">
        <f t="shared" si="8"/>
        <v>43906</v>
      </c>
      <c r="BG11" s="17">
        <f t="shared" si="9"/>
        <v>304</v>
      </c>
      <c r="BH11" s="17">
        <f t="shared" si="10"/>
        <v>44210</v>
      </c>
      <c r="BI11" s="10"/>
      <c r="BJ11" s="12"/>
      <c r="BK11" s="12"/>
      <c r="BL11" s="12"/>
      <c r="BM11" s="12"/>
      <c r="BN11" s="12"/>
      <c r="BO11" s="12"/>
      <c r="BP11" s="12"/>
      <c r="BQ11" s="10"/>
      <c r="BR11" s="12"/>
      <c r="BS11" s="12"/>
      <c r="BT11" s="12"/>
      <c r="BU11" s="12"/>
      <c r="BV11" s="12"/>
      <c r="BW11" s="12"/>
      <c r="BX11" s="12"/>
      <c r="BY11" s="51">
        <v>462053</v>
      </c>
      <c r="BZ11" s="51">
        <v>529147</v>
      </c>
      <c r="CA11" s="51">
        <f t="shared" si="11"/>
        <v>323917</v>
      </c>
      <c r="CB11" s="51">
        <f t="shared" si="12"/>
        <v>390756</v>
      </c>
      <c r="CC11" s="51">
        <v>49602</v>
      </c>
      <c r="CD11" s="51">
        <v>63341</v>
      </c>
      <c r="CE11" s="51">
        <v>88534</v>
      </c>
      <c r="CF11" s="51">
        <v>75050</v>
      </c>
      <c r="CG11" s="52">
        <f t="shared" si="13"/>
        <v>0.45323805432694392</v>
      </c>
      <c r="CH11" s="52">
        <f t="shared" si="14"/>
        <v>0.54676194567305603</v>
      </c>
      <c r="CI11" s="52">
        <f t="shared" si="15"/>
        <v>0.43917728411676688</v>
      </c>
      <c r="CJ11" s="52">
        <f t="shared" si="16"/>
        <v>0.56082271588323318</v>
      </c>
      <c r="CK11" s="52">
        <f t="shared" si="17"/>
        <v>0.54121429968701096</v>
      </c>
      <c r="CL11" s="52">
        <f t="shared" si="18"/>
        <v>0.45878570031298904</v>
      </c>
      <c r="CN11" s="52"/>
      <c r="CO11" s="52"/>
      <c r="CP11" s="52"/>
      <c r="CQ11" s="52"/>
      <c r="CR11" s="52"/>
      <c r="CS11" s="52"/>
    </row>
    <row r="12" spans="1:97">
      <c r="B12" t="str">
        <f t="shared" si="0"/>
        <v>2023</v>
      </c>
      <c r="C12">
        <v>202308</v>
      </c>
      <c r="G12" s="51">
        <f t="shared" si="1"/>
        <v>955806</v>
      </c>
      <c r="H12" s="51">
        <v>441071</v>
      </c>
      <c r="I12" s="51">
        <v>514735</v>
      </c>
      <c r="J12" s="51">
        <v>682761</v>
      </c>
      <c r="K12" s="51">
        <v>111525</v>
      </c>
      <c r="L12" s="51">
        <v>161520</v>
      </c>
      <c r="M12" s="51">
        <v>909088.41460000002</v>
      </c>
      <c r="N12" s="51">
        <f>IF(G12&gt;0,SUM($G$5:G12),"-")</f>
        <v>7864959</v>
      </c>
      <c r="O12" s="11">
        <f t="shared" si="19"/>
        <v>7353289.6491999999</v>
      </c>
      <c r="P12" s="51">
        <v>29310952</v>
      </c>
      <c r="Q12" s="51">
        <v>8164192</v>
      </c>
      <c r="R12" s="57">
        <v>821825982</v>
      </c>
      <c r="S12" s="51">
        <v>108798494</v>
      </c>
      <c r="T12" s="58">
        <f t="shared" si="2"/>
        <v>7.5039568102845247E-2</v>
      </c>
      <c r="U12" s="13">
        <f t="shared" si="3"/>
        <v>100.6622556157425</v>
      </c>
      <c r="V12" s="52">
        <f>IFERROR((W12*Y12+X12*Z12)/SUM(Y12:Z12),"-")</f>
        <v>0.54250294564062529</v>
      </c>
      <c r="W12" s="52">
        <v>0.496</v>
      </c>
      <c r="X12" s="52">
        <v>0.59699999999999998</v>
      </c>
      <c r="Y12" s="51">
        <v>497693</v>
      </c>
      <c r="Z12" s="51">
        <v>424687</v>
      </c>
      <c r="AA12" s="14">
        <f t="shared" si="4"/>
        <v>0.54250294564062529</v>
      </c>
      <c r="AB12" s="12"/>
      <c r="AC12" s="12"/>
      <c r="AD12" s="12"/>
      <c r="AE12" s="12"/>
      <c r="AF12" s="52">
        <v>0.74321769900798451</v>
      </c>
      <c r="AG12" s="52">
        <v>0.6997228548052874</v>
      </c>
      <c r="AH12" s="52">
        <v>0.79440852191518141</v>
      </c>
      <c r="AI12" s="52">
        <f t="shared" si="5"/>
        <v>0.74321769900798451</v>
      </c>
      <c r="AJ12" s="12"/>
      <c r="AK12" s="12"/>
      <c r="AL12" s="12"/>
      <c r="AM12" s="12"/>
      <c r="AN12" s="12"/>
      <c r="AO12" s="12"/>
      <c r="AP12" s="12"/>
      <c r="AQ12" s="12"/>
      <c r="AR12" s="12"/>
      <c r="AS12" s="12"/>
      <c r="AT12" s="12"/>
      <c r="AU12" s="12"/>
      <c r="AV12" s="12"/>
      <c r="AW12" s="12"/>
      <c r="AX12" s="12"/>
      <c r="AY12" s="12"/>
      <c r="AZ12" s="12"/>
      <c r="BA12" s="12"/>
      <c r="BB12" s="59">
        <f t="shared" si="6"/>
        <v>3.2609176256028806E-2</v>
      </c>
      <c r="BC12" s="17">
        <v>43886</v>
      </c>
      <c r="BD12" s="17">
        <v>75136</v>
      </c>
      <c r="BE12" s="17">
        <f t="shared" si="7"/>
        <v>119022</v>
      </c>
      <c r="BF12" s="17">
        <f t="shared" si="8"/>
        <v>42134</v>
      </c>
      <c r="BG12" s="17">
        <f t="shared" si="9"/>
        <v>364</v>
      </c>
      <c r="BH12" s="17">
        <f t="shared" si="10"/>
        <v>42498</v>
      </c>
      <c r="BI12" s="10"/>
      <c r="BJ12" s="12"/>
      <c r="BK12" s="12"/>
      <c r="BL12" s="12"/>
      <c r="BM12" s="12"/>
      <c r="BN12" s="12"/>
      <c r="BO12" s="12"/>
      <c r="BP12" s="12"/>
      <c r="BQ12" s="10"/>
      <c r="BR12" s="12"/>
      <c r="BS12" s="12"/>
      <c r="BT12" s="12"/>
      <c r="BU12" s="12"/>
      <c r="BV12" s="12"/>
      <c r="BW12" s="12"/>
      <c r="BX12" s="12"/>
      <c r="BY12" s="51">
        <v>441071</v>
      </c>
      <c r="BZ12" s="51">
        <v>514735</v>
      </c>
      <c r="CA12" s="51">
        <f t="shared" si="11"/>
        <v>307255</v>
      </c>
      <c r="CB12" s="51">
        <f t="shared" si="12"/>
        <v>375506</v>
      </c>
      <c r="CC12" s="51">
        <v>47796</v>
      </c>
      <c r="CD12" s="51">
        <v>63729</v>
      </c>
      <c r="CE12" s="51">
        <v>86020</v>
      </c>
      <c r="CF12" s="51">
        <v>75500</v>
      </c>
      <c r="CG12" s="52">
        <f t="shared" si="13"/>
        <v>0.45001838124907545</v>
      </c>
      <c r="CH12" s="52">
        <f t="shared" si="14"/>
        <v>0.54998161875092455</v>
      </c>
      <c r="CI12" s="52">
        <f t="shared" si="15"/>
        <v>0.42856758574310694</v>
      </c>
      <c r="CJ12" s="52">
        <f t="shared" si="16"/>
        <v>0.57143241425689306</v>
      </c>
      <c r="CK12" s="52">
        <f t="shared" si="17"/>
        <v>0.53256562654779593</v>
      </c>
      <c r="CL12" s="52">
        <f t="shared" si="18"/>
        <v>0.46743437345220407</v>
      </c>
      <c r="CN12" s="52"/>
      <c r="CO12" s="52"/>
      <c r="CP12" s="52"/>
      <c r="CQ12" s="52"/>
      <c r="CR12" s="52"/>
      <c r="CS12" s="52"/>
    </row>
    <row r="13" spans="1:97">
      <c r="B13" t="str">
        <f t="shared" si="0"/>
        <v>2023</v>
      </c>
      <c r="C13">
        <v>202309</v>
      </c>
      <c r="G13" s="51">
        <f t="shared" si="1"/>
        <v>961974</v>
      </c>
      <c r="H13" s="51">
        <v>445227</v>
      </c>
      <c r="I13" s="51">
        <v>516747</v>
      </c>
      <c r="J13" s="51">
        <v>678505</v>
      </c>
      <c r="K13" s="51">
        <v>109104</v>
      </c>
      <c r="L13" s="51">
        <v>174365</v>
      </c>
      <c r="M13" s="51">
        <v>906988.82799999998</v>
      </c>
      <c r="N13" s="51">
        <f>IF(G13&gt;0,SUM($G$5:G13),"-")</f>
        <v>8826933</v>
      </c>
      <c r="O13" s="11">
        <f t="shared" si="19"/>
        <v>8260278.4771999996</v>
      </c>
      <c r="P13" s="51">
        <v>31213112</v>
      </c>
      <c r="Q13" s="51">
        <v>8006384</v>
      </c>
      <c r="R13" s="57">
        <v>794499838</v>
      </c>
      <c r="S13" s="51">
        <v>109198585</v>
      </c>
      <c r="T13" s="58">
        <f t="shared" si="2"/>
        <v>7.3319484863288292E-2</v>
      </c>
      <c r="U13" s="13">
        <f t="shared" si="3"/>
        <v>99.233291583316515</v>
      </c>
      <c r="V13" s="52">
        <v>0.54210010293060096</v>
      </c>
      <c r="W13" s="52">
        <v>0.49087334360314028</v>
      </c>
      <c r="X13" s="52">
        <v>0.60322670829159197</v>
      </c>
      <c r="Y13" s="51">
        <v>512181</v>
      </c>
      <c r="Z13" s="51">
        <v>429230</v>
      </c>
      <c r="AA13" s="14">
        <f t="shared" si="4"/>
        <v>0.54210010293060096</v>
      </c>
      <c r="AB13" s="12"/>
      <c r="AC13" s="12"/>
      <c r="AD13" s="12"/>
      <c r="AE13" s="12"/>
      <c r="AF13" s="52">
        <f>((AG13*Y13)+(AH13*Z13))/(Y13+Z13)</f>
        <v>0.7346978153006497</v>
      </c>
      <c r="AG13" s="52">
        <v>0.68500000000000005</v>
      </c>
      <c r="AH13" s="52">
        <v>0.79400000000000004</v>
      </c>
      <c r="AI13" s="52">
        <f t="shared" si="5"/>
        <v>0.7346978153006497</v>
      </c>
      <c r="AJ13" s="12"/>
      <c r="AK13" s="12"/>
      <c r="AL13" s="12"/>
      <c r="AM13" s="12"/>
      <c r="AN13" s="12"/>
      <c r="AO13" s="12"/>
      <c r="AP13" s="12"/>
      <c r="AQ13" s="12"/>
      <c r="AR13" s="12"/>
      <c r="AS13" s="12"/>
      <c r="AT13" s="12"/>
      <c r="AU13" s="12"/>
      <c r="AV13" s="12"/>
      <c r="AW13" s="12"/>
      <c r="AX13" s="12"/>
      <c r="AY13" s="12"/>
      <c r="AZ13" s="12"/>
      <c r="BA13" s="12"/>
      <c r="BB13" s="59">
        <f t="shared" si="6"/>
        <v>3.0819547887439101E-2</v>
      </c>
      <c r="BC13" s="17">
        <v>46718</v>
      </c>
      <c r="BD13" s="17">
        <v>83864</v>
      </c>
      <c r="BE13" s="17">
        <f t="shared" si="7"/>
        <v>130582</v>
      </c>
      <c r="BF13" s="17">
        <f t="shared" si="8"/>
        <v>43456</v>
      </c>
      <c r="BG13" s="17">
        <f t="shared" si="9"/>
        <v>327</v>
      </c>
      <c r="BH13" s="17">
        <f t="shared" si="10"/>
        <v>43783</v>
      </c>
      <c r="BI13" s="10"/>
      <c r="BJ13" s="12"/>
      <c r="BK13" s="12"/>
      <c r="BL13" s="12"/>
      <c r="BM13" s="12"/>
      <c r="BN13" s="12"/>
      <c r="BO13" s="12"/>
      <c r="BP13" s="12"/>
      <c r="BQ13" s="10"/>
      <c r="BR13" s="12"/>
      <c r="BS13" s="12"/>
      <c r="BT13" s="12"/>
      <c r="BU13" s="12"/>
      <c r="BV13" s="12"/>
      <c r="BW13" s="12"/>
      <c r="BX13" s="12"/>
      <c r="BY13" s="51">
        <v>445227</v>
      </c>
      <c r="BZ13" s="51">
        <v>516747</v>
      </c>
      <c r="CA13" s="51">
        <f t="shared" si="11"/>
        <v>307791</v>
      </c>
      <c r="CB13" s="51">
        <f t="shared" si="12"/>
        <v>370714</v>
      </c>
      <c r="CC13" s="51">
        <v>47262</v>
      </c>
      <c r="CD13" s="51">
        <v>61842</v>
      </c>
      <c r="CE13" s="51">
        <v>90174</v>
      </c>
      <c r="CF13" s="51">
        <v>84191</v>
      </c>
      <c r="CG13" s="52">
        <f t="shared" si="13"/>
        <v>0.45363114494366291</v>
      </c>
      <c r="CH13" s="52">
        <f t="shared" si="14"/>
        <v>0.54636885505633714</v>
      </c>
      <c r="CI13" s="52">
        <f t="shared" si="15"/>
        <v>0.43318301803783543</v>
      </c>
      <c r="CJ13" s="52">
        <f t="shared" si="16"/>
        <v>0.56681698196216457</v>
      </c>
      <c r="CK13" s="52">
        <f t="shared" si="17"/>
        <v>0.51715653944312223</v>
      </c>
      <c r="CL13" s="52">
        <f t="shared" si="18"/>
        <v>0.48284346055687782</v>
      </c>
      <c r="CN13" s="52"/>
      <c r="CO13" s="52"/>
      <c r="CP13" s="52"/>
      <c r="CQ13" s="52"/>
      <c r="CR13" s="52"/>
      <c r="CS13" s="52"/>
    </row>
    <row r="14" spans="1:97">
      <c r="B14" t="str">
        <f t="shared" si="0"/>
        <v>2023</v>
      </c>
      <c r="C14">
        <v>202310</v>
      </c>
      <c r="G14" s="51">
        <f t="shared" si="1"/>
        <v>1023223</v>
      </c>
      <c r="H14" s="51">
        <v>477770</v>
      </c>
      <c r="I14" s="51">
        <v>545453</v>
      </c>
      <c r="J14" s="51">
        <v>694276</v>
      </c>
      <c r="K14" s="51">
        <v>118369</v>
      </c>
      <c r="L14" s="51">
        <v>210578</v>
      </c>
      <c r="M14" s="51">
        <v>915286.92610000004</v>
      </c>
      <c r="N14" s="51">
        <f>IF(G14&gt;0,SUM($G$5:G14),"-")</f>
        <v>9850156</v>
      </c>
      <c r="O14" s="11">
        <f t="shared" si="19"/>
        <v>9175565.4033000004</v>
      </c>
      <c r="P14" s="51">
        <v>31960755</v>
      </c>
      <c r="Q14" s="51">
        <v>8892582</v>
      </c>
      <c r="R14" s="57">
        <v>917680188</v>
      </c>
      <c r="S14" s="51">
        <v>115549999</v>
      </c>
      <c r="T14" s="58">
        <f t="shared" si="2"/>
        <v>7.6958737143736369E-2</v>
      </c>
      <c r="U14" s="13">
        <f t="shared" si="3"/>
        <v>103.19614573135226</v>
      </c>
      <c r="V14" s="52">
        <f>IFERROR((W14*Y14+X14*Z14)/SUM(Y14:Z14),"-")</f>
        <v>0.53844375911468623</v>
      </c>
      <c r="W14" s="52">
        <v>0.48899999999999999</v>
      </c>
      <c r="X14" s="52">
        <v>0.59799999999999998</v>
      </c>
      <c r="Y14" s="51">
        <v>532394</v>
      </c>
      <c r="Z14" s="51">
        <v>441995</v>
      </c>
      <c r="AA14" s="14">
        <f t="shared" si="4"/>
        <v>0.53844375911468623</v>
      </c>
      <c r="AB14" s="12"/>
      <c r="AC14" s="12"/>
      <c r="AD14" s="12"/>
      <c r="AE14" s="12"/>
      <c r="AF14" s="52">
        <v>0.73033275442523682</v>
      </c>
      <c r="AG14" s="52">
        <v>0.68303072360802131</v>
      </c>
      <c r="AH14" s="52">
        <v>0.78717664756562244</v>
      </c>
      <c r="AI14" s="52">
        <f t="shared" si="5"/>
        <v>0.73033275442523682</v>
      </c>
      <c r="AJ14" s="12"/>
      <c r="AK14" s="12"/>
      <c r="AL14" s="12"/>
      <c r="AM14" s="12"/>
      <c r="AN14" s="12"/>
      <c r="AO14" s="12"/>
      <c r="AP14" s="12"/>
      <c r="AQ14" s="12"/>
      <c r="AR14" s="12"/>
      <c r="AS14" s="12"/>
      <c r="AT14" s="12"/>
      <c r="AU14" s="12"/>
      <c r="AV14" s="12"/>
      <c r="AW14" s="12"/>
      <c r="AX14" s="12"/>
      <c r="AY14" s="12"/>
      <c r="AZ14" s="12"/>
      <c r="BA14" s="12"/>
      <c r="BB14" s="59">
        <f t="shared" si="6"/>
        <v>3.201498212417072E-2</v>
      </c>
      <c r="BC14" s="17">
        <v>58958</v>
      </c>
      <c r="BD14" s="17">
        <v>107333</v>
      </c>
      <c r="BE14" s="17">
        <f t="shared" si="7"/>
        <v>166291</v>
      </c>
      <c r="BF14" s="17">
        <f t="shared" si="8"/>
        <v>43879</v>
      </c>
      <c r="BG14" s="17">
        <f t="shared" si="9"/>
        <v>408</v>
      </c>
      <c r="BH14" s="17">
        <f t="shared" si="10"/>
        <v>44287</v>
      </c>
      <c r="BI14" s="10"/>
      <c r="BJ14" s="12"/>
      <c r="BK14" s="12"/>
      <c r="BL14" s="12"/>
      <c r="BM14" s="12"/>
      <c r="BN14" s="12"/>
      <c r="BO14" s="12"/>
      <c r="BP14" s="12"/>
      <c r="BQ14" s="10"/>
      <c r="BR14" s="12"/>
      <c r="BS14" s="12"/>
      <c r="BT14" s="12"/>
      <c r="BU14" s="12"/>
      <c r="BV14" s="12"/>
      <c r="BW14" s="12"/>
      <c r="BX14" s="12"/>
      <c r="BY14" s="51">
        <v>477770</v>
      </c>
      <c r="BZ14" s="51">
        <v>545453</v>
      </c>
      <c r="CA14" s="51">
        <f t="shared" si="11"/>
        <v>323423</v>
      </c>
      <c r="CB14" s="51">
        <f t="shared" si="12"/>
        <v>370853</v>
      </c>
      <c r="CC14" s="51">
        <v>51510</v>
      </c>
      <c r="CD14" s="51">
        <v>66859</v>
      </c>
      <c r="CE14" s="51">
        <v>102837</v>
      </c>
      <c r="CF14" s="51">
        <v>107741</v>
      </c>
      <c r="CG14" s="52">
        <f t="shared" si="13"/>
        <v>0.46584211466333275</v>
      </c>
      <c r="CH14" s="52">
        <f t="shared" si="14"/>
        <v>0.5341578853366673</v>
      </c>
      <c r="CI14" s="52">
        <f t="shared" si="15"/>
        <v>0.43516461235627574</v>
      </c>
      <c r="CJ14" s="52">
        <f t="shared" si="16"/>
        <v>0.56483538764372432</v>
      </c>
      <c r="CK14" s="52">
        <f t="shared" si="17"/>
        <v>0.48835585863670466</v>
      </c>
      <c r="CL14" s="52">
        <f t="shared" si="18"/>
        <v>0.51164414136329528</v>
      </c>
    </row>
    <row r="15" spans="1:97">
      <c r="B15" t="str">
        <f t="shared" si="0"/>
        <v>2023</v>
      </c>
      <c r="C15">
        <v>202311</v>
      </c>
      <c r="G15" s="51">
        <f t="shared" si="1"/>
        <v>1051965</v>
      </c>
      <c r="H15" s="51">
        <v>527199</v>
      </c>
      <c r="I15" s="51">
        <v>524766</v>
      </c>
      <c r="J15" s="51">
        <v>733608</v>
      </c>
      <c r="K15" s="51">
        <v>106862</v>
      </c>
      <c r="L15" s="51">
        <v>211495</v>
      </c>
      <c r="M15" s="51">
        <v>908451.90980000002</v>
      </c>
      <c r="N15" s="51">
        <f>IF(G15&gt;0,SUM($G$5:G15),"-")</f>
        <v>10902121</v>
      </c>
      <c r="O15" s="11">
        <f t="shared" si="19"/>
        <v>10084017.313100001</v>
      </c>
      <c r="P15" s="51">
        <v>31311036</v>
      </c>
      <c r="Q15" s="51">
        <v>8014547</v>
      </c>
      <c r="R15" s="57">
        <v>768633876</v>
      </c>
      <c r="S15" s="51">
        <v>108423566</v>
      </c>
      <c r="T15" s="58">
        <f t="shared" si="2"/>
        <v>7.3918865572084214E-2</v>
      </c>
      <c r="U15" s="13">
        <f t="shared" si="3"/>
        <v>95.904843530145868</v>
      </c>
      <c r="V15" s="52">
        <f>IFERROR((W15*Y15+X15*Z15)/SUM(Y15:Z15),"-")</f>
        <v>0.52061827569066976</v>
      </c>
      <c r="W15" s="52">
        <v>0.47218540239363138</v>
      </c>
      <c r="X15" s="52">
        <v>0.58098117230665058</v>
      </c>
      <c r="Y15" s="51">
        <v>519044</v>
      </c>
      <c r="Z15" s="51">
        <v>416461</v>
      </c>
      <c r="AA15" s="14">
        <f t="shared" si="4"/>
        <v>0.52061827569066976</v>
      </c>
      <c r="AB15" s="12"/>
      <c r="AC15" s="12"/>
      <c r="AD15" s="12"/>
      <c r="AE15" s="12"/>
      <c r="AF15" s="52">
        <v>0.71778149258614565</v>
      </c>
      <c r="AG15" s="52">
        <v>0.66994393304094979</v>
      </c>
      <c r="AH15" s="52">
        <v>0.77789891124089694</v>
      </c>
      <c r="AI15" s="52">
        <f t="shared" si="5"/>
        <v>0.71778149258614565</v>
      </c>
      <c r="AJ15" s="12"/>
      <c r="AK15" s="12"/>
      <c r="AL15" s="12"/>
      <c r="AM15" s="12"/>
      <c r="AN15" s="12"/>
      <c r="AO15" s="12"/>
      <c r="AP15" s="12"/>
      <c r="AQ15" s="12"/>
      <c r="AR15" s="12"/>
      <c r="AS15" s="12"/>
      <c r="AT15" s="12"/>
      <c r="AU15" s="12"/>
      <c r="AV15" s="12"/>
      <c r="AW15" s="12"/>
      <c r="AX15" s="12"/>
      <c r="AY15" s="12"/>
      <c r="AZ15" s="12"/>
      <c r="BA15" s="12"/>
      <c r="BB15" s="59">
        <f t="shared" si="6"/>
        <v>3.3597259445519466E-2</v>
      </c>
      <c r="BC15" s="17">
        <v>60412</v>
      </c>
      <c r="BD15" s="17">
        <v>109323</v>
      </c>
      <c r="BE15" s="17">
        <f t="shared" si="7"/>
        <v>169735</v>
      </c>
      <c r="BF15" s="17">
        <f t="shared" si="8"/>
        <v>39766</v>
      </c>
      <c r="BG15" s="17">
        <f t="shared" si="9"/>
        <v>1994</v>
      </c>
      <c r="BH15" s="17">
        <f t="shared" si="10"/>
        <v>41760</v>
      </c>
      <c r="BI15" s="10"/>
      <c r="BJ15" s="12"/>
      <c r="BK15" s="12"/>
      <c r="BL15" s="12"/>
      <c r="BM15" s="12"/>
      <c r="BN15" s="12"/>
      <c r="BO15" s="12"/>
      <c r="BP15" s="12"/>
      <c r="BQ15" s="10"/>
      <c r="BR15" s="12"/>
      <c r="BS15" s="12"/>
      <c r="BT15" s="12"/>
      <c r="BU15" s="12"/>
      <c r="BV15" s="12"/>
      <c r="BW15" s="12"/>
      <c r="BX15" s="12"/>
      <c r="BY15" s="51">
        <v>527199</v>
      </c>
      <c r="BZ15" s="51">
        <v>524766</v>
      </c>
      <c r="CA15" s="51">
        <f t="shared" si="11"/>
        <v>381721</v>
      </c>
      <c r="CB15" s="51">
        <f t="shared" si="12"/>
        <v>351887</v>
      </c>
      <c r="CC15" s="51">
        <v>45300</v>
      </c>
      <c r="CD15" s="51">
        <v>61562</v>
      </c>
      <c r="CE15" s="51">
        <v>100178</v>
      </c>
      <c r="CF15" s="51">
        <v>111317</v>
      </c>
      <c r="CG15" s="52">
        <f t="shared" si="13"/>
        <v>0.52033374772357988</v>
      </c>
      <c r="CH15" s="52">
        <f t="shared" si="14"/>
        <v>0.47966625227642012</v>
      </c>
      <c r="CI15" s="52">
        <f t="shared" si="15"/>
        <v>0.42391121259194103</v>
      </c>
      <c r="CJ15" s="52">
        <f t="shared" si="16"/>
        <v>0.57608878740805902</v>
      </c>
      <c r="CK15" s="52">
        <f t="shared" si="17"/>
        <v>0.47366604411451807</v>
      </c>
      <c r="CL15" s="52">
        <f t="shared" si="18"/>
        <v>0.52633395588548193</v>
      </c>
      <c r="CN15" s="52"/>
    </row>
    <row r="16" spans="1:97">
      <c r="B16" t="str">
        <f t="shared" si="0"/>
        <v>2023</v>
      </c>
      <c r="C16">
        <v>202312</v>
      </c>
      <c r="G16" s="51">
        <f t="shared" si="1"/>
        <v>1035369</v>
      </c>
      <c r="H16" s="51">
        <v>522004</v>
      </c>
      <c r="I16" s="51">
        <v>513365</v>
      </c>
      <c r="J16" s="51">
        <v>719324</v>
      </c>
      <c r="K16" s="51">
        <v>103386</v>
      </c>
      <c r="L16" s="51">
        <v>212659</v>
      </c>
      <c r="M16" s="51">
        <v>899333.75069999998</v>
      </c>
      <c r="N16" s="51">
        <f>IF(G16&gt;0,SUM($G$5:G16),"-")</f>
        <v>11937490</v>
      </c>
      <c r="O16" s="11">
        <f t="shared" si="19"/>
        <v>10983351.063800002</v>
      </c>
      <c r="P16" s="51">
        <v>30942509</v>
      </c>
      <c r="Q16" s="51">
        <v>8145035</v>
      </c>
      <c r="R16" s="57">
        <v>780230877</v>
      </c>
      <c r="S16" s="51">
        <v>109133910</v>
      </c>
      <c r="T16" s="58">
        <f t="shared" si="2"/>
        <v>7.4633402212016406E-2</v>
      </c>
      <c r="U16" s="13">
        <f t="shared" si="3"/>
        <v>95.792206786097296</v>
      </c>
      <c r="V16" s="52">
        <f>IFERROR((W16*Y16+X16*Z16)/SUM(Y16:Z16),"-")</f>
        <v>0.52245393540280982</v>
      </c>
      <c r="W16" s="52">
        <v>0.47699999999999998</v>
      </c>
      <c r="X16" s="52">
        <v>0.57899999999999996</v>
      </c>
      <c r="Y16" s="51">
        <v>504759</v>
      </c>
      <c r="Z16" s="51">
        <v>405745</v>
      </c>
      <c r="AA16" s="14">
        <f t="shared" si="4"/>
        <v>0.52245393540280982</v>
      </c>
      <c r="AB16" s="12"/>
      <c r="AC16" s="12"/>
      <c r="AD16" s="12"/>
      <c r="AE16" s="12"/>
      <c r="AF16" s="52">
        <v>0.72042227685034455</v>
      </c>
      <c r="AG16" s="52">
        <v>0.67738982607558518</v>
      </c>
      <c r="AH16" s="52">
        <v>0.77395636141347213</v>
      </c>
      <c r="AI16" s="52">
        <f t="shared" si="5"/>
        <v>0.72042227685034455</v>
      </c>
      <c r="AJ16" s="12"/>
      <c r="AK16" s="12"/>
      <c r="AL16" s="12"/>
      <c r="AM16" s="12"/>
      <c r="AN16" s="12"/>
      <c r="AO16" s="12"/>
      <c r="AP16" s="12"/>
      <c r="AQ16" s="12"/>
      <c r="AR16" s="12"/>
      <c r="AS16" s="12"/>
      <c r="AT16" s="12"/>
      <c r="AU16" s="12"/>
      <c r="AV16" s="12"/>
      <c r="AW16" s="12"/>
      <c r="AX16" s="12"/>
      <c r="AY16" s="12"/>
      <c r="AZ16" s="12"/>
      <c r="BA16" s="12"/>
      <c r="BB16" s="59">
        <f t="shared" si="6"/>
        <v>3.3461055145851293E-2</v>
      </c>
      <c r="BC16" s="17">
        <v>69878</v>
      </c>
      <c r="BD16" s="17">
        <v>113097</v>
      </c>
      <c r="BE16" s="17">
        <f t="shared" si="7"/>
        <v>182975</v>
      </c>
      <c r="BF16" s="17">
        <f t="shared" si="8"/>
        <v>26668</v>
      </c>
      <c r="BG16" s="17">
        <f t="shared" si="9"/>
        <v>3016</v>
      </c>
      <c r="BH16" s="17">
        <f t="shared" si="10"/>
        <v>29684</v>
      </c>
      <c r="BI16" s="10"/>
      <c r="BJ16" s="12"/>
      <c r="BK16" s="12"/>
      <c r="BL16" s="12"/>
      <c r="BM16" s="12"/>
      <c r="BN16" s="12"/>
      <c r="BO16" s="12"/>
      <c r="BP16" s="12"/>
      <c r="BQ16" s="10"/>
      <c r="BR16" s="12"/>
      <c r="BS16" s="12"/>
      <c r="BT16" s="12"/>
      <c r="BU16" s="12"/>
      <c r="BV16" s="12"/>
      <c r="BW16" s="12"/>
      <c r="BX16" s="12"/>
      <c r="BY16" s="51">
        <v>522004</v>
      </c>
      <c r="BZ16" s="51">
        <v>513365</v>
      </c>
      <c r="CA16" s="51">
        <f t="shared" si="11"/>
        <v>382912</v>
      </c>
      <c r="CB16" s="51">
        <f t="shared" si="12"/>
        <v>336412</v>
      </c>
      <c r="CC16" s="51">
        <v>42546</v>
      </c>
      <c r="CD16" s="51">
        <v>60840</v>
      </c>
      <c r="CE16" s="51">
        <v>96546</v>
      </c>
      <c r="CF16" s="51">
        <v>116113</v>
      </c>
      <c r="CG16" s="52">
        <f t="shared" si="13"/>
        <v>0.53232201344595764</v>
      </c>
      <c r="CH16" s="52">
        <f t="shared" si="14"/>
        <v>0.46767798655404241</v>
      </c>
      <c r="CI16" s="52">
        <f t="shared" si="15"/>
        <v>0.41152573849457375</v>
      </c>
      <c r="CJ16" s="52">
        <f t="shared" si="16"/>
        <v>0.58847426150542625</v>
      </c>
      <c r="CK16" s="52">
        <f t="shared" si="17"/>
        <v>0.45399442299644033</v>
      </c>
      <c r="CL16" s="52">
        <f t="shared" si="18"/>
        <v>0.54600557700355967</v>
      </c>
    </row>
    <row r="17" spans="2:90">
      <c r="B17" t="str">
        <f t="shared" si="0"/>
        <v>2023</v>
      </c>
      <c r="C17">
        <v>202313</v>
      </c>
      <c r="G17" s="51">
        <f t="shared" si="1"/>
        <v>1089277</v>
      </c>
      <c r="H17" s="51">
        <v>592435</v>
      </c>
      <c r="I17" s="51">
        <v>496842</v>
      </c>
      <c r="J17" s="51">
        <v>765631</v>
      </c>
      <c r="K17" s="51">
        <v>101664</v>
      </c>
      <c r="L17" s="51">
        <v>221982</v>
      </c>
      <c r="M17" s="51">
        <v>888647.04559999995</v>
      </c>
      <c r="N17" s="51">
        <f>IF(G17&gt;0,SUM($G$5:G17),"-")</f>
        <v>13026767</v>
      </c>
      <c r="O17" s="11">
        <f t="shared" si="19"/>
        <v>11871998.109400002</v>
      </c>
      <c r="P17" s="51">
        <v>31245722</v>
      </c>
      <c r="Q17" s="51">
        <v>7950515</v>
      </c>
      <c r="R17" s="57">
        <v>753158425</v>
      </c>
      <c r="S17" s="51">
        <v>108243662</v>
      </c>
      <c r="T17" s="58">
        <f t="shared" si="2"/>
        <v>7.3450166532614172E-2</v>
      </c>
      <c r="U17" s="13">
        <f t="shared" si="3"/>
        <v>94.7307721575269</v>
      </c>
      <c r="V17" s="52">
        <v>0.52343226744742333</v>
      </c>
      <c r="W17" s="52">
        <v>0.47759479749632561</v>
      </c>
      <c r="X17" s="52">
        <v>0.58030732598145551</v>
      </c>
      <c r="Y17" s="51">
        <v>491917</v>
      </c>
      <c r="Z17" s="51">
        <v>396452</v>
      </c>
      <c r="AA17" s="14">
        <f t="shared" si="4"/>
        <v>0.52343226744742333</v>
      </c>
      <c r="AB17" s="12"/>
      <c r="AC17" s="12"/>
      <c r="AD17" s="12"/>
      <c r="AE17" s="12"/>
      <c r="AF17" s="52">
        <v>0.72078219770475294</v>
      </c>
      <c r="AG17" s="52">
        <v>0.67714650891857353</v>
      </c>
      <c r="AH17" s="52">
        <v>0.77525472166998011</v>
      </c>
      <c r="AI17" s="52">
        <f t="shared" si="5"/>
        <v>0.72078219770475294</v>
      </c>
      <c r="AJ17" s="12"/>
      <c r="AK17" s="12"/>
      <c r="AL17" s="12"/>
      <c r="AM17" s="12"/>
      <c r="AN17" s="12"/>
      <c r="AO17" s="12"/>
      <c r="AP17" s="12"/>
      <c r="AQ17" s="12"/>
      <c r="AR17" s="12"/>
      <c r="AS17" s="12"/>
      <c r="AT17" s="12"/>
      <c r="AU17" s="12"/>
      <c r="AV17" s="12"/>
      <c r="AW17" s="12"/>
      <c r="AX17" s="12"/>
      <c r="AY17" s="12"/>
      <c r="AZ17" s="12"/>
      <c r="BA17" s="12"/>
      <c r="BB17" s="59">
        <f t="shared" si="6"/>
        <v>3.4861636418579159E-2</v>
      </c>
      <c r="BC17" s="17">
        <v>76201</v>
      </c>
      <c r="BD17" s="17">
        <v>114104</v>
      </c>
      <c r="BE17" s="17">
        <f t="shared" si="7"/>
        <v>190305</v>
      </c>
      <c r="BF17" s="17">
        <f t="shared" si="8"/>
        <v>28765</v>
      </c>
      <c r="BG17" s="17">
        <f t="shared" si="9"/>
        <v>2912</v>
      </c>
      <c r="BH17" s="17">
        <f t="shared" si="10"/>
        <v>31677</v>
      </c>
      <c r="BI17" s="10"/>
      <c r="BJ17" s="12"/>
      <c r="BK17" s="12"/>
      <c r="BL17" s="12"/>
      <c r="BM17" s="12"/>
      <c r="BN17" s="12"/>
      <c r="BO17" s="12"/>
      <c r="BP17" s="12"/>
      <c r="BQ17" s="10"/>
      <c r="BR17" s="12"/>
      <c r="BS17" s="12"/>
      <c r="BT17" s="12"/>
      <c r="BU17" s="12"/>
      <c r="BV17" s="12"/>
      <c r="BW17" s="12"/>
      <c r="BX17" s="12"/>
      <c r="BY17" s="51">
        <v>592435</v>
      </c>
      <c r="BZ17" s="51">
        <v>496842</v>
      </c>
      <c r="CA17" s="51">
        <f t="shared" si="11"/>
        <v>444394</v>
      </c>
      <c r="CB17" s="51">
        <f t="shared" si="12"/>
        <v>321237</v>
      </c>
      <c r="CC17" s="51">
        <v>43075</v>
      </c>
      <c r="CD17" s="51">
        <v>58589</v>
      </c>
      <c r="CE17" s="51">
        <v>104966</v>
      </c>
      <c r="CF17" s="51">
        <v>117016</v>
      </c>
      <c r="CG17" s="52">
        <f t="shared" si="13"/>
        <v>0.58042843092821472</v>
      </c>
      <c r="CH17" s="52">
        <f t="shared" si="14"/>
        <v>0.41957156907178522</v>
      </c>
      <c r="CI17" s="52">
        <f t="shared" si="15"/>
        <v>0.42369963802329241</v>
      </c>
      <c r="CJ17" s="52">
        <f t="shared" si="16"/>
        <v>0.57630036197670753</v>
      </c>
      <c r="CK17" s="52">
        <f t="shared" si="17"/>
        <v>0.47285815967060391</v>
      </c>
      <c r="CL17" s="52">
        <f t="shared" si="18"/>
        <v>0.52714184032939604</v>
      </c>
    </row>
    <row r="18" spans="2:90">
      <c r="B18" t="str">
        <f t="shared" si="0"/>
        <v>2023</v>
      </c>
      <c r="C18">
        <v>202314</v>
      </c>
      <c r="G18" s="51">
        <f t="shared" si="1"/>
        <v>946182</v>
      </c>
      <c r="H18" s="51">
        <v>438073</v>
      </c>
      <c r="I18" s="51">
        <v>508109</v>
      </c>
      <c r="J18" s="51">
        <v>680547</v>
      </c>
      <c r="K18" s="51">
        <v>110184</v>
      </c>
      <c r="L18" s="51">
        <v>155451</v>
      </c>
      <c r="M18" s="51">
        <v>871040.4264</v>
      </c>
      <c r="N18" s="51">
        <f>IF(G18&gt;0,SUM($G$5:G18),"-")</f>
        <v>13972949</v>
      </c>
      <c r="O18" s="11">
        <f t="shared" si="19"/>
        <v>12743038.535800003</v>
      </c>
      <c r="P18" s="29">
        <v>31121509</v>
      </c>
      <c r="Q18" s="51">
        <v>8306054</v>
      </c>
      <c r="R18" s="57">
        <v>850580043</v>
      </c>
      <c r="S18" s="51">
        <v>109865590</v>
      </c>
      <c r="T18" s="58">
        <f t="shared" si="2"/>
        <v>7.5601960541057486E-2</v>
      </c>
      <c r="U18" s="13">
        <f t="shared" si="3"/>
        <v>102.40482941719377</v>
      </c>
      <c r="V18" s="52">
        <v>0.52097928178991249</v>
      </c>
      <c r="W18" s="52">
        <v>0.47528229885257067</v>
      </c>
      <c r="X18" s="52">
        <v>0.57993116793288169</v>
      </c>
      <c r="Y18" s="51">
        <v>460682</v>
      </c>
      <c r="Z18" s="51">
        <v>357101</v>
      </c>
      <c r="AA18" s="14">
        <f t="shared" si="4"/>
        <v>0.52097928178991249</v>
      </c>
      <c r="AB18" s="12"/>
      <c r="AC18" s="12"/>
      <c r="AD18" s="12"/>
      <c r="AE18" s="12"/>
      <c r="AF18" s="52">
        <v>0.72135008556246061</v>
      </c>
      <c r="AG18" s="52">
        <v>0.67741318982045307</v>
      </c>
      <c r="AH18" s="52">
        <v>0.7758677669270998</v>
      </c>
      <c r="AI18" s="52">
        <f t="shared" si="5"/>
        <v>0.72135008556246061</v>
      </c>
      <c r="AJ18" s="12"/>
      <c r="AK18" s="12"/>
      <c r="AL18" s="12"/>
      <c r="AM18" s="12"/>
      <c r="AN18" s="12"/>
      <c r="AO18" s="12"/>
      <c r="AP18" s="12"/>
      <c r="AQ18" s="12"/>
      <c r="AR18" s="12"/>
      <c r="AS18" s="12"/>
      <c r="AT18" s="12"/>
      <c r="AU18" s="12"/>
      <c r="AV18" s="12"/>
      <c r="AW18" s="12"/>
      <c r="AX18" s="12"/>
      <c r="AY18" s="12"/>
      <c r="AZ18" s="12"/>
      <c r="BA18" s="12"/>
      <c r="BB18" s="59">
        <f t="shared" si="6"/>
        <v>3.0402831687885056E-2</v>
      </c>
      <c r="BC18" s="17">
        <v>68702</v>
      </c>
      <c r="BD18" s="17">
        <v>55150</v>
      </c>
      <c r="BE18" s="17">
        <f t="shared" si="7"/>
        <v>123852</v>
      </c>
      <c r="BF18" s="17">
        <f t="shared" si="8"/>
        <v>27684</v>
      </c>
      <c r="BG18" s="17">
        <f t="shared" si="9"/>
        <v>3915</v>
      </c>
      <c r="BH18" s="17">
        <f t="shared" si="10"/>
        <v>31599</v>
      </c>
      <c r="BI18" s="10"/>
      <c r="BJ18" s="12"/>
      <c r="BK18" s="12"/>
      <c r="BL18" s="12"/>
      <c r="BM18" s="12"/>
      <c r="BN18" s="12"/>
      <c r="BO18" s="12"/>
      <c r="BP18" s="12"/>
      <c r="BQ18" s="10"/>
      <c r="BR18" s="12"/>
      <c r="BS18" s="12"/>
      <c r="BT18" s="12"/>
      <c r="BU18" s="12"/>
      <c r="BV18" s="12"/>
      <c r="BW18" s="12"/>
      <c r="BX18" s="12"/>
      <c r="BY18" s="51">
        <v>438073</v>
      </c>
      <c r="BZ18" s="51">
        <v>508109</v>
      </c>
      <c r="CA18" s="51">
        <f t="shared" si="11"/>
        <v>294511</v>
      </c>
      <c r="CB18" s="51">
        <f t="shared" si="12"/>
        <v>386036</v>
      </c>
      <c r="CC18" s="51">
        <v>47176</v>
      </c>
      <c r="CD18" s="51">
        <v>63008</v>
      </c>
      <c r="CE18" s="51">
        <v>96386</v>
      </c>
      <c r="CF18" s="51">
        <v>59065</v>
      </c>
      <c r="CG18" s="52">
        <f t="shared" si="13"/>
        <v>0.43275629750774008</v>
      </c>
      <c r="CH18" s="52">
        <f t="shared" si="14"/>
        <v>0.56724370249225986</v>
      </c>
      <c r="CI18" s="52">
        <f t="shared" si="15"/>
        <v>0.42815653815436</v>
      </c>
      <c r="CJ18" s="52">
        <f t="shared" si="16"/>
        <v>0.57184346184564006</v>
      </c>
      <c r="CK18" s="52">
        <f t="shared" si="17"/>
        <v>0.62004104187171516</v>
      </c>
      <c r="CL18" s="52">
        <f t="shared" si="18"/>
        <v>0.37995895812828478</v>
      </c>
    </row>
    <row r="19" spans="2:90">
      <c r="B19" t="str">
        <f t="shared" si="0"/>
        <v>2023</v>
      </c>
      <c r="C19">
        <v>202315</v>
      </c>
      <c r="G19" s="51">
        <f t="shared" si="1"/>
        <v>916867</v>
      </c>
      <c r="H19" s="51">
        <v>413915</v>
      </c>
      <c r="I19" s="51">
        <v>502952</v>
      </c>
      <c r="J19" s="51">
        <v>663216</v>
      </c>
      <c r="K19" s="51">
        <v>108238</v>
      </c>
      <c r="L19" s="51">
        <v>145413</v>
      </c>
      <c r="M19" s="51">
        <v>858033.63600000006</v>
      </c>
      <c r="N19" s="51">
        <f>IF(G19&gt;0,SUM($G$5:G19),"-")</f>
        <v>14889816</v>
      </c>
      <c r="O19" s="11">
        <f t="shared" si="19"/>
        <v>13601072.171800002</v>
      </c>
      <c r="P19" s="51">
        <v>31061103</v>
      </c>
      <c r="Q19" s="51">
        <v>8350508</v>
      </c>
      <c r="R19" s="57">
        <v>856092116</v>
      </c>
      <c r="S19" s="51">
        <v>109460253</v>
      </c>
      <c r="T19" s="58">
        <f t="shared" si="2"/>
        <v>7.6288038544913644E-2</v>
      </c>
      <c r="U19" s="13">
        <f t="shared" si="3"/>
        <v>102.51976478556753</v>
      </c>
      <c r="V19" s="52">
        <v>0.52726063680416235</v>
      </c>
      <c r="W19" s="52">
        <v>0.47939307607356069</v>
      </c>
      <c r="X19" s="52">
        <v>0.58854174670744264</v>
      </c>
      <c r="Y19" s="51">
        <v>499832</v>
      </c>
      <c r="Z19" s="51">
        <v>390426</v>
      </c>
      <c r="AA19" s="14">
        <f t="shared" si="4"/>
        <v>0.52726063680416235</v>
      </c>
      <c r="AB19" s="12"/>
      <c r="AC19" s="12"/>
      <c r="AD19" s="12"/>
      <c r="AE19" s="12"/>
      <c r="AF19" s="52">
        <v>0.72005813976035193</v>
      </c>
      <c r="AG19" s="52">
        <v>0.67485840215654358</v>
      </c>
      <c r="AH19" s="52">
        <v>0.77619486759179779</v>
      </c>
      <c r="AI19" s="52">
        <f t="shared" si="5"/>
        <v>0.72005813976035193</v>
      </c>
      <c r="AJ19" s="12"/>
      <c r="AK19" s="12"/>
      <c r="AL19" s="12"/>
      <c r="AM19" s="12"/>
      <c r="AN19" s="12"/>
      <c r="AO19" s="12"/>
      <c r="AP19" s="12"/>
      <c r="AQ19" s="12"/>
      <c r="AR19" s="12"/>
      <c r="AS19" s="12"/>
      <c r="AT19" s="12"/>
      <c r="AU19" s="12"/>
      <c r="AV19" s="12"/>
      <c r="AW19" s="12"/>
      <c r="AX19" s="12"/>
      <c r="AY19" s="12"/>
      <c r="AZ19" s="12"/>
      <c r="BA19" s="12"/>
      <c r="BB19" s="59">
        <f t="shared" si="6"/>
        <v>2.951817261608514E-2</v>
      </c>
      <c r="BC19" s="17">
        <v>46399</v>
      </c>
      <c r="BD19" s="17">
        <v>68581</v>
      </c>
      <c r="BE19" s="17">
        <f t="shared" si="7"/>
        <v>114980</v>
      </c>
      <c r="BF19" s="17">
        <f t="shared" si="8"/>
        <v>26023</v>
      </c>
      <c r="BG19" s="17">
        <f t="shared" si="9"/>
        <v>4410</v>
      </c>
      <c r="BH19" s="17">
        <f t="shared" si="10"/>
        <v>30433</v>
      </c>
      <c r="BI19" s="10"/>
      <c r="BJ19" s="12"/>
      <c r="BK19" s="12"/>
      <c r="BL19" s="12"/>
      <c r="BM19" s="12"/>
      <c r="BN19" s="12"/>
      <c r="BO19" s="12"/>
      <c r="BP19" s="12"/>
      <c r="BQ19" s="10"/>
      <c r="BR19" s="12"/>
      <c r="BS19" s="12"/>
      <c r="BT19" s="12"/>
      <c r="BU19" s="12"/>
      <c r="BV19" s="12"/>
      <c r="BW19" s="12"/>
      <c r="BX19" s="12"/>
      <c r="BY19" s="51">
        <v>413915</v>
      </c>
      <c r="BZ19" s="51">
        <v>502952</v>
      </c>
      <c r="CA19" s="51">
        <f t="shared" si="11"/>
        <v>294986</v>
      </c>
      <c r="CB19" s="51">
        <f t="shared" si="12"/>
        <v>368230</v>
      </c>
      <c r="CC19" s="51">
        <v>46507</v>
      </c>
      <c r="CD19" s="51">
        <v>61731</v>
      </c>
      <c r="CE19" s="51">
        <v>72422</v>
      </c>
      <c r="CF19" s="51">
        <v>72991</v>
      </c>
      <c r="CG19" s="52">
        <f t="shared" si="13"/>
        <v>0.44478118742611761</v>
      </c>
      <c r="CH19" s="52">
        <f t="shared" si="14"/>
        <v>0.55521881257388239</v>
      </c>
      <c r="CI19" s="52">
        <f t="shared" si="15"/>
        <v>0.42967349729300247</v>
      </c>
      <c r="CJ19" s="52">
        <f t="shared" si="16"/>
        <v>0.57032650270699758</v>
      </c>
      <c r="CK19" s="52">
        <f t="shared" si="17"/>
        <v>0.49804350367573741</v>
      </c>
      <c r="CL19" s="52">
        <f t="shared" si="18"/>
        <v>0.50195649632426265</v>
      </c>
    </row>
    <row r="20" spans="2:90">
      <c r="B20" t="str">
        <f t="shared" si="0"/>
        <v>2023</v>
      </c>
      <c r="C20">
        <v>202316</v>
      </c>
      <c r="G20" s="51">
        <f t="shared" si="1"/>
        <v>930610</v>
      </c>
      <c r="H20" s="51">
        <v>407156</v>
      </c>
      <c r="I20" s="51">
        <v>523454</v>
      </c>
      <c r="J20" s="51">
        <v>672621</v>
      </c>
      <c r="K20" s="51">
        <v>107179</v>
      </c>
      <c r="L20" s="51">
        <v>150810</v>
      </c>
      <c r="M20" s="51">
        <v>849656.94090000005</v>
      </c>
      <c r="N20" s="51">
        <f>IF(G20&gt;0,SUM($G$5:G20),"-")</f>
        <v>15820426</v>
      </c>
      <c r="O20" s="11">
        <f t="shared" si="19"/>
        <v>14450729.112700002</v>
      </c>
      <c r="P20" s="51">
        <v>31336641</v>
      </c>
      <c r="Q20" s="51">
        <v>8127690</v>
      </c>
      <c r="R20" s="57">
        <v>819152854</v>
      </c>
      <c r="S20" s="51">
        <v>108168901</v>
      </c>
      <c r="T20" s="58">
        <f t="shared" si="2"/>
        <v>7.5138879334643513E-2</v>
      </c>
      <c r="U20" s="13">
        <f t="shared" si="3"/>
        <v>100.78544506495696</v>
      </c>
      <c r="V20" s="52">
        <v>0.52189345016390221</v>
      </c>
      <c r="W20" s="52">
        <v>0.47343606434834068</v>
      </c>
      <c r="X20" s="52">
        <v>0.58706591404155495</v>
      </c>
      <c r="Y20" s="51">
        <v>513704</v>
      </c>
      <c r="Z20" s="51">
        <v>381952</v>
      </c>
      <c r="AA20" s="14">
        <f t="shared" si="4"/>
        <v>0.52189345016390221</v>
      </c>
      <c r="AB20" s="12"/>
      <c r="AC20" s="12"/>
      <c r="AD20" s="12"/>
      <c r="AE20" s="12"/>
      <c r="AF20" s="52">
        <v>0.72634039398535843</v>
      </c>
      <c r="AG20" s="52">
        <v>0.68039065865204584</v>
      </c>
      <c r="AH20" s="52">
        <v>0.78561356776483138</v>
      </c>
      <c r="AI20" s="52">
        <f t="shared" si="5"/>
        <v>0.72634039398535843</v>
      </c>
      <c r="AJ20" s="12"/>
      <c r="AK20" s="12"/>
      <c r="AL20" s="12"/>
      <c r="AM20" s="12"/>
      <c r="AN20" s="12"/>
      <c r="AO20" s="12"/>
      <c r="AP20" s="12"/>
      <c r="AQ20" s="12"/>
      <c r="AR20" s="12"/>
      <c r="AS20" s="12"/>
      <c r="AT20" s="12"/>
      <c r="AU20" s="12"/>
      <c r="AV20" s="12"/>
      <c r="AW20" s="12"/>
      <c r="AX20" s="12"/>
      <c r="AY20" s="12"/>
      <c r="AZ20" s="12"/>
      <c r="BA20" s="12"/>
      <c r="BB20" s="59">
        <f t="shared" si="6"/>
        <v>2.9697184200438074E-2</v>
      </c>
      <c r="BC20" s="17">
        <v>45938</v>
      </c>
      <c r="BD20" s="17">
        <v>75635</v>
      </c>
      <c r="BE20" s="17">
        <f t="shared" si="7"/>
        <v>121573</v>
      </c>
      <c r="BF20" s="17">
        <f t="shared" si="8"/>
        <v>25250</v>
      </c>
      <c r="BG20" s="17">
        <f t="shared" si="9"/>
        <v>3987</v>
      </c>
      <c r="BH20" s="17">
        <f t="shared" si="10"/>
        <v>29237</v>
      </c>
      <c r="BI20" s="10"/>
      <c r="BJ20" s="12"/>
      <c r="BK20" s="12"/>
      <c r="BL20" s="12"/>
      <c r="BM20" s="12"/>
      <c r="BN20" s="12"/>
      <c r="BO20" s="12"/>
      <c r="BP20" s="12"/>
      <c r="BQ20" s="10"/>
      <c r="BR20" s="12"/>
      <c r="BS20" s="12"/>
      <c r="BT20" s="12"/>
      <c r="BU20" s="12"/>
      <c r="BV20" s="12"/>
      <c r="BW20" s="12"/>
      <c r="BX20" s="12"/>
      <c r="BY20" s="51">
        <v>407156</v>
      </c>
      <c r="BZ20" s="51">
        <v>523454</v>
      </c>
      <c r="CA20" s="51">
        <f t="shared" si="11"/>
        <v>290788</v>
      </c>
      <c r="CB20" s="51">
        <f t="shared" si="12"/>
        <v>381833</v>
      </c>
      <c r="CC20" s="51">
        <v>45180</v>
      </c>
      <c r="CD20" s="51">
        <v>61999</v>
      </c>
      <c r="CE20" s="51">
        <v>71188</v>
      </c>
      <c r="CF20" s="51">
        <v>79622</v>
      </c>
      <c r="CG20" s="52">
        <f t="shared" si="13"/>
        <v>0.4323207274230213</v>
      </c>
      <c r="CH20" s="52">
        <f t="shared" si="14"/>
        <v>0.5676792725769787</v>
      </c>
      <c r="CI20" s="52">
        <f t="shared" si="15"/>
        <v>0.42153780124837886</v>
      </c>
      <c r="CJ20" s="52">
        <f t="shared" si="16"/>
        <v>0.57846219875162108</v>
      </c>
      <c r="CK20" s="52">
        <f t="shared" si="17"/>
        <v>0.47203766328492808</v>
      </c>
      <c r="CL20" s="52">
        <f t="shared" si="18"/>
        <v>0.52796233671507198</v>
      </c>
    </row>
    <row r="21" spans="2:90">
      <c r="B21" t="str">
        <f t="shared" si="0"/>
        <v>2023</v>
      </c>
      <c r="C21">
        <v>202317</v>
      </c>
      <c r="G21" s="51">
        <f t="shared" si="1"/>
        <v>945790</v>
      </c>
      <c r="H21" s="51">
        <v>414888</v>
      </c>
      <c r="I21" s="51">
        <v>530902</v>
      </c>
      <c r="J21" s="51">
        <v>674962</v>
      </c>
      <c r="K21" s="51">
        <v>110334</v>
      </c>
      <c r="L21" s="51">
        <v>160494</v>
      </c>
      <c r="M21" s="51">
        <v>844367.57750000001</v>
      </c>
      <c r="N21" s="51">
        <f>IF(G21&gt;0,SUM($G$5:G21),"-")</f>
        <v>16766216</v>
      </c>
      <c r="O21" s="11">
        <f t="shared" si="19"/>
        <v>15295096.690200003</v>
      </c>
      <c r="P21" s="51">
        <v>31922565</v>
      </c>
      <c r="Q21" s="51">
        <v>8179119</v>
      </c>
      <c r="R21" s="57">
        <v>823868375</v>
      </c>
      <c r="S21" s="51">
        <v>110858631</v>
      </c>
      <c r="T21" s="58">
        <f t="shared" si="2"/>
        <v>7.3779722212156854E-2</v>
      </c>
      <c r="U21" s="13">
        <f t="shared" si="3"/>
        <v>100.7282538620602</v>
      </c>
      <c r="V21" s="52">
        <v>0.52254519590755255</v>
      </c>
      <c r="W21" s="52">
        <v>0.47383267630310988</v>
      </c>
      <c r="X21" s="52">
        <v>0.58806156166377777</v>
      </c>
      <c r="Y21" s="51">
        <v>513675</v>
      </c>
      <c r="Z21" s="51">
        <v>381926</v>
      </c>
      <c r="AA21" s="14">
        <f t="shared" si="4"/>
        <v>0.52254519590755255</v>
      </c>
      <c r="AB21" s="12"/>
      <c r="AC21" s="12"/>
      <c r="AD21" s="12"/>
      <c r="AE21" s="12"/>
      <c r="AF21" s="52">
        <v>0.73140000000000005</v>
      </c>
      <c r="AG21" s="52">
        <v>0.68300000000000005</v>
      </c>
      <c r="AH21" s="52">
        <v>0.79700000000000004</v>
      </c>
      <c r="AI21" s="52">
        <f t="shared" si="5"/>
        <v>0.73140000000000005</v>
      </c>
      <c r="AJ21" s="12"/>
      <c r="AK21" s="12"/>
      <c r="AL21" s="12"/>
      <c r="AM21" s="12"/>
      <c r="AN21" s="12"/>
      <c r="AO21" s="12"/>
      <c r="AP21" s="12"/>
      <c r="AQ21" s="12"/>
      <c r="AR21" s="12"/>
      <c r="AS21" s="12"/>
      <c r="AT21" s="12"/>
      <c r="AU21" s="12"/>
      <c r="AV21" s="12"/>
      <c r="AW21" s="12"/>
      <c r="AX21" s="12"/>
      <c r="AY21" s="12"/>
      <c r="AZ21" s="12"/>
      <c r="BA21" s="12"/>
      <c r="BB21" s="59">
        <f t="shared" si="6"/>
        <v>2.9627631739492111E-2</v>
      </c>
      <c r="BC21" s="17">
        <v>45959</v>
      </c>
      <c r="BD21" s="17">
        <v>81946</v>
      </c>
      <c r="BE21" s="17">
        <f t="shared" si="7"/>
        <v>127905</v>
      </c>
      <c r="BF21" s="17">
        <v>28539</v>
      </c>
      <c r="BG21" s="17">
        <f t="shared" ref="BG21:BG52" si="20">CF21-BD21</f>
        <v>4050</v>
      </c>
      <c r="BH21" s="17">
        <f t="shared" si="10"/>
        <v>32589</v>
      </c>
      <c r="BI21" s="10"/>
      <c r="BJ21" s="12"/>
      <c r="BK21" s="12"/>
      <c r="BL21" s="12"/>
      <c r="BM21" s="12"/>
      <c r="BN21" s="12"/>
      <c r="BO21" s="12"/>
      <c r="BP21" s="12"/>
      <c r="BQ21" s="10"/>
      <c r="BR21" s="12"/>
      <c r="BS21" s="12"/>
      <c r="BT21" s="12"/>
      <c r="BU21" s="12"/>
      <c r="BV21" s="12"/>
      <c r="BW21" s="12"/>
      <c r="BX21" s="12"/>
      <c r="BY21" s="51">
        <v>414888</v>
      </c>
      <c r="BZ21" s="51">
        <v>530902</v>
      </c>
      <c r="CA21" s="51">
        <f t="shared" si="11"/>
        <v>294740</v>
      </c>
      <c r="CB21" s="51">
        <f t="shared" si="12"/>
        <v>380222</v>
      </c>
      <c r="CC21" s="51">
        <v>45650</v>
      </c>
      <c r="CD21" s="51">
        <v>64684</v>
      </c>
      <c r="CE21" s="51">
        <v>74498</v>
      </c>
      <c r="CF21" s="51">
        <v>85996</v>
      </c>
      <c r="CG21" s="52">
        <f t="shared" si="13"/>
        <v>0.43667643511782883</v>
      </c>
      <c r="CH21" s="52">
        <f t="shared" si="14"/>
        <v>0.56332356488217117</v>
      </c>
      <c r="CI21" s="52">
        <f t="shared" si="15"/>
        <v>0.41374372360287853</v>
      </c>
      <c r="CJ21" s="52">
        <f t="shared" si="16"/>
        <v>0.58625627639712152</v>
      </c>
      <c r="CK21" s="52">
        <f t="shared" si="17"/>
        <v>0.46417934626839635</v>
      </c>
      <c r="CL21" s="52">
        <f t="shared" si="18"/>
        <v>0.5358206537316037</v>
      </c>
    </row>
    <row r="22" spans="2:90">
      <c r="B22" t="str">
        <f t="shared" si="0"/>
        <v>2023</v>
      </c>
      <c r="C22">
        <v>202318</v>
      </c>
      <c r="G22" s="51">
        <f t="shared" si="1"/>
        <v>994301</v>
      </c>
      <c r="H22" s="51">
        <v>432253</v>
      </c>
      <c r="I22" s="51">
        <v>562048</v>
      </c>
      <c r="J22" s="51">
        <v>713824</v>
      </c>
      <c r="K22" s="51">
        <v>112428</v>
      </c>
      <c r="L22" s="51">
        <v>168049</v>
      </c>
      <c r="M22" s="51">
        <v>846446.39179999998</v>
      </c>
      <c r="N22" s="51">
        <f>IF(G22&gt;0,SUM($G$5:G22),"-")</f>
        <v>17760517</v>
      </c>
      <c r="O22" s="11">
        <f t="shared" si="19"/>
        <v>16141543.082000002</v>
      </c>
      <c r="P22" s="51">
        <v>31931250</v>
      </c>
      <c r="Q22" s="51">
        <v>8167018</v>
      </c>
      <c r="R22" s="57">
        <v>771034581</v>
      </c>
      <c r="S22" s="51">
        <v>112569474</v>
      </c>
      <c r="T22" s="58">
        <f t="shared" si="2"/>
        <v>7.2550911981697636E-2</v>
      </c>
      <c r="U22" s="13">
        <f t="shared" si="3"/>
        <v>94.408336188312546</v>
      </c>
      <c r="V22" s="52">
        <v>0.52411585948155648</v>
      </c>
      <c r="W22" s="52">
        <v>0.47552936578486887</v>
      </c>
      <c r="X22" s="52">
        <v>0.58887293610911706</v>
      </c>
      <c r="Y22" s="51">
        <v>513690</v>
      </c>
      <c r="Z22" s="51">
        <v>381328</v>
      </c>
      <c r="AA22" s="14">
        <f t="shared" si="4"/>
        <v>0.52411585948155648</v>
      </c>
      <c r="AB22" s="12"/>
      <c r="AC22" s="12"/>
      <c r="AD22" s="12"/>
      <c r="AE22" s="12"/>
      <c r="AF22" s="52">
        <v>0.71799999999999997</v>
      </c>
      <c r="AG22" s="52">
        <v>0.66700000000000004</v>
      </c>
      <c r="AH22" s="52">
        <v>0.78900000000000003</v>
      </c>
      <c r="AI22" s="52">
        <f t="shared" si="5"/>
        <v>0.71799999999999997</v>
      </c>
      <c r="AJ22" s="12"/>
      <c r="AK22" s="12"/>
      <c r="AL22" s="12"/>
      <c r="AM22" s="12"/>
      <c r="AN22" s="12"/>
      <c r="AO22" s="12"/>
      <c r="AP22" s="12"/>
      <c r="AQ22" s="12"/>
      <c r="AR22" s="12"/>
      <c r="AS22" s="12"/>
      <c r="AT22" s="12"/>
      <c r="AU22" s="12"/>
      <c r="AV22" s="12"/>
      <c r="AW22" s="12"/>
      <c r="AX22" s="12"/>
      <c r="AY22" s="12"/>
      <c r="AZ22" s="12"/>
      <c r="BA22" s="12"/>
      <c r="BB22" s="59">
        <f t="shared" si="6"/>
        <v>3.1138806028577021E-2</v>
      </c>
      <c r="BC22" s="17">
        <v>45952</v>
      </c>
      <c r="BD22" s="17">
        <v>85910</v>
      </c>
      <c r="BE22" s="17">
        <f t="shared" si="7"/>
        <v>131862</v>
      </c>
      <c r="BF22" s="17">
        <f t="shared" ref="BF22:BF53" si="21">CE22-BC22</f>
        <v>31484</v>
      </c>
      <c r="BG22" s="17">
        <f t="shared" si="20"/>
        <v>4703</v>
      </c>
      <c r="BH22" s="17">
        <f t="shared" si="10"/>
        <v>36187</v>
      </c>
      <c r="BI22" s="10"/>
      <c r="BJ22" s="12"/>
      <c r="BK22" s="12"/>
      <c r="BL22" s="12"/>
      <c r="BM22" s="12"/>
      <c r="BN22" s="12"/>
      <c r="BO22" s="12"/>
      <c r="BP22" s="12"/>
      <c r="BQ22" s="10"/>
      <c r="BR22" s="12"/>
      <c r="BS22" s="12"/>
      <c r="BT22" s="12"/>
      <c r="BU22" s="12"/>
      <c r="BV22" s="12"/>
      <c r="BW22" s="12"/>
      <c r="BX22" s="12"/>
      <c r="BY22" s="51">
        <v>432253</v>
      </c>
      <c r="BZ22" s="51">
        <v>562048</v>
      </c>
      <c r="CA22" s="51">
        <f t="shared" si="11"/>
        <v>307766</v>
      </c>
      <c r="CB22" s="51">
        <f t="shared" si="12"/>
        <v>406058</v>
      </c>
      <c r="CC22" s="51">
        <v>47051</v>
      </c>
      <c r="CD22" s="51">
        <v>65377</v>
      </c>
      <c r="CE22" s="51">
        <v>77436</v>
      </c>
      <c r="CF22" s="51">
        <v>90613</v>
      </c>
      <c r="CG22" s="52">
        <f t="shared" si="13"/>
        <v>0.43115109606849866</v>
      </c>
      <c r="CH22" s="52">
        <f t="shared" si="14"/>
        <v>0.56884890393150134</v>
      </c>
      <c r="CI22" s="52">
        <f t="shared" si="15"/>
        <v>0.41849895043939234</v>
      </c>
      <c r="CJ22" s="52">
        <f t="shared" si="16"/>
        <v>0.58150104956060766</v>
      </c>
      <c r="CK22" s="52">
        <f t="shared" si="17"/>
        <v>0.46079417312807575</v>
      </c>
      <c r="CL22" s="52">
        <f t="shared" si="18"/>
        <v>0.53920582687192431</v>
      </c>
    </row>
    <row r="23" spans="2:90">
      <c r="B23" t="str">
        <f t="shared" si="0"/>
        <v>2023</v>
      </c>
      <c r="C23">
        <v>202319</v>
      </c>
      <c r="G23" s="51">
        <f t="shared" si="1"/>
        <v>1017198</v>
      </c>
      <c r="H23" s="51">
        <v>445097</v>
      </c>
      <c r="I23" s="51">
        <v>572101</v>
      </c>
      <c r="J23" s="51">
        <v>748454</v>
      </c>
      <c r="K23" s="51">
        <v>119235</v>
      </c>
      <c r="L23" s="51">
        <v>149509</v>
      </c>
      <c r="M23" s="51">
        <v>857903.94680000003</v>
      </c>
      <c r="N23" s="51">
        <f>IF(G23&gt;0,SUM($G$5:G23),"-")</f>
        <v>18777715</v>
      </c>
      <c r="O23" s="11">
        <f t="shared" si="19"/>
        <v>16999447.028800003</v>
      </c>
      <c r="P23" s="51">
        <v>31930389</v>
      </c>
      <c r="Q23" s="51">
        <v>8632309</v>
      </c>
      <c r="R23" s="57">
        <v>819114004</v>
      </c>
      <c r="S23" s="51">
        <v>115787863</v>
      </c>
      <c r="T23" s="58">
        <f t="shared" si="2"/>
        <v>7.4552796608743005E-2</v>
      </c>
      <c r="U23" s="13">
        <f t="shared" si="3"/>
        <v>94.889328451981967</v>
      </c>
      <c r="V23" s="52">
        <v>0.52544664596422042</v>
      </c>
      <c r="W23" s="52">
        <v>0.48035886671803463</v>
      </c>
      <c r="X23" s="52">
        <v>0.58361766164435847</v>
      </c>
      <c r="Y23" s="51">
        <v>564555</v>
      </c>
      <c r="Z23" s="51">
        <v>437581</v>
      </c>
      <c r="AA23" s="14">
        <f t="shared" si="4"/>
        <v>0.52544664596422042</v>
      </c>
      <c r="AB23" s="12"/>
      <c r="AC23" s="12"/>
      <c r="AD23" s="12"/>
      <c r="AE23" s="12"/>
      <c r="AF23" s="52">
        <v>0.71880822887336837</v>
      </c>
      <c r="AG23" s="52">
        <v>0.67738671662310079</v>
      </c>
      <c r="AH23" s="52">
        <v>0.77291231818107498</v>
      </c>
      <c r="AI23" s="52">
        <f t="shared" si="5"/>
        <v>0.71880822887336837</v>
      </c>
      <c r="AJ23" s="52">
        <f t="shared" ref="AJ23:BA23" si="22">AG23</f>
        <v>0.67738671662310079</v>
      </c>
      <c r="AK23" s="52">
        <f t="shared" si="22"/>
        <v>0.77291231818107498</v>
      </c>
      <c r="AL23" s="52">
        <f t="shared" si="22"/>
        <v>0.71880822887336837</v>
      </c>
      <c r="AM23" s="52">
        <f t="shared" si="22"/>
        <v>0.67738671662310079</v>
      </c>
      <c r="AN23" s="52">
        <f t="shared" si="22"/>
        <v>0.77291231818107498</v>
      </c>
      <c r="AO23" s="52">
        <f t="shared" si="22"/>
        <v>0.71880822887336837</v>
      </c>
      <c r="AP23" s="52">
        <f t="shared" si="22"/>
        <v>0.67738671662310079</v>
      </c>
      <c r="AQ23" s="52">
        <f t="shared" si="22"/>
        <v>0.77291231818107498</v>
      </c>
      <c r="AR23" s="52">
        <f t="shared" si="22"/>
        <v>0.71880822887336837</v>
      </c>
      <c r="AS23" s="52">
        <f t="shared" si="22"/>
        <v>0.67738671662310079</v>
      </c>
      <c r="AT23" s="52">
        <f t="shared" si="22"/>
        <v>0.77291231818107498</v>
      </c>
      <c r="AU23" s="52">
        <f t="shared" si="22"/>
        <v>0.71880822887336837</v>
      </c>
      <c r="AV23" s="52">
        <f t="shared" si="22"/>
        <v>0.67738671662310079</v>
      </c>
      <c r="AW23" s="52">
        <f t="shared" si="22"/>
        <v>0.77291231818107498</v>
      </c>
      <c r="AX23" s="52">
        <f t="shared" si="22"/>
        <v>0.71880822887336837</v>
      </c>
      <c r="AY23" s="52">
        <f t="shared" si="22"/>
        <v>0.67738671662310079</v>
      </c>
      <c r="AZ23" s="52">
        <f t="shared" si="22"/>
        <v>0.77291231818107498</v>
      </c>
      <c r="BA23" s="52">
        <f t="shared" si="22"/>
        <v>0.71880822887336837</v>
      </c>
      <c r="BB23" s="59">
        <f t="shared" si="6"/>
        <v>3.1856736853409458E-2</v>
      </c>
      <c r="BC23" s="17">
        <v>48415</v>
      </c>
      <c r="BD23" s="17">
        <v>61932</v>
      </c>
      <c r="BE23" s="17">
        <f t="shared" si="7"/>
        <v>110347</v>
      </c>
      <c r="BF23" s="17">
        <f t="shared" si="21"/>
        <v>33785</v>
      </c>
      <c r="BG23" s="17">
        <f t="shared" si="20"/>
        <v>5377</v>
      </c>
      <c r="BH23" s="17">
        <f t="shared" si="10"/>
        <v>39162</v>
      </c>
      <c r="BI23" s="10"/>
      <c r="BJ23" s="12"/>
      <c r="BK23" s="12"/>
      <c r="BL23" s="12"/>
      <c r="BM23" s="12"/>
      <c r="BN23" s="12"/>
      <c r="BO23" s="12"/>
      <c r="BP23" s="12"/>
      <c r="BQ23" s="10"/>
      <c r="BR23" s="12"/>
      <c r="BS23" s="12"/>
      <c r="BT23" s="12"/>
      <c r="BU23" s="12"/>
      <c r="BV23" s="12"/>
      <c r="BW23" s="12"/>
      <c r="BX23" s="12"/>
      <c r="BY23" s="51">
        <v>445097</v>
      </c>
      <c r="BZ23" s="51">
        <v>572101</v>
      </c>
      <c r="CA23" s="51">
        <f t="shared" si="11"/>
        <v>312988</v>
      </c>
      <c r="CB23" s="51">
        <f t="shared" si="12"/>
        <v>435466</v>
      </c>
      <c r="CC23" s="51">
        <v>49909</v>
      </c>
      <c r="CD23" s="51">
        <v>69326</v>
      </c>
      <c r="CE23" s="51">
        <v>82200</v>
      </c>
      <c r="CF23" s="51">
        <v>67309</v>
      </c>
      <c r="CG23" s="52">
        <f t="shared" si="13"/>
        <v>0.41817934034690174</v>
      </c>
      <c r="CH23" s="52">
        <f t="shared" si="14"/>
        <v>0.58182065965309826</v>
      </c>
      <c r="CI23" s="52">
        <f t="shared" si="15"/>
        <v>0.41857676017947748</v>
      </c>
      <c r="CJ23" s="52">
        <f t="shared" si="16"/>
        <v>0.58142323982052246</v>
      </c>
      <c r="CK23" s="52">
        <f t="shared" si="17"/>
        <v>0.54979967761138127</v>
      </c>
      <c r="CL23" s="52">
        <f t="shared" si="18"/>
        <v>0.45020032238861873</v>
      </c>
    </row>
    <row r="24" spans="2:90">
      <c r="B24" t="str">
        <f t="shared" si="0"/>
        <v>2023</v>
      </c>
      <c r="C24">
        <v>202320</v>
      </c>
      <c r="G24" s="51">
        <f t="shared" si="1"/>
        <v>995009</v>
      </c>
      <c r="H24" s="51">
        <v>433556</v>
      </c>
      <c r="I24" s="51">
        <v>561453</v>
      </c>
      <c r="J24" s="51">
        <v>729622</v>
      </c>
      <c r="K24" s="51">
        <v>120954</v>
      </c>
      <c r="L24" s="51">
        <v>144433</v>
      </c>
      <c r="M24" s="51">
        <v>864035.00890000002</v>
      </c>
      <c r="N24" s="51">
        <f>IF(G24&gt;0,SUM($G$5:G24),"-")</f>
        <v>19772724</v>
      </c>
      <c r="O24" s="11">
        <f t="shared" si="19"/>
        <v>17863482.037700005</v>
      </c>
      <c r="P24" s="51">
        <v>32751177</v>
      </c>
      <c r="Q24" s="51">
        <v>8597888</v>
      </c>
      <c r="R24" s="57">
        <v>815785444</v>
      </c>
      <c r="S24" s="51">
        <v>114348335</v>
      </c>
      <c r="T24" s="58">
        <f t="shared" si="2"/>
        <v>7.5190320873495878E-2</v>
      </c>
      <c r="U24" s="13">
        <f t="shared" si="3"/>
        <v>94.882073830224357</v>
      </c>
      <c r="V24" s="52">
        <f>IFERROR((W24*Y24+X24*Z24)/SUM(Y24:Z24),"-")</f>
        <v>0.52208366864829603</v>
      </c>
      <c r="W24" s="52">
        <v>0.48199999999999998</v>
      </c>
      <c r="X24" s="52">
        <v>0.57399999999999995</v>
      </c>
      <c r="Y24" s="51">
        <v>556345</v>
      </c>
      <c r="Z24" s="51">
        <v>429544</v>
      </c>
      <c r="AA24" s="14">
        <f t="shared" si="4"/>
        <v>0.52208366864829603</v>
      </c>
      <c r="AB24" s="12"/>
      <c r="AC24" s="12"/>
      <c r="AD24" s="12"/>
      <c r="AE24" s="12"/>
      <c r="AF24" s="52">
        <v>0.7236538141229123</v>
      </c>
      <c r="AG24" s="52">
        <v>0.68894689253970687</v>
      </c>
      <c r="AH24" s="52">
        <v>0.76891459718012178</v>
      </c>
      <c r="AI24" s="52">
        <f t="shared" si="5"/>
        <v>0.7236538141229123</v>
      </c>
      <c r="AJ24" s="12"/>
      <c r="AK24" s="12"/>
      <c r="AL24" s="12"/>
      <c r="AM24" s="12"/>
      <c r="AN24" s="12"/>
      <c r="AO24" s="12"/>
      <c r="AP24" s="12"/>
      <c r="AQ24" s="12"/>
      <c r="AR24" s="12"/>
      <c r="AS24" s="12"/>
      <c r="AT24" s="12"/>
      <c r="AU24" s="12"/>
      <c r="AV24" s="12"/>
      <c r="AW24" s="12"/>
      <c r="AX24" s="12"/>
      <c r="AY24" s="12"/>
      <c r="AZ24" s="12"/>
      <c r="BA24" s="12"/>
      <c r="BB24" s="59">
        <f t="shared" si="6"/>
        <v>3.0380862342748782E-2</v>
      </c>
      <c r="BC24" s="17">
        <v>47780</v>
      </c>
      <c r="BD24" s="17">
        <v>54239</v>
      </c>
      <c r="BE24" s="17">
        <f t="shared" si="7"/>
        <v>102019</v>
      </c>
      <c r="BF24" s="17">
        <f t="shared" si="21"/>
        <v>37190</v>
      </c>
      <c r="BG24" s="17">
        <f t="shared" si="20"/>
        <v>5224</v>
      </c>
      <c r="BH24" s="17">
        <f t="shared" si="10"/>
        <v>42414</v>
      </c>
      <c r="BI24" s="10"/>
      <c r="BJ24" s="12"/>
      <c r="BK24" s="12"/>
      <c r="BL24" s="12"/>
      <c r="BM24" s="12"/>
      <c r="BN24" s="12"/>
      <c r="BO24" s="12"/>
      <c r="BP24" s="12"/>
      <c r="BQ24" s="10"/>
      <c r="BR24" s="12"/>
      <c r="BS24" s="12"/>
      <c r="BT24" s="12"/>
      <c r="BU24" s="12"/>
      <c r="BV24" s="12"/>
      <c r="BW24" s="12"/>
      <c r="BX24" s="12"/>
      <c r="BY24" s="51">
        <v>433556</v>
      </c>
      <c r="BZ24" s="51">
        <v>561453</v>
      </c>
      <c r="CA24" s="51">
        <f t="shared" si="11"/>
        <v>298996</v>
      </c>
      <c r="CB24" s="51">
        <f t="shared" si="12"/>
        <v>430626</v>
      </c>
      <c r="CC24" s="51">
        <v>49590</v>
      </c>
      <c r="CD24" s="51">
        <v>71364</v>
      </c>
      <c r="CE24" s="51">
        <v>84970</v>
      </c>
      <c r="CF24" s="51">
        <v>59463</v>
      </c>
      <c r="CG24" s="52">
        <f t="shared" si="13"/>
        <v>0.40979575725512662</v>
      </c>
      <c r="CH24" s="52">
        <f t="shared" si="14"/>
        <v>0.59020424274487338</v>
      </c>
      <c r="CI24" s="52">
        <f t="shared" si="15"/>
        <v>0.40999057492931196</v>
      </c>
      <c r="CJ24" s="52">
        <f t="shared" si="16"/>
        <v>0.59000942507068799</v>
      </c>
      <c r="CK24" s="52">
        <f t="shared" si="17"/>
        <v>0.58830045765164474</v>
      </c>
      <c r="CL24" s="52">
        <f t="shared" si="18"/>
        <v>0.41169954234835532</v>
      </c>
    </row>
    <row r="25" spans="2:90">
      <c r="B25" t="str">
        <f t="shared" si="0"/>
        <v>2023</v>
      </c>
      <c r="C25">
        <v>202321</v>
      </c>
      <c r="G25" s="51">
        <f t="shared" si="1"/>
        <v>973227</v>
      </c>
      <c r="H25" s="51">
        <v>421670</v>
      </c>
      <c r="I25" s="51">
        <v>551557</v>
      </c>
      <c r="J25" s="51">
        <v>708839</v>
      </c>
      <c r="K25" s="51">
        <v>116623</v>
      </c>
      <c r="L25" s="51">
        <v>147765</v>
      </c>
      <c r="M25" s="51">
        <v>873013.26659999997</v>
      </c>
      <c r="N25" s="51">
        <f>IF(G25&gt;0,SUM($G$5:G25),"-")</f>
        <v>20745951</v>
      </c>
      <c r="O25" s="11">
        <f t="shared" si="19"/>
        <v>18736495.304300006</v>
      </c>
      <c r="P25" s="51">
        <v>32503287</v>
      </c>
      <c r="Q25" s="51">
        <v>8271628</v>
      </c>
      <c r="R25" s="57">
        <v>766130945</v>
      </c>
      <c r="S25" s="51">
        <v>111190966</v>
      </c>
      <c r="T25" s="58">
        <f t="shared" si="2"/>
        <v>7.4391187499890959E-2</v>
      </c>
      <c r="U25" s="13">
        <f t="shared" si="3"/>
        <v>92.621542579042483</v>
      </c>
      <c r="V25" s="52">
        <f>IFERROR((W25*Y25+X25*Z25)/SUM(Y25:Z25),"-")</f>
        <v>0.52135751292638854</v>
      </c>
      <c r="W25" s="52">
        <v>0.48099999999999998</v>
      </c>
      <c r="X25" s="52">
        <v>0.57399999999999995</v>
      </c>
      <c r="Y25" s="51">
        <v>543545</v>
      </c>
      <c r="Z25" s="51">
        <v>416700</v>
      </c>
      <c r="AA25" s="14">
        <f t="shared" si="4"/>
        <v>0.52135751292638854</v>
      </c>
      <c r="AB25" s="12"/>
      <c r="AC25" s="12"/>
      <c r="AD25" s="12"/>
      <c r="AE25" s="12"/>
      <c r="AF25" s="52"/>
      <c r="AG25" s="52"/>
      <c r="AH25" s="52"/>
      <c r="AI25" s="52"/>
      <c r="AJ25" s="12"/>
      <c r="AK25" s="12"/>
      <c r="AL25" s="12"/>
      <c r="AM25" s="12"/>
      <c r="AN25" s="12"/>
      <c r="AO25" s="12"/>
      <c r="AP25" s="12"/>
      <c r="AQ25" s="12"/>
      <c r="AR25" s="12"/>
      <c r="AS25" s="12"/>
      <c r="AT25" s="12"/>
      <c r="AU25" s="12"/>
      <c r="AV25" s="12"/>
      <c r="AW25" s="12"/>
      <c r="AX25" s="12"/>
      <c r="AY25" s="12"/>
      <c r="AZ25" s="12"/>
      <c r="BA25" s="12"/>
      <c r="BB25" s="59">
        <f t="shared" si="6"/>
        <v>2.9942417823772716E-2</v>
      </c>
      <c r="BC25" s="17">
        <v>48443</v>
      </c>
      <c r="BD25" s="17">
        <v>68622</v>
      </c>
      <c r="BE25" s="17">
        <f t="shared" si="7"/>
        <v>117065</v>
      </c>
      <c r="BF25" s="17">
        <f t="shared" si="21"/>
        <v>26069</v>
      </c>
      <c r="BG25" s="17">
        <f t="shared" si="20"/>
        <v>4631</v>
      </c>
      <c r="BH25" s="17">
        <f t="shared" si="10"/>
        <v>30700</v>
      </c>
      <c r="BI25" s="10"/>
      <c r="BJ25" s="12"/>
      <c r="BK25" s="12"/>
      <c r="BL25" s="12"/>
      <c r="BM25" s="12"/>
      <c r="BN25" s="12"/>
      <c r="BO25" s="12"/>
      <c r="BP25" s="12"/>
      <c r="BQ25" s="10"/>
      <c r="BR25" s="12"/>
      <c r="BS25" s="12"/>
      <c r="BT25" s="12"/>
      <c r="BU25" s="12"/>
      <c r="BV25" s="12"/>
      <c r="BW25" s="12"/>
      <c r="BX25" s="12"/>
      <c r="BY25" s="51">
        <v>421670</v>
      </c>
      <c r="BZ25" s="51">
        <v>551557</v>
      </c>
      <c r="CA25" s="51">
        <f t="shared" si="11"/>
        <v>299546</v>
      </c>
      <c r="CB25" s="51">
        <f t="shared" si="12"/>
        <v>409293</v>
      </c>
      <c r="CC25" s="51">
        <v>47612</v>
      </c>
      <c r="CD25" s="51">
        <v>69011</v>
      </c>
      <c r="CE25" s="51">
        <v>74512</v>
      </c>
      <c r="CF25" s="51">
        <v>73253</v>
      </c>
      <c r="CG25" s="52">
        <f t="shared" si="13"/>
        <v>0.42258679333388821</v>
      </c>
      <c r="CH25" s="52">
        <f t="shared" si="14"/>
        <v>0.57741320666611173</v>
      </c>
      <c r="CI25" s="52">
        <f t="shared" si="15"/>
        <v>0.40825566140469721</v>
      </c>
      <c r="CJ25" s="52">
        <f t="shared" si="16"/>
        <v>0.59174433859530284</v>
      </c>
      <c r="CK25" s="52">
        <f t="shared" si="17"/>
        <v>0.50426014279430176</v>
      </c>
      <c r="CL25" s="52">
        <f t="shared" si="18"/>
        <v>0.49573985720569824</v>
      </c>
    </row>
    <row r="26" spans="2:90">
      <c r="B26" t="str">
        <f t="shared" si="0"/>
        <v>2023</v>
      </c>
      <c r="C26">
        <v>202322</v>
      </c>
      <c r="G26" s="51">
        <f t="shared" si="1"/>
        <v>988955</v>
      </c>
      <c r="H26" s="51">
        <v>436476</v>
      </c>
      <c r="I26" s="51">
        <v>552479</v>
      </c>
      <c r="J26" s="51">
        <v>688740</v>
      </c>
      <c r="K26" s="51">
        <v>113601</v>
      </c>
      <c r="L26" s="51">
        <v>186614</v>
      </c>
      <c r="M26" s="51">
        <v>883630.67890000006</v>
      </c>
      <c r="N26" s="51">
        <f>IF(G26&gt;0,SUM($G$5:G26),"-")</f>
        <v>21734906</v>
      </c>
      <c r="O26" s="11">
        <f t="shared" si="19"/>
        <v>19620125.983200006</v>
      </c>
      <c r="P26" s="51">
        <v>32806529</v>
      </c>
      <c r="Q26" s="51">
        <v>8326897</v>
      </c>
      <c r="R26" s="57">
        <v>781816810</v>
      </c>
      <c r="S26" s="51">
        <v>114220222</v>
      </c>
      <c r="T26" s="58">
        <f t="shared" si="2"/>
        <v>7.2902125859990008E-2</v>
      </c>
      <c r="U26" s="13">
        <f t="shared" si="3"/>
        <v>93.890534493221182</v>
      </c>
      <c r="V26" s="52">
        <v>0.53258928800611938</v>
      </c>
      <c r="W26" s="52">
        <v>0.49417322661021812</v>
      </c>
      <c r="X26" s="52">
        <v>0.58123808881121974</v>
      </c>
      <c r="Y26" s="51">
        <v>544212</v>
      </c>
      <c r="Z26" s="51">
        <v>429743</v>
      </c>
      <c r="AA26" s="14">
        <f t="shared" si="4"/>
        <v>0.53258928800611938</v>
      </c>
      <c r="AB26" s="12"/>
      <c r="AC26" s="12"/>
      <c r="AD26" s="12"/>
      <c r="AE26" s="12"/>
      <c r="AF26" s="52"/>
      <c r="AG26" s="52"/>
      <c r="AH26" s="52"/>
      <c r="AI26" s="52"/>
      <c r="AJ26" s="12"/>
      <c r="AK26" s="12"/>
      <c r="AL26" s="12"/>
      <c r="AM26" s="12"/>
      <c r="AN26" s="12"/>
      <c r="AO26" s="12"/>
      <c r="AP26" s="12"/>
      <c r="AQ26" s="12"/>
      <c r="AR26" s="12"/>
      <c r="AS26" s="12"/>
      <c r="AT26" s="12"/>
      <c r="AU26" s="12"/>
      <c r="AV26" s="12"/>
      <c r="AW26" s="12"/>
      <c r="AX26" s="12"/>
      <c r="AY26" s="12"/>
      <c r="AZ26" s="12"/>
      <c r="BA26" s="12"/>
      <c r="BB26" s="59">
        <f t="shared" si="6"/>
        <v>3.0145066550624725E-2</v>
      </c>
      <c r="BC26" s="17">
        <v>68360</v>
      </c>
      <c r="BD26" s="17">
        <v>92158</v>
      </c>
      <c r="BE26" s="17">
        <f t="shared" si="7"/>
        <v>160518</v>
      </c>
      <c r="BF26" s="17">
        <f t="shared" si="21"/>
        <v>22391</v>
      </c>
      <c r="BG26" s="17">
        <f t="shared" si="20"/>
        <v>3705</v>
      </c>
      <c r="BH26" s="17">
        <f t="shared" si="10"/>
        <v>26096</v>
      </c>
      <c r="BI26" s="10"/>
      <c r="BJ26" s="12"/>
      <c r="BK26" s="12"/>
      <c r="BL26" s="12"/>
      <c r="BM26" s="12"/>
      <c r="BN26" s="12"/>
      <c r="BO26" s="12"/>
      <c r="BP26" s="12"/>
      <c r="BQ26" s="10"/>
      <c r="BR26" s="12"/>
      <c r="BS26" s="12"/>
      <c r="BT26" s="12"/>
      <c r="BU26" s="12"/>
      <c r="BV26" s="12"/>
      <c r="BW26" s="12"/>
      <c r="BX26" s="12"/>
      <c r="BY26" s="51">
        <v>436476</v>
      </c>
      <c r="BZ26" s="51">
        <v>552479</v>
      </c>
      <c r="CA26" s="51">
        <f t="shared" si="11"/>
        <v>298687</v>
      </c>
      <c r="CB26" s="51">
        <f t="shared" si="12"/>
        <v>390053</v>
      </c>
      <c r="CC26" s="51">
        <v>47038</v>
      </c>
      <c r="CD26" s="51">
        <v>66563</v>
      </c>
      <c r="CE26" s="51">
        <v>90751</v>
      </c>
      <c r="CF26" s="51">
        <v>95863</v>
      </c>
      <c r="CG26" s="52">
        <f t="shared" si="13"/>
        <v>0.43367163225600369</v>
      </c>
      <c r="CH26" s="52">
        <f t="shared" si="14"/>
        <v>0.56632836774399631</v>
      </c>
      <c r="CI26" s="52">
        <f t="shared" si="15"/>
        <v>0.41406325648541825</v>
      </c>
      <c r="CJ26" s="52">
        <f t="shared" si="16"/>
        <v>0.58593674351458169</v>
      </c>
      <c r="CK26" s="52">
        <f t="shared" si="17"/>
        <v>0.48630327842498416</v>
      </c>
      <c r="CL26" s="52">
        <f t="shared" si="18"/>
        <v>0.51369672157501578</v>
      </c>
    </row>
    <row r="27" spans="2:90">
      <c r="B27" t="str">
        <f t="shared" si="0"/>
        <v>2023</v>
      </c>
      <c r="C27">
        <v>202323</v>
      </c>
      <c r="G27" s="51">
        <f t="shared" si="1"/>
        <v>1040572</v>
      </c>
      <c r="H27" s="51">
        <v>468548</v>
      </c>
      <c r="I27" s="51">
        <v>572024</v>
      </c>
      <c r="J27" s="51">
        <v>726466</v>
      </c>
      <c r="K27" s="51">
        <v>119471</v>
      </c>
      <c r="L27" s="51">
        <v>194635</v>
      </c>
      <c r="M27" s="51">
        <v>891116.37360000005</v>
      </c>
      <c r="N27" s="51">
        <f>IF(G27&gt;0,SUM($G$5:G27),"-")</f>
        <v>22775478</v>
      </c>
      <c r="O27" s="11">
        <f t="shared" si="19"/>
        <v>20511242.356800005</v>
      </c>
      <c r="P27" s="51">
        <v>33563838</v>
      </c>
      <c r="Q27" s="51">
        <v>8597353</v>
      </c>
      <c r="R27" s="57">
        <v>821670408</v>
      </c>
      <c r="S27" s="51">
        <v>118125293</v>
      </c>
      <c r="T27" s="58">
        <f t="shared" si="2"/>
        <v>7.2781643809340643E-2</v>
      </c>
      <c r="U27" s="13">
        <f t="shared" si="3"/>
        <v>95.572487020132826</v>
      </c>
      <c r="V27" s="52">
        <v>0.5458893906469946</v>
      </c>
      <c r="W27" s="52">
        <v>0.51157634986301803</v>
      </c>
      <c r="X27" s="52">
        <v>0.58767305673121684</v>
      </c>
      <c r="Y27" s="51">
        <v>562483</v>
      </c>
      <c r="Z27" s="51">
        <v>461915</v>
      </c>
      <c r="AA27" s="14">
        <f t="shared" si="4"/>
        <v>0.5458893906469946</v>
      </c>
      <c r="AB27" s="12"/>
      <c r="AC27" s="12"/>
      <c r="AD27" s="12"/>
      <c r="AE27" s="12"/>
      <c r="AF27" s="52"/>
      <c r="AG27" s="52"/>
      <c r="AH27" s="52"/>
      <c r="AI27" s="52"/>
      <c r="AJ27" s="12"/>
      <c r="AK27" s="12"/>
      <c r="AL27" s="12"/>
      <c r="AM27" s="12"/>
      <c r="AN27" s="12"/>
      <c r="AO27" s="12"/>
      <c r="AP27" s="12"/>
      <c r="AQ27" s="12"/>
      <c r="AR27" s="12"/>
      <c r="AS27" s="12"/>
      <c r="AT27" s="12"/>
      <c r="AU27" s="12"/>
      <c r="AV27" s="12"/>
      <c r="AW27" s="12"/>
      <c r="AX27" s="12"/>
      <c r="AY27" s="12"/>
      <c r="AZ27" s="12"/>
      <c r="BA27" s="12"/>
      <c r="BB27" s="59">
        <f t="shared" si="6"/>
        <v>3.100277149472596E-2</v>
      </c>
      <c r="BC27" s="17">
        <v>81227</v>
      </c>
      <c r="BD27" s="17">
        <v>82425</v>
      </c>
      <c r="BE27" s="17">
        <f t="shared" si="7"/>
        <v>163652</v>
      </c>
      <c r="BF27" s="17">
        <f t="shared" si="21"/>
        <v>26196</v>
      </c>
      <c r="BG27" s="17">
        <f t="shared" si="20"/>
        <v>4787</v>
      </c>
      <c r="BH27" s="17">
        <f t="shared" si="10"/>
        <v>30983</v>
      </c>
      <c r="BI27" s="10"/>
      <c r="BJ27" s="12"/>
      <c r="BK27" s="12"/>
      <c r="BL27" s="12"/>
      <c r="BM27" s="12"/>
      <c r="BN27" s="12"/>
      <c r="BO27" s="12"/>
      <c r="BP27" s="12"/>
      <c r="BQ27" s="10"/>
      <c r="BR27" s="12"/>
      <c r="BS27" s="12"/>
      <c r="BT27" s="12"/>
      <c r="BU27" s="12"/>
      <c r="BV27" s="12"/>
      <c r="BW27" s="12"/>
      <c r="BX27" s="12"/>
      <c r="BY27" s="51">
        <v>468548</v>
      </c>
      <c r="BZ27" s="51">
        <v>572024</v>
      </c>
      <c r="CA27" s="51">
        <f t="shared" si="11"/>
        <v>310641</v>
      </c>
      <c r="CB27" s="51">
        <f t="shared" si="12"/>
        <v>415825</v>
      </c>
      <c r="CC27" s="51">
        <v>50484</v>
      </c>
      <c r="CD27" s="51">
        <v>68987</v>
      </c>
      <c r="CE27" s="51">
        <v>107423</v>
      </c>
      <c r="CF27" s="51">
        <v>87212</v>
      </c>
      <c r="CG27" s="52">
        <f t="shared" si="13"/>
        <v>0.42760569661897457</v>
      </c>
      <c r="CH27" s="52">
        <f t="shared" si="14"/>
        <v>0.57239430338102537</v>
      </c>
      <c r="CI27" s="52">
        <f t="shared" si="15"/>
        <v>0.42256279766637928</v>
      </c>
      <c r="CJ27" s="52">
        <f t="shared" si="16"/>
        <v>0.57743720233362072</v>
      </c>
      <c r="CK27" s="52">
        <f t="shared" si="17"/>
        <v>0.55192026100136149</v>
      </c>
      <c r="CL27" s="52">
        <f t="shared" si="18"/>
        <v>0.44807973899863845</v>
      </c>
    </row>
    <row r="28" spans="2:90">
      <c r="B28" t="str">
        <f t="shared" si="0"/>
        <v>2023</v>
      </c>
      <c r="C28">
        <v>202324</v>
      </c>
      <c r="G28" s="51">
        <f t="shared" si="1"/>
        <v>1087641</v>
      </c>
      <c r="H28" s="51">
        <v>478704</v>
      </c>
      <c r="I28" s="51">
        <v>608937</v>
      </c>
      <c r="J28" s="51">
        <v>749502</v>
      </c>
      <c r="K28" s="51">
        <v>126860</v>
      </c>
      <c r="L28" s="51">
        <v>211279</v>
      </c>
      <c r="M28" s="51">
        <v>900662.18960000004</v>
      </c>
      <c r="N28" s="51">
        <f>IF(G28&gt;0,SUM($G$5:G28),"-")</f>
        <v>23863119</v>
      </c>
      <c r="O28" s="11">
        <f t="shared" si="19"/>
        <v>21411904.546400003</v>
      </c>
      <c r="P28" s="51">
        <v>34683545</v>
      </c>
      <c r="Q28" s="51">
        <v>9144911</v>
      </c>
      <c r="R28" s="57">
        <v>869296129</v>
      </c>
      <c r="S28" s="51">
        <v>128687811</v>
      </c>
      <c r="T28" s="58">
        <f t="shared" si="2"/>
        <v>7.1062759782276511E-2</v>
      </c>
      <c r="U28" s="13">
        <f t="shared" si="3"/>
        <v>95.057910241007264</v>
      </c>
      <c r="V28" s="52" t="str">
        <f t="shared" ref="V28:V56" si="23">IFERROR((W28*Y28+X28*Z28)/SUM(Y28:Z28),"-")</f>
        <v>-</v>
      </c>
      <c r="W28" s="52"/>
      <c r="X28" s="52"/>
      <c r="Y28" s="51"/>
      <c r="Z28" s="51"/>
      <c r="AA28" s="14" t="str">
        <f t="shared" si="4"/>
        <v>-</v>
      </c>
      <c r="AB28" s="12"/>
      <c r="AC28" s="12"/>
      <c r="AD28" s="12"/>
      <c r="AE28" s="12"/>
      <c r="AF28" s="52"/>
      <c r="AG28" s="52"/>
      <c r="AH28" s="52"/>
      <c r="AI28" s="52"/>
      <c r="AJ28" s="12"/>
      <c r="AK28" s="12"/>
      <c r="AL28" s="12"/>
      <c r="AM28" s="12"/>
      <c r="AN28" s="12"/>
      <c r="AO28" s="12"/>
      <c r="AP28" s="12"/>
      <c r="AQ28" s="12"/>
      <c r="AR28" s="12"/>
      <c r="AS28" s="12"/>
      <c r="AT28" s="12"/>
      <c r="AU28" s="12"/>
      <c r="AV28" s="12"/>
      <c r="AW28" s="12"/>
      <c r="AX28" s="12"/>
      <c r="AY28" s="12"/>
      <c r="AZ28" s="12"/>
      <c r="BA28" s="12"/>
      <c r="BB28" s="59">
        <f t="shared" si="6"/>
        <v>3.1358991706297613E-2</v>
      </c>
      <c r="BC28" s="17">
        <v>91797</v>
      </c>
      <c r="BD28" s="17">
        <v>87371</v>
      </c>
      <c r="BE28" s="17">
        <f t="shared" si="7"/>
        <v>179168</v>
      </c>
      <c r="BF28" s="17">
        <f t="shared" si="21"/>
        <v>25798</v>
      </c>
      <c r="BG28" s="17">
        <f t="shared" si="20"/>
        <v>6313</v>
      </c>
      <c r="BH28" s="17">
        <f t="shared" si="10"/>
        <v>32111</v>
      </c>
      <c r="BI28" s="10"/>
      <c r="BJ28" s="12"/>
      <c r="BK28" s="12"/>
      <c r="BL28" s="12"/>
      <c r="BM28" s="12"/>
      <c r="BN28" s="12"/>
      <c r="BO28" s="12"/>
      <c r="BP28" s="12"/>
      <c r="BQ28" s="10"/>
      <c r="BR28" s="12"/>
      <c r="BS28" s="12"/>
      <c r="BT28" s="12"/>
      <c r="BU28" s="12"/>
      <c r="BV28" s="12"/>
      <c r="BW28" s="12"/>
      <c r="BX28" s="12"/>
      <c r="BY28" s="51">
        <f t="shared" ref="BY28:BY59" si="24">H28</f>
        <v>478704</v>
      </c>
      <c r="BZ28" s="51">
        <f t="shared" ref="BZ28:BZ59" si="25">I28</f>
        <v>608937</v>
      </c>
      <c r="CA28" s="51">
        <f t="shared" si="11"/>
        <v>308323</v>
      </c>
      <c r="CB28" s="51">
        <f t="shared" si="12"/>
        <v>441179</v>
      </c>
      <c r="CC28" s="51">
        <v>52786</v>
      </c>
      <c r="CD28" s="51">
        <v>74074</v>
      </c>
      <c r="CE28" s="51">
        <v>117595</v>
      </c>
      <c r="CF28" s="51">
        <v>93684</v>
      </c>
      <c r="CG28" s="52">
        <f t="shared" si="13"/>
        <v>0.41137048333426729</v>
      </c>
      <c r="CH28" s="52">
        <f t="shared" si="14"/>
        <v>0.58862951666573271</v>
      </c>
      <c r="CI28" s="52">
        <f t="shared" si="15"/>
        <v>0.41609648431341634</v>
      </c>
      <c r="CJ28" s="52">
        <f t="shared" si="16"/>
        <v>0.58390351568658361</v>
      </c>
      <c r="CK28" s="52">
        <f t="shared" si="17"/>
        <v>0.55658631477808962</v>
      </c>
      <c r="CL28" s="52">
        <f t="shared" si="18"/>
        <v>0.44341368522191038</v>
      </c>
    </row>
    <row r="29" spans="2:90" ht="15" customHeight="1">
      <c r="B29" t="str">
        <f t="shared" si="0"/>
        <v>2023</v>
      </c>
      <c r="C29">
        <v>202325</v>
      </c>
      <c r="G29" s="51">
        <f t="shared" si="1"/>
        <v>0</v>
      </c>
      <c r="H29" s="51"/>
      <c r="I29" s="51"/>
      <c r="J29" s="51"/>
      <c r="K29" s="51"/>
      <c r="L29" s="51"/>
      <c r="M29" s="51">
        <v>907641.86309999996</v>
      </c>
      <c r="N29" s="51" t="str">
        <f>IF(G29&gt;0,SUM($G$5:G29),"-")</f>
        <v>-</v>
      </c>
      <c r="O29" s="11">
        <f t="shared" si="19"/>
        <v>22319546.409500003</v>
      </c>
      <c r="P29" s="51">
        <v>0</v>
      </c>
      <c r="Q29" s="51">
        <v>0</v>
      </c>
      <c r="R29" s="57">
        <v>0</v>
      </c>
      <c r="S29" s="51">
        <v>0</v>
      </c>
      <c r="T29" s="58" t="str">
        <f t="shared" si="2"/>
        <v>-</v>
      </c>
      <c r="U29" s="13" t="str">
        <f t="shared" si="3"/>
        <v>-</v>
      </c>
      <c r="V29" s="52" t="str">
        <f t="shared" si="23"/>
        <v>-</v>
      </c>
      <c r="W29" s="60"/>
      <c r="X29" s="52"/>
      <c r="Y29" s="51"/>
      <c r="Z29" s="51"/>
      <c r="AA29" s="14" t="str">
        <f t="shared" si="4"/>
        <v>-</v>
      </c>
      <c r="AB29" s="12"/>
      <c r="AC29" s="12"/>
      <c r="AD29" s="12"/>
      <c r="AE29" s="12"/>
      <c r="AF29" s="52"/>
      <c r="AG29" s="52"/>
      <c r="AH29" s="52"/>
      <c r="AI29" s="52"/>
      <c r="AJ29" s="12"/>
      <c r="AK29" s="12"/>
      <c r="AL29" s="12"/>
      <c r="AM29" s="12"/>
      <c r="AN29" s="12"/>
      <c r="AO29" s="12"/>
      <c r="AP29" s="12"/>
      <c r="AQ29" s="12"/>
      <c r="AR29" s="12"/>
      <c r="AS29" s="12"/>
      <c r="AT29" s="12"/>
      <c r="AU29" s="12"/>
      <c r="AV29" s="12"/>
      <c r="AW29" s="12"/>
      <c r="AX29" s="12"/>
      <c r="AY29" s="12"/>
      <c r="AZ29" s="12"/>
      <c r="BA29" s="12"/>
      <c r="BB29" s="59" t="str">
        <f t="shared" si="6"/>
        <v>-</v>
      </c>
      <c r="BC29" s="17"/>
      <c r="BD29" s="17"/>
      <c r="BE29" s="17">
        <f t="shared" si="7"/>
        <v>0</v>
      </c>
      <c r="BF29" s="17">
        <f t="shared" si="21"/>
        <v>0</v>
      </c>
      <c r="BG29" s="17">
        <f t="shared" si="20"/>
        <v>0</v>
      </c>
      <c r="BH29" s="17">
        <f t="shared" si="10"/>
        <v>0</v>
      </c>
      <c r="BI29" s="10"/>
      <c r="BJ29" s="12"/>
      <c r="BK29" s="12"/>
      <c r="BL29" s="12"/>
      <c r="BM29" s="12"/>
      <c r="BN29" s="12"/>
      <c r="BO29" s="12"/>
      <c r="BP29" s="12"/>
      <c r="BQ29" s="10"/>
      <c r="BR29" s="12"/>
      <c r="BS29" s="12"/>
      <c r="BT29" s="12"/>
      <c r="BU29" s="12"/>
      <c r="BV29" s="12"/>
      <c r="BW29" s="12"/>
      <c r="BX29" s="12"/>
      <c r="BY29" s="51">
        <f t="shared" si="24"/>
        <v>0</v>
      </c>
      <c r="BZ29" s="51">
        <f t="shared" si="25"/>
        <v>0</v>
      </c>
      <c r="CA29" s="51">
        <f t="shared" si="11"/>
        <v>0</v>
      </c>
      <c r="CB29" s="51">
        <f t="shared" si="12"/>
        <v>0</v>
      </c>
      <c r="CC29" s="51"/>
      <c r="CD29" s="51"/>
      <c r="CE29" s="51"/>
      <c r="CF29" s="51"/>
      <c r="CG29" s="52" t="str">
        <f t="shared" si="13"/>
        <v>-</v>
      </c>
      <c r="CH29" s="52" t="str">
        <f t="shared" si="14"/>
        <v>-</v>
      </c>
      <c r="CI29" s="52" t="str">
        <f t="shared" si="15"/>
        <v>-</v>
      </c>
      <c r="CJ29" s="52" t="str">
        <f t="shared" si="16"/>
        <v>-</v>
      </c>
      <c r="CK29" s="52" t="str">
        <f t="shared" si="17"/>
        <v>-</v>
      </c>
      <c r="CL29" s="52" t="str">
        <f t="shared" si="18"/>
        <v>-</v>
      </c>
    </row>
    <row r="30" spans="2:90" ht="15" customHeight="1">
      <c r="B30" t="str">
        <f t="shared" si="0"/>
        <v>2023</v>
      </c>
      <c r="C30">
        <v>202326</v>
      </c>
      <c r="G30" s="51">
        <f t="shared" si="1"/>
        <v>0</v>
      </c>
      <c r="H30" s="51"/>
      <c r="I30" s="51"/>
      <c r="J30" s="51"/>
      <c r="K30" s="51"/>
      <c r="L30" s="51"/>
      <c r="M30" s="51">
        <v>911129.04150000005</v>
      </c>
      <c r="N30" s="51" t="str">
        <f>IF(G30&gt;0,SUM($G$5:G30),"-")</f>
        <v>-</v>
      </c>
      <c r="O30" s="11">
        <f t="shared" si="19"/>
        <v>23230675.451000001</v>
      </c>
      <c r="P30" s="51">
        <v>0</v>
      </c>
      <c r="Q30" s="51">
        <v>0</v>
      </c>
      <c r="R30" s="57">
        <v>0</v>
      </c>
      <c r="S30" s="51">
        <v>0</v>
      </c>
      <c r="T30" s="58" t="str">
        <f t="shared" si="2"/>
        <v>-</v>
      </c>
      <c r="U30" s="13" t="str">
        <f t="shared" si="3"/>
        <v>-</v>
      </c>
      <c r="V30" s="52" t="str">
        <f t="shared" si="23"/>
        <v>-</v>
      </c>
      <c r="W30" s="60"/>
      <c r="X30" s="52"/>
      <c r="Y30" s="51"/>
      <c r="Z30" s="51"/>
      <c r="AA30" s="14" t="str">
        <f t="shared" si="4"/>
        <v>-</v>
      </c>
      <c r="AB30" s="12"/>
      <c r="AC30" s="12"/>
      <c r="AD30" s="12"/>
      <c r="AE30" s="12"/>
      <c r="AF30" s="52"/>
      <c r="AG30" s="52"/>
      <c r="AH30" s="52"/>
      <c r="AI30" s="52"/>
      <c r="AJ30" s="12"/>
      <c r="AK30" s="12"/>
      <c r="AL30" s="12"/>
      <c r="AM30" s="12"/>
      <c r="AN30" s="12"/>
      <c r="AO30" s="12"/>
      <c r="AP30" s="12"/>
      <c r="AQ30" s="12"/>
      <c r="AR30" s="12"/>
      <c r="AS30" s="12"/>
      <c r="AT30" s="12"/>
      <c r="AU30" s="12"/>
      <c r="AV30" s="12"/>
      <c r="AW30" s="12"/>
      <c r="AX30" s="12"/>
      <c r="AY30" s="12"/>
      <c r="AZ30" s="12"/>
      <c r="BA30" s="12"/>
      <c r="BB30" s="59" t="str">
        <f t="shared" si="6"/>
        <v>-</v>
      </c>
      <c r="BC30" s="17"/>
      <c r="BD30" s="17"/>
      <c r="BE30" s="17">
        <f t="shared" si="7"/>
        <v>0</v>
      </c>
      <c r="BF30" s="17">
        <f t="shared" si="21"/>
        <v>0</v>
      </c>
      <c r="BG30" s="17">
        <f t="shared" si="20"/>
        <v>0</v>
      </c>
      <c r="BH30" s="17">
        <f t="shared" si="10"/>
        <v>0</v>
      </c>
      <c r="BI30" s="10"/>
      <c r="BJ30" s="12"/>
      <c r="BK30" s="12"/>
      <c r="BL30" s="12"/>
      <c r="BM30" s="12"/>
      <c r="BN30" s="12"/>
      <c r="BO30" s="12"/>
      <c r="BP30" s="12"/>
      <c r="BQ30" s="10"/>
      <c r="BR30" s="12"/>
      <c r="BS30" s="12"/>
      <c r="BT30" s="12"/>
      <c r="BU30" s="12"/>
      <c r="BV30" s="12"/>
      <c r="BW30" s="12"/>
      <c r="BX30" s="12"/>
      <c r="BY30" s="51">
        <f t="shared" si="24"/>
        <v>0</v>
      </c>
      <c r="BZ30" s="51">
        <f t="shared" si="25"/>
        <v>0</v>
      </c>
      <c r="CA30" s="51">
        <f t="shared" si="11"/>
        <v>0</v>
      </c>
      <c r="CB30" s="51">
        <f t="shared" si="12"/>
        <v>0</v>
      </c>
      <c r="CC30" s="51"/>
      <c r="CD30" s="51"/>
      <c r="CE30" s="51"/>
      <c r="CF30" s="51"/>
      <c r="CG30" s="52" t="str">
        <f t="shared" si="13"/>
        <v>-</v>
      </c>
      <c r="CH30" s="52" t="str">
        <f t="shared" si="14"/>
        <v>-</v>
      </c>
      <c r="CI30" s="52" t="str">
        <f t="shared" si="15"/>
        <v>-</v>
      </c>
      <c r="CJ30" s="52" t="str">
        <f t="shared" si="16"/>
        <v>-</v>
      </c>
      <c r="CK30" s="52" t="str">
        <f t="shared" si="17"/>
        <v>-</v>
      </c>
      <c r="CL30" s="52" t="str">
        <f t="shared" si="18"/>
        <v>-</v>
      </c>
    </row>
    <row r="31" spans="2:90" ht="15" customHeight="1">
      <c r="B31" t="str">
        <f t="shared" si="0"/>
        <v>2023</v>
      </c>
      <c r="C31">
        <v>202327</v>
      </c>
      <c r="G31" s="51">
        <f t="shared" si="1"/>
        <v>0</v>
      </c>
      <c r="H31" s="51"/>
      <c r="I31" s="51"/>
      <c r="J31" s="51"/>
      <c r="K31" s="51"/>
      <c r="L31" s="51"/>
      <c r="M31" s="51">
        <v>907974.50060000003</v>
      </c>
      <c r="N31" s="51" t="str">
        <f>IF(G31&gt;0,SUM($G$5:G31),"-")</f>
        <v>-</v>
      </c>
      <c r="O31" s="11">
        <f t="shared" si="19"/>
        <v>24138649.9516</v>
      </c>
      <c r="P31" s="51">
        <v>0</v>
      </c>
      <c r="Q31" s="51">
        <v>0</v>
      </c>
      <c r="R31" s="57">
        <v>0</v>
      </c>
      <c r="S31" s="51">
        <v>0</v>
      </c>
      <c r="T31" s="58" t="str">
        <f t="shared" si="2"/>
        <v>-</v>
      </c>
      <c r="U31" s="13" t="str">
        <f t="shared" si="3"/>
        <v>-</v>
      </c>
      <c r="V31" s="52" t="str">
        <f t="shared" si="23"/>
        <v>-</v>
      </c>
      <c r="W31" s="60"/>
      <c r="X31" s="52"/>
      <c r="Y31" s="51"/>
      <c r="Z31" s="51"/>
      <c r="AA31" s="14" t="str">
        <f t="shared" si="4"/>
        <v>-</v>
      </c>
      <c r="AB31" s="12"/>
      <c r="AC31" s="12"/>
      <c r="AD31" s="12"/>
      <c r="AE31" s="12"/>
      <c r="AF31" s="52"/>
      <c r="AG31" s="52"/>
      <c r="AH31" s="52"/>
      <c r="AI31" s="52"/>
      <c r="AJ31" s="12"/>
      <c r="AK31" s="12"/>
      <c r="AL31" s="12"/>
      <c r="AM31" s="12"/>
      <c r="AN31" s="12"/>
      <c r="AO31" s="12"/>
      <c r="AP31" s="12"/>
      <c r="AQ31" s="12"/>
      <c r="AR31" s="12"/>
      <c r="AS31" s="12"/>
      <c r="AT31" s="12"/>
      <c r="AU31" s="12"/>
      <c r="AV31" s="12"/>
      <c r="AW31" s="12"/>
      <c r="AX31" s="12"/>
      <c r="AY31" s="12"/>
      <c r="AZ31" s="12"/>
      <c r="BA31" s="12"/>
      <c r="BB31" s="59" t="str">
        <f t="shared" si="6"/>
        <v>-</v>
      </c>
      <c r="BC31" s="17"/>
      <c r="BD31" s="17"/>
      <c r="BE31" s="17">
        <f t="shared" si="7"/>
        <v>0</v>
      </c>
      <c r="BF31" s="17">
        <f t="shared" si="21"/>
        <v>0</v>
      </c>
      <c r="BG31" s="17">
        <f t="shared" si="20"/>
        <v>0</v>
      </c>
      <c r="BH31" s="17">
        <f t="shared" si="10"/>
        <v>0</v>
      </c>
      <c r="BI31" s="10"/>
      <c r="BJ31" s="12"/>
      <c r="BK31" s="12"/>
      <c r="BL31" s="12"/>
      <c r="BM31" s="12"/>
      <c r="BN31" s="12"/>
      <c r="BO31" s="12"/>
      <c r="BP31" s="12"/>
      <c r="BQ31" s="10"/>
      <c r="BR31" s="12"/>
      <c r="BS31" s="12"/>
      <c r="BT31" s="12"/>
      <c r="BU31" s="12"/>
      <c r="BV31" s="12"/>
      <c r="BW31" s="12"/>
      <c r="BX31" s="12"/>
      <c r="BY31" s="51">
        <f t="shared" si="24"/>
        <v>0</v>
      </c>
      <c r="BZ31" s="51">
        <f t="shared" si="25"/>
        <v>0</v>
      </c>
      <c r="CA31" s="51">
        <f t="shared" si="11"/>
        <v>0</v>
      </c>
      <c r="CB31" s="51">
        <f t="shared" si="12"/>
        <v>0</v>
      </c>
      <c r="CC31" s="51"/>
      <c r="CD31" s="51"/>
      <c r="CE31" s="51"/>
      <c r="CF31" s="51"/>
      <c r="CG31" s="52" t="str">
        <f t="shared" si="13"/>
        <v>-</v>
      </c>
      <c r="CH31" s="52" t="str">
        <f t="shared" si="14"/>
        <v>-</v>
      </c>
      <c r="CI31" s="52" t="str">
        <f t="shared" si="15"/>
        <v>-</v>
      </c>
      <c r="CJ31" s="52" t="str">
        <f t="shared" si="16"/>
        <v>-</v>
      </c>
      <c r="CK31" s="52" t="str">
        <f t="shared" si="17"/>
        <v>-</v>
      </c>
      <c r="CL31" s="52" t="str">
        <f t="shared" si="18"/>
        <v>-</v>
      </c>
    </row>
    <row r="32" spans="2:90">
      <c r="B32" t="str">
        <f t="shared" si="0"/>
        <v>2023</v>
      </c>
      <c r="C32">
        <v>202328</v>
      </c>
      <c r="G32" s="51">
        <f t="shared" si="1"/>
        <v>0</v>
      </c>
      <c r="H32" s="51"/>
      <c r="I32" s="51"/>
      <c r="J32" s="51"/>
      <c r="K32" s="51"/>
      <c r="L32" s="51"/>
      <c r="M32" s="51">
        <v>901766.53130000003</v>
      </c>
      <c r="N32" s="51" t="str">
        <f>IF(G32&gt;0,SUM($G$5:G32),"-")</f>
        <v>-</v>
      </c>
      <c r="O32" s="11">
        <f t="shared" si="19"/>
        <v>25040416.482900001</v>
      </c>
      <c r="P32" s="51">
        <v>0</v>
      </c>
      <c r="Q32" s="51">
        <v>0</v>
      </c>
      <c r="R32" s="57">
        <v>0</v>
      </c>
      <c r="S32" s="51">
        <v>0</v>
      </c>
      <c r="T32" s="58" t="str">
        <f t="shared" si="2"/>
        <v>-</v>
      </c>
      <c r="U32" s="13" t="str">
        <f t="shared" si="3"/>
        <v>-</v>
      </c>
      <c r="V32" s="52" t="str">
        <f t="shared" si="23"/>
        <v>-</v>
      </c>
      <c r="W32" s="52"/>
      <c r="X32" s="52"/>
      <c r="Y32" s="51"/>
      <c r="Z32" s="51"/>
      <c r="AA32" s="14" t="str">
        <f t="shared" si="4"/>
        <v>-</v>
      </c>
      <c r="AB32" s="12"/>
      <c r="AC32" s="12"/>
      <c r="AD32" s="12"/>
      <c r="AE32" s="12"/>
      <c r="AF32" s="52"/>
      <c r="AG32" s="52"/>
      <c r="AH32" s="52"/>
      <c r="AI32" s="52"/>
      <c r="AJ32" s="12"/>
      <c r="AK32" s="12"/>
      <c r="AL32" s="12"/>
      <c r="AM32" s="12"/>
      <c r="AN32" s="12"/>
      <c r="AO32" s="12"/>
      <c r="AP32" s="12"/>
      <c r="AQ32" s="12"/>
      <c r="AR32" s="12"/>
      <c r="AS32" s="12"/>
      <c r="AT32" s="12"/>
      <c r="AU32" s="12"/>
      <c r="AV32" s="12"/>
      <c r="AW32" s="12"/>
      <c r="AX32" s="12"/>
      <c r="AY32" s="12"/>
      <c r="AZ32" s="12"/>
      <c r="BA32" s="12"/>
      <c r="BB32" s="59" t="str">
        <f t="shared" si="6"/>
        <v>-</v>
      </c>
      <c r="BC32" s="17"/>
      <c r="BD32" s="17"/>
      <c r="BE32" s="17">
        <f t="shared" si="7"/>
        <v>0</v>
      </c>
      <c r="BF32" s="17">
        <f t="shared" si="21"/>
        <v>0</v>
      </c>
      <c r="BG32" s="17">
        <f t="shared" si="20"/>
        <v>0</v>
      </c>
      <c r="BH32" s="17">
        <f t="shared" si="10"/>
        <v>0</v>
      </c>
      <c r="BI32" s="10"/>
      <c r="BJ32" s="12"/>
      <c r="BK32" s="12"/>
      <c r="BL32" s="12"/>
      <c r="BM32" s="12"/>
      <c r="BN32" s="12"/>
      <c r="BO32" s="12"/>
      <c r="BP32" s="12"/>
      <c r="BQ32" s="10"/>
      <c r="BR32" s="12"/>
      <c r="BS32" s="12"/>
      <c r="BT32" s="12"/>
      <c r="BU32" s="12"/>
      <c r="BV32" s="12"/>
      <c r="BW32" s="12"/>
      <c r="BX32" s="12"/>
      <c r="BY32" s="51">
        <f t="shared" si="24"/>
        <v>0</v>
      </c>
      <c r="BZ32" s="51">
        <f t="shared" si="25"/>
        <v>0</v>
      </c>
      <c r="CA32" s="51">
        <f t="shared" si="11"/>
        <v>0</v>
      </c>
      <c r="CB32" s="51">
        <f t="shared" si="12"/>
        <v>0</v>
      </c>
      <c r="CC32" s="51"/>
      <c r="CD32" s="51"/>
      <c r="CE32" s="51"/>
      <c r="CF32" s="51"/>
      <c r="CG32" s="52" t="str">
        <f t="shared" si="13"/>
        <v>-</v>
      </c>
      <c r="CH32" s="52" t="str">
        <f t="shared" si="14"/>
        <v>-</v>
      </c>
      <c r="CI32" s="52" t="str">
        <f t="shared" si="15"/>
        <v>-</v>
      </c>
      <c r="CJ32" s="52" t="str">
        <f t="shared" si="16"/>
        <v>-</v>
      </c>
      <c r="CK32" s="52" t="str">
        <f t="shared" si="17"/>
        <v>-</v>
      </c>
      <c r="CL32" s="52" t="str">
        <f t="shared" si="18"/>
        <v>-</v>
      </c>
    </row>
    <row r="33" spans="2:90">
      <c r="B33" t="str">
        <f t="shared" si="0"/>
        <v>2023</v>
      </c>
      <c r="C33">
        <v>202329</v>
      </c>
      <c r="G33" s="51">
        <f t="shared" si="1"/>
        <v>0</v>
      </c>
      <c r="H33" s="51"/>
      <c r="I33" s="51"/>
      <c r="J33" s="51"/>
      <c r="K33" s="51"/>
      <c r="L33" s="51"/>
      <c r="M33" s="51">
        <v>894696.51470000006</v>
      </c>
      <c r="N33" s="51" t="str">
        <f>IF(G33&gt;0,SUM($G$5:G33),"-")</f>
        <v>-</v>
      </c>
      <c r="O33" s="11">
        <f t="shared" si="19"/>
        <v>25935112.9976</v>
      </c>
      <c r="P33" s="51">
        <v>0</v>
      </c>
      <c r="Q33" s="51">
        <v>0</v>
      </c>
      <c r="R33" s="57">
        <v>0</v>
      </c>
      <c r="S33" s="51">
        <v>0</v>
      </c>
      <c r="T33" s="58" t="str">
        <f t="shared" si="2"/>
        <v>-</v>
      </c>
      <c r="U33" s="13" t="str">
        <f t="shared" si="3"/>
        <v>-</v>
      </c>
      <c r="V33" s="52" t="str">
        <f t="shared" si="23"/>
        <v>-</v>
      </c>
      <c r="W33" s="52"/>
      <c r="X33" s="52"/>
      <c r="Y33" s="51"/>
      <c r="Z33" s="51"/>
      <c r="AA33" s="14" t="str">
        <f t="shared" si="4"/>
        <v>-</v>
      </c>
      <c r="AB33" s="12"/>
      <c r="AC33" s="12"/>
      <c r="AD33" s="12"/>
      <c r="AE33" s="12"/>
      <c r="AF33" s="52"/>
      <c r="AG33" s="52"/>
      <c r="AH33" s="52"/>
      <c r="AI33" s="52"/>
      <c r="AJ33" s="12"/>
      <c r="AK33" s="12"/>
      <c r="AL33" s="12"/>
      <c r="AM33" s="12"/>
      <c r="AN33" s="12"/>
      <c r="AO33" s="12"/>
      <c r="AP33" s="12"/>
      <c r="AQ33" s="12"/>
      <c r="AR33" s="12"/>
      <c r="AS33" s="12"/>
      <c r="AT33" s="12"/>
      <c r="AU33" s="12"/>
      <c r="AV33" s="12"/>
      <c r="AW33" s="12"/>
      <c r="AX33" s="12"/>
      <c r="AY33" s="12"/>
      <c r="AZ33" s="12"/>
      <c r="BA33" s="12"/>
      <c r="BB33" s="59" t="str">
        <f t="shared" si="6"/>
        <v>-</v>
      </c>
      <c r="BC33" s="17"/>
      <c r="BD33" s="17"/>
      <c r="BE33" s="17">
        <f t="shared" si="7"/>
        <v>0</v>
      </c>
      <c r="BF33" s="17">
        <f t="shared" si="21"/>
        <v>0</v>
      </c>
      <c r="BG33" s="17">
        <f t="shared" si="20"/>
        <v>0</v>
      </c>
      <c r="BH33" s="17">
        <f t="shared" si="10"/>
        <v>0</v>
      </c>
      <c r="BI33" s="10"/>
      <c r="BJ33" s="12"/>
      <c r="BK33" s="12"/>
      <c r="BL33" s="12"/>
      <c r="BM33" s="12"/>
      <c r="BN33" s="12"/>
      <c r="BO33" s="12"/>
      <c r="BP33" s="12"/>
      <c r="BQ33" s="10"/>
      <c r="BR33" s="12"/>
      <c r="BS33" s="12"/>
      <c r="BT33" s="12"/>
      <c r="BU33" s="12"/>
      <c r="BV33" s="12"/>
      <c r="BW33" s="12"/>
      <c r="BX33" s="12"/>
      <c r="BY33" s="51">
        <f t="shared" si="24"/>
        <v>0</v>
      </c>
      <c r="BZ33" s="51">
        <f t="shared" si="25"/>
        <v>0</v>
      </c>
      <c r="CA33" s="51">
        <f t="shared" si="11"/>
        <v>0</v>
      </c>
      <c r="CB33" s="51">
        <f t="shared" si="12"/>
        <v>0</v>
      </c>
      <c r="CC33" s="51"/>
      <c r="CD33" s="51"/>
      <c r="CE33" s="51"/>
      <c r="CF33" s="51"/>
      <c r="CG33" s="52" t="str">
        <f t="shared" si="13"/>
        <v>-</v>
      </c>
      <c r="CH33" s="52" t="str">
        <f t="shared" si="14"/>
        <v>-</v>
      </c>
      <c r="CI33" s="52" t="str">
        <f t="shared" si="15"/>
        <v>-</v>
      </c>
      <c r="CJ33" s="52" t="str">
        <f t="shared" si="16"/>
        <v>-</v>
      </c>
      <c r="CK33" s="52" t="str">
        <f t="shared" si="17"/>
        <v>-</v>
      </c>
      <c r="CL33" s="52" t="str">
        <f t="shared" si="18"/>
        <v>-</v>
      </c>
    </row>
    <row r="34" spans="2:90">
      <c r="B34" t="str">
        <f t="shared" si="0"/>
        <v>2023</v>
      </c>
      <c r="C34">
        <v>202330</v>
      </c>
      <c r="G34" s="51">
        <f t="shared" si="1"/>
        <v>0</v>
      </c>
      <c r="H34" s="51"/>
      <c r="I34" s="51"/>
      <c r="J34" s="51"/>
      <c r="K34" s="51"/>
      <c r="L34" s="51"/>
      <c r="M34" s="51">
        <v>885998.83940000006</v>
      </c>
      <c r="N34" s="51" t="str">
        <f>IF(G34&gt;0,SUM($G$5:G34),"-")</f>
        <v>-</v>
      </c>
      <c r="O34" s="11">
        <f t="shared" si="19"/>
        <v>26821111.837000001</v>
      </c>
      <c r="P34" s="51">
        <v>0</v>
      </c>
      <c r="Q34" s="51">
        <v>0</v>
      </c>
      <c r="R34" s="57">
        <v>0</v>
      </c>
      <c r="S34" s="51">
        <v>0</v>
      </c>
      <c r="T34" s="58" t="str">
        <f t="shared" si="2"/>
        <v>-</v>
      </c>
      <c r="U34" s="13" t="str">
        <f t="shared" si="3"/>
        <v>-</v>
      </c>
      <c r="V34" s="52" t="str">
        <f t="shared" si="23"/>
        <v>-</v>
      </c>
      <c r="W34" s="52"/>
      <c r="X34" s="52"/>
      <c r="Y34" s="51"/>
      <c r="Z34" s="51"/>
      <c r="AA34" s="14" t="str">
        <f t="shared" si="4"/>
        <v>-</v>
      </c>
      <c r="AB34" s="12"/>
      <c r="AC34" s="12"/>
      <c r="AD34" s="12"/>
      <c r="AE34" s="12"/>
      <c r="AF34" s="52"/>
      <c r="AG34" s="52"/>
      <c r="AH34" s="52"/>
      <c r="AI34" s="52"/>
      <c r="AJ34" s="12"/>
      <c r="AK34" s="12"/>
      <c r="AL34" s="12"/>
      <c r="AM34" s="12"/>
      <c r="AN34" s="12"/>
      <c r="AO34" s="12"/>
      <c r="AP34" s="12"/>
      <c r="AQ34" s="12"/>
      <c r="AR34" s="12"/>
      <c r="AS34" s="12"/>
      <c r="AT34" s="12"/>
      <c r="AU34" s="12"/>
      <c r="AV34" s="12"/>
      <c r="AW34" s="12"/>
      <c r="AX34" s="12"/>
      <c r="AY34" s="12"/>
      <c r="AZ34" s="12"/>
      <c r="BA34" s="12"/>
      <c r="BB34" s="59" t="str">
        <f t="shared" si="6"/>
        <v>-</v>
      </c>
      <c r="BC34" s="17"/>
      <c r="BD34" s="17"/>
      <c r="BE34" s="17">
        <f t="shared" si="7"/>
        <v>0</v>
      </c>
      <c r="BF34" s="17">
        <f t="shared" si="21"/>
        <v>0</v>
      </c>
      <c r="BG34" s="17">
        <f t="shared" si="20"/>
        <v>0</v>
      </c>
      <c r="BH34" s="17">
        <f t="shared" si="10"/>
        <v>0</v>
      </c>
      <c r="BI34" s="10"/>
      <c r="BJ34" s="12"/>
      <c r="BK34" s="12"/>
      <c r="BL34" s="12"/>
      <c r="BM34" s="12"/>
      <c r="BN34" s="12"/>
      <c r="BO34" s="12"/>
      <c r="BP34" s="12"/>
      <c r="BQ34" s="10"/>
      <c r="BR34" s="12"/>
      <c r="BS34" s="12"/>
      <c r="BT34" s="12"/>
      <c r="BU34" s="12"/>
      <c r="BV34" s="12"/>
      <c r="BW34" s="12"/>
      <c r="BX34" s="12"/>
      <c r="BY34" s="51">
        <f t="shared" si="24"/>
        <v>0</v>
      </c>
      <c r="BZ34" s="51">
        <f t="shared" si="25"/>
        <v>0</v>
      </c>
      <c r="CA34" s="51">
        <f t="shared" si="11"/>
        <v>0</v>
      </c>
      <c r="CB34" s="51">
        <f t="shared" si="12"/>
        <v>0</v>
      </c>
      <c r="CC34" s="51"/>
      <c r="CD34" s="51"/>
      <c r="CE34" s="51"/>
      <c r="CF34" s="51"/>
      <c r="CG34" s="52" t="str">
        <f t="shared" si="13"/>
        <v>-</v>
      </c>
      <c r="CH34" s="52" t="str">
        <f t="shared" si="14"/>
        <v>-</v>
      </c>
      <c r="CI34" s="52" t="str">
        <f t="shared" si="15"/>
        <v>-</v>
      </c>
      <c r="CJ34" s="52" t="str">
        <f t="shared" si="16"/>
        <v>-</v>
      </c>
      <c r="CK34" s="52" t="str">
        <f t="shared" si="17"/>
        <v>-</v>
      </c>
      <c r="CL34" s="52" t="str">
        <f t="shared" si="18"/>
        <v>-</v>
      </c>
    </row>
    <row r="35" spans="2:90">
      <c r="B35" t="str">
        <f t="shared" si="0"/>
        <v>2023</v>
      </c>
      <c r="C35">
        <v>202331</v>
      </c>
      <c r="G35" s="51">
        <f t="shared" si="1"/>
        <v>0</v>
      </c>
      <c r="H35" s="51"/>
      <c r="I35" s="51"/>
      <c r="J35" s="51"/>
      <c r="K35" s="51"/>
      <c r="L35" s="51"/>
      <c r="M35" s="51">
        <v>880884.3774</v>
      </c>
      <c r="N35" s="51" t="str">
        <f>IF(G35&gt;0,SUM($G$5:G35),"-")</f>
        <v>-</v>
      </c>
      <c r="O35" s="11">
        <f t="shared" si="19"/>
        <v>27701996.214400001</v>
      </c>
      <c r="P35" s="51">
        <v>0</v>
      </c>
      <c r="Q35" s="51">
        <v>0</v>
      </c>
      <c r="R35" s="57">
        <v>0</v>
      </c>
      <c r="S35" s="51">
        <v>0</v>
      </c>
      <c r="T35" s="58" t="str">
        <f t="shared" si="2"/>
        <v>-</v>
      </c>
      <c r="U35" s="13" t="str">
        <f t="shared" si="3"/>
        <v>-</v>
      </c>
      <c r="V35" s="52" t="str">
        <f t="shared" si="23"/>
        <v>-</v>
      </c>
      <c r="W35" s="52"/>
      <c r="X35" s="52"/>
      <c r="Y35" s="51"/>
      <c r="Z35" s="51"/>
      <c r="AA35" s="14" t="str">
        <f t="shared" si="4"/>
        <v>-</v>
      </c>
      <c r="AB35" s="12"/>
      <c r="AC35" s="12"/>
      <c r="AD35" s="12"/>
      <c r="AE35" s="12"/>
      <c r="AF35" s="52"/>
      <c r="AG35" s="52"/>
      <c r="AH35" s="52"/>
      <c r="AI35" s="52"/>
      <c r="AJ35" s="12"/>
      <c r="AK35" s="12"/>
      <c r="AL35" s="12"/>
      <c r="AM35" s="12"/>
      <c r="AN35" s="12"/>
      <c r="AO35" s="12"/>
      <c r="AP35" s="12"/>
      <c r="AQ35" s="12"/>
      <c r="AR35" s="12"/>
      <c r="AS35" s="12"/>
      <c r="AT35" s="12"/>
      <c r="AU35" s="12"/>
      <c r="AV35" s="12"/>
      <c r="AW35" s="12"/>
      <c r="AX35" s="12"/>
      <c r="AY35" s="12"/>
      <c r="AZ35" s="12"/>
      <c r="BA35" s="12"/>
      <c r="BB35" s="59" t="str">
        <f t="shared" si="6"/>
        <v>-</v>
      </c>
      <c r="BC35" s="17"/>
      <c r="BD35" s="17"/>
      <c r="BE35" s="17">
        <f t="shared" si="7"/>
        <v>0</v>
      </c>
      <c r="BF35" s="17">
        <f t="shared" si="21"/>
        <v>0</v>
      </c>
      <c r="BG35" s="17">
        <f t="shared" si="20"/>
        <v>0</v>
      </c>
      <c r="BH35" s="17">
        <f t="shared" si="10"/>
        <v>0</v>
      </c>
      <c r="BI35" s="10"/>
      <c r="BJ35" s="12"/>
      <c r="BK35" s="12"/>
      <c r="BL35" s="12"/>
      <c r="BM35" s="12"/>
      <c r="BN35" s="12"/>
      <c r="BO35" s="12"/>
      <c r="BP35" s="12"/>
      <c r="BQ35" s="10"/>
      <c r="BR35" s="12"/>
      <c r="BS35" s="12"/>
      <c r="BT35" s="12"/>
      <c r="BU35" s="12"/>
      <c r="BV35" s="12"/>
      <c r="BW35" s="12"/>
      <c r="BX35" s="12"/>
      <c r="BY35" s="51">
        <f t="shared" si="24"/>
        <v>0</v>
      </c>
      <c r="BZ35" s="51">
        <f t="shared" si="25"/>
        <v>0</v>
      </c>
      <c r="CA35" s="51">
        <f t="shared" si="11"/>
        <v>0</v>
      </c>
      <c r="CB35" s="51">
        <f t="shared" si="12"/>
        <v>0</v>
      </c>
      <c r="CC35" s="51"/>
      <c r="CD35" s="51"/>
      <c r="CE35" s="51"/>
      <c r="CF35" s="51"/>
      <c r="CG35" s="52" t="str">
        <f t="shared" si="13"/>
        <v>-</v>
      </c>
      <c r="CH35" s="52" t="str">
        <f t="shared" si="14"/>
        <v>-</v>
      </c>
      <c r="CI35" s="52" t="str">
        <f t="shared" si="15"/>
        <v>-</v>
      </c>
      <c r="CJ35" s="52" t="str">
        <f t="shared" si="16"/>
        <v>-</v>
      </c>
      <c r="CK35" s="52" t="str">
        <f t="shared" si="17"/>
        <v>-</v>
      </c>
      <c r="CL35" s="52" t="str">
        <f t="shared" si="18"/>
        <v>-</v>
      </c>
    </row>
    <row r="36" spans="2:90">
      <c r="B36" t="str">
        <f t="shared" si="0"/>
        <v>2023</v>
      </c>
      <c r="C36">
        <v>202332</v>
      </c>
      <c r="G36" s="51">
        <f t="shared" si="1"/>
        <v>0</v>
      </c>
      <c r="H36" s="51"/>
      <c r="I36" s="51"/>
      <c r="J36" s="51"/>
      <c r="K36" s="51"/>
      <c r="L36" s="51"/>
      <c r="M36" s="51">
        <v>895359.99080000003</v>
      </c>
      <c r="N36" s="51" t="str">
        <f>IF(G36&gt;0,SUM($G$5:G36),"-")</f>
        <v>-</v>
      </c>
      <c r="O36" s="11">
        <f t="shared" si="19"/>
        <v>28597356.205200002</v>
      </c>
      <c r="P36" s="51">
        <v>0</v>
      </c>
      <c r="Q36" s="51">
        <v>0</v>
      </c>
      <c r="R36" s="57">
        <v>0</v>
      </c>
      <c r="S36" s="51">
        <v>0</v>
      </c>
      <c r="T36" s="58" t="str">
        <f t="shared" si="2"/>
        <v>-</v>
      </c>
      <c r="U36" s="13" t="str">
        <f t="shared" si="3"/>
        <v>-</v>
      </c>
      <c r="V36" s="52" t="str">
        <f t="shared" si="23"/>
        <v>-</v>
      </c>
      <c r="W36" s="52"/>
      <c r="X36" s="52"/>
      <c r="Y36" s="51"/>
      <c r="Z36" s="51"/>
      <c r="AA36" s="14" t="str">
        <f t="shared" si="4"/>
        <v>-</v>
      </c>
      <c r="AB36" s="12"/>
      <c r="AC36" s="12"/>
      <c r="AD36" s="12"/>
      <c r="AE36" s="12"/>
      <c r="AF36" s="52"/>
      <c r="AG36" s="52"/>
      <c r="AH36" s="52"/>
      <c r="AI36" s="52"/>
      <c r="AJ36" s="12"/>
      <c r="AK36" s="12"/>
      <c r="AL36" s="12"/>
      <c r="AM36" s="12"/>
      <c r="AN36" s="12"/>
      <c r="AO36" s="12"/>
      <c r="AP36" s="12"/>
      <c r="AQ36" s="12"/>
      <c r="AR36" s="12"/>
      <c r="AS36" s="12"/>
      <c r="AT36" s="12"/>
      <c r="AU36" s="12"/>
      <c r="AV36" s="12"/>
      <c r="AW36" s="12"/>
      <c r="AX36" s="12"/>
      <c r="AY36" s="12"/>
      <c r="AZ36" s="12"/>
      <c r="BA36" s="12"/>
      <c r="BB36" s="59" t="str">
        <f t="shared" si="6"/>
        <v>-</v>
      </c>
      <c r="BC36" s="17"/>
      <c r="BD36" s="17"/>
      <c r="BE36" s="17">
        <f t="shared" si="7"/>
        <v>0</v>
      </c>
      <c r="BF36" s="17">
        <f t="shared" si="21"/>
        <v>0</v>
      </c>
      <c r="BG36" s="17">
        <f t="shared" si="20"/>
        <v>0</v>
      </c>
      <c r="BH36" s="17">
        <f t="shared" si="10"/>
        <v>0</v>
      </c>
      <c r="BI36" s="10"/>
      <c r="BJ36" s="12"/>
      <c r="BK36" s="12"/>
      <c r="BL36" s="12"/>
      <c r="BM36" s="12"/>
      <c r="BN36" s="12"/>
      <c r="BO36" s="12"/>
      <c r="BP36" s="12"/>
      <c r="BQ36" s="10"/>
      <c r="BR36" s="12"/>
      <c r="BS36" s="12"/>
      <c r="BT36" s="12"/>
      <c r="BU36" s="12"/>
      <c r="BV36" s="12"/>
      <c r="BW36" s="12"/>
      <c r="BX36" s="12"/>
      <c r="BY36" s="51">
        <f t="shared" si="24"/>
        <v>0</v>
      </c>
      <c r="BZ36" s="51">
        <f t="shared" si="25"/>
        <v>0</v>
      </c>
      <c r="CA36" s="51">
        <f t="shared" si="11"/>
        <v>0</v>
      </c>
      <c r="CB36" s="51">
        <f t="shared" si="12"/>
        <v>0</v>
      </c>
      <c r="CC36" s="51"/>
      <c r="CD36" s="51"/>
      <c r="CE36" s="51"/>
      <c r="CF36" s="51"/>
      <c r="CG36" s="52" t="str">
        <f t="shared" si="13"/>
        <v>-</v>
      </c>
      <c r="CH36" s="52" t="str">
        <f t="shared" si="14"/>
        <v>-</v>
      </c>
      <c r="CI36" s="52" t="str">
        <f t="shared" si="15"/>
        <v>-</v>
      </c>
      <c r="CJ36" s="52" t="str">
        <f t="shared" si="16"/>
        <v>-</v>
      </c>
      <c r="CK36" s="52" t="str">
        <f t="shared" si="17"/>
        <v>-</v>
      </c>
      <c r="CL36" s="52" t="str">
        <f t="shared" si="18"/>
        <v>-</v>
      </c>
    </row>
    <row r="37" spans="2:90">
      <c r="B37" t="str">
        <f t="shared" si="0"/>
        <v>2023</v>
      </c>
      <c r="C37">
        <v>202333</v>
      </c>
      <c r="G37" s="51">
        <f t="shared" ref="G37:G65" si="26">SUM(H37:I37)</f>
        <v>0</v>
      </c>
      <c r="H37" s="51"/>
      <c r="I37" s="51"/>
      <c r="J37" s="51"/>
      <c r="K37" s="51"/>
      <c r="L37" s="51"/>
      <c r="M37" s="51">
        <v>892291.6446</v>
      </c>
      <c r="N37" s="51" t="str">
        <f>IF(G37&gt;0,SUM($G$5:G37),"-")</f>
        <v>-</v>
      </c>
      <c r="O37" s="11">
        <f t="shared" si="19"/>
        <v>29489647.849800002</v>
      </c>
      <c r="P37" s="51">
        <v>0</v>
      </c>
      <c r="Q37" s="51">
        <v>0</v>
      </c>
      <c r="R37" s="57">
        <v>0</v>
      </c>
      <c r="S37" s="51">
        <v>0</v>
      </c>
      <c r="T37" s="58" t="str">
        <f t="shared" ref="T37:T56" si="27">IFERROR(Q37/S37,"-")</f>
        <v>-</v>
      </c>
      <c r="U37" s="13" t="str">
        <f t="shared" ref="U37:U56" si="28">IFERROR(R37/Q37,"-")</f>
        <v>-</v>
      </c>
      <c r="V37" s="52" t="str">
        <f t="shared" si="23"/>
        <v>-</v>
      </c>
      <c r="W37" s="52"/>
      <c r="X37" s="52"/>
      <c r="Y37" s="51"/>
      <c r="Z37" s="51"/>
      <c r="AA37" s="14" t="str">
        <f t="shared" ref="AA37:AA56" si="29">V37</f>
        <v>-</v>
      </c>
      <c r="AB37" s="12"/>
      <c r="AC37" s="12"/>
      <c r="AD37" s="12"/>
      <c r="AE37" s="12"/>
      <c r="AF37" s="52"/>
      <c r="AG37" s="52"/>
      <c r="AH37" s="52"/>
      <c r="AI37" s="52"/>
      <c r="AJ37" s="12"/>
      <c r="AK37" s="12"/>
      <c r="AL37" s="12"/>
      <c r="AM37" s="12"/>
      <c r="AN37" s="12"/>
      <c r="AO37" s="12"/>
      <c r="AP37" s="12"/>
      <c r="AQ37" s="12"/>
      <c r="AR37" s="12"/>
      <c r="AS37" s="12"/>
      <c r="AT37" s="12"/>
      <c r="AU37" s="12"/>
      <c r="AV37" s="12"/>
      <c r="AW37" s="12"/>
      <c r="AX37" s="12"/>
      <c r="AY37" s="12"/>
      <c r="AZ37" s="12"/>
      <c r="BA37" s="12"/>
      <c r="BB37" s="59" t="str">
        <f t="shared" ref="BB37:BB56" si="30">IFERROR(G37/P37,"-")</f>
        <v>-</v>
      </c>
      <c r="BC37" s="17"/>
      <c r="BD37" s="17"/>
      <c r="BE37" s="17">
        <f t="shared" ref="BE37:BE68" si="31">SUM(BC37:BD37)</f>
        <v>0</v>
      </c>
      <c r="BF37" s="17">
        <f t="shared" si="21"/>
        <v>0</v>
      </c>
      <c r="BG37" s="17">
        <f t="shared" si="20"/>
        <v>0</v>
      </c>
      <c r="BH37" s="17">
        <f t="shared" ref="BH37:BH56" si="32">SUM(BF37:BG37)</f>
        <v>0</v>
      </c>
      <c r="BI37" s="10"/>
      <c r="BJ37" s="12"/>
      <c r="BK37" s="12"/>
      <c r="BL37" s="12"/>
      <c r="BM37" s="12"/>
      <c r="BN37" s="12"/>
      <c r="BO37" s="12"/>
      <c r="BP37" s="12"/>
      <c r="BQ37" s="10"/>
      <c r="BR37" s="12"/>
      <c r="BS37" s="12"/>
      <c r="BT37" s="12"/>
      <c r="BU37" s="12"/>
      <c r="BV37" s="12"/>
      <c r="BW37" s="12"/>
      <c r="BX37" s="12"/>
      <c r="BY37" s="51">
        <f t="shared" si="24"/>
        <v>0</v>
      </c>
      <c r="BZ37" s="51">
        <f t="shared" si="25"/>
        <v>0</v>
      </c>
      <c r="CA37" s="51">
        <f t="shared" ref="CA37:CA68" si="33">BY37-CC37-CE37</f>
        <v>0</v>
      </c>
      <c r="CB37" s="51">
        <f t="shared" ref="CB37:CB68" si="34">BZ37-CD37-CF37</f>
        <v>0</v>
      </c>
      <c r="CC37" s="51"/>
      <c r="CD37" s="51"/>
      <c r="CE37" s="51"/>
      <c r="CF37" s="51"/>
      <c r="CG37" s="52" t="str">
        <f t="shared" ref="CG37:CG56" si="35">IFERROR(CA37/($CA37+$CB37),"-")</f>
        <v>-</v>
      </c>
      <c r="CH37" s="52" t="str">
        <f t="shared" ref="CH37:CH56" si="36">IFERROR(CB37/($CA37+$CB37),"-")</f>
        <v>-</v>
      </c>
      <c r="CI37" s="52" t="str">
        <f t="shared" ref="CI37:CI56" si="37">IFERROR(CC37/($CC37+$CD37),"-")</f>
        <v>-</v>
      </c>
      <c r="CJ37" s="52" t="str">
        <f t="shared" ref="CJ37:CJ56" si="38">IFERROR(CD37/($CC37+$CD37),"-")</f>
        <v>-</v>
      </c>
      <c r="CK37" s="52" t="str">
        <f t="shared" ref="CK37:CK56" si="39">IFERROR(CE37/($CE37+$CF37),"-")</f>
        <v>-</v>
      </c>
      <c r="CL37" s="52" t="str">
        <f t="shared" ref="CL37:CL56" si="40">IFERROR(CF37/($CE37+$CF37),"-")</f>
        <v>-</v>
      </c>
    </row>
    <row r="38" spans="2:90">
      <c r="B38" t="str">
        <f t="shared" si="0"/>
        <v>2023</v>
      </c>
      <c r="C38">
        <v>202334</v>
      </c>
      <c r="G38" s="51">
        <f t="shared" si="26"/>
        <v>0</v>
      </c>
      <c r="H38" s="51"/>
      <c r="I38" s="51"/>
      <c r="J38" s="51"/>
      <c r="K38" s="51"/>
      <c r="L38" s="51"/>
      <c r="M38" s="51">
        <v>894381.21759999997</v>
      </c>
      <c r="N38" s="51" t="str">
        <f>IF(G38&gt;0,SUM($G$5:G38),"-")</f>
        <v>-</v>
      </c>
      <c r="O38" s="11">
        <f t="shared" ref="O38:O56" si="41">O37+M38</f>
        <v>30384029.067400001</v>
      </c>
      <c r="P38" s="51">
        <v>0</v>
      </c>
      <c r="Q38" s="51">
        <v>0</v>
      </c>
      <c r="R38" s="57">
        <v>0</v>
      </c>
      <c r="S38" s="51">
        <v>0</v>
      </c>
      <c r="T38" s="58" t="str">
        <f t="shared" si="27"/>
        <v>-</v>
      </c>
      <c r="U38" s="13" t="str">
        <f t="shared" si="28"/>
        <v>-</v>
      </c>
      <c r="V38" s="52" t="str">
        <f t="shared" si="23"/>
        <v>-</v>
      </c>
      <c r="W38" s="52"/>
      <c r="X38" s="52"/>
      <c r="Y38" s="51"/>
      <c r="Z38" s="51"/>
      <c r="AA38" s="14" t="str">
        <f t="shared" si="29"/>
        <v>-</v>
      </c>
      <c r="AB38" s="12"/>
      <c r="AC38" s="12"/>
      <c r="AD38" s="12"/>
      <c r="AE38" s="12"/>
      <c r="AF38" s="52"/>
      <c r="AG38" s="52"/>
      <c r="AH38" s="52"/>
      <c r="AI38" s="52"/>
      <c r="AJ38" s="12"/>
      <c r="AK38" s="12"/>
      <c r="AL38" s="12"/>
      <c r="AM38" s="12"/>
      <c r="AN38" s="12"/>
      <c r="AO38" s="12"/>
      <c r="AP38" s="12"/>
      <c r="AQ38" s="12"/>
      <c r="AR38" s="12"/>
      <c r="AS38" s="12"/>
      <c r="AT38" s="12"/>
      <c r="AU38" s="12"/>
      <c r="AV38" s="12"/>
      <c r="AW38" s="12"/>
      <c r="AX38" s="12"/>
      <c r="AY38" s="12"/>
      <c r="AZ38" s="12"/>
      <c r="BA38" s="12"/>
      <c r="BB38" s="59" t="str">
        <f t="shared" si="30"/>
        <v>-</v>
      </c>
      <c r="BC38" s="17"/>
      <c r="BD38" s="17"/>
      <c r="BE38" s="17">
        <f t="shared" si="31"/>
        <v>0</v>
      </c>
      <c r="BF38" s="17">
        <f t="shared" si="21"/>
        <v>0</v>
      </c>
      <c r="BG38" s="17">
        <f t="shared" si="20"/>
        <v>0</v>
      </c>
      <c r="BH38" s="17">
        <f t="shared" si="32"/>
        <v>0</v>
      </c>
      <c r="BI38" s="10"/>
      <c r="BJ38" s="12"/>
      <c r="BK38" s="12"/>
      <c r="BL38" s="12"/>
      <c r="BM38" s="12"/>
      <c r="BN38" s="12"/>
      <c r="BO38" s="12"/>
      <c r="BP38" s="12"/>
      <c r="BQ38" s="10"/>
      <c r="BR38" s="12"/>
      <c r="BS38" s="12"/>
      <c r="BT38" s="12"/>
      <c r="BU38" s="12"/>
      <c r="BV38" s="12"/>
      <c r="BW38" s="12"/>
      <c r="BX38" s="12"/>
      <c r="BY38" s="51">
        <f t="shared" si="24"/>
        <v>0</v>
      </c>
      <c r="BZ38" s="51">
        <f t="shared" si="25"/>
        <v>0</v>
      </c>
      <c r="CA38" s="51">
        <f t="shared" si="33"/>
        <v>0</v>
      </c>
      <c r="CB38" s="51">
        <f t="shared" si="34"/>
        <v>0</v>
      </c>
      <c r="CC38" s="51"/>
      <c r="CD38" s="51"/>
      <c r="CE38" s="51"/>
      <c r="CF38" s="51"/>
      <c r="CG38" s="52" t="str">
        <f t="shared" si="35"/>
        <v>-</v>
      </c>
      <c r="CH38" s="52" t="str">
        <f t="shared" si="36"/>
        <v>-</v>
      </c>
      <c r="CI38" s="52" t="str">
        <f t="shared" si="37"/>
        <v>-</v>
      </c>
      <c r="CJ38" s="52" t="str">
        <f t="shared" si="38"/>
        <v>-</v>
      </c>
      <c r="CK38" s="52" t="str">
        <f t="shared" si="39"/>
        <v>-</v>
      </c>
      <c r="CL38" s="52" t="str">
        <f t="shared" si="40"/>
        <v>-</v>
      </c>
    </row>
    <row r="39" spans="2:90">
      <c r="B39" t="str">
        <f t="shared" si="0"/>
        <v>2023</v>
      </c>
      <c r="C39">
        <v>202335</v>
      </c>
      <c r="G39" s="51">
        <f t="shared" si="26"/>
        <v>0</v>
      </c>
      <c r="H39" s="51"/>
      <c r="I39" s="51"/>
      <c r="J39" s="51"/>
      <c r="K39" s="51"/>
      <c r="L39" s="51"/>
      <c r="M39" s="51">
        <v>902600.31779999996</v>
      </c>
      <c r="N39" s="51" t="str">
        <f>IF(G39&gt;0,SUM($G$5:G39),"-")</f>
        <v>-</v>
      </c>
      <c r="O39" s="11">
        <f t="shared" si="41"/>
        <v>31286629.385200001</v>
      </c>
      <c r="P39" s="51">
        <v>0</v>
      </c>
      <c r="Q39" s="51">
        <v>0</v>
      </c>
      <c r="R39" s="57">
        <v>0</v>
      </c>
      <c r="S39" s="51">
        <v>0</v>
      </c>
      <c r="T39" s="58" t="str">
        <f t="shared" si="27"/>
        <v>-</v>
      </c>
      <c r="U39" s="13" t="str">
        <f t="shared" si="28"/>
        <v>-</v>
      </c>
      <c r="V39" s="52" t="str">
        <f t="shared" si="23"/>
        <v>-</v>
      </c>
      <c r="W39" s="52"/>
      <c r="X39" s="52"/>
      <c r="Y39" s="51"/>
      <c r="Z39" s="51"/>
      <c r="AA39" s="14" t="str">
        <f t="shared" si="29"/>
        <v>-</v>
      </c>
      <c r="AB39" s="12"/>
      <c r="AC39" s="12"/>
      <c r="AD39" s="12"/>
      <c r="AE39" s="12"/>
      <c r="AF39" s="52"/>
      <c r="AG39" s="52"/>
      <c r="AH39" s="52"/>
      <c r="AI39" s="52"/>
      <c r="AJ39" s="12"/>
      <c r="AK39" s="12"/>
      <c r="AL39" s="12"/>
      <c r="AM39" s="12"/>
      <c r="AN39" s="12"/>
      <c r="AO39" s="12"/>
      <c r="AP39" s="12"/>
      <c r="AQ39" s="12"/>
      <c r="AR39" s="12"/>
      <c r="AS39" s="12"/>
      <c r="AT39" s="12"/>
      <c r="AU39" s="12"/>
      <c r="AV39" s="12"/>
      <c r="AW39" s="12"/>
      <c r="AX39" s="12"/>
      <c r="AY39" s="12"/>
      <c r="AZ39" s="12"/>
      <c r="BA39" s="12"/>
      <c r="BB39" s="59" t="str">
        <f t="shared" si="30"/>
        <v>-</v>
      </c>
      <c r="BC39" s="17"/>
      <c r="BD39" s="17"/>
      <c r="BE39" s="17">
        <f t="shared" si="31"/>
        <v>0</v>
      </c>
      <c r="BF39" s="17">
        <f t="shared" si="21"/>
        <v>0</v>
      </c>
      <c r="BG39" s="17">
        <f t="shared" si="20"/>
        <v>0</v>
      </c>
      <c r="BH39" s="17">
        <f t="shared" si="32"/>
        <v>0</v>
      </c>
      <c r="BI39" s="10"/>
      <c r="BJ39" s="12"/>
      <c r="BK39" s="12"/>
      <c r="BL39" s="12"/>
      <c r="BM39" s="12"/>
      <c r="BN39" s="12"/>
      <c r="BO39" s="12"/>
      <c r="BP39" s="12"/>
      <c r="BQ39" s="10"/>
      <c r="BR39" s="12"/>
      <c r="BS39" s="12"/>
      <c r="BT39" s="12"/>
      <c r="BU39" s="12"/>
      <c r="BV39" s="12"/>
      <c r="BW39" s="12"/>
      <c r="BX39" s="12"/>
      <c r="BY39" s="51">
        <f t="shared" si="24"/>
        <v>0</v>
      </c>
      <c r="BZ39" s="51">
        <f t="shared" si="25"/>
        <v>0</v>
      </c>
      <c r="CA39" s="51">
        <f t="shared" si="33"/>
        <v>0</v>
      </c>
      <c r="CB39" s="51">
        <f t="shared" si="34"/>
        <v>0</v>
      </c>
      <c r="CC39" s="51"/>
      <c r="CD39" s="51"/>
      <c r="CE39" s="51"/>
      <c r="CF39" s="51"/>
      <c r="CG39" s="52" t="str">
        <f t="shared" si="35"/>
        <v>-</v>
      </c>
      <c r="CH39" s="52" t="str">
        <f t="shared" si="36"/>
        <v>-</v>
      </c>
      <c r="CI39" s="52" t="str">
        <f t="shared" si="37"/>
        <v>-</v>
      </c>
      <c r="CJ39" s="52" t="str">
        <f t="shared" si="38"/>
        <v>-</v>
      </c>
      <c r="CK39" s="52" t="str">
        <f t="shared" si="39"/>
        <v>-</v>
      </c>
      <c r="CL39" s="52" t="str">
        <f t="shared" si="40"/>
        <v>-</v>
      </c>
    </row>
    <row r="40" spans="2:90">
      <c r="B40" t="str">
        <f t="shared" si="0"/>
        <v>2023</v>
      </c>
      <c r="C40">
        <v>202336</v>
      </c>
      <c r="G40" s="51">
        <f t="shared" si="26"/>
        <v>0</v>
      </c>
      <c r="H40" s="51"/>
      <c r="I40" s="51"/>
      <c r="J40" s="51"/>
      <c r="K40" s="51"/>
      <c r="L40" s="51"/>
      <c r="M40" s="51">
        <v>935871.41639999999</v>
      </c>
      <c r="N40" s="51" t="str">
        <f>IF(G40&gt;0,SUM($G$5:G40),"-")</f>
        <v>-</v>
      </c>
      <c r="O40" s="11">
        <f t="shared" si="41"/>
        <v>32222500.801600002</v>
      </c>
      <c r="P40" s="51">
        <v>0</v>
      </c>
      <c r="Q40" s="51">
        <v>0</v>
      </c>
      <c r="R40" s="57">
        <v>0</v>
      </c>
      <c r="S40" s="51">
        <v>0</v>
      </c>
      <c r="T40" s="58" t="str">
        <f t="shared" si="27"/>
        <v>-</v>
      </c>
      <c r="U40" s="13" t="str">
        <f t="shared" si="28"/>
        <v>-</v>
      </c>
      <c r="V40" s="52" t="str">
        <f t="shared" si="23"/>
        <v>-</v>
      </c>
      <c r="W40" s="52"/>
      <c r="X40" s="52"/>
      <c r="Y40" s="51"/>
      <c r="Z40" s="51"/>
      <c r="AA40" s="14" t="str">
        <f t="shared" si="29"/>
        <v>-</v>
      </c>
      <c r="AB40" s="12"/>
      <c r="AC40" s="12"/>
      <c r="AD40" s="12"/>
      <c r="AE40" s="12"/>
      <c r="AF40" s="52"/>
      <c r="AG40" s="52"/>
      <c r="AH40" s="52"/>
      <c r="AI40" s="52"/>
      <c r="AJ40" s="12"/>
      <c r="AK40" s="12"/>
      <c r="AL40" s="12"/>
      <c r="AM40" s="12"/>
      <c r="AN40" s="12"/>
      <c r="AO40" s="12"/>
      <c r="AP40" s="12"/>
      <c r="AQ40" s="12"/>
      <c r="AR40" s="12"/>
      <c r="AS40" s="12"/>
      <c r="AT40" s="12"/>
      <c r="AU40" s="12"/>
      <c r="AV40" s="12"/>
      <c r="AW40" s="12"/>
      <c r="AX40" s="12"/>
      <c r="AY40" s="12"/>
      <c r="AZ40" s="12"/>
      <c r="BA40" s="12"/>
      <c r="BB40" s="59" t="str">
        <f t="shared" si="30"/>
        <v>-</v>
      </c>
      <c r="BC40" s="17"/>
      <c r="BD40" s="17"/>
      <c r="BE40" s="17">
        <f t="shared" si="31"/>
        <v>0</v>
      </c>
      <c r="BF40" s="17">
        <f t="shared" si="21"/>
        <v>0</v>
      </c>
      <c r="BG40" s="17">
        <f t="shared" si="20"/>
        <v>0</v>
      </c>
      <c r="BH40" s="17">
        <f t="shared" si="32"/>
        <v>0</v>
      </c>
      <c r="BI40" s="10"/>
      <c r="BJ40" s="12"/>
      <c r="BK40" s="12"/>
      <c r="BL40" s="12"/>
      <c r="BM40" s="12"/>
      <c r="BN40" s="12"/>
      <c r="BO40" s="12"/>
      <c r="BP40" s="12"/>
      <c r="BQ40" s="10"/>
      <c r="BR40" s="12"/>
      <c r="BS40" s="12"/>
      <c r="BT40" s="12"/>
      <c r="BU40" s="12"/>
      <c r="BV40" s="12"/>
      <c r="BW40" s="12"/>
      <c r="BX40" s="12"/>
      <c r="BY40" s="51">
        <f t="shared" si="24"/>
        <v>0</v>
      </c>
      <c r="BZ40" s="51">
        <f t="shared" si="25"/>
        <v>0</v>
      </c>
      <c r="CA40" s="51">
        <f t="shared" si="33"/>
        <v>0</v>
      </c>
      <c r="CB40" s="51">
        <f t="shared" si="34"/>
        <v>0</v>
      </c>
      <c r="CC40" s="51"/>
      <c r="CD40" s="51"/>
      <c r="CE40" s="51"/>
      <c r="CF40" s="51"/>
      <c r="CG40" s="52" t="str">
        <f t="shared" si="35"/>
        <v>-</v>
      </c>
      <c r="CH40" s="52" t="str">
        <f t="shared" si="36"/>
        <v>-</v>
      </c>
      <c r="CI40" s="52" t="str">
        <f t="shared" si="37"/>
        <v>-</v>
      </c>
      <c r="CJ40" s="52" t="str">
        <f t="shared" si="38"/>
        <v>-</v>
      </c>
      <c r="CK40" s="52" t="str">
        <f t="shared" si="39"/>
        <v>-</v>
      </c>
      <c r="CL40" s="52" t="str">
        <f t="shared" si="40"/>
        <v>-</v>
      </c>
    </row>
    <row r="41" spans="2:90">
      <c r="B41" t="str">
        <f t="shared" si="0"/>
        <v>2023</v>
      </c>
      <c r="C41">
        <v>202337</v>
      </c>
      <c r="G41" s="51">
        <f t="shared" si="26"/>
        <v>0</v>
      </c>
      <c r="H41" s="51"/>
      <c r="I41" s="51"/>
      <c r="J41" s="51"/>
      <c r="K41" s="51"/>
      <c r="L41" s="51"/>
      <c r="M41" s="51">
        <v>959683.00390000001</v>
      </c>
      <c r="N41" s="51" t="str">
        <f>IF(G41&gt;0,SUM($G$5:G41),"-")</f>
        <v>-</v>
      </c>
      <c r="O41" s="11">
        <f t="shared" si="41"/>
        <v>33182183.805500001</v>
      </c>
      <c r="P41" s="51">
        <v>0</v>
      </c>
      <c r="Q41" s="51">
        <v>0</v>
      </c>
      <c r="R41" s="57">
        <v>0</v>
      </c>
      <c r="S41" s="51">
        <v>0</v>
      </c>
      <c r="T41" s="58" t="str">
        <f t="shared" si="27"/>
        <v>-</v>
      </c>
      <c r="U41" s="13" t="str">
        <f t="shared" si="28"/>
        <v>-</v>
      </c>
      <c r="V41" s="52" t="str">
        <f t="shared" si="23"/>
        <v>-</v>
      </c>
      <c r="W41" s="52"/>
      <c r="X41" s="52"/>
      <c r="Y41" s="51"/>
      <c r="Z41" s="51"/>
      <c r="AA41" s="14" t="str">
        <f t="shared" si="29"/>
        <v>-</v>
      </c>
      <c r="AB41" s="12"/>
      <c r="AC41" s="12"/>
      <c r="AD41" s="12"/>
      <c r="AE41" s="12"/>
      <c r="AF41" s="52"/>
      <c r="AG41" s="52"/>
      <c r="AH41" s="52"/>
      <c r="AI41" s="52"/>
      <c r="AJ41" s="12"/>
      <c r="AK41" s="12"/>
      <c r="AL41" s="12"/>
      <c r="AM41" s="12"/>
      <c r="AN41" s="12"/>
      <c r="AO41" s="12"/>
      <c r="AP41" s="12"/>
      <c r="AQ41" s="12"/>
      <c r="AR41" s="12"/>
      <c r="AS41" s="12"/>
      <c r="AT41" s="12"/>
      <c r="AU41" s="12"/>
      <c r="AV41" s="12"/>
      <c r="AW41" s="12"/>
      <c r="AX41" s="12"/>
      <c r="AY41" s="12"/>
      <c r="AZ41" s="12"/>
      <c r="BA41" s="12"/>
      <c r="BB41" s="59" t="str">
        <f t="shared" si="30"/>
        <v>-</v>
      </c>
      <c r="BC41" s="17"/>
      <c r="BD41" s="17"/>
      <c r="BE41" s="17">
        <f t="shared" si="31"/>
        <v>0</v>
      </c>
      <c r="BF41" s="17">
        <f t="shared" si="21"/>
        <v>0</v>
      </c>
      <c r="BG41" s="17">
        <f t="shared" si="20"/>
        <v>0</v>
      </c>
      <c r="BH41" s="17">
        <f t="shared" si="32"/>
        <v>0</v>
      </c>
      <c r="BI41" s="10"/>
      <c r="BJ41" s="12"/>
      <c r="BK41" s="12"/>
      <c r="BL41" s="12"/>
      <c r="BM41" s="12"/>
      <c r="BN41" s="12"/>
      <c r="BO41" s="12"/>
      <c r="BP41" s="12"/>
      <c r="BQ41" s="10"/>
      <c r="BR41" s="12"/>
      <c r="BS41" s="12"/>
      <c r="BT41" s="12"/>
      <c r="BU41" s="12"/>
      <c r="BV41" s="12"/>
      <c r="BW41" s="12"/>
      <c r="BX41" s="12"/>
      <c r="BY41" s="51">
        <f t="shared" si="24"/>
        <v>0</v>
      </c>
      <c r="BZ41" s="51">
        <f t="shared" si="25"/>
        <v>0</v>
      </c>
      <c r="CA41" s="51">
        <f t="shared" si="33"/>
        <v>0</v>
      </c>
      <c r="CB41" s="51">
        <f t="shared" si="34"/>
        <v>0</v>
      </c>
      <c r="CC41" s="51"/>
      <c r="CD41" s="51"/>
      <c r="CE41" s="51"/>
      <c r="CF41" s="51"/>
      <c r="CG41" s="52" t="str">
        <f t="shared" si="35"/>
        <v>-</v>
      </c>
      <c r="CH41" s="52" t="str">
        <f t="shared" si="36"/>
        <v>-</v>
      </c>
      <c r="CI41" s="52" t="str">
        <f t="shared" si="37"/>
        <v>-</v>
      </c>
      <c r="CJ41" s="52" t="str">
        <f t="shared" si="38"/>
        <v>-</v>
      </c>
      <c r="CK41" s="52" t="str">
        <f t="shared" si="39"/>
        <v>-</v>
      </c>
      <c r="CL41" s="52" t="str">
        <f t="shared" si="40"/>
        <v>-</v>
      </c>
    </row>
    <row r="42" spans="2:90">
      <c r="B42" t="str">
        <f t="shared" si="0"/>
        <v>2023</v>
      </c>
      <c r="C42">
        <v>202338</v>
      </c>
      <c r="G42" s="51">
        <f t="shared" si="26"/>
        <v>0</v>
      </c>
      <c r="H42" s="51"/>
      <c r="I42" s="51"/>
      <c r="J42" s="51"/>
      <c r="K42" s="51"/>
      <c r="L42" s="51"/>
      <c r="M42" s="51">
        <v>985267.75029999996</v>
      </c>
      <c r="N42" s="51" t="str">
        <f>IF(G42&gt;0,SUM($G$5:G42),"-")</f>
        <v>-</v>
      </c>
      <c r="O42" s="11">
        <f t="shared" si="41"/>
        <v>34167451.555799998</v>
      </c>
      <c r="P42" s="51">
        <v>0</v>
      </c>
      <c r="Q42" s="51">
        <v>0</v>
      </c>
      <c r="R42" s="57">
        <v>0</v>
      </c>
      <c r="S42" s="51">
        <v>0</v>
      </c>
      <c r="T42" s="58" t="str">
        <f t="shared" si="27"/>
        <v>-</v>
      </c>
      <c r="U42" s="13" t="str">
        <f t="shared" si="28"/>
        <v>-</v>
      </c>
      <c r="V42" s="52" t="str">
        <f t="shared" si="23"/>
        <v>-</v>
      </c>
      <c r="W42" s="52"/>
      <c r="X42" s="52"/>
      <c r="Y42" s="51"/>
      <c r="Z42" s="51"/>
      <c r="AA42" s="14" t="str">
        <f t="shared" si="29"/>
        <v>-</v>
      </c>
      <c r="AB42" s="12"/>
      <c r="AC42" s="12"/>
      <c r="AD42" s="12"/>
      <c r="AE42" s="12"/>
      <c r="AF42" s="52"/>
      <c r="AG42" s="52"/>
      <c r="AH42" s="52"/>
      <c r="AI42" s="52"/>
      <c r="AJ42" s="12"/>
      <c r="AK42" s="12"/>
      <c r="AL42" s="12"/>
      <c r="AM42" s="12"/>
      <c r="AN42" s="12"/>
      <c r="AO42" s="12"/>
      <c r="AP42" s="12"/>
      <c r="AQ42" s="12"/>
      <c r="AR42" s="12"/>
      <c r="AS42" s="12"/>
      <c r="AT42" s="12"/>
      <c r="AU42" s="12"/>
      <c r="AV42" s="12"/>
      <c r="AW42" s="12"/>
      <c r="AX42" s="12"/>
      <c r="AY42" s="12"/>
      <c r="AZ42" s="12"/>
      <c r="BA42" s="12"/>
      <c r="BB42" s="59" t="str">
        <f t="shared" si="30"/>
        <v>-</v>
      </c>
      <c r="BC42" s="17"/>
      <c r="BD42" s="17"/>
      <c r="BE42" s="17">
        <f t="shared" si="31"/>
        <v>0</v>
      </c>
      <c r="BF42" s="17">
        <f t="shared" si="21"/>
        <v>0</v>
      </c>
      <c r="BG42" s="17">
        <f t="shared" si="20"/>
        <v>0</v>
      </c>
      <c r="BH42" s="17">
        <f t="shared" si="32"/>
        <v>0</v>
      </c>
      <c r="BI42" s="10"/>
      <c r="BJ42" s="12"/>
      <c r="BK42" s="12"/>
      <c r="BL42" s="12"/>
      <c r="BM42" s="12"/>
      <c r="BN42" s="12"/>
      <c r="BO42" s="12"/>
      <c r="BP42" s="12"/>
      <c r="BQ42" s="10"/>
      <c r="BR42" s="12"/>
      <c r="BS42" s="12"/>
      <c r="BT42" s="12"/>
      <c r="BU42" s="12"/>
      <c r="BV42" s="12"/>
      <c r="BW42" s="12"/>
      <c r="BX42" s="12"/>
      <c r="BY42" s="51">
        <f t="shared" si="24"/>
        <v>0</v>
      </c>
      <c r="BZ42" s="51">
        <f t="shared" si="25"/>
        <v>0</v>
      </c>
      <c r="CA42" s="51">
        <f t="shared" si="33"/>
        <v>0</v>
      </c>
      <c r="CB42" s="51">
        <f t="shared" si="34"/>
        <v>0</v>
      </c>
      <c r="CC42" s="51"/>
      <c r="CD42" s="51"/>
      <c r="CE42" s="51"/>
      <c r="CF42" s="51"/>
      <c r="CG42" s="52" t="str">
        <f t="shared" si="35"/>
        <v>-</v>
      </c>
      <c r="CH42" s="52" t="str">
        <f t="shared" si="36"/>
        <v>-</v>
      </c>
      <c r="CI42" s="52" t="str">
        <f t="shared" si="37"/>
        <v>-</v>
      </c>
      <c r="CJ42" s="52" t="str">
        <f t="shared" si="38"/>
        <v>-</v>
      </c>
      <c r="CK42" s="52" t="str">
        <f t="shared" si="39"/>
        <v>-</v>
      </c>
      <c r="CL42" s="52" t="str">
        <f t="shared" si="40"/>
        <v>-</v>
      </c>
    </row>
    <row r="43" spans="2:90">
      <c r="B43" t="str">
        <f t="shared" si="0"/>
        <v>2023</v>
      </c>
      <c r="C43">
        <v>202339</v>
      </c>
      <c r="G43" s="51">
        <f t="shared" si="26"/>
        <v>0</v>
      </c>
      <c r="H43" s="51"/>
      <c r="I43" s="51"/>
      <c r="J43" s="51"/>
      <c r="K43" s="51"/>
      <c r="L43" s="51"/>
      <c r="M43" s="51">
        <v>1013991.711</v>
      </c>
      <c r="N43" s="51" t="str">
        <f>IF(G43&gt;0,SUM($G$5:G43),"-")</f>
        <v>-</v>
      </c>
      <c r="O43" s="11">
        <f t="shared" si="41"/>
        <v>35181443.266800001</v>
      </c>
      <c r="P43" s="51">
        <v>0</v>
      </c>
      <c r="Q43" s="51">
        <v>0</v>
      </c>
      <c r="R43" s="57">
        <v>0</v>
      </c>
      <c r="S43" s="51">
        <v>0</v>
      </c>
      <c r="T43" s="58" t="str">
        <f t="shared" si="27"/>
        <v>-</v>
      </c>
      <c r="U43" s="13" t="str">
        <f t="shared" si="28"/>
        <v>-</v>
      </c>
      <c r="V43" s="52" t="str">
        <f t="shared" si="23"/>
        <v>-</v>
      </c>
      <c r="W43" s="52"/>
      <c r="X43" s="52"/>
      <c r="Y43" s="51"/>
      <c r="Z43" s="51"/>
      <c r="AA43" s="14" t="str">
        <f t="shared" si="29"/>
        <v>-</v>
      </c>
      <c r="AB43" s="12"/>
      <c r="AC43" s="12"/>
      <c r="AD43" s="12"/>
      <c r="AE43" s="12"/>
      <c r="AF43" s="52"/>
      <c r="AG43" s="52"/>
      <c r="AH43" s="52"/>
      <c r="AI43" s="52"/>
      <c r="AJ43" s="12"/>
      <c r="AK43" s="12"/>
      <c r="AL43" s="12"/>
      <c r="AM43" s="12"/>
      <c r="AN43" s="12"/>
      <c r="AO43" s="12"/>
      <c r="AP43" s="12"/>
      <c r="AQ43" s="12"/>
      <c r="AR43" s="12"/>
      <c r="AS43" s="12"/>
      <c r="AT43" s="12"/>
      <c r="AU43" s="12"/>
      <c r="AV43" s="12"/>
      <c r="AW43" s="12"/>
      <c r="AX43" s="12"/>
      <c r="AY43" s="12"/>
      <c r="AZ43" s="12"/>
      <c r="BA43" s="12"/>
      <c r="BB43" s="59" t="str">
        <f t="shared" si="30"/>
        <v>-</v>
      </c>
      <c r="BC43" s="17"/>
      <c r="BD43" s="17"/>
      <c r="BE43" s="17">
        <f t="shared" si="31"/>
        <v>0</v>
      </c>
      <c r="BF43" s="17">
        <f t="shared" si="21"/>
        <v>0</v>
      </c>
      <c r="BG43" s="17">
        <f t="shared" si="20"/>
        <v>0</v>
      </c>
      <c r="BH43" s="17">
        <f t="shared" si="32"/>
        <v>0</v>
      </c>
      <c r="BI43" s="10"/>
      <c r="BJ43" s="12"/>
      <c r="BK43" s="12"/>
      <c r="BL43" s="12"/>
      <c r="BM43" s="12"/>
      <c r="BN43" s="12"/>
      <c r="BO43" s="12"/>
      <c r="BP43" s="12"/>
      <c r="BQ43" s="10"/>
      <c r="BR43" s="12"/>
      <c r="BS43" s="12"/>
      <c r="BT43" s="12"/>
      <c r="BU43" s="12"/>
      <c r="BV43" s="12"/>
      <c r="BW43" s="12"/>
      <c r="BX43" s="12"/>
      <c r="BY43" s="51">
        <f t="shared" si="24"/>
        <v>0</v>
      </c>
      <c r="BZ43" s="51">
        <f t="shared" si="25"/>
        <v>0</v>
      </c>
      <c r="CA43" s="51">
        <f t="shared" si="33"/>
        <v>0</v>
      </c>
      <c r="CB43" s="51">
        <f t="shared" si="34"/>
        <v>0</v>
      </c>
      <c r="CC43" s="51"/>
      <c r="CD43" s="51"/>
      <c r="CE43" s="51"/>
      <c r="CF43" s="51"/>
      <c r="CG43" s="52" t="str">
        <f t="shared" si="35"/>
        <v>-</v>
      </c>
      <c r="CH43" s="52" t="str">
        <f t="shared" si="36"/>
        <v>-</v>
      </c>
      <c r="CI43" s="52" t="str">
        <f t="shared" si="37"/>
        <v>-</v>
      </c>
      <c r="CJ43" s="52" t="str">
        <f t="shared" si="38"/>
        <v>-</v>
      </c>
      <c r="CK43" s="52" t="str">
        <f t="shared" si="39"/>
        <v>-</v>
      </c>
      <c r="CL43" s="52" t="str">
        <f t="shared" si="40"/>
        <v>-</v>
      </c>
    </row>
    <row r="44" spans="2:90">
      <c r="B44" t="str">
        <f t="shared" si="0"/>
        <v>2023</v>
      </c>
      <c r="C44">
        <v>202340</v>
      </c>
      <c r="G44" s="51">
        <f t="shared" si="26"/>
        <v>0</v>
      </c>
      <c r="H44" s="51"/>
      <c r="I44" s="51"/>
      <c r="J44" s="51"/>
      <c r="K44" s="51"/>
      <c r="L44" s="51"/>
      <c r="M44" s="51">
        <v>1100203.1100000001</v>
      </c>
      <c r="N44" s="51" t="str">
        <f>IF(G44&gt;0,SUM($G$5:G44),"-")</f>
        <v>-</v>
      </c>
      <c r="O44" s="11">
        <f t="shared" si="41"/>
        <v>36281646.376800001</v>
      </c>
      <c r="P44" s="51">
        <v>0</v>
      </c>
      <c r="Q44" s="51">
        <v>0</v>
      </c>
      <c r="R44" s="57">
        <v>0</v>
      </c>
      <c r="S44" s="51">
        <v>0</v>
      </c>
      <c r="T44" s="58" t="str">
        <f t="shared" si="27"/>
        <v>-</v>
      </c>
      <c r="U44" s="13" t="str">
        <f t="shared" si="28"/>
        <v>-</v>
      </c>
      <c r="V44" s="52" t="str">
        <f t="shared" si="23"/>
        <v>-</v>
      </c>
      <c r="W44" s="52"/>
      <c r="X44" s="52"/>
      <c r="Y44" s="51"/>
      <c r="Z44" s="51"/>
      <c r="AA44" s="14" t="str">
        <f t="shared" si="29"/>
        <v>-</v>
      </c>
      <c r="AB44" s="12"/>
      <c r="AC44" s="12"/>
      <c r="AD44" s="12"/>
      <c r="AE44" s="12"/>
      <c r="AF44" s="52"/>
      <c r="AG44" s="52"/>
      <c r="AH44" s="52"/>
      <c r="AI44" s="52"/>
      <c r="AJ44" s="12"/>
      <c r="AK44" s="12"/>
      <c r="AL44" s="12"/>
      <c r="AM44" s="12"/>
      <c r="AN44" s="12"/>
      <c r="AO44" s="12"/>
      <c r="AP44" s="12"/>
      <c r="AQ44" s="12"/>
      <c r="AR44" s="12"/>
      <c r="AS44" s="12"/>
      <c r="AT44" s="12"/>
      <c r="AU44" s="12"/>
      <c r="AV44" s="12"/>
      <c r="AW44" s="12"/>
      <c r="AX44" s="12"/>
      <c r="AY44" s="12"/>
      <c r="AZ44" s="12"/>
      <c r="BA44" s="12"/>
      <c r="BB44" s="59" t="str">
        <f t="shared" si="30"/>
        <v>-</v>
      </c>
      <c r="BC44" s="17"/>
      <c r="BD44" s="17"/>
      <c r="BE44" s="17">
        <f t="shared" si="31"/>
        <v>0</v>
      </c>
      <c r="BF44" s="17">
        <f t="shared" si="21"/>
        <v>0</v>
      </c>
      <c r="BG44" s="17">
        <f t="shared" si="20"/>
        <v>0</v>
      </c>
      <c r="BH44" s="17">
        <f t="shared" si="32"/>
        <v>0</v>
      </c>
      <c r="BI44" s="10"/>
      <c r="BJ44" s="12"/>
      <c r="BK44" s="12"/>
      <c r="BL44" s="12"/>
      <c r="BM44" s="12"/>
      <c r="BN44" s="12"/>
      <c r="BO44" s="12"/>
      <c r="BP44" s="12"/>
      <c r="BQ44" s="10"/>
      <c r="BR44" s="12"/>
      <c r="BS44" s="12"/>
      <c r="BT44" s="12"/>
      <c r="BU44" s="12"/>
      <c r="BV44" s="12"/>
      <c r="BW44" s="12"/>
      <c r="BX44" s="12"/>
      <c r="BY44" s="51">
        <f t="shared" si="24"/>
        <v>0</v>
      </c>
      <c r="BZ44" s="51">
        <f t="shared" si="25"/>
        <v>0</v>
      </c>
      <c r="CA44" s="51">
        <f t="shared" si="33"/>
        <v>0</v>
      </c>
      <c r="CB44" s="51">
        <f t="shared" si="34"/>
        <v>0</v>
      </c>
      <c r="CC44" s="51"/>
      <c r="CD44" s="51"/>
      <c r="CE44" s="51"/>
      <c r="CF44" s="51"/>
      <c r="CG44" s="52" t="str">
        <f t="shared" si="35"/>
        <v>-</v>
      </c>
      <c r="CH44" s="52" t="str">
        <f t="shared" si="36"/>
        <v>-</v>
      </c>
      <c r="CI44" s="52" t="str">
        <f t="shared" si="37"/>
        <v>-</v>
      </c>
      <c r="CJ44" s="52" t="str">
        <f t="shared" si="38"/>
        <v>-</v>
      </c>
      <c r="CK44" s="52" t="str">
        <f t="shared" si="39"/>
        <v>-</v>
      </c>
      <c r="CL44" s="52" t="str">
        <f t="shared" si="40"/>
        <v>-</v>
      </c>
    </row>
    <row r="45" spans="2:90">
      <c r="B45" t="str">
        <f t="shared" si="0"/>
        <v>2023</v>
      </c>
      <c r="C45">
        <v>202341</v>
      </c>
      <c r="G45" s="51">
        <f t="shared" si="26"/>
        <v>0</v>
      </c>
      <c r="H45" s="51"/>
      <c r="I45" s="51"/>
      <c r="J45" s="51"/>
      <c r="K45" s="51"/>
      <c r="L45" s="51"/>
      <c r="M45" s="51">
        <v>1203851.362</v>
      </c>
      <c r="N45" s="51" t="str">
        <f>IF(G45&gt;0,SUM($G$5:G45),"-")</f>
        <v>-</v>
      </c>
      <c r="O45" s="11">
        <f t="shared" si="41"/>
        <v>37485497.738800004</v>
      </c>
      <c r="P45" s="51">
        <v>0</v>
      </c>
      <c r="Q45" s="51">
        <v>0</v>
      </c>
      <c r="R45" s="57">
        <v>0</v>
      </c>
      <c r="S45" s="51">
        <v>0</v>
      </c>
      <c r="T45" s="58" t="str">
        <f t="shared" si="27"/>
        <v>-</v>
      </c>
      <c r="U45" s="13" t="str">
        <f t="shared" si="28"/>
        <v>-</v>
      </c>
      <c r="V45" s="52" t="str">
        <f t="shared" si="23"/>
        <v>-</v>
      </c>
      <c r="W45" s="52"/>
      <c r="X45" s="52"/>
      <c r="Y45" s="51"/>
      <c r="Z45" s="51"/>
      <c r="AA45" s="14" t="str">
        <f t="shared" si="29"/>
        <v>-</v>
      </c>
      <c r="AB45" s="12"/>
      <c r="AC45" s="12"/>
      <c r="AD45" s="12"/>
      <c r="AE45" s="12"/>
      <c r="AF45" s="52"/>
      <c r="AG45" s="52"/>
      <c r="AH45" s="52"/>
      <c r="AI45" s="52"/>
      <c r="AJ45" s="12"/>
      <c r="AK45" s="12"/>
      <c r="AL45" s="12"/>
      <c r="AM45" s="12"/>
      <c r="AN45" s="12"/>
      <c r="AO45" s="12"/>
      <c r="AP45" s="12"/>
      <c r="AQ45" s="12"/>
      <c r="AR45" s="12"/>
      <c r="AS45" s="12"/>
      <c r="AT45" s="12"/>
      <c r="AU45" s="12"/>
      <c r="AV45" s="12"/>
      <c r="AW45" s="12"/>
      <c r="AX45" s="12"/>
      <c r="AY45" s="12"/>
      <c r="AZ45" s="12"/>
      <c r="BA45" s="12"/>
      <c r="BB45" s="59" t="str">
        <f t="shared" si="30"/>
        <v>-</v>
      </c>
      <c r="BC45" s="17"/>
      <c r="BD45" s="17"/>
      <c r="BE45" s="17">
        <f t="shared" si="31"/>
        <v>0</v>
      </c>
      <c r="BF45" s="17">
        <f t="shared" si="21"/>
        <v>0</v>
      </c>
      <c r="BG45" s="17">
        <f t="shared" si="20"/>
        <v>0</v>
      </c>
      <c r="BH45" s="17">
        <f t="shared" si="32"/>
        <v>0</v>
      </c>
      <c r="BI45" s="10"/>
      <c r="BJ45" s="12"/>
      <c r="BK45" s="12"/>
      <c r="BL45" s="12"/>
      <c r="BM45" s="12"/>
      <c r="BN45" s="12"/>
      <c r="BO45" s="12"/>
      <c r="BP45" s="12"/>
      <c r="BQ45" s="10"/>
      <c r="BR45" s="12"/>
      <c r="BS45" s="12"/>
      <c r="BT45" s="12"/>
      <c r="BU45" s="12"/>
      <c r="BV45" s="12"/>
      <c r="BW45" s="12"/>
      <c r="BX45" s="12"/>
      <c r="BY45" s="51">
        <f t="shared" si="24"/>
        <v>0</v>
      </c>
      <c r="BZ45" s="51">
        <f t="shared" si="25"/>
        <v>0</v>
      </c>
      <c r="CA45" s="51">
        <f t="shared" si="33"/>
        <v>0</v>
      </c>
      <c r="CB45" s="51">
        <f t="shared" si="34"/>
        <v>0</v>
      </c>
      <c r="CC45" s="51"/>
      <c r="CD45" s="51"/>
      <c r="CE45" s="51"/>
      <c r="CF45" s="51"/>
      <c r="CG45" s="52" t="str">
        <f t="shared" si="35"/>
        <v>-</v>
      </c>
      <c r="CH45" s="52" t="str">
        <f t="shared" si="36"/>
        <v>-</v>
      </c>
      <c r="CI45" s="52" t="str">
        <f t="shared" si="37"/>
        <v>-</v>
      </c>
      <c r="CJ45" s="52" t="str">
        <f t="shared" si="38"/>
        <v>-</v>
      </c>
      <c r="CK45" s="52" t="str">
        <f t="shared" si="39"/>
        <v>-</v>
      </c>
      <c r="CL45" s="52" t="str">
        <f t="shared" si="40"/>
        <v>-</v>
      </c>
    </row>
    <row r="46" spans="2:90">
      <c r="B46" t="str">
        <f t="shared" si="0"/>
        <v>2023</v>
      </c>
      <c r="C46">
        <v>202342</v>
      </c>
      <c r="G46" s="51">
        <f t="shared" si="26"/>
        <v>0</v>
      </c>
      <c r="H46" s="51"/>
      <c r="I46" s="51"/>
      <c r="J46" s="51"/>
      <c r="K46" s="51"/>
      <c r="L46" s="51"/>
      <c r="M46" s="51">
        <v>1228190.6299999999</v>
      </c>
      <c r="N46" s="51" t="str">
        <f>IF(G46&gt;0,SUM($G$5:G46),"-")</f>
        <v>-</v>
      </c>
      <c r="O46" s="11">
        <f t="shared" si="41"/>
        <v>38713688.368800007</v>
      </c>
      <c r="P46" s="51">
        <v>0</v>
      </c>
      <c r="Q46" s="51">
        <v>0</v>
      </c>
      <c r="R46" s="57">
        <v>0</v>
      </c>
      <c r="S46" s="51">
        <v>0</v>
      </c>
      <c r="T46" s="58" t="str">
        <f t="shared" si="27"/>
        <v>-</v>
      </c>
      <c r="U46" s="13" t="str">
        <f t="shared" si="28"/>
        <v>-</v>
      </c>
      <c r="V46" s="52" t="str">
        <f t="shared" si="23"/>
        <v>-</v>
      </c>
      <c r="W46" s="52"/>
      <c r="X46" s="52"/>
      <c r="Y46" s="51"/>
      <c r="Z46" s="51"/>
      <c r="AA46" s="14" t="str">
        <f t="shared" si="29"/>
        <v>-</v>
      </c>
      <c r="AB46" s="12"/>
      <c r="AC46" s="12"/>
      <c r="AD46" s="12"/>
      <c r="AE46" s="12"/>
      <c r="AF46" s="52"/>
      <c r="AG46" s="52"/>
      <c r="AH46" s="52"/>
      <c r="AI46" s="52"/>
      <c r="AJ46" s="12"/>
      <c r="AK46" s="12"/>
      <c r="AL46" s="12"/>
      <c r="AM46" s="12"/>
      <c r="AN46" s="12"/>
      <c r="AO46" s="12"/>
      <c r="AP46" s="12"/>
      <c r="AQ46" s="12"/>
      <c r="AR46" s="12"/>
      <c r="AS46" s="12"/>
      <c r="AT46" s="12"/>
      <c r="AU46" s="12"/>
      <c r="AV46" s="12"/>
      <c r="AW46" s="12"/>
      <c r="AX46" s="12"/>
      <c r="AY46" s="12"/>
      <c r="AZ46" s="12"/>
      <c r="BA46" s="12"/>
      <c r="BB46" s="59" t="str">
        <f t="shared" si="30"/>
        <v>-</v>
      </c>
      <c r="BC46" s="17"/>
      <c r="BD46" s="17"/>
      <c r="BE46" s="17">
        <f t="shared" si="31"/>
        <v>0</v>
      </c>
      <c r="BF46" s="17">
        <f t="shared" si="21"/>
        <v>0</v>
      </c>
      <c r="BG46" s="17">
        <f t="shared" si="20"/>
        <v>0</v>
      </c>
      <c r="BH46" s="17">
        <f t="shared" si="32"/>
        <v>0</v>
      </c>
      <c r="BI46" s="10"/>
      <c r="BJ46" s="12"/>
      <c r="BK46" s="12"/>
      <c r="BL46" s="12"/>
      <c r="BM46" s="12"/>
      <c r="BN46" s="12"/>
      <c r="BO46" s="12"/>
      <c r="BP46" s="12"/>
      <c r="BQ46" s="10"/>
      <c r="BR46" s="12"/>
      <c r="BS46" s="12"/>
      <c r="BT46" s="12"/>
      <c r="BU46" s="12"/>
      <c r="BV46" s="12"/>
      <c r="BW46" s="12"/>
      <c r="BX46" s="12"/>
      <c r="BY46" s="51">
        <f t="shared" si="24"/>
        <v>0</v>
      </c>
      <c r="BZ46" s="51">
        <f t="shared" si="25"/>
        <v>0</v>
      </c>
      <c r="CA46" s="51">
        <f t="shared" si="33"/>
        <v>0</v>
      </c>
      <c r="CB46" s="51">
        <f t="shared" si="34"/>
        <v>0</v>
      </c>
      <c r="CC46" s="51"/>
      <c r="CD46" s="51"/>
      <c r="CE46" s="51"/>
      <c r="CF46" s="51"/>
      <c r="CG46" s="52" t="str">
        <f t="shared" si="35"/>
        <v>-</v>
      </c>
      <c r="CH46" s="52" t="str">
        <f t="shared" si="36"/>
        <v>-</v>
      </c>
      <c r="CI46" s="52" t="str">
        <f t="shared" si="37"/>
        <v>-</v>
      </c>
      <c r="CJ46" s="52" t="str">
        <f t="shared" si="38"/>
        <v>-</v>
      </c>
      <c r="CK46" s="52" t="str">
        <f t="shared" si="39"/>
        <v>-</v>
      </c>
      <c r="CL46" s="52" t="str">
        <f t="shared" si="40"/>
        <v>-</v>
      </c>
    </row>
    <row r="47" spans="2:90">
      <c r="B47" t="str">
        <f t="shared" si="0"/>
        <v>2023</v>
      </c>
      <c r="C47">
        <v>202343</v>
      </c>
      <c r="G47" s="51">
        <f t="shared" si="26"/>
        <v>0</v>
      </c>
      <c r="H47" s="51"/>
      <c r="I47" s="51"/>
      <c r="J47" s="51"/>
      <c r="K47" s="51"/>
      <c r="L47" s="51"/>
      <c r="M47" s="51">
        <v>1249993.493</v>
      </c>
      <c r="N47" s="51" t="str">
        <f>IF(G47&gt;0,SUM($G$5:G47),"-")</f>
        <v>-</v>
      </c>
      <c r="O47" s="11">
        <f t="shared" si="41"/>
        <v>39963681.861800008</v>
      </c>
      <c r="P47" s="51">
        <v>0</v>
      </c>
      <c r="Q47" s="51">
        <v>0</v>
      </c>
      <c r="R47" s="57">
        <v>0</v>
      </c>
      <c r="S47" s="51">
        <v>0</v>
      </c>
      <c r="T47" s="58" t="str">
        <f t="shared" si="27"/>
        <v>-</v>
      </c>
      <c r="U47" s="13" t="str">
        <f t="shared" si="28"/>
        <v>-</v>
      </c>
      <c r="V47" s="52" t="str">
        <f t="shared" si="23"/>
        <v>-</v>
      </c>
      <c r="W47" s="52"/>
      <c r="X47" s="52"/>
      <c r="Y47" s="51"/>
      <c r="Z47" s="51"/>
      <c r="AA47" s="14" t="str">
        <f t="shared" si="29"/>
        <v>-</v>
      </c>
      <c r="AB47" s="12"/>
      <c r="AC47" s="12"/>
      <c r="AD47" s="12"/>
      <c r="AE47" s="12"/>
      <c r="AF47" s="52"/>
      <c r="AG47" s="52"/>
      <c r="AH47" s="52"/>
      <c r="AI47" s="52"/>
      <c r="AJ47" s="12"/>
      <c r="AK47" s="12"/>
      <c r="AL47" s="12"/>
      <c r="AM47" s="12"/>
      <c r="AN47" s="12"/>
      <c r="AO47" s="12"/>
      <c r="AP47" s="12"/>
      <c r="AQ47" s="12"/>
      <c r="AR47" s="12"/>
      <c r="AS47" s="12"/>
      <c r="AT47" s="12"/>
      <c r="AU47" s="12"/>
      <c r="AV47" s="12"/>
      <c r="AW47" s="12"/>
      <c r="AX47" s="12"/>
      <c r="AY47" s="12"/>
      <c r="AZ47" s="12"/>
      <c r="BA47" s="12"/>
      <c r="BB47" s="59" t="str">
        <f t="shared" si="30"/>
        <v>-</v>
      </c>
      <c r="BC47" s="17"/>
      <c r="BD47" s="17"/>
      <c r="BE47" s="17">
        <f t="shared" si="31"/>
        <v>0</v>
      </c>
      <c r="BF47" s="17">
        <f t="shared" si="21"/>
        <v>0</v>
      </c>
      <c r="BG47" s="17">
        <f t="shared" si="20"/>
        <v>0</v>
      </c>
      <c r="BH47" s="17">
        <f t="shared" si="32"/>
        <v>0</v>
      </c>
      <c r="BI47" s="10"/>
      <c r="BJ47" s="12"/>
      <c r="BK47" s="12"/>
      <c r="BL47" s="12"/>
      <c r="BM47" s="12"/>
      <c r="BN47" s="12"/>
      <c r="BO47" s="12"/>
      <c r="BP47" s="12"/>
      <c r="BQ47" s="10"/>
      <c r="BR47" s="12"/>
      <c r="BS47" s="12"/>
      <c r="BT47" s="12"/>
      <c r="BU47" s="12"/>
      <c r="BV47" s="12"/>
      <c r="BW47" s="12"/>
      <c r="BX47" s="12"/>
      <c r="BY47" s="51">
        <f t="shared" si="24"/>
        <v>0</v>
      </c>
      <c r="BZ47" s="51">
        <f t="shared" si="25"/>
        <v>0</v>
      </c>
      <c r="CA47" s="51">
        <f t="shared" si="33"/>
        <v>0</v>
      </c>
      <c r="CB47" s="51">
        <f t="shared" si="34"/>
        <v>0</v>
      </c>
      <c r="CC47" s="51"/>
      <c r="CD47" s="51"/>
      <c r="CE47" s="51"/>
      <c r="CF47" s="51"/>
      <c r="CG47" s="52" t="str">
        <f t="shared" si="35"/>
        <v>-</v>
      </c>
      <c r="CH47" s="52" t="str">
        <f t="shared" si="36"/>
        <v>-</v>
      </c>
      <c r="CI47" s="52" t="str">
        <f t="shared" si="37"/>
        <v>-</v>
      </c>
      <c r="CJ47" s="52" t="str">
        <f t="shared" si="38"/>
        <v>-</v>
      </c>
      <c r="CK47" s="52" t="str">
        <f t="shared" si="39"/>
        <v>-</v>
      </c>
      <c r="CL47" s="52" t="str">
        <f t="shared" si="40"/>
        <v>-</v>
      </c>
    </row>
    <row r="48" spans="2:90">
      <c r="B48" t="str">
        <f t="shared" si="0"/>
        <v>2023</v>
      </c>
      <c r="C48">
        <v>202344</v>
      </c>
      <c r="G48" s="51">
        <f t="shared" si="26"/>
        <v>0</v>
      </c>
      <c r="H48" s="51"/>
      <c r="I48" s="51"/>
      <c r="J48" s="51"/>
      <c r="K48" s="51"/>
      <c r="L48" s="51"/>
      <c r="M48" s="51">
        <v>1254968.818</v>
      </c>
      <c r="N48" s="51" t="str">
        <f>IF(G48&gt;0,SUM($G$5:G48),"-")</f>
        <v>-</v>
      </c>
      <c r="O48" s="11">
        <f t="shared" si="41"/>
        <v>41218650.679800004</v>
      </c>
      <c r="P48" s="51">
        <v>0</v>
      </c>
      <c r="Q48" s="51">
        <v>0</v>
      </c>
      <c r="R48" s="57">
        <v>0</v>
      </c>
      <c r="S48" s="51">
        <v>0</v>
      </c>
      <c r="T48" s="58" t="str">
        <f t="shared" si="27"/>
        <v>-</v>
      </c>
      <c r="U48" s="13" t="str">
        <f t="shared" si="28"/>
        <v>-</v>
      </c>
      <c r="V48" s="52" t="str">
        <f t="shared" si="23"/>
        <v>-</v>
      </c>
      <c r="W48" s="52"/>
      <c r="X48" s="52"/>
      <c r="Y48" s="51"/>
      <c r="Z48" s="51"/>
      <c r="AA48" s="14" t="str">
        <f t="shared" si="29"/>
        <v>-</v>
      </c>
      <c r="AB48" s="12"/>
      <c r="AC48" s="12"/>
      <c r="AD48" s="12"/>
      <c r="AE48" s="12"/>
      <c r="AF48" s="52"/>
      <c r="AG48" s="52"/>
      <c r="AH48" s="52"/>
      <c r="AI48" s="52"/>
      <c r="AJ48" s="12"/>
      <c r="AK48" s="12"/>
      <c r="AL48" s="12"/>
      <c r="AM48" s="12"/>
      <c r="AN48" s="12"/>
      <c r="AO48" s="12"/>
      <c r="AP48" s="12"/>
      <c r="AQ48" s="12"/>
      <c r="AR48" s="12"/>
      <c r="AS48" s="12"/>
      <c r="AT48" s="12"/>
      <c r="AU48" s="12"/>
      <c r="AV48" s="12"/>
      <c r="AW48" s="12"/>
      <c r="AX48" s="12"/>
      <c r="AY48" s="12"/>
      <c r="AZ48" s="12"/>
      <c r="BA48" s="12"/>
      <c r="BB48" s="59" t="str">
        <f t="shared" si="30"/>
        <v>-</v>
      </c>
      <c r="BC48" s="17"/>
      <c r="BD48" s="17"/>
      <c r="BE48" s="17">
        <f t="shared" si="31"/>
        <v>0</v>
      </c>
      <c r="BF48" s="17">
        <f t="shared" si="21"/>
        <v>0</v>
      </c>
      <c r="BG48" s="17">
        <f t="shared" si="20"/>
        <v>0</v>
      </c>
      <c r="BH48" s="17">
        <f t="shared" si="32"/>
        <v>0</v>
      </c>
      <c r="BI48" s="10"/>
      <c r="BJ48" s="12"/>
      <c r="BK48" s="12"/>
      <c r="BL48" s="12"/>
      <c r="BM48" s="12"/>
      <c r="BN48" s="12"/>
      <c r="BO48" s="12"/>
      <c r="BP48" s="12"/>
      <c r="BQ48" s="10"/>
      <c r="BR48" s="12"/>
      <c r="BS48" s="12"/>
      <c r="BT48" s="12"/>
      <c r="BU48" s="12"/>
      <c r="BV48" s="12"/>
      <c r="BW48" s="12"/>
      <c r="BX48" s="12"/>
      <c r="BY48" s="51">
        <f t="shared" si="24"/>
        <v>0</v>
      </c>
      <c r="BZ48" s="51">
        <f t="shared" si="25"/>
        <v>0</v>
      </c>
      <c r="CA48" s="51">
        <f t="shared" si="33"/>
        <v>0</v>
      </c>
      <c r="CB48" s="51">
        <f t="shared" si="34"/>
        <v>0</v>
      </c>
      <c r="CC48" s="51"/>
      <c r="CD48" s="51"/>
      <c r="CE48" s="51"/>
      <c r="CF48" s="51"/>
      <c r="CG48" s="52" t="str">
        <f t="shared" si="35"/>
        <v>-</v>
      </c>
      <c r="CH48" s="52" t="str">
        <f t="shared" si="36"/>
        <v>-</v>
      </c>
      <c r="CI48" s="52" t="str">
        <f t="shared" si="37"/>
        <v>-</v>
      </c>
      <c r="CJ48" s="52" t="str">
        <f t="shared" si="38"/>
        <v>-</v>
      </c>
      <c r="CK48" s="52" t="str">
        <f t="shared" si="39"/>
        <v>-</v>
      </c>
      <c r="CL48" s="52" t="str">
        <f t="shared" si="40"/>
        <v>-</v>
      </c>
    </row>
    <row r="49" spans="2:92">
      <c r="B49" t="str">
        <f t="shared" si="0"/>
        <v>2023</v>
      </c>
      <c r="C49">
        <v>202345</v>
      </c>
      <c r="G49" s="51">
        <f t="shared" si="26"/>
        <v>0</v>
      </c>
      <c r="H49" s="51"/>
      <c r="I49" s="51"/>
      <c r="J49" s="51"/>
      <c r="K49" s="51"/>
      <c r="L49" s="51"/>
      <c r="M49" s="51">
        <v>1242124.0330000001</v>
      </c>
      <c r="N49" s="51" t="str">
        <f>IF(G49&gt;0,SUM($G$5:G49),"-")</f>
        <v>-</v>
      </c>
      <c r="O49" s="11">
        <f t="shared" si="41"/>
        <v>42460774.712800004</v>
      </c>
      <c r="P49" s="51">
        <v>0</v>
      </c>
      <c r="Q49" s="51">
        <v>0</v>
      </c>
      <c r="R49" s="57">
        <v>0</v>
      </c>
      <c r="S49" s="51">
        <v>0</v>
      </c>
      <c r="T49" s="58" t="str">
        <f t="shared" si="27"/>
        <v>-</v>
      </c>
      <c r="U49" s="13" t="str">
        <f t="shared" si="28"/>
        <v>-</v>
      </c>
      <c r="V49" s="52" t="str">
        <f t="shared" si="23"/>
        <v>-</v>
      </c>
      <c r="W49" s="52"/>
      <c r="X49" s="52"/>
      <c r="Y49" s="51"/>
      <c r="Z49" s="51"/>
      <c r="AA49" s="14" t="str">
        <f t="shared" si="29"/>
        <v>-</v>
      </c>
      <c r="AB49" s="12"/>
      <c r="AC49" s="12"/>
      <c r="AD49" s="12"/>
      <c r="AE49" s="12"/>
      <c r="AF49" s="52"/>
      <c r="AG49" s="52"/>
      <c r="AH49" s="52"/>
      <c r="AI49" s="52"/>
      <c r="AJ49" s="12"/>
      <c r="AK49" s="12"/>
      <c r="AL49" s="12"/>
      <c r="AM49" s="12"/>
      <c r="AN49" s="12"/>
      <c r="AO49" s="12"/>
      <c r="AP49" s="12"/>
      <c r="AQ49" s="12"/>
      <c r="AR49" s="12"/>
      <c r="AS49" s="12"/>
      <c r="AT49" s="12"/>
      <c r="AU49" s="12"/>
      <c r="AV49" s="12"/>
      <c r="AW49" s="12"/>
      <c r="AX49" s="12"/>
      <c r="AY49" s="12"/>
      <c r="AZ49" s="12"/>
      <c r="BA49" s="12"/>
      <c r="BB49" s="59" t="str">
        <f t="shared" si="30"/>
        <v>-</v>
      </c>
      <c r="BC49" s="17"/>
      <c r="BD49" s="17"/>
      <c r="BE49" s="17">
        <f t="shared" si="31"/>
        <v>0</v>
      </c>
      <c r="BF49" s="17">
        <f t="shared" si="21"/>
        <v>0</v>
      </c>
      <c r="BG49" s="17">
        <f t="shared" si="20"/>
        <v>0</v>
      </c>
      <c r="BH49" s="17">
        <f t="shared" si="32"/>
        <v>0</v>
      </c>
      <c r="BI49" s="10"/>
      <c r="BJ49" s="12"/>
      <c r="BK49" s="12"/>
      <c r="BL49" s="12"/>
      <c r="BM49" s="12"/>
      <c r="BN49" s="12"/>
      <c r="BO49" s="12"/>
      <c r="BP49" s="12"/>
      <c r="BQ49" s="10"/>
      <c r="BR49" s="12"/>
      <c r="BS49" s="12"/>
      <c r="BT49" s="12"/>
      <c r="BU49" s="12"/>
      <c r="BV49" s="12"/>
      <c r="BW49" s="12"/>
      <c r="BX49" s="12"/>
      <c r="BY49" s="51">
        <f t="shared" si="24"/>
        <v>0</v>
      </c>
      <c r="BZ49" s="51">
        <f t="shared" si="25"/>
        <v>0</v>
      </c>
      <c r="CA49" s="51">
        <f t="shared" si="33"/>
        <v>0</v>
      </c>
      <c r="CB49" s="51">
        <f t="shared" si="34"/>
        <v>0</v>
      </c>
      <c r="CC49" s="51"/>
      <c r="CD49" s="51"/>
      <c r="CE49" s="51"/>
      <c r="CF49" s="51"/>
      <c r="CG49" s="52" t="str">
        <f t="shared" si="35"/>
        <v>-</v>
      </c>
      <c r="CH49" s="52" t="str">
        <f t="shared" si="36"/>
        <v>-</v>
      </c>
      <c r="CI49" s="52" t="str">
        <f t="shared" si="37"/>
        <v>-</v>
      </c>
      <c r="CJ49" s="52" t="str">
        <f t="shared" si="38"/>
        <v>-</v>
      </c>
      <c r="CK49" s="52" t="str">
        <f t="shared" si="39"/>
        <v>-</v>
      </c>
      <c r="CL49" s="52" t="str">
        <f t="shared" si="40"/>
        <v>-</v>
      </c>
    </row>
    <row r="50" spans="2:92">
      <c r="B50" t="str">
        <f t="shared" si="0"/>
        <v>2023</v>
      </c>
      <c r="C50">
        <v>202346</v>
      </c>
      <c r="G50" s="51">
        <f t="shared" si="26"/>
        <v>0</v>
      </c>
      <c r="H50" s="51"/>
      <c r="I50" s="51"/>
      <c r="J50" s="51"/>
      <c r="K50" s="51"/>
      <c r="L50" s="51"/>
      <c r="M50" s="51">
        <v>1236243.9029999999</v>
      </c>
      <c r="N50" s="51" t="str">
        <f>IF(G50&gt;0,SUM($G$5:G50),"-")</f>
        <v>-</v>
      </c>
      <c r="O50" s="11">
        <f t="shared" si="41"/>
        <v>43697018.615800001</v>
      </c>
      <c r="P50" s="51">
        <v>0</v>
      </c>
      <c r="Q50" s="51">
        <v>0</v>
      </c>
      <c r="R50" s="57">
        <v>0</v>
      </c>
      <c r="S50" s="51">
        <v>0</v>
      </c>
      <c r="T50" s="58" t="str">
        <f t="shared" si="27"/>
        <v>-</v>
      </c>
      <c r="U50" s="13" t="str">
        <f t="shared" si="28"/>
        <v>-</v>
      </c>
      <c r="V50" s="52" t="str">
        <f t="shared" si="23"/>
        <v>-</v>
      </c>
      <c r="W50" s="52"/>
      <c r="X50" s="52"/>
      <c r="Y50" s="51"/>
      <c r="Z50" s="51"/>
      <c r="AA50" s="14" t="str">
        <f t="shared" si="29"/>
        <v>-</v>
      </c>
      <c r="AB50" s="12"/>
      <c r="AC50" s="12"/>
      <c r="AD50" s="12"/>
      <c r="AE50" s="12"/>
      <c r="AF50" s="52"/>
      <c r="AG50" s="52"/>
      <c r="AH50" s="52"/>
      <c r="AI50" s="52"/>
      <c r="AJ50" s="12"/>
      <c r="AK50" s="12"/>
      <c r="AL50" s="12"/>
      <c r="AM50" s="12"/>
      <c r="AN50" s="12"/>
      <c r="AO50" s="12"/>
      <c r="AP50" s="12"/>
      <c r="AQ50" s="12"/>
      <c r="AR50" s="12"/>
      <c r="AS50" s="12"/>
      <c r="AT50" s="12"/>
      <c r="AU50" s="12"/>
      <c r="AV50" s="12"/>
      <c r="AW50" s="12"/>
      <c r="AX50" s="12"/>
      <c r="AY50" s="12"/>
      <c r="AZ50" s="12"/>
      <c r="BA50" s="12"/>
      <c r="BB50" s="59" t="str">
        <f t="shared" si="30"/>
        <v>-</v>
      </c>
      <c r="BC50" s="17"/>
      <c r="BD50" s="17"/>
      <c r="BE50" s="17">
        <f t="shared" si="31"/>
        <v>0</v>
      </c>
      <c r="BF50" s="17">
        <f t="shared" si="21"/>
        <v>0</v>
      </c>
      <c r="BG50" s="17">
        <f t="shared" si="20"/>
        <v>0</v>
      </c>
      <c r="BH50" s="17">
        <f t="shared" si="32"/>
        <v>0</v>
      </c>
      <c r="BI50" s="10"/>
      <c r="BJ50" s="12"/>
      <c r="BK50" s="12"/>
      <c r="BL50" s="12"/>
      <c r="BM50" s="12"/>
      <c r="BN50" s="12"/>
      <c r="BO50" s="12"/>
      <c r="BP50" s="12"/>
      <c r="BQ50" s="10"/>
      <c r="BR50" s="12"/>
      <c r="BS50" s="12"/>
      <c r="BT50" s="12"/>
      <c r="BU50" s="12"/>
      <c r="BV50" s="12"/>
      <c r="BW50" s="12"/>
      <c r="BX50" s="12"/>
      <c r="BY50" s="51">
        <f t="shared" si="24"/>
        <v>0</v>
      </c>
      <c r="BZ50" s="51">
        <f t="shared" si="25"/>
        <v>0</v>
      </c>
      <c r="CA50" s="51">
        <f t="shared" si="33"/>
        <v>0</v>
      </c>
      <c r="CB50" s="51">
        <f t="shared" si="34"/>
        <v>0</v>
      </c>
      <c r="CC50" s="51"/>
      <c r="CD50" s="51"/>
      <c r="CE50" s="51"/>
      <c r="CF50" s="51"/>
      <c r="CG50" s="52" t="str">
        <f t="shared" si="35"/>
        <v>-</v>
      </c>
      <c r="CH50" s="52" t="str">
        <f t="shared" si="36"/>
        <v>-</v>
      </c>
      <c r="CI50" s="52" t="str">
        <f t="shared" si="37"/>
        <v>-</v>
      </c>
      <c r="CJ50" s="52" t="str">
        <f t="shared" si="38"/>
        <v>-</v>
      </c>
      <c r="CK50" s="52" t="str">
        <f t="shared" si="39"/>
        <v>-</v>
      </c>
      <c r="CL50" s="52" t="str">
        <f t="shared" si="40"/>
        <v>-</v>
      </c>
    </row>
    <row r="51" spans="2:92">
      <c r="B51" t="str">
        <f t="shared" si="0"/>
        <v>2023</v>
      </c>
      <c r="C51">
        <v>202347</v>
      </c>
      <c r="G51" s="51">
        <f t="shared" si="26"/>
        <v>0</v>
      </c>
      <c r="H51" s="51"/>
      <c r="I51" s="51"/>
      <c r="J51" s="51"/>
      <c r="K51" s="51"/>
      <c r="L51" s="51"/>
      <c r="M51" s="51">
        <v>1222563.0220000001</v>
      </c>
      <c r="N51" s="51" t="str">
        <f>IF(G51&gt;0,SUM($G$5:G51),"-")</f>
        <v>-</v>
      </c>
      <c r="O51" s="11">
        <f t="shared" si="41"/>
        <v>44919581.637800001</v>
      </c>
      <c r="P51" s="51">
        <v>0</v>
      </c>
      <c r="Q51" s="51">
        <v>0</v>
      </c>
      <c r="R51" s="57">
        <v>0</v>
      </c>
      <c r="S51" s="51">
        <v>0</v>
      </c>
      <c r="T51" s="58" t="str">
        <f t="shared" si="27"/>
        <v>-</v>
      </c>
      <c r="U51" s="13" t="str">
        <f t="shared" si="28"/>
        <v>-</v>
      </c>
      <c r="V51" s="52" t="str">
        <f t="shared" si="23"/>
        <v>-</v>
      </c>
      <c r="W51" s="52"/>
      <c r="X51" s="52"/>
      <c r="Y51" s="51"/>
      <c r="Z51" s="51"/>
      <c r="AA51" s="14" t="str">
        <f t="shared" si="29"/>
        <v>-</v>
      </c>
      <c r="AB51" s="12"/>
      <c r="AC51" s="12"/>
      <c r="AD51" s="12"/>
      <c r="AE51" s="12"/>
      <c r="AF51" s="52"/>
      <c r="AG51" s="52"/>
      <c r="AH51" s="52"/>
      <c r="AI51" s="52"/>
      <c r="AJ51" s="12"/>
      <c r="AK51" s="12"/>
      <c r="AL51" s="12"/>
      <c r="AM51" s="12"/>
      <c r="AN51" s="12"/>
      <c r="AO51" s="12"/>
      <c r="AP51" s="12"/>
      <c r="AQ51" s="12"/>
      <c r="AR51" s="12"/>
      <c r="AS51" s="12"/>
      <c r="AT51" s="12"/>
      <c r="AU51" s="12"/>
      <c r="AV51" s="12"/>
      <c r="AW51" s="12"/>
      <c r="AX51" s="12"/>
      <c r="AY51" s="12"/>
      <c r="AZ51" s="12"/>
      <c r="BA51" s="12"/>
      <c r="BB51" s="59" t="str">
        <f t="shared" si="30"/>
        <v>-</v>
      </c>
      <c r="BC51" s="17"/>
      <c r="BD51" s="17"/>
      <c r="BE51" s="17">
        <f t="shared" si="31"/>
        <v>0</v>
      </c>
      <c r="BF51" s="17">
        <f t="shared" si="21"/>
        <v>0</v>
      </c>
      <c r="BG51" s="17">
        <f t="shared" si="20"/>
        <v>0</v>
      </c>
      <c r="BH51" s="17">
        <f t="shared" si="32"/>
        <v>0</v>
      </c>
      <c r="BI51" s="10"/>
      <c r="BJ51" s="12"/>
      <c r="BK51" s="12"/>
      <c r="BL51" s="12"/>
      <c r="BM51" s="12"/>
      <c r="BN51" s="12"/>
      <c r="BO51" s="12"/>
      <c r="BP51" s="12"/>
      <c r="BQ51" s="10"/>
      <c r="BR51" s="12"/>
      <c r="BS51" s="12"/>
      <c r="BT51" s="12"/>
      <c r="BU51" s="12"/>
      <c r="BV51" s="12"/>
      <c r="BW51" s="12"/>
      <c r="BX51" s="12"/>
      <c r="BY51" s="51">
        <f t="shared" si="24"/>
        <v>0</v>
      </c>
      <c r="BZ51" s="51">
        <f t="shared" si="25"/>
        <v>0</v>
      </c>
      <c r="CA51" s="51">
        <f t="shared" si="33"/>
        <v>0</v>
      </c>
      <c r="CB51" s="51">
        <f t="shared" si="34"/>
        <v>0</v>
      </c>
      <c r="CC51" s="51"/>
      <c r="CD51" s="51"/>
      <c r="CE51" s="51"/>
      <c r="CF51" s="51"/>
      <c r="CG51" s="52" t="str">
        <f t="shared" si="35"/>
        <v>-</v>
      </c>
      <c r="CH51" s="52" t="str">
        <f t="shared" si="36"/>
        <v>-</v>
      </c>
      <c r="CI51" s="52" t="str">
        <f t="shared" si="37"/>
        <v>-</v>
      </c>
      <c r="CJ51" s="52" t="str">
        <f t="shared" si="38"/>
        <v>-</v>
      </c>
      <c r="CK51" s="52" t="str">
        <f t="shared" si="39"/>
        <v>-</v>
      </c>
      <c r="CL51" s="52" t="str">
        <f t="shared" si="40"/>
        <v>-</v>
      </c>
    </row>
    <row r="52" spans="2:92">
      <c r="B52" t="str">
        <f t="shared" si="0"/>
        <v>2023</v>
      </c>
      <c r="C52">
        <v>202348</v>
      </c>
      <c r="G52" s="51">
        <f t="shared" si="26"/>
        <v>0</v>
      </c>
      <c r="H52" s="51"/>
      <c r="I52" s="51"/>
      <c r="J52" s="51"/>
      <c r="K52" s="51"/>
      <c r="L52" s="51"/>
      <c r="M52" s="51">
        <v>1202416.1410000001</v>
      </c>
      <c r="N52" s="51" t="str">
        <f>IF(G52&gt;0,SUM($G$5:G52),"-")</f>
        <v>-</v>
      </c>
      <c r="O52" s="11">
        <f t="shared" si="41"/>
        <v>46121997.778800003</v>
      </c>
      <c r="P52" s="51">
        <v>0</v>
      </c>
      <c r="Q52" s="51">
        <v>0</v>
      </c>
      <c r="R52" s="57">
        <v>0</v>
      </c>
      <c r="S52" s="51">
        <v>0</v>
      </c>
      <c r="T52" s="58" t="str">
        <f t="shared" si="27"/>
        <v>-</v>
      </c>
      <c r="U52" s="13" t="str">
        <f t="shared" si="28"/>
        <v>-</v>
      </c>
      <c r="V52" s="52" t="str">
        <f t="shared" si="23"/>
        <v>-</v>
      </c>
      <c r="W52" s="52"/>
      <c r="X52" s="52"/>
      <c r="Y52" s="51"/>
      <c r="Z52" s="51"/>
      <c r="AA52" s="14" t="str">
        <f t="shared" si="29"/>
        <v>-</v>
      </c>
      <c r="AB52" s="12"/>
      <c r="AC52" s="12"/>
      <c r="AD52" s="12"/>
      <c r="AE52" s="12"/>
      <c r="AF52" s="52"/>
      <c r="AG52" s="52"/>
      <c r="AH52" s="52"/>
      <c r="AI52" s="52"/>
      <c r="AJ52" s="12"/>
      <c r="AK52" s="12"/>
      <c r="AL52" s="12"/>
      <c r="AM52" s="12"/>
      <c r="AN52" s="12"/>
      <c r="AO52" s="12"/>
      <c r="AP52" s="12"/>
      <c r="AQ52" s="12"/>
      <c r="AR52" s="12"/>
      <c r="AS52" s="12"/>
      <c r="AT52" s="12"/>
      <c r="AU52" s="12"/>
      <c r="AV52" s="12"/>
      <c r="AW52" s="12"/>
      <c r="AX52" s="12"/>
      <c r="AY52" s="12"/>
      <c r="AZ52" s="12"/>
      <c r="BA52" s="12"/>
      <c r="BB52" s="59" t="str">
        <f t="shared" si="30"/>
        <v>-</v>
      </c>
      <c r="BC52" s="17"/>
      <c r="BD52" s="17"/>
      <c r="BE52" s="17">
        <f t="shared" si="31"/>
        <v>0</v>
      </c>
      <c r="BF52" s="17">
        <f t="shared" si="21"/>
        <v>0</v>
      </c>
      <c r="BG52" s="17">
        <f t="shared" si="20"/>
        <v>0</v>
      </c>
      <c r="BH52" s="17">
        <f t="shared" si="32"/>
        <v>0</v>
      </c>
      <c r="BI52" s="10"/>
      <c r="BJ52" s="12"/>
      <c r="BK52" s="12"/>
      <c r="BL52" s="12"/>
      <c r="BM52" s="12"/>
      <c r="BN52" s="12"/>
      <c r="BO52" s="12"/>
      <c r="BP52" s="12"/>
      <c r="BQ52" s="10"/>
      <c r="BR52" s="12"/>
      <c r="BS52" s="12"/>
      <c r="BT52" s="12"/>
      <c r="BU52" s="12"/>
      <c r="BV52" s="12"/>
      <c r="BW52" s="12"/>
      <c r="BX52" s="12"/>
      <c r="BY52" s="51">
        <f t="shared" si="24"/>
        <v>0</v>
      </c>
      <c r="BZ52" s="51">
        <f t="shared" si="25"/>
        <v>0</v>
      </c>
      <c r="CA52" s="51">
        <f t="shared" si="33"/>
        <v>0</v>
      </c>
      <c r="CB52" s="51">
        <f t="shared" si="34"/>
        <v>0</v>
      </c>
      <c r="CC52" s="51"/>
      <c r="CD52" s="51"/>
      <c r="CE52" s="51"/>
      <c r="CF52" s="51"/>
      <c r="CG52" s="52" t="str">
        <f t="shared" si="35"/>
        <v>-</v>
      </c>
      <c r="CH52" s="52" t="str">
        <f t="shared" si="36"/>
        <v>-</v>
      </c>
      <c r="CI52" s="52" t="str">
        <f t="shared" si="37"/>
        <v>-</v>
      </c>
      <c r="CJ52" s="52" t="str">
        <f t="shared" si="38"/>
        <v>-</v>
      </c>
      <c r="CK52" s="52" t="str">
        <f t="shared" si="39"/>
        <v>-</v>
      </c>
      <c r="CL52" s="52" t="str">
        <f t="shared" si="40"/>
        <v>-</v>
      </c>
    </row>
    <row r="53" spans="2:92">
      <c r="B53" t="str">
        <f t="shared" si="0"/>
        <v>2023</v>
      </c>
      <c r="C53">
        <v>202349</v>
      </c>
      <c r="G53" s="51">
        <f t="shared" si="26"/>
        <v>0</v>
      </c>
      <c r="H53" s="51"/>
      <c r="I53" s="51"/>
      <c r="J53" s="51"/>
      <c r="K53" s="51"/>
      <c r="L53" s="51"/>
      <c r="M53" s="51">
        <v>1093095.2819999999</v>
      </c>
      <c r="N53" s="51" t="str">
        <f>IF(G53&gt;0,SUM($G$5:G53),"-")</f>
        <v>-</v>
      </c>
      <c r="O53" s="11">
        <f t="shared" si="41"/>
        <v>47215093.060800001</v>
      </c>
      <c r="P53" s="51">
        <v>0</v>
      </c>
      <c r="Q53" s="51">
        <v>0</v>
      </c>
      <c r="R53" s="57">
        <v>0</v>
      </c>
      <c r="S53" s="51">
        <v>0</v>
      </c>
      <c r="T53" s="58" t="str">
        <f t="shared" si="27"/>
        <v>-</v>
      </c>
      <c r="U53" s="13" t="str">
        <f t="shared" si="28"/>
        <v>-</v>
      </c>
      <c r="V53" s="52" t="str">
        <f t="shared" si="23"/>
        <v>-</v>
      </c>
      <c r="W53" s="52"/>
      <c r="X53" s="52"/>
      <c r="Y53" s="51"/>
      <c r="Z53" s="51"/>
      <c r="AA53" s="14" t="str">
        <f t="shared" si="29"/>
        <v>-</v>
      </c>
      <c r="AB53" s="12"/>
      <c r="AC53" s="12"/>
      <c r="AD53" s="12"/>
      <c r="AE53" s="12"/>
      <c r="AF53" s="52"/>
      <c r="AG53" s="52"/>
      <c r="AH53" s="52"/>
      <c r="AI53" s="52"/>
      <c r="AJ53" s="12"/>
      <c r="AK53" s="12"/>
      <c r="AL53" s="12"/>
      <c r="AM53" s="12"/>
      <c r="AN53" s="12"/>
      <c r="AO53" s="12"/>
      <c r="AP53" s="12"/>
      <c r="AQ53" s="12"/>
      <c r="AR53" s="12"/>
      <c r="AS53" s="12"/>
      <c r="AT53" s="12"/>
      <c r="AU53" s="12"/>
      <c r="AV53" s="12"/>
      <c r="AW53" s="12"/>
      <c r="AX53" s="12"/>
      <c r="AY53" s="12"/>
      <c r="AZ53" s="12"/>
      <c r="BA53" s="12"/>
      <c r="BB53" s="59" t="str">
        <f t="shared" si="30"/>
        <v>-</v>
      </c>
      <c r="BC53" s="17"/>
      <c r="BD53" s="17"/>
      <c r="BE53" s="17">
        <f t="shared" si="31"/>
        <v>0</v>
      </c>
      <c r="BF53" s="17">
        <f t="shared" si="21"/>
        <v>0</v>
      </c>
      <c r="BG53" s="17">
        <f t="shared" ref="BG53:BG84" si="42">CF53-BD53</f>
        <v>0</v>
      </c>
      <c r="BH53" s="17">
        <f t="shared" si="32"/>
        <v>0</v>
      </c>
      <c r="BI53" s="10"/>
      <c r="BJ53" s="12"/>
      <c r="BK53" s="12"/>
      <c r="BL53" s="12"/>
      <c r="BM53" s="12"/>
      <c r="BN53" s="12"/>
      <c r="BO53" s="12"/>
      <c r="BP53" s="12"/>
      <c r="BQ53" s="10"/>
      <c r="BR53" s="12"/>
      <c r="BS53" s="12"/>
      <c r="BT53" s="12"/>
      <c r="BU53" s="12"/>
      <c r="BV53" s="12"/>
      <c r="BW53" s="12"/>
      <c r="BX53" s="12"/>
      <c r="BY53" s="51">
        <f t="shared" si="24"/>
        <v>0</v>
      </c>
      <c r="BZ53" s="51">
        <f t="shared" si="25"/>
        <v>0</v>
      </c>
      <c r="CA53" s="51">
        <f t="shared" si="33"/>
        <v>0</v>
      </c>
      <c r="CB53" s="51">
        <f t="shared" si="34"/>
        <v>0</v>
      </c>
      <c r="CC53" s="51"/>
      <c r="CD53" s="51"/>
      <c r="CE53" s="51"/>
      <c r="CF53" s="51"/>
      <c r="CG53" s="52" t="str">
        <f t="shared" si="35"/>
        <v>-</v>
      </c>
      <c r="CH53" s="52" t="str">
        <f t="shared" si="36"/>
        <v>-</v>
      </c>
      <c r="CI53" s="52" t="str">
        <f t="shared" si="37"/>
        <v>-</v>
      </c>
      <c r="CJ53" s="52" t="str">
        <f t="shared" si="38"/>
        <v>-</v>
      </c>
      <c r="CK53" s="52" t="str">
        <f t="shared" si="39"/>
        <v>-</v>
      </c>
      <c r="CL53" s="52" t="str">
        <f t="shared" si="40"/>
        <v>-</v>
      </c>
    </row>
    <row r="54" spans="2:92">
      <c r="B54" t="str">
        <f t="shared" si="0"/>
        <v>2023</v>
      </c>
      <c r="C54">
        <v>202350</v>
      </c>
      <c r="G54" s="51">
        <f t="shared" si="26"/>
        <v>0</v>
      </c>
      <c r="H54" s="51"/>
      <c r="I54" s="51"/>
      <c r="J54" s="51"/>
      <c r="K54" s="51"/>
      <c r="L54" s="51"/>
      <c r="M54" s="51">
        <v>1031628.039</v>
      </c>
      <c r="N54" s="51" t="str">
        <f>IF(G54&gt;0,SUM($G$5:G54),"-")</f>
        <v>-</v>
      </c>
      <c r="O54" s="11">
        <f t="shared" si="41"/>
        <v>48246721.099799998</v>
      </c>
      <c r="P54" s="51">
        <v>0</v>
      </c>
      <c r="Q54" s="51">
        <v>0</v>
      </c>
      <c r="R54" s="57">
        <v>0</v>
      </c>
      <c r="S54" s="51">
        <v>0</v>
      </c>
      <c r="T54" s="58" t="str">
        <f t="shared" si="27"/>
        <v>-</v>
      </c>
      <c r="U54" s="13" t="str">
        <f t="shared" si="28"/>
        <v>-</v>
      </c>
      <c r="V54" s="52" t="str">
        <f t="shared" si="23"/>
        <v>-</v>
      </c>
      <c r="W54" s="52"/>
      <c r="X54" s="52"/>
      <c r="Y54" s="51"/>
      <c r="Z54" s="51"/>
      <c r="AA54" s="14" t="str">
        <f t="shared" si="29"/>
        <v>-</v>
      </c>
      <c r="AB54" s="12"/>
      <c r="AC54" s="12"/>
      <c r="AD54" s="12"/>
      <c r="AE54" s="12"/>
      <c r="AF54" s="52"/>
      <c r="AG54" s="52"/>
      <c r="AH54" s="52"/>
      <c r="AI54" s="52"/>
      <c r="AJ54" s="12"/>
      <c r="AK54" s="12"/>
      <c r="AL54" s="12"/>
      <c r="AM54" s="12"/>
      <c r="AN54" s="12"/>
      <c r="AO54" s="12"/>
      <c r="AP54" s="12"/>
      <c r="AQ54" s="12"/>
      <c r="AR54" s="12"/>
      <c r="AS54" s="12"/>
      <c r="AT54" s="12"/>
      <c r="AU54" s="12"/>
      <c r="AV54" s="12"/>
      <c r="AW54" s="12"/>
      <c r="AX54" s="12"/>
      <c r="AY54" s="12"/>
      <c r="AZ54" s="12"/>
      <c r="BA54" s="12"/>
      <c r="BB54" s="59" t="str">
        <f t="shared" si="30"/>
        <v>-</v>
      </c>
      <c r="BC54" s="17"/>
      <c r="BD54" s="17"/>
      <c r="BE54" s="17">
        <f t="shared" si="31"/>
        <v>0</v>
      </c>
      <c r="BF54" s="17">
        <f t="shared" ref="BF54:BF85" si="43">CE54-BC54</f>
        <v>0</v>
      </c>
      <c r="BG54" s="17">
        <f t="shared" si="42"/>
        <v>0</v>
      </c>
      <c r="BH54" s="17">
        <f t="shared" si="32"/>
        <v>0</v>
      </c>
      <c r="BI54" s="10"/>
      <c r="BJ54" s="12"/>
      <c r="BK54" s="12"/>
      <c r="BL54" s="12"/>
      <c r="BM54" s="12"/>
      <c r="BN54" s="12"/>
      <c r="BO54" s="12"/>
      <c r="BP54" s="12"/>
      <c r="BQ54" s="10"/>
      <c r="BR54" s="12"/>
      <c r="BS54" s="12"/>
      <c r="BT54" s="12"/>
      <c r="BU54" s="12"/>
      <c r="BV54" s="12"/>
      <c r="BW54" s="12"/>
      <c r="BX54" s="12"/>
      <c r="BY54" s="51">
        <f t="shared" si="24"/>
        <v>0</v>
      </c>
      <c r="BZ54" s="51">
        <f t="shared" si="25"/>
        <v>0</v>
      </c>
      <c r="CA54" s="51">
        <f t="shared" si="33"/>
        <v>0</v>
      </c>
      <c r="CB54" s="51">
        <f t="shared" si="34"/>
        <v>0</v>
      </c>
      <c r="CC54" s="51"/>
      <c r="CD54" s="51"/>
      <c r="CE54" s="51"/>
      <c r="CF54" s="51"/>
      <c r="CG54" s="52" t="str">
        <f t="shared" si="35"/>
        <v>-</v>
      </c>
      <c r="CH54" s="52" t="str">
        <f t="shared" si="36"/>
        <v>-</v>
      </c>
      <c r="CI54" s="52" t="str">
        <f t="shared" si="37"/>
        <v>-</v>
      </c>
      <c r="CJ54" s="52" t="str">
        <f t="shared" si="38"/>
        <v>-</v>
      </c>
      <c r="CK54" s="52" t="str">
        <f t="shared" si="39"/>
        <v>-</v>
      </c>
      <c r="CL54" s="52" t="str">
        <f t="shared" si="40"/>
        <v>-</v>
      </c>
    </row>
    <row r="55" spans="2:92">
      <c r="B55" t="str">
        <f t="shared" si="0"/>
        <v>2023</v>
      </c>
      <c r="C55">
        <v>202351</v>
      </c>
      <c r="G55" s="51">
        <f t="shared" si="26"/>
        <v>0</v>
      </c>
      <c r="H55" s="51"/>
      <c r="I55" s="51"/>
      <c r="J55" s="51"/>
      <c r="K55" s="51"/>
      <c r="L55" s="51"/>
      <c r="M55" s="51">
        <v>1004100.6679999999</v>
      </c>
      <c r="N55" s="51" t="str">
        <f>IF(G55&gt;0,SUM($G$5:G55),"-")</f>
        <v>-</v>
      </c>
      <c r="O55" s="11">
        <f t="shared" si="41"/>
        <v>49250821.767799996</v>
      </c>
      <c r="P55" s="51">
        <v>0</v>
      </c>
      <c r="Q55" s="51">
        <v>0</v>
      </c>
      <c r="R55" s="57">
        <v>0</v>
      </c>
      <c r="S55" s="51">
        <v>0</v>
      </c>
      <c r="T55" s="58" t="str">
        <f t="shared" si="27"/>
        <v>-</v>
      </c>
      <c r="U55" s="13" t="str">
        <f t="shared" si="28"/>
        <v>-</v>
      </c>
      <c r="V55" s="52" t="str">
        <f t="shared" si="23"/>
        <v>-</v>
      </c>
      <c r="W55" s="52"/>
      <c r="X55" s="52"/>
      <c r="Y55" s="51"/>
      <c r="Z55" s="51"/>
      <c r="AA55" s="14" t="str">
        <f t="shared" si="29"/>
        <v>-</v>
      </c>
      <c r="AB55" s="12"/>
      <c r="AC55" s="12"/>
      <c r="AD55" s="12"/>
      <c r="AE55" s="12"/>
      <c r="AF55" s="52"/>
      <c r="AG55" s="52"/>
      <c r="AH55" s="52"/>
      <c r="AI55" s="52"/>
      <c r="AJ55" s="12"/>
      <c r="AK55" s="12"/>
      <c r="AL55" s="12"/>
      <c r="AM55" s="12"/>
      <c r="AN55" s="12"/>
      <c r="AO55" s="12"/>
      <c r="AP55" s="12"/>
      <c r="AQ55" s="12"/>
      <c r="AR55" s="12"/>
      <c r="AS55" s="12"/>
      <c r="AT55" s="12"/>
      <c r="AU55" s="12"/>
      <c r="AV55" s="12"/>
      <c r="AW55" s="12"/>
      <c r="AX55" s="12"/>
      <c r="AY55" s="12"/>
      <c r="AZ55" s="12"/>
      <c r="BA55" s="12"/>
      <c r="BB55" s="59" t="str">
        <f t="shared" si="30"/>
        <v>-</v>
      </c>
      <c r="BC55" s="17"/>
      <c r="BD55" s="17"/>
      <c r="BE55" s="17">
        <f t="shared" si="31"/>
        <v>0</v>
      </c>
      <c r="BF55" s="17">
        <f t="shared" si="43"/>
        <v>0</v>
      </c>
      <c r="BG55" s="17">
        <f t="shared" si="42"/>
        <v>0</v>
      </c>
      <c r="BH55" s="17">
        <f t="shared" si="32"/>
        <v>0</v>
      </c>
      <c r="BI55" s="10"/>
      <c r="BJ55" s="12"/>
      <c r="BK55" s="12"/>
      <c r="BL55" s="12"/>
      <c r="BM55" s="12"/>
      <c r="BN55" s="12"/>
      <c r="BO55" s="12"/>
      <c r="BP55" s="12"/>
      <c r="BQ55" s="10"/>
      <c r="BR55" s="12"/>
      <c r="BS55" s="12"/>
      <c r="BT55" s="12"/>
      <c r="BU55" s="12"/>
      <c r="BV55" s="12"/>
      <c r="BW55" s="12"/>
      <c r="BX55" s="12"/>
      <c r="BY55" s="51">
        <f t="shared" si="24"/>
        <v>0</v>
      </c>
      <c r="BZ55" s="51">
        <f t="shared" si="25"/>
        <v>0</v>
      </c>
      <c r="CA55" s="51">
        <f t="shared" si="33"/>
        <v>0</v>
      </c>
      <c r="CB55" s="51">
        <f t="shared" si="34"/>
        <v>0</v>
      </c>
      <c r="CC55" s="51"/>
      <c r="CD55" s="51"/>
      <c r="CE55" s="51"/>
      <c r="CF55" s="51"/>
      <c r="CG55" s="52" t="str">
        <f t="shared" si="35"/>
        <v>-</v>
      </c>
      <c r="CH55" s="52" t="str">
        <f t="shared" si="36"/>
        <v>-</v>
      </c>
      <c r="CI55" s="52" t="str">
        <f t="shared" si="37"/>
        <v>-</v>
      </c>
      <c r="CJ55" s="52" t="str">
        <f t="shared" si="38"/>
        <v>-</v>
      </c>
      <c r="CK55" s="52" t="str">
        <f t="shared" si="39"/>
        <v>-</v>
      </c>
      <c r="CL55" s="52" t="str">
        <f t="shared" si="40"/>
        <v>-</v>
      </c>
    </row>
    <row r="56" spans="2:92">
      <c r="B56" t="str">
        <f t="shared" si="0"/>
        <v>2023</v>
      </c>
      <c r="C56">
        <v>202352</v>
      </c>
      <c r="G56" s="51">
        <f t="shared" si="26"/>
        <v>0</v>
      </c>
      <c r="H56" s="51"/>
      <c r="I56" s="51"/>
      <c r="J56" s="51"/>
      <c r="K56" s="51"/>
      <c r="L56" s="51"/>
      <c r="M56" s="51">
        <v>978293.35360000003</v>
      </c>
      <c r="N56" s="51" t="str">
        <f>IF(G56&gt;0,SUM($G$5:G56),"-")</f>
        <v>-</v>
      </c>
      <c r="O56" s="11">
        <f t="shared" si="41"/>
        <v>50229115.121399999</v>
      </c>
      <c r="P56" s="51">
        <v>0</v>
      </c>
      <c r="Q56" s="51">
        <v>0</v>
      </c>
      <c r="R56" s="57">
        <v>0</v>
      </c>
      <c r="S56" s="51">
        <v>0</v>
      </c>
      <c r="T56" s="58" t="str">
        <f t="shared" si="27"/>
        <v>-</v>
      </c>
      <c r="U56" s="13" t="str">
        <f t="shared" si="28"/>
        <v>-</v>
      </c>
      <c r="V56" s="52" t="str">
        <f t="shared" si="23"/>
        <v>-</v>
      </c>
      <c r="W56" s="52"/>
      <c r="X56" s="52"/>
      <c r="Y56" s="51"/>
      <c r="Z56" s="51"/>
      <c r="AA56" s="14" t="str">
        <f t="shared" si="29"/>
        <v>-</v>
      </c>
      <c r="AB56" s="12"/>
      <c r="AC56" s="12"/>
      <c r="AD56" s="12"/>
      <c r="AE56" s="12"/>
      <c r="AF56" s="52"/>
      <c r="AG56" s="52"/>
      <c r="AH56" s="52"/>
      <c r="AI56" s="52"/>
      <c r="AJ56" s="12"/>
      <c r="AK56" s="12"/>
      <c r="AL56" s="12"/>
      <c r="AM56" s="12"/>
      <c r="AN56" s="12"/>
      <c r="AO56" s="12"/>
      <c r="AP56" s="12"/>
      <c r="AQ56" s="12"/>
      <c r="AR56" s="12"/>
      <c r="AS56" s="12"/>
      <c r="AT56" s="12"/>
      <c r="AU56" s="12"/>
      <c r="AV56" s="12"/>
      <c r="AW56" s="12"/>
      <c r="AX56" s="12"/>
      <c r="AY56" s="12"/>
      <c r="AZ56" s="12"/>
      <c r="BA56" s="12"/>
      <c r="BB56" s="59" t="str">
        <f t="shared" si="30"/>
        <v>-</v>
      </c>
      <c r="BC56" s="17"/>
      <c r="BD56" s="17"/>
      <c r="BE56" s="17">
        <f t="shared" si="31"/>
        <v>0</v>
      </c>
      <c r="BF56" s="17">
        <f t="shared" si="43"/>
        <v>0</v>
      </c>
      <c r="BG56" s="17">
        <f t="shared" si="42"/>
        <v>0</v>
      </c>
      <c r="BH56" s="17">
        <f t="shared" si="32"/>
        <v>0</v>
      </c>
      <c r="BI56" s="10"/>
      <c r="BJ56" s="12"/>
      <c r="BK56" s="12"/>
      <c r="BL56" s="12"/>
      <c r="BM56" s="12"/>
      <c r="BN56" s="12"/>
      <c r="BO56" s="12"/>
      <c r="BP56" s="12"/>
      <c r="BQ56" s="10"/>
      <c r="BR56" s="12"/>
      <c r="BS56" s="12"/>
      <c r="BT56" s="12"/>
      <c r="BU56" s="12"/>
      <c r="BV56" s="12"/>
      <c r="BW56" s="12"/>
      <c r="BX56" s="12"/>
      <c r="BY56" s="51">
        <f t="shared" si="24"/>
        <v>0</v>
      </c>
      <c r="BZ56" s="51">
        <f t="shared" si="25"/>
        <v>0</v>
      </c>
      <c r="CA56" s="51">
        <f t="shared" si="33"/>
        <v>0</v>
      </c>
      <c r="CB56" s="51">
        <f t="shared" si="34"/>
        <v>0</v>
      </c>
      <c r="CC56" s="51"/>
      <c r="CD56" s="51"/>
      <c r="CE56" s="51"/>
      <c r="CF56" s="51"/>
      <c r="CG56" s="52" t="str">
        <f t="shared" si="35"/>
        <v>-</v>
      </c>
      <c r="CH56" s="52" t="str">
        <f t="shared" si="36"/>
        <v>-</v>
      </c>
      <c r="CI56" s="52" t="str">
        <f t="shared" si="37"/>
        <v>-</v>
      </c>
      <c r="CJ56" s="52" t="str">
        <f t="shared" si="38"/>
        <v>-</v>
      </c>
      <c r="CK56" s="52" t="str">
        <f t="shared" si="39"/>
        <v>-</v>
      </c>
      <c r="CL56" s="52" t="str">
        <f t="shared" si="40"/>
        <v>-</v>
      </c>
    </row>
    <row r="57" spans="2:92">
      <c r="B57" t="str">
        <f t="shared" si="0"/>
        <v>2022</v>
      </c>
      <c r="C57">
        <v>202201</v>
      </c>
      <c r="G57" s="51">
        <f t="shared" si="26"/>
        <v>834184</v>
      </c>
      <c r="H57" s="51">
        <v>348379</v>
      </c>
      <c r="I57" s="51">
        <v>485805</v>
      </c>
      <c r="J57" s="51">
        <f t="shared" ref="J57:J85" si="44">G57-K57-L57</f>
        <v>687854</v>
      </c>
      <c r="K57" s="51">
        <v>68061</v>
      </c>
      <c r="L57" s="51">
        <v>78269</v>
      </c>
      <c r="M57" s="61">
        <v>963357.23061237368</v>
      </c>
      <c r="N57" s="51">
        <f>G57</f>
        <v>834184</v>
      </c>
      <c r="O57" s="11">
        <f>M57</f>
        <v>963357.23061237368</v>
      </c>
      <c r="P57" s="51">
        <v>27794650</v>
      </c>
      <c r="Q57" s="51">
        <v>5812681</v>
      </c>
      <c r="R57" s="16">
        <v>546275414.70000005</v>
      </c>
      <c r="S57" s="51">
        <v>89646826</v>
      </c>
      <c r="T57" s="62">
        <f t="shared" ref="T57:T88" si="45">IFERROR(Q57/S57,"")</f>
        <v>6.4839785850309972E-2</v>
      </c>
      <c r="U57" s="13">
        <f t="shared" ref="U57:U88" si="46">IFERROR(R57/Q57,"")</f>
        <v>93.979940530023939</v>
      </c>
      <c r="V57" s="52">
        <f>(W57*Y57+X57*Z57)/SUM(Y57:Z57)</f>
        <v>0.59038589665156704</v>
      </c>
      <c r="W57" s="52">
        <v>0.57374163754126772</v>
      </c>
      <c r="X57" s="52">
        <v>0.61396238007208015</v>
      </c>
      <c r="Y57" s="51">
        <v>516445</v>
      </c>
      <c r="Z57" s="51">
        <v>364594</v>
      </c>
      <c r="AA57" s="12"/>
      <c r="AB57" s="12"/>
      <c r="AC57" s="12"/>
      <c r="AD57" s="12"/>
      <c r="AE57" s="12"/>
      <c r="AF57" s="52">
        <v>0.79</v>
      </c>
      <c r="AG57" s="52">
        <v>0.79</v>
      </c>
      <c r="AH57" s="52">
        <v>0.79</v>
      </c>
      <c r="AI57" s="52">
        <f t="shared" ref="AI57:AI88" si="47">AF57-0.1</f>
        <v>0.69000000000000006</v>
      </c>
      <c r="AJ57" s="12"/>
      <c r="AK57" s="12"/>
      <c r="AL57" s="12"/>
      <c r="AM57" s="12"/>
      <c r="AN57" s="12"/>
      <c r="AO57" s="12"/>
      <c r="AP57" s="12"/>
      <c r="AQ57" s="12"/>
      <c r="AR57" s="12"/>
      <c r="AS57" s="12"/>
      <c r="AT57" s="12"/>
      <c r="AU57" s="12"/>
      <c r="AV57" s="12"/>
      <c r="AW57" s="12"/>
      <c r="AX57" s="12"/>
      <c r="AY57" s="12"/>
      <c r="AZ57" s="12"/>
      <c r="BA57" s="12"/>
      <c r="BB57" s="59">
        <f t="shared" ref="BB57:BB88" si="48">IFERROR(G57/P57,"")</f>
        <v>3.0012394471597953E-2</v>
      </c>
      <c r="BC57" s="17">
        <v>46212</v>
      </c>
      <c r="BD57" s="17">
        <v>1967</v>
      </c>
      <c r="BE57" s="17">
        <f t="shared" si="31"/>
        <v>48179</v>
      </c>
      <c r="BF57" s="17">
        <f t="shared" si="43"/>
        <v>26179</v>
      </c>
      <c r="BG57" s="17">
        <f t="shared" si="42"/>
        <v>3911</v>
      </c>
      <c r="BH57" s="17">
        <f t="shared" ref="BH57:BH88" si="49">SUM(BF57,BG57)</f>
        <v>30090</v>
      </c>
      <c r="BI57" s="10"/>
      <c r="BJ57" s="12"/>
      <c r="BK57" s="12"/>
      <c r="BL57" s="12"/>
      <c r="BM57" s="12"/>
      <c r="BN57" s="12"/>
      <c r="BO57" s="12"/>
      <c r="BP57" s="12"/>
      <c r="BQ57" s="10"/>
      <c r="BR57" s="12"/>
      <c r="BS57" s="12"/>
      <c r="BT57" s="12"/>
      <c r="BU57" s="12"/>
      <c r="BV57" s="12"/>
      <c r="BW57" s="12"/>
      <c r="BX57" s="12"/>
      <c r="BY57" s="51">
        <f t="shared" si="24"/>
        <v>348379</v>
      </c>
      <c r="BZ57" s="51">
        <f t="shared" si="25"/>
        <v>485805</v>
      </c>
      <c r="CA57" s="51">
        <f t="shared" si="33"/>
        <v>260327</v>
      </c>
      <c r="CB57" s="51">
        <f t="shared" si="34"/>
        <v>427527</v>
      </c>
      <c r="CC57" s="29">
        <v>15661</v>
      </c>
      <c r="CD57" s="29">
        <v>52400</v>
      </c>
      <c r="CE57" s="29">
        <v>72391</v>
      </c>
      <c r="CF57" s="29">
        <v>5878</v>
      </c>
      <c r="CG57" s="52">
        <f t="shared" ref="CG57:CG88" si="50">CA57/($CA57+$CB57)</f>
        <v>0.37846258072207184</v>
      </c>
      <c r="CH57" s="52">
        <f t="shared" ref="CH57:CH88" si="51">CB57/($CA57+$CB57)</f>
        <v>0.62153741927792816</v>
      </c>
      <c r="CI57" s="52">
        <f t="shared" ref="CI57:CI88" si="52">CC57/($CC57+$CD57)</f>
        <v>0.23010240813387992</v>
      </c>
      <c r="CJ57" s="52">
        <f t="shared" ref="CJ57:CJ88" si="53">CD57/($CC57+$CD57)</f>
        <v>0.76989759186612006</v>
      </c>
      <c r="CK57" s="52">
        <f t="shared" ref="CK57:CK88" si="54">CE57/($CE57+$CF57)</f>
        <v>0.92490002427525586</v>
      </c>
      <c r="CL57" s="52">
        <f t="shared" ref="CL57:CL88" si="55">CF57/($CE57+$CF57)</f>
        <v>7.5099975724744153E-2</v>
      </c>
      <c r="CN57" s="19"/>
    </row>
    <row r="58" spans="2:92">
      <c r="B58" t="str">
        <f t="shared" si="0"/>
        <v>2022</v>
      </c>
      <c r="C58">
        <v>202202</v>
      </c>
      <c r="G58" s="51">
        <f t="shared" si="26"/>
        <v>839087</v>
      </c>
      <c r="H58" s="51">
        <v>347199</v>
      </c>
      <c r="I58" s="51">
        <v>491888</v>
      </c>
      <c r="J58" s="51">
        <f t="shared" si="44"/>
        <v>754806</v>
      </c>
      <c r="K58" s="51">
        <v>36743</v>
      </c>
      <c r="L58" s="29">
        <v>47538</v>
      </c>
      <c r="M58" s="61">
        <v>885817.6453880656</v>
      </c>
      <c r="N58" s="51">
        <f t="shared" ref="N58:N89" si="56">N57+G58</f>
        <v>1673271</v>
      </c>
      <c r="O58" s="11">
        <f t="shared" ref="O58:O89" si="57">M58+O57</f>
        <v>1849174.8760004393</v>
      </c>
      <c r="P58" s="51">
        <v>26955785</v>
      </c>
      <c r="Q58" s="51">
        <v>5927547</v>
      </c>
      <c r="R58" s="16">
        <v>554575534.9000001</v>
      </c>
      <c r="S58" s="51">
        <v>90098987</v>
      </c>
      <c r="T58" s="62">
        <f t="shared" si="45"/>
        <v>6.578927463413102E-2</v>
      </c>
      <c r="U58" s="13">
        <f t="shared" si="46"/>
        <v>93.55902785756065</v>
      </c>
      <c r="V58" s="30">
        <v>0.6</v>
      </c>
      <c r="W58" s="30">
        <v>0.6</v>
      </c>
      <c r="X58" s="30">
        <v>0.59</v>
      </c>
      <c r="Y58" s="51">
        <v>518457</v>
      </c>
      <c r="Z58" s="51">
        <v>359878</v>
      </c>
      <c r="AA58" s="12"/>
      <c r="AB58" s="12"/>
      <c r="AC58" s="12"/>
      <c r="AD58" s="12"/>
      <c r="AE58" s="12"/>
      <c r="AF58" s="52">
        <v>0.79</v>
      </c>
      <c r="AG58" s="52">
        <v>0.79</v>
      </c>
      <c r="AH58" s="52">
        <v>0.79</v>
      </c>
      <c r="AI58" s="52">
        <f t="shared" si="47"/>
        <v>0.69000000000000006</v>
      </c>
      <c r="AJ58" s="12"/>
      <c r="AK58" s="12"/>
      <c r="AL58" s="12"/>
      <c r="AM58" s="12"/>
      <c r="AN58" s="12"/>
      <c r="AO58" s="12"/>
      <c r="AP58" s="12"/>
      <c r="AQ58" s="12"/>
      <c r="AR58" s="12"/>
      <c r="AS58" s="12"/>
      <c r="AT58" s="12"/>
      <c r="AU58" s="12"/>
      <c r="AV58" s="12"/>
      <c r="AW58" s="12"/>
      <c r="AX58" s="12"/>
      <c r="AY58" s="12"/>
      <c r="AZ58" s="12"/>
      <c r="BA58" s="12"/>
      <c r="BB58" s="59">
        <f t="shared" si="48"/>
        <v>3.1128271723490895E-2</v>
      </c>
      <c r="BC58" s="17">
        <v>13498</v>
      </c>
      <c r="BD58" s="17">
        <v>5521</v>
      </c>
      <c r="BE58" s="17">
        <f t="shared" si="31"/>
        <v>19019</v>
      </c>
      <c r="BF58" s="17">
        <f t="shared" si="43"/>
        <v>26200</v>
      </c>
      <c r="BG58" s="17">
        <f t="shared" si="42"/>
        <v>2319</v>
      </c>
      <c r="BH58" s="17">
        <f t="shared" si="49"/>
        <v>28519</v>
      </c>
      <c r="BI58" s="10"/>
      <c r="BJ58" s="12"/>
      <c r="BK58" s="12"/>
      <c r="BL58" s="12"/>
      <c r="BM58" s="12"/>
      <c r="BN58" s="12"/>
      <c r="BO58" s="12"/>
      <c r="BP58" s="12"/>
      <c r="BQ58" s="10"/>
      <c r="BR58" s="12"/>
      <c r="BS58" s="12"/>
      <c r="BT58" s="12"/>
      <c r="BU58" s="12"/>
      <c r="BV58" s="12"/>
      <c r="BW58" s="12"/>
      <c r="BX58" s="12"/>
      <c r="BY58" s="51">
        <f t="shared" si="24"/>
        <v>347199</v>
      </c>
      <c r="BZ58" s="51">
        <f t="shared" si="25"/>
        <v>491888</v>
      </c>
      <c r="CA58" s="51">
        <f t="shared" si="33"/>
        <v>294763</v>
      </c>
      <c r="CB58" s="51">
        <f t="shared" si="34"/>
        <v>460043</v>
      </c>
      <c r="CC58" s="29">
        <v>12738</v>
      </c>
      <c r="CD58" s="29">
        <v>24005</v>
      </c>
      <c r="CE58" s="29">
        <v>39698</v>
      </c>
      <c r="CF58" s="29">
        <v>7840</v>
      </c>
      <c r="CG58" s="52">
        <f t="shared" si="50"/>
        <v>0.39051491376592129</v>
      </c>
      <c r="CH58" s="52">
        <f t="shared" si="51"/>
        <v>0.60948508623407871</v>
      </c>
      <c r="CI58" s="52">
        <f t="shared" si="52"/>
        <v>0.34667827885583646</v>
      </c>
      <c r="CJ58" s="52">
        <f t="shared" si="53"/>
        <v>0.65332172114416354</v>
      </c>
      <c r="CK58" s="52">
        <f t="shared" si="54"/>
        <v>0.83507930497707095</v>
      </c>
      <c r="CL58" s="52">
        <f t="shared" si="55"/>
        <v>0.16492069502292903</v>
      </c>
      <c r="CN58" s="19"/>
    </row>
    <row r="59" spans="2:92">
      <c r="B59" t="str">
        <f t="shared" si="0"/>
        <v>2022</v>
      </c>
      <c r="C59">
        <v>202203</v>
      </c>
      <c r="G59" s="51">
        <f t="shared" si="26"/>
        <v>822733</v>
      </c>
      <c r="H59" s="29">
        <v>343933</v>
      </c>
      <c r="I59" s="29">
        <v>478800</v>
      </c>
      <c r="J59" s="51">
        <f t="shared" si="44"/>
        <v>707698</v>
      </c>
      <c r="K59" s="51">
        <v>27169</v>
      </c>
      <c r="L59" s="51">
        <v>87866</v>
      </c>
      <c r="M59" s="61">
        <v>848813.93697487062</v>
      </c>
      <c r="N59" s="51">
        <f t="shared" si="56"/>
        <v>2496004</v>
      </c>
      <c r="O59" s="11">
        <f t="shared" si="57"/>
        <v>2697988.8129753098</v>
      </c>
      <c r="P59" s="29">
        <v>26741549</v>
      </c>
      <c r="Q59" s="29">
        <v>5720834</v>
      </c>
      <c r="R59" s="20">
        <v>524222320.39999998</v>
      </c>
      <c r="S59" s="29">
        <v>84957484</v>
      </c>
      <c r="T59" s="63">
        <f t="shared" si="45"/>
        <v>6.7337610892525962E-2</v>
      </c>
      <c r="U59" s="13">
        <f t="shared" si="46"/>
        <v>91.633898204352718</v>
      </c>
      <c r="V59" s="30">
        <v>0.6</v>
      </c>
      <c r="W59" s="30">
        <v>0.6</v>
      </c>
      <c r="X59" s="30">
        <v>0.6</v>
      </c>
      <c r="Y59" s="51">
        <v>806794</v>
      </c>
      <c r="Z59" s="51">
        <v>792393</v>
      </c>
      <c r="AA59" s="12"/>
      <c r="AB59" s="12"/>
      <c r="AC59" s="12"/>
      <c r="AD59" s="12"/>
      <c r="AE59" s="12"/>
      <c r="AF59" s="52">
        <v>0.79</v>
      </c>
      <c r="AG59" s="52">
        <v>0.79</v>
      </c>
      <c r="AH59" s="52">
        <v>0.79</v>
      </c>
      <c r="AI59" s="52">
        <f t="shared" si="47"/>
        <v>0.69000000000000006</v>
      </c>
      <c r="AJ59" s="12"/>
      <c r="AK59" s="12"/>
      <c r="AL59" s="12"/>
      <c r="AM59" s="12"/>
      <c r="AN59" s="12"/>
      <c r="AO59" s="12"/>
      <c r="AP59" s="12"/>
      <c r="AQ59" s="12"/>
      <c r="AR59" s="12"/>
      <c r="AS59" s="12"/>
      <c r="AT59" s="12"/>
      <c r="AU59" s="12"/>
      <c r="AV59" s="12"/>
      <c r="AW59" s="12"/>
      <c r="AX59" s="12"/>
      <c r="AY59" s="12"/>
      <c r="AZ59" s="12"/>
      <c r="BA59" s="12"/>
      <c r="BB59" s="59">
        <f t="shared" si="48"/>
        <v>3.0766093617090019E-2</v>
      </c>
      <c r="BC59" s="17">
        <v>34212</v>
      </c>
      <c r="BD59" s="17">
        <v>20732</v>
      </c>
      <c r="BE59" s="17">
        <f t="shared" si="31"/>
        <v>54944</v>
      </c>
      <c r="BF59" s="17">
        <f t="shared" si="43"/>
        <v>27030</v>
      </c>
      <c r="BG59" s="17">
        <f t="shared" si="42"/>
        <v>5892</v>
      </c>
      <c r="BH59" s="17">
        <f t="shared" si="49"/>
        <v>32922</v>
      </c>
      <c r="BI59" s="10"/>
      <c r="BJ59" s="12"/>
      <c r="BK59" s="12"/>
      <c r="BL59" s="12"/>
      <c r="BM59" s="12"/>
      <c r="BN59" s="12"/>
      <c r="BO59" s="12"/>
      <c r="BP59" s="12"/>
      <c r="BQ59" s="10"/>
      <c r="BR59" s="12"/>
      <c r="BS59" s="12"/>
      <c r="BT59" s="12"/>
      <c r="BU59" s="12"/>
      <c r="BV59" s="12"/>
      <c r="BW59" s="12"/>
      <c r="BX59" s="12"/>
      <c r="BY59" s="51">
        <f t="shared" si="24"/>
        <v>343933</v>
      </c>
      <c r="BZ59" s="51">
        <f t="shared" si="25"/>
        <v>478800</v>
      </c>
      <c r="CA59" s="51">
        <f t="shared" si="33"/>
        <v>267566</v>
      </c>
      <c r="CB59" s="51">
        <f t="shared" si="34"/>
        <v>440132</v>
      </c>
      <c r="CC59" s="29">
        <v>15125</v>
      </c>
      <c r="CD59" s="29">
        <v>12044</v>
      </c>
      <c r="CE59" s="29">
        <v>61242</v>
      </c>
      <c r="CF59" s="29">
        <v>26624</v>
      </c>
      <c r="CG59" s="52">
        <f t="shared" si="50"/>
        <v>0.37807935023131334</v>
      </c>
      <c r="CH59" s="52">
        <f t="shared" si="51"/>
        <v>0.62192064976868666</v>
      </c>
      <c r="CI59" s="52">
        <f t="shared" si="52"/>
        <v>0.55670065147778713</v>
      </c>
      <c r="CJ59" s="52">
        <f t="shared" si="53"/>
        <v>0.44329934852221281</v>
      </c>
      <c r="CK59" s="52">
        <f t="shared" si="54"/>
        <v>0.69699314865818407</v>
      </c>
      <c r="CL59" s="52">
        <f t="shared" si="55"/>
        <v>0.30300685134181593</v>
      </c>
      <c r="CN59" s="19"/>
    </row>
    <row r="60" spans="2:92">
      <c r="B60" t="str">
        <f t="shared" si="0"/>
        <v>2022</v>
      </c>
      <c r="C60">
        <v>202204</v>
      </c>
      <c r="G60" s="51">
        <f t="shared" si="26"/>
        <v>999876</v>
      </c>
      <c r="H60" s="51">
        <v>465733</v>
      </c>
      <c r="I60" s="51">
        <v>534143</v>
      </c>
      <c r="J60" s="51">
        <f t="shared" si="44"/>
        <v>810255</v>
      </c>
      <c r="K60" s="29">
        <v>28001</v>
      </c>
      <c r="L60" s="29">
        <v>161620</v>
      </c>
      <c r="M60" s="61">
        <v>833999.34970554372</v>
      </c>
      <c r="N60" s="51">
        <f t="shared" si="56"/>
        <v>3495880</v>
      </c>
      <c r="O60" s="11">
        <f t="shared" si="57"/>
        <v>3531988.1626808536</v>
      </c>
      <c r="P60" s="29">
        <v>27802242</v>
      </c>
      <c r="Q60" s="29">
        <v>6090758</v>
      </c>
      <c r="R60" s="20">
        <v>608439982.29999995</v>
      </c>
      <c r="S60" s="29">
        <v>91626188</v>
      </c>
      <c r="T60" s="63">
        <f t="shared" si="45"/>
        <v>6.6473986672893129E-2</v>
      </c>
      <c r="U60" s="13">
        <f t="shared" si="46"/>
        <v>99.895609429893611</v>
      </c>
      <c r="V60" s="52">
        <v>0.66</v>
      </c>
      <c r="W60" s="52">
        <v>0.66</v>
      </c>
      <c r="X60" s="52">
        <v>0.66</v>
      </c>
      <c r="Y60" s="51">
        <v>977736</v>
      </c>
      <c r="Z60" s="51">
        <v>960022</v>
      </c>
      <c r="AA60" s="12"/>
      <c r="AB60" s="12"/>
      <c r="AC60" s="12"/>
      <c r="AD60" s="12"/>
      <c r="AE60" s="12"/>
      <c r="AF60" s="52">
        <v>0.82</v>
      </c>
      <c r="AG60" s="52">
        <v>0.82</v>
      </c>
      <c r="AH60" s="52">
        <v>0.82</v>
      </c>
      <c r="AI60" s="52">
        <f t="shared" si="47"/>
        <v>0.72</v>
      </c>
      <c r="AJ60" s="12"/>
      <c r="AK60" s="12"/>
      <c r="AL60" s="12"/>
      <c r="AM60" s="12"/>
      <c r="AN60" s="12"/>
      <c r="AO60" s="12"/>
      <c r="AP60" s="12"/>
      <c r="AQ60" s="12"/>
      <c r="AR60" s="12"/>
      <c r="AS60" s="12"/>
      <c r="AT60" s="12"/>
      <c r="AU60" s="12"/>
      <c r="AV60" s="12"/>
      <c r="AW60" s="12"/>
      <c r="AX60" s="12"/>
      <c r="AY60" s="12"/>
      <c r="AZ60" s="12"/>
      <c r="BA60" s="12"/>
      <c r="BB60" s="59">
        <f t="shared" si="48"/>
        <v>3.5963862194998517E-2</v>
      </c>
      <c r="BC60" s="17">
        <v>77442</v>
      </c>
      <c r="BD60" s="17">
        <v>54312</v>
      </c>
      <c r="BE60" s="17">
        <f t="shared" si="31"/>
        <v>131754</v>
      </c>
      <c r="BF60" s="17">
        <f t="shared" si="43"/>
        <v>27949</v>
      </c>
      <c r="BG60" s="17">
        <f t="shared" si="42"/>
        <v>1917</v>
      </c>
      <c r="BH60" s="17">
        <f t="shared" si="49"/>
        <v>29866</v>
      </c>
      <c r="BI60" s="10"/>
      <c r="BJ60" s="12"/>
      <c r="BK60" s="12"/>
      <c r="BL60" s="12"/>
      <c r="BM60" s="12"/>
      <c r="BN60" s="12"/>
      <c r="BO60" s="12"/>
      <c r="BP60" s="12"/>
      <c r="BQ60" s="10"/>
      <c r="BR60" s="12"/>
      <c r="BS60" s="12"/>
      <c r="BT60" s="12"/>
      <c r="BU60" s="12"/>
      <c r="BV60" s="12"/>
      <c r="BW60" s="12"/>
      <c r="BX60" s="12"/>
      <c r="BY60" s="51">
        <f t="shared" ref="BY60:BY91" si="58">H60</f>
        <v>465733</v>
      </c>
      <c r="BZ60" s="51">
        <f t="shared" ref="BZ60:BZ91" si="59">I60</f>
        <v>534143</v>
      </c>
      <c r="CA60" s="51">
        <f t="shared" si="33"/>
        <v>340200</v>
      </c>
      <c r="CB60" s="51">
        <f t="shared" si="34"/>
        <v>470055</v>
      </c>
      <c r="CC60" s="29">
        <v>20142</v>
      </c>
      <c r="CD60" s="29">
        <v>7859</v>
      </c>
      <c r="CE60" s="29">
        <v>105391</v>
      </c>
      <c r="CF60" s="29">
        <v>56229</v>
      </c>
      <c r="CG60" s="52">
        <f t="shared" si="50"/>
        <v>0.41986781939019197</v>
      </c>
      <c r="CH60" s="52">
        <f t="shared" si="51"/>
        <v>0.58013218060980798</v>
      </c>
      <c r="CI60" s="52">
        <f t="shared" si="52"/>
        <v>0.71933145244812691</v>
      </c>
      <c r="CJ60" s="52">
        <f t="shared" si="53"/>
        <v>0.28066854755187315</v>
      </c>
      <c r="CK60" s="52">
        <f t="shared" si="54"/>
        <v>0.65209132533102343</v>
      </c>
      <c r="CL60" s="52">
        <f t="shared" si="55"/>
        <v>0.34790867466897663</v>
      </c>
      <c r="CN60" s="19"/>
    </row>
    <row r="61" spans="2:92">
      <c r="B61" t="str">
        <f t="shared" si="0"/>
        <v>2022</v>
      </c>
      <c r="C61">
        <v>202205</v>
      </c>
      <c r="G61" s="51">
        <f t="shared" si="26"/>
        <v>988745</v>
      </c>
      <c r="H61" s="51">
        <v>449088</v>
      </c>
      <c r="I61" s="51">
        <v>539657</v>
      </c>
      <c r="J61" s="51">
        <f t="shared" si="44"/>
        <v>803410</v>
      </c>
      <c r="K61" s="51">
        <v>30086</v>
      </c>
      <c r="L61" s="51">
        <v>155249</v>
      </c>
      <c r="M61" s="61">
        <v>868872.43926056987</v>
      </c>
      <c r="N61" s="51">
        <f t="shared" si="56"/>
        <v>4484625</v>
      </c>
      <c r="O61" s="11">
        <f t="shared" si="57"/>
        <v>4400860.6019414235</v>
      </c>
      <c r="P61" s="29">
        <v>28110247</v>
      </c>
      <c r="Q61" s="29">
        <v>6334349</v>
      </c>
      <c r="R61" s="20">
        <v>623203787.10000002</v>
      </c>
      <c r="S61" s="29">
        <v>94972586</v>
      </c>
      <c r="T61" s="63">
        <f t="shared" si="45"/>
        <v>6.669660442856637E-2</v>
      </c>
      <c r="U61" s="13">
        <f t="shared" si="46"/>
        <v>98.384820144895713</v>
      </c>
      <c r="V61" s="52">
        <v>0.65</v>
      </c>
      <c r="W61" s="52">
        <v>0.65</v>
      </c>
      <c r="X61" s="52">
        <v>0.65</v>
      </c>
      <c r="Y61" s="51">
        <v>562287</v>
      </c>
      <c r="Z61" s="51">
        <v>466910</v>
      </c>
      <c r="AA61" s="12"/>
      <c r="AB61" s="12"/>
      <c r="AC61" s="12"/>
      <c r="AD61" s="12"/>
      <c r="AE61" s="12"/>
      <c r="AF61" s="52">
        <v>0.82</v>
      </c>
      <c r="AG61" s="52">
        <v>0.82</v>
      </c>
      <c r="AH61" s="52">
        <v>0.82</v>
      </c>
      <c r="AI61" s="52">
        <f t="shared" si="47"/>
        <v>0.72</v>
      </c>
      <c r="AJ61" s="12"/>
      <c r="AK61" s="12"/>
      <c r="AL61" s="12"/>
      <c r="AM61" s="12"/>
      <c r="AN61" s="12"/>
      <c r="AO61" s="12"/>
      <c r="AP61" s="12"/>
      <c r="AQ61" s="12"/>
      <c r="AR61" s="12"/>
      <c r="AS61" s="12"/>
      <c r="AT61" s="12"/>
      <c r="AU61" s="12"/>
      <c r="AV61" s="12"/>
      <c r="AW61" s="12"/>
      <c r="AX61" s="12"/>
      <c r="AY61" s="12"/>
      <c r="AZ61" s="12"/>
      <c r="BA61" s="12"/>
      <c r="BB61" s="59">
        <f t="shared" si="48"/>
        <v>3.5173828248467542E-2</v>
      </c>
      <c r="BC61" s="17">
        <v>92112</v>
      </c>
      <c r="BD61" s="17">
        <v>30313</v>
      </c>
      <c r="BE61" s="17">
        <f t="shared" si="31"/>
        <v>122425</v>
      </c>
      <c r="BF61" s="17">
        <f t="shared" si="43"/>
        <v>29378</v>
      </c>
      <c r="BG61" s="17">
        <f t="shared" si="42"/>
        <v>3446</v>
      </c>
      <c r="BH61" s="17">
        <f t="shared" si="49"/>
        <v>32824</v>
      </c>
      <c r="BI61" s="10"/>
      <c r="BJ61" s="12"/>
      <c r="BK61" s="12"/>
      <c r="BL61" s="12"/>
      <c r="BM61" s="12"/>
      <c r="BN61" s="12"/>
      <c r="BO61" s="12"/>
      <c r="BP61" s="12"/>
      <c r="BQ61" s="10"/>
      <c r="BR61" s="12"/>
      <c r="BS61" s="12"/>
      <c r="BT61" s="12"/>
      <c r="BU61" s="12"/>
      <c r="BV61" s="12"/>
      <c r="BW61" s="12"/>
      <c r="BX61" s="12"/>
      <c r="BY61" s="51">
        <f t="shared" si="58"/>
        <v>449088</v>
      </c>
      <c r="BZ61" s="51">
        <f t="shared" si="59"/>
        <v>539657</v>
      </c>
      <c r="CA61" s="51">
        <f t="shared" si="33"/>
        <v>305443</v>
      </c>
      <c r="CB61" s="51">
        <f t="shared" si="34"/>
        <v>497967</v>
      </c>
      <c r="CC61" s="29">
        <v>22155</v>
      </c>
      <c r="CD61" s="29">
        <v>7931</v>
      </c>
      <c r="CE61" s="29">
        <v>121490</v>
      </c>
      <c r="CF61" s="29">
        <v>33759</v>
      </c>
      <c r="CG61" s="52">
        <f t="shared" si="50"/>
        <v>0.38018321902888935</v>
      </c>
      <c r="CH61" s="52">
        <f t="shared" si="51"/>
        <v>0.61981678097111059</v>
      </c>
      <c r="CI61" s="52">
        <f t="shared" si="52"/>
        <v>0.73638901814797575</v>
      </c>
      <c r="CJ61" s="52">
        <f t="shared" si="53"/>
        <v>0.2636109818520242</v>
      </c>
      <c r="CK61" s="52">
        <f t="shared" si="54"/>
        <v>0.7825493239892044</v>
      </c>
      <c r="CL61" s="52">
        <f t="shared" si="55"/>
        <v>0.21745067601079557</v>
      </c>
      <c r="CN61" s="19"/>
    </row>
    <row r="62" spans="2:92">
      <c r="B62" t="str">
        <f t="shared" si="0"/>
        <v>2022</v>
      </c>
      <c r="C62">
        <v>202206</v>
      </c>
      <c r="G62" s="51">
        <f t="shared" si="26"/>
        <v>928146</v>
      </c>
      <c r="H62" s="29">
        <v>403905</v>
      </c>
      <c r="I62" s="29">
        <v>524241</v>
      </c>
      <c r="J62" s="51">
        <f t="shared" si="44"/>
        <v>715014</v>
      </c>
      <c r="K62" s="51">
        <v>46570</v>
      </c>
      <c r="L62" s="51">
        <v>166562</v>
      </c>
      <c r="M62" s="61">
        <v>920239.03688162018</v>
      </c>
      <c r="N62" s="51">
        <f t="shared" si="56"/>
        <v>5412771</v>
      </c>
      <c r="O62" s="11">
        <f t="shared" si="57"/>
        <v>5321099.6388230436</v>
      </c>
      <c r="P62" s="29">
        <v>27772565</v>
      </c>
      <c r="Q62" s="29">
        <v>6374282</v>
      </c>
      <c r="R62" s="20">
        <v>618937306.10000002</v>
      </c>
      <c r="S62" s="29">
        <v>93174161</v>
      </c>
      <c r="T62" s="63">
        <f t="shared" si="45"/>
        <v>6.841255055680083E-2</v>
      </c>
      <c r="U62" s="13">
        <f t="shared" si="46"/>
        <v>97.099140907164141</v>
      </c>
      <c r="V62" s="52">
        <v>0.64</v>
      </c>
      <c r="W62" s="52">
        <v>0.64</v>
      </c>
      <c r="X62" s="52">
        <v>0.64</v>
      </c>
      <c r="Y62" s="51">
        <v>544437</v>
      </c>
      <c r="Z62" s="51">
        <v>419316</v>
      </c>
      <c r="AA62" s="12"/>
      <c r="AB62" s="12"/>
      <c r="AC62" s="12"/>
      <c r="AD62" s="12"/>
      <c r="AE62" s="12"/>
      <c r="AF62" s="52">
        <v>0.81</v>
      </c>
      <c r="AG62" s="52">
        <v>0.81</v>
      </c>
      <c r="AH62" s="52">
        <v>0.81</v>
      </c>
      <c r="AI62" s="52">
        <f t="shared" si="47"/>
        <v>0.71000000000000008</v>
      </c>
      <c r="AJ62" s="12"/>
      <c r="AK62" s="12"/>
      <c r="AL62" s="12"/>
      <c r="AM62" s="12"/>
      <c r="AN62" s="12"/>
      <c r="AO62" s="12"/>
      <c r="AP62" s="12"/>
      <c r="AQ62" s="12"/>
      <c r="AR62" s="12"/>
      <c r="AS62" s="12"/>
      <c r="AT62" s="12"/>
      <c r="AU62" s="12"/>
      <c r="AV62" s="12"/>
      <c r="AW62" s="12"/>
      <c r="AX62" s="12"/>
      <c r="AY62" s="12"/>
      <c r="AZ62" s="12"/>
      <c r="BA62" s="12"/>
      <c r="BB62" s="59">
        <f t="shared" si="48"/>
        <v>3.3419527508532249E-2</v>
      </c>
      <c r="BC62" s="17">
        <v>90092</v>
      </c>
      <c r="BD62" s="17">
        <v>50732</v>
      </c>
      <c r="BE62" s="17">
        <f t="shared" si="31"/>
        <v>140824</v>
      </c>
      <c r="BF62" s="17">
        <f t="shared" si="43"/>
        <v>22421</v>
      </c>
      <c r="BG62" s="17">
        <f t="shared" si="42"/>
        <v>3317</v>
      </c>
      <c r="BH62" s="17">
        <f t="shared" si="49"/>
        <v>25738</v>
      </c>
      <c r="BI62" s="10"/>
      <c r="BJ62" s="12"/>
      <c r="BK62" s="12"/>
      <c r="BL62" s="12"/>
      <c r="BM62" s="12"/>
      <c r="BN62" s="12"/>
      <c r="BO62" s="12"/>
      <c r="BP62" s="12"/>
      <c r="BQ62" s="10"/>
      <c r="BR62" s="12"/>
      <c r="BS62" s="12"/>
      <c r="BT62" s="12"/>
      <c r="BU62" s="12"/>
      <c r="BV62" s="12"/>
      <c r="BW62" s="12"/>
      <c r="BX62" s="12"/>
      <c r="BY62" s="51">
        <f t="shared" si="58"/>
        <v>403905</v>
      </c>
      <c r="BZ62" s="51">
        <f t="shared" si="59"/>
        <v>524241</v>
      </c>
      <c r="CA62" s="51">
        <f t="shared" si="33"/>
        <v>268801</v>
      </c>
      <c r="CB62" s="51">
        <f t="shared" si="34"/>
        <v>446213</v>
      </c>
      <c r="CC62" s="29">
        <v>22591</v>
      </c>
      <c r="CD62" s="29">
        <v>23979</v>
      </c>
      <c r="CE62" s="29">
        <v>112513</v>
      </c>
      <c r="CF62" s="29">
        <v>54049</v>
      </c>
      <c r="CG62" s="52">
        <f t="shared" si="50"/>
        <v>0.37593809351984714</v>
      </c>
      <c r="CH62" s="52">
        <f t="shared" si="51"/>
        <v>0.62406190648015281</v>
      </c>
      <c r="CI62" s="52">
        <f t="shared" si="52"/>
        <v>0.48509770238350869</v>
      </c>
      <c r="CJ62" s="52">
        <f t="shared" si="53"/>
        <v>0.51490229761649131</v>
      </c>
      <c r="CK62" s="52">
        <f t="shared" si="54"/>
        <v>0.67550221539126576</v>
      </c>
      <c r="CL62" s="52">
        <f t="shared" si="55"/>
        <v>0.3244977846087343</v>
      </c>
      <c r="CN62" s="19"/>
    </row>
    <row r="63" spans="2:92">
      <c r="B63" t="str">
        <f t="shared" si="0"/>
        <v>2022</v>
      </c>
      <c r="C63">
        <v>202207</v>
      </c>
      <c r="G63" s="51">
        <f t="shared" si="26"/>
        <v>960450</v>
      </c>
      <c r="H63" s="51">
        <v>401904</v>
      </c>
      <c r="I63" s="51">
        <v>558546</v>
      </c>
      <c r="J63" s="51">
        <f t="shared" si="44"/>
        <v>742840</v>
      </c>
      <c r="K63" s="51">
        <v>68978</v>
      </c>
      <c r="L63" s="51">
        <v>148632</v>
      </c>
      <c r="M63" s="61">
        <v>963305.37526490807</v>
      </c>
      <c r="N63" s="51">
        <f t="shared" si="56"/>
        <v>6373221</v>
      </c>
      <c r="O63" s="11">
        <f t="shared" si="57"/>
        <v>6284405.0140879517</v>
      </c>
      <c r="P63" s="29">
        <v>27567107</v>
      </c>
      <c r="Q63" s="29">
        <v>6148417</v>
      </c>
      <c r="R63" s="20">
        <v>606004805.39999998</v>
      </c>
      <c r="S63" s="29">
        <v>91130219</v>
      </c>
      <c r="T63" s="63">
        <f t="shared" si="45"/>
        <v>6.746847607158718E-2</v>
      </c>
      <c r="U63" s="13">
        <f t="shared" si="46"/>
        <v>98.56273661984865</v>
      </c>
      <c r="V63" s="52">
        <v>0.64</v>
      </c>
      <c r="W63" s="52">
        <v>0.64</v>
      </c>
      <c r="X63" s="52">
        <v>0.64</v>
      </c>
      <c r="Y63" s="51">
        <v>578897</v>
      </c>
      <c r="Z63" s="51">
        <v>415381</v>
      </c>
      <c r="AA63" s="12"/>
      <c r="AB63" s="12"/>
      <c r="AC63" s="12"/>
      <c r="AD63" s="12"/>
      <c r="AE63" s="12"/>
      <c r="AF63" s="52">
        <v>0.81</v>
      </c>
      <c r="AG63" s="52">
        <v>0.81</v>
      </c>
      <c r="AH63" s="52">
        <v>0.8</v>
      </c>
      <c r="AI63" s="52">
        <f t="shared" si="47"/>
        <v>0.71000000000000008</v>
      </c>
      <c r="AJ63" s="12"/>
      <c r="AK63" s="12"/>
      <c r="AL63" s="12"/>
      <c r="AM63" s="12"/>
      <c r="AN63" s="12"/>
      <c r="AO63" s="12"/>
      <c r="AP63" s="12"/>
      <c r="AQ63" s="12"/>
      <c r="AR63" s="12"/>
      <c r="AS63" s="12"/>
      <c r="AT63" s="12"/>
      <c r="AU63" s="12"/>
      <c r="AV63" s="12"/>
      <c r="AW63" s="12"/>
      <c r="AX63" s="12"/>
      <c r="AY63" s="12"/>
      <c r="AZ63" s="12"/>
      <c r="BA63" s="12"/>
      <c r="BB63" s="59">
        <f t="shared" si="48"/>
        <v>3.4840435015542258E-2</v>
      </c>
      <c r="BC63" s="17">
        <v>90436</v>
      </c>
      <c r="BD63" s="17">
        <v>33280</v>
      </c>
      <c r="BE63" s="17">
        <f t="shared" si="31"/>
        <v>123716</v>
      </c>
      <c r="BF63" s="17">
        <f t="shared" si="43"/>
        <v>20958</v>
      </c>
      <c r="BG63" s="17">
        <f t="shared" si="42"/>
        <v>3958</v>
      </c>
      <c r="BH63" s="17">
        <f t="shared" si="49"/>
        <v>24916</v>
      </c>
      <c r="BI63" s="10"/>
      <c r="BJ63" s="12"/>
      <c r="BK63" s="12"/>
      <c r="BL63" s="12"/>
      <c r="BM63" s="12"/>
      <c r="BN63" s="12"/>
      <c r="BO63" s="12"/>
      <c r="BP63" s="12"/>
      <c r="BQ63" s="10"/>
      <c r="BR63" s="12"/>
      <c r="BS63" s="12"/>
      <c r="BT63" s="12"/>
      <c r="BU63" s="12"/>
      <c r="BV63" s="12"/>
      <c r="BW63" s="12"/>
      <c r="BX63" s="12"/>
      <c r="BY63" s="51">
        <f t="shared" si="58"/>
        <v>401904</v>
      </c>
      <c r="BZ63" s="51">
        <f t="shared" si="59"/>
        <v>558546</v>
      </c>
      <c r="CA63" s="51">
        <f t="shared" si="33"/>
        <v>268495</v>
      </c>
      <c r="CB63" s="51">
        <f t="shared" si="34"/>
        <v>474345</v>
      </c>
      <c r="CC63" s="29">
        <v>22015</v>
      </c>
      <c r="CD63" s="29">
        <v>46963</v>
      </c>
      <c r="CE63" s="29">
        <v>111394</v>
      </c>
      <c r="CF63" s="29">
        <v>37238</v>
      </c>
      <c r="CG63" s="52">
        <f t="shared" si="50"/>
        <v>0.36144391793656777</v>
      </c>
      <c r="CH63" s="52">
        <f t="shared" si="51"/>
        <v>0.63855608206343228</v>
      </c>
      <c r="CI63" s="52">
        <f t="shared" si="52"/>
        <v>0.31915973208849197</v>
      </c>
      <c r="CJ63" s="52">
        <f t="shared" si="53"/>
        <v>0.68084026791150798</v>
      </c>
      <c r="CK63" s="52">
        <f t="shared" si="54"/>
        <v>0.74946175789870284</v>
      </c>
      <c r="CL63" s="52">
        <f t="shared" si="55"/>
        <v>0.25053824210129716</v>
      </c>
      <c r="CN63" s="19"/>
    </row>
    <row r="64" spans="2:92">
      <c r="B64" t="str">
        <f t="shared" si="0"/>
        <v>2022</v>
      </c>
      <c r="C64">
        <v>202208</v>
      </c>
      <c r="G64" s="51">
        <f t="shared" si="26"/>
        <v>905654</v>
      </c>
      <c r="H64" s="51">
        <v>382398</v>
      </c>
      <c r="I64" s="51">
        <v>523256</v>
      </c>
      <c r="J64" s="51">
        <f t="shared" si="44"/>
        <v>709124</v>
      </c>
      <c r="K64" s="51">
        <v>64896</v>
      </c>
      <c r="L64" s="51">
        <f>131515+119</f>
        <v>131634</v>
      </c>
      <c r="M64" s="61">
        <v>999918.29732607421</v>
      </c>
      <c r="N64" s="51">
        <f t="shared" si="56"/>
        <v>7278875</v>
      </c>
      <c r="O64" s="11">
        <f t="shared" si="57"/>
        <v>7284323.3114140257</v>
      </c>
      <c r="P64" s="29">
        <v>27664652</v>
      </c>
      <c r="Q64" s="29">
        <v>6337851</v>
      </c>
      <c r="R64" s="20">
        <v>593762573.39999998</v>
      </c>
      <c r="S64" s="29">
        <v>92190391</v>
      </c>
      <c r="T64" s="63">
        <f t="shared" si="45"/>
        <v>6.8747414250580632E-2</v>
      </c>
      <c r="U64" s="13">
        <f t="shared" si="46"/>
        <v>93.685158171121401</v>
      </c>
      <c r="V64" s="52">
        <v>0.63</v>
      </c>
      <c r="W64" s="52">
        <v>0.63</v>
      </c>
      <c r="X64" s="52">
        <v>0.63</v>
      </c>
      <c r="Y64" s="51">
        <v>544406</v>
      </c>
      <c r="Z64" s="51">
        <v>395869</v>
      </c>
      <c r="AA64" s="12"/>
      <c r="AB64" s="12"/>
      <c r="AC64" s="12"/>
      <c r="AD64" s="12"/>
      <c r="AE64" s="12"/>
      <c r="AF64" s="52">
        <v>0.81</v>
      </c>
      <c r="AG64" s="52">
        <v>0.81</v>
      </c>
      <c r="AH64" s="52">
        <v>0.81</v>
      </c>
      <c r="AI64" s="52">
        <f t="shared" si="47"/>
        <v>0.71000000000000008</v>
      </c>
      <c r="AJ64" s="12"/>
      <c r="AK64" s="12"/>
      <c r="AL64" s="12"/>
      <c r="AM64" s="12"/>
      <c r="AN64" s="12"/>
      <c r="AO64" s="12"/>
      <c r="AP64" s="12"/>
      <c r="AQ64" s="12"/>
      <c r="AR64" s="12"/>
      <c r="AS64" s="12"/>
      <c r="AT64" s="12"/>
      <c r="AU64" s="12"/>
      <c r="AV64" s="12"/>
      <c r="AW64" s="12"/>
      <c r="AX64" s="12"/>
      <c r="AY64" s="12"/>
      <c r="AZ64" s="12"/>
      <c r="BA64" s="12"/>
      <c r="BB64" s="59">
        <f t="shared" si="48"/>
        <v>3.2736865802613382E-2</v>
      </c>
      <c r="BC64" s="17">
        <v>88444</v>
      </c>
      <c r="BD64" s="17">
        <v>19136</v>
      </c>
      <c r="BE64" s="17">
        <f t="shared" si="31"/>
        <v>107580</v>
      </c>
      <c r="BF64" s="17">
        <f t="shared" si="43"/>
        <v>19175</v>
      </c>
      <c r="BG64" s="17">
        <f t="shared" si="42"/>
        <v>4879</v>
      </c>
      <c r="BH64" s="17">
        <f t="shared" si="49"/>
        <v>24054</v>
      </c>
      <c r="BI64" s="10"/>
      <c r="BJ64" s="12"/>
      <c r="BK64" s="12"/>
      <c r="BL64" s="12"/>
      <c r="BM64" s="12"/>
      <c r="BN64" s="12"/>
      <c r="BO64" s="12"/>
      <c r="BP64" s="12"/>
      <c r="BQ64" s="10"/>
      <c r="BR64" s="12"/>
      <c r="BS64" s="12"/>
      <c r="BT64" s="12"/>
      <c r="BU64" s="12"/>
      <c r="BV64" s="12"/>
      <c r="BW64" s="12"/>
      <c r="BX64" s="12"/>
      <c r="BY64" s="51">
        <f t="shared" si="58"/>
        <v>382398</v>
      </c>
      <c r="BZ64" s="51">
        <f t="shared" si="59"/>
        <v>523256</v>
      </c>
      <c r="CA64" s="51">
        <f t="shared" si="33"/>
        <v>253496</v>
      </c>
      <c r="CB64" s="51">
        <f t="shared" si="34"/>
        <v>455628</v>
      </c>
      <c r="CC64" s="29">
        <v>21283</v>
      </c>
      <c r="CD64" s="29">
        <v>43613</v>
      </c>
      <c r="CE64" s="29">
        <v>107619</v>
      </c>
      <c r="CF64" s="29">
        <v>24015</v>
      </c>
      <c r="CG64" s="52">
        <f t="shared" si="50"/>
        <v>0.35747767668278047</v>
      </c>
      <c r="CH64" s="52">
        <f t="shared" si="51"/>
        <v>0.64252232331721959</v>
      </c>
      <c r="CI64" s="52">
        <f t="shared" si="52"/>
        <v>0.32795549802761342</v>
      </c>
      <c r="CJ64" s="52">
        <f t="shared" si="53"/>
        <v>0.67204450197238663</v>
      </c>
      <c r="CK64" s="52">
        <f t="shared" si="54"/>
        <v>0.81756233192032457</v>
      </c>
      <c r="CL64" s="52">
        <f t="shared" si="55"/>
        <v>0.18243766807967546</v>
      </c>
      <c r="CN64" s="19"/>
    </row>
    <row r="65" spans="2:92">
      <c r="B65" t="str">
        <f t="shared" si="0"/>
        <v>2022</v>
      </c>
      <c r="C65">
        <v>202209</v>
      </c>
      <c r="G65" s="51">
        <f t="shared" si="26"/>
        <v>863083</v>
      </c>
      <c r="H65" s="51">
        <v>381063</v>
      </c>
      <c r="I65" s="51">
        <v>482020</v>
      </c>
      <c r="J65" s="51">
        <f t="shared" si="44"/>
        <v>683159</v>
      </c>
      <c r="K65" s="51">
        <v>58167</v>
      </c>
      <c r="L65" s="51">
        <v>121757</v>
      </c>
      <c r="M65" s="61">
        <v>1020018.642938665</v>
      </c>
      <c r="N65" s="51">
        <f t="shared" si="56"/>
        <v>8141958</v>
      </c>
      <c r="O65" s="11">
        <f t="shared" si="57"/>
        <v>8304341.9543526908</v>
      </c>
      <c r="P65" s="29">
        <v>27269896</v>
      </c>
      <c r="Q65" s="29">
        <v>6209593</v>
      </c>
      <c r="R65" s="20">
        <v>588995384.29999995</v>
      </c>
      <c r="S65" s="29">
        <v>89341452</v>
      </c>
      <c r="T65" s="63">
        <f t="shared" si="45"/>
        <v>6.9504052833168642E-2</v>
      </c>
      <c r="U65" s="13">
        <f t="shared" si="46"/>
        <v>94.852494245597086</v>
      </c>
      <c r="V65" s="52">
        <v>0.63</v>
      </c>
      <c r="W65" s="52">
        <v>0.63</v>
      </c>
      <c r="X65" s="52">
        <v>0.63</v>
      </c>
      <c r="Y65" s="51">
        <v>500994</v>
      </c>
      <c r="Z65" s="51">
        <v>394932</v>
      </c>
      <c r="AA65" s="12"/>
      <c r="AB65" s="12"/>
      <c r="AC65" s="12"/>
      <c r="AD65" s="12"/>
      <c r="AE65" s="12"/>
      <c r="AF65" s="52">
        <v>0.8</v>
      </c>
      <c r="AG65" s="52">
        <v>0.8</v>
      </c>
      <c r="AH65" s="52">
        <v>0.8</v>
      </c>
      <c r="AI65" s="52">
        <f t="shared" si="47"/>
        <v>0.70000000000000007</v>
      </c>
      <c r="AJ65" s="12"/>
      <c r="AK65" s="12"/>
      <c r="AL65" s="12"/>
      <c r="AM65" s="12"/>
      <c r="AN65" s="12"/>
      <c r="AO65" s="12"/>
      <c r="AP65" s="12"/>
      <c r="AQ65" s="12"/>
      <c r="AR65" s="12"/>
      <c r="AS65" s="12"/>
      <c r="AT65" s="12"/>
      <c r="AU65" s="12"/>
      <c r="AV65" s="12"/>
      <c r="AW65" s="12"/>
      <c r="AX65" s="12"/>
      <c r="AY65" s="12"/>
      <c r="AZ65" s="12"/>
      <c r="BA65" s="12"/>
      <c r="BB65" s="59">
        <f t="shared" si="48"/>
        <v>3.1649662323611355E-2</v>
      </c>
      <c r="BC65" s="17">
        <v>81433</v>
      </c>
      <c r="BD65" s="17">
        <f>13245+933</f>
        <v>14178</v>
      </c>
      <c r="BE65" s="17">
        <f t="shared" si="31"/>
        <v>95611</v>
      </c>
      <c r="BF65" s="17">
        <f t="shared" si="43"/>
        <v>22658</v>
      </c>
      <c r="BG65" s="17">
        <f t="shared" si="42"/>
        <v>3488</v>
      </c>
      <c r="BH65" s="17">
        <f t="shared" si="49"/>
        <v>26146</v>
      </c>
      <c r="BI65" s="10"/>
      <c r="BJ65" s="12"/>
      <c r="BK65" s="12"/>
      <c r="BL65" s="12"/>
      <c r="BM65" s="12"/>
      <c r="BN65" s="12"/>
      <c r="BO65" s="12"/>
      <c r="BP65" s="12"/>
      <c r="BQ65" s="10"/>
      <c r="BR65" s="12"/>
      <c r="BS65" s="12"/>
      <c r="BT65" s="12"/>
      <c r="BU65" s="12"/>
      <c r="BV65" s="12"/>
      <c r="BW65" s="12"/>
      <c r="BX65" s="12"/>
      <c r="BY65" s="51">
        <f t="shared" si="58"/>
        <v>381063</v>
      </c>
      <c r="BZ65" s="51">
        <f t="shared" si="59"/>
        <v>482020</v>
      </c>
      <c r="CA65" s="51">
        <f t="shared" si="33"/>
        <v>258585</v>
      </c>
      <c r="CB65" s="51">
        <f t="shared" si="34"/>
        <v>424574</v>
      </c>
      <c r="CC65" s="29">
        <v>18387</v>
      </c>
      <c r="CD65" s="29">
        <v>39780</v>
      </c>
      <c r="CE65" s="29">
        <v>104091</v>
      </c>
      <c r="CF65" s="29">
        <v>17666</v>
      </c>
      <c r="CG65" s="52">
        <f t="shared" si="50"/>
        <v>0.37851364030921059</v>
      </c>
      <c r="CH65" s="52">
        <f t="shared" si="51"/>
        <v>0.62148635969078936</v>
      </c>
      <c r="CI65" s="52">
        <f t="shared" si="52"/>
        <v>0.3161070710196503</v>
      </c>
      <c r="CJ65" s="52">
        <f t="shared" si="53"/>
        <v>0.6838929289803497</v>
      </c>
      <c r="CK65" s="52">
        <f t="shared" si="54"/>
        <v>0.85490772604449849</v>
      </c>
      <c r="CL65" s="52">
        <f t="shared" si="55"/>
        <v>0.14509227395550153</v>
      </c>
      <c r="CN65" s="19"/>
    </row>
    <row r="66" spans="2:92">
      <c r="B66" t="str">
        <f t="shared" si="0"/>
        <v>2022</v>
      </c>
      <c r="C66">
        <v>202210</v>
      </c>
      <c r="G66" s="51">
        <v>856032</v>
      </c>
      <c r="H66" s="51">
        <v>379288</v>
      </c>
      <c r="I66" s="51">
        <v>476744</v>
      </c>
      <c r="J66" s="51">
        <f t="shared" si="44"/>
        <v>676878</v>
      </c>
      <c r="K66" s="51">
        <v>57062</v>
      </c>
      <c r="L66" s="51">
        <v>122092</v>
      </c>
      <c r="M66" s="61">
        <v>1022952.037092284</v>
      </c>
      <c r="N66" s="51">
        <f t="shared" si="56"/>
        <v>8997990</v>
      </c>
      <c r="O66" s="11">
        <f t="shared" si="57"/>
        <v>9327293.9914449751</v>
      </c>
      <c r="P66" s="29">
        <v>27241552</v>
      </c>
      <c r="Q66" s="29">
        <v>6388668</v>
      </c>
      <c r="R66" s="20">
        <v>611801942</v>
      </c>
      <c r="S66" s="29">
        <v>89933396</v>
      </c>
      <c r="T66" s="63">
        <f t="shared" si="45"/>
        <v>7.1037771107854086E-2</v>
      </c>
      <c r="U66" s="13">
        <f t="shared" si="46"/>
        <v>95.763614888111263</v>
      </c>
      <c r="V66" s="52">
        <v>0.62</v>
      </c>
      <c r="W66" s="52">
        <v>0.62</v>
      </c>
      <c r="X66" s="52">
        <v>0.62</v>
      </c>
      <c r="Y66" s="51">
        <v>824582</v>
      </c>
      <c r="Z66" s="51">
        <v>823685</v>
      </c>
      <c r="AA66" s="12"/>
      <c r="AB66" s="12"/>
      <c r="AC66" s="12"/>
      <c r="AD66" s="12"/>
      <c r="AE66" s="12"/>
      <c r="AF66" s="52">
        <v>0.8</v>
      </c>
      <c r="AG66" s="52">
        <v>0.8</v>
      </c>
      <c r="AH66" s="52">
        <v>0.8</v>
      </c>
      <c r="AI66" s="52">
        <f t="shared" si="47"/>
        <v>0.70000000000000007</v>
      </c>
      <c r="AJ66" s="12"/>
      <c r="AK66" s="12"/>
      <c r="AL66" s="12"/>
      <c r="AM66" s="12"/>
      <c r="AN66" s="12"/>
      <c r="AO66" s="12"/>
      <c r="AP66" s="12"/>
      <c r="AQ66" s="12"/>
      <c r="AR66" s="12"/>
      <c r="AS66" s="12"/>
      <c r="AT66" s="12"/>
      <c r="AU66" s="12"/>
      <c r="AV66" s="12"/>
      <c r="AW66" s="12"/>
      <c r="AX66" s="12"/>
      <c r="AY66" s="12"/>
      <c r="AZ66" s="12"/>
      <c r="BA66" s="12"/>
      <c r="BB66" s="59">
        <f t="shared" si="48"/>
        <v>3.1423760290896788E-2</v>
      </c>
      <c r="BC66" s="17">
        <v>71473</v>
      </c>
      <c r="BD66" s="17">
        <v>13369</v>
      </c>
      <c r="BE66" s="17">
        <f t="shared" si="31"/>
        <v>84842</v>
      </c>
      <c r="BF66" s="17">
        <f t="shared" si="43"/>
        <v>34293</v>
      </c>
      <c r="BG66" s="17">
        <f t="shared" si="42"/>
        <v>2957</v>
      </c>
      <c r="BH66" s="17">
        <f t="shared" si="49"/>
        <v>37250</v>
      </c>
      <c r="BI66" s="10"/>
      <c r="BJ66" s="12"/>
      <c r="BK66" s="12"/>
      <c r="BL66" s="12"/>
      <c r="BM66" s="12"/>
      <c r="BN66" s="12"/>
      <c r="BO66" s="12"/>
      <c r="BP66" s="12"/>
      <c r="BQ66" s="10"/>
      <c r="BR66" s="12"/>
      <c r="BS66" s="12"/>
      <c r="BT66" s="12"/>
      <c r="BU66" s="12"/>
      <c r="BV66" s="12"/>
      <c r="BW66" s="12"/>
      <c r="BX66" s="12"/>
      <c r="BY66" s="51">
        <f t="shared" si="58"/>
        <v>379288</v>
      </c>
      <c r="BZ66" s="51">
        <f t="shared" si="59"/>
        <v>476744</v>
      </c>
      <c r="CA66" s="51">
        <f t="shared" si="33"/>
        <v>255129</v>
      </c>
      <c r="CB66" s="51">
        <f t="shared" si="34"/>
        <v>421749</v>
      </c>
      <c r="CC66" s="29">
        <v>18393</v>
      </c>
      <c r="CD66" s="29">
        <v>38669</v>
      </c>
      <c r="CE66" s="29">
        <v>105766</v>
      </c>
      <c r="CF66" s="29">
        <v>16326</v>
      </c>
      <c r="CG66" s="52">
        <f t="shared" si="50"/>
        <v>0.37692021309600843</v>
      </c>
      <c r="CH66" s="52">
        <f t="shared" si="51"/>
        <v>0.62307978690399157</v>
      </c>
      <c r="CI66" s="52">
        <f t="shared" si="52"/>
        <v>0.32233360204689637</v>
      </c>
      <c r="CJ66" s="52">
        <f t="shared" si="53"/>
        <v>0.67766639795310368</v>
      </c>
      <c r="CK66" s="52">
        <f t="shared" si="54"/>
        <v>0.86628116502309738</v>
      </c>
      <c r="CL66" s="52">
        <f t="shared" si="55"/>
        <v>0.13371883497690265</v>
      </c>
      <c r="CN66" s="19"/>
    </row>
    <row r="67" spans="2:92">
      <c r="B67" t="str">
        <f t="shared" si="0"/>
        <v>2022</v>
      </c>
      <c r="C67">
        <v>202211</v>
      </c>
      <c r="G67" s="51">
        <f t="shared" ref="G67:G98" si="60">SUM(H67:I67)</f>
        <v>833542</v>
      </c>
      <c r="H67" s="51">
        <v>356871</v>
      </c>
      <c r="I67" s="51">
        <v>476671</v>
      </c>
      <c r="J67" s="51">
        <f t="shared" si="44"/>
        <v>656593</v>
      </c>
      <c r="K67" s="51">
        <v>58761</v>
      </c>
      <c r="L67" s="51">
        <v>118188</v>
      </c>
      <c r="M67" s="61">
        <v>1010230.294924307</v>
      </c>
      <c r="N67" s="51">
        <f t="shared" si="56"/>
        <v>9831532</v>
      </c>
      <c r="O67" s="11">
        <f t="shared" si="57"/>
        <v>10337524.286369283</v>
      </c>
      <c r="P67" s="29">
        <v>27295240</v>
      </c>
      <c r="Q67" s="29">
        <v>6538286</v>
      </c>
      <c r="R67" s="20">
        <v>619320281.5</v>
      </c>
      <c r="S67" s="29">
        <v>90674558</v>
      </c>
      <c r="T67" s="63">
        <f t="shared" si="45"/>
        <v>7.2107172554400537E-2</v>
      </c>
      <c r="U67" s="13">
        <f t="shared" si="46"/>
        <v>94.722115474911931</v>
      </c>
      <c r="V67" s="52">
        <v>0.61</v>
      </c>
      <c r="W67" s="52">
        <v>0.61</v>
      </c>
      <c r="X67" s="52">
        <v>0.61</v>
      </c>
      <c r="Y67" s="51">
        <v>493365</v>
      </c>
      <c r="Z67" s="51">
        <v>369595</v>
      </c>
      <c r="AA67" s="12"/>
      <c r="AB67" s="12"/>
      <c r="AC67" s="12"/>
      <c r="AD67" s="12"/>
      <c r="AE67" s="12"/>
      <c r="AF67" s="52">
        <v>0.79</v>
      </c>
      <c r="AG67" s="52">
        <v>0.79</v>
      </c>
      <c r="AH67" s="52">
        <v>0.79</v>
      </c>
      <c r="AI67" s="52">
        <f t="shared" si="47"/>
        <v>0.69000000000000006</v>
      </c>
      <c r="AJ67" s="12"/>
      <c r="AK67" s="12"/>
      <c r="AL67" s="12"/>
      <c r="AM67" s="12"/>
      <c r="AN67" s="12"/>
      <c r="AO67" s="12"/>
      <c r="AP67" s="12"/>
      <c r="AQ67" s="12"/>
      <c r="AR67" s="12"/>
      <c r="AS67" s="12"/>
      <c r="AT67" s="12"/>
      <c r="AU67" s="12"/>
      <c r="AV67" s="12"/>
      <c r="AW67" s="12"/>
      <c r="AX67" s="12"/>
      <c r="AY67" s="12"/>
      <c r="AZ67" s="12"/>
      <c r="BA67" s="12"/>
      <c r="BB67" s="59">
        <f t="shared" si="48"/>
        <v>3.0537998566783072E-2</v>
      </c>
      <c r="BC67" s="17">
        <v>77922</v>
      </c>
      <c r="BD67" s="17">
        <v>16416</v>
      </c>
      <c r="BE67" s="17">
        <f t="shared" si="31"/>
        <v>94338</v>
      </c>
      <c r="BF67" s="17">
        <f t="shared" si="43"/>
        <v>21727</v>
      </c>
      <c r="BG67" s="17">
        <f t="shared" si="42"/>
        <v>2123</v>
      </c>
      <c r="BH67" s="17">
        <f t="shared" si="49"/>
        <v>23850</v>
      </c>
      <c r="BI67" s="10"/>
      <c r="BJ67" s="12"/>
      <c r="BK67" s="12"/>
      <c r="BL67" s="12"/>
      <c r="BM67" s="12"/>
      <c r="BN67" s="12"/>
      <c r="BO67" s="12"/>
      <c r="BP67" s="12"/>
      <c r="BQ67" s="10"/>
      <c r="BR67" s="12"/>
      <c r="BS67" s="12"/>
      <c r="BT67" s="12"/>
      <c r="BU67" s="12"/>
      <c r="BV67" s="12"/>
      <c r="BW67" s="12"/>
      <c r="BX67" s="12"/>
      <c r="BY67" s="51">
        <f t="shared" si="58"/>
        <v>356871</v>
      </c>
      <c r="BZ67" s="51">
        <f t="shared" si="59"/>
        <v>476671</v>
      </c>
      <c r="CA67" s="51">
        <f t="shared" si="33"/>
        <v>236070</v>
      </c>
      <c r="CB67" s="51">
        <f t="shared" si="34"/>
        <v>420523</v>
      </c>
      <c r="CC67" s="29">
        <v>21152</v>
      </c>
      <c r="CD67" s="29">
        <v>37609</v>
      </c>
      <c r="CE67" s="29">
        <v>99649</v>
      </c>
      <c r="CF67" s="29">
        <v>18539</v>
      </c>
      <c r="CG67" s="52">
        <f t="shared" si="50"/>
        <v>0.35953779586440915</v>
      </c>
      <c r="CH67" s="52">
        <f t="shared" si="51"/>
        <v>0.64046220413559085</v>
      </c>
      <c r="CI67" s="52">
        <f t="shared" si="52"/>
        <v>0.35996664454314936</v>
      </c>
      <c r="CJ67" s="52">
        <f t="shared" si="53"/>
        <v>0.64003335545685058</v>
      </c>
      <c r="CK67" s="52">
        <f t="shared" si="54"/>
        <v>0.84313974345957288</v>
      </c>
      <c r="CL67" s="52">
        <f t="shared" si="55"/>
        <v>0.15686025654042712</v>
      </c>
      <c r="CN67" s="19"/>
    </row>
    <row r="68" spans="2:92">
      <c r="B68" t="str">
        <f t="shared" si="0"/>
        <v>2022</v>
      </c>
      <c r="C68">
        <v>202212</v>
      </c>
      <c r="G68" s="51">
        <f t="shared" si="60"/>
        <v>827614</v>
      </c>
      <c r="H68" s="51">
        <v>366987</v>
      </c>
      <c r="I68" s="51">
        <v>460627</v>
      </c>
      <c r="J68" s="51">
        <f t="shared" si="44"/>
        <v>618161</v>
      </c>
      <c r="K68" s="51">
        <v>54409</v>
      </c>
      <c r="L68" s="51">
        <v>155044</v>
      </c>
      <c r="M68" s="61">
        <v>993674.88760251913</v>
      </c>
      <c r="N68" s="51">
        <f t="shared" si="56"/>
        <v>10659146</v>
      </c>
      <c r="O68" s="11">
        <f t="shared" si="57"/>
        <v>11331199.173971802</v>
      </c>
      <c r="P68" s="29">
        <v>26715368</v>
      </c>
      <c r="Q68" s="29">
        <v>5951435</v>
      </c>
      <c r="R68" s="20">
        <v>516911039.30000001</v>
      </c>
      <c r="S68" s="29">
        <v>84550340</v>
      </c>
      <c r="T68" s="63">
        <f t="shared" si="45"/>
        <v>7.0389249765287751E-2</v>
      </c>
      <c r="U68" s="13">
        <f t="shared" si="46"/>
        <v>86.854857576366044</v>
      </c>
      <c r="V68" s="52">
        <v>0.6</v>
      </c>
      <c r="W68" s="52">
        <v>0.6</v>
      </c>
      <c r="X68" s="52">
        <v>0.6</v>
      </c>
      <c r="Y68" s="51">
        <v>478362</v>
      </c>
      <c r="Z68" s="51">
        <v>378427</v>
      </c>
      <c r="AA68" s="12"/>
      <c r="AB68" s="12"/>
      <c r="AC68" s="12"/>
      <c r="AD68" s="12"/>
      <c r="AE68" s="12"/>
      <c r="AF68" s="52">
        <v>0.78</v>
      </c>
      <c r="AG68" s="52">
        <v>0.78</v>
      </c>
      <c r="AH68" s="52">
        <v>0.78</v>
      </c>
      <c r="AI68" s="52">
        <f t="shared" si="47"/>
        <v>0.68</v>
      </c>
      <c r="AJ68" s="12"/>
      <c r="AK68" s="12"/>
      <c r="AL68" s="12"/>
      <c r="AM68" s="12"/>
      <c r="AN68" s="12"/>
      <c r="AO68" s="12"/>
      <c r="AP68" s="12"/>
      <c r="AQ68" s="12"/>
      <c r="AR68" s="12"/>
      <c r="AS68" s="12"/>
      <c r="AT68" s="12"/>
      <c r="AU68" s="12"/>
      <c r="AV68" s="12"/>
      <c r="AW68" s="12"/>
      <c r="AX68" s="12"/>
      <c r="AY68" s="12"/>
      <c r="AZ68" s="12"/>
      <c r="BA68" s="12"/>
      <c r="BB68" s="59">
        <f t="shared" si="48"/>
        <v>3.0978948146999134E-2</v>
      </c>
      <c r="BC68" s="17">
        <v>112680</v>
      </c>
      <c r="BD68" s="17">
        <v>22027</v>
      </c>
      <c r="BE68" s="17">
        <f t="shared" si="31"/>
        <v>134707</v>
      </c>
      <c r="BF68" s="17">
        <f t="shared" si="43"/>
        <v>18494</v>
      </c>
      <c r="BG68" s="17">
        <f t="shared" si="42"/>
        <v>1843</v>
      </c>
      <c r="BH68" s="17">
        <f t="shared" si="49"/>
        <v>20337</v>
      </c>
      <c r="BI68" s="10"/>
      <c r="BJ68" s="12"/>
      <c r="BK68" s="12"/>
      <c r="BL68" s="12"/>
      <c r="BM68" s="12"/>
      <c r="BN68" s="12"/>
      <c r="BO68" s="12"/>
      <c r="BP68" s="12"/>
      <c r="BQ68" s="10"/>
      <c r="BR68" s="12"/>
      <c r="BS68" s="12"/>
      <c r="BT68" s="12"/>
      <c r="BU68" s="12"/>
      <c r="BV68" s="12"/>
      <c r="BW68" s="12"/>
      <c r="BX68" s="12"/>
      <c r="BY68" s="51">
        <f t="shared" si="58"/>
        <v>366987</v>
      </c>
      <c r="BZ68" s="51">
        <f t="shared" si="59"/>
        <v>460627</v>
      </c>
      <c r="CA68" s="51">
        <f t="shared" si="33"/>
        <v>216817</v>
      </c>
      <c r="CB68" s="51">
        <f t="shared" si="34"/>
        <v>401344</v>
      </c>
      <c r="CC68" s="29">
        <v>18996</v>
      </c>
      <c r="CD68" s="29">
        <v>35413</v>
      </c>
      <c r="CE68" s="29">
        <v>131174</v>
      </c>
      <c r="CF68" s="29">
        <v>23870</v>
      </c>
      <c r="CG68" s="52">
        <f t="shared" si="50"/>
        <v>0.35074519421315808</v>
      </c>
      <c r="CH68" s="52">
        <f t="shared" si="51"/>
        <v>0.64925480578684192</v>
      </c>
      <c r="CI68" s="52">
        <f t="shared" si="52"/>
        <v>0.34913341542759468</v>
      </c>
      <c r="CJ68" s="52">
        <f t="shared" si="53"/>
        <v>0.65086658457240532</v>
      </c>
      <c r="CK68" s="52">
        <f t="shared" si="54"/>
        <v>0.84604370372281412</v>
      </c>
      <c r="CL68" s="52">
        <f t="shared" si="55"/>
        <v>0.15395629627718582</v>
      </c>
      <c r="CN68" s="19"/>
    </row>
    <row r="69" spans="2:92">
      <c r="B69" t="str">
        <f t="shared" ref="B69:B132" si="61">LEFT(C69,4)</f>
        <v>2022</v>
      </c>
      <c r="C69">
        <v>202213</v>
      </c>
      <c r="G69" s="51">
        <f t="shared" si="60"/>
        <v>826828</v>
      </c>
      <c r="H69" s="51">
        <v>383788</v>
      </c>
      <c r="I69" s="51">
        <v>443040</v>
      </c>
      <c r="J69" s="51">
        <f t="shared" si="44"/>
        <v>577975</v>
      </c>
      <c r="K69" s="51">
        <v>54372</v>
      </c>
      <c r="L69" s="51">
        <v>194481</v>
      </c>
      <c r="M69" s="61">
        <v>981716.54975058103</v>
      </c>
      <c r="N69" s="51">
        <f t="shared" si="56"/>
        <v>11485974</v>
      </c>
      <c r="O69" s="11">
        <f t="shared" si="57"/>
        <v>12312915.723722383</v>
      </c>
      <c r="P69" s="29">
        <v>26419113</v>
      </c>
      <c r="Q69" s="29">
        <v>6229061</v>
      </c>
      <c r="R69" s="20">
        <v>587796513.39999998</v>
      </c>
      <c r="S69" s="29">
        <v>85484893</v>
      </c>
      <c r="T69" s="63">
        <f t="shared" si="45"/>
        <v>7.2867389563206209E-2</v>
      </c>
      <c r="U69" s="13">
        <f t="shared" si="46"/>
        <v>94.363582793618491</v>
      </c>
      <c r="V69" s="52">
        <v>0.59</v>
      </c>
      <c r="W69" s="52">
        <v>0.59</v>
      </c>
      <c r="X69" s="52">
        <v>0.59</v>
      </c>
      <c r="Y69" s="51">
        <v>461202</v>
      </c>
      <c r="Z69" s="51">
        <v>394763</v>
      </c>
      <c r="AA69" s="12"/>
      <c r="AB69" s="12"/>
      <c r="AC69" s="12"/>
      <c r="AD69" s="12"/>
      <c r="AE69" s="12"/>
      <c r="AF69" s="52">
        <v>0.78</v>
      </c>
      <c r="AG69" s="52">
        <v>0.78</v>
      </c>
      <c r="AH69" s="52">
        <v>0.78</v>
      </c>
      <c r="AI69" s="52">
        <f t="shared" si="47"/>
        <v>0.68</v>
      </c>
      <c r="AJ69" s="12"/>
      <c r="AK69" s="12"/>
      <c r="AL69" s="12"/>
      <c r="AM69" s="12"/>
      <c r="AN69" s="12"/>
      <c r="AO69" s="12"/>
      <c r="AP69" s="12"/>
      <c r="AQ69" s="12"/>
      <c r="AR69" s="12"/>
      <c r="AS69" s="12"/>
      <c r="AT69" s="12"/>
      <c r="AU69" s="12"/>
      <c r="AV69" s="12"/>
      <c r="AW69" s="12"/>
      <c r="AX69" s="12"/>
      <c r="AY69" s="12"/>
      <c r="AZ69" s="12"/>
      <c r="BA69" s="12"/>
      <c r="BB69" s="59">
        <f t="shared" si="48"/>
        <v>3.129658440841674E-2</v>
      </c>
      <c r="BC69" s="17">
        <v>149864</v>
      </c>
      <c r="BD69" s="17">
        <v>25522</v>
      </c>
      <c r="BE69" s="17">
        <f t="shared" ref="BE69:BE100" si="62">SUM(BC69:BD69)</f>
        <v>175386</v>
      </c>
      <c r="BF69" s="17">
        <f t="shared" si="43"/>
        <v>17090</v>
      </c>
      <c r="BG69" s="17">
        <f t="shared" si="42"/>
        <v>2005</v>
      </c>
      <c r="BH69" s="17">
        <f t="shared" si="49"/>
        <v>19095</v>
      </c>
      <c r="BI69" s="10"/>
      <c r="BJ69" s="12"/>
      <c r="BK69" s="12"/>
      <c r="BL69" s="12"/>
      <c r="BM69" s="12"/>
      <c r="BN69" s="12"/>
      <c r="BO69" s="12"/>
      <c r="BP69" s="12"/>
      <c r="BQ69" s="10"/>
      <c r="BR69" s="12"/>
      <c r="BS69" s="12"/>
      <c r="BT69" s="12"/>
      <c r="BU69" s="12"/>
      <c r="BV69" s="12"/>
      <c r="BW69" s="12"/>
      <c r="BX69" s="12"/>
      <c r="BY69" s="29">
        <f t="shared" si="58"/>
        <v>383788</v>
      </c>
      <c r="BZ69" s="29">
        <f t="shared" si="59"/>
        <v>443040</v>
      </c>
      <c r="CA69" s="29">
        <f t="shared" ref="CA69:CA100" si="63">BY69-CC69-CE69</f>
        <v>197832</v>
      </c>
      <c r="CB69" s="29">
        <f t="shared" ref="CB69:CB100" si="64">BZ69-CD69-CF69</f>
        <v>380143</v>
      </c>
      <c r="CC69" s="29">
        <v>19002</v>
      </c>
      <c r="CD69" s="29">
        <v>35370</v>
      </c>
      <c r="CE69" s="29">
        <v>166954</v>
      </c>
      <c r="CF69" s="29">
        <v>27527</v>
      </c>
      <c r="CG69" s="52">
        <f t="shared" si="50"/>
        <v>0.34228470089536744</v>
      </c>
      <c r="CH69" s="52">
        <f t="shared" si="51"/>
        <v>0.65771529910463256</v>
      </c>
      <c r="CI69" s="52">
        <f t="shared" si="52"/>
        <v>0.34948135069521075</v>
      </c>
      <c r="CJ69" s="52">
        <f t="shared" si="53"/>
        <v>0.6505186493047892</v>
      </c>
      <c r="CK69" s="52">
        <f t="shared" si="54"/>
        <v>0.85845918110252417</v>
      </c>
      <c r="CL69" s="52">
        <f t="shared" si="55"/>
        <v>0.14154081889747586</v>
      </c>
      <c r="CN69" s="19"/>
    </row>
    <row r="70" spans="2:92">
      <c r="B70" t="str">
        <f t="shared" si="61"/>
        <v>2022</v>
      </c>
      <c r="C70">
        <v>202214</v>
      </c>
      <c r="G70" s="51">
        <f t="shared" si="60"/>
        <v>797102</v>
      </c>
      <c r="H70" s="29">
        <v>344168</v>
      </c>
      <c r="I70" s="51">
        <v>452934</v>
      </c>
      <c r="J70" s="51">
        <f t="shared" si="44"/>
        <v>631674</v>
      </c>
      <c r="K70" s="51">
        <v>62882</v>
      </c>
      <c r="L70" s="51">
        <v>102546</v>
      </c>
      <c r="M70" s="61">
        <v>947324.24514744314</v>
      </c>
      <c r="N70" s="51">
        <f t="shared" si="56"/>
        <v>12283076</v>
      </c>
      <c r="O70" s="11">
        <f t="shared" si="57"/>
        <v>13260239.968869826</v>
      </c>
      <c r="P70" s="29">
        <v>26453237</v>
      </c>
      <c r="Q70" s="29">
        <v>6455075</v>
      </c>
      <c r="R70" s="20">
        <v>618591753.5</v>
      </c>
      <c r="S70" s="29">
        <v>87097490</v>
      </c>
      <c r="T70" s="63">
        <f t="shared" si="45"/>
        <v>7.4113214973244343E-2</v>
      </c>
      <c r="U70" s="13">
        <f t="shared" si="46"/>
        <v>95.830296859447799</v>
      </c>
      <c r="V70" s="52">
        <v>0.59</v>
      </c>
      <c r="W70" s="52">
        <v>0.59</v>
      </c>
      <c r="X70" s="52">
        <v>0.59</v>
      </c>
      <c r="Y70" s="51">
        <v>471493</v>
      </c>
      <c r="Z70" s="51">
        <v>356088</v>
      </c>
      <c r="AA70" s="12"/>
      <c r="AB70" s="12"/>
      <c r="AC70" s="12"/>
      <c r="AD70" s="12"/>
      <c r="AE70" s="12"/>
      <c r="AF70" s="52">
        <v>0.78</v>
      </c>
      <c r="AG70" s="52">
        <v>0.78</v>
      </c>
      <c r="AH70" s="52">
        <v>0.78</v>
      </c>
      <c r="AI70" s="52">
        <f t="shared" si="47"/>
        <v>0.68</v>
      </c>
      <c r="AJ70" s="12"/>
      <c r="AK70" s="12"/>
      <c r="AL70" s="12"/>
      <c r="AM70" s="12"/>
      <c r="AN70" s="12"/>
      <c r="AO70" s="12"/>
      <c r="AP70" s="12"/>
      <c r="AQ70" s="12"/>
      <c r="AR70" s="12"/>
      <c r="AS70" s="12"/>
      <c r="AT70" s="12"/>
      <c r="AU70" s="12"/>
      <c r="AV70" s="12"/>
      <c r="AW70" s="12"/>
      <c r="AX70" s="12"/>
      <c r="AY70" s="12"/>
      <c r="AZ70" s="12"/>
      <c r="BA70" s="12"/>
      <c r="BB70" s="59">
        <f t="shared" si="48"/>
        <v>3.01324938040664E-2</v>
      </c>
      <c r="BC70" s="17">
        <v>60338</v>
      </c>
      <c r="BD70" s="17">
        <v>21115</v>
      </c>
      <c r="BE70" s="17">
        <f t="shared" si="62"/>
        <v>81453</v>
      </c>
      <c r="BF70" s="17">
        <f t="shared" si="43"/>
        <v>15263</v>
      </c>
      <c r="BG70" s="17">
        <f t="shared" si="42"/>
        <v>5830</v>
      </c>
      <c r="BH70" s="17">
        <f t="shared" si="49"/>
        <v>21093</v>
      </c>
      <c r="BI70" s="10"/>
      <c r="BJ70" s="12"/>
      <c r="BK70" s="12"/>
      <c r="BL70" s="12"/>
      <c r="BM70" s="12"/>
      <c r="BN70" s="12"/>
      <c r="BO70" s="12"/>
      <c r="BP70" s="12"/>
      <c r="BQ70" s="10"/>
      <c r="BR70" s="12"/>
      <c r="BS70" s="12"/>
      <c r="BT70" s="12"/>
      <c r="BU70" s="12"/>
      <c r="BV70" s="12"/>
      <c r="BW70" s="12"/>
      <c r="BX70" s="12"/>
      <c r="BY70" s="29">
        <f t="shared" si="58"/>
        <v>344168</v>
      </c>
      <c r="BZ70" s="29">
        <f t="shared" si="59"/>
        <v>452934</v>
      </c>
      <c r="CA70" s="29">
        <f t="shared" si="63"/>
        <v>247366</v>
      </c>
      <c r="CB70" s="29">
        <f t="shared" si="64"/>
        <v>384308</v>
      </c>
      <c r="CC70" s="29">
        <v>21201</v>
      </c>
      <c r="CD70" s="29">
        <v>41681</v>
      </c>
      <c r="CE70" s="29">
        <v>75601</v>
      </c>
      <c r="CF70" s="29">
        <v>26945</v>
      </c>
      <c r="CG70" s="52">
        <f t="shared" si="50"/>
        <v>0.39160389694684283</v>
      </c>
      <c r="CH70" s="52">
        <f t="shared" si="51"/>
        <v>0.60839610305315717</v>
      </c>
      <c r="CI70" s="52">
        <f t="shared" si="52"/>
        <v>0.33715530676505201</v>
      </c>
      <c r="CJ70" s="52">
        <f t="shared" si="53"/>
        <v>0.66284469323494799</v>
      </c>
      <c r="CK70" s="52">
        <f t="shared" si="54"/>
        <v>0.73723987283755588</v>
      </c>
      <c r="CL70" s="52">
        <f t="shared" si="55"/>
        <v>0.26276012716244418</v>
      </c>
      <c r="CN70" s="19"/>
    </row>
    <row r="71" spans="2:92">
      <c r="B71" t="str">
        <f t="shared" si="61"/>
        <v>2022</v>
      </c>
      <c r="C71">
        <v>202215</v>
      </c>
      <c r="G71" s="51">
        <f t="shared" si="60"/>
        <v>818107</v>
      </c>
      <c r="H71" s="51">
        <v>348907</v>
      </c>
      <c r="I71" s="51">
        <v>469200</v>
      </c>
      <c r="J71" s="51">
        <f t="shared" si="44"/>
        <v>660623</v>
      </c>
      <c r="K71" s="51">
        <v>68625</v>
      </c>
      <c r="L71" s="51">
        <v>88859</v>
      </c>
      <c r="M71" s="61">
        <v>945179.30405218597</v>
      </c>
      <c r="N71" s="51">
        <f t="shared" si="56"/>
        <v>13101183</v>
      </c>
      <c r="O71" s="11">
        <f t="shared" si="57"/>
        <v>14205419.272922011</v>
      </c>
      <c r="P71" s="29">
        <v>26760396</v>
      </c>
      <c r="Q71" s="29">
        <v>6399982</v>
      </c>
      <c r="R71" s="20">
        <v>610130860.4000001</v>
      </c>
      <c r="S71" s="29">
        <v>87653321</v>
      </c>
      <c r="T71" s="63">
        <f t="shared" si="45"/>
        <v>7.3014712129389828E-2</v>
      </c>
      <c r="U71" s="13">
        <f t="shared" si="46"/>
        <v>95.333215062167383</v>
      </c>
      <c r="V71" s="52">
        <v>0.6</v>
      </c>
      <c r="W71" s="52">
        <v>0.6</v>
      </c>
      <c r="X71" s="52">
        <v>0.6</v>
      </c>
      <c r="Y71" s="51">
        <v>487230</v>
      </c>
      <c r="Z71" s="51">
        <v>359815</v>
      </c>
      <c r="AA71" s="12"/>
      <c r="AB71" s="12"/>
      <c r="AC71" s="12"/>
      <c r="AD71" s="12"/>
      <c r="AE71" s="12"/>
      <c r="AF71" s="52">
        <v>0.78</v>
      </c>
      <c r="AG71" s="52">
        <v>0.78</v>
      </c>
      <c r="AH71" s="52">
        <v>0.78</v>
      </c>
      <c r="AI71" s="52">
        <f t="shared" si="47"/>
        <v>0.68</v>
      </c>
      <c r="AJ71" s="12"/>
      <c r="AK71" s="12"/>
      <c r="AL71" s="12"/>
      <c r="AM71" s="12"/>
      <c r="AN71" s="12"/>
      <c r="AO71" s="12"/>
      <c r="AP71" s="12"/>
      <c r="AQ71" s="12"/>
      <c r="AR71" s="12"/>
      <c r="AS71" s="12"/>
      <c r="AT71" s="12"/>
      <c r="AU71" s="12"/>
      <c r="AV71" s="12"/>
      <c r="AW71" s="12"/>
      <c r="AX71" s="12"/>
      <c r="AY71" s="12"/>
      <c r="AZ71" s="12"/>
      <c r="BA71" s="12"/>
      <c r="BB71" s="59">
        <f t="shared" si="48"/>
        <v>3.0571558059155776E-2</v>
      </c>
      <c r="BC71" s="17">
        <v>43033</v>
      </c>
      <c r="BD71" s="17">
        <v>16842</v>
      </c>
      <c r="BE71" s="17">
        <f t="shared" si="62"/>
        <v>59875</v>
      </c>
      <c r="BF71" s="17">
        <f t="shared" si="43"/>
        <v>23874</v>
      </c>
      <c r="BG71" s="17">
        <f t="shared" si="42"/>
        <v>5110</v>
      </c>
      <c r="BH71" s="17">
        <f t="shared" si="49"/>
        <v>28984</v>
      </c>
      <c r="BI71" s="10"/>
      <c r="BJ71" s="12"/>
      <c r="BK71" s="12"/>
      <c r="BL71" s="12"/>
      <c r="BM71" s="12"/>
      <c r="BN71" s="12"/>
      <c r="BO71" s="12"/>
      <c r="BP71" s="12"/>
      <c r="BQ71" s="10"/>
      <c r="BR71" s="12"/>
      <c r="BS71" s="12"/>
      <c r="BT71" s="12"/>
      <c r="BU71" s="12"/>
      <c r="BV71" s="12"/>
      <c r="BW71" s="12"/>
      <c r="BX71" s="12"/>
      <c r="BY71" s="29">
        <f t="shared" si="58"/>
        <v>348907</v>
      </c>
      <c r="BZ71" s="29">
        <f t="shared" si="59"/>
        <v>469200</v>
      </c>
      <c r="CA71" s="29">
        <f t="shared" si="63"/>
        <v>259461</v>
      </c>
      <c r="CB71" s="29">
        <f t="shared" si="64"/>
        <v>401162</v>
      </c>
      <c r="CC71" s="29">
        <v>22539</v>
      </c>
      <c r="CD71" s="29">
        <v>46086</v>
      </c>
      <c r="CE71" s="29">
        <v>66907</v>
      </c>
      <c r="CF71" s="29">
        <v>21952</v>
      </c>
      <c r="CG71" s="52">
        <f t="shared" si="50"/>
        <v>0.39275199319430293</v>
      </c>
      <c r="CH71" s="52">
        <f t="shared" si="51"/>
        <v>0.60724800680569702</v>
      </c>
      <c r="CI71" s="52">
        <f t="shared" si="52"/>
        <v>0.32843715846994537</v>
      </c>
      <c r="CJ71" s="52">
        <f t="shared" si="53"/>
        <v>0.67156284153005463</v>
      </c>
      <c r="CK71" s="52">
        <f t="shared" si="54"/>
        <v>0.75295693176830714</v>
      </c>
      <c r="CL71" s="52">
        <f t="shared" si="55"/>
        <v>0.24704306823169292</v>
      </c>
      <c r="CN71" s="19"/>
    </row>
    <row r="72" spans="2:92">
      <c r="B72" t="str">
        <f t="shared" si="61"/>
        <v>2022</v>
      </c>
      <c r="C72">
        <v>202216</v>
      </c>
      <c r="G72" s="51">
        <f t="shared" si="60"/>
        <v>819413</v>
      </c>
      <c r="H72" s="51">
        <v>338286</v>
      </c>
      <c r="I72" s="51">
        <v>481127</v>
      </c>
      <c r="J72" s="51">
        <f t="shared" si="44"/>
        <v>644714</v>
      </c>
      <c r="K72" s="51">
        <v>75621</v>
      </c>
      <c r="L72" s="51">
        <v>99078</v>
      </c>
      <c r="M72" s="61">
        <v>950292.6882980431</v>
      </c>
      <c r="N72" s="51">
        <f t="shared" si="56"/>
        <v>13920596</v>
      </c>
      <c r="O72" s="11">
        <f t="shared" si="57"/>
        <v>15155711.961220054</v>
      </c>
      <c r="P72" s="29">
        <v>26991610</v>
      </c>
      <c r="Q72" s="29">
        <v>6615489</v>
      </c>
      <c r="R72" s="20">
        <v>625581373</v>
      </c>
      <c r="S72" s="29">
        <v>89932689</v>
      </c>
      <c r="T72" s="63">
        <f t="shared" si="45"/>
        <v>7.3560449193284985E-2</v>
      </c>
      <c r="U72" s="13">
        <f t="shared" si="46"/>
        <v>94.563134032873464</v>
      </c>
      <c r="V72" s="52">
        <v>0.59</v>
      </c>
      <c r="W72" s="52">
        <v>0.59</v>
      </c>
      <c r="X72" s="52">
        <v>0.59</v>
      </c>
      <c r="Y72" s="51">
        <v>499294</v>
      </c>
      <c r="Z72" s="51">
        <v>348870</v>
      </c>
      <c r="AA72" s="12"/>
      <c r="AB72" s="12"/>
      <c r="AC72" s="12"/>
      <c r="AD72" s="12"/>
      <c r="AE72" s="12"/>
      <c r="AF72" s="52">
        <v>0.78</v>
      </c>
      <c r="AG72" s="52">
        <v>0.78</v>
      </c>
      <c r="AH72" s="52">
        <v>0.78</v>
      </c>
      <c r="AI72" s="52">
        <f t="shared" si="47"/>
        <v>0.68</v>
      </c>
      <c r="AJ72" s="12"/>
      <c r="AK72" s="12"/>
      <c r="AL72" s="12"/>
      <c r="AM72" s="12"/>
      <c r="AN72" s="12"/>
      <c r="AO72" s="12"/>
      <c r="AP72" s="12"/>
      <c r="AQ72" s="12"/>
      <c r="AR72" s="12"/>
      <c r="AS72" s="12"/>
      <c r="AT72" s="12"/>
      <c r="AU72" s="12"/>
      <c r="AV72" s="12"/>
      <c r="AW72" s="12"/>
      <c r="AX72" s="12"/>
      <c r="AY72" s="12"/>
      <c r="AZ72" s="12"/>
      <c r="BA72" s="12"/>
      <c r="BB72" s="59">
        <f t="shared" si="48"/>
        <v>3.0358063116649951E-2</v>
      </c>
      <c r="BC72" s="17">
        <v>53268</v>
      </c>
      <c r="BD72" s="17">
        <v>14732</v>
      </c>
      <c r="BE72" s="17">
        <f t="shared" si="62"/>
        <v>68000</v>
      </c>
      <c r="BF72" s="17">
        <f t="shared" si="43"/>
        <v>28642</v>
      </c>
      <c r="BG72" s="17">
        <f t="shared" si="42"/>
        <v>2436</v>
      </c>
      <c r="BH72" s="17">
        <f t="shared" si="49"/>
        <v>31078</v>
      </c>
      <c r="BI72" s="10"/>
      <c r="BJ72" s="12"/>
      <c r="BK72" s="12"/>
      <c r="BL72" s="12"/>
      <c r="BM72" s="12"/>
      <c r="BN72" s="12"/>
      <c r="BO72" s="12"/>
      <c r="BP72" s="12"/>
      <c r="BQ72" s="10"/>
      <c r="BR72" s="12"/>
      <c r="BS72" s="12"/>
      <c r="BT72" s="12"/>
      <c r="BU72" s="12"/>
      <c r="BV72" s="12"/>
      <c r="BW72" s="12"/>
      <c r="BX72" s="12"/>
      <c r="BY72" s="29">
        <f t="shared" si="58"/>
        <v>338286</v>
      </c>
      <c r="BZ72" s="29">
        <f t="shared" si="59"/>
        <v>481127</v>
      </c>
      <c r="CA72" s="29">
        <f t="shared" si="63"/>
        <v>231712</v>
      </c>
      <c r="CB72" s="29">
        <f t="shared" si="64"/>
        <v>413002</v>
      </c>
      <c r="CC72" s="29">
        <v>24664</v>
      </c>
      <c r="CD72" s="29">
        <v>50957</v>
      </c>
      <c r="CE72" s="29">
        <v>81910</v>
      </c>
      <c r="CF72" s="29">
        <v>17168</v>
      </c>
      <c r="CG72" s="52">
        <f t="shared" si="50"/>
        <v>0.35940277394317482</v>
      </c>
      <c r="CH72" s="52">
        <f t="shared" si="51"/>
        <v>0.64059722605682523</v>
      </c>
      <c r="CI72" s="52">
        <f t="shared" si="52"/>
        <v>0.32615278824665106</v>
      </c>
      <c r="CJ72" s="52">
        <f t="shared" si="53"/>
        <v>0.67384721175334894</v>
      </c>
      <c r="CK72" s="52">
        <f t="shared" si="54"/>
        <v>0.82672238034679746</v>
      </c>
      <c r="CL72" s="52">
        <f t="shared" si="55"/>
        <v>0.17327761965320251</v>
      </c>
      <c r="CN72" s="19"/>
    </row>
    <row r="73" spans="2:92">
      <c r="B73" t="str">
        <f t="shared" si="61"/>
        <v>2022</v>
      </c>
      <c r="C73">
        <v>202217</v>
      </c>
      <c r="G73" s="51">
        <f t="shared" si="60"/>
        <v>821482</v>
      </c>
      <c r="H73" s="51">
        <v>341468</v>
      </c>
      <c r="I73" s="51">
        <v>480014</v>
      </c>
      <c r="J73" s="51">
        <f t="shared" si="44"/>
        <v>648269</v>
      </c>
      <c r="K73" s="51">
        <v>76732</v>
      </c>
      <c r="L73" s="51">
        <v>96481</v>
      </c>
      <c r="M73" s="61">
        <v>953589.98308114102</v>
      </c>
      <c r="N73" s="51">
        <f t="shared" si="56"/>
        <v>14742078</v>
      </c>
      <c r="O73" s="11">
        <f t="shared" si="57"/>
        <v>16109301.944301195</v>
      </c>
      <c r="P73" s="29">
        <v>26795793</v>
      </c>
      <c r="Q73" s="29">
        <v>6486808</v>
      </c>
      <c r="R73" s="20">
        <v>616918168.5</v>
      </c>
      <c r="S73" s="29">
        <v>88387245</v>
      </c>
      <c r="T73" s="63">
        <f t="shared" si="45"/>
        <v>7.3390770353799345E-2</v>
      </c>
      <c r="U73" s="13">
        <f t="shared" si="46"/>
        <v>95.103503680084259</v>
      </c>
      <c r="V73" s="52">
        <v>0.59</v>
      </c>
      <c r="W73" s="52">
        <v>0.59</v>
      </c>
      <c r="X73" s="52">
        <v>0.59</v>
      </c>
      <c r="Y73" s="51">
        <v>499019</v>
      </c>
      <c r="Z73" s="51">
        <v>353523</v>
      </c>
      <c r="AA73" s="12"/>
      <c r="AB73" s="12"/>
      <c r="AC73" s="12"/>
      <c r="AD73" s="12"/>
      <c r="AE73" s="12"/>
      <c r="AF73" s="52">
        <v>0.78</v>
      </c>
      <c r="AG73" s="52">
        <v>0.78</v>
      </c>
      <c r="AH73" s="52">
        <v>0.78</v>
      </c>
      <c r="AI73" s="52">
        <f t="shared" si="47"/>
        <v>0.68</v>
      </c>
      <c r="AJ73" s="12"/>
      <c r="AK73" s="12"/>
      <c r="AL73" s="12"/>
      <c r="AM73" s="12"/>
      <c r="AN73" s="12"/>
      <c r="AO73" s="12"/>
      <c r="AP73" s="12"/>
      <c r="AQ73" s="12"/>
      <c r="AR73" s="12"/>
      <c r="AS73" s="12"/>
      <c r="AT73" s="12"/>
      <c r="AU73" s="12"/>
      <c r="AV73" s="12"/>
      <c r="AW73" s="12"/>
      <c r="AX73" s="12"/>
      <c r="AY73" s="12"/>
      <c r="AZ73" s="12"/>
      <c r="BA73" s="12"/>
      <c r="BB73" s="59">
        <f t="shared" si="48"/>
        <v>3.0657125915250948E-2</v>
      </c>
      <c r="BC73" s="17">
        <v>47570</v>
      </c>
      <c r="BD73" s="17">
        <v>22521</v>
      </c>
      <c r="BE73" s="17">
        <f t="shared" si="62"/>
        <v>70091</v>
      </c>
      <c r="BF73" s="17">
        <f t="shared" si="43"/>
        <v>24255</v>
      </c>
      <c r="BG73" s="17">
        <f t="shared" si="42"/>
        <v>2135</v>
      </c>
      <c r="BH73" s="17">
        <f t="shared" si="49"/>
        <v>26390</v>
      </c>
      <c r="BI73" s="10"/>
      <c r="BJ73" s="12"/>
      <c r="BK73" s="12"/>
      <c r="BL73" s="12"/>
      <c r="BM73" s="12"/>
      <c r="BN73" s="12"/>
      <c r="BO73" s="12"/>
      <c r="BP73" s="12"/>
      <c r="BQ73" s="10"/>
      <c r="BR73" s="12"/>
      <c r="BS73" s="12"/>
      <c r="BT73" s="12"/>
      <c r="BU73" s="12"/>
      <c r="BV73" s="12"/>
      <c r="BW73" s="12"/>
      <c r="BX73" s="12"/>
      <c r="BY73" s="29">
        <f t="shared" si="58"/>
        <v>341468</v>
      </c>
      <c r="BZ73" s="29">
        <f t="shared" si="59"/>
        <v>480014</v>
      </c>
      <c r="CA73" s="29">
        <f t="shared" si="63"/>
        <v>242712</v>
      </c>
      <c r="CB73" s="29">
        <f t="shared" si="64"/>
        <v>405557</v>
      </c>
      <c r="CC73" s="29">
        <v>26931</v>
      </c>
      <c r="CD73" s="29">
        <v>49801</v>
      </c>
      <c r="CE73" s="29">
        <v>71825</v>
      </c>
      <c r="CF73" s="29">
        <v>24656</v>
      </c>
      <c r="CG73" s="52">
        <f t="shared" si="50"/>
        <v>0.37440013327800653</v>
      </c>
      <c r="CH73" s="52">
        <f t="shared" si="51"/>
        <v>0.62559986672199352</v>
      </c>
      <c r="CI73" s="52">
        <f t="shared" si="52"/>
        <v>0.35097482145649794</v>
      </c>
      <c r="CJ73" s="52">
        <f t="shared" si="53"/>
        <v>0.64902517854350206</v>
      </c>
      <c r="CK73" s="52">
        <f t="shared" si="54"/>
        <v>0.74444709321006208</v>
      </c>
      <c r="CL73" s="52">
        <f t="shared" si="55"/>
        <v>0.25555290678993792</v>
      </c>
      <c r="CN73" s="19"/>
    </row>
    <row r="74" spans="2:92">
      <c r="B74" t="str">
        <f t="shared" si="61"/>
        <v>2022</v>
      </c>
      <c r="C74">
        <v>202218</v>
      </c>
      <c r="G74" s="51">
        <f t="shared" si="60"/>
        <v>850919</v>
      </c>
      <c r="H74" s="51">
        <v>352599</v>
      </c>
      <c r="I74" s="51">
        <v>498320</v>
      </c>
      <c r="J74" s="51">
        <f t="shared" si="44"/>
        <v>661329</v>
      </c>
      <c r="K74" s="51">
        <v>78922</v>
      </c>
      <c r="L74" s="51">
        <v>110668</v>
      </c>
      <c r="M74" s="61">
        <v>957858.59999851068</v>
      </c>
      <c r="N74" s="51">
        <f t="shared" si="56"/>
        <v>15592997</v>
      </c>
      <c r="O74" s="11">
        <f t="shared" si="57"/>
        <v>17067160.544299707</v>
      </c>
      <c r="P74" s="29">
        <v>27456517</v>
      </c>
      <c r="Q74" s="29">
        <v>6623704</v>
      </c>
      <c r="R74" s="20">
        <v>638692304.20000005</v>
      </c>
      <c r="S74" s="29">
        <v>90918707</v>
      </c>
      <c r="T74" s="63">
        <f t="shared" si="45"/>
        <v>7.2853037824218064E-2</v>
      </c>
      <c r="U74" s="13">
        <f t="shared" si="46"/>
        <v>96.425248501442709</v>
      </c>
      <c r="V74" s="52">
        <v>0.6</v>
      </c>
      <c r="W74" s="52">
        <v>0.6</v>
      </c>
      <c r="X74" s="52">
        <v>0.59</v>
      </c>
      <c r="Y74" s="51">
        <v>516392</v>
      </c>
      <c r="Z74" s="51">
        <v>363196</v>
      </c>
      <c r="AA74" s="12"/>
      <c r="AB74" s="12"/>
      <c r="AC74" s="12"/>
      <c r="AD74" s="12"/>
      <c r="AE74" s="12"/>
      <c r="AF74" s="52">
        <v>0.78</v>
      </c>
      <c r="AG74" s="52">
        <v>0.78</v>
      </c>
      <c r="AH74" s="52">
        <v>0.78</v>
      </c>
      <c r="AI74" s="52">
        <f t="shared" si="47"/>
        <v>0.68</v>
      </c>
      <c r="AJ74" s="12"/>
      <c r="AK74" s="12"/>
      <c r="AL74" s="12"/>
      <c r="AM74" s="12"/>
      <c r="AN74" s="12"/>
      <c r="AO74" s="12"/>
      <c r="AP74" s="12"/>
      <c r="AQ74" s="12"/>
      <c r="AR74" s="12"/>
      <c r="AS74" s="12"/>
      <c r="AT74" s="12"/>
      <c r="AU74" s="12"/>
      <c r="AV74" s="12"/>
      <c r="AW74" s="12"/>
      <c r="AX74" s="12"/>
      <c r="AY74" s="12"/>
      <c r="AZ74" s="12"/>
      <c r="BA74" s="12"/>
      <c r="BB74" s="59">
        <f t="shared" si="48"/>
        <v>3.0991512871060813E-2</v>
      </c>
      <c r="BC74" s="17">
        <v>52944</v>
      </c>
      <c r="BD74" s="17">
        <v>25458</v>
      </c>
      <c r="BE74" s="17">
        <f t="shared" si="62"/>
        <v>78402</v>
      </c>
      <c r="BF74" s="17">
        <f t="shared" si="43"/>
        <v>29571</v>
      </c>
      <c r="BG74" s="17">
        <f t="shared" si="42"/>
        <v>2695</v>
      </c>
      <c r="BH74" s="17">
        <f t="shared" si="49"/>
        <v>32266</v>
      </c>
      <c r="BI74" s="10"/>
      <c r="BJ74" s="12"/>
      <c r="BK74" s="12"/>
      <c r="BL74" s="12"/>
      <c r="BM74" s="12"/>
      <c r="BN74" s="12"/>
      <c r="BO74" s="12"/>
      <c r="BP74" s="12"/>
      <c r="BQ74" s="10"/>
      <c r="BR74" s="12"/>
      <c r="BS74" s="12"/>
      <c r="BT74" s="12"/>
      <c r="BU74" s="12"/>
      <c r="BV74" s="12"/>
      <c r="BW74" s="12"/>
      <c r="BX74" s="12"/>
      <c r="BY74" s="29">
        <f t="shared" si="58"/>
        <v>352599</v>
      </c>
      <c r="BZ74" s="29">
        <f t="shared" si="59"/>
        <v>498320</v>
      </c>
      <c r="CA74" s="29">
        <f t="shared" si="63"/>
        <v>242670</v>
      </c>
      <c r="CB74" s="29">
        <f t="shared" si="64"/>
        <v>418659</v>
      </c>
      <c r="CC74" s="29">
        <v>27414</v>
      </c>
      <c r="CD74" s="29">
        <v>51508</v>
      </c>
      <c r="CE74" s="29">
        <v>82515</v>
      </c>
      <c r="CF74" s="29">
        <v>28153</v>
      </c>
      <c r="CG74" s="52">
        <f t="shared" si="50"/>
        <v>0.36694292855749561</v>
      </c>
      <c r="CH74" s="52">
        <f t="shared" si="51"/>
        <v>0.63305707144250445</v>
      </c>
      <c r="CI74" s="52">
        <f t="shared" si="52"/>
        <v>0.34735561693824279</v>
      </c>
      <c r="CJ74" s="52">
        <f t="shared" si="53"/>
        <v>0.65264438306175721</v>
      </c>
      <c r="CK74" s="52">
        <f t="shared" si="54"/>
        <v>0.74560848664473922</v>
      </c>
      <c r="CL74" s="52">
        <f t="shared" si="55"/>
        <v>0.25439151335526078</v>
      </c>
      <c r="CN74" s="19"/>
    </row>
    <row r="75" spans="2:92">
      <c r="B75" t="str">
        <f t="shared" si="61"/>
        <v>2022</v>
      </c>
      <c r="C75">
        <v>202219</v>
      </c>
      <c r="G75" s="51">
        <f t="shared" si="60"/>
        <v>896273</v>
      </c>
      <c r="H75" s="51">
        <v>375361</v>
      </c>
      <c r="I75" s="51">
        <v>520912</v>
      </c>
      <c r="J75" s="51">
        <f t="shared" si="44"/>
        <v>700280</v>
      </c>
      <c r="K75" s="51">
        <v>81123</v>
      </c>
      <c r="L75" s="51">
        <v>114870</v>
      </c>
      <c r="M75" s="61">
        <v>963211.07053175732</v>
      </c>
      <c r="N75" s="51">
        <f t="shared" si="56"/>
        <v>16489270</v>
      </c>
      <c r="O75" s="11">
        <f t="shared" si="57"/>
        <v>18030371.614831463</v>
      </c>
      <c r="P75" s="29">
        <v>27965103</v>
      </c>
      <c r="Q75" s="29">
        <v>6946106</v>
      </c>
      <c r="R75" s="20">
        <v>663260145.20000005</v>
      </c>
      <c r="S75" s="29">
        <v>95432166</v>
      </c>
      <c r="T75" s="63">
        <f t="shared" si="45"/>
        <v>7.2785794257252845E-2</v>
      </c>
      <c r="U75" s="13">
        <f t="shared" si="46"/>
        <v>95.486614399492325</v>
      </c>
      <c r="V75" s="52">
        <v>0.6</v>
      </c>
      <c r="W75" s="52">
        <v>0.6</v>
      </c>
      <c r="X75" s="52">
        <v>0.6</v>
      </c>
      <c r="Y75" s="51">
        <v>539990</v>
      </c>
      <c r="Z75" s="51">
        <v>387000</v>
      </c>
      <c r="AA75" s="12"/>
      <c r="AB75" s="12"/>
      <c r="AC75" s="12"/>
      <c r="AD75" s="12"/>
      <c r="AE75" s="12"/>
      <c r="AF75" s="52">
        <v>0.78</v>
      </c>
      <c r="AG75" s="52">
        <v>0.78</v>
      </c>
      <c r="AH75" s="52">
        <v>0.78</v>
      </c>
      <c r="AI75" s="52">
        <f t="shared" si="47"/>
        <v>0.68</v>
      </c>
      <c r="AJ75" s="12"/>
      <c r="AK75" s="12"/>
      <c r="AL75" s="12"/>
      <c r="AM75" s="12"/>
      <c r="AN75" s="12"/>
      <c r="AO75" s="12"/>
      <c r="AP75" s="12"/>
      <c r="AQ75" s="12"/>
      <c r="AR75" s="12"/>
      <c r="AS75" s="12"/>
      <c r="AT75" s="12"/>
      <c r="AU75" s="12"/>
      <c r="AV75" s="12"/>
      <c r="AW75" s="12"/>
      <c r="AX75" s="12"/>
      <c r="AY75" s="12"/>
      <c r="AZ75" s="12"/>
      <c r="BA75" s="12"/>
      <c r="BB75" s="59">
        <f t="shared" si="48"/>
        <v>3.2049694220686403E-2</v>
      </c>
      <c r="BC75" s="17">
        <v>56614</v>
      </c>
      <c r="BD75" s="17">
        <v>26577</v>
      </c>
      <c r="BE75" s="17">
        <f t="shared" si="62"/>
        <v>83191</v>
      </c>
      <c r="BF75" s="17">
        <f t="shared" si="43"/>
        <v>29053</v>
      </c>
      <c r="BG75" s="17">
        <f t="shared" si="42"/>
        <v>2626</v>
      </c>
      <c r="BH75" s="17">
        <f t="shared" si="49"/>
        <v>31679</v>
      </c>
      <c r="BI75" s="10"/>
      <c r="BJ75" s="12"/>
      <c r="BK75" s="12"/>
      <c r="BL75" s="12"/>
      <c r="BM75" s="12"/>
      <c r="BN75" s="12"/>
      <c r="BO75" s="12"/>
      <c r="BP75" s="12"/>
      <c r="BQ75" s="10"/>
      <c r="BR75" s="12"/>
      <c r="BS75" s="12"/>
      <c r="BT75" s="12"/>
      <c r="BU75" s="12"/>
      <c r="BV75" s="12"/>
      <c r="BW75" s="12"/>
      <c r="BX75" s="12"/>
      <c r="BY75" s="29">
        <f t="shared" si="58"/>
        <v>375361</v>
      </c>
      <c r="BZ75" s="29">
        <f t="shared" si="59"/>
        <v>520912</v>
      </c>
      <c r="CA75" s="29">
        <f t="shared" si="63"/>
        <v>263524</v>
      </c>
      <c r="CB75" s="29">
        <f t="shared" si="64"/>
        <v>436756</v>
      </c>
      <c r="CC75" s="29">
        <v>26170</v>
      </c>
      <c r="CD75" s="29">
        <v>54953</v>
      </c>
      <c r="CE75" s="29">
        <v>85667</v>
      </c>
      <c r="CF75" s="29">
        <v>29203</v>
      </c>
      <c r="CG75" s="52">
        <f t="shared" si="50"/>
        <v>0.37631233220997318</v>
      </c>
      <c r="CH75" s="52">
        <f t="shared" si="51"/>
        <v>0.62368766779002682</v>
      </c>
      <c r="CI75" s="52">
        <f t="shared" si="52"/>
        <v>0.32259655091650952</v>
      </c>
      <c r="CJ75" s="52">
        <f t="shared" si="53"/>
        <v>0.67740344908349048</v>
      </c>
      <c r="CK75" s="52">
        <f t="shared" si="54"/>
        <v>0.74577348306781577</v>
      </c>
      <c r="CL75" s="52">
        <f t="shared" si="55"/>
        <v>0.25422651693218423</v>
      </c>
      <c r="CN75" s="19"/>
    </row>
    <row r="76" spans="2:92">
      <c r="B76" t="str">
        <f t="shared" si="61"/>
        <v>2022</v>
      </c>
      <c r="C76">
        <v>202220</v>
      </c>
      <c r="G76" s="51">
        <f t="shared" si="60"/>
        <v>897482</v>
      </c>
      <c r="H76" s="51">
        <v>365858</v>
      </c>
      <c r="I76" s="51">
        <v>531624</v>
      </c>
      <c r="J76" s="51">
        <f t="shared" si="44"/>
        <v>693850</v>
      </c>
      <c r="K76" s="51">
        <v>87071</v>
      </c>
      <c r="L76" s="51">
        <v>116561</v>
      </c>
      <c r="M76" s="61">
        <v>967058.04979749233</v>
      </c>
      <c r="N76" s="51">
        <f t="shared" si="56"/>
        <v>17386752</v>
      </c>
      <c r="O76" s="11">
        <f t="shared" si="57"/>
        <v>18997429.664628956</v>
      </c>
      <c r="P76" s="29">
        <v>27909434</v>
      </c>
      <c r="Q76" s="29">
        <v>6975525</v>
      </c>
      <c r="R76" s="20">
        <v>663969811.89999998</v>
      </c>
      <c r="S76" s="29">
        <v>95371813</v>
      </c>
      <c r="T76" s="63">
        <f t="shared" si="45"/>
        <v>7.3140320819947091E-2</v>
      </c>
      <c r="U76" s="13">
        <f t="shared" si="46"/>
        <v>95.185640062934326</v>
      </c>
      <c r="V76" s="52">
        <v>0.59</v>
      </c>
      <c r="W76" s="52">
        <v>0.59</v>
      </c>
      <c r="X76" s="52">
        <v>0.59</v>
      </c>
      <c r="Y76" s="51">
        <v>550297</v>
      </c>
      <c r="Z76" s="51">
        <v>376552</v>
      </c>
      <c r="AA76" s="12"/>
      <c r="AB76" s="12"/>
      <c r="AC76" s="12"/>
      <c r="AD76" s="12"/>
      <c r="AE76" s="12"/>
      <c r="AF76" s="30">
        <v>0.78</v>
      </c>
      <c r="AG76" s="30">
        <v>0.78</v>
      </c>
      <c r="AH76" s="30">
        <v>0.78</v>
      </c>
      <c r="AI76" s="30">
        <f t="shared" si="47"/>
        <v>0.68</v>
      </c>
      <c r="AJ76" s="12"/>
      <c r="AK76" s="12"/>
      <c r="AL76" s="12"/>
      <c r="AM76" s="12"/>
      <c r="AN76" s="12"/>
      <c r="AO76" s="12"/>
      <c r="AP76" s="12"/>
      <c r="AQ76" s="12"/>
      <c r="AR76" s="12"/>
      <c r="AS76" s="12"/>
      <c r="AT76" s="12"/>
      <c r="AU76" s="12"/>
      <c r="AV76" s="12"/>
      <c r="AW76" s="12"/>
      <c r="AX76" s="12"/>
      <c r="AY76" s="12"/>
      <c r="AZ76" s="12"/>
      <c r="BA76" s="12"/>
      <c r="BB76" s="59">
        <f t="shared" si="48"/>
        <v>3.2156940194487643E-2</v>
      </c>
      <c r="BC76" s="17">
        <v>59807</v>
      </c>
      <c r="BD76" s="17">
        <v>27226</v>
      </c>
      <c r="BE76" s="17">
        <f t="shared" si="62"/>
        <v>87033</v>
      </c>
      <c r="BF76" s="17">
        <f t="shared" si="43"/>
        <v>27030</v>
      </c>
      <c r="BG76" s="17">
        <f t="shared" si="42"/>
        <v>2498</v>
      </c>
      <c r="BH76" s="17">
        <f t="shared" si="49"/>
        <v>29528</v>
      </c>
      <c r="BI76" s="10"/>
      <c r="BJ76" s="12"/>
      <c r="BK76" s="12"/>
      <c r="BL76" s="12"/>
      <c r="BM76" s="12"/>
      <c r="BN76" s="12"/>
      <c r="BO76" s="12"/>
      <c r="BP76" s="12"/>
      <c r="BQ76" s="10"/>
      <c r="BR76" s="12"/>
      <c r="BS76" s="12"/>
      <c r="BT76" s="12"/>
      <c r="BU76" s="12"/>
      <c r="BV76" s="12"/>
      <c r="BW76" s="12"/>
      <c r="BX76" s="12"/>
      <c r="BY76" s="29">
        <f t="shared" si="58"/>
        <v>365858</v>
      </c>
      <c r="BZ76" s="29">
        <f t="shared" si="59"/>
        <v>531624</v>
      </c>
      <c r="CA76" s="29">
        <f t="shared" si="63"/>
        <v>250766</v>
      </c>
      <c r="CB76" s="29">
        <f t="shared" si="64"/>
        <v>443084</v>
      </c>
      <c r="CC76" s="29">
        <v>28255</v>
      </c>
      <c r="CD76" s="29">
        <v>58816</v>
      </c>
      <c r="CE76" s="29">
        <v>86837</v>
      </c>
      <c r="CF76" s="29">
        <v>29724</v>
      </c>
      <c r="CG76" s="52">
        <f t="shared" si="50"/>
        <v>0.36141240902212296</v>
      </c>
      <c r="CH76" s="52">
        <f t="shared" si="51"/>
        <v>0.6385875909778771</v>
      </c>
      <c r="CI76" s="52">
        <f t="shared" si="52"/>
        <v>0.3245052887873115</v>
      </c>
      <c r="CJ76" s="52">
        <f t="shared" si="53"/>
        <v>0.67549471121268845</v>
      </c>
      <c r="CK76" s="52">
        <f t="shared" si="54"/>
        <v>0.74499189265706367</v>
      </c>
      <c r="CL76" s="52">
        <f t="shared" si="55"/>
        <v>0.25500810734293633</v>
      </c>
      <c r="CN76" s="19"/>
    </row>
    <row r="77" spans="2:92">
      <c r="B77" t="str">
        <f t="shared" si="61"/>
        <v>2022</v>
      </c>
      <c r="C77">
        <v>202221</v>
      </c>
      <c r="G77" s="51">
        <f t="shared" si="60"/>
        <v>867317</v>
      </c>
      <c r="H77" s="51">
        <v>353929</v>
      </c>
      <c r="I77" s="51">
        <v>513388</v>
      </c>
      <c r="J77" s="51">
        <f t="shared" si="44"/>
        <v>694525</v>
      </c>
      <c r="K77" s="51">
        <v>79933</v>
      </c>
      <c r="L77" s="51">
        <v>92859</v>
      </c>
      <c r="M77" s="61">
        <v>975010.09731054225</v>
      </c>
      <c r="N77" s="51">
        <f t="shared" si="56"/>
        <v>18254069</v>
      </c>
      <c r="O77" s="11">
        <f t="shared" si="57"/>
        <v>19972439.7619395</v>
      </c>
      <c r="P77" s="29">
        <v>27419862</v>
      </c>
      <c r="Q77" s="29">
        <v>6601835</v>
      </c>
      <c r="R77" s="20">
        <v>611112893.70000005</v>
      </c>
      <c r="S77" s="29">
        <v>91474515</v>
      </c>
      <c r="T77" s="63">
        <f t="shared" si="45"/>
        <v>7.2171303668568235E-2</v>
      </c>
      <c r="U77" s="13">
        <f t="shared" si="46"/>
        <v>92.567126215665809</v>
      </c>
      <c r="V77" s="52">
        <v>0.59</v>
      </c>
      <c r="W77" s="52">
        <v>0.59</v>
      </c>
      <c r="X77" s="52">
        <v>0.59</v>
      </c>
      <c r="Y77" s="51">
        <v>587329</v>
      </c>
      <c r="Z77" s="51">
        <v>400413</v>
      </c>
      <c r="AA77" s="12"/>
      <c r="AB77" s="12"/>
      <c r="AC77" s="12"/>
      <c r="AD77" s="12"/>
      <c r="AE77" s="12"/>
      <c r="AF77" s="30">
        <v>0.78</v>
      </c>
      <c r="AG77" s="30">
        <v>0.78</v>
      </c>
      <c r="AH77" s="30">
        <v>0.79</v>
      </c>
      <c r="AI77" s="30">
        <f t="shared" si="47"/>
        <v>0.68</v>
      </c>
      <c r="AJ77" s="12"/>
      <c r="AK77" s="12"/>
      <c r="AL77" s="12"/>
      <c r="AM77" s="12"/>
      <c r="AN77" s="12"/>
      <c r="AO77" s="12"/>
      <c r="AP77" s="12"/>
      <c r="AQ77" s="12"/>
      <c r="AR77" s="12"/>
      <c r="AS77" s="12"/>
      <c r="AT77" s="12"/>
      <c r="AU77" s="12"/>
      <c r="AV77" s="12"/>
      <c r="AW77" s="12"/>
      <c r="AX77" s="12"/>
      <c r="AY77" s="12"/>
      <c r="AZ77" s="12"/>
      <c r="BA77" s="12"/>
      <c r="BB77" s="59">
        <f t="shared" si="48"/>
        <v>3.1630976115051196E-2</v>
      </c>
      <c r="BC77" s="17">
        <v>46263</v>
      </c>
      <c r="BD77" s="17">
        <v>19077</v>
      </c>
      <c r="BE77" s="17">
        <f t="shared" si="62"/>
        <v>65340</v>
      </c>
      <c r="BF77" s="17">
        <f t="shared" si="43"/>
        <v>25246</v>
      </c>
      <c r="BG77" s="17">
        <f t="shared" si="42"/>
        <v>2273</v>
      </c>
      <c r="BH77" s="17">
        <f t="shared" si="49"/>
        <v>27519</v>
      </c>
      <c r="BI77" s="10"/>
      <c r="BJ77" s="12"/>
      <c r="BK77" s="12"/>
      <c r="BL77" s="12"/>
      <c r="BM77" s="12"/>
      <c r="BN77" s="12"/>
      <c r="BO77" s="12"/>
      <c r="BP77" s="12"/>
      <c r="BQ77" s="10"/>
      <c r="BR77" s="12"/>
      <c r="BS77" s="12"/>
      <c r="BT77" s="12"/>
      <c r="BU77" s="12"/>
      <c r="BV77" s="12"/>
      <c r="BW77" s="12"/>
      <c r="BX77" s="12"/>
      <c r="BY77" s="29">
        <f t="shared" si="58"/>
        <v>353929</v>
      </c>
      <c r="BZ77" s="29">
        <f t="shared" si="59"/>
        <v>513388</v>
      </c>
      <c r="CA77" s="29">
        <f t="shared" si="63"/>
        <v>263605</v>
      </c>
      <c r="CB77" s="29">
        <f t="shared" si="64"/>
        <v>430920</v>
      </c>
      <c r="CC77" s="29">
        <v>18815</v>
      </c>
      <c r="CD77" s="29">
        <v>61118</v>
      </c>
      <c r="CE77" s="29">
        <v>71509</v>
      </c>
      <c r="CF77" s="29">
        <v>21350</v>
      </c>
      <c r="CG77" s="52">
        <f t="shared" si="50"/>
        <v>0.37954717252798675</v>
      </c>
      <c r="CH77" s="52">
        <f t="shared" si="51"/>
        <v>0.62045282747201325</v>
      </c>
      <c r="CI77" s="52">
        <f t="shared" si="52"/>
        <v>0.23538463463150389</v>
      </c>
      <c r="CJ77" s="52">
        <f t="shared" si="53"/>
        <v>0.76461536536849617</v>
      </c>
      <c r="CK77" s="52">
        <f t="shared" si="54"/>
        <v>0.77008152144649411</v>
      </c>
      <c r="CL77" s="52">
        <f t="shared" si="55"/>
        <v>0.22991847855350586</v>
      </c>
      <c r="CN77" s="19"/>
    </row>
    <row r="78" spans="2:92">
      <c r="B78" t="str">
        <f t="shared" si="61"/>
        <v>2022</v>
      </c>
      <c r="C78">
        <v>202222</v>
      </c>
      <c r="G78" s="51">
        <f t="shared" si="60"/>
        <v>894170</v>
      </c>
      <c r="H78" s="51">
        <v>373837</v>
      </c>
      <c r="I78" s="51">
        <v>520333</v>
      </c>
      <c r="J78" s="51">
        <f t="shared" si="44"/>
        <v>681796</v>
      </c>
      <c r="K78" s="51">
        <v>97302</v>
      </c>
      <c r="L78" s="51">
        <v>115072</v>
      </c>
      <c r="M78" s="61">
        <v>982719.45250178943</v>
      </c>
      <c r="N78" s="51">
        <f t="shared" si="56"/>
        <v>19148239</v>
      </c>
      <c r="O78" s="11">
        <f t="shared" si="57"/>
        <v>20955159.214441288</v>
      </c>
      <c r="P78" s="29">
        <v>27711887</v>
      </c>
      <c r="Q78" s="29">
        <v>6725886</v>
      </c>
      <c r="R78" s="20">
        <v>633668479.20000005</v>
      </c>
      <c r="S78" s="29">
        <v>92936246</v>
      </c>
      <c r="T78" s="63">
        <f t="shared" si="45"/>
        <v>7.2370967082100557E-2</v>
      </c>
      <c r="U78" s="13">
        <f t="shared" si="46"/>
        <v>94.213383812928143</v>
      </c>
      <c r="V78" s="52">
        <v>0.59</v>
      </c>
      <c r="W78" s="52">
        <v>0.59</v>
      </c>
      <c r="X78" s="52">
        <v>0.59</v>
      </c>
      <c r="Y78" s="51">
        <v>538996</v>
      </c>
      <c r="Z78" s="51">
        <v>385438</v>
      </c>
      <c r="AA78" s="12"/>
      <c r="AB78" s="12"/>
      <c r="AC78" s="12"/>
      <c r="AD78" s="12"/>
      <c r="AE78" s="12"/>
      <c r="AF78" s="30">
        <v>0.78</v>
      </c>
      <c r="AG78" s="30">
        <v>0.77</v>
      </c>
      <c r="AH78" s="30">
        <v>0.79</v>
      </c>
      <c r="AI78" s="30">
        <f t="shared" si="47"/>
        <v>0.68</v>
      </c>
      <c r="AJ78" s="12"/>
      <c r="AK78" s="12"/>
      <c r="AL78" s="12"/>
      <c r="AM78" s="12"/>
      <c r="AN78" s="12"/>
      <c r="AO78" s="12"/>
      <c r="AP78" s="12"/>
      <c r="AQ78" s="12"/>
      <c r="AR78" s="12"/>
      <c r="AS78" s="12"/>
      <c r="AT78" s="12"/>
      <c r="AU78" s="12"/>
      <c r="AV78" s="12"/>
      <c r="AW78" s="12"/>
      <c r="AX78" s="12"/>
      <c r="AY78" s="12"/>
      <c r="AZ78" s="12"/>
      <c r="BA78" s="12"/>
      <c r="BB78" s="59">
        <f t="shared" si="48"/>
        <v>3.2266658708589566E-2</v>
      </c>
      <c r="BC78" s="17">
        <v>40826</v>
      </c>
      <c r="BD78" s="17">
        <v>28994</v>
      </c>
      <c r="BE78" s="17">
        <f t="shared" si="62"/>
        <v>69820</v>
      </c>
      <c r="BF78" s="17">
        <f t="shared" si="43"/>
        <v>42737</v>
      </c>
      <c r="BG78" s="17">
        <f t="shared" si="42"/>
        <v>2515</v>
      </c>
      <c r="BH78" s="17">
        <f t="shared" si="49"/>
        <v>45252</v>
      </c>
      <c r="BI78" s="10"/>
      <c r="BJ78" s="12"/>
      <c r="BK78" s="12"/>
      <c r="BL78" s="12"/>
      <c r="BM78" s="12"/>
      <c r="BN78" s="12"/>
      <c r="BO78" s="12"/>
      <c r="BP78" s="12"/>
      <c r="BQ78" s="10"/>
      <c r="BR78" s="12"/>
      <c r="BS78" s="12"/>
      <c r="BT78" s="12"/>
      <c r="BU78" s="12"/>
      <c r="BV78" s="12"/>
      <c r="BW78" s="12"/>
      <c r="BX78" s="12"/>
      <c r="BY78" s="29">
        <f t="shared" si="58"/>
        <v>373837</v>
      </c>
      <c r="BZ78" s="29">
        <f t="shared" si="59"/>
        <v>520333</v>
      </c>
      <c r="CA78" s="29">
        <f t="shared" si="63"/>
        <v>258606</v>
      </c>
      <c r="CB78" s="29">
        <f t="shared" si="64"/>
        <v>423190</v>
      </c>
      <c r="CC78" s="29">
        <v>31668</v>
      </c>
      <c r="CD78" s="29">
        <v>65634</v>
      </c>
      <c r="CE78" s="29">
        <v>83563</v>
      </c>
      <c r="CF78" s="29">
        <v>31509</v>
      </c>
      <c r="CG78" s="52">
        <f t="shared" si="50"/>
        <v>0.37930113993041908</v>
      </c>
      <c r="CH78" s="52">
        <f t="shared" si="51"/>
        <v>0.62069886006958097</v>
      </c>
      <c r="CI78" s="52">
        <f t="shared" si="52"/>
        <v>0.32546093605475734</v>
      </c>
      <c r="CJ78" s="52">
        <f t="shared" si="53"/>
        <v>0.67453906394524266</v>
      </c>
      <c r="CK78" s="52">
        <f t="shared" si="54"/>
        <v>0.72618013070077869</v>
      </c>
      <c r="CL78" s="52">
        <f t="shared" si="55"/>
        <v>0.27381986929922136</v>
      </c>
      <c r="CN78" s="19"/>
    </row>
    <row r="79" spans="2:92">
      <c r="B79" t="str">
        <f t="shared" si="61"/>
        <v>2022</v>
      </c>
      <c r="C79">
        <v>202223</v>
      </c>
      <c r="G79" s="51">
        <f t="shared" si="60"/>
        <v>932079</v>
      </c>
      <c r="H79" s="51">
        <v>387635</v>
      </c>
      <c r="I79" s="51">
        <v>544444</v>
      </c>
      <c r="J79" s="51">
        <f t="shared" si="44"/>
        <v>700469</v>
      </c>
      <c r="K79" s="51">
        <v>98954</v>
      </c>
      <c r="L79" s="51">
        <v>132656</v>
      </c>
      <c r="M79" s="61">
        <v>979786.69624680397</v>
      </c>
      <c r="N79" s="51">
        <f t="shared" si="56"/>
        <v>20080318</v>
      </c>
      <c r="O79" s="11">
        <f t="shared" si="57"/>
        <v>21934945.910688091</v>
      </c>
      <c r="P79" s="29">
        <v>27835029</v>
      </c>
      <c r="Q79" s="29">
        <v>6476079</v>
      </c>
      <c r="R79" s="20">
        <v>609112434.79999995</v>
      </c>
      <c r="S79" s="29">
        <v>92458368</v>
      </c>
      <c r="T79" s="63">
        <f t="shared" si="45"/>
        <v>7.0043189600750899E-2</v>
      </c>
      <c r="U79" s="13">
        <f t="shared" si="46"/>
        <v>94.055744965433547</v>
      </c>
      <c r="V79" s="30">
        <v>0.6</v>
      </c>
      <c r="W79" s="30">
        <v>0.6</v>
      </c>
      <c r="X79" s="30">
        <v>0.6</v>
      </c>
      <c r="Y79" s="29">
        <v>563219</v>
      </c>
      <c r="Z79" s="29">
        <v>399126</v>
      </c>
      <c r="AA79" s="12"/>
      <c r="AB79" s="12"/>
      <c r="AC79" s="12"/>
      <c r="AD79" s="12"/>
      <c r="AE79" s="12"/>
      <c r="AF79" s="30">
        <v>0.77867455111951123</v>
      </c>
      <c r="AG79" s="30">
        <v>0.7713386066984812</v>
      </c>
      <c r="AH79" s="30">
        <v>0.78349875012942449</v>
      </c>
      <c r="AI79" s="30">
        <f t="shared" si="47"/>
        <v>0.67867455111951125</v>
      </c>
      <c r="AJ79" s="12"/>
      <c r="AK79" s="12"/>
      <c r="AL79" s="12"/>
      <c r="AM79" s="12"/>
      <c r="AN79" s="12"/>
      <c r="AO79" s="12"/>
      <c r="AP79" s="12"/>
      <c r="AQ79" s="12"/>
      <c r="AR79" s="12"/>
      <c r="AS79" s="12"/>
      <c r="AT79" s="12"/>
      <c r="AU79" s="12"/>
      <c r="AV79" s="12"/>
      <c r="AW79" s="12"/>
      <c r="AX79" s="12"/>
      <c r="AY79" s="12"/>
      <c r="AZ79" s="12"/>
      <c r="BA79" s="12"/>
      <c r="BB79" s="59">
        <f t="shared" si="48"/>
        <v>3.3485828234631983E-2</v>
      </c>
      <c r="BC79" s="17">
        <v>44122</v>
      </c>
      <c r="BD79" s="17">
        <v>41071</v>
      </c>
      <c r="BE79" s="17">
        <f t="shared" si="62"/>
        <v>85193</v>
      </c>
      <c r="BF79" s="17">
        <f t="shared" si="43"/>
        <v>44844</v>
      </c>
      <c r="BG79" s="17">
        <f t="shared" si="42"/>
        <v>2619</v>
      </c>
      <c r="BH79" s="17">
        <f t="shared" si="49"/>
        <v>47463</v>
      </c>
      <c r="BI79" s="10"/>
      <c r="BJ79" s="12"/>
      <c r="BK79" s="12"/>
      <c r="BL79" s="12"/>
      <c r="BM79" s="12"/>
      <c r="BN79" s="12"/>
      <c r="BO79" s="12"/>
      <c r="BP79" s="12"/>
      <c r="BQ79" s="10"/>
      <c r="BR79" s="12"/>
      <c r="BS79" s="12"/>
      <c r="BT79" s="12"/>
      <c r="BU79" s="12"/>
      <c r="BV79" s="12"/>
      <c r="BW79" s="12"/>
      <c r="BX79" s="12"/>
      <c r="BY79" s="29">
        <f t="shared" si="58"/>
        <v>387635</v>
      </c>
      <c r="BZ79" s="29">
        <f t="shared" si="59"/>
        <v>544444</v>
      </c>
      <c r="CA79" s="29">
        <f t="shared" si="63"/>
        <v>266755</v>
      </c>
      <c r="CB79" s="29">
        <f t="shared" si="64"/>
        <v>433714</v>
      </c>
      <c r="CC79" s="29">
        <v>31914</v>
      </c>
      <c r="CD79" s="29">
        <v>67040</v>
      </c>
      <c r="CE79" s="29">
        <v>88966</v>
      </c>
      <c r="CF79" s="29">
        <v>43690</v>
      </c>
      <c r="CG79" s="52">
        <f t="shared" si="50"/>
        <v>0.3808234197373474</v>
      </c>
      <c r="CH79" s="52">
        <f t="shared" si="51"/>
        <v>0.61917658026265254</v>
      </c>
      <c r="CI79" s="52">
        <f t="shared" si="52"/>
        <v>0.32251349111708472</v>
      </c>
      <c r="CJ79" s="52">
        <f t="shared" si="53"/>
        <v>0.67748650888291528</v>
      </c>
      <c r="CK79" s="52">
        <f t="shared" si="54"/>
        <v>0.67065191171149441</v>
      </c>
      <c r="CL79" s="52">
        <f t="shared" si="55"/>
        <v>0.32934808828850559</v>
      </c>
      <c r="CN79" s="19"/>
    </row>
    <row r="80" spans="2:92">
      <c r="B80" t="str">
        <f t="shared" si="61"/>
        <v>2022</v>
      </c>
      <c r="C80">
        <v>202224</v>
      </c>
      <c r="G80" s="51">
        <f t="shared" si="60"/>
        <v>985574</v>
      </c>
      <c r="H80" s="51">
        <v>406301</v>
      </c>
      <c r="I80" s="51">
        <v>579273</v>
      </c>
      <c r="J80" s="51">
        <f t="shared" si="44"/>
        <v>720919</v>
      </c>
      <c r="K80" s="51">
        <v>127141</v>
      </c>
      <c r="L80" s="51">
        <v>137514</v>
      </c>
      <c r="M80" s="61">
        <v>967655.70837653894</v>
      </c>
      <c r="N80" s="51">
        <f t="shared" si="56"/>
        <v>21065892</v>
      </c>
      <c r="O80" s="11">
        <f t="shared" si="57"/>
        <v>22902601.619064629</v>
      </c>
      <c r="P80" s="29">
        <v>28984140</v>
      </c>
      <c r="Q80" s="29">
        <v>6927952</v>
      </c>
      <c r="R80" s="20">
        <v>657761608.60000002</v>
      </c>
      <c r="S80" s="29">
        <v>98902658</v>
      </c>
      <c r="T80" s="63">
        <f t="shared" si="45"/>
        <v>7.0048188189239566E-2</v>
      </c>
      <c r="U80" s="13">
        <f t="shared" si="46"/>
        <v>94.943153272424524</v>
      </c>
      <c r="V80" s="52">
        <v>0.6</v>
      </c>
      <c r="W80" s="52">
        <v>0.59</v>
      </c>
      <c r="X80" s="52">
        <v>0.63</v>
      </c>
      <c r="Y80" s="29">
        <v>597816</v>
      </c>
      <c r="Z80" s="29">
        <v>418084</v>
      </c>
      <c r="AA80" s="12"/>
      <c r="AB80" s="12"/>
      <c r="AC80" s="12"/>
      <c r="AD80" s="12"/>
      <c r="AE80" s="12"/>
      <c r="AF80" s="52">
        <v>0.78096799874639244</v>
      </c>
      <c r="AG80" s="52">
        <v>0.77355570248468886</v>
      </c>
      <c r="AH80" s="52">
        <v>0.79157731347138216</v>
      </c>
      <c r="AI80" s="30">
        <f t="shared" si="47"/>
        <v>0.68096799874639247</v>
      </c>
      <c r="AJ80" s="12"/>
      <c r="AK80" s="12"/>
      <c r="AL80" s="12"/>
      <c r="AM80" s="12"/>
      <c r="AN80" s="12"/>
      <c r="AO80" s="12"/>
      <c r="AP80" s="12"/>
      <c r="AQ80" s="12"/>
      <c r="AR80" s="12"/>
      <c r="AS80" s="12"/>
      <c r="AT80" s="12"/>
      <c r="AU80" s="12"/>
      <c r="AV80" s="12"/>
      <c r="AW80" s="12"/>
      <c r="AX80" s="12"/>
      <c r="AY80" s="12"/>
      <c r="AZ80" s="12"/>
      <c r="BA80" s="12"/>
      <c r="BB80" s="59">
        <f t="shared" si="48"/>
        <v>3.4003906964291508E-2</v>
      </c>
      <c r="BC80" s="17">
        <v>47325</v>
      </c>
      <c r="BD80" s="17">
        <v>34861</v>
      </c>
      <c r="BE80" s="17">
        <f t="shared" si="62"/>
        <v>82186</v>
      </c>
      <c r="BF80" s="17">
        <f t="shared" si="43"/>
        <v>52588</v>
      </c>
      <c r="BG80" s="17">
        <f t="shared" si="42"/>
        <v>2740</v>
      </c>
      <c r="BH80" s="17">
        <f t="shared" si="49"/>
        <v>55328</v>
      </c>
      <c r="BI80" s="10"/>
      <c r="BJ80" s="12"/>
      <c r="BK80" s="12"/>
      <c r="BL80" s="12"/>
      <c r="BM80" s="12"/>
      <c r="BN80" s="12"/>
      <c r="BO80" s="12"/>
      <c r="BP80" s="12"/>
      <c r="BQ80" s="10"/>
      <c r="BR80" s="12"/>
      <c r="BS80" s="12"/>
      <c r="BT80" s="12"/>
      <c r="BU80" s="12"/>
      <c r="BV80" s="12"/>
      <c r="BW80" s="12"/>
      <c r="BX80" s="12"/>
      <c r="BY80" s="29">
        <f t="shared" si="58"/>
        <v>406301</v>
      </c>
      <c r="BZ80" s="29">
        <f t="shared" si="59"/>
        <v>579273</v>
      </c>
      <c r="CA80" s="29">
        <f t="shared" si="63"/>
        <v>261978</v>
      </c>
      <c r="CB80" s="29">
        <f t="shared" si="64"/>
        <v>458941</v>
      </c>
      <c r="CC80" s="29">
        <v>44410</v>
      </c>
      <c r="CD80" s="29">
        <v>82731</v>
      </c>
      <c r="CE80" s="29">
        <v>99913</v>
      </c>
      <c r="CF80" s="29">
        <v>37601</v>
      </c>
      <c r="CG80" s="52">
        <f t="shared" si="50"/>
        <v>0.36339450063044532</v>
      </c>
      <c r="CH80" s="52">
        <f t="shared" si="51"/>
        <v>0.63660549936955468</v>
      </c>
      <c r="CI80" s="52">
        <f t="shared" si="52"/>
        <v>0.34929723692593262</v>
      </c>
      <c r="CJ80" s="52">
        <f t="shared" si="53"/>
        <v>0.65070276307406738</v>
      </c>
      <c r="CK80" s="52">
        <f t="shared" si="54"/>
        <v>0.72656602236863155</v>
      </c>
      <c r="CL80" s="52">
        <f t="shared" si="55"/>
        <v>0.27343397763136845</v>
      </c>
      <c r="CN80" s="19"/>
    </row>
    <row r="81" spans="2:92">
      <c r="B81" t="str">
        <f t="shared" si="61"/>
        <v>2022</v>
      </c>
      <c r="C81">
        <v>202225</v>
      </c>
      <c r="G81" s="51">
        <f t="shared" si="60"/>
        <v>962581</v>
      </c>
      <c r="H81" s="51">
        <v>401229</v>
      </c>
      <c r="I81" s="51">
        <v>561352</v>
      </c>
      <c r="J81" s="51">
        <f t="shared" si="44"/>
        <v>679337</v>
      </c>
      <c r="K81" s="51">
        <v>131375</v>
      </c>
      <c r="L81" s="51">
        <v>151869</v>
      </c>
      <c r="M81" s="61">
        <v>938489.08966707997</v>
      </c>
      <c r="N81" s="51">
        <f t="shared" si="56"/>
        <v>22028473</v>
      </c>
      <c r="O81" s="11">
        <f t="shared" si="57"/>
        <v>23841090.708731711</v>
      </c>
      <c r="P81" s="29">
        <v>28805399</v>
      </c>
      <c r="Q81" s="29">
        <v>7033750</v>
      </c>
      <c r="R81" s="20">
        <v>649515610.0999999</v>
      </c>
      <c r="S81" s="29">
        <v>98215760</v>
      </c>
      <c r="T81" s="63">
        <f t="shared" si="45"/>
        <v>7.1615288625776555E-2</v>
      </c>
      <c r="U81" s="13">
        <f t="shared" si="46"/>
        <v>92.342720469166508</v>
      </c>
      <c r="V81" s="52">
        <v>0.6</v>
      </c>
      <c r="W81" s="52">
        <v>0.57999999999999996</v>
      </c>
      <c r="X81" s="52">
        <v>0.63</v>
      </c>
      <c r="Y81" s="29">
        <v>579315</v>
      </c>
      <c r="Z81" s="29">
        <v>413190</v>
      </c>
      <c r="AA81" s="12"/>
      <c r="AB81" s="12"/>
      <c r="AC81" s="12"/>
      <c r="AD81" s="12"/>
      <c r="AE81" s="12"/>
      <c r="AF81" s="30">
        <v>0.77686466480701566</v>
      </c>
      <c r="AG81" s="30">
        <v>0.76177834672934464</v>
      </c>
      <c r="AH81" s="30">
        <v>0.79394139710003309</v>
      </c>
      <c r="AI81" s="30">
        <f t="shared" si="47"/>
        <v>0.67686466480701568</v>
      </c>
      <c r="AJ81" s="12"/>
      <c r="AK81" s="12"/>
      <c r="AL81" s="12"/>
      <c r="AM81" s="12"/>
      <c r="AN81" s="12"/>
      <c r="AO81" s="12"/>
      <c r="AP81" s="12"/>
      <c r="AQ81" s="12"/>
      <c r="AR81" s="12"/>
      <c r="AS81" s="12"/>
      <c r="AT81" s="12"/>
      <c r="AU81" s="12"/>
      <c r="AV81" s="12"/>
      <c r="AW81" s="12"/>
      <c r="AX81" s="12"/>
      <c r="AY81" s="12"/>
      <c r="AZ81" s="12"/>
      <c r="BA81" s="12"/>
      <c r="BB81" s="59">
        <f t="shared" si="48"/>
        <v>3.3416686920392943E-2</v>
      </c>
      <c r="BC81" s="17">
        <v>49826</v>
      </c>
      <c r="BD81" s="17">
        <v>45734</v>
      </c>
      <c r="BE81" s="17">
        <f t="shared" si="62"/>
        <v>95560</v>
      </c>
      <c r="BF81" s="17">
        <f t="shared" si="43"/>
        <v>52684</v>
      </c>
      <c r="BG81" s="17">
        <f t="shared" si="42"/>
        <v>3625</v>
      </c>
      <c r="BH81" s="17">
        <f t="shared" si="49"/>
        <v>56309</v>
      </c>
      <c r="BI81" s="10"/>
      <c r="BJ81" s="12"/>
      <c r="BK81" s="12"/>
      <c r="BL81" s="12"/>
      <c r="BM81" s="12"/>
      <c r="BN81" s="12"/>
      <c r="BO81" s="12"/>
      <c r="BP81" s="12"/>
      <c r="BQ81" s="10"/>
      <c r="BR81" s="12"/>
      <c r="BS81" s="12"/>
      <c r="BT81" s="12"/>
      <c r="BU81" s="12"/>
      <c r="BV81" s="12"/>
      <c r="BW81" s="12"/>
      <c r="BX81" s="12"/>
      <c r="BY81" s="29">
        <f t="shared" si="58"/>
        <v>401229</v>
      </c>
      <c r="BZ81" s="29">
        <f t="shared" si="59"/>
        <v>561352</v>
      </c>
      <c r="CA81" s="29">
        <f t="shared" si="63"/>
        <v>251498</v>
      </c>
      <c r="CB81" s="29">
        <f t="shared" si="64"/>
        <v>427839</v>
      </c>
      <c r="CC81" s="29">
        <v>47221</v>
      </c>
      <c r="CD81" s="29">
        <v>84154</v>
      </c>
      <c r="CE81" s="29">
        <v>102510</v>
      </c>
      <c r="CF81" s="29">
        <v>49359</v>
      </c>
      <c r="CG81" s="52">
        <f t="shared" si="50"/>
        <v>0.37021095568178974</v>
      </c>
      <c r="CH81" s="52">
        <f t="shared" si="51"/>
        <v>0.62978904431821026</v>
      </c>
      <c r="CI81" s="52">
        <f t="shared" si="52"/>
        <v>0.35943672692673645</v>
      </c>
      <c r="CJ81" s="52">
        <f t="shared" si="53"/>
        <v>0.64056327307326355</v>
      </c>
      <c r="CK81" s="52">
        <f t="shared" si="54"/>
        <v>0.67498962921991978</v>
      </c>
      <c r="CL81" s="52">
        <f t="shared" si="55"/>
        <v>0.32501037078008022</v>
      </c>
      <c r="CN81" s="19"/>
    </row>
    <row r="82" spans="2:92">
      <c r="B82" t="str">
        <f t="shared" si="61"/>
        <v>2022</v>
      </c>
      <c r="C82">
        <v>202226</v>
      </c>
      <c r="G82" s="51">
        <f t="shared" si="60"/>
        <v>928376</v>
      </c>
      <c r="H82" s="51">
        <v>390300</v>
      </c>
      <c r="I82" s="51">
        <v>538076</v>
      </c>
      <c r="J82" s="51">
        <f t="shared" si="44"/>
        <v>662641</v>
      </c>
      <c r="K82" s="51">
        <v>123545</v>
      </c>
      <c r="L82" s="51">
        <v>142190</v>
      </c>
      <c r="M82" s="61">
        <v>896586.27882782498</v>
      </c>
      <c r="N82" s="51">
        <f t="shared" si="56"/>
        <v>22956849</v>
      </c>
      <c r="O82" s="11">
        <f t="shared" si="57"/>
        <v>24737676.987559535</v>
      </c>
      <c r="P82" s="29">
        <v>28432676</v>
      </c>
      <c r="Q82" s="29">
        <v>6632714</v>
      </c>
      <c r="R82" s="20">
        <v>627212501.72000003</v>
      </c>
      <c r="S82" s="29">
        <v>95805328</v>
      </c>
      <c r="T82" s="63">
        <f t="shared" si="45"/>
        <v>6.9231160087464036E-2</v>
      </c>
      <c r="U82" s="13">
        <f t="shared" si="46"/>
        <v>94.563477593033568</v>
      </c>
      <c r="V82" s="52">
        <v>0.59382310918752701</v>
      </c>
      <c r="W82" s="52">
        <v>0.57134959138762531</v>
      </c>
      <c r="X82" s="52">
        <v>0.62485267717279414</v>
      </c>
      <c r="Y82" s="29">
        <v>555294</v>
      </c>
      <c r="Z82" s="29">
        <v>402178</v>
      </c>
      <c r="AA82" s="12"/>
      <c r="AB82" s="12"/>
      <c r="AC82" s="12"/>
      <c r="AD82" s="12"/>
      <c r="AE82" s="12"/>
      <c r="AF82" s="30">
        <v>0.77381196245554973</v>
      </c>
      <c r="AG82" s="30">
        <v>0.76095034218086233</v>
      </c>
      <c r="AH82" s="30">
        <v>0.77822946261258541</v>
      </c>
      <c r="AI82" s="30">
        <f t="shared" si="47"/>
        <v>0.67381196245554975</v>
      </c>
      <c r="AJ82" s="12"/>
      <c r="AK82" s="12"/>
      <c r="AL82" s="12"/>
      <c r="AM82" s="12"/>
      <c r="AN82" s="12"/>
      <c r="AO82" s="12"/>
      <c r="AP82" s="12"/>
      <c r="AQ82" s="12"/>
      <c r="AR82" s="12"/>
      <c r="AS82" s="12"/>
      <c r="AT82" s="12"/>
      <c r="AU82" s="12"/>
      <c r="AV82" s="12"/>
      <c r="AW82" s="12"/>
      <c r="AX82" s="12"/>
      <c r="AY82" s="12"/>
      <c r="AZ82" s="12"/>
      <c r="BA82" s="12"/>
      <c r="BB82" s="59">
        <f t="shared" si="48"/>
        <v>3.2651727892232162E-2</v>
      </c>
      <c r="BC82" s="17">
        <v>52748</v>
      </c>
      <c r="BD82" s="17">
        <v>32164</v>
      </c>
      <c r="BE82" s="17">
        <f t="shared" si="62"/>
        <v>84912</v>
      </c>
      <c r="BF82" s="17">
        <f t="shared" si="43"/>
        <v>53874</v>
      </c>
      <c r="BG82" s="17">
        <f t="shared" si="42"/>
        <v>3404</v>
      </c>
      <c r="BH82" s="17">
        <f t="shared" si="49"/>
        <v>57278</v>
      </c>
      <c r="BI82" s="10"/>
      <c r="BJ82" s="12"/>
      <c r="BK82" s="12"/>
      <c r="BL82" s="12"/>
      <c r="BM82" s="12"/>
      <c r="BN82" s="12"/>
      <c r="BO82" s="12"/>
      <c r="BP82" s="12"/>
      <c r="BQ82" s="10"/>
      <c r="BR82" s="12"/>
      <c r="BS82" s="12"/>
      <c r="BT82" s="12"/>
      <c r="BU82" s="12"/>
      <c r="BV82" s="12"/>
      <c r="BW82" s="12"/>
      <c r="BX82" s="12"/>
      <c r="BY82" s="29">
        <f t="shared" si="58"/>
        <v>390300</v>
      </c>
      <c r="BZ82" s="29">
        <f t="shared" si="59"/>
        <v>538076</v>
      </c>
      <c r="CA82" s="29">
        <f t="shared" si="63"/>
        <v>239615</v>
      </c>
      <c r="CB82" s="29">
        <f t="shared" si="64"/>
        <v>423026</v>
      </c>
      <c r="CC82" s="29">
        <v>44063</v>
      </c>
      <c r="CD82" s="29">
        <v>79482</v>
      </c>
      <c r="CE82" s="29">
        <v>106622</v>
      </c>
      <c r="CF82" s="29">
        <v>35568</v>
      </c>
      <c r="CG82" s="52">
        <f t="shared" si="50"/>
        <v>0.36160605818233404</v>
      </c>
      <c r="CH82" s="52">
        <f t="shared" si="51"/>
        <v>0.63839394181766596</v>
      </c>
      <c r="CI82" s="52">
        <f t="shared" si="52"/>
        <v>0.35665546966692296</v>
      </c>
      <c r="CJ82" s="52">
        <f t="shared" si="53"/>
        <v>0.64334453033307704</v>
      </c>
      <c r="CK82" s="52">
        <f t="shared" si="54"/>
        <v>0.74985582671073914</v>
      </c>
      <c r="CL82" s="52">
        <f t="shared" si="55"/>
        <v>0.25014417328926086</v>
      </c>
      <c r="CM82" s="51"/>
      <c r="CN82" s="19"/>
    </row>
    <row r="83" spans="2:92">
      <c r="B83" t="str">
        <f t="shared" si="61"/>
        <v>2022</v>
      </c>
      <c r="C83">
        <v>202227</v>
      </c>
      <c r="G83" s="51">
        <f t="shared" si="60"/>
        <v>1034349</v>
      </c>
      <c r="H83" s="51">
        <v>441530</v>
      </c>
      <c r="I83" s="51">
        <v>592819</v>
      </c>
      <c r="J83" s="51">
        <f t="shared" si="44"/>
        <v>799801</v>
      </c>
      <c r="K83" s="51">
        <v>122323</v>
      </c>
      <c r="L83" s="51">
        <v>112225</v>
      </c>
      <c r="M83" s="61">
        <v>935077.28905121714</v>
      </c>
      <c r="N83" s="51">
        <f t="shared" si="56"/>
        <v>23991198</v>
      </c>
      <c r="O83" s="11">
        <f t="shared" si="57"/>
        <v>25672754.276610751</v>
      </c>
      <c r="P83" s="29">
        <v>28452630</v>
      </c>
      <c r="Q83" s="29">
        <v>6821704</v>
      </c>
      <c r="R83" s="20">
        <v>664825065.67999995</v>
      </c>
      <c r="S83" s="29">
        <v>97128261</v>
      </c>
      <c r="T83" s="63">
        <f t="shared" si="45"/>
        <v>7.0233976494235809E-2</v>
      </c>
      <c r="U83" s="13">
        <f t="shared" si="46"/>
        <v>97.457331141896503</v>
      </c>
      <c r="V83" s="52">
        <v>0.59325854022584135</v>
      </c>
      <c r="W83" s="52">
        <v>0.56895855003746187</v>
      </c>
      <c r="X83" s="52">
        <v>0.62686556501575141</v>
      </c>
      <c r="Y83" s="29">
        <v>565198</v>
      </c>
      <c r="Z83" s="29">
        <v>408368</v>
      </c>
      <c r="AA83" s="12"/>
      <c r="AB83" s="12"/>
      <c r="AC83" s="12"/>
      <c r="AD83" s="12"/>
      <c r="AE83" s="12"/>
      <c r="AF83" s="30">
        <v>0.76896413948390874</v>
      </c>
      <c r="AG83" s="30">
        <v>0.7518906118707509</v>
      </c>
      <c r="AH83" s="30">
        <v>0.78305992134108959</v>
      </c>
      <c r="AI83" s="30">
        <f t="shared" si="47"/>
        <v>0.66896413948390876</v>
      </c>
      <c r="AJ83" s="12"/>
      <c r="AK83" s="12"/>
      <c r="AL83" s="12"/>
      <c r="AM83" s="12"/>
      <c r="AN83" s="12"/>
      <c r="AO83" s="12"/>
      <c r="AP83" s="12"/>
      <c r="AQ83" s="12"/>
      <c r="AR83" s="12"/>
      <c r="AS83" s="12"/>
      <c r="AT83" s="12"/>
      <c r="AU83" s="12"/>
      <c r="AV83" s="12"/>
      <c r="AW83" s="12"/>
      <c r="AX83" s="12"/>
      <c r="AY83" s="12"/>
      <c r="AZ83" s="12"/>
      <c r="BA83" s="12"/>
      <c r="BB83" s="59">
        <f t="shared" si="48"/>
        <v>3.6353370496857405E-2</v>
      </c>
      <c r="BC83" s="17">
        <v>38099</v>
      </c>
      <c r="BD83" s="17">
        <f>12214+5+423</f>
        <v>12642</v>
      </c>
      <c r="BE83" s="17">
        <f t="shared" si="62"/>
        <v>50741</v>
      </c>
      <c r="BF83" s="17">
        <f t="shared" si="43"/>
        <v>57253</v>
      </c>
      <c r="BG83" s="17">
        <f t="shared" si="42"/>
        <v>4231</v>
      </c>
      <c r="BH83" s="17">
        <f t="shared" si="49"/>
        <v>61484</v>
      </c>
      <c r="BI83" s="10"/>
      <c r="BJ83" s="12"/>
      <c r="BK83" s="12"/>
      <c r="BL83" s="12"/>
      <c r="BM83" s="12"/>
      <c r="BN83" s="12"/>
      <c r="BO83" s="12"/>
      <c r="BP83" s="12"/>
      <c r="BQ83" s="10"/>
      <c r="BR83" s="12"/>
      <c r="BS83" s="12"/>
      <c r="BT83" s="12"/>
      <c r="BU83" s="12"/>
      <c r="BV83" s="12"/>
      <c r="BW83" s="12"/>
      <c r="BX83" s="12"/>
      <c r="BY83" s="29">
        <f t="shared" si="58"/>
        <v>441530</v>
      </c>
      <c r="BZ83" s="29">
        <f t="shared" si="59"/>
        <v>592819</v>
      </c>
      <c r="CA83" s="29">
        <f t="shared" si="63"/>
        <v>300566</v>
      </c>
      <c r="CB83" s="29">
        <f t="shared" si="64"/>
        <v>499235</v>
      </c>
      <c r="CC83" s="29">
        <v>45612</v>
      </c>
      <c r="CD83" s="29">
        <v>76711</v>
      </c>
      <c r="CE83" s="29">
        <v>95352</v>
      </c>
      <c r="CF83" s="29">
        <v>16873</v>
      </c>
      <c r="CG83" s="52">
        <f t="shared" si="50"/>
        <v>0.37580098049389787</v>
      </c>
      <c r="CH83" s="52">
        <f t="shared" si="51"/>
        <v>0.62419901950610213</v>
      </c>
      <c r="CI83" s="52">
        <f t="shared" si="52"/>
        <v>0.37288163305347316</v>
      </c>
      <c r="CJ83" s="52">
        <f t="shared" si="53"/>
        <v>0.62711836694652678</v>
      </c>
      <c r="CK83" s="52">
        <f t="shared" si="54"/>
        <v>0.8496502561817777</v>
      </c>
      <c r="CL83" s="52">
        <f t="shared" si="55"/>
        <v>0.15034974381822233</v>
      </c>
      <c r="CN83" s="19"/>
    </row>
    <row r="84" spans="2:92">
      <c r="B84" t="str">
        <f t="shared" si="61"/>
        <v>2022</v>
      </c>
      <c r="C84">
        <v>202228</v>
      </c>
      <c r="G84" s="51">
        <f t="shared" si="60"/>
        <v>997720</v>
      </c>
      <c r="H84" s="51">
        <v>422555</v>
      </c>
      <c r="I84" s="51">
        <f>574348+1+816</f>
        <v>575165</v>
      </c>
      <c r="J84" s="51">
        <f t="shared" si="44"/>
        <v>770172</v>
      </c>
      <c r="K84" s="51">
        <v>112133</v>
      </c>
      <c r="L84" s="51">
        <f>114598+1+816</f>
        <v>115415</v>
      </c>
      <c r="M84" s="61">
        <v>937119.17044668319</v>
      </c>
      <c r="N84" s="51">
        <f t="shared" si="56"/>
        <v>24988918</v>
      </c>
      <c r="O84" s="11">
        <f t="shared" si="57"/>
        <v>26609873.447057433</v>
      </c>
      <c r="P84" s="29">
        <v>28192586</v>
      </c>
      <c r="Q84" s="29">
        <v>6854709</v>
      </c>
      <c r="R84" s="20">
        <v>665771323.34000003</v>
      </c>
      <c r="S84" s="29">
        <v>96252159</v>
      </c>
      <c r="T84" s="63">
        <f t="shared" si="45"/>
        <v>7.1216158382483657E-2</v>
      </c>
      <c r="U84" s="13">
        <f t="shared" si="46"/>
        <v>97.126125024417519</v>
      </c>
      <c r="V84" s="52">
        <v>0.59033325948531823</v>
      </c>
      <c r="W84" s="52">
        <v>0.5668504698502902</v>
      </c>
      <c r="X84" s="52">
        <v>0.62332821749616307</v>
      </c>
      <c r="Y84" s="29">
        <v>551133</v>
      </c>
      <c r="Z84" s="29">
        <v>392246</v>
      </c>
      <c r="AA84" s="12"/>
      <c r="AB84" s="12"/>
      <c r="AC84" s="12"/>
      <c r="AD84" s="12"/>
      <c r="AE84" s="12"/>
      <c r="AF84" s="30">
        <v>0.76941541298566807</v>
      </c>
      <c r="AG84" s="30">
        <v>0.75336482848834063</v>
      </c>
      <c r="AH84" s="30">
        <v>0.78394266753534037</v>
      </c>
      <c r="AI84" s="30">
        <f t="shared" si="47"/>
        <v>0.66941541298566809</v>
      </c>
      <c r="AJ84" s="12"/>
      <c r="AK84" s="12"/>
      <c r="AL84" s="12"/>
      <c r="AM84" s="12"/>
      <c r="AN84" s="12"/>
      <c r="AO84" s="12"/>
      <c r="AP84" s="12"/>
      <c r="AQ84" s="12"/>
      <c r="AR84" s="12"/>
      <c r="AS84" s="12"/>
      <c r="AT84" s="12"/>
      <c r="AU84" s="12"/>
      <c r="AV84" s="12"/>
      <c r="AW84" s="12"/>
      <c r="AX84" s="12"/>
      <c r="AY84" s="12"/>
      <c r="AZ84" s="12"/>
      <c r="BA84" s="12"/>
      <c r="BB84" s="59">
        <f t="shared" si="48"/>
        <v>3.5389446005414334E-2</v>
      </c>
      <c r="BC84" s="17">
        <v>33138</v>
      </c>
      <c r="BD84" s="17">
        <f>27761+1+816</f>
        <v>28578</v>
      </c>
      <c r="BE84" s="17">
        <f t="shared" si="62"/>
        <v>61716</v>
      </c>
      <c r="BF84" s="17">
        <f t="shared" si="43"/>
        <v>51370</v>
      </c>
      <c r="BG84" s="17">
        <f t="shared" si="42"/>
        <v>2329</v>
      </c>
      <c r="BH84" s="17">
        <f t="shared" si="49"/>
        <v>53699</v>
      </c>
      <c r="BI84" s="10"/>
      <c r="BJ84" s="12"/>
      <c r="BK84" s="12"/>
      <c r="BL84" s="12"/>
      <c r="BM84" s="12"/>
      <c r="BN84" s="12"/>
      <c r="BO84" s="12"/>
      <c r="BP84" s="12"/>
      <c r="BQ84" s="10"/>
      <c r="BR84" s="12"/>
      <c r="BS84" s="12"/>
      <c r="BT84" s="12"/>
      <c r="BU84" s="12"/>
      <c r="BV84" s="12"/>
      <c r="BW84" s="12"/>
      <c r="BX84" s="12"/>
      <c r="BY84" s="29">
        <f t="shared" si="58"/>
        <v>422555</v>
      </c>
      <c r="BZ84" s="29">
        <f t="shared" si="59"/>
        <v>575165</v>
      </c>
      <c r="CA84" s="29">
        <f t="shared" si="63"/>
        <v>295625</v>
      </c>
      <c r="CB84" s="29">
        <f t="shared" si="64"/>
        <v>474547</v>
      </c>
      <c r="CC84" s="29">
        <v>42422</v>
      </c>
      <c r="CD84" s="29">
        <v>69711</v>
      </c>
      <c r="CE84" s="29">
        <v>84508</v>
      </c>
      <c r="CF84" s="29">
        <v>30907</v>
      </c>
      <c r="CG84" s="52">
        <f t="shared" si="50"/>
        <v>0.38384282991331808</v>
      </c>
      <c r="CH84" s="52">
        <f t="shared" si="51"/>
        <v>0.61615717008668192</v>
      </c>
      <c r="CI84" s="52">
        <f t="shared" si="52"/>
        <v>0.37831860380084364</v>
      </c>
      <c r="CJ84" s="52">
        <f t="shared" si="53"/>
        <v>0.62168139619915641</v>
      </c>
      <c r="CK84" s="52">
        <f t="shared" si="54"/>
        <v>0.73220985140579642</v>
      </c>
      <c r="CL84" s="52">
        <f t="shared" si="55"/>
        <v>0.26779014859420353</v>
      </c>
      <c r="CN84" s="19"/>
    </row>
    <row r="85" spans="2:92">
      <c r="B85" t="str">
        <f t="shared" si="61"/>
        <v>2022</v>
      </c>
      <c r="C85">
        <v>202229</v>
      </c>
      <c r="G85" s="51">
        <f t="shared" si="60"/>
        <v>989668</v>
      </c>
      <c r="H85" s="51">
        <v>415948</v>
      </c>
      <c r="I85" s="51">
        <f>572599+1121</f>
        <v>573720</v>
      </c>
      <c r="J85" s="51">
        <f t="shared" si="44"/>
        <v>739549</v>
      </c>
      <c r="K85" s="51">
        <v>103300</v>
      </c>
      <c r="L85" s="51">
        <f>145698+1121</f>
        <v>146819</v>
      </c>
      <c r="M85" s="61">
        <v>928667.27353300736</v>
      </c>
      <c r="N85" s="51">
        <f t="shared" si="56"/>
        <v>25978586</v>
      </c>
      <c r="O85" s="11">
        <f t="shared" si="57"/>
        <v>27538540.720590442</v>
      </c>
      <c r="P85" s="29">
        <v>28395929</v>
      </c>
      <c r="Q85" s="29">
        <v>6849962</v>
      </c>
      <c r="R85" s="20">
        <v>659320529.82000005</v>
      </c>
      <c r="S85" s="29">
        <v>96094937</v>
      </c>
      <c r="T85" s="63">
        <f t="shared" si="45"/>
        <v>7.1283276870247603E-2</v>
      </c>
      <c r="U85" s="13">
        <f t="shared" si="46"/>
        <v>96.25170618756718</v>
      </c>
      <c r="V85" s="52">
        <v>0.58485151938829849</v>
      </c>
      <c r="W85" s="52">
        <v>0.56199348920226466</v>
      </c>
      <c r="X85" s="52">
        <v>0.61736650048825614</v>
      </c>
      <c r="Y85" s="29">
        <v>553542</v>
      </c>
      <c r="Z85" s="29">
        <v>389140</v>
      </c>
      <c r="AA85" s="12"/>
      <c r="AB85" s="12"/>
      <c r="AC85" s="12"/>
      <c r="AD85" s="12"/>
      <c r="AE85" s="12"/>
      <c r="AF85" s="30">
        <v>0.76600996153942646</v>
      </c>
      <c r="AG85" s="30">
        <v>0.75044125972714049</v>
      </c>
      <c r="AH85" s="30">
        <v>0.7859450853066513</v>
      </c>
      <c r="AI85" s="30">
        <f t="shared" si="47"/>
        <v>0.66600996153942649</v>
      </c>
      <c r="AJ85" s="12"/>
      <c r="AK85" s="12"/>
      <c r="AL85" s="12"/>
      <c r="AM85" s="12"/>
      <c r="AN85" s="12"/>
      <c r="AO85" s="12"/>
      <c r="AP85" s="12"/>
      <c r="AQ85" s="12"/>
      <c r="AR85" s="12"/>
      <c r="AS85" s="12"/>
      <c r="AT85" s="12"/>
      <c r="AU85" s="12"/>
      <c r="AV85" s="12"/>
      <c r="AW85" s="12"/>
      <c r="AX85" s="12"/>
      <c r="AY85" s="12"/>
      <c r="AZ85" s="12"/>
      <c r="BA85" s="12"/>
      <c r="BB85" s="59">
        <f t="shared" si="48"/>
        <v>3.4852460717168299E-2</v>
      </c>
      <c r="BC85" s="17">
        <v>42300</v>
      </c>
      <c r="BD85" s="17">
        <v>57058</v>
      </c>
      <c r="BE85" s="17">
        <f t="shared" si="62"/>
        <v>99358</v>
      </c>
      <c r="BF85" s="17">
        <f t="shared" si="43"/>
        <v>44258</v>
      </c>
      <c r="BG85" s="17">
        <f t="shared" ref="BG85:BG108" si="65">CF85-BD85</f>
        <v>3203</v>
      </c>
      <c r="BH85" s="17">
        <f t="shared" si="49"/>
        <v>47461</v>
      </c>
      <c r="BI85" s="10"/>
      <c r="BJ85" s="12"/>
      <c r="BK85" s="12"/>
      <c r="BL85" s="12"/>
      <c r="BM85" s="12"/>
      <c r="BN85" s="12"/>
      <c r="BO85" s="12"/>
      <c r="BP85" s="12"/>
      <c r="BQ85" s="10"/>
      <c r="BR85" s="12"/>
      <c r="BS85" s="12"/>
      <c r="BT85" s="12"/>
      <c r="BU85" s="12"/>
      <c r="BV85" s="12"/>
      <c r="BW85" s="12"/>
      <c r="BX85" s="12"/>
      <c r="BY85" s="29">
        <f t="shared" si="58"/>
        <v>415948</v>
      </c>
      <c r="BZ85" s="29">
        <f t="shared" si="59"/>
        <v>573720</v>
      </c>
      <c r="CA85" s="29">
        <f t="shared" si="63"/>
        <v>287517</v>
      </c>
      <c r="CB85" s="29">
        <f t="shared" si="64"/>
        <v>452032</v>
      </c>
      <c r="CC85" s="29">
        <v>41873</v>
      </c>
      <c r="CD85" s="29">
        <v>61427</v>
      </c>
      <c r="CE85" s="29">
        <v>86558</v>
      </c>
      <c r="CF85" s="29">
        <v>60261</v>
      </c>
      <c r="CG85" s="52">
        <f t="shared" si="50"/>
        <v>0.38877342812984672</v>
      </c>
      <c r="CH85" s="52">
        <f t="shared" si="51"/>
        <v>0.61122657187015328</v>
      </c>
      <c r="CI85" s="52">
        <f t="shared" si="52"/>
        <v>0.40535333978702809</v>
      </c>
      <c r="CJ85" s="52">
        <f t="shared" si="53"/>
        <v>0.59464666021297197</v>
      </c>
      <c r="CK85" s="52">
        <f t="shared" si="54"/>
        <v>0.58955584767639069</v>
      </c>
      <c r="CL85" s="52">
        <f t="shared" si="55"/>
        <v>0.41044415232360937</v>
      </c>
      <c r="CN85" s="19"/>
    </row>
    <row r="86" spans="2:92">
      <c r="B86" t="str">
        <f t="shared" si="61"/>
        <v>2022</v>
      </c>
      <c r="C86">
        <v>202230</v>
      </c>
      <c r="G86" s="51">
        <f t="shared" si="60"/>
        <v>939492</v>
      </c>
      <c r="H86" s="51">
        <v>399473</v>
      </c>
      <c r="I86" s="51">
        <f>538461+1558</f>
        <v>540019</v>
      </c>
      <c r="J86" s="51">
        <v>664171</v>
      </c>
      <c r="K86" s="51">
        <v>88220</v>
      </c>
      <c r="L86" s="51">
        <f>185543+1558</f>
        <v>187101</v>
      </c>
      <c r="M86" s="61">
        <v>944587.07038226328</v>
      </c>
      <c r="N86" s="51">
        <f t="shared" si="56"/>
        <v>26918078</v>
      </c>
      <c r="O86" s="11">
        <f t="shared" si="57"/>
        <v>28483127.790972706</v>
      </c>
      <c r="P86" s="29">
        <v>28073251</v>
      </c>
      <c r="Q86" s="29">
        <v>6650815</v>
      </c>
      <c r="R86" s="20">
        <v>644971584.98000002</v>
      </c>
      <c r="S86" s="29">
        <v>94227181</v>
      </c>
      <c r="T86" s="63">
        <f t="shared" si="45"/>
        <v>7.0582765285103877E-2</v>
      </c>
      <c r="U86" s="13">
        <f t="shared" si="46"/>
        <v>96.976323199487581</v>
      </c>
      <c r="V86" s="52">
        <v>0.59048704842387367</v>
      </c>
      <c r="W86" s="52">
        <v>0.55832486424172556</v>
      </c>
      <c r="X86" s="52">
        <v>0.63311069901146344</v>
      </c>
      <c r="Y86" s="29">
        <v>527408</v>
      </c>
      <c r="Z86" s="29">
        <v>397962</v>
      </c>
      <c r="AA86" s="12"/>
      <c r="AB86" s="12"/>
      <c r="AC86" s="12"/>
      <c r="AD86" s="12"/>
      <c r="AE86" s="12"/>
      <c r="AF86" s="30">
        <v>0.77359826404474052</v>
      </c>
      <c r="AG86" s="30">
        <v>0.74584437484943389</v>
      </c>
      <c r="AH86" s="30">
        <v>0.79274883104397609</v>
      </c>
      <c r="AI86" s="30">
        <f t="shared" si="47"/>
        <v>0.67359826404474055</v>
      </c>
      <c r="AJ86" s="12"/>
      <c r="AK86" s="12"/>
      <c r="AL86" s="12"/>
      <c r="AM86" s="12"/>
      <c r="AN86" s="12"/>
      <c r="AO86" s="12"/>
      <c r="AP86" s="12"/>
      <c r="AQ86" s="12"/>
      <c r="AR86" s="12"/>
      <c r="AS86" s="12"/>
      <c r="AT86" s="12"/>
      <c r="AU86" s="12"/>
      <c r="AV86" s="12"/>
      <c r="AW86" s="12"/>
      <c r="AX86" s="12"/>
      <c r="AY86" s="12"/>
      <c r="AZ86" s="12"/>
      <c r="BA86" s="12"/>
      <c r="BB86" s="59">
        <f t="shared" si="48"/>
        <v>3.346573576391277E-2</v>
      </c>
      <c r="BC86" s="17">
        <v>40556</v>
      </c>
      <c r="BD86" s="17">
        <f>95139+1558</f>
        <v>96697</v>
      </c>
      <c r="BE86" s="17">
        <f t="shared" si="62"/>
        <v>137253</v>
      </c>
      <c r="BF86" s="17">
        <f t="shared" ref="BF86:BF108" si="66">CE86-BC86</f>
        <v>45823</v>
      </c>
      <c r="BG86" s="17">
        <f t="shared" si="65"/>
        <v>4025</v>
      </c>
      <c r="BH86" s="17">
        <f t="shared" si="49"/>
        <v>49848</v>
      </c>
      <c r="BI86" s="10"/>
      <c r="BJ86" s="12"/>
      <c r="BK86" s="12"/>
      <c r="BL86" s="12"/>
      <c r="BM86" s="12"/>
      <c r="BN86" s="12"/>
      <c r="BO86" s="12"/>
      <c r="BP86" s="12"/>
      <c r="BQ86" s="10"/>
      <c r="BR86" s="12"/>
      <c r="BS86" s="12"/>
      <c r="BT86" s="12"/>
      <c r="BU86" s="12"/>
      <c r="BV86" s="12"/>
      <c r="BW86" s="12"/>
      <c r="BX86" s="12"/>
      <c r="BY86" s="29">
        <f t="shared" si="58"/>
        <v>399473</v>
      </c>
      <c r="BZ86" s="29">
        <f t="shared" si="59"/>
        <v>540019</v>
      </c>
      <c r="CA86" s="29">
        <f t="shared" si="63"/>
        <v>275379</v>
      </c>
      <c r="CB86" s="29">
        <f t="shared" si="64"/>
        <v>388792</v>
      </c>
      <c r="CC86" s="29">
        <v>37715</v>
      </c>
      <c r="CD86" s="29">
        <v>50505</v>
      </c>
      <c r="CE86" s="29">
        <v>86379</v>
      </c>
      <c r="CF86" s="29">
        <v>100722</v>
      </c>
      <c r="CG86" s="52">
        <f t="shared" si="50"/>
        <v>0.41462063233715413</v>
      </c>
      <c r="CH86" s="52">
        <f t="shared" si="51"/>
        <v>0.58537936766284582</v>
      </c>
      <c r="CI86" s="52">
        <f t="shared" si="52"/>
        <v>0.4275107685332124</v>
      </c>
      <c r="CJ86" s="52">
        <f t="shared" si="53"/>
        <v>0.57248923146678754</v>
      </c>
      <c r="CK86" s="52">
        <f t="shared" si="54"/>
        <v>0.46167043468500968</v>
      </c>
      <c r="CL86" s="52">
        <f t="shared" si="55"/>
        <v>0.53832956531499032</v>
      </c>
      <c r="CN86" s="19"/>
    </row>
    <row r="87" spans="2:92">
      <c r="B87" t="str">
        <f t="shared" si="61"/>
        <v>2022</v>
      </c>
      <c r="C87">
        <v>202231</v>
      </c>
      <c r="G87" s="51">
        <f t="shared" si="60"/>
        <v>945700</v>
      </c>
      <c r="H87" s="51">
        <f>419170+422</f>
        <v>419592</v>
      </c>
      <c r="I87" s="51">
        <f>525308+800</f>
        <v>526108</v>
      </c>
      <c r="J87" s="51">
        <v>665253</v>
      </c>
      <c r="K87" s="51">
        <v>88780</v>
      </c>
      <c r="L87" s="51">
        <f>190445+800+422</f>
        <v>191667</v>
      </c>
      <c r="M87" s="61">
        <v>978297.11170856189</v>
      </c>
      <c r="N87" s="51">
        <f t="shared" si="56"/>
        <v>27863778</v>
      </c>
      <c r="O87" s="11">
        <f t="shared" si="57"/>
        <v>29461424.902681269</v>
      </c>
      <c r="P87" s="29">
        <v>28436052</v>
      </c>
      <c r="Q87" s="29">
        <v>6738209</v>
      </c>
      <c r="R87" s="20">
        <v>672046307.46000004</v>
      </c>
      <c r="S87" s="29">
        <v>96021316</v>
      </c>
      <c r="T87" s="63">
        <f t="shared" si="45"/>
        <v>7.0174095510209422E-2</v>
      </c>
      <c r="U87" s="13">
        <f t="shared" si="46"/>
        <v>99.736637355712773</v>
      </c>
      <c r="V87" s="52">
        <v>0.59792590385727551</v>
      </c>
      <c r="W87" s="52">
        <v>0.56406672986523065</v>
      </c>
      <c r="X87" s="52">
        <v>0.64108620419024265</v>
      </c>
      <c r="Y87" s="29">
        <v>511615</v>
      </c>
      <c r="Z87" s="29">
        <v>401361</v>
      </c>
      <c r="AA87" s="12"/>
      <c r="AB87" s="12"/>
      <c r="AC87" s="12"/>
      <c r="AD87" s="12"/>
      <c r="AE87" s="12"/>
      <c r="AF87" s="30">
        <v>0.77572894367756695</v>
      </c>
      <c r="AG87" s="30">
        <v>0.74629717008274543</v>
      </c>
      <c r="AH87" s="30">
        <v>0.79653900183701509</v>
      </c>
      <c r="AI87" s="30">
        <f t="shared" si="47"/>
        <v>0.67572894367756697</v>
      </c>
      <c r="AJ87" s="12"/>
      <c r="AK87" s="12"/>
      <c r="AL87" s="12"/>
      <c r="AM87" s="12"/>
      <c r="AN87" s="12"/>
      <c r="AO87" s="12"/>
      <c r="AP87" s="12"/>
      <c r="AQ87" s="12"/>
      <c r="AR87" s="12"/>
      <c r="AS87" s="12"/>
      <c r="AT87" s="12"/>
      <c r="AU87" s="12"/>
      <c r="AV87" s="12"/>
      <c r="AW87" s="12"/>
      <c r="AX87" s="12"/>
      <c r="AY87" s="12"/>
      <c r="AZ87" s="12"/>
      <c r="BA87" s="12"/>
      <c r="BB87" s="59">
        <f t="shared" si="48"/>
        <v>3.3257078021942006E-2</v>
      </c>
      <c r="BC87" s="17">
        <v>46201</v>
      </c>
      <c r="BD87" s="17">
        <v>82601</v>
      </c>
      <c r="BE87" s="17">
        <f t="shared" si="62"/>
        <v>128802</v>
      </c>
      <c r="BF87" s="17">
        <f t="shared" si="66"/>
        <v>56156</v>
      </c>
      <c r="BG87" s="17">
        <f t="shared" si="65"/>
        <v>6709</v>
      </c>
      <c r="BH87" s="17">
        <f t="shared" si="49"/>
        <v>62865</v>
      </c>
      <c r="BI87" s="10"/>
      <c r="BJ87" s="12"/>
      <c r="BK87" s="12"/>
      <c r="BL87" s="12"/>
      <c r="BM87" s="12"/>
      <c r="BN87" s="12"/>
      <c r="BO87" s="12"/>
      <c r="BP87" s="12"/>
      <c r="BQ87" s="10"/>
      <c r="BR87" s="12"/>
      <c r="BS87" s="12"/>
      <c r="BT87" s="12"/>
      <c r="BU87" s="12"/>
      <c r="BV87" s="12"/>
      <c r="BW87" s="12"/>
      <c r="BX87" s="12"/>
      <c r="BY87" s="29">
        <f t="shared" si="58"/>
        <v>419592</v>
      </c>
      <c r="BZ87" s="29">
        <f t="shared" si="59"/>
        <v>526108</v>
      </c>
      <c r="CA87" s="29">
        <f t="shared" si="63"/>
        <v>278458</v>
      </c>
      <c r="CB87" s="29">
        <f t="shared" si="64"/>
        <v>386795</v>
      </c>
      <c r="CC87" s="29">
        <v>38777</v>
      </c>
      <c r="CD87" s="29">
        <v>50003</v>
      </c>
      <c r="CE87" s="29">
        <v>102357</v>
      </c>
      <c r="CF87" s="29">
        <v>89310</v>
      </c>
      <c r="CG87" s="52">
        <f t="shared" si="50"/>
        <v>0.41857458741260845</v>
      </c>
      <c r="CH87" s="52">
        <f t="shared" si="51"/>
        <v>0.58142541258739155</v>
      </c>
      <c r="CI87" s="52">
        <f t="shared" si="52"/>
        <v>0.43677630096868664</v>
      </c>
      <c r="CJ87" s="52">
        <f t="shared" si="53"/>
        <v>0.56322369903131331</v>
      </c>
      <c r="CK87" s="52">
        <f t="shared" si="54"/>
        <v>0.53403559298157743</v>
      </c>
      <c r="CL87" s="52">
        <f t="shared" si="55"/>
        <v>0.46596440701842257</v>
      </c>
      <c r="CN87" s="19"/>
    </row>
    <row r="88" spans="2:92">
      <c r="B88" t="str">
        <f t="shared" si="61"/>
        <v>2022</v>
      </c>
      <c r="C88">
        <v>202232</v>
      </c>
      <c r="G88" s="51">
        <f t="shared" si="60"/>
        <v>958124</v>
      </c>
      <c r="H88" s="51">
        <v>423877</v>
      </c>
      <c r="I88" s="51">
        <v>534247</v>
      </c>
      <c r="J88" s="51">
        <v>643475</v>
      </c>
      <c r="K88" s="51">
        <v>92594</v>
      </c>
      <c r="L88" s="51">
        <v>222055</v>
      </c>
      <c r="M88" s="61">
        <v>1015476.871189205</v>
      </c>
      <c r="N88" s="51">
        <f t="shared" si="56"/>
        <v>28821902</v>
      </c>
      <c r="O88" s="11">
        <f t="shared" si="57"/>
        <v>30476901.773870476</v>
      </c>
      <c r="P88" s="29">
        <v>28993970</v>
      </c>
      <c r="Q88" s="29">
        <v>6712022</v>
      </c>
      <c r="R88" s="20">
        <v>669628402.84000003</v>
      </c>
      <c r="S88" s="29">
        <v>97711663</v>
      </c>
      <c r="T88" s="63">
        <f t="shared" si="45"/>
        <v>6.8692127366617436E-2</v>
      </c>
      <c r="U88" s="13">
        <f t="shared" si="46"/>
        <v>99.765525625511955</v>
      </c>
      <c r="V88" s="52">
        <v>0.58576877831232221</v>
      </c>
      <c r="W88" s="52">
        <v>0.55550655635341872</v>
      </c>
      <c r="X88" s="52">
        <v>0.62465896324827475</v>
      </c>
      <c r="Y88" s="29">
        <v>512480</v>
      </c>
      <c r="Z88" s="29">
        <v>398784</v>
      </c>
      <c r="AA88" s="12"/>
      <c r="AB88" s="12"/>
      <c r="AC88" s="12"/>
      <c r="AD88" s="12"/>
      <c r="AE88" s="12"/>
      <c r="AF88" s="30">
        <v>0.77214404753278743</v>
      </c>
      <c r="AG88" s="30">
        <v>0.74626629433245528</v>
      </c>
      <c r="AH88" s="30">
        <v>0.78959381867158152</v>
      </c>
      <c r="AI88" s="30">
        <f t="shared" si="47"/>
        <v>0.67214404753278745</v>
      </c>
      <c r="AJ88" s="12"/>
      <c r="AK88" s="12"/>
      <c r="AL88" s="12"/>
      <c r="AM88" s="12"/>
      <c r="AN88" s="12"/>
      <c r="AO88" s="12"/>
      <c r="AP88" s="12"/>
      <c r="AQ88" s="12"/>
      <c r="AR88" s="12"/>
      <c r="AS88" s="12"/>
      <c r="AT88" s="12"/>
      <c r="AU88" s="12"/>
      <c r="AV88" s="12"/>
      <c r="AW88" s="12"/>
      <c r="AX88" s="12"/>
      <c r="AY88" s="12"/>
      <c r="AZ88" s="12"/>
      <c r="BA88" s="12"/>
      <c r="BB88" s="59">
        <f t="shared" si="48"/>
        <v>3.3045629832685899E-2</v>
      </c>
      <c r="BC88" s="17">
        <v>54748</v>
      </c>
      <c r="BD88" s="17">
        <v>98379</v>
      </c>
      <c r="BE88" s="17">
        <f t="shared" si="62"/>
        <v>153127</v>
      </c>
      <c r="BF88" s="17">
        <f t="shared" si="66"/>
        <v>60949</v>
      </c>
      <c r="BG88" s="17">
        <f t="shared" si="65"/>
        <v>7979</v>
      </c>
      <c r="BH88" s="17">
        <f t="shared" si="49"/>
        <v>68928</v>
      </c>
      <c r="BI88" s="10"/>
      <c r="BJ88" s="12"/>
      <c r="BK88" s="12"/>
      <c r="BL88" s="12"/>
      <c r="BM88" s="12"/>
      <c r="BN88" s="12"/>
      <c r="BO88" s="12"/>
      <c r="BP88" s="12"/>
      <c r="BQ88" s="10"/>
      <c r="BR88" s="12"/>
      <c r="BS88" s="12"/>
      <c r="BT88" s="12"/>
      <c r="BU88" s="12"/>
      <c r="BV88" s="12"/>
      <c r="BW88" s="12"/>
      <c r="BX88" s="12"/>
      <c r="BY88" s="29">
        <f t="shared" si="58"/>
        <v>423877</v>
      </c>
      <c r="BZ88" s="29">
        <f t="shared" si="59"/>
        <v>534247</v>
      </c>
      <c r="CA88" s="29">
        <f t="shared" si="63"/>
        <v>267295</v>
      </c>
      <c r="CB88" s="29">
        <f t="shared" si="64"/>
        <v>376180</v>
      </c>
      <c r="CC88" s="29">
        <v>40885</v>
      </c>
      <c r="CD88" s="29">
        <v>51709</v>
      </c>
      <c r="CE88" s="29">
        <v>115697</v>
      </c>
      <c r="CF88" s="29">
        <v>106358</v>
      </c>
      <c r="CG88" s="52">
        <f t="shared" si="50"/>
        <v>0.41539298341038888</v>
      </c>
      <c r="CH88" s="52">
        <f t="shared" si="51"/>
        <v>0.58460701658961112</v>
      </c>
      <c r="CI88" s="52">
        <f t="shared" si="52"/>
        <v>0.44155128842041602</v>
      </c>
      <c r="CJ88" s="52">
        <f t="shared" si="53"/>
        <v>0.55844871157958398</v>
      </c>
      <c r="CK88" s="52">
        <f t="shared" si="54"/>
        <v>0.52102857400193647</v>
      </c>
      <c r="CL88" s="52">
        <f t="shared" si="55"/>
        <v>0.47897142599806353</v>
      </c>
      <c r="CN88" s="19"/>
    </row>
    <row r="89" spans="2:92">
      <c r="B89" t="str">
        <f t="shared" si="61"/>
        <v>2022</v>
      </c>
      <c r="C89">
        <v>202233</v>
      </c>
      <c r="G89" s="51">
        <f t="shared" si="60"/>
        <v>923765</v>
      </c>
      <c r="H89" s="51">
        <v>408285</v>
      </c>
      <c r="I89" s="51">
        <v>515480</v>
      </c>
      <c r="J89" s="51">
        <v>605349</v>
      </c>
      <c r="K89" s="51">
        <v>93281</v>
      </c>
      <c r="L89" s="51">
        <v>225135</v>
      </c>
      <c r="M89" s="61">
        <v>1033335.068897877</v>
      </c>
      <c r="N89" s="51">
        <f t="shared" si="56"/>
        <v>29745667</v>
      </c>
      <c r="O89" s="11">
        <f t="shared" si="57"/>
        <v>31510236.842768352</v>
      </c>
      <c r="P89" s="29">
        <v>28090800</v>
      </c>
      <c r="Q89" s="29">
        <v>6666410</v>
      </c>
      <c r="R89" s="20">
        <v>653227769.53999996</v>
      </c>
      <c r="S89" s="29">
        <v>93998683</v>
      </c>
      <c r="T89" s="63">
        <f t="shared" ref="T89:T106" si="67">IFERROR(Q89/S89,"")</f>
        <v>7.0920248957105067E-2</v>
      </c>
      <c r="U89" s="13">
        <f t="shared" ref="U89:U106" si="68">IFERROR(R89/Q89,"")</f>
        <v>97.98793796661171</v>
      </c>
      <c r="V89" s="52">
        <v>0.6182570413717724</v>
      </c>
      <c r="W89" s="52">
        <v>0.61299768872870564</v>
      </c>
      <c r="X89" s="52">
        <v>0.62680387921034042</v>
      </c>
      <c r="Y89" s="29">
        <v>630389</v>
      </c>
      <c r="Z89" s="29">
        <v>387914</v>
      </c>
      <c r="AA89" s="12"/>
      <c r="AB89" s="12"/>
      <c r="AC89" s="12"/>
      <c r="AD89" s="12"/>
      <c r="AE89" s="12"/>
      <c r="AF89" s="22">
        <v>0.8</v>
      </c>
      <c r="AG89" s="22">
        <v>0.81</v>
      </c>
      <c r="AH89" s="22">
        <v>0.79</v>
      </c>
      <c r="AI89" s="22">
        <v>0.7</v>
      </c>
      <c r="AJ89" s="23"/>
      <c r="AK89" s="12"/>
      <c r="AL89" s="12"/>
      <c r="AM89" s="12"/>
      <c r="AN89" s="12"/>
      <c r="AO89" s="12"/>
      <c r="AP89" s="12"/>
      <c r="AQ89" s="12"/>
      <c r="AR89" s="12"/>
      <c r="AS89" s="12"/>
      <c r="AT89" s="12"/>
      <c r="AU89" s="12"/>
      <c r="AV89" s="12"/>
      <c r="AW89" s="12"/>
      <c r="AX89" s="12"/>
      <c r="AY89" s="12"/>
      <c r="AZ89" s="12"/>
      <c r="BA89" s="12"/>
      <c r="BB89" s="59">
        <f t="shared" ref="BB89:BB108" si="69">IFERROR(G89/P89,"")</f>
        <v>3.288496589630769E-2</v>
      </c>
      <c r="BC89" s="17">
        <v>55438</v>
      </c>
      <c r="BD89" s="17">
        <v>101618</v>
      </c>
      <c r="BE89" s="17">
        <f t="shared" si="62"/>
        <v>157056</v>
      </c>
      <c r="BF89" s="17">
        <f t="shared" si="66"/>
        <v>60011</v>
      </c>
      <c r="BG89" s="17">
        <f t="shared" si="65"/>
        <v>8068</v>
      </c>
      <c r="BH89" s="17">
        <f t="shared" ref="BH89:BH108" si="70">SUM(BF89,BG89)</f>
        <v>68079</v>
      </c>
      <c r="BI89" s="10"/>
      <c r="BJ89" s="12"/>
      <c r="BK89" s="12"/>
      <c r="BL89" s="12"/>
      <c r="BM89" s="12"/>
      <c r="BN89" s="12"/>
      <c r="BO89" s="12"/>
      <c r="BP89" s="12"/>
      <c r="BQ89" s="10"/>
      <c r="BR89" s="12"/>
      <c r="BS89" s="12"/>
      <c r="BT89" s="12"/>
      <c r="BU89" s="12"/>
      <c r="BV89" s="12"/>
      <c r="BW89" s="12"/>
      <c r="BX89" s="12"/>
      <c r="BY89" s="29">
        <f t="shared" si="58"/>
        <v>408285</v>
      </c>
      <c r="BZ89" s="29">
        <f t="shared" si="59"/>
        <v>515480</v>
      </c>
      <c r="CA89" s="29">
        <f t="shared" si="63"/>
        <v>250676</v>
      </c>
      <c r="CB89" s="29">
        <f t="shared" si="64"/>
        <v>354673</v>
      </c>
      <c r="CC89" s="29">
        <v>42160</v>
      </c>
      <c r="CD89" s="29">
        <v>51121</v>
      </c>
      <c r="CE89" s="29">
        <v>115449</v>
      </c>
      <c r="CF89" s="29">
        <v>109686</v>
      </c>
      <c r="CG89" s="52">
        <f t="shared" ref="CG89:CG108" si="71">CA89/($CA89+$CB89)</f>
        <v>0.41410161741408674</v>
      </c>
      <c r="CH89" s="52">
        <f t="shared" ref="CH89:CH108" si="72">CB89/($CA89+$CB89)</f>
        <v>0.5858983825859132</v>
      </c>
      <c r="CI89" s="52">
        <f t="shared" ref="CI89:CI108" si="73">CC89/($CC89+$CD89)</f>
        <v>0.45196771046622569</v>
      </c>
      <c r="CJ89" s="52">
        <f t="shared" ref="CJ89:CJ108" si="74">CD89/($CC89+$CD89)</f>
        <v>0.54803228953377425</v>
      </c>
      <c r="CK89" s="52">
        <f t="shared" ref="CK89:CK108" si="75">CE89/($CE89+$CF89)</f>
        <v>0.51279898727430206</v>
      </c>
      <c r="CL89" s="52">
        <f t="shared" ref="CL89:CL108" si="76">CF89/($CE89+$CF89)</f>
        <v>0.48720101272569794</v>
      </c>
      <c r="CN89" s="19"/>
    </row>
    <row r="90" spans="2:92">
      <c r="B90" t="str">
        <f t="shared" si="61"/>
        <v>2022</v>
      </c>
      <c r="C90">
        <v>202234</v>
      </c>
      <c r="G90" s="51">
        <f t="shared" si="60"/>
        <v>990871</v>
      </c>
      <c r="H90" s="51">
        <v>424202</v>
      </c>
      <c r="I90" s="51">
        <v>566669</v>
      </c>
      <c r="J90" s="51">
        <v>646038</v>
      </c>
      <c r="K90" s="51">
        <v>117096</v>
      </c>
      <c r="L90" s="51">
        <v>227737</v>
      </c>
      <c r="M90" s="61">
        <v>1029337.043243226</v>
      </c>
      <c r="N90" s="51">
        <f t="shared" ref="N90:N108" si="77">N89+G90</f>
        <v>30736538</v>
      </c>
      <c r="O90" s="11">
        <f t="shared" ref="O90:O108" si="78">M90+O89</f>
        <v>32539573.886011578</v>
      </c>
      <c r="P90" s="29">
        <v>28269213</v>
      </c>
      <c r="Q90" s="29">
        <v>6725689</v>
      </c>
      <c r="R90" s="20">
        <v>652949927.6400001</v>
      </c>
      <c r="S90" s="29">
        <v>94269496</v>
      </c>
      <c r="T90" s="63">
        <f t="shared" si="67"/>
        <v>7.1345337414342389E-2</v>
      </c>
      <c r="U90" s="13">
        <f t="shared" si="68"/>
        <v>97.082979549009792</v>
      </c>
      <c r="V90" s="52">
        <v>0.6240996428774086</v>
      </c>
      <c r="W90" s="52">
        <v>0.62206917728598687</v>
      </c>
      <c r="X90" s="52">
        <v>0.62749708240463686</v>
      </c>
      <c r="Y90" s="29">
        <v>683895</v>
      </c>
      <c r="Z90" s="29">
        <v>408727</v>
      </c>
      <c r="AA90" s="12"/>
      <c r="AB90" s="12"/>
      <c r="AC90" s="12"/>
      <c r="AD90" s="12"/>
      <c r="AE90" s="12"/>
      <c r="AF90" s="30">
        <v>0.81667733998449565</v>
      </c>
      <c r="AG90" s="30">
        <v>0.83536221463239257</v>
      </c>
      <c r="AH90" s="30">
        <v>0.78518950786311736</v>
      </c>
      <c r="AI90" s="30">
        <f>AF90-0.1</f>
        <v>0.71667733998449568</v>
      </c>
      <c r="AJ90" s="12"/>
      <c r="AK90" s="12"/>
      <c r="AL90" s="12"/>
      <c r="AM90" s="12"/>
      <c r="AN90" s="12"/>
      <c r="AO90" s="12"/>
      <c r="AP90" s="12"/>
      <c r="AQ90" s="12"/>
      <c r="AR90" s="12"/>
      <c r="AS90" s="12"/>
      <c r="AT90" s="12"/>
      <c r="AU90" s="12"/>
      <c r="AV90" s="12"/>
      <c r="AW90" s="12"/>
      <c r="AX90" s="12"/>
      <c r="AY90" s="12"/>
      <c r="AZ90" s="12"/>
      <c r="BA90" s="12"/>
      <c r="BB90" s="59">
        <f t="shared" si="69"/>
        <v>3.5051241079827725E-2</v>
      </c>
      <c r="BC90" s="17">
        <v>60783</v>
      </c>
      <c r="BD90" s="17">
        <v>95827</v>
      </c>
      <c r="BE90" s="17">
        <f t="shared" si="62"/>
        <v>156610</v>
      </c>
      <c r="BF90" s="17">
        <f t="shared" si="66"/>
        <v>63415</v>
      </c>
      <c r="BG90" s="17">
        <f t="shared" si="65"/>
        <v>7712</v>
      </c>
      <c r="BH90" s="17">
        <f t="shared" si="70"/>
        <v>71127</v>
      </c>
      <c r="BI90" s="10"/>
      <c r="BJ90" s="12"/>
      <c r="BK90" s="12"/>
      <c r="BL90" s="12"/>
      <c r="BM90" s="12"/>
      <c r="BN90" s="12"/>
      <c r="BO90" s="12"/>
      <c r="BP90" s="12"/>
      <c r="BQ90" s="10"/>
      <c r="BR90" s="12"/>
      <c r="BS90" s="12"/>
      <c r="BT90" s="12"/>
      <c r="BU90" s="12"/>
      <c r="BV90" s="12"/>
      <c r="BW90" s="12"/>
      <c r="BX90" s="12"/>
      <c r="BY90" s="29">
        <f t="shared" si="58"/>
        <v>424202</v>
      </c>
      <c r="BZ90" s="29">
        <f t="shared" si="59"/>
        <v>566669</v>
      </c>
      <c r="CA90" s="29">
        <f t="shared" si="63"/>
        <v>244844</v>
      </c>
      <c r="CB90" s="29">
        <f t="shared" si="64"/>
        <v>401194</v>
      </c>
      <c r="CC90" s="29">
        <v>55160</v>
      </c>
      <c r="CD90" s="29">
        <v>61936</v>
      </c>
      <c r="CE90" s="29">
        <v>124198</v>
      </c>
      <c r="CF90" s="29">
        <v>103539</v>
      </c>
      <c r="CG90" s="52">
        <f t="shared" si="71"/>
        <v>0.37899318615932809</v>
      </c>
      <c r="CH90" s="52">
        <f t="shared" si="72"/>
        <v>0.62100681384067191</v>
      </c>
      <c r="CI90" s="52">
        <f t="shared" si="73"/>
        <v>0.47106647537063606</v>
      </c>
      <c r="CJ90" s="52">
        <f t="shared" si="74"/>
        <v>0.52893352462936394</v>
      </c>
      <c r="CK90" s="52">
        <f t="shared" si="75"/>
        <v>0.54535714442536787</v>
      </c>
      <c r="CL90" s="52">
        <f t="shared" si="76"/>
        <v>0.45464285557463213</v>
      </c>
      <c r="CN90" s="19"/>
    </row>
    <row r="91" spans="2:92">
      <c r="B91" t="str">
        <f t="shared" si="61"/>
        <v>2022</v>
      </c>
      <c r="C91">
        <v>202235</v>
      </c>
      <c r="G91" s="51">
        <f t="shared" si="60"/>
        <v>1036443</v>
      </c>
      <c r="H91" s="51">
        <v>444360</v>
      </c>
      <c r="I91" s="51">
        <v>592083</v>
      </c>
      <c r="J91" s="51">
        <v>655067</v>
      </c>
      <c r="K91" s="51">
        <v>112778</v>
      </c>
      <c r="L91" s="51">
        <v>268598</v>
      </c>
      <c r="M91" s="61">
        <v>1008154.401102112</v>
      </c>
      <c r="N91" s="51">
        <f t="shared" si="77"/>
        <v>31772981</v>
      </c>
      <c r="O91" s="11">
        <f t="shared" si="78"/>
        <v>33547728.287113689</v>
      </c>
      <c r="P91" s="29">
        <v>28516338</v>
      </c>
      <c r="Q91" s="29">
        <v>6434040</v>
      </c>
      <c r="R91" s="20">
        <v>619994935.30000007</v>
      </c>
      <c r="S91" s="29">
        <v>94904331</v>
      </c>
      <c r="T91" s="63">
        <f t="shared" si="67"/>
        <v>6.7795009270967835E-2</v>
      </c>
      <c r="U91" s="13">
        <f t="shared" si="68"/>
        <v>96.361684928909369</v>
      </c>
      <c r="V91" s="52">
        <v>0.61692154315695091</v>
      </c>
      <c r="W91" s="52">
        <v>0.6018891706481071</v>
      </c>
      <c r="X91" s="52">
        <v>0.63730789326703063</v>
      </c>
      <c r="Y91" s="29">
        <v>602169</v>
      </c>
      <c r="Z91" s="29">
        <v>444024</v>
      </c>
      <c r="AA91" s="12"/>
      <c r="AB91" s="12"/>
      <c r="AC91" s="12"/>
      <c r="AD91" s="12"/>
      <c r="AE91" s="12"/>
      <c r="AF91" s="30">
        <v>0.73268308091799761</v>
      </c>
      <c r="AG91" s="30">
        <v>0.70135064099125677</v>
      </c>
      <c r="AH91" s="30">
        <v>0.77588507290923991</v>
      </c>
      <c r="AI91" s="15">
        <f>IF(AF91="","",IFERROR(((Y91*(AG91+0))+(Z91*AH91))/(Y91+Z91),""))</f>
        <v>0.73298445673839963</v>
      </c>
      <c r="AJ91" s="12"/>
      <c r="AK91" s="12"/>
      <c r="AL91" s="12"/>
      <c r="AM91" s="12"/>
      <c r="AN91" s="12"/>
      <c r="AO91" s="12"/>
      <c r="AP91" s="12"/>
      <c r="AQ91" s="12"/>
      <c r="AR91" s="12"/>
      <c r="AS91" s="12"/>
      <c r="AT91" s="12"/>
      <c r="AU91" s="12"/>
      <c r="AV91" s="12"/>
      <c r="AW91" s="12"/>
      <c r="AX91" s="12"/>
      <c r="AY91" s="12"/>
      <c r="AZ91" s="12"/>
      <c r="BA91" s="12"/>
      <c r="BB91" s="59">
        <f t="shared" si="69"/>
        <v>3.634558546753093E-2</v>
      </c>
      <c r="BC91" s="17">
        <v>80948</v>
      </c>
      <c r="BD91" s="17">
        <v>106430</v>
      </c>
      <c r="BE91" s="17">
        <f t="shared" si="62"/>
        <v>187378</v>
      </c>
      <c r="BF91" s="17">
        <f t="shared" si="66"/>
        <v>71501</v>
      </c>
      <c r="BG91" s="17">
        <f t="shared" si="65"/>
        <v>9719</v>
      </c>
      <c r="BH91" s="17">
        <f t="shared" si="70"/>
        <v>81220</v>
      </c>
      <c r="BI91" s="10"/>
      <c r="BJ91" s="12"/>
      <c r="BK91" s="12"/>
      <c r="BL91" s="12"/>
      <c r="BM91" s="12"/>
      <c r="BN91" s="12"/>
      <c r="BO91" s="12"/>
      <c r="BP91" s="12"/>
      <c r="BQ91" s="10"/>
      <c r="BR91" s="12"/>
      <c r="BS91" s="12"/>
      <c r="BT91" s="12"/>
      <c r="BU91" s="12"/>
      <c r="BV91" s="12"/>
      <c r="BW91" s="12"/>
      <c r="BX91" s="12"/>
      <c r="BY91" s="29">
        <f t="shared" si="58"/>
        <v>444360</v>
      </c>
      <c r="BZ91" s="29">
        <f t="shared" si="59"/>
        <v>592083</v>
      </c>
      <c r="CA91" s="29">
        <f t="shared" si="63"/>
        <v>237468</v>
      </c>
      <c r="CB91" s="29">
        <f t="shared" si="64"/>
        <v>417599</v>
      </c>
      <c r="CC91" s="29">
        <v>54443</v>
      </c>
      <c r="CD91" s="29">
        <v>58335</v>
      </c>
      <c r="CE91" s="29">
        <v>152449</v>
      </c>
      <c r="CF91" s="29">
        <v>116149</v>
      </c>
      <c r="CG91" s="52">
        <f t="shared" si="71"/>
        <v>0.36250948376272962</v>
      </c>
      <c r="CH91" s="52">
        <f t="shared" si="72"/>
        <v>0.63749051623727038</v>
      </c>
      <c r="CI91" s="52">
        <f t="shared" si="73"/>
        <v>0.48274486158647961</v>
      </c>
      <c r="CJ91" s="52">
        <f t="shared" si="74"/>
        <v>0.51725513841352033</v>
      </c>
      <c r="CK91" s="52">
        <f t="shared" si="75"/>
        <v>0.56757310181014009</v>
      </c>
      <c r="CL91" s="52">
        <f t="shared" si="76"/>
        <v>0.43242689818985997</v>
      </c>
      <c r="CN91" s="19"/>
    </row>
    <row r="92" spans="2:92">
      <c r="B92" t="str">
        <f t="shared" si="61"/>
        <v>2022</v>
      </c>
      <c r="C92">
        <v>202236</v>
      </c>
      <c r="G92" s="51">
        <f t="shared" si="60"/>
        <v>1147570</v>
      </c>
      <c r="H92" s="51">
        <v>470820</v>
      </c>
      <c r="I92" s="51">
        <v>676750</v>
      </c>
      <c r="J92" s="51">
        <v>733153</v>
      </c>
      <c r="K92" s="51">
        <v>119469</v>
      </c>
      <c r="L92" s="51">
        <v>294948</v>
      </c>
      <c r="M92" s="61">
        <v>1041637.383780102</v>
      </c>
      <c r="N92" s="51">
        <f t="shared" si="77"/>
        <v>32920551</v>
      </c>
      <c r="O92" s="11">
        <f t="shared" si="78"/>
        <v>34589365.670893788</v>
      </c>
      <c r="P92" s="29">
        <v>29198398</v>
      </c>
      <c r="Q92" s="29">
        <v>6880404</v>
      </c>
      <c r="R92" s="20">
        <v>668337979.5999999</v>
      </c>
      <c r="S92" s="29">
        <v>99761408</v>
      </c>
      <c r="T92" s="63">
        <f t="shared" si="67"/>
        <v>6.8968593546714974E-2</v>
      </c>
      <c r="U92" s="13">
        <f t="shared" si="68"/>
        <v>97.136444255308248</v>
      </c>
      <c r="V92" s="52">
        <v>0.62</v>
      </c>
      <c r="W92" s="52">
        <v>0.61</v>
      </c>
      <c r="X92" s="52">
        <v>0.63</v>
      </c>
      <c r="Y92" s="29">
        <v>623029</v>
      </c>
      <c r="Z92" s="29">
        <v>494554</v>
      </c>
      <c r="AA92" s="12"/>
      <c r="AB92" s="12"/>
      <c r="AC92" s="12"/>
      <c r="AD92" s="12"/>
      <c r="AE92" s="12"/>
      <c r="AF92" s="30">
        <v>0.73968767740081864</v>
      </c>
      <c r="AG92" s="30">
        <v>0.7094543350802649</v>
      </c>
      <c r="AH92" s="30">
        <v>0.77992785156186806</v>
      </c>
      <c r="AI92" s="30">
        <f t="shared" ref="AI92:AI108" si="79">AF92</f>
        <v>0.73968767740081864</v>
      </c>
      <c r="AJ92" s="12"/>
      <c r="AK92" s="12"/>
      <c r="AL92" s="12"/>
      <c r="AM92" s="12"/>
      <c r="AN92" s="12"/>
      <c r="AO92" s="12"/>
      <c r="AP92" s="12"/>
      <c r="AQ92" s="12"/>
      <c r="AR92" s="12"/>
      <c r="AS92" s="12"/>
      <c r="AT92" s="12"/>
      <c r="AU92" s="12"/>
      <c r="AV92" s="12"/>
      <c r="AW92" s="12"/>
      <c r="AX92" s="12"/>
      <c r="AY92" s="12"/>
      <c r="AZ92" s="12"/>
      <c r="BA92" s="12"/>
      <c r="BB92" s="59">
        <f t="shared" si="69"/>
        <v>3.9302498719279051E-2</v>
      </c>
      <c r="BC92" s="17">
        <v>91181</v>
      </c>
      <c r="BD92" s="17">
        <v>118400</v>
      </c>
      <c r="BE92" s="17">
        <f t="shared" si="62"/>
        <v>209581</v>
      </c>
      <c r="BF92" s="17">
        <f t="shared" si="66"/>
        <v>78387</v>
      </c>
      <c r="BG92" s="17">
        <f t="shared" si="65"/>
        <v>6980</v>
      </c>
      <c r="BH92" s="17">
        <f t="shared" si="70"/>
        <v>85367</v>
      </c>
      <c r="BI92" s="10"/>
      <c r="BJ92" s="12"/>
      <c r="BK92" s="12"/>
      <c r="BL92" s="12"/>
      <c r="BM92" s="12"/>
      <c r="BN92" s="12"/>
      <c r="BO92" s="12"/>
      <c r="BP92" s="12"/>
      <c r="BQ92" s="10"/>
      <c r="BR92" s="12"/>
      <c r="BS92" s="12"/>
      <c r="BT92" s="12"/>
      <c r="BU92" s="12"/>
      <c r="BV92" s="12"/>
      <c r="BW92" s="12"/>
      <c r="BX92" s="12"/>
      <c r="BY92" s="29">
        <f t="shared" ref="BY92:BY108" si="80">H92</f>
        <v>470820</v>
      </c>
      <c r="BZ92" s="29">
        <f t="shared" ref="BZ92:BZ108" si="81">I92</f>
        <v>676750</v>
      </c>
      <c r="CA92" s="29">
        <f t="shared" si="63"/>
        <v>243732</v>
      </c>
      <c r="CB92" s="29">
        <f t="shared" si="64"/>
        <v>489421</v>
      </c>
      <c r="CC92" s="29">
        <v>57520</v>
      </c>
      <c r="CD92" s="29">
        <v>61949</v>
      </c>
      <c r="CE92" s="29">
        <v>169568</v>
      </c>
      <c r="CF92" s="29">
        <v>125380</v>
      </c>
      <c r="CG92" s="52">
        <f t="shared" si="71"/>
        <v>0.33244356907766864</v>
      </c>
      <c r="CH92" s="52">
        <f t="shared" si="72"/>
        <v>0.6675564309223313</v>
      </c>
      <c r="CI92" s="52">
        <f t="shared" si="73"/>
        <v>0.48146381069566163</v>
      </c>
      <c r="CJ92" s="52">
        <f t="shared" si="74"/>
        <v>0.51853618930433831</v>
      </c>
      <c r="CK92" s="52">
        <f t="shared" si="75"/>
        <v>0.57490811939731745</v>
      </c>
      <c r="CL92" s="52">
        <f t="shared" si="76"/>
        <v>0.42509188060268249</v>
      </c>
      <c r="CN92" s="19"/>
    </row>
    <row r="93" spans="2:92">
      <c r="B93" t="str">
        <f t="shared" si="61"/>
        <v>2022</v>
      </c>
      <c r="C93">
        <v>202237</v>
      </c>
      <c r="G93" s="51">
        <f t="shared" si="60"/>
        <v>1135814</v>
      </c>
      <c r="H93" s="51">
        <v>476523</v>
      </c>
      <c r="I93" s="51">
        <v>659291</v>
      </c>
      <c r="J93" s="51">
        <v>713163</v>
      </c>
      <c r="K93" s="51">
        <v>125470</v>
      </c>
      <c r="L93" s="51">
        <v>297181</v>
      </c>
      <c r="M93" s="61">
        <v>1036987.428116956</v>
      </c>
      <c r="N93" s="51">
        <f t="shared" si="77"/>
        <v>34056365</v>
      </c>
      <c r="O93" s="11">
        <f t="shared" si="78"/>
        <v>35626353.099010743</v>
      </c>
      <c r="P93" s="29">
        <v>30307214</v>
      </c>
      <c r="Q93" s="29">
        <v>7189806</v>
      </c>
      <c r="R93" s="20">
        <v>695941907</v>
      </c>
      <c r="S93" s="29">
        <v>104507413</v>
      </c>
      <c r="T93" s="63">
        <f t="shared" si="67"/>
        <v>6.8797090977651507E-2</v>
      </c>
      <c r="U93" s="13">
        <f t="shared" si="68"/>
        <v>96.795644694724729</v>
      </c>
      <c r="V93" s="52">
        <v>0.63000109936736404</v>
      </c>
      <c r="W93" s="52">
        <v>0.60966551496454713</v>
      </c>
      <c r="X93" s="52">
        <v>0.65800408616362793</v>
      </c>
      <c r="Y93" s="29">
        <v>637607</v>
      </c>
      <c r="Z93" s="29">
        <v>463026</v>
      </c>
      <c r="AA93" s="12"/>
      <c r="AB93" s="12"/>
      <c r="AC93" s="12"/>
      <c r="AD93" s="12"/>
      <c r="AE93" s="12"/>
      <c r="AF93" s="30">
        <v>0.73884163451420559</v>
      </c>
      <c r="AG93" s="30">
        <v>0.70557775690504332</v>
      </c>
      <c r="AH93" s="30">
        <v>0.78384563081756586</v>
      </c>
      <c r="AI93" s="30">
        <f t="shared" si="79"/>
        <v>0.73884163451420559</v>
      </c>
      <c r="AJ93" s="12"/>
      <c r="AK93" s="12"/>
      <c r="AL93" s="12"/>
      <c r="AM93" s="12"/>
      <c r="AN93" s="12"/>
      <c r="AO93" s="12"/>
      <c r="AP93" s="12"/>
      <c r="AQ93" s="12"/>
      <c r="AR93" s="12"/>
      <c r="AS93" s="12"/>
      <c r="AT93" s="12"/>
      <c r="AU93" s="12"/>
      <c r="AV93" s="12"/>
      <c r="AW93" s="12"/>
      <c r="AX93" s="12"/>
      <c r="AY93" s="12"/>
      <c r="AZ93" s="12"/>
      <c r="BA93" s="12"/>
      <c r="BB93" s="59">
        <f t="shared" si="69"/>
        <v>3.7476687893516047E-2</v>
      </c>
      <c r="BC93" s="17">
        <v>85397</v>
      </c>
      <c r="BD93" s="17">
        <v>121674</v>
      </c>
      <c r="BE93" s="17">
        <f t="shared" si="62"/>
        <v>207071</v>
      </c>
      <c r="BF93" s="17">
        <f t="shared" si="66"/>
        <v>85847</v>
      </c>
      <c r="BG93" s="17">
        <f t="shared" si="65"/>
        <v>4263</v>
      </c>
      <c r="BH93" s="17">
        <f t="shared" si="70"/>
        <v>90110</v>
      </c>
      <c r="BI93" s="10"/>
      <c r="BJ93" s="12"/>
      <c r="BK93" s="12"/>
      <c r="BL93" s="12"/>
      <c r="BM93" s="12"/>
      <c r="BN93" s="12"/>
      <c r="BO93" s="12"/>
      <c r="BP93" s="12"/>
      <c r="BQ93" s="10"/>
      <c r="BR93" s="12"/>
      <c r="BS93" s="12"/>
      <c r="BT93" s="12"/>
      <c r="BU93" s="12"/>
      <c r="BV93" s="12"/>
      <c r="BW93" s="12"/>
      <c r="BX93" s="12"/>
      <c r="BY93" s="29">
        <f t="shared" si="80"/>
        <v>476523</v>
      </c>
      <c r="BZ93" s="29">
        <f t="shared" si="81"/>
        <v>659291</v>
      </c>
      <c r="CA93" s="29">
        <f t="shared" si="63"/>
        <v>246884</v>
      </c>
      <c r="CB93" s="29">
        <f t="shared" si="64"/>
        <v>466279</v>
      </c>
      <c r="CC93" s="29">
        <v>58395</v>
      </c>
      <c r="CD93" s="29">
        <v>67075</v>
      </c>
      <c r="CE93" s="29">
        <v>171244</v>
      </c>
      <c r="CF93" s="29">
        <v>125937</v>
      </c>
      <c r="CG93" s="52">
        <f t="shared" si="71"/>
        <v>0.34618172844076317</v>
      </c>
      <c r="CH93" s="52">
        <f t="shared" si="72"/>
        <v>0.65381827155923677</v>
      </c>
      <c r="CI93" s="52">
        <f t="shared" si="73"/>
        <v>0.46541005818123854</v>
      </c>
      <c r="CJ93" s="52">
        <f t="shared" si="74"/>
        <v>0.5345899418187614</v>
      </c>
      <c r="CK93" s="52">
        <f t="shared" si="75"/>
        <v>0.576227955353808</v>
      </c>
      <c r="CL93" s="52">
        <f t="shared" si="76"/>
        <v>0.42377204464619206</v>
      </c>
      <c r="CM93" s="53"/>
      <c r="CN93" s="19"/>
    </row>
    <row r="94" spans="2:92">
      <c r="B94" t="str">
        <f t="shared" si="61"/>
        <v>2022</v>
      </c>
      <c r="C94">
        <v>202238</v>
      </c>
      <c r="G94" s="51">
        <f t="shared" si="60"/>
        <v>1103414</v>
      </c>
      <c r="H94" s="51">
        <v>466891</v>
      </c>
      <c r="I94" s="51">
        <v>636523</v>
      </c>
      <c r="J94" s="51">
        <v>702825</v>
      </c>
      <c r="K94" s="51">
        <v>121916</v>
      </c>
      <c r="L94" s="51">
        <v>278673</v>
      </c>
      <c r="M94" s="61">
        <v>1065623.158195527</v>
      </c>
      <c r="N94" s="51">
        <f t="shared" si="77"/>
        <v>35159779</v>
      </c>
      <c r="O94" s="11">
        <f t="shared" si="78"/>
        <v>36691976.257206269</v>
      </c>
      <c r="P94" s="29">
        <v>29781374</v>
      </c>
      <c r="Q94" s="29">
        <v>7209674</v>
      </c>
      <c r="R94" s="20">
        <v>687888059.65999997</v>
      </c>
      <c r="S94" s="29">
        <v>102074506</v>
      </c>
      <c r="T94" s="63">
        <f t="shared" si="67"/>
        <v>7.0631485593474236E-2</v>
      </c>
      <c r="U94" s="13">
        <f t="shared" si="68"/>
        <v>95.411811915490205</v>
      </c>
      <c r="V94" s="52">
        <v>0.51250762104956638</v>
      </c>
      <c r="W94" s="52">
        <v>0.47812163299885219</v>
      </c>
      <c r="X94" s="52">
        <v>0.55907697288238878</v>
      </c>
      <c r="Y94" s="29">
        <v>568941</v>
      </c>
      <c r="Z94" s="29">
        <v>420096</v>
      </c>
      <c r="AA94" s="15"/>
      <c r="AB94" s="12"/>
      <c r="AC94" s="12"/>
      <c r="AD94" s="12"/>
      <c r="AE94" s="12"/>
      <c r="AF94" s="30">
        <v>0.74425624073326035</v>
      </c>
      <c r="AG94" s="30">
        <v>0.71028972661212253</v>
      </c>
      <c r="AH94" s="30">
        <v>0.79051751714162533</v>
      </c>
      <c r="AI94" s="30">
        <f t="shared" si="79"/>
        <v>0.74425624073326035</v>
      </c>
      <c r="AJ94" s="12"/>
      <c r="AK94" s="12"/>
      <c r="AL94" s="12"/>
      <c r="AM94" s="12"/>
      <c r="AN94" s="12"/>
      <c r="AO94" s="12"/>
      <c r="AP94" s="12"/>
      <c r="AQ94" s="12"/>
      <c r="AR94" s="12"/>
      <c r="AS94" s="12"/>
      <c r="AT94" s="12"/>
      <c r="AU94" s="12"/>
      <c r="AV94" s="12"/>
      <c r="AW94" s="12"/>
      <c r="AX94" s="12"/>
      <c r="AY94" s="12"/>
      <c r="AZ94" s="12"/>
      <c r="BA94" s="12"/>
      <c r="BB94" s="59">
        <f t="shared" si="69"/>
        <v>3.7050473225311902E-2</v>
      </c>
      <c r="BC94" s="17">
        <v>76319</v>
      </c>
      <c r="BD94" s="17">
        <v>119741</v>
      </c>
      <c r="BE94" s="17">
        <f t="shared" si="62"/>
        <v>196060</v>
      </c>
      <c r="BF94" s="17">
        <f t="shared" si="66"/>
        <v>78587</v>
      </c>
      <c r="BG94" s="17">
        <f t="shared" si="65"/>
        <v>4026</v>
      </c>
      <c r="BH94" s="17">
        <f t="shared" si="70"/>
        <v>82613</v>
      </c>
      <c r="BI94" s="10"/>
      <c r="BJ94" s="12"/>
      <c r="BK94" s="12"/>
      <c r="BL94" s="12"/>
      <c r="BM94" s="12"/>
      <c r="BN94" s="12"/>
      <c r="BO94" s="12"/>
      <c r="BP94" s="12"/>
      <c r="BQ94" s="10"/>
      <c r="BR94" s="12"/>
      <c r="BS94" s="12"/>
      <c r="BT94" s="12"/>
      <c r="BU94" s="12"/>
      <c r="BV94" s="12"/>
      <c r="BW94" s="12"/>
      <c r="BX94" s="12"/>
      <c r="BY94" s="29">
        <f t="shared" si="80"/>
        <v>466891</v>
      </c>
      <c r="BZ94" s="29">
        <f t="shared" si="81"/>
        <v>636523</v>
      </c>
      <c r="CA94" s="29">
        <f t="shared" si="63"/>
        <v>255095</v>
      </c>
      <c r="CB94" s="29">
        <f t="shared" si="64"/>
        <v>447730</v>
      </c>
      <c r="CC94" s="29">
        <v>56890</v>
      </c>
      <c r="CD94" s="29">
        <v>65026</v>
      </c>
      <c r="CE94" s="29">
        <v>154906</v>
      </c>
      <c r="CF94" s="29">
        <v>123767</v>
      </c>
      <c r="CG94" s="52">
        <f t="shared" si="71"/>
        <v>0.36295663927720273</v>
      </c>
      <c r="CH94" s="52">
        <f t="shared" si="72"/>
        <v>0.63704336072279732</v>
      </c>
      <c r="CI94" s="52">
        <f t="shared" si="73"/>
        <v>0.46663276354211097</v>
      </c>
      <c r="CJ94" s="52">
        <f t="shared" si="74"/>
        <v>0.53336723645788908</v>
      </c>
      <c r="CK94" s="52">
        <f t="shared" si="75"/>
        <v>0.55587014170730564</v>
      </c>
      <c r="CL94" s="52">
        <f t="shared" si="76"/>
        <v>0.4441298582926943</v>
      </c>
      <c r="CM94" s="53"/>
      <c r="CN94" s="19"/>
    </row>
    <row r="95" spans="2:92">
      <c r="B95" t="str">
        <f t="shared" si="61"/>
        <v>2022</v>
      </c>
      <c r="C95">
        <v>202239</v>
      </c>
      <c r="G95" s="51">
        <f t="shared" si="60"/>
        <v>1084889</v>
      </c>
      <c r="H95" s="51">
        <v>455558</v>
      </c>
      <c r="I95" s="51">
        <v>629331</v>
      </c>
      <c r="J95" s="51">
        <v>683080</v>
      </c>
      <c r="K95" s="51">
        <v>119727</v>
      </c>
      <c r="L95" s="51">
        <v>282082</v>
      </c>
      <c r="M95" s="61">
        <v>1130272.577598531</v>
      </c>
      <c r="N95" s="51">
        <f t="shared" si="77"/>
        <v>36244668</v>
      </c>
      <c r="O95" s="11">
        <f t="shared" si="78"/>
        <v>37822248.834804803</v>
      </c>
      <c r="P95" s="29">
        <v>29885774</v>
      </c>
      <c r="Q95" s="29">
        <v>7116291</v>
      </c>
      <c r="R95" s="20">
        <v>667786155.94000006</v>
      </c>
      <c r="S95" s="29">
        <v>102878937</v>
      </c>
      <c r="T95" s="63">
        <f t="shared" si="67"/>
        <v>6.9171505922538831E-2</v>
      </c>
      <c r="U95" s="13">
        <f t="shared" si="68"/>
        <v>93.839073745016904</v>
      </c>
      <c r="V95" s="52">
        <v>0.52278175025435913</v>
      </c>
      <c r="W95" s="52">
        <v>0.48837981638614553</v>
      </c>
      <c r="X95" s="52">
        <v>0.57095724035832296</v>
      </c>
      <c r="Y95" s="29">
        <v>575120</v>
      </c>
      <c r="Z95" s="29">
        <v>410691</v>
      </c>
      <c r="AA95" s="15"/>
      <c r="AB95" s="15">
        <f t="shared" ref="AB95:AB108" si="82">Y95-X95</f>
        <v>575119.42904275958</v>
      </c>
      <c r="AC95" s="15">
        <f t="shared" ref="AC95:AC108" si="83">Z95-Y95</f>
        <v>-164429</v>
      </c>
      <c r="AD95" s="15">
        <f t="shared" ref="AD95:AD108" si="84">AA95-Z95</f>
        <v>-410691</v>
      </c>
      <c r="AE95" s="15">
        <f t="shared" ref="AE95:AE108" si="85">AB95-AA95</f>
        <v>575119.42904275958</v>
      </c>
      <c r="AF95" s="30">
        <v>0.75738551007054788</v>
      </c>
      <c r="AG95" s="30">
        <v>0.72338771524353074</v>
      </c>
      <c r="AH95" s="30">
        <v>0.80499822627799733</v>
      </c>
      <c r="AI95" s="30">
        <f t="shared" si="79"/>
        <v>0.75738551007054788</v>
      </c>
      <c r="AJ95" s="12"/>
      <c r="AK95" s="12"/>
      <c r="AL95" s="12"/>
      <c r="AM95" s="12"/>
      <c r="AN95" s="12"/>
      <c r="AO95" s="12"/>
      <c r="AP95" s="12"/>
      <c r="AQ95" s="12"/>
      <c r="AR95" s="12"/>
      <c r="AS95" s="12"/>
      <c r="AT95" s="12"/>
      <c r="AU95" s="12"/>
      <c r="AV95" s="12"/>
      <c r="AW95" s="12"/>
      <c r="AX95" s="12"/>
      <c r="AY95" s="12"/>
      <c r="AZ95" s="12"/>
      <c r="BA95" s="12"/>
      <c r="BB95" s="59">
        <f t="shared" si="69"/>
        <v>3.6301184637212339E-2</v>
      </c>
      <c r="BC95" s="17">
        <v>77888</v>
      </c>
      <c r="BD95" s="17">
        <v>124136</v>
      </c>
      <c r="BE95" s="17">
        <f t="shared" si="62"/>
        <v>202024</v>
      </c>
      <c r="BF95" s="17">
        <f t="shared" si="66"/>
        <v>75677</v>
      </c>
      <c r="BG95" s="17">
        <f t="shared" si="65"/>
        <v>4381</v>
      </c>
      <c r="BH95" s="17">
        <f t="shared" si="70"/>
        <v>80058</v>
      </c>
      <c r="BI95" s="10"/>
      <c r="BJ95" s="12"/>
      <c r="BK95" s="12"/>
      <c r="BL95" s="12"/>
      <c r="BM95" s="12"/>
      <c r="BN95" s="12"/>
      <c r="BO95" s="12"/>
      <c r="BP95" s="12"/>
      <c r="BQ95" s="10"/>
      <c r="BR95" s="12"/>
      <c r="BS95" s="12"/>
      <c r="BT95" s="12"/>
      <c r="BU95" s="12"/>
      <c r="BV95" s="12"/>
      <c r="BW95" s="12"/>
      <c r="BX95" s="12"/>
      <c r="BY95" s="29">
        <f t="shared" si="80"/>
        <v>455558</v>
      </c>
      <c r="BZ95" s="29">
        <f t="shared" si="81"/>
        <v>629331</v>
      </c>
      <c r="CA95" s="29">
        <f t="shared" si="63"/>
        <v>248439</v>
      </c>
      <c r="CB95" s="29">
        <f t="shared" si="64"/>
        <v>434641</v>
      </c>
      <c r="CC95" s="29">
        <v>53554</v>
      </c>
      <c r="CD95" s="29">
        <v>66173</v>
      </c>
      <c r="CE95" s="29">
        <v>153565</v>
      </c>
      <c r="CF95" s="29">
        <v>128517</v>
      </c>
      <c r="CG95" s="52">
        <f t="shared" si="71"/>
        <v>0.36370410493646427</v>
      </c>
      <c r="CH95" s="52">
        <f t="shared" si="72"/>
        <v>0.63629589506353579</v>
      </c>
      <c r="CI95" s="52">
        <f t="shared" si="73"/>
        <v>0.44730094297860967</v>
      </c>
      <c r="CJ95" s="52">
        <f t="shared" si="74"/>
        <v>0.55269905702139033</v>
      </c>
      <c r="CK95" s="52">
        <f t="shared" si="75"/>
        <v>0.54439843733382487</v>
      </c>
      <c r="CL95" s="52">
        <f t="shared" si="76"/>
        <v>0.45560156266617508</v>
      </c>
      <c r="CM95" s="53"/>
      <c r="CN95" s="19"/>
    </row>
    <row r="96" spans="2:92">
      <c r="B96" t="str">
        <f t="shared" si="61"/>
        <v>2022</v>
      </c>
      <c r="C96">
        <v>202240</v>
      </c>
      <c r="G96" s="51">
        <f t="shared" si="60"/>
        <v>1107657</v>
      </c>
      <c r="H96" s="51">
        <v>475341</v>
      </c>
      <c r="I96" s="51">
        <v>632316</v>
      </c>
      <c r="J96" s="51">
        <v>719355</v>
      </c>
      <c r="K96" s="51">
        <v>128495</v>
      </c>
      <c r="L96" s="51">
        <v>259807</v>
      </c>
      <c r="M96" s="61">
        <v>1232071.283107663</v>
      </c>
      <c r="N96" s="51">
        <f t="shared" si="77"/>
        <v>37352325</v>
      </c>
      <c r="O96" s="11">
        <f t="shared" si="78"/>
        <v>39054320.117912464</v>
      </c>
      <c r="P96" s="29">
        <v>31358928</v>
      </c>
      <c r="Q96" s="29">
        <v>7344234</v>
      </c>
      <c r="R96" s="20">
        <v>719787345.94000006</v>
      </c>
      <c r="S96" s="29">
        <v>110048033</v>
      </c>
      <c r="T96" s="63">
        <f t="shared" si="67"/>
        <v>6.6736622180243788E-2</v>
      </c>
      <c r="U96" s="13">
        <f t="shared" si="68"/>
        <v>98.007136747004523</v>
      </c>
      <c r="V96" s="52">
        <v>0.55731478741244944</v>
      </c>
      <c r="W96" s="52">
        <v>0.52170342402268144</v>
      </c>
      <c r="X96" s="52">
        <v>0.60628696214514</v>
      </c>
      <c r="Y96" s="29">
        <v>586912</v>
      </c>
      <c r="Z96" s="29">
        <v>426788</v>
      </c>
      <c r="AA96" s="15"/>
      <c r="AB96" s="12">
        <f t="shared" si="82"/>
        <v>586911.39371303783</v>
      </c>
      <c r="AC96" s="12">
        <f t="shared" si="83"/>
        <v>-160124</v>
      </c>
      <c r="AD96" s="12">
        <f t="shared" si="84"/>
        <v>-426788</v>
      </c>
      <c r="AE96" s="12">
        <f t="shared" si="85"/>
        <v>586911.39371303783</v>
      </c>
      <c r="AF96" s="30">
        <v>0.77863845783893926</v>
      </c>
      <c r="AG96" s="30">
        <v>0.74663988166626694</v>
      </c>
      <c r="AH96" s="30">
        <v>0.82303945769932707</v>
      </c>
      <c r="AI96" s="30">
        <f t="shared" si="79"/>
        <v>0.77863845783893926</v>
      </c>
      <c r="AJ96" s="12"/>
      <c r="AK96" s="12"/>
      <c r="AL96" s="12"/>
      <c r="AM96" s="12"/>
      <c r="AN96" s="12"/>
      <c r="AO96" s="12"/>
      <c r="AP96" s="12"/>
      <c r="AQ96" s="12"/>
      <c r="AR96" s="12"/>
      <c r="AS96" s="12"/>
      <c r="AT96" s="12"/>
      <c r="AU96" s="12"/>
      <c r="AV96" s="12"/>
      <c r="AW96" s="12"/>
      <c r="AX96" s="12"/>
      <c r="AY96" s="12"/>
      <c r="AZ96" s="12"/>
      <c r="BA96" s="12"/>
      <c r="BB96" s="59">
        <f t="shared" si="69"/>
        <v>3.5321902585445521E-2</v>
      </c>
      <c r="BC96" s="17">
        <v>71983</v>
      </c>
      <c r="BD96" s="17">
        <v>98049</v>
      </c>
      <c r="BE96" s="17">
        <f t="shared" si="62"/>
        <v>170032</v>
      </c>
      <c r="BF96" s="17">
        <f t="shared" si="66"/>
        <v>84227</v>
      </c>
      <c r="BG96" s="17">
        <f t="shared" si="65"/>
        <v>5548</v>
      </c>
      <c r="BH96" s="17">
        <f t="shared" si="70"/>
        <v>89775</v>
      </c>
      <c r="BI96" s="10"/>
      <c r="BJ96" s="12"/>
      <c r="BK96" s="12"/>
      <c r="BL96" s="12"/>
      <c r="BM96" s="12"/>
      <c r="BN96" s="12"/>
      <c r="BO96" s="12"/>
      <c r="BP96" s="12"/>
      <c r="BQ96" s="10"/>
      <c r="BR96" s="12"/>
      <c r="BS96" s="12"/>
      <c r="BT96" s="12"/>
      <c r="BU96" s="12"/>
      <c r="BV96" s="12"/>
      <c r="BW96" s="12"/>
      <c r="BX96" s="12"/>
      <c r="BY96" s="29">
        <f t="shared" si="80"/>
        <v>475341</v>
      </c>
      <c r="BZ96" s="29">
        <f t="shared" si="81"/>
        <v>632316</v>
      </c>
      <c r="CA96" s="29">
        <f t="shared" si="63"/>
        <v>261817</v>
      </c>
      <c r="CB96" s="29">
        <f t="shared" si="64"/>
        <v>457538</v>
      </c>
      <c r="CC96" s="29">
        <v>57314</v>
      </c>
      <c r="CD96" s="29">
        <v>71181</v>
      </c>
      <c r="CE96" s="29">
        <v>156210</v>
      </c>
      <c r="CF96" s="29">
        <v>103597</v>
      </c>
      <c r="CG96" s="52">
        <f t="shared" si="71"/>
        <v>0.36396077041238334</v>
      </c>
      <c r="CH96" s="52">
        <f t="shared" si="72"/>
        <v>0.63603922958761672</v>
      </c>
      <c r="CI96" s="52">
        <f t="shared" si="73"/>
        <v>0.4460407019728394</v>
      </c>
      <c r="CJ96" s="52">
        <f t="shared" si="74"/>
        <v>0.5539592980271606</v>
      </c>
      <c r="CK96" s="52">
        <f t="shared" si="75"/>
        <v>0.60125400778270022</v>
      </c>
      <c r="CL96" s="52">
        <f t="shared" si="76"/>
        <v>0.39874599221729978</v>
      </c>
      <c r="CM96" s="52"/>
      <c r="CN96" s="19"/>
    </row>
    <row r="97" spans="2:95">
      <c r="B97" t="str">
        <f t="shared" si="61"/>
        <v>2022</v>
      </c>
      <c r="C97">
        <v>202241</v>
      </c>
      <c r="G97" s="51">
        <f t="shared" si="60"/>
        <v>1295983</v>
      </c>
      <c r="H97" s="51">
        <v>547695</v>
      </c>
      <c r="I97" s="51">
        <v>748288</v>
      </c>
      <c r="J97" s="51">
        <v>855103</v>
      </c>
      <c r="K97" s="51">
        <v>159065</v>
      </c>
      <c r="L97" s="51">
        <v>281815</v>
      </c>
      <c r="M97" s="61">
        <v>1331523.1961796989</v>
      </c>
      <c r="N97" s="51">
        <f t="shared" si="77"/>
        <v>38648308</v>
      </c>
      <c r="O97" s="11">
        <f t="shared" si="78"/>
        <v>40385843.314092159</v>
      </c>
      <c r="P97" s="29">
        <v>33728216</v>
      </c>
      <c r="Q97" s="29">
        <v>9116991</v>
      </c>
      <c r="R97" s="20">
        <v>949432583.80000007</v>
      </c>
      <c r="S97" s="29">
        <v>134685248</v>
      </c>
      <c r="T97" s="63">
        <f t="shared" si="67"/>
        <v>6.7691088188069418E-2</v>
      </c>
      <c r="U97" s="13">
        <f t="shared" si="68"/>
        <v>104.13880893378091</v>
      </c>
      <c r="V97" s="52">
        <v>0.59200029090466277</v>
      </c>
      <c r="W97" s="52">
        <v>0.56331660333651679</v>
      </c>
      <c r="X97" s="52">
        <v>0.63204305258380344</v>
      </c>
      <c r="Y97" s="29">
        <v>688982</v>
      </c>
      <c r="Z97" s="29">
        <v>493536</v>
      </c>
      <c r="AA97" s="15"/>
      <c r="AB97" s="12">
        <f t="shared" si="82"/>
        <v>688981.36795694742</v>
      </c>
      <c r="AC97" s="12">
        <f t="shared" si="83"/>
        <v>-195446</v>
      </c>
      <c r="AD97" s="12">
        <f t="shared" si="84"/>
        <v>-493536</v>
      </c>
      <c r="AE97" s="12">
        <f t="shared" si="85"/>
        <v>688981.36795694742</v>
      </c>
      <c r="AF97" s="30">
        <v>0.80652183544771161</v>
      </c>
      <c r="AG97" s="30">
        <v>0.7831440894881142</v>
      </c>
      <c r="AH97" s="30">
        <v>0.83932911029973756</v>
      </c>
      <c r="AI97" s="30">
        <f t="shared" si="79"/>
        <v>0.80652183544771161</v>
      </c>
      <c r="AJ97" s="12"/>
      <c r="AK97" s="12"/>
      <c r="AL97" s="12"/>
      <c r="AM97" s="12"/>
      <c r="AN97" s="12"/>
      <c r="AO97" s="12"/>
      <c r="AP97" s="12"/>
      <c r="AQ97" s="12"/>
      <c r="AR97" s="12"/>
      <c r="AS97" s="12"/>
      <c r="AT97" s="12"/>
      <c r="AU97" s="12"/>
      <c r="AV97" s="12"/>
      <c r="AW97" s="12"/>
      <c r="AX97" s="12"/>
      <c r="AY97" s="12"/>
      <c r="AZ97" s="12"/>
      <c r="BA97" s="12"/>
      <c r="BB97" s="59">
        <f t="shared" si="69"/>
        <v>3.8424297330164156E-2</v>
      </c>
      <c r="BC97" s="17">
        <v>79383</v>
      </c>
      <c r="BD97" s="17">
        <v>95271</v>
      </c>
      <c r="BE97" s="17">
        <f t="shared" si="62"/>
        <v>174654</v>
      </c>
      <c r="BF97" s="17">
        <f t="shared" si="66"/>
        <v>98103</v>
      </c>
      <c r="BG97" s="17">
        <f t="shared" si="65"/>
        <v>9058</v>
      </c>
      <c r="BH97" s="17">
        <f t="shared" si="70"/>
        <v>107161</v>
      </c>
      <c r="BI97" s="10"/>
      <c r="BJ97" s="12"/>
      <c r="BK97" s="12"/>
      <c r="BL97" s="12"/>
      <c r="BM97" s="12"/>
      <c r="BN97" s="12"/>
      <c r="BO97" s="12"/>
      <c r="BP97" s="12"/>
      <c r="BQ97" s="10"/>
      <c r="BR97" s="12"/>
      <c r="BS97" s="12"/>
      <c r="BT97" s="12"/>
      <c r="BU97" s="12"/>
      <c r="BV97" s="12"/>
      <c r="BW97" s="12"/>
      <c r="BX97" s="12"/>
      <c r="BY97" s="29">
        <f t="shared" si="80"/>
        <v>547695</v>
      </c>
      <c r="BZ97" s="29">
        <f t="shared" si="81"/>
        <v>748288</v>
      </c>
      <c r="CA97" s="29">
        <f t="shared" si="63"/>
        <v>297468</v>
      </c>
      <c r="CB97" s="29">
        <f t="shared" si="64"/>
        <v>557635</v>
      </c>
      <c r="CC97" s="29">
        <v>72741</v>
      </c>
      <c r="CD97" s="29">
        <v>86324</v>
      </c>
      <c r="CE97" s="29">
        <v>177486</v>
      </c>
      <c r="CF97" s="29">
        <v>104329</v>
      </c>
      <c r="CG97" s="52">
        <f t="shared" si="71"/>
        <v>0.34787388185984613</v>
      </c>
      <c r="CH97" s="52">
        <f t="shared" si="72"/>
        <v>0.65212611814015387</v>
      </c>
      <c r="CI97" s="52">
        <f t="shared" si="73"/>
        <v>0.45730361801779146</v>
      </c>
      <c r="CJ97" s="52">
        <f t="shared" si="74"/>
        <v>0.54269638198220849</v>
      </c>
      <c r="CK97" s="52">
        <f t="shared" si="75"/>
        <v>0.62979614285967744</v>
      </c>
      <c r="CL97" s="52">
        <f t="shared" si="76"/>
        <v>0.37020385714032256</v>
      </c>
      <c r="CN97" s="19"/>
    </row>
    <row r="98" spans="2:95">
      <c r="B98" t="str">
        <f t="shared" si="61"/>
        <v>2022</v>
      </c>
      <c r="C98">
        <v>202242</v>
      </c>
      <c r="G98" s="51">
        <f t="shared" si="60"/>
        <v>1335123</v>
      </c>
      <c r="H98" s="51">
        <v>552483</v>
      </c>
      <c r="I98" s="51">
        <v>782640</v>
      </c>
      <c r="J98" s="51">
        <v>883636</v>
      </c>
      <c r="K98" s="51">
        <v>171740</v>
      </c>
      <c r="L98" s="51">
        <v>279747</v>
      </c>
      <c r="M98" s="61">
        <v>1396931.1996565741</v>
      </c>
      <c r="N98" s="51">
        <f t="shared" si="77"/>
        <v>39983431</v>
      </c>
      <c r="O98" s="11">
        <f t="shared" si="78"/>
        <v>41782774.513748735</v>
      </c>
      <c r="P98" s="29">
        <v>34939643</v>
      </c>
      <c r="Q98" s="29">
        <v>9562250</v>
      </c>
      <c r="R98" s="20">
        <v>971167082.0999999</v>
      </c>
      <c r="S98" s="29">
        <v>145346627</v>
      </c>
      <c r="T98" s="63">
        <f t="shared" si="67"/>
        <v>6.5789280407587303E-2</v>
      </c>
      <c r="U98" s="13">
        <f t="shared" si="68"/>
        <v>101.56261152971318</v>
      </c>
      <c r="V98" s="52">
        <v>0.60402364916252937</v>
      </c>
      <c r="W98" s="52">
        <v>0.57578108460252031</v>
      </c>
      <c r="X98" s="52">
        <v>0.64383424462737082</v>
      </c>
      <c r="Y98" s="29">
        <v>703797</v>
      </c>
      <c r="Z98" s="29">
        <v>499290</v>
      </c>
      <c r="AA98" s="15"/>
      <c r="AB98" s="12">
        <f t="shared" si="82"/>
        <v>703796.35616575542</v>
      </c>
      <c r="AC98" s="12">
        <f t="shared" si="83"/>
        <v>-204507</v>
      </c>
      <c r="AD98" s="12">
        <f t="shared" si="84"/>
        <v>-499290</v>
      </c>
      <c r="AE98" s="12">
        <f t="shared" si="85"/>
        <v>703796.35616575542</v>
      </c>
      <c r="AF98" s="52">
        <f>((AG98*Y98)+(AH98*Z98))/(Y98+Z98)</f>
        <v>0.805825406641415</v>
      </c>
      <c r="AG98" s="30">
        <v>0.78300000000000003</v>
      </c>
      <c r="AH98" s="30">
        <v>0.83799999999999997</v>
      </c>
      <c r="AI98" s="30">
        <f t="shared" si="79"/>
        <v>0.805825406641415</v>
      </c>
      <c r="AJ98" s="12"/>
      <c r="AK98" s="12"/>
      <c r="AL98" s="12"/>
      <c r="AM98" s="12"/>
      <c r="AN98" s="12"/>
      <c r="AO98" s="12"/>
      <c r="AP98" s="12"/>
      <c r="AQ98" s="12"/>
      <c r="AR98" s="12"/>
      <c r="AS98" s="12"/>
      <c r="AT98" s="12"/>
      <c r="AU98" s="12"/>
      <c r="AV98" s="12"/>
      <c r="AW98" s="12"/>
      <c r="AX98" s="12"/>
      <c r="AY98" s="12"/>
      <c r="AZ98" s="12"/>
      <c r="BA98" s="12"/>
      <c r="BB98" s="59">
        <f t="shared" si="69"/>
        <v>3.8212267938742245E-2</v>
      </c>
      <c r="BC98" s="17">
        <v>82228</v>
      </c>
      <c r="BD98" s="17">
        <v>82787</v>
      </c>
      <c r="BE98" s="17">
        <f t="shared" si="62"/>
        <v>165015</v>
      </c>
      <c r="BF98" s="17">
        <f t="shared" si="66"/>
        <v>108347</v>
      </c>
      <c r="BG98" s="17">
        <f t="shared" si="65"/>
        <v>6385</v>
      </c>
      <c r="BH98" s="17">
        <f t="shared" si="70"/>
        <v>114732</v>
      </c>
      <c r="BI98" s="10"/>
      <c r="BJ98" s="12"/>
      <c r="BK98" s="12"/>
      <c r="BL98" s="12"/>
      <c r="BM98" s="12"/>
      <c r="BN98" s="12"/>
      <c r="BO98" s="12"/>
      <c r="BP98" s="12"/>
      <c r="BQ98" s="10"/>
      <c r="BR98" s="12"/>
      <c r="BS98" s="12"/>
      <c r="BT98" s="12"/>
      <c r="BU98" s="12"/>
      <c r="BV98" s="12"/>
      <c r="BW98" s="12"/>
      <c r="BX98" s="12"/>
      <c r="BY98" s="29">
        <f t="shared" si="80"/>
        <v>552483</v>
      </c>
      <c r="BZ98" s="29">
        <f t="shared" si="81"/>
        <v>782640</v>
      </c>
      <c r="CA98" s="29">
        <f t="shared" si="63"/>
        <v>284458</v>
      </c>
      <c r="CB98" s="29">
        <f t="shared" si="64"/>
        <v>599178</v>
      </c>
      <c r="CC98" s="29">
        <v>77450</v>
      </c>
      <c r="CD98" s="29">
        <v>94290</v>
      </c>
      <c r="CE98" s="29">
        <v>190575</v>
      </c>
      <c r="CF98" s="29">
        <v>89172</v>
      </c>
      <c r="CG98" s="52">
        <f t="shared" si="71"/>
        <v>0.32191762218832187</v>
      </c>
      <c r="CH98" s="52">
        <f t="shared" si="72"/>
        <v>0.67808237781167813</v>
      </c>
      <c r="CI98" s="52">
        <f t="shared" si="73"/>
        <v>0.45097240013974615</v>
      </c>
      <c r="CJ98" s="52">
        <f t="shared" si="74"/>
        <v>0.54902759986025385</v>
      </c>
      <c r="CK98" s="52">
        <f t="shared" si="75"/>
        <v>0.68124054949650936</v>
      </c>
      <c r="CL98" s="52">
        <f t="shared" si="76"/>
        <v>0.31875945050349064</v>
      </c>
      <c r="CM98" s="52"/>
      <c r="CN98" s="19"/>
    </row>
    <row r="99" spans="2:95">
      <c r="B99" t="str">
        <f t="shared" si="61"/>
        <v>2022</v>
      </c>
      <c r="C99">
        <v>202243</v>
      </c>
      <c r="G99" s="51">
        <f t="shared" ref="G99:G130" si="86">SUM(H99:I99)</f>
        <v>1774212</v>
      </c>
      <c r="H99" s="51">
        <v>709017</v>
      </c>
      <c r="I99" s="51">
        <v>1065195</v>
      </c>
      <c r="J99" s="51">
        <v>1176076</v>
      </c>
      <c r="K99" s="51">
        <v>263118</v>
      </c>
      <c r="L99" s="51">
        <v>335018</v>
      </c>
      <c r="M99" s="61">
        <v>1525052.653207056</v>
      </c>
      <c r="N99" s="51">
        <f t="shared" si="77"/>
        <v>41757643</v>
      </c>
      <c r="O99" s="11">
        <f t="shared" si="78"/>
        <v>43307827.166955791</v>
      </c>
      <c r="P99" s="29">
        <v>39411535</v>
      </c>
      <c r="Q99" s="29">
        <v>12081167</v>
      </c>
      <c r="R99" s="20">
        <v>1353914306.5799999</v>
      </c>
      <c r="S99" s="29">
        <v>177310472</v>
      </c>
      <c r="T99" s="63">
        <f t="shared" si="67"/>
        <v>6.8135665444509108E-2</v>
      </c>
      <c r="U99" s="13">
        <f t="shared" si="68"/>
        <v>112.06817243565956</v>
      </c>
      <c r="V99" s="52">
        <v>0.62235982793680966</v>
      </c>
      <c r="W99" s="52">
        <v>0.59550982914564876</v>
      </c>
      <c r="X99" s="52">
        <v>0.66458918374622389</v>
      </c>
      <c r="Y99" s="29">
        <v>1005886</v>
      </c>
      <c r="Z99" s="29">
        <v>639556</v>
      </c>
      <c r="AA99" s="15"/>
      <c r="AB99" s="12">
        <f t="shared" si="82"/>
        <v>1005885.3354108162</v>
      </c>
      <c r="AC99" s="12">
        <f t="shared" si="83"/>
        <v>-366330</v>
      </c>
      <c r="AD99" s="12">
        <f t="shared" si="84"/>
        <v>-639556</v>
      </c>
      <c r="AE99" s="12">
        <f t="shared" si="85"/>
        <v>1005885.3354108162</v>
      </c>
      <c r="AF99" s="52">
        <v>0.80474417143332377</v>
      </c>
      <c r="AG99" s="30">
        <v>0.78474168059354843</v>
      </c>
      <c r="AH99" s="30">
        <v>0.83553665940639255</v>
      </c>
      <c r="AI99" s="30">
        <f t="shared" si="79"/>
        <v>0.80474417143332377</v>
      </c>
      <c r="AJ99" s="12"/>
      <c r="AK99" s="12"/>
      <c r="AL99" s="12"/>
      <c r="AM99" s="12"/>
      <c r="AN99" s="12"/>
      <c r="AO99" s="12"/>
      <c r="AP99" s="12"/>
      <c r="AQ99" s="12"/>
      <c r="AR99" s="12"/>
      <c r="AS99" s="12"/>
      <c r="AT99" s="12"/>
      <c r="AU99" s="12"/>
      <c r="AV99" s="12"/>
      <c r="AW99" s="12"/>
      <c r="AX99" s="12"/>
      <c r="AY99" s="12"/>
      <c r="AZ99" s="12"/>
      <c r="BA99" s="12"/>
      <c r="BB99" s="59">
        <f t="shared" si="69"/>
        <v>4.5017581781577401E-2</v>
      </c>
      <c r="BC99" s="17">
        <v>88621</v>
      </c>
      <c r="BD99" s="17">
        <v>82592</v>
      </c>
      <c r="BE99" s="17">
        <f t="shared" si="62"/>
        <v>171213</v>
      </c>
      <c r="BF99" s="17">
        <f t="shared" si="66"/>
        <v>150024</v>
      </c>
      <c r="BG99" s="17">
        <f t="shared" si="65"/>
        <v>13781</v>
      </c>
      <c r="BH99" s="17">
        <f t="shared" si="70"/>
        <v>163805</v>
      </c>
      <c r="BI99" s="10"/>
      <c r="BJ99" s="12"/>
      <c r="BK99" s="12"/>
      <c r="BL99" s="12"/>
      <c r="BM99" s="12"/>
      <c r="BN99" s="12"/>
      <c r="BO99" s="12"/>
      <c r="BP99" s="12"/>
      <c r="BQ99" s="10"/>
      <c r="BR99" s="12"/>
      <c r="BS99" s="12"/>
      <c r="BT99" s="12"/>
      <c r="BU99" s="12"/>
      <c r="BV99" s="12"/>
      <c r="BW99" s="12"/>
      <c r="BX99" s="12"/>
      <c r="BY99" s="29">
        <f t="shared" si="80"/>
        <v>709017</v>
      </c>
      <c r="BZ99" s="29">
        <f t="shared" si="81"/>
        <v>1065195</v>
      </c>
      <c r="CA99" s="29">
        <f t="shared" si="63"/>
        <v>357814</v>
      </c>
      <c r="CB99" s="29">
        <f t="shared" si="64"/>
        <v>818262</v>
      </c>
      <c r="CC99" s="29">
        <v>112558</v>
      </c>
      <c r="CD99" s="29">
        <v>150560</v>
      </c>
      <c r="CE99" s="29">
        <v>238645</v>
      </c>
      <c r="CF99" s="29">
        <v>96373</v>
      </c>
      <c r="CG99" s="52">
        <f t="shared" si="71"/>
        <v>0.3042439434186226</v>
      </c>
      <c r="CH99" s="52">
        <f t="shared" si="72"/>
        <v>0.6957560565813774</v>
      </c>
      <c r="CI99" s="52">
        <f t="shared" si="73"/>
        <v>0.42778525224424024</v>
      </c>
      <c r="CJ99" s="52">
        <f t="shared" si="74"/>
        <v>0.57221474775575976</v>
      </c>
      <c r="CK99" s="52">
        <f t="shared" si="75"/>
        <v>0.71233485961948317</v>
      </c>
      <c r="CL99" s="52">
        <f t="shared" si="76"/>
        <v>0.28766514038051688</v>
      </c>
      <c r="CN99" s="19"/>
    </row>
    <row r="100" spans="2:95">
      <c r="B100" t="str">
        <f t="shared" si="61"/>
        <v>2022</v>
      </c>
      <c r="C100">
        <v>202244</v>
      </c>
      <c r="G100" s="51">
        <f t="shared" si="86"/>
        <v>1507392</v>
      </c>
      <c r="H100" s="51">
        <v>638054</v>
      </c>
      <c r="I100" s="51">
        <v>869338</v>
      </c>
      <c r="J100" s="51">
        <v>919299</v>
      </c>
      <c r="K100" s="64">
        <v>267820</v>
      </c>
      <c r="L100" s="64">
        <v>320272</v>
      </c>
      <c r="M100" s="61">
        <v>1416553.3180546339</v>
      </c>
      <c r="N100" s="51">
        <f t="shared" si="77"/>
        <v>43265035</v>
      </c>
      <c r="O100" s="11">
        <f t="shared" si="78"/>
        <v>44724380.485010423</v>
      </c>
      <c r="P100" s="29">
        <v>38632190</v>
      </c>
      <c r="Q100" s="29">
        <v>11210589</v>
      </c>
      <c r="R100" s="20">
        <v>1096252119.7</v>
      </c>
      <c r="S100" s="29">
        <v>170274275</v>
      </c>
      <c r="T100" s="63">
        <f t="shared" si="67"/>
        <v>6.583841863370142E-2</v>
      </c>
      <c r="U100" s="13">
        <f t="shared" si="68"/>
        <v>97.787200984711873</v>
      </c>
      <c r="V100" s="52">
        <f t="shared" ref="V100:V108" si="87">((W100*Y100)+(X100*Z100))/(Y100+Z100)</f>
        <v>0.58350304798568686</v>
      </c>
      <c r="W100" s="52">
        <v>0.55100000000000005</v>
      </c>
      <c r="X100" s="52">
        <v>0.63100000000000001</v>
      </c>
      <c r="Y100" s="29">
        <v>831259</v>
      </c>
      <c r="Z100" s="29">
        <v>568846</v>
      </c>
      <c r="AA100" s="15"/>
      <c r="AB100" s="12">
        <f t="shared" si="82"/>
        <v>831258.36899999995</v>
      </c>
      <c r="AC100" s="12">
        <f t="shared" si="83"/>
        <v>-262413</v>
      </c>
      <c r="AD100" s="12">
        <f t="shared" si="84"/>
        <v>-568846</v>
      </c>
      <c r="AE100" s="12">
        <f t="shared" si="85"/>
        <v>831258.36899999995</v>
      </c>
      <c r="AF100" s="52">
        <v>0.78</v>
      </c>
      <c r="AG100" s="30">
        <v>0.75</v>
      </c>
      <c r="AH100" s="30">
        <v>0.81299999999999994</v>
      </c>
      <c r="AI100" s="30">
        <f t="shared" si="79"/>
        <v>0.78</v>
      </c>
      <c r="AJ100" s="12"/>
      <c r="AK100" s="12"/>
      <c r="AL100" s="12"/>
      <c r="AM100" s="12"/>
      <c r="AN100" s="12"/>
      <c r="AO100" s="12"/>
      <c r="AP100" s="12"/>
      <c r="AQ100" s="12"/>
      <c r="AR100" s="12"/>
      <c r="AS100" s="12"/>
      <c r="AT100" s="12"/>
      <c r="AU100" s="12"/>
      <c r="AV100" s="12"/>
      <c r="AW100" s="12"/>
      <c r="AX100" s="12"/>
      <c r="AY100" s="12"/>
      <c r="AZ100" s="12"/>
      <c r="BA100" s="12"/>
      <c r="BB100" s="59">
        <f t="shared" si="69"/>
        <v>3.9019066742009709E-2</v>
      </c>
      <c r="BC100" s="17">
        <v>92895</v>
      </c>
      <c r="BD100" s="17">
        <v>88780</v>
      </c>
      <c r="BE100" s="17">
        <f t="shared" si="62"/>
        <v>181675</v>
      </c>
      <c r="BF100" s="17">
        <f t="shared" si="66"/>
        <v>128460</v>
      </c>
      <c r="BG100" s="17">
        <f t="shared" si="65"/>
        <v>10137</v>
      </c>
      <c r="BH100" s="17">
        <f t="shared" si="70"/>
        <v>138597</v>
      </c>
      <c r="BI100" s="10"/>
      <c r="BJ100" s="12"/>
      <c r="BK100" s="12"/>
      <c r="BL100" s="12"/>
      <c r="BM100" s="12"/>
      <c r="BN100" s="12"/>
      <c r="BO100" s="12"/>
      <c r="BP100" s="12"/>
      <c r="BQ100" s="10"/>
      <c r="BR100" s="12"/>
      <c r="BS100" s="12"/>
      <c r="BT100" s="12"/>
      <c r="BU100" s="12"/>
      <c r="BV100" s="12"/>
      <c r="BW100" s="12"/>
      <c r="BX100" s="12"/>
      <c r="BY100" s="29">
        <f t="shared" si="80"/>
        <v>638054</v>
      </c>
      <c r="BZ100" s="29">
        <f t="shared" si="81"/>
        <v>869338</v>
      </c>
      <c r="CA100" s="29">
        <f t="shared" si="63"/>
        <v>304106</v>
      </c>
      <c r="CB100" s="29">
        <f t="shared" si="64"/>
        <v>615194</v>
      </c>
      <c r="CC100" s="29">
        <v>112593</v>
      </c>
      <c r="CD100" s="29">
        <v>155227</v>
      </c>
      <c r="CE100" s="29">
        <v>221355</v>
      </c>
      <c r="CF100" s="29">
        <v>98917</v>
      </c>
      <c r="CG100" s="52">
        <f t="shared" si="71"/>
        <v>0.33080169694332645</v>
      </c>
      <c r="CH100" s="52">
        <f t="shared" si="72"/>
        <v>0.6691983030566736</v>
      </c>
      <c r="CI100" s="52">
        <f t="shared" si="73"/>
        <v>0.4204054962288104</v>
      </c>
      <c r="CJ100" s="52">
        <f t="shared" si="74"/>
        <v>0.5795945037711896</v>
      </c>
      <c r="CK100" s="52">
        <f t="shared" si="75"/>
        <v>0.69114690013488533</v>
      </c>
      <c r="CL100" s="52">
        <f t="shared" si="76"/>
        <v>0.30885309986511467</v>
      </c>
      <c r="CN100" s="19"/>
    </row>
    <row r="101" spans="2:95">
      <c r="B101" t="str">
        <f t="shared" si="61"/>
        <v>2022</v>
      </c>
      <c r="C101">
        <v>202245</v>
      </c>
      <c r="G101" s="51">
        <f t="shared" si="86"/>
        <v>1398869</v>
      </c>
      <c r="H101" s="51">
        <v>603235</v>
      </c>
      <c r="I101" s="51">
        <v>795634</v>
      </c>
      <c r="J101" s="51">
        <v>873099</v>
      </c>
      <c r="K101" s="51">
        <v>199986</v>
      </c>
      <c r="L101" s="51">
        <v>325784</v>
      </c>
      <c r="M101" s="61">
        <v>1354452.704902187</v>
      </c>
      <c r="N101" s="51">
        <f t="shared" si="77"/>
        <v>44663904</v>
      </c>
      <c r="O101" s="11">
        <f t="shared" si="78"/>
        <v>46078833.18991261</v>
      </c>
      <c r="P101" s="29">
        <v>37468944</v>
      </c>
      <c r="Q101" s="29">
        <v>10289415</v>
      </c>
      <c r="R101" s="20">
        <v>981770660.05999994</v>
      </c>
      <c r="S101" s="29">
        <v>154292179</v>
      </c>
      <c r="T101" s="63">
        <f t="shared" si="67"/>
        <v>6.6687858494758834E-2</v>
      </c>
      <c r="U101" s="13">
        <f t="shared" si="68"/>
        <v>95.415595547463084</v>
      </c>
      <c r="V101" s="52">
        <f t="shared" si="87"/>
        <v>0.58387711319898117</v>
      </c>
      <c r="W101" s="52">
        <v>0.55000000000000004</v>
      </c>
      <c r="X101" s="30">
        <v>0.63</v>
      </c>
      <c r="Y101" s="29">
        <v>749249</v>
      </c>
      <c r="Z101" s="29">
        <v>550321</v>
      </c>
      <c r="AA101" s="15"/>
      <c r="AB101" s="12">
        <f t="shared" si="82"/>
        <v>749248.37</v>
      </c>
      <c r="AC101" s="12">
        <f t="shared" si="83"/>
        <v>-198928</v>
      </c>
      <c r="AD101" s="12">
        <f t="shared" si="84"/>
        <v>-550321</v>
      </c>
      <c r="AE101" s="12">
        <f t="shared" si="85"/>
        <v>749248.37</v>
      </c>
      <c r="AF101" s="52">
        <v>0.77300000000000002</v>
      </c>
      <c r="AG101" s="30">
        <v>0.746</v>
      </c>
      <c r="AH101" s="30">
        <v>0.80900000000000005</v>
      </c>
      <c r="AI101" s="30">
        <f t="shared" si="79"/>
        <v>0.77300000000000002</v>
      </c>
      <c r="AJ101" s="12"/>
      <c r="AK101" s="12"/>
      <c r="AL101" s="12"/>
      <c r="AM101" s="12"/>
      <c r="AN101" s="12"/>
      <c r="AO101" s="12"/>
      <c r="AP101" s="12"/>
      <c r="AQ101" s="12"/>
      <c r="AR101" s="12"/>
      <c r="AS101" s="12"/>
      <c r="AT101" s="12"/>
      <c r="AU101" s="12"/>
      <c r="AV101" s="12"/>
      <c r="AW101" s="12"/>
      <c r="AX101" s="12"/>
      <c r="AY101" s="12"/>
      <c r="AZ101" s="12"/>
      <c r="BA101" s="12"/>
      <c r="BB101" s="59">
        <f t="shared" si="69"/>
        <v>3.7334091934910149E-2</v>
      </c>
      <c r="BC101" s="17">
        <v>103467</v>
      </c>
      <c r="BD101" s="17">
        <v>110982</v>
      </c>
      <c r="BE101" s="17">
        <f t="shared" ref="BE101:BE108" si="88">SUM(BC101:BD101)</f>
        <v>214449</v>
      </c>
      <c r="BF101" s="17">
        <f t="shared" si="66"/>
        <v>103902</v>
      </c>
      <c r="BG101" s="17">
        <f t="shared" si="65"/>
        <v>7433</v>
      </c>
      <c r="BH101" s="17">
        <f t="shared" si="70"/>
        <v>111335</v>
      </c>
      <c r="BI101" s="10"/>
      <c r="BJ101" s="12"/>
      <c r="BK101" s="12"/>
      <c r="BL101" s="12"/>
      <c r="BM101" s="12"/>
      <c r="BN101" s="12"/>
      <c r="BO101" s="12"/>
      <c r="BP101" s="12"/>
      <c r="BQ101" s="10"/>
      <c r="BR101" s="12"/>
      <c r="BS101" s="12"/>
      <c r="BT101" s="12"/>
      <c r="BU101" s="12"/>
      <c r="BV101" s="12"/>
      <c r="BW101" s="12"/>
      <c r="BX101" s="12"/>
      <c r="BY101" s="29">
        <f t="shared" si="80"/>
        <v>603235</v>
      </c>
      <c r="BZ101" s="29">
        <f t="shared" si="81"/>
        <v>795634</v>
      </c>
      <c r="CA101" s="29">
        <f t="shared" ref="CA101:CA108" si="89">BY101-CC101-CE101</f>
        <v>307017</v>
      </c>
      <c r="CB101" s="29">
        <f t="shared" ref="CB101:CB108" si="90">BZ101-CD101-CF101</f>
        <v>566082</v>
      </c>
      <c r="CC101" s="29">
        <v>88849</v>
      </c>
      <c r="CD101" s="29">
        <v>111137</v>
      </c>
      <c r="CE101" s="29">
        <v>207369</v>
      </c>
      <c r="CF101" s="29">
        <v>118415</v>
      </c>
      <c r="CG101" s="52">
        <f t="shared" si="71"/>
        <v>0.35164053560936387</v>
      </c>
      <c r="CH101" s="52">
        <f t="shared" si="72"/>
        <v>0.64835946439063608</v>
      </c>
      <c r="CI101" s="52">
        <f t="shared" si="73"/>
        <v>0.44427609932695289</v>
      </c>
      <c r="CJ101" s="52">
        <f t="shared" si="74"/>
        <v>0.55572390067304711</v>
      </c>
      <c r="CK101" s="52">
        <f t="shared" si="75"/>
        <v>0.63652297227610932</v>
      </c>
      <c r="CL101" s="52">
        <f t="shared" si="76"/>
        <v>0.36347702772389068</v>
      </c>
      <c r="CN101" s="19"/>
    </row>
    <row r="102" spans="2:95">
      <c r="B102" t="str">
        <f t="shared" si="61"/>
        <v>2022</v>
      </c>
      <c r="C102">
        <v>202246</v>
      </c>
      <c r="G102" s="51">
        <f t="shared" si="86"/>
        <v>1405883</v>
      </c>
      <c r="H102" s="51">
        <v>580653</v>
      </c>
      <c r="I102" s="51">
        <v>825230</v>
      </c>
      <c r="J102" s="51">
        <v>886666</v>
      </c>
      <c r="K102" s="51">
        <v>214084</v>
      </c>
      <c r="L102" s="51">
        <v>305133</v>
      </c>
      <c r="M102" s="61">
        <v>1294496.457196323</v>
      </c>
      <c r="N102" s="51">
        <f t="shared" si="77"/>
        <v>46069787</v>
      </c>
      <c r="O102" s="11">
        <f t="shared" si="78"/>
        <v>47373329.647108935</v>
      </c>
      <c r="P102" s="29">
        <v>37828429</v>
      </c>
      <c r="Q102" s="29">
        <v>10795672</v>
      </c>
      <c r="R102" s="20">
        <v>1013577685.02</v>
      </c>
      <c r="S102" s="29">
        <v>154175576</v>
      </c>
      <c r="T102" s="63">
        <f t="shared" si="67"/>
        <v>7.0021933954052484E-2</v>
      </c>
      <c r="U102" s="13">
        <f t="shared" si="68"/>
        <v>93.887410160293868</v>
      </c>
      <c r="V102" s="52">
        <f t="shared" si="87"/>
        <v>0.57855898972896058</v>
      </c>
      <c r="W102" s="52">
        <v>0.54398887815511132</v>
      </c>
      <c r="X102" s="30">
        <v>0.63</v>
      </c>
      <c r="Y102" s="29">
        <v>645936</v>
      </c>
      <c r="Z102" s="29">
        <v>434091</v>
      </c>
      <c r="AA102" s="15"/>
      <c r="AB102" s="12">
        <f t="shared" si="82"/>
        <v>645935.37</v>
      </c>
      <c r="AC102" s="12">
        <f t="shared" si="83"/>
        <v>-211845</v>
      </c>
      <c r="AD102" s="12">
        <f t="shared" si="84"/>
        <v>-434091</v>
      </c>
      <c r="AE102" s="12">
        <f t="shared" si="85"/>
        <v>645935.37</v>
      </c>
      <c r="AF102" s="52">
        <v>0.753</v>
      </c>
      <c r="AG102" s="30">
        <v>0.72399999999999998</v>
      </c>
      <c r="AH102" s="30">
        <v>0.79700000000000004</v>
      </c>
      <c r="AI102" s="30">
        <f t="shared" si="79"/>
        <v>0.753</v>
      </c>
      <c r="AJ102" s="12"/>
      <c r="AK102" s="12"/>
      <c r="AL102" s="12"/>
      <c r="AM102" s="12"/>
      <c r="AN102" s="12"/>
      <c r="AO102" s="12"/>
      <c r="AP102" s="12"/>
      <c r="AQ102" s="12"/>
      <c r="AR102" s="12"/>
      <c r="AS102" s="12"/>
      <c r="AT102" s="12"/>
      <c r="AU102" s="12"/>
      <c r="AV102" s="12"/>
      <c r="AW102" s="12"/>
      <c r="AX102" s="12"/>
      <c r="AY102" s="12"/>
      <c r="AZ102" s="12"/>
      <c r="BA102" s="12"/>
      <c r="BB102" s="59">
        <f t="shared" si="69"/>
        <v>3.7164720744813376E-2</v>
      </c>
      <c r="BC102" s="17">
        <v>95949</v>
      </c>
      <c r="BD102" s="17">
        <v>100495</v>
      </c>
      <c r="BE102" s="17">
        <f t="shared" si="88"/>
        <v>196444</v>
      </c>
      <c r="BF102" s="17">
        <f t="shared" si="66"/>
        <v>102082</v>
      </c>
      <c r="BG102" s="17">
        <f t="shared" si="65"/>
        <v>6607</v>
      </c>
      <c r="BH102" s="17">
        <f t="shared" si="70"/>
        <v>108689</v>
      </c>
      <c r="BI102" s="10"/>
      <c r="BJ102" s="12"/>
      <c r="BK102" s="12"/>
      <c r="BL102" s="12"/>
      <c r="BM102" s="12"/>
      <c r="BN102" s="12"/>
      <c r="BO102" s="12"/>
      <c r="BP102" s="12"/>
      <c r="BQ102" s="10"/>
      <c r="BR102" s="12"/>
      <c r="BS102" s="12"/>
      <c r="BT102" s="12"/>
      <c r="BU102" s="12"/>
      <c r="BV102" s="12"/>
      <c r="BW102" s="12"/>
      <c r="BX102" s="12"/>
      <c r="BY102" s="29">
        <f t="shared" si="80"/>
        <v>580653</v>
      </c>
      <c r="BZ102" s="29">
        <f t="shared" si="81"/>
        <v>825230</v>
      </c>
      <c r="CA102" s="29">
        <f t="shared" si="89"/>
        <v>291055</v>
      </c>
      <c r="CB102" s="29">
        <f t="shared" si="90"/>
        <v>595611</v>
      </c>
      <c r="CC102" s="29">
        <v>91567</v>
      </c>
      <c r="CD102" s="29">
        <v>122517</v>
      </c>
      <c r="CE102" s="29">
        <v>198031</v>
      </c>
      <c r="CF102" s="29">
        <v>107102</v>
      </c>
      <c r="CG102" s="52">
        <f t="shared" si="71"/>
        <v>0.32825776560734254</v>
      </c>
      <c r="CH102" s="52">
        <f t="shared" si="72"/>
        <v>0.67174223439265746</v>
      </c>
      <c r="CI102" s="52">
        <f t="shared" si="73"/>
        <v>0.42771528932568526</v>
      </c>
      <c r="CJ102" s="52">
        <f t="shared" si="74"/>
        <v>0.57228471067431474</v>
      </c>
      <c r="CK102" s="52">
        <f t="shared" si="75"/>
        <v>0.64899896110876243</v>
      </c>
      <c r="CL102" s="52">
        <f t="shared" si="76"/>
        <v>0.35100103889123757</v>
      </c>
      <c r="CN102" s="19"/>
    </row>
    <row r="103" spans="2:95">
      <c r="B103" t="str">
        <f t="shared" si="61"/>
        <v>2022</v>
      </c>
      <c r="C103">
        <v>202247</v>
      </c>
      <c r="G103" s="51">
        <f t="shared" si="86"/>
        <v>1646176</v>
      </c>
      <c r="H103" s="51">
        <v>648353</v>
      </c>
      <c r="I103" s="51">
        <v>997823</v>
      </c>
      <c r="J103" s="51">
        <v>1064684</v>
      </c>
      <c r="K103" s="51">
        <v>289507</v>
      </c>
      <c r="L103" s="51">
        <v>291985</v>
      </c>
      <c r="M103" s="61">
        <v>1246100.8671140829</v>
      </c>
      <c r="N103" s="51">
        <f t="shared" si="77"/>
        <v>47715963</v>
      </c>
      <c r="O103" s="11">
        <f t="shared" si="78"/>
        <v>48619430.514223017</v>
      </c>
      <c r="P103" s="29">
        <v>39040868</v>
      </c>
      <c r="Q103" s="29">
        <v>11243540</v>
      </c>
      <c r="R103" s="20">
        <v>1066133764.04</v>
      </c>
      <c r="S103" s="29">
        <v>167503500</v>
      </c>
      <c r="T103" s="63">
        <f t="shared" si="67"/>
        <v>6.7124209344879365E-2</v>
      </c>
      <c r="U103" s="13">
        <f t="shared" si="68"/>
        <v>94.821894531437607</v>
      </c>
      <c r="V103" s="52">
        <f t="shared" si="87"/>
        <v>0.54270088743021638</v>
      </c>
      <c r="W103" s="22">
        <v>0.51400000000000001</v>
      </c>
      <c r="X103" s="22">
        <v>0.58599999999999997</v>
      </c>
      <c r="Y103" s="29">
        <v>939441</v>
      </c>
      <c r="Z103" s="29">
        <v>622710</v>
      </c>
      <c r="AA103" s="15"/>
      <c r="AB103" s="12">
        <f t="shared" si="82"/>
        <v>939440.41399999999</v>
      </c>
      <c r="AC103" s="12">
        <f t="shared" si="83"/>
        <v>-316731</v>
      </c>
      <c r="AD103" s="12">
        <f t="shared" si="84"/>
        <v>-622710</v>
      </c>
      <c r="AE103" s="12">
        <f t="shared" si="85"/>
        <v>939440.41399999999</v>
      </c>
      <c r="AF103" s="22">
        <v>0.73</v>
      </c>
      <c r="AG103" s="22">
        <v>0.7</v>
      </c>
      <c r="AH103" s="22">
        <v>0.77</v>
      </c>
      <c r="AI103" s="30">
        <f t="shared" si="79"/>
        <v>0.73</v>
      </c>
      <c r="AJ103" s="12"/>
      <c r="AK103" s="12"/>
      <c r="AL103" s="12"/>
      <c r="AM103" s="12"/>
      <c r="AN103" s="12"/>
      <c r="AO103" s="12"/>
      <c r="AP103" s="12"/>
      <c r="AQ103" s="12"/>
      <c r="AR103" s="12"/>
      <c r="AS103" s="12"/>
      <c r="AT103" s="12"/>
      <c r="AU103" s="12"/>
      <c r="AV103" s="12"/>
      <c r="AW103" s="12"/>
      <c r="AX103" s="12"/>
      <c r="AY103" s="12"/>
      <c r="AZ103" s="12"/>
      <c r="BA103" s="12"/>
      <c r="BB103" s="59">
        <f t="shared" si="69"/>
        <v>4.2165455952464993E-2</v>
      </c>
      <c r="BC103" s="17">
        <v>95713</v>
      </c>
      <c r="BD103" s="17">
        <v>79517</v>
      </c>
      <c r="BE103" s="17">
        <f t="shared" si="88"/>
        <v>175230</v>
      </c>
      <c r="BF103" s="17">
        <f t="shared" si="66"/>
        <v>108569</v>
      </c>
      <c r="BG103" s="17">
        <f t="shared" si="65"/>
        <v>8186</v>
      </c>
      <c r="BH103" s="17">
        <f t="shared" si="70"/>
        <v>116755</v>
      </c>
      <c r="BI103" s="10"/>
      <c r="BJ103" s="12"/>
      <c r="BK103" s="12"/>
      <c r="BL103" s="12"/>
      <c r="BM103" s="12"/>
      <c r="BN103" s="12"/>
      <c r="BO103" s="12"/>
      <c r="BP103" s="12"/>
      <c r="BQ103" s="10"/>
      <c r="BR103" s="12"/>
      <c r="BS103" s="12"/>
      <c r="BT103" s="12"/>
      <c r="BU103" s="12"/>
      <c r="BV103" s="12"/>
      <c r="BW103" s="12"/>
      <c r="BX103" s="12"/>
      <c r="BY103" s="29">
        <f t="shared" si="80"/>
        <v>648353</v>
      </c>
      <c r="BZ103" s="29">
        <f t="shared" si="81"/>
        <v>997823</v>
      </c>
      <c r="CA103" s="29">
        <f t="shared" si="89"/>
        <v>331546</v>
      </c>
      <c r="CB103" s="29">
        <f t="shared" si="90"/>
        <v>733138</v>
      </c>
      <c r="CC103" s="29">
        <v>112525</v>
      </c>
      <c r="CD103" s="29">
        <v>176982</v>
      </c>
      <c r="CE103" s="29">
        <v>204282</v>
      </c>
      <c r="CF103" s="29">
        <v>87703</v>
      </c>
      <c r="CG103" s="52">
        <f t="shared" si="71"/>
        <v>0.31140319568998875</v>
      </c>
      <c r="CH103" s="52">
        <f t="shared" si="72"/>
        <v>0.68859680431001125</v>
      </c>
      <c r="CI103" s="52">
        <f t="shared" si="73"/>
        <v>0.38867799396905772</v>
      </c>
      <c r="CJ103" s="52">
        <f t="shared" si="74"/>
        <v>0.61132200603094222</v>
      </c>
      <c r="CK103" s="52">
        <f t="shared" si="75"/>
        <v>0.69963183040224675</v>
      </c>
      <c r="CL103" s="52">
        <f t="shared" si="76"/>
        <v>0.30036816959775331</v>
      </c>
      <c r="CM103" s="52"/>
      <c r="CN103" s="19"/>
    </row>
    <row r="104" spans="2:95">
      <c r="B104" t="str">
        <f t="shared" si="61"/>
        <v>2022</v>
      </c>
      <c r="C104">
        <v>202248</v>
      </c>
      <c r="G104" s="51">
        <f t="shared" si="86"/>
        <v>1257165</v>
      </c>
      <c r="H104" s="51">
        <v>514005</v>
      </c>
      <c r="I104" s="51">
        <v>743160</v>
      </c>
      <c r="J104" s="51">
        <v>892320</v>
      </c>
      <c r="K104" s="51">
        <v>150959</v>
      </c>
      <c r="L104" s="51">
        <v>213886</v>
      </c>
      <c r="M104" s="61">
        <v>1221373.807310438</v>
      </c>
      <c r="N104" s="51">
        <f t="shared" si="77"/>
        <v>48973128</v>
      </c>
      <c r="O104" s="11">
        <f t="shared" si="78"/>
        <v>49840804.321533456</v>
      </c>
      <c r="P104" s="29">
        <v>34439400</v>
      </c>
      <c r="Q104" s="29">
        <v>7636830</v>
      </c>
      <c r="R104" s="20">
        <v>690468727.34000003</v>
      </c>
      <c r="S104" s="29">
        <v>124929834</v>
      </c>
      <c r="T104" s="63">
        <f t="shared" si="67"/>
        <v>6.1128953393150269E-2</v>
      </c>
      <c r="U104" s="13">
        <f t="shared" si="68"/>
        <v>90.413002167129562</v>
      </c>
      <c r="V104" s="30">
        <f t="shared" si="87"/>
        <v>0.5341504612600233</v>
      </c>
      <c r="W104" s="30">
        <v>0.504</v>
      </c>
      <c r="X104" s="30">
        <v>0.57699999999999996</v>
      </c>
      <c r="Y104" s="29">
        <v>700543</v>
      </c>
      <c r="Z104" s="29">
        <v>492927</v>
      </c>
      <c r="AA104" s="15"/>
      <c r="AB104" s="12">
        <f t="shared" si="82"/>
        <v>700542.42299999995</v>
      </c>
      <c r="AC104" s="12">
        <f t="shared" si="83"/>
        <v>-207616</v>
      </c>
      <c r="AD104" s="12">
        <f t="shared" si="84"/>
        <v>-492927</v>
      </c>
      <c r="AE104" s="12">
        <f t="shared" si="85"/>
        <v>700542.42299999995</v>
      </c>
      <c r="AF104" s="22">
        <v>0.71</v>
      </c>
      <c r="AG104" s="22">
        <v>0.67</v>
      </c>
      <c r="AH104" s="22">
        <v>0.76</v>
      </c>
      <c r="AI104" s="30">
        <f t="shared" si="79"/>
        <v>0.71</v>
      </c>
      <c r="AJ104" s="12"/>
      <c r="AK104" s="12"/>
      <c r="AL104" s="12"/>
      <c r="AM104" s="12"/>
      <c r="AN104" s="12"/>
      <c r="AO104" s="12"/>
      <c r="AP104" s="12"/>
      <c r="AQ104" s="12"/>
      <c r="AR104" s="12"/>
      <c r="AS104" s="12"/>
      <c r="AT104" s="12"/>
      <c r="AU104" s="12"/>
      <c r="AV104" s="12"/>
      <c r="AW104" s="12"/>
      <c r="AX104" s="12"/>
      <c r="AY104" s="12"/>
      <c r="AZ104" s="12"/>
      <c r="BA104" s="12"/>
      <c r="BB104" s="59">
        <f t="shared" si="69"/>
        <v>3.6503684733183502E-2</v>
      </c>
      <c r="BC104" s="17">
        <v>72503</v>
      </c>
      <c r="BD104" s="17">
        <v>59045</v>
      </c>
      <c r="BE104" s="17">
        <f t="shared" si="88"/>
        <v>131548</v>
      </c>
      <c r="BF104" s="17">
        <f t="shared" si="66"/>
        <v>77679</v>
      </c>
      <c r="BG104" s="17">
        <f t="shared" si="65"/>
        <v>4659</v>
      </c>
      <c r="BH104" s="17">
        <f t="shared" si="70"/>
        <v>82338</v>
      </c>
      <c r="BI104" s="10"/>
      <c r="BJ104" s="12"/>
      <c r="BK104" s="12"/>
      <c r="BL104" s="12"/>
      <c r="BM104" s="12"/>
      <c r="BN104" s="12"/>
      <c r="BO104" s="12"/>
      <c r="BP104" s="12"/>
      <c r="BQ104" s="10"/>
      <c r="BR104" s="12"/>
      <c r="BS104" s="12"/>
      <c r="BT104" s="12"/>
      <c r="BU104" s="12"/>
      <c r="BV104" s="12"/>
      <c r="BW104" s="12"/>
      <c r="BX104" s="12"/>
      <c r="BY104" s="29">
        <f t="shared" si="80"/>
        <v>514005</v>
      </c>
      <c r="BZ104" s="29">
        <f t="shared" si="81"/>
        <v>743160</v>
      </c>
      <c r="CA104" s="29">
        <f t="shared" si="89"/>
        <v>301694</v>
      </c>
      <c r="CB104" s="29">
        <f t="shared" si="90"/>
        <v>590626</v>
      </c>
      <c r="CC104" s="29">
        <v>62129</v>
      </c>
      <c r="CD104" s="29">
        <v>88830</v>
      </c>
      <c r="CE104" s="29">
        <v>150182</v>
      </c>
      <c r="CF104" s="29">
        <v>63704</v>
      </c>
      <c r="CG104" s="52">
        <f t="shared" si="71"/>
        <v>0.33810068136991211</v>
      </c>
      <c r="CH104" s="52">
        <f t="shared" si="72"/>
        <v>0.66189931863008789</v>
      </c>
      <c r="CI104" s="52">
        <f t="shared" si="73"/>
        <v>0.41156207977000375</v>
      </c>
      <c r="CJ104" s="52">
        <f t="shared" si="74"/>
        <v>0.58843792022999619</v>
      </c>
      <c r="CK104" s="52">
        <f t="shared" si="75"/>
        <v>0.70215909409685529</v>
      </c>
      <c r="CL104" s="52">
        <f t="shared" si="76"/>
        <v>0.29784090590314466</v>
      </c>
      <c r="CN104" s="19"/>
    </row>
    <row r="105" spans="2:95">
      <c r="B105" t="str">
        <f t="shared" si="61"/>
        <v>2022</v>
      </c>
      <c r="C105">
        <v>202249</v>
      </c>
      <c r="G105" s="51">
        <f t="shared" si="86"/>
        <v>1086130</v>
      </c>
      <c r="H105" s="51">
        <v>457612</v>
      </c>
      <c r="I105" s="51">
        <v>628518</v>
      </c>
      <c r="J105" s="51">
        <v>765482</v>
      </c>
      <c r="K105" s="51">
        <v>134733</v>
      </c>
      <c r="L105" s="51">
        <v>185915</v>
      </c>
      <c r="M105" s="61">
        <v>1100906.8520581149</v>
      </c>
      <c r="N105" s="51">
        <f t="shared" si="77"/>
        <v>50059258</v>
      </c>
      <c r="O105" s="11">
        <f t="shared" si="78"/>
        <v>50941711.173591569</v>
      </c>
      <c r="P105" s="29">
        <v>32586405</v>
      </c>
      <c r="Q105" s="29">
        <v>8293335</v>
      </c>
      <c r="R105" s="20">
        <v>769471259.05999994</v>
      </c>
      <c r="S105" s="29">
        <v>118554102</v>
      </c>
      <c r="T105" s="63">
        <f t="shared" si="67"/>
        <v>6.9954011376173214E-2</v>
      </c>
      <c r="U105" s="13">
        <f t="shared" si="68"/>
        <v>92.781885581614631</v>
      </c>
      <c r="V105" s="30">
        <f t="shared" si="87"/>
        <v>0.527570066145017</v>
      </c>
      <c r="W105" s="30">
        <v>0.49</v>
      </c>
      <c r="X105" s="30">
        <v>0.57799999999999996</v>
      </c>
      <c r="Y105" s="29">
        <v>589052</v>
      </c>
      <c r="Z105" s="29">
        <v>438841</v>
      </c>
      <c r="AA105" s="15"/>
      <c r="AB105" s="12">
        <f t="shared" si="82"/>
        <v>589051.42200000002</v>
      </c>
      <c r="AC105" s="12">
        <f t="shared" si="83"/>
        <v>-150211</v>
      </c>
      <c r="AD105" s="12">
        <f t="shared" si="84"/>
        <v>-438841</v>
      </c>
      <c r="AE105" s="12">
        <f t="shared" si="85"/>
        <v>589051.42200000002</v>
      </c>
      <c r="AF105" s="30">
        <v>0.72232700453009424</v>
      </c>
      <c r="AG105" s="30">
        <f>AH105-8%</f>
        <v>0.68722375888595721</v>
      </c>
      <c r="AH105" s="22">
        <v>0.76722375888595717</v>
      </c>
      <c r="AI105" s="30">
        <f t="shared" si="79"/>
        <v>0.72232700453009424</v>
      </c>
      <c r="AJ105" s="12"/>
      <c r="AK105" s="12"/>
      <c r="AL105" s="12"/>
      <c r="AM105" s="12"/>
      <c r="AN105" s="12"/>
      <c r="AO105" s="12"/>
      <c r="AP105" s="12"/>
      <c r="AQ105" s="12"/>
      <c r="AR105" s="12"/>
      <c r="AS105" s="12"/>
      <c r="AT105" s="12"/>
      <c r="AU105" s="12"/>
      <c r="AV105" s="12"/>
      <c r="AW105" s="12"/>
      <c r="AX105" s="12"/>
      <c r="AY105" s="12"/>
      <c r="AZ105" s="12"/>
      <c r="BA105" s="12"/>
      <c r="BB105" s="59">
        <f t="shared" si="69"/>
        <v>3.3330770915048775E-2</v>
      </c>
      <c r="BC105" s="17">
        <v>62998</v>
      </c>
      <c r="BD105" s="17">
        <v>64992</v>
      </c>
      <c r="BE105" s="17">
        <f t="shared" si="88"/>
        <v>127990</v>
      </c>
      <c r="BF105" s="17">
        <f t="shared" si="66"/>
        <v>55957</v>
      </c>
      <c r="BG105" s="17">
        <f t="shared" si="65"/>
        <v>1968</v>
      </c>
      <c r="BH105" s="17">
        <f t="shared" si="70"/>
        <v>57925</v>
      </c>
      <c r="BI105" s="10"/>
      <c r="BJ105" s="12"/>
      <c r="BK105" s="12"/>
      <c r="BL105" s="12"/>
      <c r="BM105" s="12"/>
      <c r="BN105" s="12"/>
      <c r="BO105" s="12"/>
      <c r="BP105" s="12"/>
      <c r="BQ105" s="10"/>
      <c r="BR105" s="12"/>
      <c r="BS105" s="12"/>
      <c r="BT105" s="12"/>
      <c r="BU105" s="12"/>
      <c r="BV105" s="12"/>
      <c r="BW105" s="12"/>
      <c r="BX105" s="12"/>
      <c r="BY105" s="29">
        <f t="shared" si="80"/>
        <v>457612</v>
      </c>
      <c r="BZ105" s="29">
        <f t="shared" si="81"/>
        <v>628518</v>
      </c>
      <c r="CA105" s="29">
        <f t="shared" si="89"/>
        <v>281794</v>
      </c>
      <c r="CB105" s="29">
        <f t="shared" si="90"/>
        <v>483688</v>
      </c>
      <c r="CC105" s="29">
        <v>56863</v>
      </c>
      <c r="CD105" s="29">
        <v>77870</v>
      </c>
      <c r="CE105" s="29">
        <v>118955</v>
      </c>
      <c r="CF105" s="29">
        <v>66960</v>
      </c>
      <c r="CG105" s="52">
        <f t="shared" si="71"/>
        <v>0.36812622635150138</v>
      </c>
      <c r="CH105" s="52">
        <f t="shared" si="72"/>
        <v>0.63187377364849862</v>
      </c>
      <c r="CI105" s="52">
        <f t="shared" si="73"/>
        <v>0.42204211291962623</v>
      </c>
      <c r="CJ105" s="52">
        <f t="shared" si="74"/>
        <v>0.57795788708037377</v>
      </c>
      <c r="CK105" s="52">
        <f t="shared" si="75"/>
        <v>0.63983540865449262</v>
      </c>
      <c r="CL105" s="52">
        <f t="shared" si="76"/>
        <v>0.36016459134550738</v>
      </c>
      <c r="CN105" s="19"/>
    </row>
    <row r="106" spans="2:95">
      <c r="B106" t="str">
        <f t="shared" si="61"/>
        <v>2022</v>
      </c>
      <c r="C106">
        <v>202250</v>
      </c>
      <c r="G106" s="51">
        <f t="shared" si="86"/>
        <v>996304</v>
      </c>
      <c r="H106" s="51">
        <v>422329</v>
      </c>
      <c r="I106" s="51">
        <v>573975</v>
      </c>
      <c r="J106" s="51">
        <v>651255</v>
      </c>
      <c r="K106" s="51">
        <v>123397</v>
      </c>
      <c r="L106" s="51">
        <v>221652</v>
      </c>
      <c r="M106" s="61">
        <v>1089353.9195005649</v>
      </c>
      <c r="N106" s="51">
        <f t="shared" si="77"/>
        <v>51055562</v>
      </c>
      <c r="O106" s="11">
        <f t="shared" si="78"/>
        <v>52031065.093092136</v>
      </c>
      <c r="P106" s="29">
        <v>31843175</v>
      </c>
      <c r="Q106" s="29">
        <v>8141960</v>
      </c>
      <c r="R106" s="20">
        <v>773187933.18000007</v>
      </c>
      <c r="S106" s="29">
        <v>112594157</v>
      </c>
      <c r="T106" s="63">
        <f t="shared" si="67"/>
        <v>7.231245578755921E-2</v>
      </c>
      <c r="U106" s="13">
        <f t="shared" si="68"/>
        <v>94.963366705314215</v>
      </c>
      <c r="V106" s="52">
        <f t="shared" si="87"/>
        <v>0.52629569932328679</v>
      </c>
      <c r="W106" s="30">
        <f>X106-8%</f>
        <v>0.49199999999999994</v>
      </c>
      <c r="X106" s="30">
        <v>0.57199999999999995</v>
      </c>
      <c r="Y106" s="29">
        <v>539465</v>
      </c>
      <c r="Z106" s="29">
        <v>404805</v>
      </c>
      <c r="AA106" s="15"/>
      <c r="AB106" s="12">
        <f t="shared" si="82"/>
        <v>539464.42799999996</v>
      </c>
      <c r="AC106" s="12">
        <f t="shared" si="83"/>
        <v>-134660</v>
      </c>
      <c r="AD106" s="12">
        <f t="shared" si="84"/>
        <v>-404805</v>
      </c>
      <c r="AE106" s="12">
        <f t="shared" si="85"/>
        <v>539464.42799999996</v>
      </c>
      <c r="AF106" s="30">
        <v>0.72094163805787148</v>
      </c>
      <c r="AG106" s="30">
        <f>AH106-8%</f>
        <v>0.68563762442715726</v>
      </c>
      <c r="AH106" s="22">
        <v>0.76563762442715722</v>
      </c>
      <c r="AI106" s="30">
        <f t="shared" si="79"/>
        <v>0.72094163805787148</v>
      </c>
      <c r="AJ106" s="12"/>
      <c r="AK106" s="12"/>
      <c r="AL106" s="12"/>
      <c r="AM106" s="12"/>
      <c r="AN106" s="12"/>
      <c r="AO106" s="12"/>
      <c r="AP106" s="12"/>
      <c r="AQ106" s="12"/>
      <c r="AR106" s="12"/>
      <c r="AS106" s="12"/>
      <c r="AT106" s="12"/>
      <c r="AU106" s="12"/>
      <c r="AV106" s="12"/>
      <c r="AW106" s="12"/>
      <c r="AX106" s="12"/>
      <c r="AY106" s="12"/>
      <c r="AZ106" s="12"/>
      <c r="BA106" s="12"/>
      <c r="BB106" s="59">
        <f t="shared" si="69"/>
        <v>3.1287834834309081E-2</v>
      </c>
      <c r="BC106" s="17">
        <v>75700</v>
      </c>
      <c r="BD106" s="17">
        <v>90639</v>
      </c>
      <c r="BE106" s="17">
        <f t="shared" si="88"/>
        <v>166339</v>
      </c>
      <c r="BF106" s="17">
        <f t="shared" si="66"/>
        <v>53526</v>
      </c>
      <c r="BG106" s="17">
        <f t="shared" si="65"/>
        <v>1787</v>
      </c>
      <c r="BH106" s="17">
        <f t="shared" si="70"/>
        <v>55313</v>
      </c>
      <c r="BI106" s="10"/>
      <c r="BJ106" s="12"/>
      <c r="BK106" s="12"/>
      <c r="BL106" s="12"/>
      <c r="BM106" s="12"/>
      <c r="BN106" s="12"/>
      <c r="BO106" s="12"/>
      <c r="BP106" s="12"/>
      <c r="BQ106" s="10"/>
      <c r="BR106" s="12"/>
      <c r="BS106" s="12"/>
      <c r="BT106" s="12"/>
      <c r="BU106" s="12"/>
      <c r="BV106" s="12"/>
      <c r="BW106" s="12"/>
      <c r="BX106" s="12"/>
      <c r="BY106" s="29">
        <f t="shared" si="80"/>
        <v>422329</v>
      </c>
      <c r="BZ106" s="29">
        <f t="shared" si="81"/>
        <v>573975</v>
      </c>
      <c r="CA106" s="29">
        <f t="shared" si="89"/>
        <v>241148</v>
      </c>
      <c r="CB106" s="29">
        <f t="shared" si="90"/>
        <v>410107</v>
      </c>
      <c r="CC106" s="29">
        <v>51955</v>
      </c>
      <c r="CD106" s="29">
        <v>71442</v>
      </c>
      <c r="CE106" s="29">
        <v>129226</v>
      </c>
      <c r="CF106" s="29">
        <v>92426</v>
      </c>
      <c r="CG106" s="52">
        <f t="shared" si="71"/>
        <v>0.37028199399620731</v>
      </c>
      <c r="CH106" s="52">
        <f t="shared" si="72"/>
        <v>0.62971800600379269</v>
      </c>
      <c r="CI106" s="52">
        <f t="shared" si="73"/>
        <v>0.42103940938596562</v>
      </c>
      <c r="CJ106" s="52">
        <f t="shared" si="74"/>
        <v>0.57896059061403438</v>
      </c>
      <c r="CK106" s="52">
        <f t="shared" si="75"/>
        <v>0.58301301138721962</v>
      </c>
      <c r="CL106" s="52">
        <f t="shared" si="76"/>
        <v>0.41698698861278038</v>
      </c>
      <c r="CN106" s="19"/>
    </row>
    <row r="107" spans="2:95">
      <c r="B107" t="str">
        <f t="shared" si="61"/>
        <v>2022</v>
      </c>
      <c r="C107">
        <v>202251</v>
      </c>
      <c r="G107" s="51">
        <f t="shared" si="86"/>
        <v>962664</v>
      </c>
      <c r="H107" s="51">
        <v>407940</v>
      </c>
      <c r="I107" s="51">
        <v>554724</v>
      </c>
      <c r="J107" s="51">
        <v>626257</v>
      </c>
      <c r="K107" s="51">
        <v>114198</v>
      </c>
      <c r="L107" s="51">
        <v>222209</v>
      </c>
      <c r="M107" s="61">
        <v>1091809.1241092531</v>
      </c>
      <c r="N107" s="51">
        <f t="shared" si="77"/>
        <v>52018226</v>
      </c>
      <c r="O107" s="11">
        <f t="shared" si="78"/>
        <v>53122874.217201389</v>
      </c>
      <c r="P107" s="29">
        <v>29947134</v>
      </c>
      <c r="Q107" s="29">
        <v>7897442</v>
      </c>
      <c r="R107" s="20">
        <v>758614604</v>
      </c>
      <c r="S107" s="29">
        <v>108566713</v>
      </c>
      <c r="T107" s="63">
        <v>7.22E-2</v>
      </c>
      <c r="U107" s="13">
        <v>96.52</v>
      </c>
      <c r="V107" s="52">
        <f t="shared" si="87"/>
        <v>0.51813214952433895</v>
      </c>
      <c r="W107" s="30">
        <f>X107-8%</f>
        <v>0.48399999999999993</v>
      </c>
      <c r="X107" s="30">
        <v>0.56399999999999995</v>
      </c>
      <c r="Y107" s="29">
        <v>524879</v>
      </c>
      <c r="Z107" s="29">
        <v>390584</v>
      </c>
      <c r="AA107" s="15"/>
      <c r="AB107" s="12">
        <f t="shared" si="82"/>
        <v>524878.43599999999</v>
      </c>
      <c r="AC107" s="12">
        <f t="shared" si="83"/>
        <v>-134295</v>
      </c>
      <c r="AD107" s="12">
        <f t="shared" si="84"/>
        <v>-390584</v>
      </c>
      <c r="AE107" s="12">
        <f t="shared" si="85"/>
        <v>524878.43599999999</v>
      </c>
      <c r="AF107" s="30">
        <v>0.63395953325390531</v>
      </c>
      <c r="AG107" s="30">
        <v>0.53400943622331942</v>
      </c>
      <c r="AH107" s="22">
        <v>0.76602225774346289</v>
      </c>
      <c r="AI107" s="30">
        <f t="shared" si="79"/>
        <v>0.63395953325390531</v>
      </c>
      <c r="AJ107" s="12"/>
      <c r="AK107" s="12"/>
      <c r="AL107" s="12"/>
      <c r="AM107" s="12"/>
      <c r="AN107" s="12"/>
      <c r="AO107" s="12"/>
      <c r="AP107" s="12"/>
      <c r="AQ107" s="12"/>
      <c r="AR107" s="12"/>
      <c r="AS107" s="12"/>
      <c r="AT107" s="12"/>
      <c r="AU107" s="12"/>
      <c r="AV107" s="12"/>
      <c r="AW107" s="12"/>
      <c r="AX107" s="12"/>
      <c r="AY107" s="12"/>
      <c r="AZ107" s="12"/>
      <c r="BA107" s="12"/>
      <c r="BB107" s="59">
        <f t="shared" si="69"/>
        <v>3.2145446706185639E-2</v>
      </c>
      <c r="BC107" s="17">
        <v>67059</v>
      </c>
      <c r="BD107" s="17">
        <v>100656</v>
      </c>
      <c r="BE107" s="17">
        <f t="shared" si="88"/>
        <v>167715</v>
      </c>
      <c r="BF107" s="17">
        <f t="shared" si="66"/>
        <v>52696</v>
      </c>
      <c r="BG107" s="17">
        <f t="shared" si="65"/>
        <v>1798</v>
      </c>
      <c r="BH107" s="17">
        <f t="shared" si="70"/>
        <v>54494</v>
      </c>
      <c r="BI107" s="10"/>
      <c r="BJ107" s="12"/>
      <c r="BK107" s="12"/>
      <c r="BL107" s="12"/>
      <c r="BM107" s="12"/>
      <c r="BN107" s="12"/>
      <c r="BO107" s="12"/>
      <c r="BP107" s="12"/>
      <c r="BQ107" s="10"/>
      <c r="BR107" s="12"/>
      <c r="BS107" s="12"/>
      <c r="BT107" s="12"/>
      <c r="BU107" s="12"/>
      <c r="BV107" s="12"/>
      <c r="BW107" s="12"/>
      <c r="BX107" s="12"/>
      <c r="BY107" s="29">
        <f t="shared" si="80"/>
        <v>407940</v>
      </c>
      <c r="BZ107" s="29">
        <f t="shared" si="81"/>
        <v>554724</v>
      </c>
      <c r="CA107" s="29">
        <f t="shared" si="89"/>
        <v>237061</v>
      </c>
      <c r="CB107" s="29">
        <f t="shared" si="90"/>
        <v>389196</v>
      </c>
      <c r="CC107" s="29">
        <v>51124</v>
      </c>
      <c r="CD107" s="29">
        <v>63074</v>
      </c>
      <c r="CE107" s="29">
        <v>119755</v>
      </c>
      <c r="CF107" s="29">
        <v>102454</v>
      </c>
      <c r="CG107" s="52">
        <f t="shared" si="71"/>
        <v>0.37853628781794058</v>
      </c>
      <c r="CH107" s="52">
        <f t="shared" si="72"/>
        <v>0.62146371218205942</v>
      </c>
      <c r="CI107" s="52">
        <f t="shared" si="73"/>
        <v>0.44767859332037341</v>
      </c>
      <c r="CJ107" s="52">
        <f t="shared" si="74"/>
        <v>0.55232140667962659</v>
      </c>
      <c r="CK107" s="52">
        <f t="shared" si="75"/>
        <v>0.53892956630919542</v>
      </c>
      <c r="CL107" s="52">
        <f t="shared" si="76"/>
        <v>0.46107043369080458</v>
      </c>
      <c r="CN107" s="19"/>
    </row>
    <row r="108" spans="2:95">
      <c r="B108" t="str">
        <f t="shared" si="61"/>
        <v>2022</v>
      </c>
      <c r="C108">
        <v>202252</v>
      </c>
      <c r="G108" s="51">
        <f t="shared" si="86"/>
        <v>931412</v>
      </c>
      <c r="H108" s="51">
        <v>393085</v>
      </c>
      <c r="I108" s="51">
        <v>538327</v>
      </c>
      <c r="J108" s="51">
        <v>600619</v>
      </c>
      <c r="K108" s="51">
        <v>110372</v>
      </c>
      <c r="L108" s="51">
        <v>220421</v>
      </c>
      <c r="M108" s="61">
        <v>1076447.4500033429</v>
      </c>
      <c r="N108" s="51">
        <f t="shared" si="77"/>
        <v>52949638</v>
      </c>
      <c r="O108" s="11">
        <f t="shared" si="78"/>
        <v>54199321.66720473</v>
      </c>
      <c r="P108" s="29">
        <v>30737292</v>
      </c>
      <c r="Q108" s="29">
        <v>7746548</v>
      </c>
      <c r="R108" s="20">
        <v>735809982</v>
      </c>
      <c r="S108" s="29">
        <v>105879509</v>
      </c>
      <c r="T108" s="63">
        <v>7.2700000000000001E-2</v>
      </c>
      <c r="U108" s="13">
        <v>95.27</v>
      </c>
      <c r="V108" s="52">
        <f t="shared" si="87"/>
        <v>0.52392842318400401</v>
      </c>
      <c r="W108" s="52">
        <f>X108-8%</f>
        <v>0.48999999999999994</v>
      </c>
      <c r="X108" s="52">
        <v>0.56999999999999995</v>
      </c>
      <c r="Y108" s="29">
        <v>511956</v>
      </c>
      <c r="Z108" s="29">
        <v>377019</v>
      </c>
      <c r="AA108" s="15"/>
      <c r="AB108" s="12">
        <f t="shared" si="82"/>
        <v>511955.43</v>
      </c>
      <c r="AC108" s="12">
        <f t="shared" si="83"/>
        <v>-134937</v>
      </c>
      <c r="AD108" s="12">
        <f t="shared" si="84"/>
        <v>-377019</v>
      </c>
      <c r="AE108" s="12">
        <f t="shared" si="85"/>
        <v>511955.43</v>
      </c>
      <c r="AF108" s="30">
        <v>0.72266679364982422</v>
      </c>
      <c r="AG108" s="30">
        <f>AH108-8%</f>
        <v>0.68886082585998765</v>
      </c>
      <c r="AH108" s="22">
        <v>0.76886082585998761</v>
      </c>
      <c r="AI108" s="30">
        <f t="shared" si="79"/>
        <v>0.72266679364982422</v>
      </c>
      <c r="AJ108" s="12"/>
      <c r="AK108" s="12"/>
      <c r="AL108" s="12"/>
      <c r="AM108" s="12"/>
      <c r="AN108" s="12"/>
      <c r="AO108" s="12"/>
      <c r="AP108" s="12"/>
      <c r="AQ108" s="12"/>
      <c r="AR108" s="12"/>
      <c r="AS108" s="12"/>
      <c r="AT108" s="12"/>
      <c r="AU108" s="12"/>
      <c r="AV108" s="12"/>
      <c r="AW108" s="12"/>
      <c r="AX108" s="12"/>
      <c r="AY108" s="12"/>
      <c r="AZ108" s="12"/>
      <c r="BA108" s="12"/>
      <c r="BB108" s="59">
        <f t="shared" si="69"/>
        <v>3.0302344136236854E-2</v>
      </c>
      <c r="BC108" s="17">
        <v>67228</v>
      </c>
      <c r="BD108" s="17">
        <v>101664</v>
      </c>
      <c r="BE108" s="17">
        <f t="shared" si="88"/>
        <v>168892</v>
      </c>
      <c r="BF108" s="17">
        <f t="shared" si="66"/>
        <v>49798</v>
      </c>
      <c r="BG108" s="17">
        <f t="shared" si="65"/>
        <v>1731</v>
      </c>
      <c r="BH108" s="17">
        <f t="shared" si="70"/>
        <v>51529</v>
      </c>
      <c r="BI108" s="10"/>
      <c r="BJ108" s="12"/>
      <c r="BK108" s="12"/>
      <c r="BL108" s="12"/>
      <c r="BM108" s="12"/>
      <c r="BN108" s="12"/>
      <c r="BO108" s="12"/>
      <c r="BP108" s="12"/>
      <c r="BQ108" s="10"/>
      <c r="BR108" s="12"/>
      <c r="BS108" s="12"/>
      <c r="BT108" s="12"/>
      <c r="BU108" s="12"/>
      <c r="BV108" s="12"/>
      <c r="BW108" s="12"/>
      <c r="BX108" s="12"/>
      <c r="BY108" s="29">
        <f t="shared" si="80"/>
        <v>393085</v>
      </c>
      <c r="BZ108" s="29">
        <f t="shared" si="81"/>
        <v>538327</v>
      </c>
      <c r="CA108" s="29">
        <f t="shared" si="89"/>
        <v>227516</v>
      </c>
      <c r="CB108" s="29">
        <f t="shared" si="90"/>
        <v>373103</v>
      </c>
      <c r="CC108" s="29">
        <v>48543</v>
      </c>
      <c r="CD108" s="29">
        <v>61829</v>
      </c>
      <c r="CE108" s="29">
        <v>117026</v>
      </c>
      <c r="CF108" s="29">
        <v>103395</v>
      </c>
      <c r="CG108" s="52">
        <f t="shared" si="71"/>
        <v>0.37880253538432851</v>
      </c>
      <c r="CH108" s="52">
        <f t="shared" si="72"/>
        <v>0.62119746461567149</v>
      </c>
      <c r="CI108" s="52">
        <f t="shared" si="73"/>
        <v>0.43981263363896639</v>
      </c>
      <c r="CJ108" s="52">
        <f t="shared" si="74"/>
        <v>0.56018736636103361</v>
      </c>
      <c r="CK108" s="52">
        <f t="shared" si="75"/>
        <v>0.53092037510037615</v>
      </c>
      <c r="CL108" s="52">
        <f t="shared" si="76"/>
        <v>0.4690796248996239</v>
      </c>
      <c r="CN108" s="19"/>
    </row>
    <row r="109" spans="2:95">
      <c r="B109" t="str">
        <f t="shared" si="61"/>
        <v>2021</v>
      </c>
      <c r="C109" s="54">
        <v>202101</v>
      </c>
      <c r="D109" s="54"/>
      <c r="E109" s="54"/>
      <c r="F109" s="54"/>
      <c r="G109" s="29">
        <f t="shared" si="86"/>
        <v>1073411</v>
      </c>
      <c r="H109" s="51">
        <v>555820</v>
      </c>
      <c r="I109" s="51">
        <v>517591</v>
      </c>
      <c r="J109" s="29">
        <v>901841</v>
      </c>
      <c r="K109" s="29">
        <v>42759</v>
      </c>
      <c r="L109" s="29">
        <v>128811</v>
      </c>
      <c r="M109" s="29">
        <v>850737.28781591565</v>
      </c>
      <c r="N109" s="24"/>
      <c r="O109" s="29">
        <v>850737.28781591565</v>
      </c>
      <c r="P109" s="29">
        <v>0</v>
      </c>
      <c r="Q109" s="29">
        <v>2078435</v>
      </c>
      <c r="R109" s="29">
        <v>151728030.59999999</v>
      </c>
      <c r="S109" s="29">
        <v>74859343</v>
      </c>
      <c r="T109" s="62">
        <f>Q109/S109</f>
        <v>2.7764537019781217E-2</v>
      </c>
      <c r="U109" s="25">
        <f>R109/Q109</f>
        <v>73.001094862240095</v>
      </c>
      <c r="V109" s="30">
        <v>0.45</v>
      </c>
      <c r="W109" s="15">
        <v>0.40200000000000002</v>
      </c>
      <c r="X109" s="15">
        <v>0.48899999999999999</v>
      </c>
      <c r="Y109" s="29">
        <v>517591</v>
      </c>
      <c r="Z109" s="29">
        <v>555820</v>
      </c>
      <c r="AA109" s="2">
        <f t="shared" ref="AA109:AA139" si="91">IFERROR(((Y109*(W109+0.1))+(Z109*X109))/(Y109+Z109),"")</f>
        <v>0.49526850572613845</v>
      </c>
      <c r="AB109" s="30">
        <v>0.36099999999999999</v>
      </c>
      <c r="AC109" s="30">
        <v>0.16300000000000001</v>
      </c>
      <c r="AD109" s="30">
        <v>0.40100000000000002</v>
      </c>
      <c r="AE109" s="30">
        <f t="shared" ref="AE109:AE140" si="92">IF(V109="","",AB109+AC109-AD109)</f>
        <v>0.123</v>
      </c>
      <c r="AF109" s="30">
        <v>0.63800000000000001</v>
      </c>
      <c r="AG109" s="15">
        <v>0.58399999999999996</v>
      </c>
      <c r="AH109" s="15">
        <v>0.68799999999999994</v>
      </c>
      <c r="AI109" s="2">
        <f t="shared" ref="AI109:AI120" si="93">IFERROR(((Y109*(AG109+0.15))+(Z109*AH109))/(Y109+Z109),"")</f>
        <v>0.71018086641556677</v>
      </c>
      <c r="AJ109" s="30">
        <v>0.55600000000000005</v>
      </c>
      <c r="AK109" s="30">
        <v>0.28399999999999997</v>
      </c>
      <c r="AL109" s="30">
        <v>0.58799999999999997</v>
      </c>
      <c r="AM109" s="30">
        <f t="shared" ref="AM109:AM142" si="94">IF(AF109="","",AJ109+AK109-AL109)</f>
        <v>0.25200000000000011</v>
      </c>
      <c r="AN109" s="30">
        <v>0.32800000000000001</v>
      </c>
      <c r="AO109" s="30">
        <v>0.251</v>
      </c>
      <c r="AP109" s="30">
        <v>0.105</v>
      </c>
      <c r="AQ109" s="30">
        <v>0.28699999999999998</v>
      </c>
      <c r="AR109" s="30">
        <f t="shared" ref="AR109:AR151" si="95">IF(AN109="","",AO109+AP109-AQ109)</f>
        <v>6.9000000000000006E-2</v>
      </c>
      <c r="AS109" s="30">
        <v>0.187</v>
      </c>
      <c r="AT109" s="30">
        <v>0.13800000000000001</v>
      </c>
      <c r="AU109" s="30">
        <v>5.6300000000000003E-2</v>
      </c>
      <c r="AV109" s="30">
        <v>0.16400000000000001</v>
      </c>
      <c r="AW109" s="30">
        <f t="shared" ref="AW109:AW151" si="96">IF(AS109="","",AT109+AU109-AV109)</f>
        <v>3.0300000000000021E-2</v>
      </c>
      <c r="AX109" s="30">
        <v>0.77</v>
      </c>
      <c r="AY109" s="30">
        <v>0.32300000000000001</v>
      </c>
      <c r="AZ109" s="30">
        <v>0.82299999999999995</v>
      </c>
      <c r="BA109" s="30">
        <f t="shared" ref="BA109:BA151" si="97">IF(AX109="","",AX109+AY109-AZ109)</f>
        <v>0.27</v>
      </c>
      <c r="BB109" s="62" t="str">
        <f>IFERROR(G109/P109,"-")</f>
        <v>-</v>
      </c>
      <c r="BC109" s="29"/>
      <c r="BD109" s="29"/>
      <c r="BE109" s="29"/>
      <c r="BF109" s="29">
        <f t="shared" ref="BF109:BF127" si="98">G109</f>
        <v>1073411</v>
      </c>
      <c r="BG109" s="29"/>
      <c r="BH109" s="29"/>
      <c r="BI109" s="15" t="e">
        <f>G109/#REF!-1</f>
        <v>#REF!</v>
      </c>
      <c r="BJ109" s="30">
        <f>P109/P161-1</f>
        <v>-1</v>
      </c>
      <c r="BK109" s="30">
        <f>Q109/Q161-1</f>
        <v>1.1977392766319661</v>
      </c>
      <c r="BL109" s="30">
        <f>R109/R161-1</f>
        <v>1.3870265732253184</v>
      </c>
      <c r="BM109" s="30">
        <f>S109/S161-1</f>
        <v>1.1467233476193299</v>
      </c>
      <c r="BN109" s="62">
        <f>T109-T161</f>
        <v>6.4449576195432443E-4</v>
      </c>
      <c r="BO109" s="30">
        <f>U109/U161-1</f>
        <v>8.6128185725212525E-2</v>
      </c>
      <c r="BP109" s="65"/>
      <c r="BQ109" s="30">
        <f>G109/G161-1</f>
        <v>0.71474966732535972</v>
      </c>
      <c r="BR109" s="30">
        <f>P109/P161-1</f>
        <v>-1</v>
      </c>
      <c r="BS109" s="30">
        <f>Q109/Q161-1</f>
        <v>1.1977392766319661</v>
      </c>
      <c r="BT109" s="30">
        <f>R109/R161-1</f>
        <v>1.3870265732253184</v>
      </c>
      <c r="BU109" s="30">
        <f>S109/S161-1</f>
        <v>1.1467233476193299</v>
      </c>
      <c r="BV109" s="62">
        <f>T109-T161</f>
        <v>6.4449576195432443E-4</v>
      </c>
      <c r="BW109" s="30">
        <f>U109/U161-1</f>
        <v>8.6128185725212525E-2</v>
      </c>
      <c r="BX109" s="30"/>
      <c r="BY109" s="51">
        <v>555820</v>
      </c>
      <c r="BZ109" s="51">
        <v>517591</v>
      </c>
      <c r="CA109" s="29">
        <f t="shared" ref="CA109:CA140" si="99">BY109-(CC109+CE109)</f>
        <v>438601</v>
      </c>
      <c r="CB109" s="29">
        <f t="shared" ref="CB109:CB140" si="100">BZ109-(CD109+CF109)</f>
        <v>463239</v>
      </c>
      <c r="CC109" s="29">
        <v>25749</v>
      </c>
      <c r="CD109" s="29">
        <v>17012</v>
      </c>
      <c r="CE109" s="29">
        <v>91470</v>
      </c>
      <c r="CF109" s="29">
        <v>37340</v>
      </c>
      <c r="CG109" s="15">
        <f t="shared" ref="CG109:CG140" si="101">CA109/SUM($BY109:$BZ109)</f>
        <v>0.40860490529722537</v>
      </c>
      <c r="CH109" s="15">
        <f t="shared" ref="CH109:CH140" si="102">CB109/SUM($BY109:$BZ109)</f>
        <v>0.43155790279771683</v>
      </c>
      <c r="CI109" s="15">
        <f t="shared" ref="CI109:CI140" si="103">CC109/SUM($BY109:$BZ109)</f>
        <v>2.3988015774013868E-2</v>
      </c>
      <c r="CJ109" s="15">
        <f t="shared" ref="CJ109:CJ140" si="104">CD109/SUM($BY109:$BZ109)</f>
        <v>1.5848542636511084E-2</v>
      </c>
      <c r="CK109" s="15">
        <f t="shared" ref="CK109:CK140" si="105">CE109/SUM($BY109:$BZ109)</f>
        <v>8.5214330764264573E-2</v>
      </c>
      <c r="CL109" s="15">
        <f t="shared" ref="CL109:CL140" si="106">CF109/SUM($BY109:$BZ109)</f>
        <v>3.4786302730268275E-2</v>
      </c>
      <c r="CM109" s="15"/>
      <c r="CN109" s="15"/>
      <c r="CO109" s="15"/>
      <c r="CP109" s="15"/>
      <c r="CQ109" s="15"/>
    </row>
    <row r="110" spans="2:95">
      <c r="B110" t="str">
        <f t="shared" si="61"/>
        <v>2021</v>
      </c>
      <c r="C110" s="54">
        <v>202102</v>
      </c>
      <c r="D110" s="54"/>
      <c r="E110" s="54"/>
      <c r="F110" s="54"/>
      <c r="G110" s="29">
        <f t="shared" si="86"/>
        <v>998479</v>
      </c>
      <c r="H110" s="51">
        <v>520706</v>
      </c>
      <c r="I110" s="51">
        <v>477773</v>
      </c>
      <c r="J110" s="29">
        <v>833898</v>
      </c>
      <c r="K110" s="29">
        <v>40745</v>
      </c>
      <c r="L110" s="29">
        <v>123836</v>
      </c>
      <c r="M110" s="29">
        <v>847943.41967706627</v>
      </c>
      <c r="N110" s="24"/>
      <c r="O110" s="29">
        <v>1698680.707492982</v>
      </c>
      <c r="P110" s="29">
        <v>25171667</v>
      </c>
      <c r="Q110" s="29">
        <v>1939855</v>
      </c>
      <c r="R110" s="29">
        <v>136420659.34749991</v>
      </c>
      <c r="S110" s="29">
        <v>73026658</v>
      </c>
      <c r="T110" s="62">
        <f>Q110/S110</f>
        <v>2.6563655699539203E-2</v>
      </c>
      <c r="U110" s="25">
        <f>R110/Q110</f>
        <v>70.325183762446116</v>
      </c>
      <c r="V110" s="30">
        <v>0.434</v>
      </c>
      <c r="W110" s="15">
        <v>0.39</v>
      </c>
      <c r="X110" s="15">
        <v>0.47199999999999998</v>
      </c>
      <c r="Y110" s="29">
        <v>477773</v>
      </c>
      <c r="Z110" s="29">
        <v>520706</v>
      </c>
      <c r="AA110" s="2">
        <f t="shared" si="91"/>
        <v>0.48061301439489462</v>
      </c>
      <c r="AB110" s="30">
        <v>0.34200000000000003</v>
      </c>
      <c r="AC110" s="30">
        <v>0.159</v>
      </c>
      <c r="AD110" s="30">
        <v>0.38500000000000001</v>
      </c>
      <c r="AE110" s="30">
        <f t="shared" si="92"/>
        <v>0.11599999999999999</v>
      </c>
      <c r="AF110" s="30">
        <v>0.628</v>
      </c>
      <c r="AG110" s="15">
        <v>0.57599999999999996</v>
      </c>
      <c r="AH110" s="15">
        <v>0.67400000000000004</v>
      </c>
      <c r="AI110" s="2">
        <f t="shared" si="93"/>
        <v>0.69888204158525113</v>
      </c>
      <c r="AJ110" s="30">
        <v>0.54600000000000004</v>
      </c>
      <c r="AK110" s="30">
        <v>0.28100000000000003</v>
      </c>
      <c r="AL110" s="30">
        <v>0.57799999999999996</v>
      </c>
      <c r="AM110" s="30">
        <f t="shared" si="94"/>
        <v>0.24900000000000011</v>
      </c>
      <c r="AN110" s="30">
        <v>0.315</v>
      </c>
      <c r="AO110" s="30">
        <v>0.23799999999999999</v>
      </c>
      <c r="AP110" s="30">
        <v>0.105</v>
      </c>
      <c r="AQ110" s="30">
        <v>0.27400000000000002</v>
      </c>
      <c r="AR110" s="30">
        <f t="shared" si="95"/>
        <v>6.899999999999995E-2</v>
      </c>
      <c r="AS110" s="30">
        <v>0.17799999999999999</v>
      </c>
      <c r="AT110" s="30">
        <v>0.129</v>
      </c>
      <c r="AU110" s="30">
        <v>5.7000000000000002E-2</v>
      </c>
      <c r="AV110" s="30">
        <v>0.155</v>
      </c>
      <c r="AW110" s="30">
        <f t="shared" si="96"/>
        <v>3.1E-2</v>
      </c>
      <c r="AX110" s="30">
        <v>0.75700000000000001</v>
      </c>
      <c r="AY110" s="30">
        <v>0.32300000000000001</v>
      </c>
      <c r="AZ110" s="30">
        <v>0.81399999999999995</v>
      </c>
      <c r="BA110" s="30">
        <f t="shared" si="97"/>
        <v>0.26600000000000013</v>
      </c>
      <c r="BB110" s="62">
        <f t="shared" ref="BB110:BB150" si="107">IFERROR(G110/P110,"")</f>
        <v>3.9666780908868687E-2</v>
      </c>
      <c r="BC110" s="29"/>
      <c r="BD110" s="29"/>
      <c r="BE110" s="29"/>
      <c r="BF110" s="29">
        <f t="shared" si="98"/>
        <v>998479</v>
      </c>
      <c r="BG110" s="29"/>
      <c r="BH110" s="29"/>
      <c r="BI110" s="30"/>
      <c r="BJ110" s="30"/>
      <c r="BK110" s="30"/>
      <c r="BL110" s="30"/>
      <c r="BM110" s="30"/>
      <c r="BN110" s="62"/>
      <c r="BO110" s="30"/>
      <c r="BP110" s="30"/>
      <c r="BQ110" s="30"/>
      <c r="BR110" s="30"/>
      <c r="BS110" s="30"/>
      <c r="BT110" s="30"/>
      <c r="BU110" s="30"/>
      <c r="BV110" s="62"/>
      <c r="BW110" s="30"/>
      <c r="BX110" s="30"/>
      <c r="BY110" s="51">
        <v>520706</v>
      </c>
      <c r="BZ110" s="51">
        <v>477773</v>
      </c>
      <c r="CA110" s="29">
        <f t="shared" si="99"/>
        <v>411486</v>
      </c>
      <c r="CB110" s="29">
        <f t="shared" si="100"/>
        <v>422412</v>
      </c>
      <c r="CC110" s="29">
        <v>23953</v>
      </c>
      <c r="CD110" s="29">
        <v>16792</v>
      </c>
      <c r="CE110" s="29">
        <v>85267</v>
      </c>
      <c r="CF110" s="29">
        <v>38569</v>
      </c>
      <c r="CG110" s="15">
        <f t="shared" si="101"/>
        <v>0.41211282360470275</v>
      </c>
      <c r="CH110" s="15">
        <f t="shared" si="102"/>
        <v>0.42305546736586347</v>
      </c>
      <c r="CI110" s="15">
        <f t="shared" si="103"/>
        <v>2.3989488011265134E-2</v>
      </c>
      <c r="CJ110" s="15">
        <f t="shared" si="104"/>
        <v>1.6817579538478025E-2</v>
      </c>
      <c r="CK110" s="15">
        <f t="shared" si="105"/>
        <v>8.5396888667663512E-2</v>
      </c>
      <c r="CL110" s="15">
        <f t="shared" si="106"/>
        <v>3.8627752812027093E-2</v>
      </c>
      <c r="CM110" s="15"/>
      <c r="CN110" s="15"/>
      <c r="CO110" s="15"/>
      <c r="CP110" s="15"/>
      <c r="CQ110" s="15"/>
    </row>
    <row r="111" spans="2:95">
      <c r="B111" t="str">
        <f t="shared" si="61"/>
        <v>2021</v>
      </c>
      <c r="C111" s="54">
        <v>202103</v>
      </c>
      <c r="D111" s="54"/>
      <c r="E111" s="54"/>
      <c r="F111" s="54"/>
      <c r="G111" s="29">
        <f t="shared" si="86"/>
        <v>912435</v>
      </c>
      <c r="H111" s="51">
        <v>482655</v>
      </c>
      <c r="I111" s="51">
        <v>429780</v>
      </c>
      <c r="J111" s="29">
        <v>750148</v>
      </c>
      <c r="K111" s="29">
        <v>36766</v>
      </c>
      <c r="L111" s="29">
        <v>125521</v>
      </c>
      <c r="M111" s="29">
        <v>850925.41967706627</v>
      </c>
      <c r="N111" s="24"/>
      <c r="O111" s="29">
        <v>2549606.1271700482</v>
      </c>
      <c r="P111" s="29">
        <v>24394413</v>
      </c>
      <c r="Q111" s="29">
        <v>1654005</v>
      </c>
      <c r="R111" s="29">
        <v>118764634.28499991</v>
      </c>
      <c r="S111" s="29">
        <v>68966771</v>
      </c>
      <c r="T111" s="62">
        <f t="shared" ref="T111:T142" si="108">IFERROR(Q111/S111,"")</f>
        <v>2.398263650765961E-2</v>
      </c>
      <c r="U111" s="25">
        <f t="shared" ref="U111:U142" si="109">IFERROR(R111/Q111,"")</f>
        <v>71.804277668447142</v>
      </c>
      <c r="V111" s="30">
        <v>0.42399999999999999</v>
      </c>
      <c r="W111" s="15">
        <v>0.38200000000000001</v>
      </c>
      <c r="X111" s="30">
        <v>0.46100000000000002</v>
      </c>
      <c r="Y111" s="29">
        <v>429780</v>
      </c>
      <c r="Z111" s="29">
        <v>482655</v>
      </c>
      <c r="AA111" s="2">
        <f t="shared" si="91"/>
        <v>0.47089153199953976</v>
      </c>
      <c r="AB111" s="30">
        <v>0.34</v>
      </c>
      <c r="AC111" s="30">
        <v>0.14599999999999999</v>
      </c>
      <c r="AD111" s="30">
        <v>0.377</v>
      </c>
      <c r="AE111" s="30">
        <f t="shared" si="92"/>
        <v>0.10899999999999999</v>
      </c>
      <c r="AF111" s="30">
        <v>0.61099999999999999</v>
      </c>
      <c r="AG111" s="15">
        <v>0.56299999999999994</v>
      </c>
      <c r="AH111" s="15">
        <v>0.65200000000000002</v>
      </c>
      <c r="AI111" s="2">
        <f t="shared" si="93"/>
        <v>0.68073254533199623</v>
      </c>
      <c r="AJ111" s="30">
        <v>0.53200000000000003</v>
      </c>
      <c r="AK111" s="30">
        <v>0.26500000000000001</v>
      </c>
      <c r="AL111" s="30">
        <v>0.56200000000000006</v>
      </c>
      <c r="AM111" s="30">
        <f t="shared" si="94"/>
        <v>0.23499999999999999</v>
      </c>
      <c r="AN111" s="66">
        <v>0.29699999999999999</v>
      </c>
      <c r="AO111" s="30">
        <v>0.223</v>
      </c>
      <c r="AP111" s="30">
        <v>9.4500000000000001E-2</v>
      </c>
      <c r="AQ111" s="30">
        <v>0.25700000000000001</v>
      </c>
      <c r="AR111" s="30">
        <f t="shared" si="95"/>
        <v>6.0499999999999998E-2</v>
      </c>
      <c r="AS111" s="30">
        <v>0.16900000000000001</v>
      </c>
      <c r="AT111" s="30">
        <v>0.122</v>
      </c>
      <c r="AU111" s="30">
        <v>5.1499999999999997E-2</v>
      </c>
      <c r="AV111" s="30">
        <v>0.14599999999999999</v>
      </c>
      <c r="AW111" s="30">
        <f t="shared" si="96"/>
        <v>2.7499999999999997E-2</v>
      </c>
      <c r="AX111" s="30">
        <v>0.754</v>
      </c>
      <c r="AY111" s="30">
        <v>0.308</v>
      </c>
      <c r="AZ111" s="30">
        <v>0.80800000000000005</v>
      </c>
      <c r="BA111" s="30">
        <f t="shared" si="97"/>
        <v>0.254</v>
      </c>
      <c r="BB111" s="62">
        <f t="shared" si="107"/>
        <v>3.7403441517531083E-2</v>
      </c>
      <c r="BC111" s="29"/>
      <c r="BD111" s="29"/>
      <c r="BE111" s="29"/>
      <c r="BF111" s="29">
        <f t="shared" si="98"/>
        <v>912435</v>
      </c>
      <c r="BG111" s="29"/>
      <c r="BH111" s="29"/>
      <c r="BI111" s="30"/>
      <c r="BJ111" s="30"/>
      <c r="BK111" s="30"/>
      <c r="BL111" s="30"/>
      <c r="BM111" s="30"/>
      <c r="BN111" s="62"/>
      <c r="BO111" s="30"/>
      <c r="BP111" s="30"/>
      <c r="BQ111" s="30"/>
      <c r="BR111" s="30"/>
      <c r="BS111" s="30"/>
      <c r="BT111" s="30"/>
      <c r="BU111" s="30"/>
      <c r="BV111" s="62"/>
      <c r="BW111" s="30"/>
      <c r="BX111" s="30"/>
      <c r="BY111" s="51">
        <v>482655</v>
      </c>
      <c r="BZ111" s="51">
        <v>429780</v>
      </c>
      <c r="CA111" s="29">
        <f t="shared" si="99"/>
        <v>375240</v>
      </c>
      <c r="CB111" s="29">
        <f t="shared" si="100"/>
        <v>374904</v>
      </c>
      <c r="CC111" s="29">
        <v>22330</v>
      </c>
      <c r="CD111" s="29">
        <v>14440</v>
      </c>
      <c r="CE111" s="29">
        <v>85085</v>
      </c>
      <c r="CF111" s="29">
        <v>40436</v>
      </c>
      <c r="CG111" s="15">
        <f t="shared" si="101"/>
        <v>0.41125121241513096</v>
      </c>
      <c r="CH111" s="15">
        <f t="shared" si="102"/>
        <v>0.4108829670058689</v>
      </c>
      <c r="CI111" s="15">
        <f t="shared" si="103"/>
        <v>2.4472976157205718E-2</v>
      </c>
      <c r="CJ111" s="15">
        <f t="shared" si="104"/>
        <v>1.5825784850427703E-2</v>
      </c>
      <c r="CK111" s="15">
        <f t="shared" si="105"/>
        <v>9.3250478116249383E-2</v>
      </c>
      <c r="CL111" s="15">
        <f t="shared" si="106"/>
        <v>4.4316581455117354E-2</v>
      </c>
    </row>
    <row r="112" spans="2:95">
      <c r="B112" t="str">
        <f t="shared" si="61"/>
        <v>2021</v>
      </c>
      <c r="C112" s="54">
        <v>202104</v>
      </c>
      <c r="D112" s="54"/>
      <c r="E112" s="54"/>
      <c r="F112" s="54"/>
      <c r="G112" s="29">
        <f t="shared" si="86"/>
        <v>914968</v>
      </c>
      <c r="H112" s="51">
        <v>485025</v>
      </c>
      <c r="I112" s="51">
        <v>429943</v>
      </c>
      <c r="J112" s="29">
        <v>753662</v>
      </c>
      <c r="K112" s="29">
        <v>34150</v>
      </c>
      <c r="L112" s="29">
        <v>127156</v>
      </c>
      <c r="M112" s="29">
        <v>896751.41967706627</v>
      </c>
      <c r="N112" s="24"/>
      <c r="O112" s="29">
        <v>3446357.5468471139</v>
      </c>
      <c r="P112" s="29">
        <v>24993680</v>
      </c>
      <c r="Q112" s="29">
        <v>1883304</v>
      </c>
      <c r="R112" s="29">
        <v>150049963.26249999</v>
      </c>
      <c r="S112" s="29">
        <v>73292900</v>
      </c>
      <c r="T112" s="62">
        <f t="shared" si="108"/>
        <v>2.5695585793439748E-2</v>
      </c>
      <c r="U112" s="25">
        <f t="shared" si="109"/>
        <v>79.673787801916205</v>
      </c>
      <c r="V112" s="30">
        <v>0.44</v>
      </c>
      <c r="W112" s="15">
        <v>0.39400000000000002</v>
      </c>
      <c r="X112" s="30">
        <v>0.48199999999999998</v>
      </c>
      <c r="Y112" s="29">
        <v>429943</v>
      </c>
      <c r="Z112" s="29">
        <v>485025</v>
      </c>
      <c r="AA112" s="2">
        <f t="shared" si="91"/>
        <v>0.48763879392503345</v>
      </c>
      <c r="AB112" s="30">
        <v>0.35799999999999998</v>
      </c>
      <c r="AC112" s="30">
        <v>0.14899999999999999</v>
      </c>
      <c r="AD112" s="30">
        <v>0.39400000000000002</v>
      </c>
      <c r="AE112" s="30">
        <f t="shared" si="92"/>
        <v>0.11299999999999999</v>
      </c>
      <c r="AF112" s="30">
        <v>0.629</v>
      </c>
      <c r="AG112" s="30">
        <v>0.57799999999999996</v>
      </c>
      <c r="AH112" s="15">
        <v>0.68</v>
      </c>
      <c r="AI112" s="2">
        <f t="shared" si="93"/>
        <v>0.7025551757001337</v>
      </c>
      <c r="AJ112" s="30">
        <v>0.55400000000000005</v>
      </c>
      <c r="AK112" s="30">
        <v>0.27400000000000002</v>
      </c>
      <c r="AL112" s="30">
        <v>0.58199999999999996</v>
      </c>
      <c r="AM112" s="30">
        <f t="shared" si="94"/>
        <v>0.24600000000000011</v>
      </c>
      <c r="AN112" s="66">
        <v>0.31</v>
      </c>
      <c r="AO112" s="30">
        <v>0.24</v>
      </c>
      <c r="AP112" s="30">
        <v>9.2999999999999999E-2</v>
      </c>
      <c r="AQ112" s="30">
        <v>0.27100000000000002</v>
      </c>
      <c r="AR112" s="30">
        <f t="shared" si="95"/>
        <v>6.1999999999999944E-2</v>
      </c>
      <c r="AS112" s="30">
        <v>0.18</v>
      </c>
      <c r="AT112" s="30">
        <v>0.13500000000000001</v>
      </c>
      <c r="AU112" s="30">
        <v>0.05</v>
      </c>
      <c r="AV112" s="30">
        <v>0.157</v>
      </c>
      <c r="AW112" s="30">
        <f t="shared" si="96"/>
        <v>2.7999999999999997E-2</v>
      </c>
      <c r="AX112" s="30">
        <v>0.75900000000000001</v>
      </c>
      <c r="AY112" s="30">
        <v>0.29699999999999999</v>
      </c>
      <c r="AZ112" s="30">
        <v>0.80900000000000005</v>
      </c>
      <c r="BA112" s="30">
        <f t="shared" si="97"/>
        <v>0.247</v>
      </c>
      <c r="BB112" s="62">
        <f t="shared" si="107"/>
        <v>3.6607974495952579E-2</v>
      </c>
      <c r="BC112" s="29"/>
      <c r="BD112" s="29"/>
      <c r="BE112" s="29"/>
      <c r="BF112" s="29">
        <f t="shared" si="98"/>
        <v>914968</v>
      </c>
      <c r="BG112" s="29"/>
      <c r="BH112" s="29"/>
      <c r="BI112" s="30"/>
      <c r="BJ112" s="30"/>
      <c r="BK112" s="30"/>
      <c r="BL112" s="30"/>
      <c r="BM112" s="30"/>
      <c r="BN112" s="62"/>
      <c r="BO112" s="30"/>
      <c r="BP112" s="30"/>
      <c r="BQ112" s="30"/>
      <c r="BR112" s="30"/>
      <c r="BS112" s="30"/>
      <c r="BT112" s="30"/>
      <c r="BU112" s="30"/>
      <c r="BV112" s="62"/>
      <c r="BW112" s="30"/>
      <c r="BX112" s="30"/>
      <c r="BY112" s="51">
        <v>485025</v>
      </c>
      <c r="BZ112" s="51">
        <v>429943</v>
      </c>
      <c r="CA112" s="29">
        <f t="shared" si="99"/>
        <v>375269</v>
      </c>
      <c r="CB112" s="29">
        <f t="shared" si="100"/>
        <v>378393</v>
      </c>
      <c r="CC112" s="29">
        <v>21536</v>
      </c>
      <c r="CD112" s="29">
        <v>12614</v>
      </c>
      <c r="CE112" s="29">
        <v>88220</v>
      </c>
      <c r="CF112" s="29">
        <v>38936</v>
      </c>
      <c r="CG112" s="15">
        <f t="shared" si="101"/>
        <v>0.41014439849262485</v>
      </c>
      <c r="CH112" s="15">
        <f t="shared" si="102"/>
        <v>0.41355872555105755</v>
      </c>
      <c r="CI112" s="15">
        <f t="shared" si="103"/>
        <v>2.3537435188990215E-2</v>
      </c>
      <c r="CJ112" s="15">
        <f t="shared" si="104"/>
        <v>1.3786274492659853E-2</v>
      </c>
      <c r="CK112" s="15">
        <f t="shared" si="105"/>
        <v>9.6418672565597927E-2</v>
      </c>
      <c r="CL112" s="15">
        <f t="shared" si="106"/>
        <v>4.2554493709069607E-2</v>
      </c>
    </row>
    <row r="113" spans="2:90">
      <c r="B113" t="str">
        <f t="shared" si="61"/>
        <v>2021</v>
      </c>
      <c r="C113" s="54">
        <v>202105</v>
      </c>
      <c r="D113" s="54"/>
      <c r="E113" s="54"/>
      <c r="F113" s="54"/>
      <c r="G113" s="29">
        <f t="shared" si="86"/>
        <v>1037809</v>
      </c>
      <c r="H113" s="51">
        <v>545413</v>
      </c>
      <c r="I113" s="51">
        <v>492396</v>
      </c>
      <c r="J113" s="29">
        <v>846983</v>
      </c>
      <c r="K113" s="29">
        <v>47980</v>
      </c>
      <c r="L113" s="29">
        <v>142846</v>
      </c>
      <c r="M113" s="29">
        <v>904112.60181116103</v>
      </c>
      <c r="N113" s="24"/>
      <c r="O113" s="29">
        <v>4350470.1486582756</v>
      </c>
      <c r="P113" s="29">
        <v>25367031</v>
      </c>
      <c r="Q113" s="29">
        <v>2109350</v>
      </c>
      <c r="R113" s="29">
        <v>194477057.16</v>
      </c>
      <c r="S113" s="29">
        <v>75242147</v>
      </c>
      <c r="T113" s="62">
        <f t="shared" si="108"/>
        <v>2.8034154846750984E-2</v>
      </c>
      <c r="U113" s="25">
        <f t="shared" si="109"/>
        <v>92.197623514352756</v>
      </c>
      <c r="V113" s="30">
        <v>0.45</v>
      </c>
      <c r="W113" s="15">
        <v>0.39800000000000002</v>
      </c>
      <c r="X113" s="30">
        <v>0.497</v>
      </c>
      <c r="Y113" s="29">
        <v>492396</v>
      </c>
      <c r="Z113" s="29">
        <v>545413</v>
      </c>
      <c r="AA113" s="2">
        <f t="shared" si="91"/>
        <v>0.49747445724598655</v>
      </c>
      <c r="AB113" s="30">
        <v>0.374</v>
      </c>
      <c r="AC113" s="30">
        <v>0.14799999999999999</v>
      </c>
      <c r="AD113" s="30">
        <v>0.40600000000000003</v>
      </c>
      <c r="AE113" s="30">
        <f t="shared" si="92"/>
        <v>0.11599999999999999</v>
      </c>
      <c r="AF113" s="30">
        <v>0.64100000000000001</v>
      </c>
      <c r="AG113" s="30">
        <v>0.58499999999999996</v>
      </c>
      <c r="AH113" s="15">
        <v>0.6925</v>
      </c>
      <c r="AI113" s="2">
        <f t="shared" si="93"/>
        <v>0.71266443295442605</v>
      </c>
      <c r="AJ113" s="30">
        <v>0.57199999999999995</v>
      </c>
      <c r="AK113" s="30">
        <v>0.27600000000000002</v>
      </c>
      <c r="AL113" s="30">
        <v>0.59699999999999998</v>
      </c>
      <c r="AM113" s="30">
        <f t="shared" si="94"/>
        <v>0.251</v>
      </c>
      <c r="AN113" s="66">
        <v>0.32600000000000001</v>
      </c>
      <c r="AO113" s="30">
        <v>0.25700000000000001</v>
      </c>
      <c r="AP113" s="30">
        <v>9.7900000000000001E-2</v>
      </c>
      <c r="AQ113" s="30">
        <v>0.28699999999999998</v>
      </c>
      <c r="AR113" s="30">
        <f t="shared" si="95"/>
        <v>6.7900000000000016E-2</v>
      </c>
      <c r="AS113" s="30">
        <v>0.189</v>
      </c>
      <c r="AT113" s="30">
        <v>0.14599999999999999</v>
      </c>
      <c r="AU113" s="30">
        <v>4.9500000000000002E-2</v>
      </c>
      <c r="AV113" s="30">
        <v>0.16600000000000001</v>
      </c>
      <c r="AW113" s="30">
        <f t="shared" si="96"/>
        <v>2.9499999999999998E-2</v>
      </c>
      <c r="AX113" s="30">
        <v>0.78</v>
      </c>
      <c r="AY113" s="30">
        <v>0.315</v>
      </c>
      <c r="AZ113" s="30">
        <v>0.82399999999999995</v>
      </c>
      <c r="BA113" s="30">
        <f t="shared" si="97"/>
        <v>0.27100000000000002</v>
      </c>
      <c r="BB113" s="62">
        <f t="shared" si="107"/>
        <v>4.0911725144341882E-2</v>
      </c>
      <c r="BC113" s="29"/>
      <c r="BD113" s="29"/>
      <c r="BE113" s="29"/>
      <c r="BF113" s="29">
        <f t="shared" si="98"/>
        <v>1037809</v>
      </c>
      <c r="BG113" s="29"/>
      <c r="BH113" s="29"/>
      <c r="BI113" s="30"/>
      <c r="BJ113" s="30"/>
      <c r="BK113" s="30"/>
      <c r="BL113" s="30"/>
      <c r="BM113" s="30"/>
      <c r="BN113" s="62"/>
      <c r="BO113" s="30"/>
      <c r="BP113" s="30"/>
      <c r="BQ113" s="30"/>
      <c r="BR113" s="30"/>
      <c r="BS113" s="30"/>
      <c r="BT113" s="30"/>
      <c r="BU113" s="30"/>
      <c r="BV113" s="62"/>
      <c r="BW113" s="30"/>
      <c r="BX113" s="30"/>
      <c r="BY113" s="51">
        <v>545413</v>
      </c>
      <c r="BZ113" s="51">
        <v>492396</v>
      </c>
      <c r="CA113" s="29">
        <f t="shared" si="99"/>
        <v>420680</v>
      </c>
      <c r="CB113" s="29">
        <f t="shared" si="100"/>
        <v>426302</v>
      </c>
      <c r="CC113" s="29">
        <v>29074</v>
      </c>
      <c r="CD113" s="29">
        <v>18906</v>
      </c>
      <c r="CE113" s="29">
        <v>95659</v>
      </c>
      <c r="CF113" s="29">
        <v>47188</v>
      </c>
      <c r="CG113" s="15">
        <f t="shared" si="101"/>
        <v>0.40535397168457782</v>
      </c>
      <c r="CH113" s="15">
        <f t="shared" si="102"/>
        <v>0.41077115345887344</v>
      </c>
      <c r="CI113" s="15">
        <f t="shared" si="103"/>
        <v>2.8014788848429721E-2</v>
      </c>
      <c r="CJ113" s="15">
        <f t="shared" si="104"/>
        <v>1.8217224942161804E-2</v>
      </c>
      <c r="CK113" s="15">
        <f t="shared" si="105"/>
        <v>9.217399348049593E-2</v>
      </c>
      <c r="CL113" s="15">
        <f t="shared" si="106"/>
        <v>4.5468867585461294E-2</v>
      </c>
    </row>
    <row r="114" spans="2:90">
      <c r="B114" t="str">
        <f t="shared" si="61"/>
        <v>2021</v>
      </c>
      <c r="C114" s="54">
        <v>202106</v>
      </c>
      <c r="D114" s="54"/>
      <c r="E114" s="54"/>
      <c r="F114" s="54"/>
      <c r="G114" s="29">
        <f t="shared" si="86"/>
        <v>955377</v>
      </c>
      <c r="H114" s="51">
        <v>521562</v>
      </c>
      <c r="I114" s="51">
        <v>433815</v>
      </c>
      <c r="J114" s="29">
        <v>760180</v>
      </c>
      <c r="K114" s="29">
        <v>47872</v>
      </c>
      <c r="L114" s="19">
        <v>147325</v>
      </c>
      <c r="M114" s="29">
        <v>888426.62674576696</v>
      </c>
      <c r="N114" s="24"/>
      <c r="O114" s="29">
        <v>5238896.7754040426</v>
      </c>
      <c r="P114" s="29">
        <v>25188223</v>
      </c>
      <c r="Q114" s="29">
        <v>2117637</v>
      </c>
      <c r="R114" s="29">
        <v>175356257.905</v>
      </c>
      <c r="S114" s="29">
        <v>75031900</v>
      </c>
      <c r="T114" s="62">
        <f t="shared" si="108"/>
        <v>2.8223155751087203E-2</v>
      </c>
      <c r="U114" s="25">
        <f t="shared" si="109"/>
        <v>82.807515124169058</v>
      </c>
      <c r="V114" s="30">
        <v>0.45500000000000002</v>
      </c>
      <c r="W114" s="15">
        <v>0.40200000000000002</v>
      </c>
      <c r="X114" s="15">
        <v>0.499</v>
      </c>
      <c r="Y114" s="29">
        <v>433815</v>
      </c>
      <c r="Z114" s="29">
        <v>521562</v>
      </c>
      <c r="AA114" s="2">
        <f t="shared" si="91"/>
        <v>0.50036223187286277</v>
      </c>
      <c r="AB114" s="30">
        <v>0.377</v>
      </c>
      <c r="AC114" s="30">
        <v>0.156</v>
      </c>
      <c r="AD114" s="30">
        <v>0.41099999999999998</v>
      </c>
      <c r="AE114" s="30">
        <f t="shared" si="92"/>
        <v>0.12200000000000005</v>
      </c>
      <c r="AF114" s="30">
        <v>0.63200000000000001</v>
      </c>
      <c r="AG114" s="30">
        <v>0.57899999999999996</v>
      </c>
      <c r="AH114" s="15">
        <v>0.68100000000000005</v>
      </c>
      <c r="AI114" s="2">
        <f t="shared" si="93"/>
        <v>0.70279570996580421</v>
      </c>
      <c r="AJ114" s="30">
        <v>0.55000000000000004</v>
      </c>
      <c r="AK114" s="30">
        <v>0.28399999999999997</v>
      </c>
      <c r="AL114" s="30">
        <v>0.58199999999999996</v>
      </c>
      <c r="AM114" s="30">
        <f t="shared" si="94"/>
        <v>0.25200000000000011</v>
      </c>
      <c r="AN114" s="66">
        <v>0.316</v>
      </c>
      <c r="AO114" s="30">
        <v>0.249</v>
      </c>
      <c r="AP114" s="30">
        <v>9.4E-2</v>
      </c>
      <c r="AQ114" s="30">
        <v>0.27800000000000002</v>
      </c>
      <c r="AR114" s="30">
        <f t="shared" si="95"/>
        <v>6.4999999999999947E-2</v>
      </c>
      <c r="AS114" s="30">
        <v>0.184</v>
      </c>
      <c r="AT114" s="30">
        <v>0.14199999999999999</v>
      </c>
      <c r="AU114" s="30">
        <v>5.0299999999999997E-2</v>
      </c>
      <c r="AV114" s="30">
        <v>0.16300000000000001</v>
      </c>
      <c r="AW114" s="30">
        <f t="shared" si="96"/>
        <v>2.9299999999999965E-2</v>
      </c>
      <c r="AX114" s="30">
        <v>0.77100000000000002</v>
      </c>
      <c r="AY114" s="30">
        <v>0.29199999999999998</v>
      </c>
      <c r="AZ114" s="30">
        <v>0.81599999999999995</v>
      </c>
      <c r="BA114" s="30">
        <f t="shared" si="97"/>
        <v>0.247</v>
      </c>
      <c r="BB114" s="62">
        <f t="shared" si="107"/>
        <v>3.7929511740466965E-2</v>
      </c>
      <c r="BC114" s="29"/>
      <c r="BD114" s="29"/>
      <c r="BE114" s="29"/>
      <c r="BF114" s="29">
        <f t="shared" si="98"/>
        <v>955377</v>
      </c>
      <c r="BG114" s="29"/>
      <c r="BH114" s="29"/>
      <c r="BI114" s="30"/>
      <c r="BJ114" s="30"/>
      <c r="BK114" s="30"/>
      <c r="BL114" s="30"/>
      <c r="BM114" s="30"/>
      <c r="BN114" s="62"/>
      <c r="BO114" s="30"/>
      <c r="BP114" s="30"/>
      <c r="BQ114" s="30"/>
      <c r="BR114" s="30"/>
      <c r="BS114" s="30"/>
      <c r="BT114" s="30"/>
      <c r="BU114" s="30"/>
      <c r="BV114" s="62"/>
      <c r="BW114" s="30"/>
      <c r="BX114" s="30"/>
      <c r="BY114" s="51">
        <v>521562</v>
      </c>
      <c r="BZ114" s="51">
        <v>433815</v>
      </c>
      <c r="CA114" s="29">
        <f t="shared" si="99"/>
        <v>397866</v>
      </c>
      <c r="CB114" s="29">
        <f t="shared" si="100"/>
        <v>362314</v>
      </c>
      <c r="CC114" s="29">
        <v>26192</v>
      </c>
      <c r="CD114" s="29">
        <v>21680</v>
      </c>
      <c r="CE114" s="29">
        <v>97504</v>
      </c>
      <c r="CF114" s="29">
        <v>49821</v>
      </c>
      <c r="CG114" s="15">
        <f t="shared" si="101"/>
        <v>0.41644921324252099</v>
      </c>
      <c r="CH114" s="15">
        <f t="shared" si="102"/>
        <v>0.37923667829558383</v>
      </c>
      <c r="CI114" s="15">
        <f t="shared" si="103"/>
        <v>2.7415355404201692E-2</v>
      </c>
      <c r="CJ114" s="15">
        <f t="shared" si="104"/>
        <v>2.2692612445139457E-2</v>
      </c>
      <c r="CK114" s="15">
        <f t="shared" si="105"/>
        <v>0.10205814039902572</v>
      </c>
      <c r="CL114" s="15">
        <f t="shared" si="106"/>
        <v>5.2148000213528271E-2</v>
      </c>
    </row>
    <row r="115" spans="2:90">
      <c r="B115" t="str">
        <f t="shared" si="61"/>
        <v>2021</v>
      </c>
      <c r="C115" s="54">
        <v>202107</v>
      </c>
      <c r="D115" s="54"/>
      <c r="E115" s="54"/>
      <c r="F115" s="54"/>
      <c r="G115" s="29">
        <f t="shared" si="86"/>
        <v>1198855</v>
      </c>
      <c r="H115" s="51">
        <v>638024</v>
      </c>
      <c r="I115" s="51">
        <v>560831</v>
      </c>
      <c r="J115" s="29">
        <v>967926</v>
      </c>
      <c r="K115" s="29">
        <v>68411</v>
      </c>
      <c r="L115" s="29">
        <v>162518</v>
      </c>
      <c r="M115" s="29">
        <v>870315.62674576696</v>
      </c>
      <c r="N115" s="24"/>
      <c r="O115" s="29">
        <v>6109212.4021498105</v>
      </c>
      <c r="P115" s="29">
        <v>26503001</v>
      </c>
      <c r="Q115" s="29">
        <v>2749762</v>
      </c>
      <c r="R115" s="29">
        <v>313299662.38999999</v>
      </c>
      <c r="S115" s="29">
        <v>80840683</v>
      </c>
      <c r="T115" s="62">
        <f t="shared" si="108"/>
        <v>3.4014581494814934E-2</v>
      </c>
      <c r="U115" s="25">
        <f t="shared" si="109"/>
        <v>113.93701069037975</v>
      </c>
      <c r="V115" s="30">
        <v>0.47599999999999998</v>
      </c>
      <c r="W115" s="15">
        <v>0.42</v>
      </c>
      <c r="X115" s="30">
        <v>0.52800000000000002</v>
      </c>
      <c r="Y115" s="29">
        <v>560831</v>
      </c>
      <c r="Z115" s="29">
        <v>638024</v>
      </c>
      <c r="AA115" s="2">
        <f t="shared" si="91"/>
        <v>0.52425755575111255</v>
      </c>
      <c r="AB115" s="30">
        <v>0.40500000000000003</v>
      </c>
      <c r="AC115" s="30">
        <v>0.158</v>
      </c>
      <c r="AD115" s="30">
        <v>0.435</v>
      </c>
      <c r="AE115" s="30">
        <f t="shared" si="92"/>
        <v>0.12800000000000006</v>
      </c>
      <c r="AF115" s="30">
        <v>0.64600000000000002</v>
      </c>
      <c r="AG115" s="30">
        <v>0.58099999999999996</v>
      </c>
      <c r="AH115" s="15">
        <v>0.70399999999999996</v>
      </c>
      <c r="AI115" s="2">
        <f t="shared" si="93"/>
        <v>0.71663074933999527</v>
      </c>
      <c r="AJ115" s="30">
        <v>0.57999999999999996</v>
      </c>
      <c r="AK115" s="30">
        <v>0.27800000000000002</v>
      </c>
      <c r="AL115" s="30">
        <v>0.60399999999999998</v>
      </c>
      <c r="AM115" s="30">
        <f t="shared" si="94"/>
        <v>0.254</v>
      </c>
      <c r="AN115" s="66">
        <v>0.34899999999999998</v>
      </c>
      <c r="AO115" s="30">
        <v>0.28499999999999998</v>
      </c>
      <c r="AP115" s="30">
        <v>0.106</v>
      </c>
      <c r="AQ115" s="30">
        <v>0.313</v>
      </c>
      <c r="AR115" s="30">
        <f t="shared" si="95"/>
        <v>7.7999999999999958E-2</v>
      </c>
      <c r="AS115" s="30">
        <v>0.20699999999999999</v>
      </c>
      <c r="AT115" s="30">
        <v>0.16900000000000001</v>
      </c>
      <c r="AU115" s="30">
        <v>5.2499999999999998E-2</v>
      </c>
      <c r="AV115" s="30">
        <v>0.186</v>
      </c>
      <c r="AW115" s="30">
        <f t="shared" si="96"/>
        <v>3.5500000000000004E-2</v>
      </c>
      <c r="AX115" s="30">
        <v>0.79300000000000004</v>
      </c>
      <c r="AY115" s="30">
        <v>0.32100000000000001</v>
      </c>
      <c r="AZ115" s="30">
        <v>0.83199999999999996</v>
      </c>
      <c r="BA115" s="30">
        <f t="shared" si="97"/>
        <v>0.28200000000000014</v>
      </c>
      <c r="BB115" s="62">
        <f t="shared" si="107"/>
        <v>4.523468870562998E-2</v>
      </c>
      <c r="BC115" s="29"/>
      <c r="BD115" s="29"/>
      <c r="BE115" s="29"/>
      <c r="BF115" s="29">
        <f t="shared" si="98"/>
        <v>1198855</v>
      </c>
      <c r="BG115" s="29"/>
      <c r="BH115" s="29"/>
      <c r="BI115" s="30"/>
      <c r="BJ115" s="30"/>
      <c r="BK115" s="30"/>
      <c r="BL115" s="30"/>
      <c r="BM115" s="30"/>
      <c r="BN115" s="62"/>
      <c r="BO115" s="30"/>
      <c r="BP115" s="30"/>
      <c r="BQ115" s="30"/>
      <c r="BR115" s="30"/>
      <c r="BS115" s="30"/>
      <c r="BT115" s="30"/>
      <c r="BU115" s="30"/>
      <c r="BV115" s="62"/>
      <c r="BW115" s="30"/>
      <c r="BX115" s="30"/>
      <c r="BY115" s="51">
        <v>638024</v>
      </c>
      <c r="BZ115" s="51">
        <v>560831</v>
      </c>
      <c r="CA115" s="29">
        <f t="shared" si="99"/>
        <v>488956</v>
      </c>
      <c r="CB115" s="29">
        <f t="shared" si="100"/>
        <v>478969</v>
      </c>
      <c r="CC115" s="29">
        <v>40309</v>
      </c>
      <c r="CD115" s="29">
        <v>28103</v>
      </c>
      <c r="CE115" s="29">
        <v>108759</v>
      </c>
      <c r="CF115" s="29">
        <v>53759</v>
      </c>
      <c r="CG115" s="15">
        <f t="shared" si="101"/>
        <v>0.40785249258667644</v>
      </c>
      <c r="CH115" s="15">
        <f t="shared" si="102"/>
        <v>0.39952204395026919</v>
      </c>
      <c r="CI115" s="15">
        <f t="shared" si="103"/>
        <v>3.3622915198251668E-2</v>
      </c>
      <c r="CJ115" s="15">
        <f t="shared" si="104"/>
        <v>2.3441533796831143E-2</v>
      </c>
      <c r="CK115" s="15">
        <f t="shared" si="105"/>
        <v>9.0719061104136869E-2</v>
      </c>
      <c r="CL115" s="15">
        <f t="shared" si="106"/>
        <v>4.4841953363834661E-2</v>
      </c>
    </row>
    <row r="116" spans="2:90">
      <c r="B116" t="str">
        <f t="shared" si="61"/>
        <v>2021</v>
      </c>
      <c r="C116" s="54">
        <v>202108</v>
      </c>
      <c r="D116" s="54"/>
      <c r="E116" s="54"/>
      <c r="F116" s="54"/>
      <c r="G116" s="29">
        <f t="shared" si="86"/>
        <v>1184549</v>
      </c>
      <c r="H116" s="51">
        <v>707925</v>
      </c>
      <c r="I116" s="51">
        <v>476624</v>
      </c>
      <c r="J116" s="29">
        <v>928223</v>
      </c>
      <c r="K116" s="29">
        <v>60412</v>
      </c>
      <c r="L116" s="29">
        <v>195914</v>
      </c>
      <c r="M116" s="29">
        <v>876680.62674576696</v>
      </c>
      <c r="N116" s="26"/>
      <c r="O116" s="29">
        <v>6985893.0288955756</v>
      </c>
      <c r="P116" s="29">
        <v>26697709</v>
      </c>
      <c r="Q116" s="29">
        <v>2579868</v>
      </c>
      <c r="R116" s="29">
        <v>234273810.72999969</v>
      </c>
      <c r="S116" s="29">
        <v>83981803</v>
      </c>
      <c r="T116" s="62">
        <f t="shared" si="108"/>
        <v>3.0719369051888538E-2</v>
      </c>
      <c r="U116" s="25">
        <f t="shared" si="109"/>
        <v>90.808448622177451</v>
      </c>
      <c r="V116" s="30">
        <v>0.50700000000000001</v>
      </c>
      <c r="W116" s="15">
        <v>0.41799999999999998</v>
      </c>
      <c r="X116" s="30">
        <v>0.56799999999999995</v>
      </c>
      <c r="Y116" s="29">
        <v>476624</v>
      </c>
      <c r="Z116" s="29">
        <v>707925</v>
      </c>
      <c r="AA116" s="2">
        <f t="shared" si="91"/>
        <v>0.54788162583396716</v>
      </c>
      <c r="AB116" s="30">
        <v>0.432</v>
      </c>
      <c r="AC116" s="30">
        <v>0.18099999999999999</v>
      </c>
      <c r="AD116" s="30">
        <v>0.46700000000000003</v>
      </c>
      <c r="AE116" s="30">
        <f t="shared" si="92"/>
        <v>0.14599999999999996</v>
      </c>
      <c r="AF116" s="30">
        <v>0.67700000000000005</v>
      </c>
      <c r="AG116" s="30">
        <v>0.58099999999999996</v>
      </c>
      <c r="AH116" s="15">
        <v>0.73699999999999999</v>
      </c>
      <c r="AI116" s="2">
        <f t="shared" si="93"/>
        <v>0.73458579510007604</v>
      </c>
      <c r="AJ116" s="30">
        <v>0.61099999999999999</v>
      </c>
      <c r="AK116" s="30">
        <v>0.318</v>
      </c>
      <c r="AL116" s="30">
        <v>0.63700000000000001</v>
      </c>
      <c r="AM116" s="30">
        <f t="shared" si="94"/>
        <v>0.29200000000000004</v>
      </c>
      <c r="AN116" s="66">
        <v>0.38500000000000001</v>
      </c>
      <c r="AO116" s="30">
        <v>0.316</v>
      </c>
      <c r="AP116" s="30">
        <v>0.122</v>
      </c>
      <c r="AQ116" s="30">
        <v>0.35</v>
      </c>
      <c r="AR116" s="30">
        <f t="shared" si="95"/>
        <v>8.8000000000000023E-2</v>
      </c>
      <c r="AS116" s="30">
        <v>0.22700000000000001</v>
      </c>
      <c r="AT116" s="30">
        <v>0.18099999999999999</v>
      </c>
      <c r="AU116" s="30">
        <v>6.4000000000000001E-2</v>
      </c>
      <c r="AV116" s="30">
        <v>0.20599999999999999</v>
      </c>
      <c r="AW116" s="30">
        <f t="shared" si="96"/>
        <v>3.9000000000000007E-2</v>
      </c>
      <c r="AX116" s="30">
        <v>0.80400000000000005</v>
      </c>
      <c r="AY116" s="30">
        <v>0.29899999999999999</v>
      </c>
      <c r="AZ116" s="30">
        <v>0.84199999999999997</v>
      </c>
      <c r="BA116" s="30">
        <f t="shared" si="97"/>
        <v>0.26100000000000001</v>
      </c>
      <c r="BB116" s="62">
        <f t="shared" si="107"/>
        <v>4.4368938173683745E-2</v>
      </c>
      <c r="BC116" s="29"/>
      <c r="BD116" s="29"/>
      <c r="BE116" s="29"/>
      <c r="BF116" s="29">
        <f t="shared" si="98"/>
        <v>1184549</v>
      </c>
      <c r="BG116" s="29"/>
      <c r="BH116" s="29"/>
      <c r="BI116" s="30"/>
      <c r="BJ116" s="30"/>
      <c r="BK116" s="30"/>
      <c r="BL116" s="30"/>
      <c r="BM116" s="30"/>
      <c r="BN116" s="62"/>
      <c r="BO116" s="30"/>
      <c r="BP116" s="30"/>
      <c r="BQ116" s="30"/>
      <c r="BR116" s="30"/>
      <c r="BS116" s="30"/>
      <c r="BT116" s="30"/>
      <c r="BU116" s="30"/>
      <c r="BV116" s="62"/>
      <c r="BW116" s="30"/>
      <c r="BX116" s="30"/>
      <c r="BY116" s="51">
        <v>707925</v>
      </c>
      <c r="BZ116" s="51">
        <v>476624</v>
      </c>
      <c r="CA116" s="29">
        <f t="shared" si="99"/>
        <v>528131</v>
      </c>
      <c r="CB116" s="29">
        <f t="shared" si="100"/>
        <v>400092</v>
      </c>
      <c r="CC116" s="29">
        <v>35218</v>
      </c>
      <c r="CD116" s="29">
        <v>25194</v>
      </c>
      <c r="CE116" s="29">
        <v>144576</v>
      </c>
      <c r="CF116" s="29">
        <v>51338</v>
      </c>
      <c r="CG116" s="15">
        <f t="shared" si="101"/>
        <v>0.44584985509252889</v>
      </c>
      <c r="CH116" s="15">
        <f t="shared" si="102"/>
        <v>0.33775892765938764</v>
      </c>
      <c r="CI116" s="15">
        <f t="shared" si="103"/>
        <v>2.9731146622047715E-2</v>
      </c>
      <c r="CJ116" s="15">
        <f t="shared" si="104"/>
        <v>2.1268854222155437E-2</v>
      </c>
      <c r="CK116" s="15">
        <f t="shared" si="105"/>
        <v>0.12205151496476718</v>
      </c>
      <c r="CL116" s="15">
        <f t="shared" si="106"/>
        <v>4.3339701439113115E-2</v>
      </c>
    </row>
    <row r="117" spans="2:90">
      <c r="B117" t="str">
        <f t="shared" si="61"/>
        <v>2021</v>
      </c>
      <c r="C117" s="54">
        <v>202109</v>
      </c>
      <c r="D117" s="54"/>
      <c r="E117" s="54"/>
      <c r="F117" s="54"/>
      <c r="G117" s="29">
        <f t="shared" si="86"/>
        <v>1046102</v>
      </c>
      <c r="H117" s="51">
        <v>593753</v>
      </c>
      <c r="I117" s="51">
        <v>452349</v>
      </c>
      <c r="J117" s="29">
        <v>801500</v>
      </c>
      <c r="K117" s="29">
        <v>57785</v>
      </c>
      <c r="L117" s="29">
        <v>186817</v>
      </c>
      <c r="M117" s="29">
        <v>901347.28039048135</v>
      </c>
      <c r="N117" s="26"/>
      <c r="O117" s="29">
        <v>7887240.3092860579</v>
      </c>
      <c r="P117" s="29">
        <v>26283661</v>
      </c>
      <c r="Q117" s="29">
        <v>2323396</v>
      </c>
      <c r="R117" s="29">
        <v>198764198.61000001</v>
      </c>
      <c r="S117" s="29">
        <v>80535680</v>
      </c>
      <c r="T117" s="62">
        <f t="shared" si="108"/>
        <v>2.8849275252906537E-2</v>
      </c>
      <c r="U117" s="25">
        <f t="shared" si="109"/>
        <v>85.54899750623656</v>
      </c>
      <c r="V117" s="30">
        <v>0.46300000000000002</v>
      </c>
      <c r="W117" s="15">
        <v>0.39600000000000002</v>
      </c>
      <c r="X117" s="30">
        <v>0.51500000000000001</v>
      </c>
      <c r="Y117" s="29">
        <v>452349</v>
      </c>
      <c r="Z117" s="29">
        <v>593753</v>
      </c>
      <c r="AA117" s="2">
        <f t="shared" si="91"/>
        <v>0.50678413672854083</v>
      </c>
      <c r="AB117" s="30">
        <v>0.38500000000000001</v>
      </c>
      <c r="AC117" s="30">
        <v>0.16</v>
      </c>
      <c r="AD117" s="30">
        <v>0.42</v>
      </c>
      <c r="AE117" s="30">
        <f t="shared" si="92"/>
        <v>0.12500000000000006</v>
      </c>
      <c r="AF117" s="30">
        <v>0.64900000000000002</v>
      </c>
      <c r="AG117" s="67">
        <v>0.57199999999999995</v>
      </c>
      <c r="AH117" s="15">
        <v>0.70699999999999996</v>
      </c>
      <c r="AI117" s="2">
        <f t="shared" si="93"/>
        <v>0.71348620784588879</v>
      </c>
      <c r="AJ117" s="30">
        <v>0.57599999999999996</v>
      </c>
      <c r="AK117" s="30">
        <v>0.28899999999999998</v>
      </c>
      <c r="AL117" s="30">
        <v>0.60499999999999998</v>
      </c>
      <c r="AM117" s="30">
        <f t="shared" si="94"/>
        <v>0.26</v>
      </c>
      <c r="AN117" s="66">
        <v>0.33900000000000002</v>
      </c>
      <c r="AO117" s="30">
        <v>0.27100000000000002</v>
      </c>
      <c r="AP117" s="30">
        <v>0.10100000000000001</v>
      </c>
      <c r="AQ117" s="30">
        <v>0.30199999999999999</v>
      </c>
      <c r="AR117" s="30">
        <f t="shared" si="95"/>
        <v>7.0000000000000007E-2</v>
      </c>
      <c r="AS117" s="30">
        <v>0.19400000000000001</v>
      </c>
      <c r="AT117" s="30">
        <v>0.151</v>
      </c>
      <c r="AU117" s="30">
        <v>5.3400000000000003E-2</v>
      </c>
      <c r="AV117" s="30">
        <v>0.17299999999999999</v>
      </c>
      <c r="AW117" s="30">
        <f t="shared" si="96"/>
        <v>3.1400000000000011E-2</v>
      </c>
      <c r="AX117" s="30">
        <v>0.78500000000000003</v>
      </c>
      <c r="AY117" s="30">
        <v>0.3</v>
      </c>
      <c r="AZ117" s="30">
        <v>0.82799999999999996</v>
      </c>
      <c r="BA117" s="30">
        <f t="shared" si="97"/>
        <v>0.25700000000000001</v>
      </c>
      <c r="BB117" s="62">
        <f t="shared" si="107"/>
        <v>3.9800467674575471E-2</v>
      </c>
      <c r="BC117" s="29"/>
      <c r="BD117" s="29"/>
      <c r="BE117" s="29"/>
      <c r="BF117" s="29">
        <f t="shared" si="98"/>
        <v>1046102</v>
      </c>
      <c r="BG117" s="29"/>
      <c r="BH117" s="29"/>
      <c r="BI117" s="30"/>
      <c r="BJ117" s="30"/>
      <c r="BK117" s="30"/>
      <c r="BL117" s="30"/>
      <c r="BM117" s="30"/>
      <c r="BN117" s="62"/>
      <c r="BO117" s="30"/>
      <c r="BP117" s="30"/>
      <c r="BQ117" s="30"/>
      <c r="BR117" s="30"/>
      <c r="BS117" s="30"/>
      <c r="BT117" s="30"/>
      <c r="BU117" s="30"/>
      <c r="BV117" s="62"/>
      <c r="BW117" s="30"/>
      <c r="BX117" s="30"/>
      <c r="BY117" s="51">
        <v>593753</v>
      </c>
      <c r="BZ117" s="51">
        <v>452349</v>
      </c>
      <c r="CA117" s="29">
        <f t="shared" si="99"/>
        <v>424060</v>
      </c>
      <c r="CB117" s="29">
        <f t="shared" si="100"/>
        <v>377440</v>
      </c>
      <c r="CC117" s="29">
        <v>32908</v>
      </c>
      <c r="CD117" s="29">
        <v>24877</v>
      </c>
      <c r="CE117" s="29">
        <v>136785</v>
      </c>
      <c r="CF117" s="29">
        <v>50032</v>
      </c>
      <c r="CG117" s="15">
        <f t="shared" si="101"/>
        <v>0.40537156032585731</v>
      </c>
      <c r="CH117" s="15">
        <f t="shared" si="102"/>
        <v>0.36080611642076965</v>
      </c>
      <c r="CI117" s="15">
        <f t="shared" si="103"/>
        <v>3.1457735478949471E-2</v>
      </c>
      <c r="CJ117" s="15">
        <f t="shared" si="104"/>
        <v>2.3780663835840099E-2</v>
      </c>
      <c r="CK117" s="15">
        <f t="shared" si="105"/>
        <v>0.13075684780260433</v>
      </c>
      <c r="CL117" s="15">
        <f t="shared" si="106"/>
        <v>4.7827076135979092E-2</v>
      </c>
    </row>
    <row r="118" spans="2:90">
      <c r="B118" t="str">
        <f t="shared" si="61"/>
        <v>2021</v>
      </c>
      <c r="C118" s="54">
        <v>202110</v>
      </c>
      <c r="D118" s="54"/>
      <c r="E118" s="54"/>
      <c r="F118" s="54"/>
      <c r="G118" s="29">
        <f t="shared" si="86"/>
        <v>970989</v>
      </c>
      <c r="H118" s="51">
        <v>541464</v>
      </c>
      <c r="I118" s="51">
        <v>429525</v>
      </c>
      <c r="J118" s="29">
        <v>757046</v>
      </c>
      <c r="K118" s="29">
        <v>52807</v>
      </c>
      <c r="L118" s="29">
        <v>161136</v>
      </c>
      <c r="M118" s="29">
        <v>872301.4572158365</v>
      </c>
      <c r="N118" s="26"/>
      <c r="O118" s="29">
        <v>8759541.7665018942</v>
      </c>
      <c r="P118" s="29">
        <v>25067451</v>
      </c>
      <c r="Q118" s="29">
        <v>2277821</v>
      </c>
      <c r="R118" s="29">
        <v>200049504.66999999</v>
      </c>
      <c r="S118" s="29">
        <v>74095585</v>
      </c>
      <c r="T118" s="62">
        <f t="shared" si="108"/>
        <v>3.0741656199893691E-2</v>
      </c>
      <c r="U118" s="25">
        <f t="shared" si="109"/>
        <v>87.824945274453086</v>
      </c>
      <c r="V118" s="30">
        <v>0.45900000000000002</v>
      </c>
      <c r="W118" s="15">
        <v>0.39300000000000002</v>
      </c>
      <c r="X118" s="30">
        <v>0.51200000000000001</v>
      </c>
      <c r="Y118" s="29">
        <v>429525</v>
      </c>
      <c r="Z118" s="29">
        <v>541464</v>
      </c>
      <c r="AA118" s="2">
        <f t="shared" si="91"/>
        <v>0.50359519314842915</v>
      </c>
      <c r="AB118" s="30">
        <v>0.379</v>
      </c>
      <c r="AC118" s="30">
        <v>0.16</v>
      </c>
      <c r="AD118" s="30">
        <v>0.41499999999999998</v>
      </c>
      <c r="AE118" s="30">
        <f t="shared" si="92"/>
        <v>0.12400000000000005</v>
      </c>
      <c r="AF118" s="30">
        <v>0.64500000000000002</v>
      </c>
      <c r="AG118" s="67">
        <v>0.56799999999999995</v>
      </c>
      <c r="AH118" s="30">
        <v>0.70799999999999996</v>
      </c>
      <c r="AI118" s="2">
        <f t="shared" si="93"/>
        <v>0.71242358255345839</v>
      </c>
      <c r="AJ118" s="30">
        <v>0.57099999999999995</v>
      </c>
      <c r="AK118" s="30">
        <v>0.28499999999999998</v>
      </c>
      <c r="AL118" s="30">
        <v>0.6</v>
      </c>
      <c r="AM118" s="30">
        <f t="shared" si="94"/>
        <v>0.25599999999999989</v>
      </c>
      <c r="AN118" s="66">
        <v>0.32800000000000001</v>
      </c>
      <c r="AO118" s="30">
        <v>0.26</v>
      </c>
      <c r="AP118" s="30">
        <v>0.1</v>
      </c>
      <c r="AQ118" s="30">
        <v>0.28999999999999998</v>
      </c>
      <c r="AR118" s="30">
        <f t="shared" si="95"/>
        <v>7.0000000000000007E-2</v>
      </c>
      <c r="AS118" s="66">
        <v>0.19</v>
      </c>
      <c r="AT118" s="30">
        <v>0.14699999999999999</v>
      </c>
      <c r="AU118" s="30">
        <v>5.2999999999999999E-2</v>
      </c>
      <c r="AV118" s="30">
        <v>0.16800000000000001</v>
      </c>
      <c r="AW118" s="30">
        <f t="shared" si="96"/>
        <v>3.1999999999999973E-2</v>
      </c>
      <c r="AX118" s="30">
        <v>0.78</v>
      </c>
      <c r="AY118" s="30">
        <v>0.30599999999999999</v>
      </c>
      <c r="AZ118" s="30">
        <v>0.82499999999999996</v>
      </c>
      <c r="BA118" s="30">
        <f t="shared" si="97"/>
        <v>0.26100000000000012</v>
      </c>
      <c r="BB118" s="62">
        <f t="shared" si="107"/>
        <v>3.8735051282238468E-2</v>
      </c>
      <c r="BC118" s="29"/>
      <c r="BD118" s="29"/>
      <c r="BE118" s="29"/>
      <c r="BF118" s="29">
        <f t="shared" si="98"/>
        <v>970989</v>
      </c>
      <c r="BG118" s="29"/>
      <c r="BH118" s="29"/>
      <c r="BI118" s="30"/>
      <c r="BJ118" s="30"/>
      <c r="BK118" s="30"/>
      <c r="BL118" s="30"/>
      <c r="BM118" s="30"/>
      <c r="BN118" s="62"/>
      <c r="BO118" s="30"/>
      <c r="BP118" s="30"/>
      <c r="BQ118" s="30"/>
      <c r="BR118" s="30"/>
      <c r="BS118" s="30"/>
      <c r="BT118" s="30"/>
      <c r="BU118" s="30"/>
      <c r="BV118" s="62"/>
      <c r="BW118" s="30"/>
      <c r="BX118" s="30"/>
      <c r="BY118" s="51">
        <v>541464</v>
      </c>
      <c r="BZ118" s="51">
        <v>429525</v>
      </c>
      <c r="CA118" s="29">
        <f t="shared" si="99"/>
        <v>393313</v>
      </c>
      <c r="CB118" s="29">
        <f t="shared" si="100"/>
        <v>363733</v>
      </c>
      <c r="CC118" s="29">
        <v>30597</v>
      </c>
      <c r="CD118" s="29">
        <v>22212</v>
      </c>
      <c r="CE118" s="29">
        <v>117554</v>
      </c>
      <c r="CF118" s="29">
        <v>43580</v>
      </c>
      <c r="CG118" s="15">
        <f t="shared" si="101"/>
        <v>0.40506432101702489</v>
      </c>
      <c r="CH118" s="15">
        <f t="shared" si="102"/>
        <v>0.37460053615437455</v>
      </c>
      <c r="CI118" s="15">
        <f t="shared" si="103"/>
        <v>3.1511170569388527E-2</v>
      </c>
      <c r="CJ118" s="15">
        <f t="shared" si="104"/>
        <v>2.2875645347166653E-2</v>
      </c>
      <c r="CK118" s="15">
        <f t="shared" si="105"/>
        <v>0.12106625306774844</v>
      </c>
      <c r="CL118" s="15">
        <f t="shared" si="106"/>
        <v>4.4882073844296898E-2</v>
      </c>
    </row>
    <row r="119" spans="2:90">
      <c r="B119" t="str">
        <f t="shared" si="61"/>
        <v>2021</v>
      </c>
      <c r="C119" s="54">
        <v>202111</v>
      </c>
      <c r="D119" s="54"/>
      <c r="E119" s="54"/>
      <c r="F119" s="54"/>
      <c r="G119" s="29">
        <f t="shared" si="86"/>
        <v>954838</v>
      </c>
      <c r="H119" s="51">
        <v>520169</v>
      </c>
      <c r="I119" s="51">
        <v>434669</v>
      </c>
      <c r="J119" s="29">
        <v>747808</v>
      </c>
      <c r="K119" s="29">
        <v>53729</v>
      </c>
      <c r="L119" s="29">
        <v>153301</v>
      </c>
      <c r="M119" s="29">
        <v>877942.4572158365</v>
      </c>
      <c r="N119" s="24"/>
      <c r="O119" s="29">
        <v>9637484.2237177305</v>
      </c>
      <c r="P119" s="29">
        <v>25081152</v>
      </c>
      <c r="Q119" s="29">
        <v>2306603</v>
      </c>
      <c r="R119" s="29">
        <v>199147915</v>
      </c>
      <c r="S119" s="29">
        <v>74353807</v>
      </c>
      <c r="T119" s="62">
        <f t="shared" si="108"/>
        <v>3.1021989230490914E-2</v>
      </c>
      <c r="U119" s="25">
        <f t="shared" si="109"/>
        <v>86.338184334278594</v>
      </c>
      <c r="V119" s="30">
        <v>0.45300000000000001</v>
      </c>
      <c r="W119" s="15">
        <v>0.39</v>
      </c>
      <c r="X119" s="30">
        <v>0.50800000000000001</v>
      </c>
      <c r="Y119" s="29">
        <v>434669</v>
      </c>
      <c r="Z119" s="29">
        <v>520169</v>
      </c>
      <c r="AA119" s="2">
        <f t="shared" si="91"/>
        <v>0.49980589586924695</v>
      </c>
      <c r="AB119" s="30">
        <v>0.372</v>
      </c>
      <c r="AC119" s="30">
        <v>0.154</v>
      </c>
      <c r="AD119" s="30">
        <v>0.40799999999999997</v>
      </c>
      <c r="AE119" s="30">
        <f t="shared" si="92"/>
        <v>0.11800000000000005</v>
      </c>
      <c r="AF119" s="30">
        <v>0.63900000000000001</v>
      </c>
      <c r="AG119" s="30">
        <v>0.56399999999999995</v>
      </c>
      <c r="AH119" s="30">
        <v>0.70299999999999996</v>
      </c>
      <c r="AI119" s="2">
        <f t="shared" si="93"/>
        <v>0.70800750807990465</v>
      </c>
      <c r="AJ119" s="30">
        <v>0.56399999999999995</v>
      </c>
      <c r="AK119" s="30">
        <v>0.27900000000000003</v>
      </c>
      <c r="AL119" s="30">
        <v>0.59399999999999997</v>
      </c>
      <c r="AM119" s="30">
        <f t="shared" si="94"/>
        <v>0.249</v>
      </c>
      <c r="AN119" s="66">
        <v>0.32400000000000001</v>
      </c>
      <c r="AO119" s="30">
        <v>0.255</v>
      </c>
      <c r="AP119" s="30">
        <v>9.7699999999999995E-2</v>
      </c>
      <c r="AQ119" s="30">
        <v>0.28660000000000002</v>
      </c>
      <c r="AR119" s="30">
        <f t="shared" si="95"/>
        <v>6.6099999999999992E-2</v>
      </c>
      <c r="AS119" s="66">
        <v>0.185</v>
      </c>
      <c r="AT119" s="66">
        <v>0.14199999999999999</v>
      </c>
      <c r="AU119" s="66">
        <v>5.1200000000000002E-2</v>
      </c>
      <c r="AV119" s="66">
        <v>0.16300000000000001</v>
      </c>
      <c r="AW119" s="30">
        <f t="shared" si="96"/>
        <v>3.0199999999999977E-2</v>
      </c>
      <c r="AX119" s="66">
        <v>0.77</v>
      </c>
      <c r="AY119" s="66">
        <v>0.307</v>
      </c>
      <c r="AZ119" s="66">
        <v>0.81599999999999995</v>
      </c>
      <c r="BA119" s="62">
        <f t="shared" si="97"/>
        <v>0.26100000000000001</v>
      </c>
      <c r="BB119" s="62">
        <f t="shared" si="107"/>
        <v>3.8069941922922838E-2</v>
      </c>
      <c r="BC119" s="29"/>
      <c r="BD119" s="29"/>
      <c r="BE119" s="29"/>
      <c r="BF119" s="29">
        <f t="shared" si="98"/>
        <v>954838</v>
      </c>
      <c r="BG119" s="29"/>
      <c r="BH119" s="29"/>
      <c r="BI119" s="30"/>
      <c r="BJ119" s="30"/>
      <c r="BK119" s="30"/>
      <c r="BL119" s="30"/>
      <c r="BM119" s="30"/>
      <c r="BN119" s="62"/>
      <c r="BO119" s="30"/>
      <c r="BP119" s="30"/>
      <c r="BQ119" s="30"/>
      <c r="BR119" s="30"/>
      <c r="BS119" s="30"/>
      <c r="BT119" s="30"/>
      <c r="BU119" s="30"/>
      <c r="BV119" s="62"/>
      <c r="BW119" s="30"/>
      <c r="BX119" s="30"/>
      <c r="BY119" s="51">
        <v>520169</v>
      </c>
      <c r="BZ119" s="51">
        <v>434669</v>
      </c>
      <c r="CA119" s="29">
        <f t="shared" si="99"/>
        <v>379280</v>
      </c>
      <c r="CB119" s="29">
        <f t="shared" si="100"/>
        <v>368528</v>
      </c>
      <c r="CC119" s="29">
        <v>30434</v>
      </c>
      <c r="CD119" s="29">
        <v>23295</v>
      </c>
      <c r="CE119" s="29">
        <v>110455</v>
      </c>
      <c r="CF119" s="29">
        <v>42846</v>
      </c>
      <c r="CG119" s="15">
        <f t="shared" si="101"/>
        <v>0.39721921414941591</v>
      </c>
      <c r="CH119" s="15">
        <f t="shared" si="102"/>
        <v>0.38595866523954847</v>
      </c>
      <c r="CI119" s="15">
        <f t="shared" si="103"/>
        <v>3.1873469635686894E-2</v>
      </c>
      <c r="CJ119" s="15">
        <f t="shared" si="104"/>
        <v>2.4396808673303745E-2</v>
      </c>
      <c r="CK119" s="15">
        <f t="shared" si="105"/>
        <v>0.11567930895083774</v>
      </c>
      <c r="CL119" s="15">
        <f t="shared" si="106"/>
        <v>4.4872533351207222E-2</v>
      </c>
    </row>
    <row r="120" spans="2:90">
      <c r="B120" t="str">
        <f t="shared" si="61"/>
        <v>2021</v>
      </c>
      <c r="C120" s="54">
        <v>202112</v>
      </c>
      <c r="D120" s="54"/>
      <c r="E120" s="54"/>
      <c r="F120" s="54"/>
      <c r="G120" s="29">
        <f t="shared" si="86"/>
        <v>889248</v>
      </c>
      <c r="H120" s="51">
        <v>481770</v>
      </c>
      <c r="I120" s="51">
        <v>407478</v>
      </c>
      <c r="J120" s="29">
        <v>700052</v>
      </c>
      <c r="K120" s="29">
        <v>50497</v>
      </c>
      <c r="L120" s="29">
        <v>138699</v>
      </c>
      <c r="M120" s="29">
        <v>875181.4572158365</v>
      </c>
      <c r="N120" s="24"/>
      <c r="O120" s="29">
        <v>10512665.68093357</v>
      </c>
      <c r="P120" s="29">
        <v>24784845</v>
      </c>
      <c r="Q120" s="29">
        <v>2157004</v>
      </c>
      <c r="R120" s="29">
        <v>177970086</v>
      </c>
      <c r="S120" s="29">
        <v>71156372</v>
      </c>
      <c r="T120" s="62">
        <f t="shared" si="108"/>
        <v>3.0313574728065111E-2</v>
      </c>
      <c r="U120" s="25">
        <f t="shared" si="109"/>
        <v>82.507999985164602</v>
      </c>
      <c r="V120" s="30">
        <v>0.442</v>
      </c>
      <c r="W120" s="15">
        <v>0.38700000000000001</v>
      </c>
      <c r="X120" s="30">
        <v>0.49</v>
      </c>
      <c r="Y120" s="29">
        <v>407478</v>
      </c>
      <c r="Z120" s="29">
        <v>481770</v>
      </c>
      <c r="AA120" s="2">
        <f t="shared" si="91"/>
        <v>0.48862531712188279</v>
      </c>
      <c r="AB120" s="30">
        <v>0.36299999999999999</v>
      </c>
      <c r="AC120" s="30">
        <v>0.14799999999999999</v>
      </c>
      <c r="AD120" s="30">
        <v>0.39800000000000002</v>
      </c>
      <c r="AE120" s="30">
        <f t="shared" si="92"/>
        <v>0.11299999999999999</v>
      </c>
      <c r="AF120" s="30">
        <v>0.63400000000000001</v>
      </c>
      <c r="AG120" s="30">
        <v>0.56299999999999994</v>
      </c>
      <c r="AH120" s="30">
        <v>0.69399999999999995</v>
      </c>
      <c r="AI120" s="2">
        <f t="shared" si="93"/>
        <v>0.7027063248947425</v>
      </c>
      <c r="AJ120" s="30">
        <v>0.55900000000000005</v>
      </c>
      <c r="AK120" s="30">
        <v>0.27200000000000002</v>
      </c>
      <c r="AL120" s="30">
        <v>0.58799999999999997</v>
      </c>
      <c r="AM120" s="30">
        <f t="shared" si="94"/>
        <v>0.2430000000000001</v>
      </c>
      <c r="AN120" s="66">
        <v>0.315</v>
      </c>
      <c r="AO120" s="30">
        <v>0.247</v>
      </c>
      <c r="AP120" s="30">
        <v>9.2999999999999999E-2</v>
      </c>
      <c r="AQ120" s="30">
        <v>0.27800000000000002</v>
      </c>
      <c r="AR120" s="30">
        <f t="shared" si="95"/>
        <v>6.1999999999999944E-2</v>
      </c>
      <c r="AS120" s="66">
        <v>0.17899999999999999</v>
      </c>
      <c r="AT120" s="66">
        <v>0.13700000000000001</v>
      </c>
      <c r="AU120" s="66">
        <v>4.9000000000000002E-2</v>
      </c>
      <c r="AV120" s="66">
        <v>0.158</v>
      </c>
      <c r="AW120" s="30">
        <f t="shared" si="96"/>
        <v>2.7999999999999997E-2</v>
      </c>
      <c r="AX120" s="66">
        <v>0.77500000000000002</v>
      </c>
      <c r="AY120" s="66">
        <v>0.3</v>
      </c>
      <c r="AZ120" s="66">
        <v>0.81799999999999995</v>
      </c>
      <c r="BA120" s="62">
        <f t="shared" si="97"/>
        <v>0.25700000000000001</v>
      </c>
      <c r="BB120" s="62">
        <f t="shared" si="107"/>
        <v>3.5878699261585052E-2</v>
      </c>
      <c r="BC120" s="29"/>
      <c r="BD120" s="29"/>
      <c r="BE120" s="29"/>
      <c r="BF120" s="29">
        <f t="shared" si="98"/>
        <v>889248</v>
      </c>
      <c r="BG120" s="29"/>
      <c r="BH120" s="29"/>
      <c r="BI120" s="30"/>
      <c r="BJ120" s="30"/>
      <c r="BK120" s="30"/>
      <c r="BL120" s="30"/>
      <c r="BM120" s="30"/>
      <c r="BN120" s="62"/>
      <c r="BO120" s="30"/>
      <c r="BP120" s="30"/>
      <c r="BQ120" s="30"/>
      <c r="BR120" s="30"/>
      <c r="BS120" s="30"/>
      <c r="BT120" s="30"/>
      <c r="BU120" s="30"/>
      <c r="BV120" s="62"/>
      <c r="BW120" s="30"/>
      <c r="BX120" s="30"/>
      <c r="BY120" s="51">
        <v>481770</v>
      </c>
      <c r="BZ120" s="51">
        <v>407478</v>
      </c>
      <c r="CA120" s="29">
        <f t="shared" si="99"/>
        <v>355435</v>
      </c>
      <c r="CB120" s="29">
        <f t="shared" si="100"/>
        <v>344617</v>
      </c>
      <c r="CC120" s="29">
        <v>28384</v>
      </c>
      <c r="CD120" s="29">
        <v>22113</v>
      </c>
      <c r="CE120" s="29">
        <v>97951</v>
      </c>
      <c r="CF120" s="29">
        <v>40748</v>
      </c>
      <c r="CG120" s="15">
        <f t="shared" si="101"/>
        <v>0.39970289503040773</v>
      </c>
      <c r="CH120" s="15">
        <f t="shared" si="102"/>
        <v>0.38753755982583038</v>
      </c>
      <c r="CI120" s="15">
        <f t="shared" si="103"/>
        <v>3.1919104681708589E-2</v>
      </c>
      <c r="CJ120" s="15">
        <f t="shared" si="104"/>
        <v>2.4867078700205117E-2</v>
      </c>
      <c r="CK120" s="15">
        <f t="shared" si="105"/>
        <v>0.11015037424880349</v>
      </c>
      <c r="CL120" s="15">
        <f t="shared" si="106"/>
        <v>4.5822987513044727E-2</v>
      </c>
    </row>
    <row r="121" spans="2:90">
      <c r="B121" t="str">
        <f t="shared" si="61"/>
        <v>2021</v>
      </c>
      <c r="C121" s="54">
        <v>202113</v>
      </c>
      <c r="D121" s="54"/>
      <c r="E121" s="54"/>
      <c r="F121" s="54"/>
      <c r="G121" s="29">
        <f t="shared" si="86"/>
        <v>880945</v>
      </c>
      <c r="H121" s="51">
        <v>472895</v>
      </c>
      <c r="I121" s="51">
        <v>408050</v>
      </c>
      <c r="J121" s="29">
        <v>683911</v>
      </c>
      <c r="K121" s="29">
        <v>45967</v>
      </c>
      <c r="L121" s="29">
        <v>151067</v>
      </c>
      <c r="M121" s="29">
        <v>886363.4572158365</v>
      </c>
      <c r="N121" s="24"/>
      <c r="O121" s="29">
        <v>11399029.138149399</v>
      </c>
      <c r="P121" s="29">
        <v>24726278</v>
      </c>
      <c r="Q121" s="29">
        <v>2078653</v>
      </c>
      <c r="R121" s="29">
        <v>171569546</v>
      </c>
      <c r="S121" s="29">
        <v>71462455</v>
      </c>
      <c r="T121" s="62">
        <f t="shared" si="108"/>
        <v>2.9087343836704183E-2</v>
      </c>
      <c r="U121" s="25">
        <f t="shared" si="109"/>
        <v>82.538810470049597</v>
      </c>
      <c r="V121" s="30">
        <v>0.44700000000000001</v>
      </c>
      <c r="W121" s="30">
        <v>0.39100000000000001</v>
      </c>
      <c r="X121" s="30">
        <v>0.496</v>
      </c>
      <c r="Y121" s="29">
        <v>408050</v>
      </c>
      <c r="Z121" s="29">
        <v>472895</v>
      </c>
      <c r="AA121" s="2">
        <f t="shared" si="91"/>
        <v>0.49368402113639326</v>
      </c>
      <c r="AB121" s="30">
        <v>0.36799999999999999</v>
      </c>
      <c r="AC121" s="30">
        <v>0.14899999999999999</v>
      </c>
      <c r="AD121" s="30">
        <v>0.40300000000000002</v>
      </c>
      <c r="AE121" s="30">
        <f t="shared" si="92"/>
        <v>0.11399999999999999</v>
      </c>
      <c r="AF121" s="30">
        <v>0.63487604097962202</v>
      </c>
      <c r="AG121" s="30">
        <v>0.56598147974747803</v>
      </c>
      <c r="AH121" s="30">
        <v>0.69439758652191497</v>
      </c>
      <c r="AI121" s="2">
        <f t="shared" ref="AI121:AI139" si="110">IF(AF121="","",IFERROR(((Y121*(AG121+0.15))+(Z121*AH121))/(Y121+Z121),""))</f>
        <v>0.70439515462286439</v>
      </c>
      <c r="AJ121" s="30">
        <v>0.5596505001494857</v>
      </c>
      <c r="AK121" s="30">
        <v>0.27052689715612011</v>
      </c>
      <c r="AL121" s="30">
        <v>0.58798888100253555</v>
      </c>
      <c r="AM121" s="30">
        <f t="shared" si="94"/>
        <v>0.24218851630307026</v>
      </c>
      <c r="AN121" s="66">
        <v>0.32612759003945968</v>
      </c>
      <c r="AO121" s="30">
        <v>0.247</v>
      </c>
      <c r="AP121" s="30">
        <v>9.1200000000000003E-2</v>
      </c>
      <c r="AQ121" s="30">
        <v>0.27500000000000002</v>
      </c>
      <c r="AR121" s="30">
        <f t="shared" si="95"/>
        <v>6.3199999999999978E-2</v>
      </c>
      <c r="AS121" s="66">
        <v>0.17799999999999999</v>
      </c>
      <c r="AT121" s="66">
        <v>0.13600000000000001</v>
      </c>
      <c r="AU121" s="66">
        <v>4.8300000000000003E-2</v>
      </c>
      <c r="AV121" s="66">
        <v>0.156</v>
      </c>
      <c r="AW121" s="30">
        <f t="shared" si="96"/>
        <v>2.830000000000002E-2</v>
      </c>
      <c r="AX121" s="66">
        <v>0.77700000000000002</v>
      </c>
      <c r="AY121" s="66">
        <v>0.29699999999999999</v>
      </c>
      <c r="AZ121" s="66">
        <v>0.81899999999999995</v>
      </c>
      <c r="BA121" s="62">
        <f t="shared" si="97"/>
        <v>0.25500000000000012</v>
      </c>
      <c r="BB121" s="62">
        <f t="shared" si="107"/>
        <v>3.5627885442362173E-2</v>
      </c>
      <c r="BC121" s="29"/>
      <c r="BD121" s="29"/>
      <c r="BE121" s="29"/>
      <c r="BF121" s="29">
        <f t="shared" si="98"/>
        <v>880945</v>
      </c>
      <c r="BG121" s="29"/>
      <c r="BH121" s="29"/>
      <c r="BI121" s="30"/>
      <c r="BJ121" s="30"/>
      <c r="BK121" s="30"/>
      <c r="BL121" s="30"/>
      <c r="BM121" s="30"/>
      <c r="BN121" s="62"/>
      <c r="BO121" s="30"/>
      <c r="BP121" s="30"/>
      <c r="BQ121" s="30"/>
      <c r="BR121" s="30"/>
      <c r="BS121" s="30"/>
      <c r="BT121" s="30"/>
      <c r="BU121" s="30"/>
      <c r="BV121" s="62"/>
      <c r="BW121" s="30"/>
      <c r="BX121" s="30"/>
      <c r="BY121" s="51">
        <v>472895</v>
      </c>
      <c r="BZ121" s="51">
        <v>408050</v>
      </c>
      <c r="CA121" s="29">
        <f t="shared" si="99"/>
        <v>341816</v>
      </c>
      <c r="CB121" s="29">
        <f t="shared" si="100"/>
        <v>342095</v>
      </c>
      <c r="CC121" s="29">
        <v>25719</v>
      </c>
      <c r="CD121" s="29">
        <v>20248</v>
      </c>
      <c r="CE121" s="29">
        <v>105360</v>
      </c>
      <c r="CF121" s="29">
        <v>45707</v>
      </c>
      <c r="CG121" s="15">
        <f t="shared" si="101"/>
        <v>0.38801060225099182</v>
      </c>
      <c r="CH121" s="15">
        <f t="shared" si="102"/>
        <v>0.38832730760717182</v>
      </c>
      <c r="CI121" s="15">
        <f t="shared" si="103"/>
        <v>2.9194785145497164E-2</v>
      </c>
      <c r="CJ121" s="15">
        <f t="shared" si="104"/>
        <v>2.2984408788289848E-2</v>
      </c>
      <c r="CK121" s="15">
        <f t="shared" si="105"/>
        <v>0.11959883988217199</v>
      </c>
      <c r="CL121" s="15">
        <f t="shared" si="106"/>
        <v>5.1884056325877323E-2</v>
      </c>
    </row>
    <row r="122" spans="2:90">
      <c r="B122" t="str">
        <f t="shared" si="61"/>
        <v>2021</v>
      </c>
      <c r="C122" s="54">
        <v>202114</v>
      </c>
      <c r="D122" s="54"/>
      <c r="E122" s="54"/>
      <c r="F122" s="54"/>
      <c r="G122" s="29">
        <f t="shared" si="86"/>
        <v>877755</v>
      </c>
      <c r="H122" s="51">
        <v>464655</v>
      </c>
      <c r="I122" s="51">
        <v>413100</v>
      </c>
      <c r="J122" s="29">
        <v>691822</v>
      </c>
      <c r="K122" s="29">
        <v>48076</v>
      </c>
      <c r="L122" s="29">
        <v>137857</v>
      </c>
      <c r="M122" s="29">
        <v>883059.25938678323</v>
      </c>
      <c r="N122" s="26"/>
      <c r="O122" s="29">
        <v>12282088.39753619</v>
      </c>
      <c r="P122" s="29">
        <v>24760784</v>
      </c>
      <c r="Q122" s="29">
        <v>2126598</v>
      </c>
      <c r="R122" s="29">
        <v>177685695</v>
      </c>
      <c r="S122" s="29">
        <v>71261312</v>
      </c>
      <c r="T122" s="62">
        <f t="shared" si="108"/>
        <v>2.9842251571231247E-2</v>
      </c>
      <c r="U122" s="25">
        <f t="shared" si="109"/>
        <v>83.553965065329692</v>
      </c>
      <c r="V122" s="30">
        <v>0.441</v>
      </c>
      <c r="W122" s="30">
        <v>0.38800000000000001</v>
      </c>
      <c r="X122" s="30">
        <v>0.48799999999999999</v>
      </c>
      <c r="Y122" s="29">
        <v>413100</v>
      </c>
      <c r="Z122" s="29">
        <v>464655</v>
      </c>
      <c r="AA122" s="2">
        <f t="shared" si="91"/>
        <v>0.48799999999999993</v>
      </c>
      <c r="AB122" s="30">
        <v>0.36099999999999999</v>
      </c>
      <c r="AC122" s="30">
        <v>0.14699999999999999</v>
      </c>
      <c r="AD122" s="30">
        <v>0.39600000000000002</v>
      </c>
      <c r="AE122" s="30">
        <f t="shared" si="92"/>
        <v>0.11199999999999999</v>
      </c>
      <c r="AF122" s="30">
        <v>0.63871248368856026</v>
      </c>
      <c r="AG122" s="30">
        <v>0.57388826984181052</v>
      </c>
      <c r="AH122" s="30">
        <v>0.696395424970774</v>
      </c>
      <c r="AI122" s="2">
        <f t="shared" si="110"/>
        <v>0.70933445034371423</v>
      </c>
      <c r="AJ122" s="30">
        <v>0.56241729813877883</v>
      </c>
      <c r="AK122" s="30">
        <v>0.27248689361507289</v>
      </c>
      <c r="AL122" s="30">
        <v>0.59098692795494612</v>
      </c>
      <c r="AM122" s="30">
        <f t="shared" si="94"/>
        <v>0.24391726379890566</v>
      </c>
      <c r="AN122" s="66">
        <v>0.3265481559488107</v>
      </c>
      <c r="AO122" s="30">
        <v>0.253</v>
      </c>
      <c r="AP122" s="30">
        <v>9.4E-2</v>
      </c>
      <c r="AQ122" s="30">
        <v>0.28299999999999997</v>
      </c>
      <c r="AR122" s="30">
        <f t="shared" si="95"/>
        <v>6.4000000000000001E-2</v>
      </c>
      <c r="AS122" s="66">
        <v>0.18099999999999999</v>
      </c>
      <c r="AT122" s="66">
        <v>0.13800000000000001</v>
      </c>
      <c r="AU122" s="66">
        <v>4.4999999999999998E-2</v>
      </c>
      <c r="AV122" s="66">
        <v>0.159</v>
      </c>
      <c r="AW122" s="30">
        <f t="shared" si="96"/>
        <v>2.3999999999999994E-2</v>
      </c>
      <c r="AX122" s="66">
        <v>0.78100000000000003</v>
      </c>
      <c r="AY122" s="66">
        <v>0.30199999999999999</v>
      </c>
      <c r="AZ122" s="66">
        <v>0.82399999999999995</v>
      </c>
      <c r="BA122" s="62">
        <f t="shared" si="97"/>
        <v>0.25900000000000001</v>
      </c>
      <c r="BB122" s="62">
        <f t="shared" si="107"/>
        <v>3.5449402571420999E-2</v>
      </c>
      <c r="BC122" s="29"/>
      <c r="BD122" s="29"/>
      <c r="BE122" s="29"/>
      <c r="BF122" s="29">
        <f t="shared" si="98"/>
        <v>877755</v>
      </c>
      <c r="BG122" s="29"/>
      <c r="BH122" s="29"/>
      <c r="BI122" s="30"/>
      <c r="BJ122" s="30"/>
      <c r="BK122" s="30"/>
      <c r="BL122" s="30"/>
      <c r="BM122" s="30"/>
      <c r="BN122" s="62"/>
      <c r="BO122" s="30"/>
      <c r="BP122" s="30"/>
      <c r="BQ122" s="30"/>
      <c r="BR122" s="30"/>
      <c r="BS122" s="30"/>
      <c r="BT122" s="30"/>
      <c r="BU122" s="30"/>
      <c r="BV122" s="62"/>
      <c r="BW122" s="30"/>
      <c r="BX122" s="30"/>
      <c r="BY122" s="51">
        <v>464655</v>
      </c>
      <c r="BZ122" s="51">
        <v>413100</v>
      </c>
      <c r="CA122" s="29">
        <f t="shared" si="99"/>
        <v>346244</v>
      </c>
      <c r="CB122" s="29">
        <f t="shared" si="100"/>
        <v>345578</v>
      </c>
      <c r="CC122" s="29">
        <v>25949</v>
      </c>
      <c r="CD122" s="29">
        <v>22127</v>
      </c>
      <c r="CE122" s="29">
        <v>92462</v>
      </c>
      <c r="CF122" s="29">
        <v>45395</v>
      </c>
      <c r="CG122" s="15">
        <f t="shared" si="101"/>
        <v>0.39446542600156081</v>
      </c>
      <c r="CH122" s="15">
        <f t="shared" si="102"/>
        <v>0.39370667213516303</v>
      </c>
      <c r="CI122" s="15">
        <f t="shared" si="103"/>
        <v>2.95629190377725E-2</v>
      </c>
      <c r="CJ122" s="15">
        <f t="shared" si="104"/>
        <v>2.5208628831507655E-2</v>
      </c>
      <c r="CK122" s="15">
        <f t="shared" si="105"/>
        <v>0.10533918918149142</v>
      </c>
      <c r="CL122" s="15">
        <f t="shared" si="106"/>
        <v>5.1717164812504629E-2</v>
      </c>
    </row>
    <row r="123" spans="2:90">
      <c r="B123" t="str">
        <f t="shared" si="61"/>
        <v>2021</v>
      </c>
      <c r="C123" s="54">
        <v>202115</v>
      </c>
      <c r="D123" s="54"/>
      <c r="E123" s="54"/>
      <c r="F123" s="54"/>
      <c r="G123" s="29">
        <f t="shared" si="86"/>
        <v>847712</v>
      </c>
      <c r="H123" s="51">
        <v>438959</v>
      </c>
      <c r="I123" s="51">
        <v>408753</v>
      </c>
      <c r="J123" s="29">
        <v>678876</v>
      </c>
      <c r="K123" s="29">
        <v>46239</v>
      </c>
      <c r="L123" s="29">
        <v>122594</v>
      </c>
      <c r="M123" s="29">
        <v>881231.25938678323</v>
      </c>
      <c r="N123" s="24"/>
      <c r="O123" s="29">
        <v>13163319.65692297</v>
      </c>
      <c r="P123" s="29">
        <v>24040617</v>
      </c>
      <c r="Q123" s="29">
        <v>1966777</v>
      </c>
      <c r="R123" s="29">
        <v>157701794.93000001</v>
      </c>
      <c r="S123" s="29">
        <v>73852824</v>
      </c>
      <c r="T123" s="62">
        <f t="shared" si="108"/>
        <v>2.6631033093602489E-2</v>
      </c>
      <c r="U123" s="25">
        <f t="shared" si="109"/>
        <v>80.182854960170886</v>
      </c>
      <c r="V123" s="30">
        <v>0.437</v>
      </c>
      <c r="W123" s="30">
        <v>0.374</v>
      </c>
      <c r="X123" s="30">
        <v>0.495</v>
      </c>
      <c r="Y123" s="29">
        <v>408753</v>
      </c>
      <c r="Z123" s="29">
        <v>438959</v>
      </c>
      <c r="AA123" s="2">
        <f t="shared" si="91"/>
        <v>0.48487414003812612</v>
      </c>
      <c r="AB123" s="30">
        <v>0.35799999999999998</v>
      </c>
      <c r="AC123" s="30">
        <v>0.14499999999999999</v>
      </c>
      <c r="AD123" s="30">
        <v>0.39200000000000002</v>
      </c>
      <c r="AE123" s="30">
        <f t="shared" si="92"/>
        <v>0.11099999999999999</v>
      </c>
      <c r="AF123" s="30">
        <v>0.62748345940207395</v>
      </c>
      <c r="AG123" s="30">
        <v>0.55012486358407642</v>
      </c>
      <c r="AH123" s="30">
        <v>0.69958199371618568</v>
      </c>
      <c r="AI123" s="2">
        <f t="shared" si="110"/>
        <v>0.69984375677617539</v>
      </c>
      <c r="AJ123" s="30">
        <v>0.55104243682344689</v>
      </c>
      <c r="AK123" s="30">
        <v>0.26977051697662507</v>
      </c>
      <c r="AL123" s="30">
        <v>0.57872187150467302</v>
      </c>
      <c r="AM123" s="30">
        <f t="shared" si="94"/>
        <v>0.24209108229539889</v>
      </c>
      <c r="AN123" s="66">
        <v>0.31621334053726141</v>
      </c>
      <c r="AO123" s="30">
        <v>0.23799999999999999</v>
      </c>
      <c r="AP123" s="30">
        <v>0.09</v>
      </c>
      <c r="AQ123" s="30">
        <v>0.26800000000000002</v>
      </c>
      <c r="AR123" s="30">
        <f t="shared" si="95"/>
        <v>5.9999999999999942E-2</v>
      </c>
      <c r="AS123" s="66">
        <v>0.17199999999999999</v>
      </c>
      <c r="AT123" s="66">
        <v>0.13</v>
      </c>
      <c r="AU123" s="66">
        <v>4.7899999999999998E-2</v>
      </c>
      <c r="AV123" s="66">
        <v>0.151</v>
      </c>
      <c r="AW123" s="30">
        <f t="shared" si="96"/>
        <v>2.6900000000000007E-2</v>
      </c>
      <c r="AX123" s="66">
        <v>0.76100000000000001</v>
      </c>
      <c r="AY123" s="66">
        <v>0.29899999999999999</v>
      </c>
      <c r="AZ123" s="66">
        <v>0.80600000000000005</v>
      </c>
      <c r="BA123" s="62">
        <f t="shared" si="97"/>
        <v>0.254</v>
      </c>
      <c r="BB123" s="62">
        <f t="shared" si="107"/>
        <v>3.5261657385914844E-2</v>
      </c>
      <c r="BC123" s="29"/>
      <c r="BD123" s="29"/>
      <c r="BE123" s="29"/>
      <c r="BF123" s="29">
        <f t="shared" si="98"/>
        <v>847712</v>
      </c>
      <c r="BG123" s="29"/>
      <c r="BH123" s="29"/>
      <c r="BI123" s="30"/>
      <c r="BJ123" s="30"/>
      <c r="BK123" s="30"/>
      <c r="BL123" s="30"/>
      <c r="BM123" s="30"/>
      <c r="BN123" s="62"/>
      <c r="BO123" s="30"/>
      <c r="BP123" s="30"/>
      <c r="BQ123" s="30"/>
      <c r="BR123" s="30"/>
      <c r="BS123" s="30"/>
      <c r="BT123" s="30"/>
      <c r="BU123" s="30"/>
      <c r="BV123" s="62"/>
      <c r="BW123" s="30"/>
      <c r="BX123" s="30"/>
      <c r="BY123" s="51">
        <v>438959</v>
      </c>
      <c r="BZ123" s="51">
        <v>408753</v>
      </c>
      <c r="CA123" s="29">
        <f t="shared" si="99"/>
        <v>324804</v>
      </c>
      <c r="CB123" s="29">
        <f t="shared" si="100"/>
        <v>354072</v>
      </c>
      <c r="CC123" s="29">
        <v>23703</v>
      </c>
      <c r="CD123" s="29">
        <v>22539</v>
      </c>
      <c r="CE123" s="29">
        <v>90452</v>
      </c>
      <c r="CF123" s="29">
        <v>32142</v>
      </c>
      <c r="CG123" s="15">
        <f t="shared" si="101"/>
        <v>0.3831537125816315</v>
      </c>
      <c r="CH123" s="15">
        <f t="shared" si="102"/>
        <v>0.41767958929447735</v>
      </c>
      <c r="CI123" s="15">
        <f t="shared" si="103"/>
        <v>2.7961147182061833E-2</v>
      </c>
      <c r="CJ123" s="15">
        <f t="shared" si="104"/>
        <v>2.6588039334113474E-2</v>
      </c>
      <c r="CK123" s="15">
        <f t="shared" si="105"/>
        <v>0.10670133252802838</v>
      </c>
      <c r="CL123" s="15">
        <f t="shared" si="106"/>
        <v>3.7916179079687438E-2</v>
      </c>
    </row>
    <row r="124" spans="2:90">
      <c r="B124" t="str">
        <f t="shared" si="61"/>
        <v>2021</v>
      </c>
      <c r="C124" s="54">
        <v>202116</v>
      </c>
      <c r="D124" s="54"/>
      <c r="E124" s="54"/>
      <c r="F124" s="54"/>
      <c r="G124" s="29">
        <f t="shared" si="86"/>
        <v>939905</v>
      </c>
      <c r="H124" s="51">
        <v>453327</v>
      </c>
      <c r="I124" s="51">
        <v>486578</v>
      </c>
      <c r="J124" s="29">
        <v>748189</v>
      </c>
      <c r="K124" s="29">
        <v>47316</v>
      </c>
      <c r="L124" s="29">
        <v>144400</v>
      </c>
      <c r="M124" s="29">
        <v>881542.25938678323</v>
      </c>
      <c r="N124" s="24"/>
      <c r="O124" s="29">
        <v>14044861.91630975</v>
      </c>
      <c r="P124" s="29">
        <v>24851970</v>
      </c>
      <c r="Q124" s="29">
        <v>1993786</v>
      </c>
      <c r="R124" s="29">
        <v>161992416.19999999</v>
      </c>
      <c r="S124" s="29">
        <v>70595537</v>
      </c>
      <c r="T124" s="62">
        <f t="shared" si="108"/>
        <v>2.8242380251318155E-2</v>
      </c>
      <c r="U124" s="25">
        <f t="shared" si="109"/>
        <v>81.248647648243079</v>
      </c>
      <c r="V124" s="30">
        <v>0.40831860391846941</v>
      </c>
      <c r="W124" s="30">
        <v>0.3368461446414498</v>
      </c>
      <c r="X124" s="30">
        <v>0.48516974943173391</v>
      </c>
      <c r="Y124" s="29">
        <v>484702</v>
      </c>
      <c r="Z124" s="29">
        <v>451813</v>
      </c>
      <c r="AA124" s="15">
        <f t="shared" si="91"/>
        <v>0.46015942083148692</v>
      </c>
      <c r="AB124" s="30">
        <v>0.33239999999999997</v>
      </c>
      <c r="AC124" s="30">
        <v>0.13391681396081531</v>
      </c>
      <c r="AD124" s="30">
        <v>0.36343829932662991</v>
      </c>
      <c r="AE124" s="30">
        <f t="shared" si="92"/>
        <v>0.10287851463418535</v>
      </c>
      <c r="AF124" s="30">
        <v>0.59150443385323315</v>
      </c>
      <c r="AG124" s="30">
        <v>0.4935165413301148</v>
      </c>
      <c r="AH124" s="30">
        <v>0.6968028584331748</v>
      </c>
      <c r="AI124" s="2">
        <f t="shared" si="110"/>
        <v>0.66922403217573379</v>
      </c>
      <c r="AJ124" s="30">
        <v>0.51962495433697287</v>
      </c>
      <c r="AK124" s="30">
        <v>0.25116053518135972</v>
      </c>
      <c r="AL124" s="30">
        <v>0.54478715154570678</v>
      </c>
      <c r="AM124" s="30">
        <f t="shared" si="94"/>
        <v>0.22599833797262581</v>
      </c>
      <c r="AN124" s="66">
        <v>0.29861483476927092</v>
      </c>
      <c r="AO124" s="30">
        <v>0.22600000000000001</v>
      </c>
      <c r="AP124" s="30">
        <v>8.3000000000000004E-2</v>
      </c>
      <c r="AQ124" s="30">
        <v>0.252</v>
      </c>
      <c r="AR124" s="30">
        <f t="shared" si="95"/>
        <v>5.6999999999999995E-2</v>
      </c>
      <c r="AS124" s="66">
        <v>0.16400000000000001</v>
      </c>
      <c r="AT124" s="66">
        <v>0.124</v>
      </c>
      <c r="AU124" s="66">
        <v>4.3400000000000001E-2</v>
      </c>
      <c r="AV124" s="66">
        <v>0.14199999999999999</v>
      </c>
      <c r="AW124" s="30">
        <f t="shared" si="96"/>
        <v>2.5400000000000006E-2</v>
      </c>
      <c r="AX124" s="66">
        <v>0.71</v>
      </c>
      <c r="AY124" s="66">
        <v>0.28100000000000003</v>
      </c>
      <c r="AZ124" s="66">
        <v>0.752</v>
      </c>
      <c r="BA124" s="62">
        <f t="shared" si="97"/>
        <v>0.23899999999999999</v>
      </c>
      <c r="BB124" s="62">
        <f t="shared" si="107"/>
        <v>3.7820140616619126E-2</v>
      </c>
      <c r="BC124" s="29"/>
      <c r="BD124" s="29"/>
      <c r="BE124" s="29"/>
      <c r="BF124" s="29">
        <f t="shared" si="98"/>
        <v>939905</v>
      </c>
      <c r="BG124" s="29"/>
      <c r="BH124" s="29"/>
      <c r="BI124" s="30"/>
      <c r="BJ124" s="30"/>
      <c r="BK124" s="30"/>
      <c r="BL124" s="30"/>
      <c r="BM124" s="30"/>
      <c r="BN124" s="62"/>
      <c r="BO124" s="30"/>
      <c r="BP124" s="30"/>
      <c r="BQ124" s="30"/>
      <c r="BR124" s="30"/>
      <c r="BS124" s="30"/>
      <c r="BT124" s="30"/>
      <c r="BU124" s="30"/>
      <c r="BV124" s="62"/>
      <c r="BW124" s="30"/>
      <c r="BX124" s="30"/>
      <c r="BY124" s="51">
        <v>453327</v>
      </c>
      <c r="BZ124" s="51">
        <v>486578</v>
      </c>
      <c r="CA124" s="29">
        <f t="shared" si="99"/>
        <v>330050</v>
      </c>
      <c r="CB124" s="29">
        <f t="shared" si="100"/>
        <v>418136</v>
      </c>
      <c r="CC124" s="29">
        <v>24493</v>
      </c>
      <c r="CD124" s="29">
        <v>22826</v>
      </c>
      <c r="CE124" s="29">
        <v>98784</v>
      </c>
      <c r="CF124" s="29">
        <v>45616</v>
      </c>
      <c r="CG124" s="15">
        <f t="shared" si="101"/>
        <v>0.35115251009410525</v>
      </c>
      <c r="CH124" s="15">
        <f t="shared" si="102"/>
        <v>0.44487049223059777</v>
      </c>
      <c r="CI124" s="15">
        <f t="shared" si="103"/>
        <v>2.6059016602741767E-2</v>
      </c>
      <c r="CJ124" s="15">
        <f t="shared" si="104"/>
        <v>2.4285433102281612E-2</v>
      </c>
      <c r="CK124" s="15">
        <f t="shared" si="105"/>
        <v>0.10509998350897165</v>
      </c>
      <c r="CL124" s="15">
        <f t="shared" si="106"/>
        <v>4.8532564461301941E-2</v>
      </c>
    </row>
    <row r="125" spans="2:90">
      <c r="B125" t="str">
        <f t="shared" si="61"/>
        <v>2021</v>
      </c>
      <c r="C125" s="54">
        <v>202117</v>
      </c>
      <c r="D125" s="54"/>
      <c r="E125" s="54"/>
      <c r="F125" s="54"/>
      <c r="G125" s="29">
        <f t="shared" si="86"/>
        <v>909353</v>
      </c>
      <c r="H125" s="51">
        <v>447385</v>
      </c>
      <c r="I125" s="51">
        <v>461968</v>
      </c>
      <c r="J125" s="29">
        <v>721953</v>
      </c>
      <c r="K125" s="29">
        <v>48050</v>
      </c>
      <c r="L125" s="29">
        <v>139350</v>
      </c>
      <c r="M125" s="29">
        <v>899899.25938678323</v>
      </c>
      <c r="N125" s="24"/>
      <c r="O125" s="29">
        <v>14944761.175696541</v>
      </c>
      <c r="P125" s="29">
        <v>24883278</v>
      </c>
      <c r="Q125" s="29">
        <v>2045865</v>
      </c>
      <c r="R125" s="29">
        <v>163929948.19999999</v>
      </c>
      <c r="S125" s="29">
        <v>71008762</v>
      </c>
      <c r="T125" s="62">
        <f t="shared" si="108"/>
        <v>2.881144442428105E-2</v>
      </c>
      <c r="U125" s="25">
        <f t="shared" si="109"/>
        <v>80.12745132254571</v>
      </c>
      <c r="V125" s="30">
        <v>0.42124633075106488</v>
      </c>
      <c r="W125" s="30">
        <v>0.35894700709121252</v>
      </c>
      <c r="X125" s="30">
        <v>0.48566137483101018</v>
      </c>
      <c r="Y125" s="29">
        <v>460288</v>
      </c>
      <c r="Z125" s="29">
        <v>446033</v>
      </c>
      <c r="AA125" s="15">
        <f t="shared" si="91"/>
        <v>0.47209410352402736</v>
      </c>
      <c r="AB125" s="30">
        <v>0.34332582930543598</v>
      </c>
      <c r="AC125" s="30">
        <v>0.1400891655079565</v>
      </c>
      <c r="AD125" s="30">
        <v>0.37586020437440693</v>
      </c>
      <c r="AE125" s="30">
        <f t="shared" si="92"/>
        <v>0.10755479043898553</v>
      </c>
      <c r="AF125" s="30">
        <v>0.61828161111098845</v>
      </c>
      <c r="AG125" s="30">
        <v>0.5278987207564223</v>
      </c>
      <c r="AH125" s="30">
        <v>0.71168896403568171</v>
      </c>
      <c r="AI125" s="15">
        <f t="shared" si="110"/>
        <v>0.69452810877741922</v>
      </c>
      <c r="AJ125" s="30">
        <v>0.54785124131126262</v>
      </c>
      <c r="AK125" s="30">
        <v>0.26527661584578471</v>
      </c>
      <c r="AL125" s="30">
        <v>0.57215321756443849</v>
      </c>
      <c r="AM125" s="30">
        <f t="shared" si="94"/>
        <v>0.24097463959260879</v>
      </c>
      <c r="AN125" s="66">
        <v>0.30613271998039859</v>
      </c>
      <c r="AO125" s="30">
        <v>0.2185454577553371</v>
      </c>
      <c r="AP125" s="30">
        <v>8.1495809297665658E-2</v>
      </c>
      <c r="AQ125" s="30">
        <v>0.24516160354499431</v>
      </c>
      <c r="AR125" s="30">
        <f t="shared" si="95"/>
        <v>5.4879663508008464E-2</v>
      </c>
      <c r="AS125" s="66">
        <v>0.16677516738534601</v>
      </c>
      <c r="AT125" s="66">
        <v>0.1247235990166525</v>
      </c>
      <c r="AU125" s="66">
        <v>4.5269074426343828E-2</v>
      </c>
      <c r="AV125" s="66">
        <v>0.1444986825438159</v>
      </c>
      <c r="AW125" s="30">
        <f t="shared" si="96"/>
        <v>2.5493990899180446E-2</v>
      </c>
      <c r="AX125" s="66">
        <v>0.72402272115388855</v>
      </c>
      <c r="AY125" s="66">
        <v>0.28889143896227698</v>
      </c>
      <c r="AZ125" s="66">
        <v>0.76976294615863317</v>
      </c>
      <c r="BA125" s="62">
        <f t="shared" si="97"/>
        <v>0.24315121395753236</v>
      </c>
      <c r="BB125" s="62">
        <f t="shared" si="107"/>
        <v>3.6544743019790236E-2</v>
      </c>
      <c r="BC125" s="29"/>
      <c r="BD125" s="29"/>
      <c r="BE125" s="29"/>
      <c r="BF125" s="29">
        <f t="shared" si="98"/>
        <v>909353</v>
      </c>
      <c r="BG125" s="29"/>
      <c r="BH125" s="29"/>
      <c r="BI125" s="30"/>
      <c r="BJ125" s="30"/>
      <c r="BK125" s="30"/>
      <c r="BL125" s="30"/>
      <c r="BM125" s="30"/>
      <c r="BN125" s="62"/>
      <c r="BO125" s="30"/>
      <c r="BP125" s="30"/>
      <c r="BQ125" s="30"/>
      <c r="BR125" s="30"/>
      <c r="BS125" s="30"/>
      <c r="BT125" s="30"/>
      <c r="BU125" s="30"/>
      <c r="BV125" s="62"/>
      <c r="BW125" s="30"/>
      <c r="BX125" s="30"/>
      <c r="BY125" s="51">
        <v>447385</v>
      </c>
      <c r="BZ125" s="51">
        <v>461968</v>
      </c>
      <c r="CA125" s="29">
        <f t="shared" si="99"/>
        <v>329957</v>
      </c>
      <c r="CB125" s="29">
        <f t="shared" si="100"/>
        <v>391996</v>
      </c>
      <c r="CC125" s="29">
        <v>25011</v>
      </c>
      <c r="CD125" s="29">
        <v>23039</v>
      </c>
      <c r="CE125" s="29">
        <v>92417</v>
      </c>
      <c r="CF125" s="29">
        <v>46933</v>
      </c>
      <c r="CG125" s="15">
        <f t="shared" si="101"/>
        <v>0.36284809089539488</v>
      </c>
      <c r="CH125" s="15">
        <f t="shared" si="102"/>
        <v>0.43107132213782767</v>
      </c>
      <c r="CI125" s="15">
        <f t="shared" si="103"/>
        <v>2.7504170547631119E-2</v>
      </c>
      <c r="CJ125" s="15">
        <f t="shared" si="104"/>
        <v>2.5335595747745923E-2</v>
      </c>
      <c r="CK125" s="15">
        <f t="shared" si="105"/>
        <v>0.10162940024390968</v>
      </c>
      <c r="CL125" s="15">
        <f t="shared" si="106"/>
        <v>5.1611420427490756E-2</v>
      </c>
    </row>
    <row r="126" spans="2:90">
      <c r="B126" t="str">
        <f t="shared" si="61"/>
        <v>2021</v>
      </c>
      <c r="C126" s="54">
        <v>202118</v>
      </c>
      <c r="D126" s="54"/>
      <c r="E126" s="54"/>
      <c r="F126" s="54"/>
      <c r="G126" s="29">
        <f t="shared" si="86"/>
        <v>894281</v>
      </c>
      <c r="H126" s="51">
        <v>448384</v>
      </c>
      <c r="I126" s="51">
        <v>445897</v>
      </c>
      <c r="J126" s="29">
        <v>728976</v>
      </c>
      <c r="K126" s="29">
        <v>44346</v>
      </c>
      <c r="L126" s="29">
        <v>120959</v>
      </c>
      <c r="M126" s="29">
        <v>910008.88863310509</v>
      </c>
      <c r="N126" s="27"/>
      <c r="O126" s="29">
        <v>15854770.064329639</v>
      </c>
      <c r="P126" s="29">
        <v>24913575</v>
      </c>
      <c r="Q126" s="29">
        <v>2034998</v>
      </c>
      <c r="R126" s="29">
        <v>163425947.72999999</v>
      </c>
      <c r="S126" s="29">
        <v>70744994</v>
      </c>
      <c r="T126" s="62">
        <f t="shared" si="108"/>
        <v>2.8765257934716907E-2</v>
      </c>
      <c r="U126" s="25">
        <f t="shared" si="109"/>
        <v>80.307669948569966</v>
      </c>
      <c r="V126" s="30">
        <v>0.42823572958846029</v>
      </c>
      <c r="W126" s="30">
        <v>0.36998442900345618</v>
      </c>
      <c r="X126" s="30">
        <v>0.48624357787704398</v>
      </c>
      <c r="Y126" s="29">
        <v>444416</v>
      </c>
      <c r="Z126" s="29">
        <v>447282</v>
      </c>
      <c r="AA126" s="15">
        <f t="shared" si="91"/>
        <v>0.47814013264580607</v>
      </c>
      <c r="AB126" s="30">
        <v>0.34736537484394819</v>
      </c>
      <c r="AC126" s="30">
        <v>0.14562589522966671</v>
      </c>
      <c r="AD126" s="30">
        <v>0.38153960046212693</v>
      </c>
      <c r="AE126" s="30">
        <f t="shared" si="92"/>
        <v>0.11145166961148795</v>
      </c>
      <c r="AF126" s="30">
        <v>0.629772812177115</v>
      </c>
      <c r="AG126" s="30">
        <v>0.54323460118226552</v>
      </c>
      <c r="AH126" s="30">
        <v>0.71591053941574667</v>
      </c>
      <c r="AI126" s="15">
        <f t="shared" si="110"/>
        <v>0.704609011582365</v>
      </c>
      <c r="AJ126" s="30">
        <v>0.55813645629178221</v>
      </c>
      <c r="AK126" s="30">
        <v>0.2738605550737791</v>
      </c>
      <c r="AL126" s="30">
        <v>0.58281064016684303</v>
      </c>
      <c r="AM126" s="30">
        <f t="shared" si="94"/>
        <v>0.24918637119871823</v>
      </c>
      <c r="AN126" s="66">
        <v>0.31200042181927512</v>
      </c>
      <c r="AO126" s="30">
        <v>0.2207986362285439</v>
      </c>
      <c r="AP126" s="30">
        <v>8.3683528758642739E-2</v>
      </c>
      <c r="AQ126" s="30">
        <v>0.24856641376332511</v>
      </c>
      <c r="AR126" s="30">
        <f t="shared" si="95"/>
        <v>5.5915751223861498E-2</v>
      </c>
      <c r="AS126" s="66">
        <v>0.17193726202692769</v>
      </c>
      <c r="AT126" s="66">
        <v>0.128404241598394</v>
      </c>
      <c r="AU126" s="66">
        <v>4.7192548603984773E-2</v>
      </c>
      <c r="AV126" s="66">
        <v>0.1489011882531725</v>
      </c>
      <c r="AW126" s="30">
        <f t="shared" si="96"/>
        <v>2.6695601949206282E-2</v>
      </c>
      <c r="AX126" s="66">
        <v>0.73301257787572405</v>
      </c>
      <c r="AY126" s="66">
        <v>0.29691188757857673</v>
      </c>
      <c r="AZ126" s="66">
        <v>0.78108440018168668</v>
      </c>
      <c r="BA126" s="62">
        <f t="shared" si="97"/>
        <v>0.24884006527261404</v>
      </c>
      <c r="BB126" s="62">
        <f t="shared" si="107"/>
        <v>3.5895330156350505E-2</v>
      </c>
      <c r="BC126" s="29"/>
      <c r="BD126" s="29"/>
      <c r="BE126" s="29"/>
      <c r="BF126" s="29">
        <f t="shared" si="98"/>
        <v>894281</v>
      </c>
      <c r="BG126" s="29"/>
      <c r="BH126" s="29"/>
      <c r="BI126" s="30"/>
      <c r="BJ126" s="30"/>
      <c r="BK126" s="30"/>
      <c r="BL126" s="30"/>
      <c r="BM126" s="30"/>
      <c r="BN126" s="62"/>
      <c r="BO126" s="30"/>
      <c r="BP126" s="30"/>
      <c r="BQ126" s="30"/>
      <c r="BR126" s="30"/>
      <c r="BS126" s="30"/>
      <c r="BT126" s="30"/>
      <c r="BU126" s="30"/>
      <c r="BV126" s="62"/>
      <c r="BW126" s="30"/>
      <c r="BX126" s="30"/>
      <c r="BY126" s="51">
        <v>448384</v>
      </c>
      <c r="BZ126" s="51">
        <v>445897</v>
      </c>
      <c r="CA126" s="29">
        <f t="shared" si="99"/>
        <v>330777</v>
      </c>
      <c r="CB126" s="29">
        <f t="shared" si="100"/>
        <v>398199</v>
      </c>
      <c r="CC126" s="29">
        <v>23947</v>
      </c>
      <c r="CD126" s="29">
        <v>20399</v>
      </c>
      <c r="CE126" s="29">
        <v>93660</v>
      </c>
      <c r="CF126" s="29">
        <v>27299</v>
      </c>
      <c r="CG126" s="15">
        <f t="shared" si="101"/>
        <v>0.36988038435346382</v>
      </c>
      <c r="CH126" s="15">
        <f t="shared" si="102"/>
        <v>0.44527279456904484</v>
      </c>
      <c r="CI126" s="15">
        <f t="shared" si="103"/>
        <v>2.6777936688803631E-2</v>
      </c>
      <c r="CJ126" s="15">
        <f t="shared" si="104"/>
        <v>2.2810503633645354E-2</v>
      </c>
      <c r="CK126" s="15">
        <f t="shared" si="105"/>
        <v>0.10473218149552546</v>
      </c>
      <c r="CL126" s="15">
        <f t="shared" si="106"/>
        <v>3.0526199259516863E-2</v>
      </c>
    </row>
    <row r="127" spans="2:90">
      <c r="B127" t="str">
        <f t="shared" si="61"/>
        <v>2021</v>
      </c>
      <c r="C127" s="54">
        <v>202119</v>
      </c>
      <c r="D127" s="54"/>
      <c r="E127" s="54"/>
      <c r="F127" s="54"/>
      <c r="G127" s="29">
        <f t="shared" si="86"/>
        <v>951395</v>
      </c>
      <c r="H127" s="51">
        <v>454076</v>
      </c>
      <c r="I127" s="51">
        <v>497319</v>
      </c>
      <c r="J127" s="29">
        <v>788147</v>
      </c>
      <c r="K127" s="29">
        <v>48667</v>
      </c>
      <c r="L127" s="29">
        <v>114581</v>
      </c>
      <c r="M127" s="29">
        <v>895863.18064331566</v>
      </c>
      <c r="N127" s="24"/>
      <c r="O127" s="29">
        <v>16750633.244972959</v>
      </c>
      <c r="P127" s="29">
        <v>24857578</v>
      </c>
      <c r="Q127" s="29">
        <v>2115325</v>
      </c>
      <c r="R127" s="29">
        <v>168557502.53999999</v>
      </c>
      <c r="S127" s="29">
        <v>71790219</v>
      </c>
      <c r="T127" s="62">
        <f t="shared" si="108"/>
        <v>2.9465364912732751E-2</v>
      </c>
      <c r="U127" s="25">
        <f t="shared" si="109"/>
        <v>79.683974112724997</v>
      </c>
      <c r="V127" s="30">
        <v>0.44689539462493172</v>
      </c>
      <c r="W127" s="30">
        <v>0.39528197865560671</v>
      </c>
      <c r="X127" s="30">
        <v>0.50344044048247949</v>
      </c>
      <c r="Y127" s="29">
        <v>494275</v>
      </c>
      <c r="Z127" s="29">
        <v>452413</v>
      </c>
      <c r="AA127" s="15">
        <f t="shared" si="91"/>
        <v>0.49918082831936184</v>
      </c>
      <c r="AB127" s="30">
        <v>0.36176848769283271</v>
      </c>
      <c r="AC127" s="30">
        <v>0.1575361787505507</v>
      </c>
      <c r="AD127" s="30">
        <v>0.39954103674558711</v>
      </c>
      <c r="AE127" s="30">
        <f t="shared" si="92"/>
        <v>0.11976362969779625</v>
      </c>
      <c r="AF127" s="30">
        <v>0.64163378567156482</v>
      </c>
      <c r="AG127" s="30">
        <v>0.56250341424331263</v>
      </c>
      <c r="AH127" s="30">
        <v>0.72826418581617358</v>
      </c>
      <c r="AI127" s="15">
        <f t="shared" si="110"/>
        <v>0.72003533389328478</v>
      </c>
      <c r="AJ127" s="30">
        <v>0.56962493474874831</v>
      </c>
      <c r="AK127" s="30">
        <v>0.28861236212701119</v>
      </c>
      <c r="AL127" s="30">
        <v>0.59542638919122259</v>
      </c>
      <c r="AM127" s="30">
        <f t="shared" si="94"/>
        <v>0.26281090768453685</v>
      </c>
      <c r="AN127" s="66">
        <v>0.32652571691840793</v>
      </c>
      <c r="AO127" s="30">
        <v>0.22748049670675599</v>
      </c>
      <c r="AP127" s="30">
        <v>9.1104808083368988E-2</v>
      </c>
      <c r="AQ127" s="30">
        <v>0.25938825418455902</v>
      </c>
      <c r="AR127" s="30">
        <f t="shared" si="95"/>
        <v>5.919705060556596E-2</v>
      </c>
      <c r="AS127" s="66">
        <v>0.1818599565830547</v>
      </c>
      <c r="AT127" s="66">
        <v>0.13081388285875761</v>
      </c>
      <c r="AU127" s="66">
        <v>5.1360872986948497E-2</v>
      </c>
      <c r="AV127" s="66">
        <v>0.15460974926978191</v>
      </c>
      <c r="AW127" s="30">
        <f t="shared" si="96"/>
        <v>2.75650065759242E-2</v>
      </c>
      <c r="AX127" s="66">
        <v>0.72531651586936885</v>
      </c>
      <c r="AY127" s="66">
        <v>0.3176123849213266</v>
      </c>
      <c r="AZ127" s="66">
        <v>0.78242511633311673</v>
      </c>
      <c r="BA127" s="62">
        <f t="shared" si="97"/>
        <v>0.26050378445757871</v>
      </c>
      <c r="BB127" s="62">
        <f t="shared" si="107"/>
        <v>3.827384148206233E-2</v>
      </c>
      <c r="BC127" s="29"/>
      <c r="BD127" s="29"/>
      <c r="BE127" s="29"/>
      <c r="BF127" s="29">
        <f t="shared" si="98"/>
        <v>951395</v>
      </c>
      <c r="BG127" s="29"/>
      <c r="BH127" s="29"/>
      <c r="BI127" s="30"/>
      <c r="BJ127" s="30"/>
      <c r="BK127" s="30"/>
      <c r="BL127" s="30"/>
      <c r="BM127" s="30"/>
      <c r="BN127" s="62"/>
      <c r="BO127" s="30"/>
      <c r="BP127" s="30"/>
      <c r="BQ127" s="30"/>
      <c r="BR127" s="30"/>
      <c r="BS127" s="30"/>
      <c r="BT127" s="30"/>
      <c r="BU127" s="30"/>
      <c r="BV127" s="62"/>
      <c r="BW127" s="30"/>
      <c r="BX127" s="30"/>
      <c r="BY127" s="51">
        <v>454076</v>
      </c>
      <c r="BZ127" s="51">
        <v>497319</v>
      </c>
      <c r="CA127" s="29">
        <f t="shared" si="99"/>
        <v>332039</v>
      </c>
      <c r="CB127" s="29">
        <f t="shared" si="100"/>
        <v>456107</v>
      </c>
      <c r="CC127" s="29">
        <v>25366</v>
      </c>
      <c r="CD127" s="29">
        <v>23302</v>
      </c>
      <c r="CE127" s="29">
        <v>96671</v>
      </c>
      <c r="CF127" s="29">
        <v>17910</v>
      </c>
      <c r="CG127" s="15">
        <f t="shared" si="101"/>
        <v>0.34900225458405815</v>
      </c>
      <c r="CH127" s="15">
        <f t="shared" si="102"/>
        <v>0.4794086578130009</v>
      </c>
      <c r="CI127" s="15">
        <f t="shared" si="103"/>
        <v>2.6661901733769887E-2</v>
      </c>
      <c r="CJ127" s="15">
        <f t="shared" si="104"/>
        <v>2.4492455814882356E-2</v>
      </c>
      <c r="CK127" s="15">
        <f t="shared" si="105"/>
        <v>0.10160974148487222</v>
      </c>
      <c r="CL127" s="15">
        <f t="shared" si="106"/>
        <v>1.8824988569416487E-2</v>
      </c>
    </row>
    <row r="128" spans="2:90">
      <c r="B128" t="str">
        <f t="shared" si="61"/>
        <v>2021</v>
      </c>
      <c r="C128" s="54">
        <v>202120</v>
      </c>
      <c r="D128" s="54"/>
      <c r="E128" s="54"/>
      <c r="F128" s="54"/>
      <c r="G128" s="29">
        <f t="shared" si="86"/>
        <v>1021303</v>
      </c>
      <c r="H128" s="51">
        <v>478926</v>
      </c>
      <c r="I128" s="51">
        <v>542377</v>
      </c>
      <c r="J128" s="29">
        <v>839201</v>
      </c>
      <c r="K128" s="29">
        <v>53412</v>
      </c>
      <c r="L128" s="29">
        <v>128690</v>
      </c>
      <c r="M128" s="29">
        <v>891502.18064331566</v>
      </c>
      <c r="N128" s="24"/>
      <c r="O128" s="29">
        <v>17642135.425616279</v>
      </c>
      <c r="P128" s="29">
        <v>25845018</v>
      </c>
      <c r="Q128" s="29">
        <v>2155205</v>
      </c>
      <c r="R128" s="29">
        <v>176152657.59</v>
      </c>
      <c r="S128" s="29">
        <v>75125742</v>
      </c>
      <c r="T128" s="62">
        <f t="shared" si="108"/>
        <v>2.8687969564413753E-2</v>
      </c>
      <c r="U128" s="25">
        <f t="shared" si="109"/>
        <v>81.733597309768683</v>
      </c>
      <c r="V128" s="30">
        <v>0.46091336115934661</v>
      </c>
      <c r="W128" s="30">
        <v>0.42799999999999999</v>
      </c>
      <c r="X128" s="30">
        <v>0.54559376712930607</v>
      </c>
      <c r="Y128" s="29">
        <v>542377</v>
      </c>
      <c r="Z128" s="29">
        <v>477982</v>
      </c>
      <c r="AA128" s="15">
        <f t="shared" si="91"/>
        <v>0.53624171100563622</v>
      </c>
      <c r="AB128" s="30">
        <v>0.38204381008278637</v>
      </c>
      <c r="AC128" s="30">
        <v>0.15747461172244021</v>
      </c>
      <c r="AD128" s="30">
        <v>0.41569858184530212</v>
      </c>
      <c r="AE128" s="30">
        <f t="shared" si="92"/>
        <v>0.12381983995992446</v>
      </c>
      <c r="AF128" s="30">
        <v>0.64569574041197964</v>
      </c>
      <c r="AG128" s="30">
        <v>0.56779559821847081</v>
      </c>
      <c r="AH128" s="30">
        <v>0.73733473953821238</v>
      </c>
      <c r="AI128" s="15">
        <f t="shared" si="110"/>
        <v>0.72694860989994048</v>
      </c>
      <c r="AJ128" s="30">
        <v>0.56023729844843317</v>
      </c>
      <c r="AK128" s="30">
        <v>0.25929823277737768</v>
      </c>
      <c r="AL128" s="30">
        <v>0.58676585551828642</v>
      </c>
      <c r="AM128" s="30">
        <f t="shared" si="94"/>
        <v>0.23276967570752438</v>
      </c>
      <c r="AN128" s="66">
        <v>0.34323071709419162</v>
      </c>
      <c r="AO128" s="30">
        <v>0.23195202906513859</v>
      </c>
      <c r="AP128" s="30">
        <v>8.9475474420360551E-2</v>
      </c>
      <c r="AQ128" s="30">
        <v>0.26162923259212739</v>
      </c>
      <c r="AR128" s="30">
        <f t="shared" si="95"/>
        <v>5.9798270893371752E-2</v>
      </c>
      <c r="AS128" s="66">
        <v>0.18397735640303961</v>
      </c>
      <c r="AT128" s="66">
        <v>0.13319652982578109</v>
      </c>
      <c r="AU128" s="66">
        <v>5.0314535933347539E-2</v>
      </c>
      <c r="AV128" s="66">
        <v>0.15584947128808349</v>
      </c>
      <c r="AW128" s="30">
        <f t="shared" si="96"/>
        <v>2.7661594471045131E-2</v>
      </c>
      <c r="AX128" s="66">
        <v>0.70144690267140619</v>
      </c>
      <c r="AY128" s="66">
        <v>0.31698419284061652</v>
      </c>
      <c r="AZ128" s="66">
        <v>0.76323274911507566</v>
      </c>
      <c r="BA128" s="62">
        <f t="shared" si="97"/>
        <v>0.25519834639694716</v>
      </c>
      <c r="BB128" s="62">
        <f t="shared" si="107"/>
        <v>3.9516436010994457E-2</v>
      </c>
      <c r="BC128" s="29" t="e">
        <f t="shared" ref="BC128:BC141" si="111">H128-BG128</f>
        <v>#REF!</v>
      </c>
      <c r="BD128" s="29" t="e">
        <f t="shared" ref="BD128:BD141" si="112">I128-BH128</f>
        <v>#REF!</v>
      </c>
      <c r="BE128" s="29"/>
      <c r="BF128" s="29" t="e">
        <f t="shared" ref="BF128:BF141" si="113">SUM(BC128:BD128)</f>
        <v>#REF!</v>
      </c>
      <c r="BG128" s="29" t="e">
        <f>SUM(#REF!)</f>
        <v>#REF!</v>
      </c>
      <c r="BH128" s="29" t="e">
        <f>SUM(#REF!)</f>
        <v>#REF!</v>
      </c>
      <c r="BI128" s="30"/>
      <c r="BJ128" s="30"/>
      <c r="BK128" s="30"/>
      <c r="BL128" s="30"/>
      <c r="BM128" s="30"/>
      <c r="BN128" s="62"/>
      <c r="BO128" s="30"/>
      <c r="BP128" s="30"/>
      <c r="BQ128" s="30"/>
      <c r="BR128" s="30"/>
      <c r="BS128" s="30"/>
      <c r="BT128" s="30"/>
      <c r="BU128" s="30"/>
      <c r="BV128" s="62"/>
      <c r="BW128" s="30"/>
      <c r="BX128" s="30"/>
      <c r="BY128" s="51">
        <v>478926</v>
      </c>
      <c r="BZ128" s="51">
        <v>542377</v>
      </c>
      <c r="CA128" s="29">
        <f t="shared" si="99"/>
        <v>337605</v>
      </c>
      <c r="CB128" s="29">
        <f t="shared" si="100"/>
        <v>501596</v>
      </c>
      <c r="CC128" s="29">
        <v>26692</v>
      </c>
      <c r="CD128" s="29">
        <v>26720</v>
      </c>
      <c r="CE128" s="29">
        <v>114629</v>
      </c>
      <c r="CF128" s="29">
        <v>14061</v>
      </c>
      <c r="CG128" s="15">
        <f t="shared" si="101"/>
        <v>0.33056301606868871</v>
      </c>
      <c r="CH128" s="15">
        <f t="shared" si="102"/>
        <v>0.49113338548892932</v>
      </c>
      <c r="CI128" s="15">
        <f t="shared" si="103"/>
        <v>2.6135240961790967E-2</v>
      </c>
      <c r="CJ128" s="15">
        <f t="shared" si="104"/>
        <v>2.6162656919640891E-2</v>
      </c>
      <c r="CK128" s="15">
        <f t="shared" si="105"/>
        <v>0.11223799401352978</v>
      </c>
      <c r="CL128" s="15">
        <f t="shared" si="106"/>
        <v>1.3767706547420305E-2</v>
      </c>
    </row>
    <row r="129" spans="2:90">
      <c r="B129" t="str">
        <f t="shared" si="61"/>
        <v>2021</v>
      </c>
      <c r="C129" s="54">
        <v>202121</v>
      </c>
      <c r="D129" s="54"/>
      <c r="E129" s="54"/>
      <c r="F129" s="54"/>
      <c r="G129" s="29">
        <f t="shared" si="86"/>
        <v>1057462</v>
      </c>
      <c r="H129" s="51">
        <v>523878</v>
      </c>
      <c r="I129" s="51">
        <v>533584</v>
      </c>
      <c r="J129" s="29">
        <v>834329</v>
      </c>
      <c r="K129" s="29">
        <v>53116</v>
      </c>
      <c r="L129" s="29">
        <v>170017</v>
      </c>
      <c r="M129" s="29">
        <v>893290.18064331566</v>
      </c>
      <c r="N129" s="26"/>
      <c r="O129" s="29">
        <v>18535425.606259588</v>
      </c>
      <c r="P129" s="29">
        <v>27864208</v>
      </c>
      <c r="Q129" s="29">
        <v>2294682</v>
      </c>
      <c r="R129" s="29">
        <v>185298137.49000001</v>
      </c>
      <c r="S129" s="29">
        <v>81065967</v>
      </c>
      <c r="T129" s="62">
        <f t="shared" si="108"/>
        <v>2.8306354502623771E-2</v>
      </c>
      <c r="U129" s="25">
        <f t="shared" si="109"/>
        <v>80.751118233376133</v>
      </c>
      <c r="V129" s="30">
        <v>0.45300000000000001</v>
      </c>
      <c r="W129" s="30">
        <v>0.39400000000000002</v>
      </c>
      <c r="X129" s="30">
        <v>0.51908281387429889</v>
      </c>
      <c r="Y129" s="29">
        <v>533584</v>
      </c>
      <c r="Z129" s="29">
        <v>521857</v>
      </c>
      <c r="AA129" s="15">
        <f t="shared" si="91"/>
        <v>0.50640205942350169</v>
      </c>
      <c r="AB129" s="30">
        <v>0.29374378270836038</v>
      </c>
      <c r="AC129" s="30">
        <v>0.1210594985799345</v>
      </c>
      <c r="AD129" s="30">
        <v>0.32012600377722988</v>
      </c>
      <c r="AE129" s="30">
        <f t="shared" si="92"/>
        <v>9.4677277511065028E-2</v>
      </c>
      <c r="AF129" s="30">
        <v>0.62800373751114724</v>
      </c>
      <c r="AG129" s="30">
        <v>0.54720968172302575</v>
      </c>
      <c r="AH129" s="30">
        <v>0.71464852173079685</v>
      </c>
      <c r="AI129" s="15">
        <f t="shared" si="110"/>
        <v>0.70583222029215031</v>
      </c>
      <c r="AJ129" s="30">
        <v>0.54363099763581124</v>
      </c>
      <c r="AK129" s="30">
        <v>0.24976779461839141</v>
      </c>
      <c r="AL129" s="30">
        <v>0.57072239719297724</v>
      </c>
      <c r="AM129" s="30">
        <f t="shared" si="94"/>
        <v>0.22267639506122539</v>
      </c>
      <c r="AN129" s="66">
        <v>0.34277959333730301</v>
      </c>
      <c r="AO129" s="30">
        <v>0.19733636628351159</v>
      </c>
      <c r="AP129" s="30">
        <v>6.9798216556102369E-2</v>
      </c>
      <c r="AQ129" s="30">
        <v>0.2187443240297875</v>
      </c>
      <c r="AR129" s="30">
        <f t="shared" si="95"/>
        <v>4.8390258809826447E-2</v>
      </c>
      <c r="AS129" s="66">
        <v>0.15370383183848099</v>
      </c>
      <c r="AT129" s="66">
        <v>0.1169048051502492</v>
      </c>
      <c r="AU129" s="66">
        <v>3.876165105504574E-2</v>
      </c>
      <c r="AV129" s="66">
        <v>0.13297554900146169</v>
      </c>
      <c r="AW129" s="30">
        <f t="shared" si="96"/>
        <v>2.2690907203833266E-2</v>
      </c>
      <c r="AX129" s="66">
        <v>0.56899817504043448</v>
      </c>
      <c r="AY129" s="66">
        <v>0.23861995000821659</v>
      </c>
      <c r="AZ129" s="66">
        <v>0.61680461977126022</v>
      </c>
      <c r="BA129" s="62">
        <f t="shared" si="97"/>
        <v>0.19081350527739083</v>
      </c>
      <c r="BB129" s="62">
        <f t="shared" si="107"/>
        <v>3.7950549321193697E-2</v>
      </c>
      <c r="BC129" s="29" t="e">
        <f t="shared" si="111"/>
        <v>#REF!</v>
      </c>
      <c r="BD129" s="29" t="e">
        <f t="shared" si="112"/>
        <v>#REF!</v>
      </c>
      <c r="BE129" s="29"/>
      <c r="BF129" s="29" t="e">
        <f t="shared" si="113"/>
        <v>#REF!</v>
      </c>
      <c r="BG129" s="29" t="e">
        <f>SUM(#REF!)</f>
        <v>#REF!</v>
      </c>
      <c r="BH129" s="29" t="e">
        <f>SUM(#REF!)</f>
        <v>#REF!</v>
      </c>
      <c r="BI129" s="30"/>
      <c r="BJ129" s="30"/>
      <c r="BK129" s="30"/>
      <c r="BL129" s="30"/>
      <c r="BM129" s="30"/>
      <c r="BN129" s="62"/>
      <c r="BO129" s="30"/>
      <c r="BP129" s="30"/>
      <c r="BQ129" s="30"/>
      <c r="BR129" s="30"/>
      <c r="BS129" s="30"/>
      <c r="BT129" s="30"/>
      <c r="BU129" s="30"/>
      <c r="BV129" s="62"/>
      <c r="BW129" s="30"/>
      <c r="BX129" s="30"/>
      <c r="BY129" s="51">
        <v>523878</v>
      </c>
      <c r="BZ129" s="51">
        <v>533584</v>
      </c>
      <c r="CA129" s="29">
        <f t="shared" si="99"/>
        <v>350128</v>
      </c>
      <c r="CB129" s="29">
        <f t="shared" si="100"/>
        <v>484199</v>
      </c>
      <c r="CC129" s="29">
        <v>26151</v>
      </c>
      <c r="CD129" s="29">
        <v>26967</v>
      </c>
      <c r="CE129" s="29">
        <v>147599</v>
      </c>
      <c r="CF129" s="29">
        <v>22418</v>
      </c>
      <c r="CG129" s="15">
        <f t="shared" si="101"/>
        <v>0.33110220509105764</v>
      </c>
      <c r="CH129" s="15">
        <f t="shared" si="102"/>
        <v>0.45788784845223751</v>
      </c>
      <c r="CI129" s="15">
        <f t="shared" si="103"/>
        <v>2.4729966656012226E-2</v>
      </c>
      <c r="CJ129" s="15">
        <f t="shared" si="104"/>
        <v>2.5501625590328543E-2</v>
      </c>
      <c r="CK129" s="15">
        <f t="shared" si="105"/>
        <v>0.13957853804675724</v>
      </c>
      <c r="CL129" s="15">
        <f t="shared" si="106"/>
        <v>2.1199816163606826E-2</v>
      </c>
    </row>
    <row r="130" spans="2:90">
      <c r="B130" t="str">
        <f t="shared" si="61"/>
        <v>2021</v>
      </c>
      <c r="C130" s="54">
        <v>202122</v>
      </c>
      <c r="D130" s="54"/>
      <c r="E130" s="54"/>
      <c r="F130" s="54"/>
      <c r="G130" s="29">
        <f t="shared" si="86"/>
        <v>972605</v>
      </c>
      <c r="H130" s="51">
        <v>460417</v>
      </c>
      <c r="I130" s="51">
        <v>512188</v>
      </c>
      <c r="J130" s="29">
        <v>785205</v>
      </c>
      <c r="K130" s="29">
        <v>49055</v>
      </c>
      <c r="L130" s="29">
        <v>138345</v>
      </c>
      <c r="M130" s="29">
        <v>929969.49711402436</v>
      </c>
      <c r="N130" s="27"/>
      <c r="O130" s="29">
        <v>19465395.103373621</v>
      </c>
      <c r="P130" s="29">
        <v>25909879</v>
      </c>
      <c r="Q130" s="29">
        <v>2012460</v>
      </c>
      <c r="R130" s="29">
        <v>159762408.06</v>
      </c>
      <c r="S130" s="29">
        <v>74583757</v>
      </c>
      <c r="T130" s="62">
        <f t="shared" si="108"/>
        <v>2.6982550637667663E-2</v>
      </c>
      <c r="U130" s="25">
        <f t="shared" si="109"/>
        <v>79.386625354044298</v>
      </c>
      <c r="V130" s="30">
        <v>0.44593271408596957</v>
      </c>
      <c r="W130" s="30">
        <v>0.39668134113923081</v>
      </c>
      <c r="X130" s="30">
        <v>0.50211143669401859</v>
      </c>
      <c r="Y130" s="29">
        <v>520632</v>
      </c>
      <c r="Z130" s="29">
        <v>457982</v>
      </c>
      <c r="AA130" s="15">
        <f t="shared" si="91"/>
        <v>0.49922257396685521</v>
      </c>
      <c r="AB130" s="30">
        <v>0.35906671354630859</v>
      </c>
      <c r="AC130" s="30">
        <v>0.15860411777692379</v>
      </c>
      <c r="AD130" s="30">
        <v>0.39699016345186788</v>
      </c>
      <c r="AE130" s="30">
        <f t="shared" si="92"/>
        <v>0.12068066787136444</v>
      </c>
      <c r="AF130" s="30">
        <v>0.62860784933079406</v>
      </c>
      <c r="AG130" s="30">
        <v>0.56162060096389332</v>
      </c>
      <c r="AH130" s="30">
        <v>0.70494341584007059</v>
      </c>
      <c r="AI130" s="15">
        <f t="shared" si="110"/>
        <v>0.70849574213561306</v>
      </c>
      <c r="AJ130" s="30">
        <v>0.53791314890176223</v>
      </c>
      <c r="AK130" s="30">
        <v>0.25305622597109728</v>
      </c>
      <c r="AL130" s="30">
        <v>0.56736475069230841</v>
      </c>
      <c r="AM130" s="30">
        <f t="shared" si="94"/>
        <v>0.22360462418055105</v>
      </c>
      <c r="AN130" s="66">
        <v>0.32898168053327942</v>
      </c>
      <c r="AO130" s="30">
        <v>0.20213088979290281</v>
      </c>
      <c r="AP130" s="30">
        <v>8.1724353862857188E-2</v>
      </c>
      <c r="AQ130" s="30">
        <v>0.22967117622413541</v>
      </c>
      <c r="AR130" s="30">
        <f t="shared" si="95"/>
        <v>5.4184067431624572E-2</v>
      </c>
      <c r="AS130" s="66">
        <v>0.16467678501439359</v>
      </c>
      <c r="AT130" s="66">
        <v>0.11889103629720731</v>
      </c>
      <c r="AU130" s="66">
        <v>4.6431773233681577E-2</v>
      </c>
      <c r="AV130" s="66">
        <v>0.13956291981457211</v>
      </c>
      <c r="AW130" s="30">
        <f t="shared" si="96"/>
        <v>2.5759889716316764E-2</v>
      </c>
      <c r="AX130" s="66">
        <v>0.64489104530731212</v>
      </c>
      <c r="AY130" s="66">
        <v>0.29009654327328099</v>
      </c>
      <c r="AZ130" s="66">
        <v>0.70536236389110385</v>
      </c>
      <c r="BA130" s="62">
        <f t="shared" si="97"/>
        <v>0.22962522468948932</v>
      </c>
      <c r="BB130" s="62">
        <f t="shared" si="107"/>
        <v>3.7537998537160285E-2</v>
      </c>
      <c r="BC130" s="29" t="e">
        <f t="shared" si="111"/>
        <v>#REF!</v>
      </c>
      <c r="BD130" s="29" t="e">
        <f t="shared" si="112"/>
        <v>#REF!</v>
      </c>
      <c r="BE130" s="29"/>
      <c r="BF130" s="29" t="e">
        <f t="shared" si="113"/>
        <v>#REF!</v>
      </c>
      <c r="BG130" s="29" t="e">
        <f>SUM(#REF!)</f>
        <v>#REF!</v>
      </c>
      <c r="BH130" s="29" t="e">
        <f>SUM(#REF!)</f>
        <v>#REF!</v>
      </c>
      <c r="BI130" s="30"/>
      <c r="BJ130" s="30"/>
      <c r="BK130" s="30"/>
      <c r="BL130" s="30"/>
      <c r="BM130" s="30"/>
      <c r="BN130" s="62"/>
      <c r="BO130" s="30"/>
      <c r="BP130" s="30"/>
      <c r="BQ130" s="30"/>
      <c r="BR130" s="30"/>
      <c r="BS130" s="30"/>
      <c r="BT130" s="30"/>
      <c r="BU130" s="30"/>
      <c r="BV130" s="62"/>
      <c r="BW130" s="30"/>
      <c r="BX130" s="30"/>
      <c r="BY130" s="51">
        <v>460417</v>
      </c>
      <c r="BZ130" s="51">
        <v>512188</v>
      </c>
      <c r="CA130" s="29">
        <f t="shared" si="99"/>
        <v>312485</v>
      </c>
      <c r="CB130" s="29">
        <f t="shared" si="100"/>
        <v>472720</v>
      </c>
      <c r="CC130" s="29">
        <v>23533</v>
      </c>
      <c r="CD130" s="29">
        <v>25522</v>
      </c>
      <c r="CE130" s="29">
        <v>124399</v>
      </c>
      <c r="CF130" s="29">
        <v>13946</v>
      </c>
      <c r="CG130" s="15">
        <f t="shared" si="101"/>
        <v>0.32128664771412857</v>
      </c>
      <c r="CH130" s="15">
        <f t="shared" si="102"/>
        <v>0.48603492682024046</v>
      </c>
      <c r="CI130" s="15">
        <f t="shared" si="103"/>
        <v>2.4195845178669656E-2</v>
      </c>
      <c r="CJ130" s="15">
        <f t="shared" si="104"/>
        <v>2.6240868595164533E-2</v>
      </c>
      <c r="CK130" s="15">
        <f t="shared" si="105"/>
        <v>0.12790289994396492</v>
      </c>
      <c r="CL130" s="15">
        <f t="shared" si="106"/>
        <v>1.4338811747831854E-2</v>
      </c>
    </row>
    <row r="131" spans="2:90">
      <c r="B131" t="str">
        <f t="shared" si="61"/>
        <v>2021</v>
      </c>
      <c r="C131" s="54">
        <v>202123</v>
      </c>
      <c r="D131" s="54"/>
      <c r="E131" s="54"/>
      <c r="F131" s="54"/>
      <c r="G131" s="29">
        <f t="shared" ref="G131:G162" si="114">SUM(H131:I131)</f>
        <v>855968</v>
      </c>
      <c r="H131" s="51">
        <v>404997</v>
      </c>
      <c r="I131" s="51">
        <v>450971</v>
      </c>
      <c r="J131" s="29">
        <v>683555</v>
      </c>
      <c r="K131" s="29">
        <v>39786</v>
      </c>
      <c r="L131" s="29">
        <v>132627</v>
      </c>
      <c r="M131" s="29">
        <v>963216.18192583835</v>
      </c>
      <c r="N131" s="27"/>
      <c r="O131" s="29">
        <v>20428611.28529945</v>
      </c>
      <c r="P131" s="29">
        <v>24950992</v>
      </c>
      <c r="Q131" s="29">
        <v>1859893</v>
      </c>
      <c r="R131" s="29">
        <v>141441042.06</v>
      </c>
      <c r="S131" s="29">
        <v>69839266</v>
      </c>
      <c r="T131" s="62">
        <f t="shared" si="108"/>
        <v>2.6631050217509444E-2</v>
      </c>
      <c r="U131" s="25">
        <f t="shared" si="109"/>
        <v>76.047945801183189</v>
      </c>
      <c r="V131" s="30">
        <v>0.45611503643971768</v>
      </c>
      <c r="W131" s="30">
        <v>0.40463076840810652</v>
      </c>
      <c r="X131" s="30">
        <v>0.51451564948775708</v>
      </c>
      <c r="Y131" s="29">
        <v>448824</v>
      </c>
      <c r="Z131" s="29">
        <v>396882</v>
      </c>
      <c r="AA131" s="15">
        <f t="shared" si="91"/>
        <v>0.5092696516283437</v>
      </c>
      <c r="AB131" s="30">
        <v>0.35725470901448358</v>
      </c>
      <c r="AC131" s="30">
        <v>0.1321019602462904</v>
      </c>
      <c r="AD131" s="30">
        <v>0.39194990928509083</v>
      </c>
      <c r="AE131" s="30">
        <f t="shared" si="92"/>
        <v>9.7406759975683155E-2</v>
      </c>
      <c r="AF131" s="30">
        <v>0.63406379968677395</v>
      </c>
      <c r="AG131" s="30">
        <v>0.57452672953172068</v>
      </c>
      <c r="AH131" s="30">
        <v>0.7015830695724049</v>
      </c>
      <c r="AI131" s="15">
        <f t="shared" si="110"/>
        <v>0.71375948222358621</v>
      </c>
      <c r="AJ131" s="30">
        <v>0.54298813810332669</v>
      </c>
      <c r="AK131" s="30">
        <v>0.24607876072278551</v>
      </c>
      <c r="AL131" s="30">
        <v>0.57105545803386815</v>
      </c>
      <c r="AM131" s="30">
        <f t="shared" si="94"/>
        <v>0.2180114407922441</v>
      </c>
      <c r="AN131" s="66">
        <v>0.332238382958992</v>
      </c>
      <c r="AO131" s="30">
        <v>0.23949135124460011</v>
      </c>
      <c r="AP131" s="30">
        <v>8.9011167046864223E-2</v>
      </c>
      <c r="AQ131" s="30">
        <v>0.26793107485339041</v>
      </c>
      <c r="AR131" s="30">
        <f t="shared" si="95"/>
        <v>6.0571443438073913E-2</v>
      </c>
      <c r="AS131" s="66">
        <v>0.18166820992581709</v>
      </c>
      <c r="AT131" s="66">
        <v>0.13532904531978579</v>
      </c>
      <c r="AU131" s="66">
        <v>4.9329894407962031E-2</v>
      </c>
      <c r="AV131" s="66">
        <v>0.15644627033879571</v>
      </c>
      <c r="AW131" s="30">
        <f t="shared" si="96"/>
        <v>2.8212669388952116E-2</v>
      </c>
      <c r="AX131" s="66">
        <v>0.76912251822050981</v>
      </c>
      <c r="AY131" s="66">
        <v>0.32938826626364542</v>
      </c>
      <c r="AZ131" s="66">
        <v>0.83260545899838345</v>
      </c>
      <c r="BA131" s="62">
        <f t="shared" si="97"/>
        <v>0.26590532548577184</v>
      </c>
      <c r="BB131" s="62">
        <f t="shared" si="107"/>
        <v>3.4305970680444289E-2</v>
      </c>
      <c r="BC131" s="29" t="e">
        <f t="shared" si="111"/>
        <v>#REF!</v>
      </c>
      <c r="BD131" s="29" t="e">
        <f t="shared" si="112"/>
        <v>#REF!</v>
      </c>
      <c r="BE131" s="29"/>
      <c r="BF131" s="29" t="e">
        <f t="shared" si="113"/>
        <v>#REF!</v>
      </c>
      <c r="BG131" s="29" t="e">
        <f>SUM(#REF!)</f>
        <v>#REF!</v>
      </c>
      <c r="BH131" s="29" t="e">
        <f>SUM(#REF!)</f>
        <v>#REF!</v>
      </c>
      <c r="BI131" s="30"/>
      <c r="BJ131" s="30"/>
      <c r="BK131" s="30"/>
      <c r="BL131" s="30"/>
      <c r="BM131" s="30"/>
      <c r="BN131" s="62"/>
      <c r="BO131" s="30"/>
      <c r="BP131" s="30"/>
      <c r="BQ131" s="30"/>
      <c r="BR131" s="30"/>
      <c r="BS131" s="30"/>
      <c r="BT131" s="30"/>
      <c r="BU131" s="30"/>
      <c r="BV131" s="62"/>
      <c r="BW131" s="30"/>
      <c r="BX131" s="30"/>
      <c r="BY131" s="51">
        <v>404997</v>
      </c>
      <c r="BZ131" s="51">
        <v>450971</v>
      </c>
      <c r="CA131" s="29">
        <f t="shared" si="99"/>
        <v>277109</v>
      </c>
      <c r="CB131" s="29">
        <f t="shared" si="100"/>
        <v>406446</v>
      </c>
      <c r="CC131" s="29">
        <v>19881</v>
      </c>
      <c r="CD131" s="29">
        <v>19905</v>
      </c>
      <c r="CE131" s="29">
        <v>108007</v>
      </c>
      <c r="CF131" s="29">
        <v>24620</v>
      </c>
      <c r="CG131" s="15">
        <f t="shared" si="101"/>
        <v>0.32373756962877115</v>
      </c>
      <c r="CH131" s="15">
        <f t="shared" si="102"/>
        <v>0.47483784440539833</v>
      </c>
      <c r="CI131" s="15">
        <f t="shared" si="103"/>
        <v>2.3226335563946317E-2</v>
      </c>
      <c r="CJ131" s="15">
        <f t="shared" si="104"/>
        <v>2.3254373995289544E-2</v>
      </c>
      <c r="CK131" s="15">
        <f t="shared" si="105"/>
        <v>0.12618111892033346</v>
      </c>
      <c r="CL131" s="15">
        <f t="shared" si="106"/>
        <v>2.876275748626117E-2</v>
      </c>
    </row>
    <row r="132" spans="2:90">
      <c r="B132" t="str">
        <f t="shared" si="61"/>
        <v>2021</v>
      </c>
      <c r="C132" s="54">
        <v>202124</v>
      </c>
      <c r="D132" s="54"/>
      <c r="E132" s="54"/>
      <c r="F132" s="54"/>
      <c r="G132" s="29">
        <f t="shared" si="114"/>
        <v>879161</v>
      </c>
      <c r="H132" s="51">
        <v>419968</v>
      </c>
      <c r="I132" s="51">
        <v>459193</v>
      </c>
      <c r="J132" s="29">
        <v>683684</v>
      </c>
      <c r="K132" s="29">
        <v>40892</v>
      </c>
      <c r="L132" s="29">
        <v>154585</v>
      </c>
      <c r="M132" s="29">
        <v>1007406.181925838</v>
      </c>
      <c r="N132" s="27"/>
      <c r="O132" s="29">
        <v>21436017.467225291</v>
      </c>
      <c r="P132" s="29">
        <v>24845607</v>
      </c>
      <c r="Q132" s="29">
        <v>1769635</v>
      </c>
      <c r="R132" s="29">
        <v>136917654.15000001</v>
      </c>
      <c r="S132" s="29">
        <v>70169168</v>
      </c>
      <c r="T132" s="62">
        <f t="shared" si="108"/>
        <v>2.5219552268312486E-2</v>
      </c>
      <c r="U132" s="25">
        <f t="shared" si="109"/>
        <v>77.370561810768891</v>
      </c>
      <c r="V132" s="30">
        <v>0.44911307605457917</v>
      </c>
      <c r="W132" s="30">
        <v>0.39728912823817453</v>
      </c>
      <c r="X132" s="30">
        <v>0.50901846114221216</v>
      </c>
      <c r="Y132" s="29">
        <v>456237</v>
      </c>
      <c r="Z132" s="29">
        <v>396021</v>
      </c>
      <c r="AA132" s="15">
        <f t="shared" si="91"/>
        <v>0.50273942867066079</v>
      </c>
      <c r="AB132" s="30">
        <v>0.35205845693777099</v>
      </c>
      <c r="AC132" s="30">
        <v>0.12671381592073669</v>
      </c>
      <c r="AD132" s="30">
        <v>0.38458604347652592</v>
      </c>
      <c r="AE132" s="30">
        <f t="shared" si="92"/>
        <v>9.4186229381981734E-2</v>
      </c>
      <c r="AF132" s="30">
        <v>0.6274638000976599</v>
      </c>
      <c r="AG132" s="30">
        <v>0.56731169690885253</v>
      </c>
      <c r="AH132" s="30">
        <v>0.69695951833153602</v>
      </c>
      <c r="AI132" s="15">
        <f t="shared" si="110"/>
        <v>0.70785459575830012</v>
      </c>
      <c r="AJ132" s="30">
        <v>0.53940436840326034</v>
      </c>
      <c r="AK132" s="30">
        <v>0.24264498741689519</v>
      </c>
      <c r="AL132" s="30">
        <v>0.56662002779551512</v>
      </c>
      <c r="AM132" s="30">
        <f t="shared" si="94"/>
        <v>0.21542932802464043</v>
      </c>
      <c r="AN132" s="66">
        <v>0.32959518085865602</v>
      </c>
      <c r="AO132" s="30">
        <v>0.22421465200605509</v>
      </c>
      <c r="AP132" s="30">
        <v>7.2648649917270033E-2</v>
      </c>
      <c r="AQ132" s="30">
        <v>0.25081028433293828</v>
      </c>
      <c r="AR132" s="30">
        <f t="shared" si="95"/>
        <v>4.6053017590386824E-2</v>
      </c>
      <c r="AS132" s="66">
        <v>0.18346456692913379</v>
      </c>
      <c r="AT132" s="66">
        <v>0.129894269922668</v>
      </c>
      <c r="AU132" s="66">
        <v>3.9806611356888892E-2</v>
      </c>
      <c r="AV132" s="66">
        <v>0.14904303132004179</v>
      </c>
      <c r="AW132" s="30">
        <f t="shared" si="96"/>
        <v>2.0657849959515112E-2</v>
      </c>
      <c r="AX132" s="66">
        <v>0.66879613222713774</v>
      </c>
      <c r="AY132" s="66">
        <v>0.31967330462231708</v>
      </c>
      <c r="AZ132" s="66">
        <v>0.77648356548575992</v>
      </c>
      <c r="BA132" s="62">
        <f t="shared" si="97"/>
        <v>0.21198587136369496</v>
      </c>
      <c r="BB132" s="62">
        <f t="shared" si="107"/>
        <v>3.5384967652430467E-2</v>
      </c>
      <c r="BC132" s="29" t="e">
        <f t="shared" si="111"/>
        <v>#REF!</v>
      </c>
      <c r="BD132" s="29" t="e">
        <f t="shared" si="112"/>
        <v>#REF!</v>
      </c>
      <c r="BE132" s="29"/>
      <c r="BF132" s="29" t="e">
        <f t="shared" si="113"/>
        <v>#REF!</v>
      </c>
      <c r="BG132" s="29" t="e">
        <f>SUM(#REF!)</f>
        <v>#REF!</v>
      </c>
      <c r="BH132" s="29" t="e">
        <f>SUM(#REF!)</f>
        <v>#REF!</v>
      </c>
      <c r="BI132" s="30"/>
      <c r="BJ132" s="30"/>
      <c r="BK132" s="30"/>
      <c r="BL132" s="30"/>
      <c r="BM132" s="30"/>
      <c r="BN132" s="62"/>
      <c r="BO132" s="30"/>
      <c r="BP132" s="30"/>
      <c r="BQ132" s="30"/>
      <c r="BR132" s="30"/>
      <c r="BS132" s="30"/>
      <c r="BT132" s="30"/>
      <c r="BU132" s="30"/>
      <c r="BV132" s="62"/>
      <c r="BW132" s="30"/>
      <c r="BX132" s="30"/>
      <c r="BY132" s="51">
        <v>419968</v>
      </c>
      <c r="BZ132" s="51">
        <v>459193</v>
      </c>
      <c r="CA132" s="29">
        <f t="shared" si="99"/>
        <v>290977</v>
      </c>
      <c r="CB132" s="29">
        <f t="shared" si="100"/>
        <v>392707</v>
      </c>
      <c r="CC132" s="29">
        <v>20403</v>
      </c>
      <c r="CD132" s="29">
        <v>20489</v>
      </c>
      <c r="CE132" s="29">
        <v>108588</v>
      </c>
      <c r="CF132" s="29">
        <v>45997</v>
      </c>
      <c r="CG132" s="15">
        <f t="shared" si="101"/>
        <v>0.33097123280036306</v>
      </c>
      <c r="CH132" s="15">
        <f t="shared" si="102"/>
        <v>0.44668382696684678</v>
      </c>
      <c r="CI132" s="15">
        <f t="shared" si="103"/>
        <v>2.3207353374410374E-2</v>
      </c>
      <c r="CJ132" s="15">
        <f t="shared" si="104"/>
        <v>2.3305173910125678E-2</v>
      </c>
      <c r="CK132" s="15">
        <f t="shared" si="105"/>
        <v>0.12351321316573415</v>
      </c>
      <c r="CL132" s="15">
        <f t="shared" si="106"/>
        <v>5.2319199782519928E-2</v>
      </c>
    </row>
    <row r="133" spans="2:90">
      <c r="B133" t="str">
        <f t="shared" ref="B133:B196" si="115">LEFT(C133,4)</f>
        <v>2021</v>
      </c>
      <c r="C133" s="54">
        <v>202125</v>
      </c>
      <c r="D133" s="54"/>
      <c r="E133" s="54"/>
      <c r="F133" s="54"/>
      <c r="G133" s="29">
        <f t="shared" si="114"/>
        <v>852093</v>
      </c>
      <c r="H133" s="51">
        <v>399318</v>
      </c>
      <c r="I133" s="51">
        <v>452775</v>
      </c>
      <c r="J133" s="29">
        <v>675090</v>
      </c>
      <c r="K133" s="29">
        <v>43532</v>
      </c>
      <c r="L133" s="29">
        <v>133471</v>
      </c>
      <c r="M133" s="29">
        <v>990234.18192583835</v>
      </c>
      <c r="N133" s="27"/>
      <c r="O133" s="29">
        <v>22426251.649151132</v>
      </c>
      <c r="P133" s="29">
        <v>23950052</v>
      </c>
      <c r="Q133" s="29">
        <v>1837654</v>
      </c>
      <c r="R133" s="29">
        <v>139707787.41999999</v>
      </c>
      <c r="S133" s="29">
        <v>67794165</v>
      </c>
      <c r="T133" s="62">
        <f t="shared" si="108"/>
        <v>2.7106374125265797E-2</v>
      </c>
      <c r="U133" s="25">
        <f t="shared" si="109"/>
        <v>76.025077310527436</v>
      </c>
      <c r="V133" s="30">
        <v>0.43470237170045473</v>
      </c>
      <c r="W133" s="30">
        <v>0.3868954234469732</v>
      </c>
      <c r="X133" s="30">
        <v>0.49368166350360748</v>
      </c>
      <c r="Y133" s="29">
        <v>446821</v>
      </c>
      <c r="Z133" s="29">
        <v>364099</v>
      </c>
      <c r="AA133" s="15">
        <f t="shared" si="91"/>
        <v>0.48994241108864006</v>
      </c>
      <c r="AB133" s="30">
        <v>0.34186607651713091</v>
      </c>
      <c r="AC133" s="30">
        <v>0.12366618063214101</v>
      </c>
      <c r="AD133" s="30">
        <v>0.37470177957717471</v>
      </c>
      <c r="AE133" s="30">
        <f t="shared" si="92"/>
        <v>9.0830477572097224E-2</v>
      </c>
      <c r="AF133" s="30">
        <v>0.62211239038063892</v>
      </c>
      <c r="AG133" s="30">
        <v>0.55979740013250012</v>
      </c>
      <c r="AH133" s="30">
        <v>0.69902099208333102</v>
      </c>
      <c r="AI133" s="15">
        <f t="shared" si="110"/>
        <v>0.70495884713800683</v>
      </c>
      <c r="AJ133" s="30">
        <v>0.53461060143214578</v>
      </c>
      <c r="AK133" s="30">
        <v>0.24475899779404139</v>
      </c>
      <c r="AL133" s="30">
        <v>0.56235904319632046</v>
      </c>
      <c r="AM133" s="30">
        <f t="shared" si="94"/>
        <v>0.21701055602986674</v>
      </c>
      <c r="AN133" s="66">
        <v>0.29397972272929102</v>
      </c>
      <c r="AO133" s="30">
        <v>0.2196469978785337</v>
      </c>
      <c r="AP133" s="30">
        <v>6.9711135231141155E-2</v>
      </c>
      <c r="AQ133" s="30">
        <v>0.24512062755932709</v>
      </c>
      <c r="AR133" s="30">
        <f t="shared" si="95"/>
        <v>4.423750555034775E-2</v>
      </c>
      <c r="AS133" s="66">
        <v>0.17827347180423311</v>
      </c>
      <c r="AT133" s="66">
        <v>0.12748902264541909</v>
      </c>
      <c r="AU133" s="66">
        <v>3.8492278849474558E-2</v>
      </c>
      <c r="AV133" s="66">
        <v>0.14586067393556659</v>
      </c>
      <c r="AW133" s="30">
        <f t="shared" si="96"/>
        <v>2.0120627559327059E-2</v>
      </c>
      <c r="AX133" s="66">
        <v>0.66429522916769446</v>
      </c>
      <c r="AY133" s="66">
        <v>0.32408110908283588</v>
      </c>
      <c r="AZ133" s="66">
        <v>0.77265158616606644</v>
      </c>
      <c r="BA133" s="62">
        <f t="shared" si="97"/>
        <v>0.21572475208446396</v>
      </c>
      <c r="BB133" s="62">
        <f t="shared" si="107"/>
        <v>3.5577918578214358E-2</v>
      </c>
      <c r="BC133" s="29">
        <f t="shared" si="111"/>
        <v>399318</v>
      </c>
      <c r="BD133" s="29" t="e">
        <f t="shared" si="112"/>
        <v>#REF!</v>
      </c>
      <c r="BE133" s="29"/>
      <c r="BF133" s="29" t="e">
        <f t="shared" si="113"/>
        <v>#REF!</v>
      </c>
      <c r="BG133" s="29"/>
      <c r="BH133" s="29" t="e">
        <f>SUM(#REF!)</f>
        <v>#REF!</v>
      </c>
      <c r="BI133" s="30"/>
      <c r="BJ133" s="30"/>
      <c r="BK133" s="30"/>
      <c r="BL133" s="30"/>
      <c r="BM133" s="30"/>
      <c r="BN133" s="62"/>
      <c r="BO133" s="30"/>
      <c r="BP133" s="30"/>
      <c r="BQ133" s="30"/>
      <c r="BR133" s="30"/>
      <c r="BS133" s="30"/>
      <c r="BT133" s="30"/>
      <c r="BU133" s="30"/>
      <c r="BV133" s="62"/>
      <c r="BW133" s="30"/>
      <c r="BX133" s="30"/>
      <c r="BY133" s="51">
        <v>399318</v>
      </c>
      <c r="BZ133" s="51">
        <v>452775</v>
      </c>
      <c r="CA133" s="29">
        <f t="shared" si="99"/>
        <v>280142</v>
      </c>
      <c r="CB133" s="29">
        <f t="shared" si="100"/>
        <v>394945</v>
      </c>
      <c r="CC133" s="29">
        <v>20631</v>
      </c>
      <c r="CD133" s="29">
        <v>22904</v>
      </c>
      <c r="CE133" s="29">
        <v>98545</v>
      </c>
      <c r="CF133" s="29">
        <v>34926</v>
      </c>
      <c r="CG133" s="15">
        <f t="shared" si="101"/>
        <v>0.3287692775319126</v>
      </c>
      <c r="CH133" s="15">
        <f t="shared" si="102"/>
        <v>0.46349987618722371</v>
      </c>
      <c r="CI133" s="15">
        <f t="shared" si="103"/>
        <v>2.4212145857318391E-2</v>
      </c>
      <c r="CJ133" s="15">
        <f t="shared" si="104"/>
        <v>2.6879695056760237E-2</v>
      </c>
      <c r="CK133" s="15">
        <f t="shared" si="105"/>
        <v>0.11565052171535267</v>
      </c>
      <c r="CL133" s="15">
        <f t="shared" si="106"/>
        <v>4.0988483651432414E-2</v>
      </c>
    </row>
    <row r="134" spans="2:90">
      <c r="B134" t="str">
        <f t="shared" si="115"/>
        <v>2021</v>
      </c>
      <c r="C134" s="54">
        <v>202126</v>
      </c>
      <c r="D134" s="54"/>
      <c r="E134" s="54"/>
      <c r="F134" s="54"/>
      <c r="G134" s="29">
        <f t="shared" si="114"/>
        <v>827823</v>
      </c>
      <c r="H134" s="51">
        <v>386404</v>
      </c>
      <c r="I134" s="51">
        <v>441419</v>
      </c>
      <c r="J134" s="29">
        <v>676884</v>
      </c>
      <c r="K134" s="29">
        <v>43061</v>
      </c>
      <c r="L134" s="29">
        <v>107878</v>
      </c>
      <c r="M134" s="29">
        <v>982228.18192583835</v>
      </c>
      <c r="N134" s="27"/>
      <c r="O134" s="29">
        <v>23408479.831076961</v>
      </c>
      <c r="P134" s="29">
        <v>23270426</v>
      </c>
      <c r="Q134" s="29">
        <v>1810309</v>
      </c>
      <c r="R134" s="29">
        <v>137496779.02000001</v>
      </c>
      <c r="S134" s="29">
        <v>65437196</v>
      </c>
      <c r="T134" s="62">
        <f t="shared" si="108"/>
        <v>2.7664831482082455E-2</v>
      </c>
      <c r="U134" s="25">
        <f t="shared" si="109"/>
        <v>75.952104872704055</v>
      </c>
      <c r="V134" s="30">
        <v>0.43405616058623497</v>
      </c>
      <c r="W134" s="30">
        <v>0.39159960907172803</v>
      </c>
      <c r="X134" s="30">
        <v>0.48712996333412029</v>
      </c>
      <c r="Y134" s="29">
        <v>437932</v>
      </c>
      <c r="Z134" s="29">
        <v>351553</v>
      </c>
      <c r="AA134" s="15">
        <f t="shared" si="91"/>
        <v>0.48960930226666755</v>
      </c>
      <c r="AB134" s="30">
        <v>0.33677094366204319</v>
      </c>
      <c r="AC134" s="30">
        <v>0.13011650711762709</v>
      </c>
      <c r="AD134" s="30">
        <v>0.3717661546569907</v>
      </c>
      <c r="AE134" s="30">
        <f t="shared" si="92"/>
        <v>9.5121296122679611E-2</v>
      </c>
      <c r="AF134" s="30">
        <v>0.62505401155372076</v>
      </c>
      <c r="AG134" s="30">
        <v>0.56597426798021455</v>
      </c>
      <c r="AH134" s="30">
        <v>0.69883436089006234</v>
      </c>
      <c r="AI134" s="15">
        <f t="shared" si="110"/>
        <v>0.70834196875063538</v>
      </c>
      <c r="AJ134" s="30">
        <v>0.53340986818013059</v>
      </c>
      <c r="AK134" s="30">
        <v>0.25048689594175239</v>
      </c>
      <c r="AL134" s="30">
        <v>0.56208129166492438</v>
      </c>
      <c r="AM134" s="30">
        <f t="shared" si="94"/>
        <v>0.22181547245695865</v>
      </c>
      <c r="AN134" s="66">
        <v>0.31484712671205539</v>
      </c>
      <c r="AO134" s="30">
        <v>0.21382263151894401</v>
      </c>
      <c r="AP134" s="30">
        <v>7.2827229773380797E-2</v>
      </c>
      <c r="AQ134" s="30">
        <v>0.2410169362704736</v>
      </c>
      <c r="AR134" s="30">
        <f t="shared" si="95"/>
        <v>4.5632925021851234E-2</v>
      </c>
      <c r="AS134" s="66">
        <v>0.17883282874985751</v>
      </c>
      <c r="AT134" s="66">
        <v>0.12481157290703419</v>
      </c>
      <c r="AU134" s="66">
        <v>4.0468439253638702E-2</v>
      </c>
      <c r="AV134" s="66">
        <v>0.1443104518450021</v>
      </c>
      <c r="AW134" s="30">
        <f t="shared" si="96"/>
        <v>2.0969560315670793E-2</v>
      </c>
      <c r="AX134" s="66">
        <v>0.65370963860000253</v>
      </c>
      <c r="AY134" s="66">
        <v>0.33397894683505819</v>
      </c>
      <c r="AZ134" s="66">
        <v>0.7702392865738571</v>
      </c>
      <c r="BA134" s="62">
        <f t="shared" si="97"/>
        <v>0.21744929886120368</v>
      </c>
      <c r="BB134" s="62">
        <f t="shared" si="107"/>
        <v>3.5574037192099534E-2</v>
      </c>
      <c r="BC134" s="29">
        <f t="shared" si="111"/>
        <v>386404</v>
      </c>
      <c r="BD134" s="29" t="e">
        <f t="shared" si="112"/>
        <v>#REF!</v>
      </c>
      <c r="BE134" s="29"/>
      <c r="BF134" s="29" t="e">
        <f t="shared" si="113"/>
        <v>#REF!</v>
      </c>
      <c r="BG134" s="29"/>
      <c r="BH134" s="29" t="e">
        <f>SUM(#REF!)</f>
        <v>#REF!</v>
      </c>
      <c r="BI134" s="30"/>
      <c r="BJ134" s="30"/>
      <c r="BK134" s="30"/>
      <c r="BL134" s="30"/>
      <c r="BM134" s="30"/>
      <c r="BN134" s="62"/>
      <c r="BO134" s="30"/>
      <c r="BP134" s="30"/>
      <c r="BQ134" s="30"/>
      <c r="BR134" s="30"/>
      <c r="BS134" s="30"/>
      <c r="BT134" s="30"/>
      <c r="BU134" s="30"/>
      <c r="BV134" s="62"/>
      <c r="BW134" s="30"/>
      <c r="BX134" s="30"/>
      <c r="BY134" s="51">
        <v>386404</v>
      </c>
      <c r="BZ134" s="51">
        <v>441419</v>
      </c>
      <c r="CA134" s="29">
        <f t="shared" si="99"/>
        <v>273050</v>
      </c>
      <c r="CB134" s="29">
        <f t="shared" si="100"/>
        <v>403836</v>
      </c>
      <c r="CC134" s="29">
        <v>20061</v>
      </c>
      <c r="CD134" s="29">
        <v>22998</v>
      </c>
      <c r="CE134" s="29">
        <v>93293</v>
      </c>
      <c r="CF134" s="29">
        <v>14585</v>
      </c>
      <c r="CG134" s="15">
        <f t="shared" si="101"/>
        <v>0.32984104089883948</v>
      </c>
      <c r="CH134" s="15">
        <f t="shared" si="102"/>
        <v>0.48782891995027922</v>
      </c>
      <c r="CI134" s="15">
        <f t="shared" si="103"/>
        <v>2.4233441206634752E-2</v>
      </c>
      <c r="CJ134" s="15">
        <f t="shared" si="104"/>
        <v>2.7781301075229851E-2</v>
      </c>
      <c r="CK134" s="15">
        <f t="shared" si="105"/>
        <v>0.11269679629582652</v>
      </c>
      <c r="CL134" s="15">
        <f t="shared" si="106"/>
        <v>1.7618500573190164E-2</v>
      </c>
    </row>
    <row r="135" spans="2:90">
      <c r="B135" t="str">
        <f t="shared" si="115"/>
        <v>2021</v>
      </c>
      <c r="C135" s="54">
        <v>202127</v>
      </c>
      <c r="D135" s="54"/>
      <c r="E135" s="54"/>
      <c r="F135" s="54"/>
      <c r="G135" s="29">
        <f t="shared" si="114"/>
        <v>882665</v>
      </c>
      <c r="H135" s="51">
        <v>408503</v>
      </c>
      <c r="I135" s="51">
        <v>474162</v>
      </c>
      <c r="J135" s="29">
        <v>733195</v>
      </c>
      <c r="K135" s="29">
        <v>49328</v>
      </c>
      <c r="L135" s="29">
        <v>100142</v>
      </c>
      <c r="M135" s="29">
        <v>1013357.869228903</v>
      </c>
      <c r="N135" s="27"/>
      <c r="O135" s="29">
        <v>24421837.700305872</v>
      </c>
      <c r="P135" s="29">
        <v>23143626</v>
      </c>
      <c r="Q135" s="29">
        <v>1809439</v>
      </c>
      <c r="R135" s="29">
        <v>152165039.52000001</v>
      </c>
      <c r="S135" s="29">
        <v>65352069</v>
      </c>
      <c r="T135" s="62">
        <f t="shared" si="108"/>
        <v>2.7687554926531858E-2</v>
      </c>
      <c r="U135" s="25">
        <f t="shared" si="109"/>
        <v>84.095147457305828</v>
      </c>
      <c r="V135" s="30">
        <v>0.44600000000000001</v>
      </c>
      <c r="W135" s="30">
        <v>0.40400000000000003</v>
      </c>
      <c r="X135" s="30">
        <v>0.5</v>
      </c>
      <c r="Y135" s="29">
        <v>470687</v>
      </c>
      <c r="Z135" s="29">
        <v>397367</v>
      </c>
      <c r="AA135" s="15">
        <f t="shared" si="91"/>
        <v>0.50216892958272186</v>
      </c>
      <c r="AB135" s="30">
        <v>0.34799999999999998</v>
      </c>
      <c r="AC135" s="30">
        <v>0.13600000000000001</v>
      </c>
      <c r="AD135" s="30">
        <v>0.38400000000000001</v>
      </c>
      <c r="AE135" s="30">
        <f t="shared" si="92"/>
        <v>9.9999999999999978E-2</v>
      </c>
      <c r="AF135" s="30">
        <v>0.62782000313449993</v>
      </c>
      <c r="AG135" s="30">
        <v>0.57360029268251178</v>
      </c>
      <c r="AH135" s="30">
        <v>0.69767848459516901</v>
      </c>
      <c r="AI135" s="15">
        <f t="shared" si="110"/>
        <v>0.71173412869473784</v>
      </c>
      <c r="AJ135" s="30">
        <v>0.53640506353344286</v>
      </c>
      <c r="AK135" s="30">
        <v>0.25332980801785948</v>
      </c>
      <c r="AL135" s="30">
        <v>0.56555112764234161</v>
      </c>
      <c r="AM135" s="30">
        <f t="shared" si="94"/>
        <v>0.22418374390896079</v>
      </c>
      <c r="AN135" s="66">
        <v>0.31723771593055772</v>
      </c>
      <c r="AO135" s="30">
        <v>0.2060509135824091</v>
      </c>
      <c r="AP135" s="30">
        <v>7.3501386101195762E-2</v>
      </c>
      <c r="AQ135" s="30">
        <v>0.23396765994317331</v>
      </c>
      <c r="AR135" s="30">
        <f t="shared" si="95"/>
        <v>4.5584639740431532E-2</v>
      </c>
      <c r="AS135" s="66">
        <v>0.17356683127818581</v>
      </c>
      <c r="AT135" s="66">
        <v>0.1190157414085922</v>
      </c>
      <c r="AU135" s="66">
        <v>4.1112936714052972E-2</v>
      </c>
      <c r="AV135" s="66">
        <v>0.13946275040269521</v>
      </c>
      <c r="AW135" s="30">
        <f t="shared" si="96"/>
        <v>2.0665927719949961E-2</v>
      </c>
      <c r="AX135" s="66">
        <v>0.62612714338715658</v>
      </c>
      <c r="AY135" s="66">
        <v>0.34206972676638608</v>
      </c>
      <c r="AZ135" s="66">
        <v>0.7427405398305339</v>
      </c>
      <c r="BA135" s="62">
        <f t="shared" si="97"/>
        <v>0.22545633032300871</v>
      </c>
      <c r="BB135" s="62">
        <f t="shared" si="107"/>
        <v>3.8138578630677836E-2</v>
      </c>
      <c r="BC135" s="29">
        <f t="shared" si="111"/>
        <v>408503</v>
      </c>
      <c r="BD135" s="29" t="e">
        <f t="shared" si="112"/>
        <v>#REF!</v>
      </c>
      <c r="BE135" s="29"/>
      <c r="BF135" s="29" t="e">
        <f t="shared" si="113"/>
        <v>#REF!</v>
      </c>
      <c r="BG135" s="29"/>
      <c r="BH135" s="29" t="e">
        <f>SUM(#REF!)</f>
        <v>#REF!</v>
      </c>
      <c r="BI135" s="30"/>
      <c r="BJ135" s="30"/>
      <c r="BK135" s="30"/>
      <c r="BL135" s="30"/>
      <c r="BM135" s="30"/>
      <c r="BN135" s="62"/>
      <c r="BO135" s="30"/>
      <c r="BP135" s="30"/>
      <c r="BQ135" s="30"/>
      <c r="BR135" s="30"/>
      <c r="BS135" s="30"/>
      <c r="BT135" s="30"/>
      <c r="BU135" s="30"/>
      <c r="BV135" s="62"/>
      <c r="BW135" s="30"/>
      <c r="BX135" s="30"/>
      <c r="BY135" s="51">
        <v>408503</v>
      </c>
      <c r="BZ135" s="51">
        <v>474162</v>
      </c>
      <c r="CA135" s="29">
        <f t="shared" si="99"/>
        <v>299491</v>
      </c>
      <c r="CB135" s="29">
        <f t="shared" si="100"/>
        <v>433704</v>
      </c>
      <c r="CC135" s="29">
        <v>22400</v>
      </c>
      <c r="CD135" s="29">
        <v>26928</v>
      </c>
      <c r="CE135" s="29">
        <v>86612</v>
      </c>
      <c r="CF135" s="29">
        <v>13530</v>
      </c>
      <c r="CG135" s="15">
        <f t="shared" si="101"/>
        <v>0.33930313312525134</v>
      </c>
      <c r="CH135" s="15">
        <f t="shared" si="102"/>
        <v>0.49135742325797443</v>
      </c>
      <c r="CI135" s="15">
        <f t="shared" si="103"/>
        <v>2.5377691423133352E-2</v>
      </c>
      <c r="CJ135" s="15">
        <f t="shared" si="104"/>
        <v>3.0507610475095308E-2</v>
      </c>
      <c r="CK135" s="15">
        <f t="shared" si="105"/>
        <v>9.8125562925911874E-2</v>
      </c>
      <c r="CL135" s="15">
        <f t="shared" si="106"/>
        <v>1.5328578792633671E-2</v>
      </c>
    </row>
    <row r="136" spans="2:90">
      <c r="B136" t="str">
        <f t="shared" si="115"/>
        <v>2021</v>
      </c>
      <c r="C136" s="54">
        <v>202128</v>
      </c>
      <c r="D136" s="54"/>
      <c r="E136" s="54"/>
      <c r="F136" s="54"/>
      <c r="G136" s="29">
        <f t="shared" si="114"/>
        <v>947978</v>
      </c>
      <c r="H136" s="51">
        <v>437122</v>
      </c>
      <c r="I136" s="51">
        <v>510856</v>
      </c>
      <c r="J136" s="29">
        <v>734965</v>
      </c>
      <c r="K136" s="29">
        <v>98945</v>
      </c>
      <c r="L136" s="29">
        <v>114068</v>
      </c>
      <c r="M136" s="29">
        <v>974925.55639130983</v>
      </c>
      <c r="N136" s="27"/>
      <c r="O136" s="29">
        <v>25396763.256697182</v>
      </c>
      <c r="P136" s="29">
        <v>23823434</v>
      </c>
      <c r="Q136" s="29">
        <v>1977807</v>
      </c>
      <c r="R136" s="29">
        <v>171517052.93000001</v>
      </c>
      <c r="S136" s="29">
        <v>67346302</v>
      </c>
      <c r="T136" s="62">
        <f t="shared" si="108"/>
        <v>2.9367714948921767E-2</v>
      </c>
      <c r="U136" s="25">
        <f t="shared" si="109"/>
        <v>86.720824089509236</v>
      </c>
      <c r="V136" s="30">
        <v>0.44165684496319929</v>
      </c>
      <c r="W136" s="30">
        <v>0.40448167663252621</v>
      </c>
      <c r="X136" s="30">
        <v>0.49049094461600318</v>
      </c>
      <c r="Y136" s="29">
        <v>506730</v>
      </c>
      <c r="Z136" s="29">
        <v>387946</v>
      </c>
      <c r="AA136" s="15">
        <f t="shared" si="91"/>
        <v>0.49841506869525953</v>
      </c>
      <c r="AB136" s="30">
        <v>0.34387852546970848</v>
      </c>
      <c r="AC136" s="30">
        <v>0.13243980059891891</v>
      </c>
      <c r="AD136" s="30">
        <v>0.37910023504995088</v>
      </c>
      <c r="AE136" s="30">
        <f t="shared" si="92"/>
        <v>9.7218091018676511E-2</v>
      </c>
      <c r="AF136" s="30">
        <v>0.62712651082785598</v>
      </c>
      <c r="AG136" s="30">
        <v>0.57915189743508777</v>
      </c>
      <c r="AH136" s="30">
        <v>0.69003851766295243</v>
      </c>
      <c r="AI136" s="15">
        <f t="shared" si="110"/>
        <v>0.71219170265051679</v>
      </c>
      <c r="AJ136" s="30">
        <v>0.53601102301793146</v>
      </c>
      <c r="AK136" s="30">
        <v>0.24488189064441479</v>
      </c>
      <c r="AL136" s="30">
        <v>0.56458855489532267</v>
      </c>
      <c r="AM136" s="30">
        <f t="shared" si="94"/>
        <v>0.21630435876702359</v>
      </c>
      <c r="AN136" s="66">
        <v>0.32248366846394649</v>
      </c>
      <c r="AO136" s="30">
        <v>0.21062799451880709</v>
      </c>
      <c r="AP136" s="30">
        <v>7.3159591071346439E-2</v>
      </c>
      <c r="AQ136" s="30">
        <v>0.23792591831910079</v>
      </c>
      <c r="AR136" s="30">
        <f t="shared" si="95"/>
        <v>4.5861667271052758E-2</v>
      </c>
      <c r="AS136" s="66">
        <v>0.17852279498049381</v>
      </c>
      <c r="AT136" s="66">
        <v>0.124658628867402</v>
      </c>
      <c r="AU136" s="66">
        <v>4.1176338447615778E-2</v>
      </c>
      <c r="AV136" s="66">
        <v>0.14464401663184759</v>
      </c>
      <c r="AW136" s="30">
        <f t="shared" si="96"/>
        <v>2.1190950683170201E-2</v>
      </c>
      <c r="AX136" s="66">
        <v>0.63230437949879814</v>
      </c>
      <c r="AY136" s="66">
        <v>0.34702240935011919</v>
      </c>
      <c r="AZ136" s="66">
        <v>0.74484426630210954</v>
      </c>
      <c r="BA136" s="62">
        <f t="shared" si="97"/>
        <v>0.23448252254680779</v>
      </c>
      <c r="BB136" s="62">
        <f t="shared" si="107"/>
        <v>3.9791828499619326E-2</v>
      </c>
      <c r="BC136" s="29">
        <f t="shared" si="111"/>
        <v>437122</v>
      </c>
      <c r="BD136" s="29" t="e">
        <f t="shared" si="112"/>
        <v>#REF!</v>
      </c>
      <c r="BE136" s="29"/>
      <c r="BF136" s="29" t="e">
        <f t="shared" si="113"/>
        <v>#REF!</v>
      </c>
      <c r="BG136" s="29"/>
      <c r="BH136" s="29" t="e">
        <f>SUM(#REF!)</f>
        <v>#REF!</v>
      </c>
      <c r="BI136" s="30"/>
      <c r="BJ136" s="30"/>
      <c r="BK136" s="30"/>
      <c r="BL136" s="30"/>
      <c r="BM136" s="30"/>
      <c r="BN136" s="62"/>
      <c r="BO136" s="30"/>
      <c r="BP136" s="30"/>
      <c r="BQ136" s="30"/>
      <c r="BR136" s="30"/>
      <c r="BS136" s="30"/>
      <c r="BT136" s="30"/>
      <c r="BU136" s="30"/>
      <c r="BV136" s="62"/>
      <c r="BW136" s="30"/>
      <c r="BX136" s="30"/>
      <c r="BY136" s="51">
        <v>437122</v>
      </c>
      <c r="BZ136" s="51">
        <v>510856</v>
      </c>
      <c r="CA136" s="29">
        <f t="shared" si="99"/>
        <v>308797</v>
      </c>
      <c r="CB136" s="29">
        <f t="shared" si="100"/>
        <v>426166</v>
      </c>
      <c r="CC136" s="29">
        <v>33099</v>
      </c>
      <c r="CD136" s="29">
        <v>65848</v>
      </c>
      <c r="CE136" s="29">
        <v>95226</v>
      </c>
      <c r="CF136" s="29">
        <v>18842</v>
      </c>
      <c r="CG136" s="15">
        <f t="shared" si="101"/>
        <v>0.32574279149938079</v>
      </c>
      <c r="CH136" s="15">
        <f t="shared" si="102"/>
        <v>0.44955262674872204</v>
      </c>
      <c r="CI136" s="15">
        <f t="shared" si="103"/>
        <v>3.4915367234260711E-2</v>
      </c>
      <c r="CJ136" s="15">
        <f t="shared" si="104"/>
        <v>6.9461527588192976E-2</v>
      </c>
      <c r="CK136" s="15">
        <f t="shared" si="105"/>
        <v>0.10045169824616183</v>
      </c>
      <c r="CL136" s="15">
        <f t="shared" si="106"/>
        <v>1.9875988683281678E-2</v>
      </c>
    </row>
    <row r="137" spans="2:90">
      <c r="B137" t="str">
        <f t="shared" si="115"/>
        <v>2021</v>
      </c>
      <c r="C137" s="54">
        <v>202129</v>
      </c>
      <c r="D137" s="54"/>
      <c r="E137" s="54"/>
      <c r="F137" s="54"/>
      <c r="G137" s="29">
        <f t="shared" si="114"/>
        <v>860952</v>
      </c>
      <c r="H137" s="51">
        <v>401786</v>
      </c>
      <c r="I137" s="51">
        <v>459166</v>
      </c>
      <c r="J137" s="29">
        <v>632782</v>
      </c>
      <c r="K137" s="29">
        <v>107307</v>
      </c>
      <c r="L137" s="29">
        <v>120863</v>
      </c>
      <c r="M137" s="29">
        <v>938807.55639130983</v>
      </c>
      <c r="N137" s="27"/>
      <c r="O137" s="29">
        <v>26335570.813088492</v>
      </c>
      <c r="P137" s="29">
        <v>23233322</v>
      </c>
      <c r="Q137" s="29">
        <v>1889543</v>
      </c>
      <c r="R137" s="29">
        <v>139963179</v>
      </c>
      <c r="S137" s="29">
        <v>64836989</v>
      </c>
      <c r="T137" s="62">
        <f t="shared" si="108"/>
        <v>2.9142978863500278E-2</v>
      </c>
      <c r="U137" s="25">
        <f t="shared" si="109"/>
        <v>74.072502716265262</v>
      </c>
      <c r="V137" s="30">
        <v>0.46200987408290772</v>
      </c>
      <c r="W137" s="30">
        <v>0.43987293207697742</v>
      </c>
      <c r="X137" s="30">
        <v>0.48989521265666741</v>
      </c>
      <c r="Y137" s="29">
        <v>456134</v>
      </c>
      <c r="Z137" s="29">
        <v>365025</v>
      </c>
      <c r="AA137" s="15">
        <f t="shared" si="91"/>
        <v>0.51765662922771349</v>
      </c>
      <c r="AB137" s="30">
        <v>0.35786668160894203</v>
      </c>
      <c r="AC137" s="30">
        <v>0.14098280379615</v>
      </c>
      <c r="AD137" s="30">
        <v>0.39600237289828571</v>
      </c>
      <c r="AE137" s="30">
        <f t="shared" si="92"/>
        <v>0.10284711250680628</v>
      </c>
      <c r="AF137" s="30">
        <v>0.64900000000000002</v>
      </c>
      <c r="AG137" s="30">
        <v>0.625</v>
      </c>
      <c r="AH137" s="30">
        <v>0.68</v>
      </c>
      <c r="AI137" s="15">
        <f t="shared" si="110"/>
        <v>0.73277020650081182</v>
      </c>
      <c r="AJ137" s="30"/>
      <c r="AK137" s="30"/>
      <c r="AL137" s="30"/>
      <c r="AM137" s="30">
        <f t="shared" si="94"/>
        <v>0</v>
      </c>
      <c r="AN137" s="66">
        <v>0.31251217943721249</v>
      </c>
      <c r="AO137" s="30">
        <v>0.2282633584067347</v>
      </c>
      <c r="AP137" s="30">
        <v>8.1457294021357859E-2</v>
      </c>
      <c r="AQ137" s="30">
        <v>0.25879598955491467</v>
      </c>
      <c r="AR137" s="30">
        <f t="shared" si="95"/>
        <v>5.0924662873177873E-2</v>
      </c>
      <c r="AS137" s="66">
        <v>0.192684786421389</v>
      </c>
      <c r="AT137" s="66">
        <v>0.13329176085431441</v>
      </c>
      <c r="AU137" s="66">
        <v>4.570090225270871E-2</v>
      </c>
      <c r="AV137" s="66">
        <v>0.15559231039052149</v>
      </c>
      <c r="AW137" s="30">
        <f t="shared" si="96"/>
        <v>2.3400352716501621E-2</v>
      </c>
      <c r="AX137" s="66">
        <v>0.65436340517577363</v>
      </c>
      <c r="AY137" s="66">
        <v>0.35912653948086359</v>
      </c>
      <c r="AZ137" s="66">
        <v>0.77785924468002188</v>
      </c>
      <c r="BA137" s="62">
        <f t="shared" si="97"/>
        <v>0.23563069997661534</v>
      </c>
      <c r="BB137" s="62">
        <f t="shared" si="107"/>
        <v>3.7056775608757114E-2</v>
      </c>
      <c r="BC137" s="29">
        <f t="shared" si="111"/>
        <v>401786</v>
      </c>
      <c r="BD137" s="29" t="e">
        <f t="shared" si="112"/>
        <v>#REF!</v>
      </c>
      <c r="BE137" s="29"/>
      <c r="BF137" s="29" t="e">
        <f t="shared" si="113"/>
        <v>#REF!</v>
      </c>
      <c r="BG137" s="29"/>
      <c r="BH137" s="29" t="e">
        <f>SUM(#REF!)</f>
        <v>#REF!</v>
      </c>
      <c r="BI137" s="30"/>
      <c r="BJ137" s="30"/>
      <c r="BK137" s="30"/>
      <c r="BL137" s="30"/>
      <c r="BM137" s="30"/>
      <c r="BN137" s="62"/>
      <c r="BO137" s="30"/>
      <c r="BP137" s="30"/>
      <c r="BQ137" s="30"/>
      <c r="BR137" s="30"/>
      <c r="BS137" s="30"/>
      <c r="BT137" s="30"/>
      <c r="BU137" s="30"/>
      <c r="BV137" s="62"/>
      <c r="BW137" s="30"/>
      <c r="BX137" s="30"/>
      <c r="BY137" s="51">
        <v>401786</v>
      </c>
      <c r="BZ137" s="51">
        <v>459166</v>
      </c>
      <c r="CA137" s="29">
        <f t="shared" si="99"/>
        <v>275212</v>
      </c>
      <c r="CB137" s="29">
        <f t="shared" si="100"/>
        <v>357569</v>
      </c>
      <c r="CC137" s="29">
        <v>34298</v>
      </c>
      <c r="CD137" s="29">
        <v>73009</v>
      </c>
      <c r="CE137" s="29">
        <v>92276</v>
      </c>
      <c r="CF137" s="29">
        <v>28588</v>
      </c>
      <c r="CG137" s="15">
        <f t="shared" si="101"/>
        <v>0.31966009719473326</v>
      </c>
      <c r="CH137" s="15">
        <f t="shared" si="102"/>
        <v>0.41531815943281392</v>
      </c>
      <c r="CI137" s="15">
        <f t="shared" si="103"/>
        <v>3.9837296388184243E-2</v>
      </c>
      <c r="CJ137" s="15">
        <f t="shared" si="104"/>
        <v>8.4800314070935426E-2</v>
      </c>
      <c r="CK137" s="15">
        <f t="shared" si="105"/>
        <v>0.1071790297252344</v>
      </c>
      <c r="CL137" s="15">
        <f t="shared" si="106"/>
        <v>3.3205103188098758E-2</v>
      </c>
    </row>
    <row r="138" spans="2:90" s="28" customFormat="1">
      <c r="B138" t="str">
        <f t="shared" si="115"/>
        <v>2021</v>
      </c>
      <c r="C138" s="54">
        <v>202130</v>
      </c>
      <c r="D138" s="54"/>
      <c r="E138" s="54"/>
      <c r="F138" s="54"/>
      <c r="G138" s="29">
        <f t="shared" si="114"/>
        <v>861340</v>
      </c>
      <c r="H138" s="51">
        <v>405187</v>
      </c>
      <c r="I138" s="51">
        <v>456153</v>
      </c>
      <c r="J138" s="29">
        <v>625657</v>
      </c>
      <c r="K138" s="29">
        <v>112935</v>
      </c>
      <c r="L138" s="29">
        <v>122748</v>
      </c>
      <c r="M138" s="29">
        <v>921419.55639130983</v>
      </c>
      <c r="N138" s="29"/>
      <c r="O138" s="29">
        <v>27256990.369479802</v>
      </c>
      <c r="P138" s="29">
        <v>23181453</v>
      </c>
      <c r="Q138" s="29">
        <v>1799111</v>
      </c>
      <c r="R138" s="29">
        <v>137097855.19999999</v>
      </c>
      <c r="S138" s="29">
        <v>64418826</v>
      </c>
      <c r="T138" s="62">
        <f t="shared" si="108"/>
        <v>2.7928341941531192E-2</v>
      </c>
      <c r="U138" s="25">
        <f t="shared" si="109"/>
        <v>76.203110980923356</v>
      </c>
      <c r="V138" s="30">
        <v>0.44913733844901299</v>
      </c>
      <c r="W138" s="30">
        <v>0.42638772713127648</v>
      </c>
      <c r="X138" s="30">
        <v>0.477415037782142</v>
      </c>
      <c r="Y138" s="29">
        <v>453097</v>
      </c>
      <c r="Z138" s="29">
        <v>367634</v>
      </c>
      <c r="AA138" s="15">
        <f t="shared" si="91"/>
        <v>0.50445115391035544</v>
      </c>
      <c r="AB138" s="30">
        <v>0.34695862442168279</v>
      </c>
      <c r="AC138" s="30">
        <v>0.13419396356297009</v>
      </c>
      <c r="AD138" s="30">
        <v>0.38426587233876591</v>
      </c>
      <c r="AE138" s="30">
        <f t="shared" si="92"/>
        <v>9.6886715645886967E-2</v>
      </c>
      <c r="AF138" s="30">
        <v>0.62376143490105496</v>
      </c>
      <c r="AG138" s="30">
        <v>0.6091890090340637</v>
      </c>
      <c r="AH138" s="30">
        <v>0.64193514163454402</v>
      </c>
      <c r="AI138" s="15">
        <f t="shared" si="110"/>
        <v>0.70666691801087234</v>
      </c>
      <c r="AJ138" s="30">
        <v>0.51903389179734405</v>
      </c>
      <c r="AK138" s="30">
        <v>0.21773879973915319</v>
      </c>
      <c r="AL138" s="30">
        <v>0.55332183494737353</v>
      </c>
      <c r="AM138" s="30">
        <f t="shared" si="94"/>
        <v>0.18345085658912375</v>
      </c>
      <c r="AN138" s="66">
        <v>0.32371816358993422</v>
      </c>
      <c r="AO138" s="30">
        <v>0.21873099780777919</v>
      </c>
      <c r="AP138" s="30">
        <v>7.6725292428125258E-2</v>
      </c>
      <c r="AQ138" s="30">
        <v>0.2481730477475205</v>
      </c>
      <c r="AR138" s="30">
        <f t="shared" si="95"/>
        <v>4.7283242488383975E-2</v>
      </c>
      <c r="AS138" s="66">
        <v>0.18790464387683109</v>
      </c>
      <c r="AT138" s="66">
        <v>0.1301367609480045</v>
      </c>
      <c r="AU138" s="66">
        <v>4.3614105765211797E-2</v>
      </c>
      <c r="AV138" s="66">
        <v>0.15150207950243039</v>
      </c>
      <c r="AW138" s="30">
        <f t="shared" si="96"/>
        <v>2.2248787210785909E-2</v>
      </c>
      <c r="AX138" s="66">
        <v>0.66055671929702708</v>
      </c>
      <c r="AY138" s="66">
        <v>0.36373440373177163</v>
      </c>
      <c r="AZ138" s="66">
        <v>0.78260578166260275</v>
      </c>
      <c r="BA138" s="62">
        <f t="shared" si="97"/>
        <v>0.24168534136619602</v>
      </c>
      <c r="BB138" s="62">
        <f t="shared" si="107"/>
        <v>3.7156428460286765E-2</v>
      </c>
      <c r="BC138" s="29">
        <f t="shared" si="111"/>
        <v>405187</v>
      </c>
      <c r="BD138" s="29" t="e">
        <f t="shared" si="112"/>
        <v>#REF!</v>
      </c>
      <c r="BE138" s="29"/>
      <c r="BF138" s="29" t="e">
        <f t="shared" si="113"/>
        <v>#REF!</v>
      </c>
      <c r="BG138" s="29"/>
      <c r="BH138" s="29" t="e">
        <f>SUM(#REF!)</f>
        <v>#REF!</v>
      </c>
      <c r="BI138" s="30"/>
      <c r="BJ138" s="30"/>
      <c r="BK138" s="30"/>
      <c r="BL138" s="30"/>
      <c r="BM138" s="30"/>
      <c r="BN138" s="62"/>
      <c r="BO138" s="30"/>
      <c r="BP138" s="30"/>
      <c r="BQ138" s="30"/>
      <c r="BR138" s="30"/>
      <c r="BS138" s="30"/>
      <c r="BT138" s="30"/>
      <c r="BU138" s="30"/>
      <c r="BV138" s="62"/>
      <c r="BW138" s="30"/>
      <c r="BX138" s="30"/>
      <c r="BY138" s="51">
        <v>405187</v>
      </c>
      <c r="BZ138" s="51">
        <v>456153</v>
      </c>
      <c r="CA138" s="29">
        <f t="shared" si="99"/>
        <v>277115</v>
      </c>
      <c r="CB138" s="29">
        <f t="shared" si="100"/>
        <v>348540</v>
      </c>
      <c r="CC138" s="29">
        <v>35701</v>
      </c>
      <c r="CD138" s="29">
        <v>77234</v>
      </c>
      <c r="CE138" s="29">
        <v>92371</v>
      </c>
      <c r="CF138" s="29">
        <v>30379</v>
      </c>
      <c r="CG138" s="15">
        <f t="shared" si="101"/>
        <v>0.3217254510414006</v>
      </c>
      <c r="CH138" s="15">
        <f t="shared" si="102"/>
        <v>0.40464857083149514</v>
      </c>
      <c r="CI138" s="15">
        <f t="shared" si="103"/>
        <v>4.1448208605196553E-2</v>
      </c>
      <c r="CJ138" s="15">
        <f t="shared" si="104"/>
        <v>8.9667262637286083E-2</v>
      </c>
      <c r="CK138" s="15">
        <f t="shared" si="105"/>
        <v>0.10724104302598277</v>
      </c>
      <c r="CL138" s="15">
        <f t="shared" si="106"/>
        <v>3.5269463858638862E-2</v>
      </c>
    </row>
    <row r="139" spans="2:90">
      <c r="B139" t="str">
        <f t="shared" si="115"/>
        <v>2021</v>
      </c>
      <c r="C139" s="54">
        <v>202131</v>
      </c>
      <c r="D139" s="54"/>
      <c r="E139" s="54"/>
      <c r="F139" s="54"/>
      <c r="G139" s="29">
        <f t="shared" si="114"/>
        <v>930630</v>
      </c>
      <c r="H139" s="51">
        <v>496319</v>
      </c>
      <c r="I139" s="51">
        <v>434311</v>
      </c>
      <c r="J139" s="29">
        <f t="shared" ref="J139:J160" si="116">G139-(K139+L139)</f>
        <v>718051</v>
      </c>
      <c r="K139" s="29">
        <v>96874</v>
      </c>
      <c r="L139" s="29">
        <v>115705</v>
      </c>
      <c r="M139" s="29">
        <v>934547.83401895803</v>
      </c>
      <c r="N139" s="29"/>
      <c r="O139" s="29">
        <v>28191538.203498751</v>
      </c>
      <c r="P139" s="29">
        <v>22851991</v>
      </c>
      <c r="Q139" s="29">
        <v>1745637</v>
      </c>
      <c r="R139" s="29">
        <v>128381418.62</v>
      </c>
      <c r="S139" s="29">
        <v>63134117</v>
      </c>
      <c r="T139" s="62">
        <f t="shared" si="108"/>
        <v>2.7649662067816678E-2</v>
      </c>
      <c r="U139" s="25">
        <f t="shared" si="109"/>
        <v>73.54416675402733</v>
      </c>
      <c r="V139" s="30">
        <v>0.49051675529609617</v>
      </c>
      <c r="W139" s="30">
        <v>0.51911535235277673</v>
      </c>
      <c r="X139" s="30">
        <v>0.46244426579593217</v>
      </c>
      <c r="Y139" s="24">
        <v>554345</v>
      </c>
      <c r="Z139" s="24">
        <v>564734</v>
      </c>
      <c r="AA139" s="15">
        <f t="shared" si="91"/>
        <v>0.54005257895108383</v>
      </c>
      <c r="AB139" s="30">
        <v>0.36003373005447808</v>
      </c>
      <c r="AC139" s="30">
        <v>0.1393492098683477</v>
      </c>
      <c r="AD139" s="30">
        <v>0.39857595605865848</v>
      </c>
      <c r="AE139" s="30">
        <f t="shared" si="92"/>
        <v>0.10080698386416731</v>
      </c>
      <c r="AF139" s="30">
        <v>0.71956939590502544</v>
      </c>
      <c r="AG139" s="30">
        <v>0.78282116732359808</v>
      </c>
      <c r="AH139" s="30">
        <v>0.65748122124752539</v>
      </c>
      <c r="AI139" s="15">
        <f t="shared" si="110"/>
        <v>0.79387313138750704</v>
      </c>
      <c r="AJ139" s="30"/>
      <c r="AK139" s="30"/>
      <c r="AL139" s="30"/>
      <c r="AM139" s="30">
        <f t="shared" si="94"/>
        <v>0</v>
      </c>
      <c r="AN139" s="66">
        <v>0.3114711245343752</v>
      </c>
      <c r="AO139" s="30">
        <v>0.22897528584590271</v>
      </c>
      <c r="AP139" s="30">
        <v>8.1273393362147506E-2</v>
      </c>
      <c r="AQ139" s="30">
        <v>0.26027834336874672</v>
      </c>
      <c r="AR139" s="30">
        <f t="shared" si="95"/>
        <v>4.9970335839303492E-2</v>
      </c>
      <c r="AS139" s="66">
        <v>0.19047466501282029</v>
      </c>
      <c r="AT139" s="66">
        <v>0.13221374084927909</v>
      </c>
      <c r="AU139" s="66">
        <v>4.57635349940992E-2</v>
      </c>
      <c r="AV139" s="66">
        <v>0.15502631332785749</v>
      </c>
      <c r="AW139" s="30">
        <f t="shared" si="96"/>
        <v>2.2950962515520812E-2</v>
      </c>
      <c r="AX139" s="66">
        <v>0.65066894924801677</v>
      </c>
      <c r="AY139" s="66">
        <v>0.35184898059079728</v>
      </c>
      <c r="AZ139" s="66">
        <v>0.77617077330558704</v>
      </c>
      <c r="BA139" s="62">
        <f t="shared" si="97"/>
        <v>0.22634715653322701</v>
      </c>
      <c r="BB139" s="62">
        <f t="shared" si="107"/>
        <v>4.0724241489505222E-2</v>
      </c>
      <c r="BC139" s="29">
        <f t="shared" si="111"/>
        <v>496319</v>
      </c>
      <c r="BD139" s="29" t="e">
        <f t="shared" si="112"/>
        <v>#REF!</v>
      </c>
      <c r="BE139" s="29"/>
      <c r="BF139" s="29" t="e">
        <f t="shared" si="113"/>
        <v>#REF!</v>
      </c>
      <c r="BG139" s="29"/>
      <c r="BH139" s="29" t="e">
        <f>SUM(#REF!)</f>
        <v>#REF!</v>
      </c>
      <c r="BI139" s="30"/>
      <c r="BJ139" s="30"/>
      <c r="BK139" s="30"/>
      <c r="BL139" s="30"/>
      <c r="BM139" s="30"/>
      <c r="BN139" s="62"/>
      <c r="BO139" s="30"/>
      <c r="BP139" s="30"/>
      <c r="BQ139" s="30"/>
      <c r="BR139" s="30"/>
      <c r="BS139" s="30"/>
      <c r="BT139" s="30"/>
      <c r="BU139" s="30"/>
      <c r="BV139" s="62"/>
      <c r="BW139" s="30"/>
      <c r="BX139" s="30"/>
      <c r="BY139" s="51">
        <v>496319</v>
      </c>
      <c r="BZ139" s="51">
        <v>434311</v>
      </c>
      <c r="CA139" s="29">
        <f t="shared" si="99"/>
        <v>368016</v>
      </c>
      <c r="CB139" s="29">
        <f t="shared" si="100"/>
        <v>350035</v>
      </c>
      <c r="CC139" s="29">
        <v>31527</v>
      </c>
      <c r="CD139" s="29">
        <v>65347</v>
      </c>
      <c r="CE139" s="29">
        <v>96776</v>
      </c>
      <c r="CF139" s="29">
        <v>18929</v>
      </c>
      <c r="CG139" s="15">
        <f t="shared" si="101"/>
        <v>0.39544824473743595</v>
      </c>
      <c r="CH139" s="15">
        <f t="shared" si="102"/>
        <v>0.37612692477139142</v>
      </c>
      <c r="CI139" s="15">
        <f t="shared" si="103"/>
        <v>3.3877051029947453E-2</v>
      </c>
      <c r="CJ139" s="15">
        <f t="shared" si="104"/>
        <v>7.0218024349096853E-2</v>
      </c>
      <c r="CK139" s="15">
        <f t="shared" si="105"/>
        <v>0.10398977037060916</v>
      </c>
      <c r="CL139" s="15">
        <f t="shared" si="106"/>
        <v>2.0339984741519185E-2</v>
      </c>
    </row>
    <row r="140" spans="2:90">
      <c r="B140" t="str">
        <f t="shared" si="115"/>
        <v>2021</v>
      </c>
      <c r="C140" s="54">
        <v>202132</v>
      </c>
      <c r="D140" s="54"/>
      <c r="E140" s="54"/>
      <c r="F140" s="54"/>
      <c r="G140" s="29">
        <f t="shared" si="114"/>
        <v>952444</v>
      </c>
      <c r="H140" s="51">
        <v>481279</v>
      </c>
      <c r="I140" s="51">
        <v>471165</v>
      </c>
      <c r="J140" s="29">
        <f t="shared" si="116"/>
        <v>711630</v>
      </c>
      <c r="K140" s="29">
        <v>97244</v>
      </c>
      <c r="L140" s="29">
        <v>143570</v>
      </c>
      <c r="M140" s="29">
        <v>939146.05200544186</v>
      </c>
      <c r="N140" s="29"/>
      <c r="O140" s="29">
        <v>29130684.255504198</v>
      </c>
      <c r="P140" s="29">
        <v>22942106</v>
      </c>
      <c r="Q140" s="29">
        <v>1651506</v>
      </c>
      <c r="R140" s="29">
        <v>121125032.90000001</v>
      </c>
      <c r="S140" s="29">
        <v>59846078</v>
      </c>
      <c r="T140" s="62">
        <f t="shared" si="108"/>
        <v>2.7595893585541226E-2</v>
      </c>
      <c r="U140" s="25">
        <f t="shared" si="109"/>
        <v>73.342169450186688</v>
      </c>
      <c r="V140" s="30">
        <v>0.4968264955462427</v>
      </c>
      <c r="W140" s="30">
        <v>0.51301587512741509</v>
      </c>
      <c r="X140" s="30">
        <v>0.47884225342746628</v>
      </c>
      <c r="Y140" s="24">
        <v>601381</v>
      </c>
      <c r="Z140" s="24">
        <v>541362</v>
      </c>
      <c r="AA140" s="15">
        <v>0.47449604587434713</v>
      </c>
      <c r="AB140" s="30"/>
      <c r="AC140" s="30"/>
      <c r="AD140" s="30"/>
      <c r="AE140" s="30">
        <f t="shared" si="92"/>
        <v>0</v>
      </c>
      <c r="AF140" s="30">
        <v>0.73096838046699919</v>
      </c>
      <c r="AG140" s="30">
        <v>0.7914333841607899</v>
      </c>
      <c r="AH140" s="30">
        <v>0.6637998234083663</v>
      </c>
      <c r="AI140" s="15">
        <v>0.64147705279428602</v>
      </c>
      <c r="AJ140" s="30"/>
      <c r="AK140" s="30"/>
      <c r="AL140" s="30"/>
      <c r="AM140" s="30">
        <f t="shared" si="94"/>
        <v>0</v>
      </c>
      <c r="AN140" s="66">
        <v>0.2404938288401666</v>
      </c>
      <c r="AO140" s="30">
        <v>0.17293646528481671</v>
      </c>
      <c r="AP140" s="30">
        <v>6.0149250685369478E-2</v>
      </c>
      <c r="AQ140" s="30">
        <v>0.19640229204789991</v>
      </c>
      <c r="AR140" s="30">
        <f t="shared" si="95"/>
        <v>3.6683423922286268E-2</v>
      </c>
      <c r="AS140" s="66">
        <v>0.14957267864390941</v>
      </c>
      <c r="AT140" s="66">
        <v>0.1028065568714952</v>
      </c>
      <c r="AU140" s="66">
        <v>3.5143751856563342E-2</v>
      </c>
      <c r="AV140" s="66">
        <v>0.11988693954462901</v>
      </c>
      <c r="AW140" s="30">
        <f t="shared" si="96"/>
        <v>1.8063369183429545E-2</v>
      </c>
      <c r="AX140" s="66">
        <v>0.55637376616485601</v>
      </c>
      <c r="AY140" s="66">
        <v>0.2941170468228107</v>
      </c>
      <c r="AZ140" s="66">
        <v>0.6612834833323129</v>
      </c>
      <c r="BA140" s="62">
        <f t="shared" si="97"/>
        <v>0.18920732965535381</v>
      </c>
      <c r="BB140" s="62">
        <f t="shared" si="107"/>
        <v>4.1515107636587507E-2</v>
      </c>
      <c r="BC140" s="29">
        <f t="shared" si="111"/>
        <v>392879</v>
      </c>
      <c r="BD140" s="29">
        <f t="shared" si="112"/>
        <v>469531</v>
      </c>
      <c r="BE140" s="29"/>
      <c r="BF140" s="29">
        <f t="shared" si="113"/>
        <v>862410</v>
      </c>
      <c r="BG140" s="29">
        <v>88400</v>
      </c>
      <c r="BH140" s="29">
        <v>1634</v>
      </c>
      <c r="BI140" s="30"/>
      <c r="BJ140" s="30"/>
      <c r="BK140" s="30"/>
      <c r="BL140" s="30"/>
      <c r="BM140" s="30"/>
      <c r="BN140" s="62"/>
      <c r="BO140" s="30"/>
      <c r="BP140" s="68"/>
      <c r="BQ140" s="30"/>
      <c r="BR140" s="30"/>
      <c r="BS140" s="30"/>
      <c r="BT140" s="30"/>
      <c r="BU140" s="30"/>
      <c r="BV140" s="62"/>
      <c r="BW140" s="30"/>
      <c r="BX140" s="30"/>
      <c r="BY140" s="51">
        <v>481279</v>
      </c>
      <c r="BZ140" s="51">
        <v>471165</v>
      </c>
      <c r="CA140" s="29">
        <f t="shared" si="99"/>
        <v>340976</v>
      </c>
      <c r="CB140" s="29">
        <f t="shared" si="100"/>
        <v>370654</v>
      </c>
      <c r="CC140" s="29">
        <v>29489</v>
      </c>
      <c r="CD140" s="29">
        <v>67755</v>
      </c>
      <c r="CE140" s="29">
        <v>110814</v>
      </c>
      <c r="CF140" s="29">
        <v>32756</v>
      </c>
      <c r="CG140" s="15">
        <f t="shared" si="101"/>
        <v>0.35800110032715832</v>
      </c>
      <c r="CH140" s="15">
        <f t="shared" si="102"/>
        <v>0.38916093754593445</v>
      </c>
      <c r="CI140" s="15">
        <f t="shared" si="103"/>
        <v>3.096140035529648E-2</v>
      </c>
      <c r="CJ140" s="15">
        <f t="shared" si="104"/>
        <v>7.1138040661708202E-2</v>
      </c>
      <c r="CK140" s="15">
        <f t="shared" si="105"/>
        <v>0.11634699782874373</v>
      </c>
      <c r="CL140" s="15">
        <f t="shared" si="106"/>
        <v>3.4391523281158784E-2</v>
      </c>
    </row>
    <row r="141" spans="2:90">
      <c r="B141" t="str">
        <f t="shared" si="115"/>
        <v>2021</v>
      </c>
      <c r="C141" s="54">
        <v>202133</v>
      </c>
      <c r="D141" s="54"/>
      <c r="E141" s="54"/>
      <c r="F141" s="54"/>
      <c r="G141" s="29">
        <f t="shared" si="114"/>
        <v>1084698</v>
      </c>
      <c r="H141" s="51">
        <v>515749</v>
      </c>
      <c r="I141" s="51">
        <v>568949</v>
      </c>
      <c r="J141" s="29">
        <f t="shared" si="116"/>
        <v>872482</v>
      </c>
      <c r="K141" s="29">
        <v>69085</v>
      </c>
      <c r="L141" s="29">
        <v>143131</v>
      </c>
      <c r="M141" s="29">
        <v>937133.05200544186</v>
      </c>
      <c r="N141" s="29"/>
      <c r="O141" s="29">
        <v>30067817.307509638</v>
      </c>
      <c r="P141" s="29">
        <v>26572556</v>
      </c>
      <c r="Q141" s="29">
        <v>5284377</v>
      </c>
      <c r="R141" s="29">
        <v>496201951.13999999</v>
      </c>
      <c r="S141" s="29">
        <v>90773578</v>
      </c>
      <c r="T141" s="62">
        <f t="shared" si="108"/>
        <v>5.8214924611652966E-2</v>
      </c>
      <c r="U141" s="25">
        <f t="shared" si="109"/>
        <v>93.899801460039654</v>
      </c>
      <c r="V141" s="30">
        <v>0.51055326791930211</v>
      </c>
      <c r="W141" s="30">
        <v>0.53041013108935198</v>
      </c>
      <c r="X141" s="30">
        <v>0.48536908610256008</v>
      </c>
      <c r="Y141" s="24">
        <v>723476</v>
      </c>
      <c r="Z141" s="24">
        <v>570436</v>
      </c>
      <c r="AA141" s="15">
        <v>0.35576785108963399</v>
      </c>
      <c r="AB141" s="30"/>
      <c r="AC141" s="30"/>
      <c r="AD141" s="30"/>
      <c r="AE141" s="30"/>
      <c r="AF141" s="30">
        <v>0.74831905106375085</v>
      </c>
      <c r="AG141" s="30">
        <v>0.82258568356103035</v>
      </c>
      <c r="AH141" s="30">
        <v>0.65412771984937834</v>
      </c>
      <c r="AI141" s="15">
        <v>0.65751614451513285</v>
      </c>
      <c r="AJ141" s="30"/>
      <c r="AK141" s="30"/>
      <c r="AL141" s="30"/>
      <c r="AM141" s="30">
        <f t="shared" si="94"/>
        <v>0</v>
      </c>
      <c r="AN141" s="66">
        <v>8.8898536849643953E-2</v>
      </c>
      <c r="AO141" s="30">
        <v>5.726559475348842E-2</v>
      </c>
      <c r="AP141" s="30">
        <v>1.9799347154655571E-2</v>
      </c>
      <c r="AQ141" s="30">
        <v>6.5613554642710042E-2</v>
      </c>
      <c r="AR141" s="30">
        <f t="shared" si="95"/>
        <v>1.1451387265433946E-2</v>
      </c>
      <c r="AS141" s="66">
        <v>5.3567209797380458E-2</v>
      </c>
      <c r="AT141" s="66">
        <v>3.3809917856272603E-2</v>
      </c>
      <c r="AU141" s="66">
        <v>1.2511426030445499E-2</v>
      </c>
      <c r="AV141" s="66">
        <v>3.9833708737960147E-2</v>
      </c>
      <c r="AW141" s="30">
        <f t="shared" si="96"/>
        <v>6.4876351487579559E-3</v>
      </c>
      <c r="AX141" s="66">
        <v>0.38756229428506761</v>
      </c>
      <c r="AY141" s="66">
        <v>0.18771220875218469</v>
      </c>
      <c r="AZ141" s="66">
        <v>0.45538993222926027</v>
      </c>
      <c r="BA141" s="62">
        <f t="shared" si="97"/>
        <v>0.11988457080799209</v>
      </c>
      <c r="BB141" s="62">
        <f t="shared" si="107"/>
        <v>4.0820235734943977E-2</v>
      </c>
      <c r="BC141" s="29">
        <f t="shared" si="111"/>
        <v>224217</v>
      </c>
      <c r="BD141" s="29">
        <f t="shared" si="112"/>
        <v>450671</v>
      </c>
      <c r="BE141" s="29"/>
      <c r="BF141" s="29">
        <f t="shared" si="113"/>
        <v>674888</v>
      </c>
      <c r="BG141" s="51">
        <v>291532</v>
      </c>
      <c r="BH141" s="29">
        <v>118278</v>
      </c>
      <c r="BI141" s="30"/>
      <c r="BJ141" s="30"/>
      <c r="BK141" s="30"/>
      <c r="BL141" s="30"/>
      <c r="BM141" s="30"/>
      <c r="BN141" s="62"/>
      <c r="BO141" s="30"/>
      <c r="BP141" s="30"/>
      <c r="BQ141" s="30"/>
      <c r="BR141" s="30"/>
      <c r="BS141" s="30"/>
      <c r="BT141" s="30"/>
      <c r="BU141" s="30"/>
      <c r="BV141" s="62"/>
      <c r="BW141" s="30"/>
      <c r="BX141" s="30"/>
      <c r="BY141" s="51">
        <v>515749</v>
      </c>
      <c r="BZ141" s="51">
        <v>568949</v>
      </c>
      <c r="CA141" s="29">
        <f t="shared" ref="CA141:CA160" si="117">BY141-(CC141+CE141)</f>
        <v>390959</v>
      </c>
      <c r="CB141" s="29">
        <f t="shared" ref="CB141:CB160" si="118">BZ141-(CD141+CF141)</f>
        <v>481523</v>
      </c>
      <c r="CC141" s="29">
        <v>16435</v>
      </c>
      <c r="CD141" s="29">
        <v>52650</v>
      </c>
      <c r="CE141" s="29">
        <v>108355</v>
      </c>
      <c r="CF141" s="29">
        <v>34776</v>
      </c>
      <c r="CG141" s="15">
        <f t="shared" ref="CG141:CG160" si="119">CA141/SUM($BY141:$BZ141)</f>
        <v>0.36043119836120285</v>
      </c>
      <c r="CH141" s="15">
        <f t="shared" ref="CH141:CH160" si="120">CB141/SUM($BY141:$BZ141)</f>
        <v>0.44392356213434525</v>
      </c>
      <c r="CI141" s="15">
        <f t="shared" ref="CI141:CI160" si="121">CC141/SUM($BY141:$BZ141)</f>
        <v>1.5151682772532078E-2</v>
      </c>
      <c r="CJ141" s="15">
        <f t="shared" ref="CJ141:CJ160" si="122">CD141/SUM($BY141:$BZ141)</f>
        <v>4.8538855976502218E-2</v>
      </c>
      <c r="CK141" s="15">
        <f t="shared" ref="CK141:CK160" si="123">CE141/SUM($BY141:$BZ141)</f>
        <v>9.9894164089912585E-2</v>
      </c>
      <c r="CL141" s="15">
        <f t="shared" ref="CL141:CL160" si="124">CF141/SUM($BY141:$BZ141)</f>
        <v>3.2060536665505054E-2</v>
      </c>
    </row>
    <row r="142" spans="2:90">
      <c r="B142" t="str">
        <f t="shared" si="115"/>
        <v>2021</v>
      </c>
      <c r="C142" s="54">
        <v>202134</v>
      </c>
      <c r="D142" s="54"/>
      <c r="E142" s="54"/>
      <c r="F142" s="54"/>
      <c r="G142" s="29">
        <f t="shared" si="114"/>
        <v>1061510</v>
      </c>
      <c r="H142" s="51">
        <v>477630</v>
      </c>
      <c r="I142" s="51">
        <v>583880</v>
      </c>
      <c r="J142" s="29">
        <f t="shared" si="116"/>
        <v>938840</v>
      </c>
      <c r="K142" s="29">
        <v>19561</v>
      </c>
      <c r="L142" s="29">
        <v>103109</v>
      </c>
      <c r="M142" s="29">
        <v>929346.05200544186</v>
      </c>
      <c r="N142" s="29"/>
      <c r="O142" s="29">
        <v>30997163.359515078</v>
      </c>
      <c r="P142" s="29">
        <v>25550993</v>
      </c>
      <c r="Q142" s="29">
        <v>5165528</v>
      </c>
      <c r="R142" s="29">
        <v>495440292.94999999</v>
      </c>
      <c r="S142" s="29">
        <v>82019551</v>
      </c>
      <c r="T142" s="62">
        <f t="shared" si="108"/>
        <v>6.2979227964805609E-2</v>
      </c>
      <c r="U142" s="25">
        <f t="shared" si="109"/>
        <v>95.912807548424865</v>
      </c>
      <c r="V142" s="30">
        <v>0.45236350813405329</v>
      </c>
      <c r="W142" s="30">
        <v>0.44711206505841</v>
      </c>
      <c r="X142" s="30">
        <v>0.46121784349020539</v>
      </c>
      <c r="Y142" s="24">
        <v>893597</v>
      </c>
      <c r="Z142" s="24">
        <v>529986</v>
      </c>
      <c r="AA142" s="15">
        <v>0.12779019161192459</v>
      </c>
      <c r="AB142" s="30"/>
      <c r="AC142" s="30"/>
      <c r="AD142" s="30"/>
      <c r="AE142" s="30"/>
      <c r="AF142" s="30">
        <v>0.78025728039741971</v>
      </c>
      <c r="AG142" s="15">
        <v>0.86455303677160955</v>
      </c>
      <c r="AH142" s="15">
        <v>0.63812817697071245</v>
      </c>
      <c r="AI142" s="15">
        <v>0.42</v>
      </c>
      <c r="AJ142" s="30"/>
      <c r="AK142" s="30"/>
      <c r="AL142" s="30"/>
      <c r="AM142" s="30">
        <f t="shared" si="94"/>
        <v>0</v>
      </c>
      <c r="AN142" s="66">
        <v>5.7013464308805682E-2</v>
      </c>
      <c r="AO142" s="30">
        <v>2.9682987287653791E-2</v>
      </c>
      <c r="AP142" s="30">
        <v>8.4654219634775884E-3</v>
      </c>
      <c r="AQ142" s="30">
        <v>3.3708184567802973E-2</v>
      </c>
      <c r="AR142" s="30">
        <f t="shared" si="95"/>
        <v>4.4402246833284073E-3</v>
      </c>
      <c r="AS142" s="66">
        <v>2.7710185795829258E-2</v>
      </c>
      <c r="AT142" s="66">
        <v>1.707297659927683E-2</v>
      </c>
      <c r="AU142" s="66">
        <v>5.0201259864007461E-3</v>
      </c>
      <c r="AV142" s="66">
        <v>1.9898574125031269E-2</v>
      </c>
      <c r="AW142" s="30">
        <f t="shared" si="96"/>
        <v>2.194528460646307E-3</v>
      </c>
      <c r="AX142" s="66">
        <v>0.23403565824483211</v>
      </c>
      <c r="AY142" s="66">
        <v>6.3641325358742867E-2</v>
      </c>
      <c r="AZ142" s="66">
        <v>0.26470788893184449</v>
      </c>
      <c r="BA142" s="62">
        <f t="shared" si="97"/>
        <v>3.2969094671730481E-2</v>
      </c>
      <c r="BB142" s="62">
        <f t="shared" si="107"/>
        <v>4.1544765011676844E-2</v>
      </c>
      <c r="BC142" s="29"/>
      <c r="BD142" s="29"/>
      <c r="BE142" s="29"/>
      <c r="BF142" s="29"/>
      <c r="BG142" s="29"/>
      <c r="BH142" s="29"/>
      <c r="BI142" s="30"/>
      <c r="BJ142" s="30"/>
      <c r="BK142" s="30"/>
      <c r="BL142" s="30"/>
      <c r="BM142" s="30"/>
      <c r="BN142" s="62"/>
      <c r="BO142" s="30"/>
      <c r="BP142" s="30"/>
      <c r="BQ142" s="30"/>
      <c r="BR142" s="30"/>
      <c r="BS142" s="30"/>
      <c r="BT142" s="30"/>
      <c r="BU142" s="30"/>
      <c r="BV142" s="62"/>
      <c r="BW142" s="30"/>
      <c r="BX142" s="30"/>
      <c r="BY142" s="51">
        <v>477630</v>
      </c>
      <c r="BZ142" s="51">
        <v>583880</v>
      </c>
      <c r="CA142" s="29">
        <f t="shared" si="117"/>
        <v>378566</v>
      </c>
      <c r="CB142" s="29">
        <f t="shared" si="118"/>
        <v>560274</v>
      </c>
      <c r="CC142" s="29">
        <v>12668</v>
      </c>
      <c r="CD142" s="29">
        <v>6893</v>
      </c>
      <c r="CE142" s="29">
        <v>86396</v>
      </c>
      <c r="CF142" s="29">
        <v>16713</v>
      </c>
      <c r="CG142" s="15">
        <f t="shared" si="119"/>
        <v>0.35662970673851402</v>
      </c>
      <c r="CH142" s="15">
        <f t="shared" si="120"/>
        <v>0.52780849921338469</v>
      </c>
      <c r="CI142" s="15">
        <f t="shared" si="121"/>
        <v>1.1933943156446948E-2</v>
      </c>
      <c r="CJ142" s="15">
        <f t="shared" si="122"/>
        <v>6.4935799003306609E-3</v>
      </c>
      <c r="CK142" s="15">
        <f t="shared" si="123"/>
        <v>8.1389718419986629E-2</v>
      </c>
      <c r="CL142" s="15">
        <f t="shared" si="124"/>
        <v>1.5744552571337056E-2</v>
      </c>
    </row>
    <row r="143" spans="2:90">
      <c r="B143" t="str">
        <f t="shared" si="115"/>
        <v>2021</v>
      </c>
      <c r="C143" s="54">
        <v>202135</v>
      </c>
      <c r="D143" s="54"/>
      <c r="E143" s="54"/>
      <c r="F143" s="54"/>
      <c r="G143" s="29">
        <f t="shared" si="114"/>
        <v>944922</v>
      </c>
      <c r="H143" s="51">
        <v>411049</v>
      </c>
      <c r="I143" s="51">
        <v>533873</v>
      </c>
      <c r="J143" s="29">
        <f t="shared" si="116"/>
        <v>842696</v>
      </c>
      <c r="K143" s="51">
        <v>16172</v>
      </c>
      <c r="L143" s="51">
        <v>86054</v>
      </c>
      <c r="M143" s="29">
        <v>930274.33747480274</v>
      </c>
      <c r="N143" s="29"/>
      <c r="O143" s="29">
        <v>31927437.696989879</v>
      </c>
      <c r="P143" s="29">
        <v>25104287</v>
      </c>
      <c r="Q143" s="29">
        <v>5067652</v>
      </c>
      <c r="R143" s="29">
        <v>493695878.5</v>
      </c>
      <c r="S143" s="29">
        <v>79124251</v>
      </c>
      <c r="T143" s="62">
        <f t="shared" ref="T143:T160" si="125">IFERROR(Q143/S143,"")</f>
        <v>6.4046761087191845E-2</v>
      </c>
      <c r="U143" s="25">
        <f t="shared" ref="U143:U160" si="126">IFERROR(R143/Q143,"")</f>
        <v>97.421030193075609</v>
      </c>
      <c r="V143" s="30">
        <v>0.45159663828215058</v>
      </c>
      <c r="W143" s="30">
        <v>0.42082252535883219</v>
      </c>
      <c r="X143" s="30">
        <v>0.51056337267924268</v>
      </c>
      <c r="Y143" s="24">
        <v>887462</v>
      </c>
      <c r="Z143" s="24">
        <v>463157</v>
      </c>
      <c r="AA143" s="15">
        <f>IFERROR(((Y143*(W143+0.1))+(Z143*X143))/(Y143+Z143),"")</f>
        <v>0.51730443596602738</v>
      </c>
      <c r="AB143" s="30"/>
      <c r="AC143" s="30"/>
      <c r="AD143" s="30"/>
      <c r="AE143" s="30"/>
      <c r="AF143" s="30">
        <v>0.82244585630736722</v>
      </c>
      <c r="AG143" s="15">
        <v>0.88404911984963863</v>
      </c>
      <c r="AH143" s="15">
        <v>0.704406928967931</v>
      </c>
      <c r="AI143" s="15">
        <f t="shared" ref="AI143:AI156" si="127">AF143-0.1</f>
        <v>0.72244585630736724</v>
      </c>
      <c r="AJ143" s="30"/>
      <c r="AK143" s="30"/>
      <c r="AL143" s="30"/>
      <c r="AM143" s="30"/>
      <c r="AN143" s="66">
        <v>9.4407383887984211E-2</v>
      </c>
      <c r="AO143" s="30"/>
      <c r="AP143" s="30"/>
      <c r="AQ143" s="30"/>
      <c r="AR143" s="30">
        <f t="shared" si="95"/>
        <v>0</v>
      </c>
      <c r="AS143" s="66">
        <v>4.7499827097309627E-2</v>
      </c>
      <c r="AT143" s="66"/>
      <c r="AU143" s="66"/>
      <c r="AV143" s="66"/>
      <c r="AW143" s="30">
        <f t="shared" si="96"/>
        <v>0</v>
      </c>
      <c r="AX143" s="66"/>
      <c r="AY143" s="66"/>
      <c r="AZ143" s="66"/>
      <c r="BA143" s="62" t="str">
        <f t="shared" si="97"/>
        <v/>
      </c>
      <c r="BB143" s="62">
        <f t="shared" si="107"/>
        <v>3.7639866051563227E-2</v>
      </c>
      <c r="BC143" s="29"/>
      <c r="BD143" s="29"/>
      <c r="BE143" s="29"/>
      <c r="BF143" s="29"/>
      <c r="BG143" s="29"/>
      <c r="BH143" s="29"/>
      <c r="BI143" s="30"/>
      <c r="BJ143" s="30"/>
      <c r="BK143" s="30"/>
      <c r="BL143" s="30"/>
      <c r="BM143" s="30"/>
      <c r="BN143" s="62"/>
      <c r="BO143" s="30"/>
      <c r="BP143" s="30"/>
      <c r="BQ143" s="30"/>
      <c r="BR143" s="30"/>
      <c r="BS143" s="30"/>
      <c r="BT143" s="30"/>
      <c r="BU143" s="30"/>
      <c r="BV143" s="62"/>
      <c r="BW143" s="30"/>
      <c r="BX143" s="30"/>
      <c r="BY143" s="51">
        <v>411049</v>
      </c>
      <c r="BZ143" s="51">
        <v>533873</v>
      </c>
      <c r="CA143" s="29">
        <f t="shared" si="117"/>
        <v>328778</v>
      </c>
      <c r="CB143" s="29">
        <f t="shared" si="118"/>
        <v>513918</v>
      </c>
      <c r="CC143" s="29">
        <v>11146</v>
      </c>
      <c r="CD143" s="29">
        <v>5026</v>
      </c>
      <c r="CE143" s="29">
        <v>71125</v>
      </c>
      <c r="CF143" s="29">
        <v>14929</v>
      </c>
      <c r="CG143" s="15">
        <f t="shared" si="119"/>
        <v>0.34794194653103644</v>
      </c>
      <c r="CH143" s="15">
        <f t="shared" si="120"/>
        <v>0.54387346257151381</v>
      </c>
      <c r="CI143" s="15">
        <f t="shared" si="121"/>
        <v>1.1795682606606683E-2</v>
      </c>
      <c r="CJ143" s="15">
        <f t="shared" si="122"/>
        <v>5.318957543585608E-3</v>
      </c>
      <c r="CK143" s="15">
        <f t="shared" si="123"/>
        <v>7.5270763089440182E-2</v>
      </c>
      <c r="CL143" s="15">
        <f t="shared" si="124"/>
        <v>1.5799187657817258E-2</v>
      </c>
    </row>
    <row r="144" spans="2:90">
      <c r="B144" t="str">
        <f t="shared" si="115"/>
        <v>2021</v>
      </c>
      <c r="C144" s="54">
        <v>202136</v>
      </c>
      <c r="D144" s="54"/>
      <c r="E144" s="54"/>
      <c r="F144" s="54"/>
      <c r="G144" s="29">
        <f t="shared" si="114"/>
        <v>903246</v>
      </c>
      <c r="H144" s="51">
        <v>379154</v>
      </c>
      <c r="I144" s="51">
        <v>524092</v>
      </c>
      <c r="J144" s="29">
        <f t="shared" si="116"/>
        <v>801638</v>
      </c>
      <c r="K144" s="29">
        <v>15796</v>
      </c>
      <c r="L144" s="29">
        <v>85812</v>
      </c>
      <c r="M144" s="29">
        <v>957376.1215543556</v>
      </c>
      <c r="N144" s="29"/>
      <c r="O144" s="29">
        <v>32884813.818544239</v>
      </c>
      <c r="P144" s="29">
        <v>25110648</v>
      </c>
      <c r="Q144" s="29">
        <v>10588923</v>
      </c>
      <c r="R144" s="29">
        <v>526475025.33999997</v>
      </c>
      <c r="S144" s="29">
        <v>184587841</v>
      </c>
      <c r="T144" s="62">
        <f t="shared" si="125"/>
        <v>5.7365224830816457E-2</v>
      </c>
      <c r="U144" s="25">
        <f t="shared" si="126"/>
        <v>49.719412006301297</v>
      </c>
      <c r="V144" s="30">
        <v>0.44421152617873932</v>
      </c>
      <c r="W144" s="30">
        <v>0.38748453948424721</v>
      </c>
      <c r="X144" s="30">
        <v>0.56058241620952443</v>
      </c>
      <c r="Y144" s="24">
        <v>903107</v>
      </c>
      <c r="Z144" s="24">
        <v>440235</v>
      </c>
      <c r="AA144" s="15">
        <v>0.22</v>
      </c>
      <c r="AB144" s="30"/>
      <c r="AC144" s="30"/>
      <c r="AD144" s="30"/>
      <c r="AE144" s="30"/>
      <c r="AF144" s="30">
        <v>0.84134866623689275</v>
      </c>
      <c r="AG144" s="15">
        <v>0.86685077183545245</v>
      </c>
      <c r="AH144" s="15">
        <v>0.78903313003282338</v>
      </c>
      <c r="AI144" s="15">
        <f t="shared" si="127"/>
        <v>0.74134866623689277</v>
      </c>
      <c r="AJ144" s="30"/>
      <c r="AK144" s="30"/>
      <c r="AL144" s="30"/>
      <c r="AM144" s="30">
        <f>IF(AF144="","",AJ144+AK144-AL144)</f>
        <v>0</v>
      </c>
      <c r="AN144" s="66">
        <v>0.1038811938459217</v>
      </c>
      <c r="AO144" s="30"/>
      <c r="AP144" s="30"/>
      <c r="AQ144" s="30"/>
      <c r="AR144" s="30">
        <f t="shared" si="95"/>
        <v>0</v>
      </c>
      <c r="AS144" s="66">
        <v>4.7499827097309627E-2</v>
      </c>
      <c r="AT144" s="66"/>
      <c r="AU144" s="66"/>
      <c r="AV144" s="66"/>
      <c r="AW144" s="30">
        <f t="shared" si="96"/>
        <v>0</v>
      </c>
      <c r="AX144" s="66"/>
      <c r="AY144" s="66"/>
      <c r="AZ144" s="66"/>
      <c r="BA144" s="62" t="str">
        <f t="shared" si="97"/>
        <v/>
      </c>
      <c r="BB144" s="62">
        <f t="shared" si="107"/>
        <v>3.5970636839001528E-2</v>
      </c>
      <c r="BC144" s="29"/>
      <c r="BD144" s="29"/>
      <c r="BE144" s="29"/>
      <c r="BF144" s="29"/>
      <c r="BG144" s="29"/>
      <c r="BH144" s="29"/>
      <c r="BI144" s="30"/>
      <c r="BJ144" s="30"/>
      <c r="BK144" s="30"/>
      <c r="BL144" s="30"/>
      <c r="BM144" s="30"/>
      <c r="BN144" s="62"/>
      <c r="BO144" s="30"/>
      <c r="BP144" s="30"/>
      <c r="BQ144" s="30"/>
      <c r="BR144" s="30"/>
      <c r="BS144" s="30"/>
      <c r="BT144" s="30"/>
      <c r="BU144" s="30"/>
      <c r="BV144" s="62"/>
      <c r="BW144" s="30"/>
      <c r="BX144" s="30"/>
      <c r="BY144" s="51">
        <v>379154</v>
      </c>
      <c r="BZ144" s="51">
        <v>524092</v>
      </c>
      <c r="CA144" s="29">
        <f t="shared" si="117"/>
        <v>292674</v>
      </c>
      <c r="CB144" s="29">
        <f t="shared" si="118"/>
        <v>508964</v>
      </c>
      <c r="CC144" s="29">
        <v>12279</v>
      </c>
      <c r="CD144" s="29">
        <v>3517</v>
      </c>
      <c r="CE144" s="29">
        <v>74201</v>
      </c>
      <c r="CF144" s="29">
        <v>11611</v>
      </c>
      <c r="CG144" s="15">
        <f t="shared" si="119"/>
        <v>0.32402468430527231</v>
      </c>
      <c r="CH144" s="15">
        <f t="shared" si="120"/>
        <v>0.56348325926713205</v>
      </c>
      <c r="CI144" s="15">
        <f t="shared" si="121"/>
        <v>1.3594303213078165E-2</v>
      </c>
      <c r="CJ144" s="15">
        <f t="shared" si="122"/>
        <v>3.8937343757957411E-3</v>
      </c>
      <c r="CK144" s="15">
        <f t="shared" si="123"/>
        <v>8.2149270519880524E-2</v>
      </c>
      <c r="CL144" s="15">
        <f t="shared" si="124"/>
        <v>1.2854748318841158E-2</v>
      </c>
    </row>
    <row r="145" spans="2:90">
      <c r="B145" t="str">
        <f t="shared" si="115"/>
        <v>2021</v>
      </c>
      <c r="C145" s="54">
        <v>202137</v>
      </c>
      <c r="D145" s="54"/>
      <c r="E145" s="54"/>
      <c r="F145" s="54"/>
      <c r="G145" s="29">
        <f t="shared" si="114"/>
        <v>918811</v>
      </c>
      <c r="H145" s="51">
        <v>366269</v>
      </c>
      <c r="I145" s="51">
        <v>552542</v>
      </c>
      <c r="J145" s="29">
        <f t="shared" si="116"/>
        <v>808080</v>
      </c>
      <c r="K145" s="29">
        <v>14274</v>
      </c>
      <c r="L145" s="29">
        <v>96457</v>
      </c>
      <c r="M145" s="29">
        <v>965356.1215543556</v>
      </c>
      <c r="N145" s="29"/>
      <c r="O145" s="29">
        <v>33850169.940098591</v>
      </c>
      <c r="P145" s="29">
        <v>25557180</v>
      </c>
      <c r="Q145" s="29">
        <v>5378236</v>
      </c>
      <c r="R145" s="29">
        <v>524910191.19999999</v>
      </c>
      <c r="S145" s="29">
        <v>79016974</v>
      </c>
      <c r="T145" s="62">
        <f t="shared" si="125"/>
        <v>6.8064312359012891E-2</v>
      </c>
      <c r="U145" s="25">
        <f t="shared" si="126"/>
        <v>97.598950882780144</v>
      </c>
      <c r="V145" s="30">
        <v>0.40963879316417251</v>
      </c>
      <c r="W145" s="30">
        <v>0.34858550392872611</v>
      </c>
      <c r="X145" s="30">
        <v>0.55726557660616405</v>
      </c>
      <c r="Y145" s="24">
        <v>1034432</v>
      </c>
      <c r="Z145" s="24">
        <v>427805</v>
      </c>
      <c r="AA145" s="15">
        <v>0.187</v>
      </c>
      <c r="AB145" s="30"/>
      <c r="AC145" s="30"/>
      <c r="AD145" s="30"/>
      <c r="AE145" s="30"/>
      <c r="AF145" s="30">
        <v>0.84112766945440443</v>
      </c>
      <c r="AG145" s="15">
        <v>0.86024794283239503</v>
      </c>
      <c r="AH145" s="15">
        <v>0.7948948703264338</v>
      </c>
      <c r="AI145" s="15">
        <f t="shared" si="127"/>
        <v>0.74112766945440445</v>
      </c>
      <c r="AJ145" s="30"/>
      <c r="AK145" s="30"/>
      <c r="AL145" s="30"/>
      <c r="AM145" s="30">
        <f>IF(AF145="","",AJ145+AK145-AL145)</f>
        <v>0</v>
      </c>
      <c r="AN145" s="66">
        <v>8.4860827754335538E-2</v>
      </c>
      <c r="AO145" s="30"/>
      <c r="AP145" s="30"/>
      <c r="AQ145" s="30"/>
      <c r="AR145" s="30">
        <f t="shared" si="95"/>
        <v>0</v>
      </c>
      <c r="AS145" s="66">
        <v>4.8703466276914513E-2</v>
      </c>
      <c r="AT145" s="66"/>
      <c r="AU145" s="66"/>
      <c r="AV145" s="66"/>
      <c r="AW145" s="30">
        <f t="shared" si="96"/>
        <v>0</v>
      </c>
      <c r="AX145" s="66"/>
      <c r="AY145" s="66"/>
      <c r="AZ145" s="66"/>
      <c r="BA145" s="62" t="str">
        <f t="shared" si="97"/>
        <v/>
      </c>
      <c r="BB145" s="62">
        <f t="shared" si="107"/>
        <v>3.5951188667920325E-2</v>
      </c>
      <c r="BC145" s="29"/>
      <c r="BD145" s="29"/>
      <c r="BE145" s="29"/>
      <c r="BF145" s="29"/>
      <c r="BG145" s="29"/>
      <c r="BH145" s="29"/>
      <c r="BI145" s="30"/>
      <c r="BJ145" s="30"/>
      <c r="BK145" s="30"/>
      <c r="BL145" s="30"/>
      <c r="BM145" s="30"/>
      <c r="BN145" s="62"/>
      <c r="BO145" s="30"/>
      <c r="BP145" s="30"/>
      <c r="BQ145" s="30"/>
      <c r="BR145" s="30"/>
      <c r="BS145" s="30"/>
      <c r="BT145" s="30"/>
      <c r="BU145" s="30"/>
      <c r="BV145" s="62"/>
      <c r="BW145" s="30"/>
      <c r="BX145" s="30"/>
      <c r="BY145" s="51">
        <v>366269</v>
      </c>
      <c r="BZ145" s="51">
        <v>552542</v>
      </c>
      <c r="CA145" s="29">
        <f t="shared" si="117"/>
        <v>272993</v>
      </c>
      <c r="CB145" s="29">
        <f t="shared" si="118"/>
        <v>535087</v>
      </c>
      <c r="CC145" s="29">
        <v>12266</v>
      </c>
      <c r="CD145" s="29">
        <v>2008</v>
      </c>
      <c r="CE145" s="29">
        <v>81010</v>
      </c>
      <c r="CF145" s="29">
        <v>15447</v>
      </c>
      <c r="CG145" s="15">
        <f t="shared" si="119"/>
        <v>0.29711551124224678</v>
      </c>
      <c r="CH145" s="15">
        <f t="shared" si="120"/>
        <v>0.5823689529185001</v>
      </c>
      <c r="CI145" s="15">
        <f t="shared" si="121"/>
        <v>1.3349861941139147E-2</v>
      </c>
      <c r="CJ145" s="15">
        <f t="shared" si="122"/>
        <v>2.1854331304261704E-3</v>
      </c>
      <c r="CK145" s="15">
        <f t="shared" si="123"/>
        <v>8.8168295764852619E-2</v>
      </c>
      <c r="CL145" s="15">
        <f t="shared" si="124"/>
        <v>1.6811945002835185E-2</v>
      </c>
    </row>
    <row r="146" spans="2:90">
      <c r="B146" t="str">
        <f t="shared" si="115"/>
        <v>2021</v>
      </c>
      <c r="C146" s="54">
        <v>202138</v>
      </c>
      <c r="D146" s="54"/>
      <c r="E146" s="54"/>
      <c r="F146" s="54"/>
      <c r="G146" s="29">
        <f t="shared" si="114"/>
        <v>977690</v>
      </c>
      <c r="H146" s="51">
        <v>391628</v>
      </c>
      <c r="I146" s="51">
        <v>586062</v>
      </c>
      <c r="J146" s="29">
        <f t="shared" si="116"/>
        <v>781837</v>
      </c>
      <c r="K146" s="29">
        <v>15960</v>
      </c>
      <c r="L146" s="29">
        <v>179893</v>
      </c>
      <c r="M146" s="29">
        <v>969977.1215543556</v>
      </c>
      <c r="N146" s="29"/>
      <c r="O146" s="29">
        <v>34820147.061652943</v>
      </c>
      <c r="P146" s="29">
        <v>26957517</v>
      </c>
      <c r="Q146" s="29">
        <v>5666550</v>
      </c>
      <c r="R146" s="29">
        <v>545795386.02999997</v>
      </c>
      <c r="S146" s="29">
        <v>85398701</v>
      </c>
      <c r="T146" s="62">
        <f t="shared" si="125"/>
        <v>6.6354053792925957E-2</v>
      </c>
      <c r="U146" s="25">
        <f t="shared" si="126"/>
        <v>96.318815863267773</v>
      </c>
      <c r="V146" s="30">
        <v>0.40110158466433637</v>
      </c>
      <c r="W146" s="30">
        <v>0.33664437915484768</v>
      </c>
      <c r="X146" s="30">
        <v>0.56407828631980406</v>
      </c>
      <c r="Y146" s="24">
        <v>1142942</v>
      </c>
      <c r="Z146" s="24">
        <v>452033</v>
      </c>
      <c r="AA146" s="15">
        <f>IFERROR(((Y146*(W146+0.1))+(Z146*X146))/(Y146+Z146),"")</f>
        <v>0.47276051348767217</v>
      </c>
      <c r="AB146" s="30"/>
      <c r="AC146" s="30"/>
      <c r="AD146" s="30"/>
      <c r="AE146" s="30"/>
      <c r="AF146" s="30">
        <v>0.84079813163215722</v>
      </c>
      <c r="AG146" s="15">
        <v>0.85980128475460693</v>
      </c>
      <c r="AH146" s="15">
        <v>0.79274964438437012</v>
      </c>
      <c r="AI146" s="15">
        <f t="shared" si="127"/>
        <v>0.74079813163215724</v>
      </c>
      <c r="AJ146" s="30"/>
      <c r="AK146" s="30"/>
      <c r="AL146" s="30"/>
      <c r="AM146" s="30">
        <f>IF(AF146="","",AJ146+AK146-AL146)</f>
        <v>0</v>
      </c>
      <c r="AN146" s="66">
        <v>9.2602454432251693E-2</v>
      </c>
      <c r="AO146" s="30"/>
      <c r="AP146" s="30"/>
      <c r="AQ146" s="30"/>
      <c r="AR146" s="30">
        <f t="shared" si="95"/>
        <v>0</v>
      </c>
      <c r="AS146" s="66">
        <v>5.1379554052743172E-2</v>
      </c>
      <c r="AT146" s="66"/>
      <c r="AU146" s="66"/>
      <c r="AV146" s="66"/>
      <c r="AW146" s="30">
        <f t="shared" si="96"/>
        <v>0</v>
      </c>
      <c r="AX146" s="66"/>
      <c r="AY146" s="66"/>
      <c r="AZ146" s="66"/>
      <c r="BA146" s="62" t="str">
        <f t="shared" si="97"/>
        <v/>
      </c>
      <c r="BB146" s="62">
        <f t="shared" si="107"/>
        <v>3.626780611879054E-2</v>
      </c>
      <c r="BC146" s="29"/>
      <c r="BD146" s="29"/>
      <c r="BE146" s="29"/>
      <c r="BF146" s="29"/>
      <c r="BG146" s="29"/>
      <c r="BH146" s="29"/>
      <c r="BI146" s="30"/>
      <c r="BJ146" s="30"/>
      <c r="BK146" s="30"/>
      <c r="BL146" s="30"/>
      <c r="BM146" s="30"/>
      <c r="BN146" s="62"/>
      <c r="BO146" s="30"/>
      <c r="BP146" s="30"/>
      <c r="BQ146" s="30"/>
      <c r="BR146" s="30"/>
      <c r="BS146" s="30"/>
      <c r="BT146" s="30"/>
      <c r="BU146" s="30"/>
      <c r="BV146" s="62"/>
      <c r="BW146" s="30"/>
      <c r="BX146" s="30"/>
      <c r="BY146" s="51">
        <v>391628</v>
      </c>
      <c r="BZ146" s="51">
        <v>586062</v>
      </c>
      <c r="CA146" s="29">
        <f t="shared" si="117"/>
        <v>239890</v>
      </c>
      <c r="CB146" s="29">
        <f t="shared" si="118"/>
        <v>541943</v>
      </c>
      <c r="CC146" s="29">
        <v>14200</v>
      </c>
      <c r="CD146" s="29">
        <v>1764</v>
      </c>
      <c r="CE146" s="29">
        <v>137538</v>
      </c>
      <c r="CF146" s="29">
        <v>42355</v>
      </c>
      <c r="CG146" s="15">
        <f t="shared" si="119"/>
        <v>0.24536407245650463</v>
      </c>
      <c r="CH146" s="15">
        <f t="shared" si="120"/>
        <v>0.55430964825251361</v>
      </c>
      <c r="CI146" s="15">
        <f t="shared" si="121"/>
        <v>1.4524031134613221E-2</v>
      </c>
      <c r="CJ146" s="15">
        <f t="shared" si="122"/>
        <v>1.8042528817927973E-3</v>
      </c>
      <c r="CK146" s="15">
        <f t="shared" si="123"/>
        <v>0.14067649254876291</v>
      </c>
      <c r="CL146" s="15">
        <f t="shared" si="124"/>
        <v>4.3321502725812887E-2</v>
      </c>
    </row>
    <row r="147" spans="2:90">
      <c r="B147" t="str">
        <f t="shared" si="115"/>
        <v>2021</v>
      </c>
      <c r="C147" s="54">
        <v>202139</v>
      </c>
      <c r="D147" s="54"/>
      <c r="E147" s="54"/>
      <c r="F147" s="54"/>
      <c r="G147" s="29">
        <f t="shared" si="114"/>
        <v>1014081</v>
      </c>
      <c r="H147" s="51">
        <v>420114</v>
      </c>
      <c r="I147" s="51">
        <v>593967</v>
      </c>
      <c r="J147" s="29">
        <f t="shared" si="116"/>
        <v>723298</v>
      </c>
      <c r="K147" s="51">
        <v>17734</v>
      </c>
      <c r="L147" s="51">
        <v>273049</v>
      </c>
      <c r="M147" s="29">
        <v>1011835.121554356</v>
      </c>
      <c r="N147" s="29"/>
      <c r="O147" s="29">
        <v>35831982.183207303</v>
      </c>
      <c r="P147" s="29">
        <v>28318990</v>
      </c>
      <c r="Q147" s="29">
        <v>5522061</v>
      </c>
      <c r="R147" s="29">
        <v>510591705.36000001</v>
      </c>
      <c r="S147" s="29">
        <v>89180401</v>
      </c>
      <c r="T147" s="62">
        <f t="shared" si="125"/>
        <v>6.1920118524696921E-2</v>
      </c>
      <c r="U147" s="25">
        <f t="shared" si="126"/>
        <v>92.463974114012871</v>
      </c>
      <c r="V147" s="30">
        <v>0.4159618491253626</v>
      </c>
      <c r="W147" s="30">
        <v>0.34700041857600078</v>
      </c>
      <c r="X147" s="30">
        <v>0.56902224403938451</v>
      </c>
      <c r="Y147" s="24">
        <v>1094186</v>
      </c>
      <c r="Z147" s="24">
        <v>492986</v>
      </c>
      <c r="AA147" s="15">
        <v>0.18</v>
      </c>
      <c r="AB147" s="30"/>
      <c r="AC147" s="30"/>
      <c r="AD147" s="30"/>
      <c r="AE147" s="30"/>
      <c r="AF147" s="30">
        <v>0.8228181948774298</v>
      </c>
      <c r="AG147" s="15">
        <v>0.83064031161064023</v>
      </c>
      <c r="AH147" s="15">
        <v>0.80545695009594598</v>
      </c>
      <c r="AI147" s="15">
        <f t="shared" si="127"/>
        <v>0.72281819487742982</v>
      </c>
      <c r="AJ147" s="30"/>
      <c r="AK147" s="30"/>
      <c r="AL147" s="30"/>
      <c r="AM147" s="30">
        <f>IF(AF143="","",AJ147+AK147-AL147)</f>
        <v>0</v>
      </c>
      <c r="AN147" s="66">
        <v>0.10102980518341451</v>
      </c>
      <c r="AO147" s="30"/>
      <c r="AP147" s="30"/>
      <c r="AQ147" s="30"/>
      <c r="AR147" s="30">
        <f t="shared" si="95"/>
        <v>0</v>
      </c>
      <c r="AS147" s="66">
        <v>5.3095349608670558E-2</v>
      </c>
      <c r="AT147" s="66"/>
      <c r="AU147" s="66"/>
      <c r="AV147" s="66"/>
      <c r="AW147" s="30">
        <f t="shared" si="96"/>
        <v>0</v>
      </c>
      <c r="AX147" s="66"/>
      <c r="AY147" s="66"/>
      <c r="AZ147" s="66"/>
      <c r="BA147" s="62" t="str">
        <f t="shared" si="97"/>
        <v/>
      </c>
      <c r="BB147" s="62">
        <f t="shared" si="107"/>
        <v>3.5809222009683256E-2</v>
      </c>
      <c r="BC147" s="29"/>
      <c r="BD147" s="29"/>
      <c r="BE147" s="29"/>
      <c r="BF147" s="29"/>
      <c r="BG147" s="29"/>
      <c r="BH147" s="29"/>
      <c r="BI147" s="30"/>
      <c r="BJ147" s="30"/>
      <c r="BK147" s="30"/>
      <c r="BL147" s="30"/>
      <c r="BM147" s="30"/>
      <c r="BN147" s="62"/>
      <c r="BO147" s="30"/>
      <c r="BP147" s="30"/>
      <c r="BQ147" s="30"/>
      <c r="BR147" s="30"/>
      <c r="BS147" s="30"/>
      <c r="BT147" s="30"/>
      <c r="BU147" s="30"/>
      <c r="BV147" s="62"/>
      <c r="BW147" s="30"/>
      <c r="BX147" s="30"/>
      <c r="BY147" s="51">
        <v>420114</v>
      </c>
      <c r="BZ147" s="51">
        <v>593967</v>
      </c>
      <c r="CA147" s="29">
        <f t="shared" si="117"/>
        <v>210473</v>
      </c>
      <c r="CB147" s="29">
        <f t="shared" si="118"/>
        <v>512825</v>
      </c>
      <c r="CC147" s="29">
        <v>14803</v>
      </c>
      <c r="CD147" s="29">
        <v>2931</v>
      </c>
      <c r="CE147" s="29">
        <v>194838</v>
      </c>
      <c r="CF147" s="29">
        <v>78211</v>
      </c>
      <c r="CG147" s="15">
        <f t="shared" si="119"/>
        <v>0.20755048166763798</v>
      </c>
      <c r="CH147" s="15">
        <f t="shared" si="120"/>
        <v>0.50570417944917612</v>
      </c>
      <c r="CI147" s="15">
        <f t="shared" si="121"/>
        <v>1.459745326063697E-2</v>
      </c>
      <c r="CJ147" s="15">
        <f t="shared" si="122"/>
        <v>2.890301662293249E-3</v>
      </c>
      <c r="CK147" s="15">
        <f t="shared" si="123"/>
        <v>0.19213258112517639</v>
      </c>
      <c r="CL147" s="15">
        <f t="shared" si="124"/>
        <v>7.7125002835079254E-2</v>
      </c>
    </row>
    <row r="148" spans="2:90">
      <c r="B148" t="str">
        <f t="shared" si="115"/>
        <v>2021</v>
      </c>
      <c r="C148" s="54">
        <v>202140</v>
      </c>
      <c r="D148" s="54"/>
      <c r="E148" s="54"/>
      <c r="F148" s="54"/>
      <c r="G148" s="29">
        <f t="shared" si="114"/>
        <v>1239328</v>
      </c>
      <c r="H148" s="51">
        <v>462482</v>
      </c>
      <c r="I148" s="51">
        <v>776846</v>
      </c>
      <c r="J148" s="29">
        <f t="shared" si="116"/>
        <v>1017495</v>
      </c>
      <c r="K148" s="51">
        <v>50901</v>
      </c>
      <c r="L148" s="51">
        <v>170932</v>
      </c>
      <c r="M148" s="29">
        <v>1105136.131419634</v>
      </c>
      <c r="N148" s="29"/>
      <c r="O148" s="29">
        <v>36937118.314626932</v>
      </c>
      <c r="P148" s="29">
        <v>30597086</v>
      </c>
      <c r="Q148" s="29">
        <v>6807449</v>
      </c>
      <c r="R148" s="29">
        <v>667775571.57000005</v>
      </c>
      <c r="S148" s="29">
        <v>104725877</v>
      </c>
      <c r="T148" s="62">
        <f t="shared" si="125"/>
        <v>6.5002549465400988E-2</v>
      </c>
      <c r="U148" s="25">
        <f t="shared" si="126"/>
        <v>98.09483281769721</v>
      </c>
      <c r="V148" s="30">
        <v>0.49744216718410789</v>
      </c>
      <c r="W148" s="30">
        <v>0.44349122172875949</v>
      </c>
      <c r="X148" s="30">
        <v>0.61901163640644075</v>
      </c>
      <c r="Y148" s="24">
        <v>1186851</v>
      </c>
      <c r="Z148" s="24">
        <v>526709</v>
      </c>
      <c r="AA148" s="15">
        <f>IFERROR(((Y148*(W148+0.1))+(Z148*X148))/(Y148+Z148),"")</f>
        <v>0.56670446322276424</v>
      </c>
      <c r="AB148" s="30"/>
      <c r="AC148" s="30"/>
      <c r="AD148" s="30"/>
      <c r="AE148" s="30"/>
      <c r="AF148" s="30">
        <v>0.80644622890356921</v>
      </c>
      <c r="AG148" s="15">
        <v>0.80085874300986393</v>
      </c>
      <c r="AH148" s="15">
        <v>0.8190366976831609</v>
      </c>
      <c r="AI148" s="15">
        <f t="shared" si="127"/>
        <v>0.70644622890356923</v>
      </c>
      <c r="AJ148" s="30"/>
      <c r="AK148" s="30"/>
      <c r="AL148" s="30"/>
      <c r="AM148" s="30" t="e">
        <f>IF(#REF!="","",AJ148+AK148-AL148)</f>
        <v>#REF!</v>
      </c>
      <c r="AN148" s="66">
        <v>8.916438708822684E-2</v>
      </c>
      <c r="AO148" s="30"/>
      <c r="AP148" s="30"/>
      <c r="AQ148" s="30"/>
      <c r="AR148" s="30">
        <f t="shared" si="95"/>
        <v>0</v>
      </c>
      <c r="AS148" s="66">
        <v>5.2779078362798493E-2</v>
      </c>
      <c r="AT148" s="66"/>
      <c r="AU148" s="66"/>
      <c r="AV148" s="66"/>
      <c r="AW148" s="30">
        <f t="shared" si="96"/>
        <v>0</v>
      </c>
      <c r="AX148" s="66"/>
      <c r="AY148" s="66"/>
      <c r="AZ148" s="66"/>
      <c r="BA148" s="62" t="str">
        <f t="shared" si="97"/>
        <v/>
      </c>
      <c r="BB148" s="62">
        <f t="shared" si="107"/>
        <v>4.0504772251841237E-2</v>
      </c>
      <c r="BC148" s="29"/>
      <c r="BD148" s="29"/>
      <c r="BE148" s="29"/>
      <c r="BF148" s="29"/>
      <c r="BG148" s="29"/>
      <c r="BH148" s="29"/>
      <c r="BI148" s="30"/>
      <c r="BJ148" s="30"/>
      <c r="BK148" s="30"/>
      <c r="BL148" s="30"/>
      <c r="BM148" s="30"/>
      <c r="BN148" s="62"/>
      <c r="BO148" s="30"/>
      <c r="BP148" s="30"/>
      <c r="BQ148" s="30"/>
      <c r="BR148" s="30"/>
      <c r="BS148" s="30"/>
      <c r="BT148" s="30"/>
      <c r="BU148" s="30"/>
      <c r="BV148" s="62"/>
      <c r="BW148" s="30"/>
      <c r="BX148" s="30"/>
      <c r="BY148" s="51">
        <v>462482</v>
      </c>
      <c r="BZ148" s="51">
        <v>776846</v>
      </c>
      <c r="CA148" s="29">
        <f t="shared" si="117"/>
        <v>315711</v>
      </c>
      <c r="CB148" s="29">
        <f t="shared" si="118"/>
        <v>701784</v>
      </c>
      <c r="CC148" s="29">
        <v>20200</v>
      </c>
      <c r="CD148" s="29">
        <v>30701</v>
      </c>
      <c r="CE148" s="29">
        <v>126571</v>
      </c>
      <c r="CF148" s="29">
        <v>44361</v>
      </c>
      <c r="CG148" s="15">
        <f t="shared" si="119"/>
        <v>0.25474369981151074</v>
      </c>
      <c r="CH148" s="15">
        <f t="shared" si="120"/>
        <v>0.56626171602675002</v>
      </c>
      <c r="CI148" s="15">
        <f t="shared" si="121"/>
        <v>1.6299155671460664E-2</v>
      </c>
      <c r="CJ148" s="15">
        <f t="shared" si="122"/>
        <v>2.4772295953936325E-2</v>
      </c>
      <c r="CK148" s="15">
        <f t="shared" si="123"/>
        <v>0.10212873428180433</v>
      </c>
      <c r="CL148" s="15">
        <f t="shared" si="124"/>
        <v>3.5794398254537944E-2</v>
      </c>
    </row>
    <row r="149" spans="2:90">
      <c r="B149" t="str">
        <f t="shared" si="115"/>
        <v>2021</v>
      </c>
      <c r="C149" s="54">
        <v>202141</v>
      </c>
      <c r="D149" s="54"/>
      <c r="E149" s="54"/>
      <c r="F149" s="54"/>
      <c r="G149" s="29">
        <f t="shared" si="114"/>
        <v>1049328</v>
      </c>
      <c r="H149" s="51">
        <v>449872</v>
      </c>
      <c r="I149" s="51">
        <v>599456</v>
      </c>
      <c r="J149" s="29">
        <f t="shared" si="116"/>
        <v>805853</v>
      </c>
      <c r="K149" s="29">
        <v>71063</v>
      </c>
      <c r="L149" s="29">
        <v>172412</v>
      </c>
      <c r="M149" s="29">
        <v>1218609.0936222789</v>
      </c>
      <c r="N149" s="29"/>
      <c r="O149" s="29">
        <v>38155727.408249207</v>
      </c>
      <c r="P149" s="29">
        <v>37657922</v>
      </c>
      <c r="Q149" s="29">
        <v>7317975</v>
      </c>
      <c r="R149" s="29">
        <v>725074254.16999996</v>
      </c>
      <c r="S149" s="29">
        <v>116930988</v>
      </c>
      <c r="T149" s="62">
        <f t="shared" si="125"/>
        <v>6.2583709632214865E-2</v>
      </c>
      <c r="U149" s="25">
        <f t="shared" si="126"/>
        <v>99.081269636750605</v>
      </c>
      <c r="V149" s="30">
        <v>0.58649794841545078</v>
      </c>
      <c r="W149" s="30">
        <v>0.56873205211645705</v>
      </c>
      <c r="X149" s="30">
        <v>0.61194376944922357</v>
      </c>
      <c r="Y149" s="24">
        <v>726757</v>
      </c>
      <c r="Z149" s="24">
        <v>507411</v>
      </c>
      <c r="AA149" s="15">
        <f>IFERROR(((Y149*(W149+0.1))+(Z149*X149))/(Y149+Z149),"")</f>
        <v>0.64538433989537891</v>
      </c>
      <c r="AB149" s="30"/>
      <c r="AC149" s="30"/>
      <c r="AD149" s="30"/>
      <c r="AE149" s="30"/>
      <c r="AF149" s="30">
        <v>0.83379572311062999</v>
      </c>
      <c r="AG149" s="15">
        <v>0.84813355770911047</v>
      </c>
      <c r="AH149" s="15">
        <v>0.81325986232068281</v>
      </c>
      <c r="AI149" s="15">
        <f t="shared" si="127"/>
        <v>0.73379572311063002</v>
      </c>
      <c r="AJ149" s="30"/>
      <c r="AK149" s="30"/>
      <c r="AL149" s="30"/>
      <c r="AM149" s="30">
        <f>IF(AF149="","",AJ149+AK149-AL149)</f>
        <v>0</v>
      </c>
      <c r="AN149" s="66">
        <v>7.699158901827359E-2</v>
      </c>
      <c r="AO149" s="30"/>
      <c r="AP149" s="30"/>
      <c r="AQ149" s="30"/>
      <c r="AR149" s="30">
        <f t="shared" si="95"/>
        <v>0</v>
      </c>
      <c r="AS149" s="66">
        <v>4.5259728163256699E-2</v>
      </c>
      <c r="AT149" s="66"/>
      <c r="AU149" s="66"/>
      <c r="AV149" s="66"/>
      <c r="AW149" s="30">
        <f t="shared" si="96"/>
        <v>0</v>
      </c>
      <c r="AX149" s="66"/>
      <c r="AY149" s="66"/>
      <c r="AZ149" s="66"/>
      <c r="BA149" s="62" t="str">
        <f t="shared" si="97"/>
        <v/>
      </c>
      <c r="BB149" s="62">
        <f t="shared" si="107"/>
        <v>2.7864734543770101E-2</v>
      </c>
      <c r="BC149" s="29"/>
      <c r="BD149" s="29"/>
      <c r="BE149" s="29"/>
      <c r="BF149" s="29"/>
      <c r="BG149" s="29"/>
      <c r="BH149" s="29"/>
      <c r="BI149" s="30"/>
      <c r="BJ149" s="30"/>
      <c r="BK149" s="30"/>
      <c r="BL149" s="30"/>
      <c r="BM149" s="30"/>
      <c r="BN149" s="62"/>
      <c r="BO149" s="30"/>
      <c r="BP149" s="30"/>
      <c r="BQ149" s="30"/>
      <c r="BR149" s="30"/>
      <c r="BS149" s="30"/>
      <c r="BT149" s="30"/>
      <c r="BU149" s="30"/>
      <c r="BV149" s="62"/>
      <c r="BW149" s="30"/>
      <c r="BX149" s="30"/>
      <c r="BY149" s="51">
        <v>449872</v>
      </c>
      <c r="BZ149" s="51">
        <v>599456</v>
      </c>
      <c r="CA149" s="29">
        <f t="shared" si="117"/>
        <v>291359</v>
      </c>
      <c r="CB149" s="29">
        <f t="shared" si="118"/>
        <v>514494</v>
      </c>
      <c r="CC149" s="29">
        <v>19408</v>
      </c>
      <c r="CD149" s="29">
        <v>51655</v>
      </c>
      <c r="CE149" s="29">
        <v>139105</v>
      </c>
      <c r="CF149" s="29">
        <v>33307</v>
      </c>
      <c r="CG149" s="15">
        <f t="shared" si="119"/>
        <v>0.27766246588292698</v>
      </c>
      <c r="CH149" s="15">
        <f t="shared" si="120"/>
        <v>0.49030808288733363</v>
      </c>
      <c r="CI149" s="15">
        <f t="shared" si="121"/>
        <v>1.8495646737721666E-2</v>
      </c>
      <c r="CJ149" s="15">
        <f t="shared" si="122"/>
        <v>4.922674321089307E-2</v>
      </c>
      <c r="CK149" s="15">
        <f t="shared" si="123"/>
        <v>0.13256579448942563</v>
      </c>
      <c r="CL149" s="15">
        <f t="shared" si="124"/>
        <v>3.1741266791699072E-2</v>
      </c>
    </row>
    <row r="150" spans="2:90" ht="15.6" customHeight="1">
      <c r="B150" t="str">
        <f t="shared" si="115"/>
        <v>2021</v>
      </c>
      <c r="C150" s="54">
        <v>202142</v>
      </c>
      <c r="D150" s="54"/>
      <c r="E150" s="54"/>
      <c r="F150" s="54"/>
      <c r="G150" s="29">
        <f t="shared" si="114"/>
        <v>1088979</v>
      </c>
      <c r="H150" s="51">
        <v>465676</v>
      </c>
      <c r="I150" s="51">
        <v>623303</v>
      </c>
      <c r="J150" s="29">
        <f t="shared" si="116"/>
        <v>833888</v>
      </c>
      <c r="K150" s="51">
        <v>83113</v>
      </c>
      <c r="L150" s="51">
        <v>171978</v>
      </c>
      <c r="M150" s="29">
        <v>1312665.0936222789</v>
      </c>
      <c r="N150" s="29"/>
      <c r="O150" s="29">
        <v>39468392.501871496</v>
      </c>
      <c r="P150" s="29">
        <v>31167642</v>
      </c>
      <c r="Q150" s="29">
        <v>7061976</v>
      </c>
      <c r="R150" s="29">
        <v>694007067.80000007</v>
      </c>
      <c r="S150" s="29">
        <v>123409607</v>
      </c>
      <c r="T150" s="62">
        <f t="shared" si="125"/>
        <v>5.7223875609619272E-2</v>
      </c>
      <c r="U150" s="25">
        <f t="shared" si="126"/>
        <v>98.273778868690584</v>
      </c>
      <c r="V150" s="30">
        <v>0.60762313275431801</v>
      </c>
      <c r="W150" s="30">
        <v>0.59709082896326182</v>
      </c>
      <c r="X150" s="30">
        <v>0.62258339090572501</v>
      </c>
      <c r="Y150" s="24">
        <v>744267</v>
      </c>
      <c r="Z150" s="24">
        <v>523978</v>
      </c>
      <c r="AA150" s="15">
        <f>IFERROR(((Y150*(W150+0.1))+(Z150*X150))/(Y150+Z150),"")</f>
        <v>0.6663079294615788</v>
      </c>
      <c r="AB150" s="30"/>
      <c r="AC150" s="30"/>
      <c r="AD150" s="30"/>
      <c r="AE150" s="30"/>
      <c r="AF150" s="30">
        <v>0.84618587102649723</v>
      </c>
      <c r="AG150" s="15">
        <v>0.85638890344459717</v>
      </c>
      <c r="AH150" s="15">
        <v>0.83169331536820246</v>
      </c>
      <c r="AI150" s="15">
        <f t="shared" si="127"/>
        <v>0.74618587102649725</v>
      </c>
      <c r="AJ150" s="30"/>
      <c r="AK150" s="30"/>
      <c r="AL150" s="30"/>
      <c r="AM150" s="30">
        <f>IF(AF150="","",AJ150+AK150-AL150)</f>
        <v>0</v>
      </c>
      <c r="AN150" s="66"/>
      <c r="AO150" s="30"/>
      <c r="AP150" s="30"/>
      <c r="AQ150" s="30"/>
      <c r="AR150" s="30" t="str">
        <f t="shared" si="95"/>
        <v/>
      </c>
      <c r="AS150" s="66"/>
      <c r="AT150" s="66"/>
      <c r="AU150" s="66"/>
      <c r="AV150" s="66"/>
      <c r="AW150" s="30" t="str">
        <f t="shared" si="96"/>
        <v/>
      </c>
      <c r="AX150" s="66"/>
      <c r="AY150" s="66"/>
      <c r="AZ150" s="66"/>
      <c r="BA150" s="62" t="str">
        <f t="shared" si="97"/>
        <v/>
      </c>
      <c r="BB150" s="62">
        <f t="shared" si="107"/>
        <v>3.4939409275812398E-2</v>
      </c>
      <c r="BC150" s="29"/>
      <c r="BD150" s="29"/>
      <c r="BE150" s="29"/>
      <c r="BF150" s="29"/>
      <c r="BG150" s="29"/>
      <c r="BH150" s="29"/>
      <c r="BI150" s="30"/>
      <c r="BJ150" s="30"/>
      <c r="BK150" s="30"/>
      <c r="BL150" s="30"/>
      <c r="BM150" s="30"/>
      <c r="BN150" s="62"/>
      <c r="BO150" s="30"/>
      <c r="BP150" s="30"/>
      <c r="BQ150" s="30"/>
      <c r="BR150" s="30"/>
      <c r="BS150" s="30"/>
      <c r="BT150" s="30"/>
      <c r="BU150" s="30"/>
      <c r="BV150" s="62"/>
      <c r="BW150" s="30"/>
      <c r="BX150" s="30"/>
      <c r="BY150" s="51">
        <v>465676</v>
      </c>
      <c r="BZ150" s="51">
        <v>623303</v>
      </c>
      <c r="CA150" s="29">
        <f t="shared" si="117"/>
        <v>306322</v>
      </c>
      <c r="CB150" s="29">
        <f t="shared" si="118"/>
        <v>527566</v>
      </c>
      <c r="CC150" s="29">
        <v>21873</v>
      </c>
      <c r="CD150" s="29">
        <v>61240</v>
      </c>
      <c r="CE150" s="29">
        <v>137481</v>
      </c>
      <c r="CF150" s="29">
        <v>34497</v>
      </c>
      <c r="CG150" s="15">
        <f t="shared" si="119"/>
        <v>0.28129284403096844</v>
      </c>
      <c r="CH150" s="15">
        <f t="shared" si="120"/>
        <v>0.48445929627660406</v>
      </c>
      <c r="CI150" s="15">
        <f t="shared" si="121"/>
        <v>2.0085786778257432E-2</v>
      </c>
      <c r="CJ150" s="15">
        <f t="shared" si="122"/>
        <v>5.6236162497164774E-2</v>
      </c>
      <c r="CK150" s="15">
        <f t="shared" si="123"/>
        <v>0.12624761359034473</v>
      </c>
      <c r="CL150" s="15">
        <f t="shared" si="124"/>
        <v>3.1678296826660568E-2</v>
      </c>
    </row>
    <row r="151" spans="2:90" ht="15.6" customHeight="1">
      <c r="B151" t="str">
        <f t="shared" si="115"/>
        <v>2021</v>
      </c>
      <c r="C151" s="54">
        <v>202143</v>
      </c>
      <c r="D151" s="54"/>
      <c r="E151" s="54"/>
      <c r="F151" s="54"/>
      <c r="G151" s="29">
        <f t="shared" si="114"/>
        <v>1477673</v>
      </c>
      <c r="H151" s="51">
        <v>607101</v>
      </c>
      <c r="I151" s="51">
        <v>870572</v>
      </c>
      <c r="J151" s="29">
        <f t="shared" si="116"/>
        <v>1092914</v>
      </c>
      <c r="K151" s="29">
        <v>111280</v>
      </c>
      <c r="L151" s="29">
        <v>273479</v>
      </c>
      <c r="M151" s="29">
        <v>1565417.0936222789</v>
      </c>
      <c r="N151" s="29"/>
      <c r="O151" s="29">
        <v>41033809.595493779</v>
      </c>
      <c r="P151" s="29">
        <v>35948465</v>
      </c>
      <c r="Q151" s="29">
        <v>9581801</v>
      </c>
      <c r="R151" s="29">
        <v>1064609949.4</v>
      </c>
      <c r="S151" s="29">
        <v>150775042</v>
      </c>
      <c r="T151" s="62">
        <f t="shared" si="125"/>
        <v>6.3550312259239822E-2</v>
      </c>
      <c r="U151" s="25">
        <f t="shared" si="126"/>
        <v>111.10749945652179</v>
      </c>
      <c r="V151" s="30">
        <v>0.65991684095058667</v>
      </c>
      <c r="W151" s="30">
        <v>0.64822081620764427</v>
      </c>
      <c r="X151" s="30">
        <v>0.67742946660992998</v>
      </c>
      <c r="Y151" s="24">
        <v>988768</v>
      </c>
      <c r="Z151" s="24">
        <v>660361</v>
      </c>
      <c r="AA151" s="15"/>
      <c r="AB151" s="30"/>
      <c r="AC151" s="30"/>
      <c r="AD151" s="30"/>
      <c r="AE151" s="30"/>
      <c r="AF151" s="30">
        <v>0.83900956201728305</v>
      </c>
      <c r="AG151" s="15">
        <v>0.84308654810835304</v>
      </c>
      <c r="AH151" s="15">
        <v>0.83290503224751311</v>
      </c>
      <c r="AI151" s="15">
        <f t="shared" si="127"/>
        <v>0.73900956201728307</v>
      </c>
      <c r="AJ151" s="30"/>
      <c r="AK151" s="30"/>
      <c r="AL151" s="30"/>
      <c r="AM151" s="30">
        <f>IF(AF151="","",AJ151+AK151-AL151)</f>
        <v>0</v>
      </c>
      <c r="AN151" s="66">
        <v>7.1670313162754032E-2</v>
      </c>
      <c r="AO151" s="30"/>
      <c r="AP151" s="30"/>
      <c r="AQ151" s="30"/>
      <c r="AR151" s="30">
        <f t="shared" si="95"/>
        <v>0</v>
      </c>
      <c r="AS151" s="66">
        <v>4.4334967003208603E-2</v>
      </c>
      <c r="AT151" s="66"/>
      <c r="AU151" s="66"/>
      <c r="AV151" s="66"/>
      <c r="AW151" s="30">
        <f t="shared" si="96"/>
        <v>0</v>
      </c>
      <c r="AX151" s="66"/>
      <c r="AY151" s="66"/>
      <c r="AZ151" s="66"/>
      <c r="BA151" s="62" t="str">
        <f t="shared" si="97"/>
        <v/>
      </c>
      <c r="BB151" s="62">
        <f>IFERROR(G152/P152,"")</f>
        <v>3.737833459216227E-2</v>
      </c>
      <c r="BC151" s="29"/>
      <c r="BD151" s="29"/>
      <c r="BE151" s="29"/>
      <c r="BF151" s="29"/>
      <c r="BG151" s="29"/>
      <c r="BH151" s="29"/>
      <c r="BI151" s="30"/>
      <c r="BJ151" s="30"/>
      <c r="BK151" s="30"/>
      <c r="BL151" s="30"/>
      <c r="BM151" s="30"/>
      <c r="BN151" s="62"/>
      <c r="BO151" s="30"/>
      <c r="BP151" s="30"/>
      <c r="BQ151" s="30"/>
      <c r="BR151" s="30"/>
      <c r="BS151" s="30"/>
      <c r="BT151" s="30"/>
      <c r="BU151" s="30"/>
      <c r="BV151" s="62"/>
      <c r="BW151" s="30"/>
      <c r="BX151" s="30"/>
      <c r="BY151" s="51">
        <v>607101</v>
      </c>
      <c r="BZ151" s="51">
        <v>870572</v>
      </c>
      <c r="CA151" s="29">
        <f t="shared" si="117"/>
        <v>374336</v>
      </c>
      <c r="CB151" s="29">
        <f t="shared" si="118"/>
        <v>718578</v>
      </c>
      <c r="CC151" s="29">
        <v>28280</v>
      </c>
      <c r="CD151" s="29">
        <v>83000</v>
      </c>
      <c r="CE151" s="29">
        <v>204485</v>
      </c>
      <c r="CF151" s="29">
        <v>68994</v>
      </c>
      <c r="CG151" s="15">
        <f t="shared" si="119"/>
        <v>0.25332803671718979</v>
      </c>
      <c r="CH151" s="15">
        <f t="shared" si="120"/>
        <v>0.4862902685506198</v>
      </c>
      <c r="CI151" s="15">
        <f t="shared" si="121"/>
        <v>1.9138199046744443E-2</v>
      </c>
      <c r="CJ151" s="15">
        <f t="shared" si="122"/>
        <v>5.6169396070713883E-2</v>
      </c>
      <c r="CK151" s="15">
        <f t="shared" si="123"/>
        <v>0.13838311994602323</v>
      </c>
      <c r="CL151" s="15">
        <f t="shared" si="124"/>
        <v>4.6690979668708839E-2</v>
      </c>
    </row>
    <row r="152" spans="2:90" ht="15.6" customHeight="1">
      <c r="B152" t="str">
        <f t="shared" si="115"/>
        <v>2021</v>
      </c>
      <c r="C152" s="54">
        <v>202144</v>
      </c>
      <c r="D152" s="54"/>
      <c r="E152" s="54"/>
      <c r="F152" s="54"/>
      <c r="G152" s="29">
        <f t="shared" si="114"/>
        <v>1325196</v>
      </c>
      <c r="H152" s="51">
        <v>557743</v>
      </c>
      <c r="I152" s="51">
        <v>767453</v>
      </c>
      <c r="J152" s="29">
        <f t="shared" si="116"/>
        <v>984008</v>
      </c>
      <c r="K152" s="51">
        <v>121290</v>
      </c>
      <c r="L152" s="51">
        <v>219898</v>
      </c>
      <c r="M152" s="29">
        <v>1453402.329649901</v>
      </c>
      <c r="N152" s="29"/>
      <c r="O152" s="29">
        <v>42487211.925143681</v>
      </c>
      <c r="P152" s="29">
        <v>35453586</v>
      </c>
      <c r="Q152" s="29">
        <v>9110349</v>
      </c>
      <c r="R152" s="29">
        <v>933677634.01999998</v>
      </c>
      <c r="S152" s="29">
        <v>147796484</v>
      </c>
      <c r="T152" s="62">
        <f t="shared" si="125"/>
        <v>6.1641175442306191E-2</v>
      </c>
      <c r="U152" s="25">
        <f t="shared" si="126"/>
        <v>102.48538601759384</v>
      </c>
      <c r="V152" s="30">
        <v>0.61585958193347445</v>
      </c>
      <c r="W152" s="30">
        <v>0.59880952380952379</v>
      </c>
      <c r="X152" s="30">
        <v>0.64027192403392064</v>
      </c>
      <c r="Y152" s="24">
        <v>888191</v>
      </c>
      <c r="Z152" s="24">
        <v>620330</v>
      </c>
      <c r="AA152" s="15"/>
      <c r="AB152" s="30"/>
      <c r="AC152" s="30"/>
      <c r="AD152" s="30"/>
      <c r="AE152" s="25"/>
      <c r="AF152" s="30">
        <v>0.83783925853004093</v>
      </c>
      <c r="AG152" s="15">
        <v>0.83954513476674142</v>
      </c>
      <c r="AH152" s="15">
        <v>0.83539677804295942</v>
      </c>
      <c r="AI152" s="15">
        <f t="shared" si="127"/>
        <v>0.73783925853004095</v>
      </c>
      <c r="AJ152" s="29"/>
      <c r="AK152" s="30"/>
      <c r="AL152" s="30"/>
      <c r="AM152" s="30"/>
      <c r="BF152" s="29"/>
      <c r="BG152" s="29"/>
      <c r="BH152" s="29"/>
      <c r="BI152" s="30"/>
      <c r="BJ152" s="30"/>
      <c r="BK152" s="30"/>
      <c r="BL152" s="30"/>
      <c r="BM152" s="30"/>
      <c r="BN152" s="62"/>
      <c r="BO152" s="30"/>
      <c r="BP152" s="30"/>
      <c r="BQ152" s="30"/>
      <c r="BR152" s="30"/>
      <c r="BS152" s="30"/>
      <c r="BT152" s="30"/>
      <c r="BU152" s="30"/>
      <c r="BV152" s="62"/>
      <c r="BW152" s="30"/>
      <c r="BX152" s="30"/>
      <c r="BY152" s="51">
        <v>557743</v>
      </c>
      <c r="BZ152" s="51">
        <v>767453</v>
      </c>
      <c r="CA152" s="29">
        <f t="shared" si="117"/>
        <v>351361</v>
      </c>
      <c r="CB152" s="29">
        <f t="shared" si="118"/>
        <v>632647</v>
      </c>
      <c r="CC152" s="29">
        <v>40033</v>
      </c>
      <c r="CD152" s="29">
        <v>81257</v>
      </c>
      <c r="CE152" s="29">
        <v>166349</v>
      </c>
      <c r="CF152" s="29">
        <v>53549</v>
      </c>
      <c r="CG152" s="15">
        <f t="shared" si="119"/>
        <v>0.26513889266191565</v>
      </c>
      <c r="CH152" s="15">
        <f t="shared" si="120"/>
        <v>0.47739881496774816</v>
      </c>
      <c r="CI152" s="15">
        <f t="shared" si="121"/>
        <v>3.0209116236390693E-2</v>
      </c>
      <c r="CJ152" s="15">
        <f t="shared" si="122"/>
        <v>6.1316967452361766E-2</v>
      </c>
      <c r="CK152" s="15">
        <f t="shared" si="123"/>
        <v>0.12552784644686521</v>
      </c>
      <c r="CL152" s="15">
        <f t="shared" si="124"/>
        <v>4.0408362234718484E-2</v>
      </c>
    </row>
    <row r="153" spans="2:90" ht="15.6" customHeight="1">
      <c r="B153" t="str">
        <f t="shared" si="115"/>
        <v>2021</v>
      </c>
      <c r="C153" s="54">
        <v>202145</v>
      </c>
      <c r="D153" s="54"/>
      <c r="E153" s="54"/>
      <c r="F153" s="54"/>
      <c r="G153" s="29">
        <f t="shared" si="114"/>
        <v>1137058</v>
      </c>
      <c r="H153" s="51">
        <v>481795</v>
      </c>
      <c r="I153" s="51">
        <v>655263</v>
      </c>
      <c r="J153" s="29">
        <f t="shared" si="116"/>
        <v>885676</v>
      </c>
      <c r="K153" s="51">
        <v>92638</v>
      </c>
      <c r="L153" s="29">
        <v>158744</v>
      </c>
      <c r="M153" s="29">
        <v>1260907.8910136721</v>
      </c>
      <c r="N153" s="29"/>
      <c r="O153" s="29">
        <v>43748119.816157363</v>
      </c>
      <c r="P153" s="29">
        <v>33077975</v>
      </c>
      <c r="Q153" s="29">
        <v>8446888</v>
      </c>
      <c r="R153" s="29">
        <v>803460042.75</v>
      </c>
      <c r="S153" s="29">
        <v>130195208</v>
      </c>
      <c r="T153" s="62">
        <f t="shared" si="125"/>
        <v>6.4878639772978433E-2</v>
      </c>
      <c r="U153" s="25">
        <f t="shared" si="126"/>
        <v>95.11905955779217</v>
      </c>
      <c r="V153" s="30">
        <v>0.61073625029324918</v>
      </c>
      <c r="W153" s="30">
        <v>0.58887492949079534</v>
      </c>
      <c r="X153" s="30">
        <v>0.64151925368168461</v>
      </c>
      <c r="Y153" s="24">
        <v>731928</v>
      </c>
      <c r="Z153" s="24">
        <v>519797</v>
      </c>
      <c r="AA153" s="15"/>
      <c r="AB153" s="30"/>
      <c r="AC153" s="30"/>
      <c r="AD153" s="30"/>
      <c r="AE153" s="25"/>
      <c r="AF153" s="30">
        <v>0.83079971786368767</v>
      </c>
      <c r="AG153" s="15">
        <v>0.83270857904722839</v>
      </c>
      <c r="AH153" s="15">
        <v>0.82811184365828316</v>
      </c>
      <c r="AI153" s="15">
        <f t="shared" si="127"/>
        <v>0.73079971786368769</v>
      </c>
      <c r="AJ153" s="29"/>
      <c r="AK153" s="30"/>
      <c r="AL153" s="30"/>
      <c r="AM153" s="30"/>
      <c r="AN153" s="66"/>
      <c r="AO153" s="30"/>
      <c r="AP153" s="30"/>
      <c r="AQ153" s="30"/>
      <c r="AR153" s="30" t="str">
        <f t="shared" ref="AR153:AR160" si="128">IF(AN153="","",AO153+AP153-AQ153)</f>
        <v/>
      </c>
      <c r="AS153" s="66"/>
      <c r="AT153" s="66"/>
      <c r="AU153" s="66"/>
      <c r="AV153" s="66"/>
      <c r="AW153" s="30" t="str">
        <f t="shared" ref="AW153:AW160" si="129">IF(AS153="","",AT153+AU153-AV153)</f>
        <v/>
      </c>
      <c r="AX153" s="66"/>
      <c r="AY153" s="66"/>
      <c r="AZ153" s="66"/>
      <c r="BA153" s="62" t="str">
        <f t="shared" ref="BA153:BA160" si="130">IF(AX153="","",AX153+AY153-AZ153)</f>
        <v/>
      </c>
      <c r="BB153" s="62">
        <f t="shared" ref="BB153:BB160" si="131">IFERROR(G153/P153,"")</f>
        <v>3.4375078885572653E-2</v>
      </c>
      <c r="BC153" s="29"/>
      <c r="BD153" s="29"/>
      <c r="BE153" s="29"/>
      <c r="BF153" s="29"/>
      <c r="BG153" s="29"/>
      <c r="BH153" s="29"/>
      <c r="BI153" s="30"/>
      <c r="BJ153" s="30"/>
      <c r="BK153" s="30"/>
      <c r="BL153" s="30"/>
      <c r="BM153" s="30"/>
      <c r="BN153" s="30"/>
      <c r="BO153" s="30"/>
      <c r="BP153" s="30"/>
      <c r="BQ153" s="30"/>
      <c r="BR153" s="30"/>
      <c r="BS153" s="30"/>
      <c r="BT153" s="30"/>
      <c r="BU153" s="30"/>
      <c r="BV153" s="30"/>
      <c r="BW153" s="30"/>
      <c r="BX153" s="30"/>
      <c r="BY153" s="51">
        <v>481795</v>
      </c>
      <c r="BZ153" s="51">
        <v>655263</v>
      </c>
      <c r="CA153" s="29">
        <f t="shared" si="117"/>
        <v>330162</v>
      </c>
      <c r="CB153" s="29">
        <f t="shared" si="118"/>
        <v>555514</v>
      </c>
      <c r="CC153" s="29">
        <v>29638</v>
      </c>
      <c r="CD153" s="29">
        <v>63000</v>
      </c>
      <c r="CE153" s="29">
        <v>121995</v>
      </c>
      <c r="CF153" s="29">
        <v>36749</v>
      </c>
      <c r="CG153" s="15">
        <f t="shared" si="119"/>
        <v>0.29036513528773378</v>
      </c>
      <c r="CH153" s="15">
        <f t="shared" si="120"/>
        <v>0.48855379408965943</v>
      </c>
      <c r="CI153" s="15">
        <f t="shared" si="121"/>
        <v>2.6065512928979875E-2</v>
      </c>
      <c r="CJ153" s="15">
        <f t="shared" si="122"/>
        <v>5.5406144629385659E-2</v>
      </c>
      <c r="CK153" s="15">
        <f t="shared" si="123"/>
        <v>0.10729004149304609</v>
      </c>
      <c r="CL153" s="15">
        <f t="shared" si="124"/>
        <v>3.2319371571195139E-2</v>
      </c>
    </row>
    <row r="154" spans="2:90" ht="15.6" customHeight="1">
      <c r="B154" t="str">
        <f t="shared" si="115"/>
        <v>2021</v>
      </c>
      <c r="C154" s="54">
        <v>202146</v>
      </c>
      <c r="D154" s="54"/>
      <c r="E154" s="54"/>
      <c r="F154" s="54"/>
      <c r="G154" s="29">
        <f t="shared" si="114"/>
        <v>1178305</v>
      </c>
      <c r="H154" s="51">
        <v>476209</v>
      </c>
      <c r="I154" s="51">
        <v>702096</v>
      </c>
      <c r="J154" s="29">
        <f t="shared" si="116"/>
        <v>929602</v>
      </c>
      <c r="K154" s="29">
        <v>103978</v>
      </c>
      <c r="L154" s="29">
        <v>144725</v>
      </c>
      <c r="M154" s="29">
        <v>1276978.8910136721</v>
      </c>
      <c r="N154" s="29"/>
      <c r="O154" s="29">
        <v>45025098.70717103</v>
      </c>
      <c r="P154" s="29">
        <v>33067744</v>
      </c>
      <c r="Q154" s="29">
        <v>8627363</v>
      </c>
      <c r="R154" s="29">
        <v>820658333</v>
      </c>
      <c r="S154" s="29">
        <v>130518793</v>
      </c>
      <c r="T154" s="62">
        <f t="shared" si="125"/>
        <v>6.6100542318070624E-2</v>
      </c>
      <c r="U154" s="25">
        <f t="shared" si="126"/>
        <v>95.12273136067185</v>
      </c>
      <c r="V154" s="30">
        <v>0.61317432739023381</v>
      </c>
      <c r="W154" s="30">
        <v>0.59539178428688078</v>
      </c>
      <c r="X154" s="30">
        <v>0.63978762972027636</v>
      </c>
      <c r="Y154" s="24">
        <v>731167</v>
      </c>
      <c r="Z154" s="24">
        <v>488553</v>
      </c>
      <c r="AA154" s="15"/>
      <c r="AB154" s="30"/>
      <c r="AC154" s="30"/>
      <c r="AD154" s="30"/>
      <c r="AE154" s="30"/>
      <c r="AF154" s="30">
        <v>0.81744673392668088</v>
      </c>
      <c r="AG154" s="15">
        <v>0.81771535662550332</v>
      </c>
      <c r="AH154" s="15">
        <v>0.8170205647715959</v>
      </c>
      <c r="AI154" s="15">
        <f t="shared" si="127"/>
        <v>0.7174467339266809</v>
      </c>
      <c r="AJ154" s="30"/>
      <c r="AK154" s="30"/>
      <c r="AL154" s="30"/>
      <c r="AM154" s="30">
        <f>IF(AF154="","",AJ154+AK154-AL154)</f>
        <v>0</v>
      </c>
      <c r="AN154" s="66"/>
      <c r="AO154" s="30"/>
      <c r="AP154" s="30"/>
      <c r="AQ154" s="30"/>
      <c r="AR154" s="30" t="str">
        <f t="shared" si="128"/>
        <v/>
      </c>
      <c r="AS154" s="66"/>
      <c r="AT154" s="66"/>
      <c r="AU154" s="66"/>
      <c r="AV154" s="66"/>
      <c r="AW154" s="30" t="str">
        <f t="shared" si="129"/>
        <v/>
      </c>
      <c r="AX154" s="66"/>
      <c r="AY154" s="66"/>
      <c r="AZ154" s="66"/>
      <c r="BA154" s="62" t="str">
        <f t="shared" si="130"/>
        <v/>
      </c>
      <c r="BB154" s="62">
        <f t="shared" si="131"/>
        <v>3.563306284214611E-2</v>
      </c>
      <c r="BC154" s="29"/>
      <c r="BD154" s="29"/>
      <c r="BE154" s="29"/>
      <c r="BF154" s="29"/>
      <c r="BG154" s="29"/>
      <c r="BH154" s="29"/>
      <c r="BI154" s="30"/>
      <c r="BJ154" s="30"/>
      <c r="BK154" s="30"/>
      <c r="BL154" s="30"/>
      <c r="BM154" s="30"/>
      <c r="BN154" s="30"/>
      <c r="BO154" s="30"/>
      <c r="BP154" s="30"/>
      <c r="BQ154" s="30"/>
      <c r="BR154" s="30"/>
      <c r="BS154" s="30"/>
      <c r="BT154" s="30"/>
      <c r="BU154" s="30"/>
      <c r="BV154" s="30"/>
      <c r="BW154" s="30"/>
      <c r="BX154" s="30"/>
      <c r="BY154" s="51">
        <v>476209</v>
      </c>
      <c r="BZ154" s="51">
        <v>702096</v>
      </c>
      <c r="CA154" s="29">
        <f t="shared" si="117"/>
        <v>327838</v>
      </c>
      <c r="CB154" s="29">
        <f t="shared" si="118"/>
        <v>601764</v>
      </c>
      <c r="CC154" s="29">
        <v>33432</v>
      </c>
      <c r="CD154" s="29">
        <v>70546</v>
      </c>
      <c r="CE154" s="29">
        <v>114939</v>
      </c>
      <c r="CF154" s="29">
        <v>29786</v>
      </c>
      <c r="CG154" s="15">
        <f t="shared" si="119"/>
        <v>0.27822847225463698</v>
      </c>
      <c r="CH154" s="15">
        <f t="shared" si="120"/>
        <v>0.51070308621282268</v>
      </c>
      <c r="CI154" s="15">
        <f t="shared" si="121"/>
        <v>2.8372959462957384E-2</v>
      </c>
      <c r="CJ154" s="15">
        <f t="shared" si="122"/>
        <v>5.9870746538459904E-2</v>
      </c>
      <c r="CK154" s="15">
        <f t="shared" si="123"/>
        <v>9.7546051319480104E-2</v>
      </c>
      <c r="CL154" s="15">
        <f t="shared" si="124"/>
        <v>2.5278684211642994E-2</v>
      </c>
    </row>
    <row r="155" spans="2:90" ht="15.6" customHeight="1">
      <c r="B155" t="str">
        <f t="shared" si="115"/>
        <v>2021</v>
      </c>
      <c r="C155" s="54">
        <v>202147</v>
      </c>
      <c r="D155" s="54"/>
      <c r="E155" s="54"/>
      <c r="F155" s="54"/>
      <c r="G155" s="29">
        <f t="shared" si="114"/>
        <v>1331335</v>
      </c>
      <c r="H155" s="51">
        <v>517246</v>
      </c>
      <c r="I155" s="51">
        <v>814089</v>
      </c>
      <c r="J155" s="29">
        <f t="shared" si="116"/>
        <v>1050161</v>
      </c>
      <c r="K155" s="29">
        <v>143393</v>
      </c>
      <c r="L155" s="29">
        <v>137781</v>
      </c>
      <c r="M155" s="29">
        <v>1282100.8910136721</v>
      </c>
      <c r="N155" s="29"/>
      <c r="O155" s="29">
        <v>46307199.598184697</v>
      </c>
      <c r="P155" s="29">
        <v>32935211</v>
      </c>
      <c r="Q155" s="29">
        <v>7355759</v>
      </c>
      <c r="R155" s="29">
        <v>665554015.2299999</v>
      </c>
      <c r="S155" s="29">
        <v>125543473</v>
      </c>
      <c r="T155" s="62">
        <f t="shared" si="125"/>
        <v>5.8591329554822817E-2</v>
      </c>
      <c r="U155" s="25">
        <f t="shared" si="126"/>
        <v>90.480671706345987</v>
      </c>
      <c r="V155" s="30">
        <v>0.59303073695944708</v>
      </c>
      <c r="W155" s="30">
        <v>0.57994456037212416</v>
      </c>
      <c r="X155" s="30">
        <v>0.61293114796668213</v>
      </c>
      <c r="Y155" s="24">
        <v>718414</v>
      </c>
      <c r="Z155" s="24">
        <v>472417</v>
      </c>
      <c r="AA155" s="15"/>
      <c r="AB155" s="30"/>
      <c r="AC155" s="30"/>
      <c r="AD155" s="30"/>
      <c r="AE155" s="25"/>
      <c r="AF155" s="30">
        <v>0.79363904320338563</v>
      </c>
      <c r="AG155" s="15">
        <v>0.7974158936787068</v>
      </c>
      <c r="AH155" s="15">
        <v>0.78729744863729112</v>
      </c>
      <c r="AI155" s="15">
        <f t="shared" si="127"/>
        <v>0.69363904320338565</v>
      </c>
      <c r="AJ155" s="29"/>
      <c r="AK155" s="30"/>
      <c r="AL155" s="30"/>
      <c r="AM155" s="30"/>
      <c r="AN155" s="66"/>
      <c r="AO155" s="30"/>
      <c r="AP155" s="30"/>
      <c r="AQ155" s="30"/>
      <c r="AR155" s="30" t="str">
        <f t="shared" si="128"/>
        <v/>
      </c>
      <c r="AS155" s="66"/>
      <c r="AT155" s="66"/>
      <c r="AU155" s="66"/>
      <c r="AV155" s="66"/>
      <c r="AW155" s="30" t="str">
        <f t="shared" si="129"/>
        <v/>
      </c>
      <c r="AX155" s="66"/>
      <c r="AY155" s="66"/>
      <c r="AZ155" s="66"/>
      <c r="BA155" s="62" t="str">
        <f t="shared" si="130"/>
        <v/>
      </c>
      <c r="BB155" s="62">
        <f t="shared" si="131"/>
        <v>4.0422847146781599E-2</v>
      </c>
      <c r="BC155" s="29"/>
      <c r="BD155" s="29"/>
      <c r="BE155" s="29"/>
      <c r="BF155" s="29"/>
      <c r="BG155" s="29"/>
      <c r="BH155" s="29"/>
      <c r="BI155" s="30"/>
      <c r="BJ155" s="30"/>
      <c r="BY155" s="51">
        <v>517246</v>
      </c>
      <c r="BZ155" s="51">
        <v>814089</v>
      </c>
      <c r="CA155" s="29">
        <f t="shared" si="117"/>
        <v>366168</v>
      </c>
      <c r="CB155" s="29">
        <f t="shared" si="118"/>
        <v>683993</v>
      </c>
      <c r="CC155" s="29">
        <v>45656</v>
      </c>
      <c r="CD155" s="29">
        <v>97737</v>
      </c>
      <c r="CE155" s="29">
        <v>105422</v>
      </c>
      <c r="CF155" s="29">
        <v>32359</v>
      </c>
      <c r="CG155" s="15">
        <f t="shared" si="119"/>
        <v>0.27503821352251689</v>
      </c>
      <c r="CH155" s="15">
        <f t="shared" si="120"/>
        <v>0.51376475492644602</v>
      </c>
      <c r="CI155" s="15">
        <f t="shared" si="121"/>
        <v>3.4293397229097113E-2</v>
      </c>
      <c r="CJ155" s="15">
        <f t="shared" si="122"/>
        <v>7.3412777400128443E-2</v>
      </c>
      <c r="CK155" s="15">
        <f t="shared" si="123"/>
        <v>7.918517878670657E-2</v>
      </c>
      <c r="CL155" s="15">
        <f t="shared" si="124"/>
        <v>2.4305678135104987E-2</v>
      </c>
    </row>
    <row r="156" spans="2:90" ht="15.6" customHeight="1">
      <c r="B156" t="str">
        <f t="shared" si="115"/>
        <v>2021</v>
      </c>
      <c r="C156" s="54">
        <v>202148</v>
      </c>
      <c r="D156" s="54"/>
      <c r="E156" s="54"/>
      <c r="F156" s="54"/>
      <c r="G156" s="29">
        <f t="shared" si="114"/>
        <v>1151847</v>
      </c>
      <c r="H156" s="51">
        <v>447381</v>
      </c>
      <c r="I156" s="51">
        <v>704466</v>
      </c>
      <c r="J156" s="29">
        <f t="shared" si="116"/>
        <v>908074</v>
      </c>
      <c r="K156" s="29">
        <v>95646</v>
      </c>
      <c r="L156" s="29">
        <v>148127</v>
      </c>
      <c r="M156" s="29">
        <v>1249872.8910136721</v>
      </c>
      <c r="N156" s="29"/>
      <c r="O156" s="29">
        <v>47557072.489198379</v>
      </c>
      <c r="P156" s="29">
        <v>30050616</v>
      </c>
      <c r="Q156" s="29">
        <v>6673590</v>
      </c>
      <c r="R156" s="29">
        <v>586992927.54999995</v>
      </c>
      <c r="S156" s="29">
        <v>104141007</v>
      </c>
      <c r="T156" s="62">
        <f t="shared" si="125"/>
        <v>6.4082249559964402E-2</v>
      </c>
      <c r="U156" s="25">
        <f t="shared" si="126"/>
        <v>87.957595169916033</v>
      </c>
      <c r="V156" s="30">
        <v>0.63634154224679862</v>
      </c>
      <c r="W156" s="30">
        <v>0.62587377399648592</v>
      </c>
      <c r="X156" s="30">
        <v>0.65300049129839122</v>
      </c>
      <c r="Y156" s="24">
        <v>735316</v>
      </c>
      <c r="Z156" s="24">
        <v>462041</v>
      </c>
      <c r="AA156" s="15"/>
      <c r="AB156" s="30"/>
      <c r="AC156" s="30"/>
      <c r="AD156" s="30"/>
      <c r="AE156" s="25"/>
      <c r="AF156" s="31">
        <v>0.80245421654195392</v>
      </c>
      <c r="AG156" s="15">
        <v>0.80399639930236488</v>
      </c>
      <c r="AH156" s="15">
        <v>0.7998687354587185</v>
      </c>
      <c r="AI156" s="15">
        <f t="shared" si="127"/>
        <v>0.70245421654195395</v>
      </c>
      <c r="AJ156" s="29"/>
      <c r="AK156" s="30"/>
      <c r="AL156" s="30"/>
      <c r="AM156" s="30"/>
      <c r="AN156" s="66"/>
      <c r="AO156" s="30"/>
      <c r="AP156" s="30"/>
      <c r="AQ156" s="30"/>
      <c r="AR156" s="30" t="str">
        <f t="shared" si="128"/>
        <v/>
      </c>
      <c r="AS156" s="66"/>
      <c r="AT156" s="66"/>
      <c r="AU156" s="66"/>
      <c r="AV156" s="66"/>
      <c r="AW156" s="30" t="str">
        <f t="shared" si="129"/>
        <v/>
      </c>
      <c r="AX156" s="66"/>
      <c r="AY156" s="66"/>
      <c r="AZ156" s="66"/>
      <c r="BA156" s="62" t="str">
        <f t="shared" si="130"/>
        <v/>
      </c>
      <c r="BB156" s="62">
        <f t="shared" si="131"/>
        <v>3.8330229237230944E-2</v>
      </c>
      <c r="BC156" s="29"/>
      <c r="BD156" s="29"/>
      <c r="BE156" s="29"/>
      <c r="BF156" s="29"/>
      <c r="BG156" s="29"/>
      <c r="BH156" s="29"/>
      <c r="BI156" s="30"/>
      <c r="BJ156" s="30"/>
      <c r="BY156" s="51">
        <v>447381</v>
      </c>
      <c r="BZ156" s="51">
        <v>704466</v>
      </c>
      <c r="CA156" s="29">
        <f t="shared" si="117"/>
        <v>326631</v>
      </c>
      <c r="CB156" s="29">
        <f t="shared" si="118"/>
        <v>581443</v>
      </c>
      <c r="CC156" s="29">
        <v>30651</v>
      </c>
      <c r="CD156" s="29">
        <v>64995</v>
      </c>
      <c r="CE156" s="29">
        <v>90099</v>
      </c>
      <c r="CF156" s="29">
        <v>58028</v>
      </c>
      <c r="CG156" s="15">
        <f t="shared" si="119"/>
        <v>0.28357151600863656</v>
      </c>
      <c r="CH156" s="15">
        <f t="shared" si="120"/>
        <v>0.50479186905899831</v>
      </c>
      <c r="CI156" s="15">
        <f t="shared" si="121"/>
        <v>2.6610305014468066E-2</v>
      </c>
      <c r="CJ156" s="15">
        <f t="shared" si="122"/>
        <v>5.6426765013061632E-2</v>
      </c>
      <c r="CK156" s="15">
        <f t="shared" si="123"/>
        <v>7.8221326269895225E-2</v>
      </c>
      <c r="CL156" s="15">
        <f t="shared" si="124"/>
        <v>5.0378218634940228E-2</v>
      </c>
    </row>
    <row r="157" spans="2:90" ht="15.6" customHeight="1">
      <c r="B157" t="str">
        <f t="shared" si="115"/>
        <v>2021</v>
      </c>
      <c r="C157" s="54">
        <v>202149</v>
      </c>
      <c r="D157" s="54"/>
      <c r="E157" s="54"/>
      <c r="F157" s="54"/>
      <c r="G157" s="29">
        <f t="shared" si="114"/>
        <v>1018237</v>
      </c>
      <c r="H157" s="51">
        <v>405631</v>
      </c>
      <c r="I157" s="51">
        <v>612606</v>
      </c>
      <c r="J157" s="29">
        <f t="shared" si="116"/>
        <v>802566</v>
      </c>
      <c r="K157" s="29">
        <v>95206</v>
      </c>
      <c r="L157" s="29">
        <v>120465</v>
      </c>
      <c r="M157" s="29">
        <v>1112048.383265215</v>
      </c>
      <c r="N157" s="29"/>
      <c r="O157" s="29">
        <v>48669120.872463591</v>
      </c>
      <c r="P157" s="29">
        <v>29039007</v>
      </c>
      <c r="Q157" s="29">
        <v>6797332</v>
      </c>
      <c r="R157" s="29">
        <v>616323811.66999996</v>
      </c>
      <c r="S157" s="29">
        <v>101739131</v>
      </c>
      <c r="T157" s="62">
        <f t="shared" si="125"/>
        <v>6.6811382534808561E-2</v>
      </c>
      <c r="U157" s="25">
        <f t="shared" si="126"/>
        <v>90.671429859539003</v>
      </c>
      <c r="V157" s="30">
        <v>0.62221642088823403</v>
      </c>
      <c r="W157" s="30">
        <v>0.62311490080542176</v>
      </c>
      <c r="X157" s="30">
        <v>0.62084722863895803</v>
      </c>
      <c r="Y157" s="24">
        <v>635740</v>
      </c>
      <c r="Z157" s="24">
        <v>417180</v>
      </c>
      <c r="AA157" s="15"/>
      <c r="AB157" s="30"/>
      <c r="AC157" s="30"/>
      <c r="AD157" s="30"/>
      <c r="AE157" s="30"/>
      <c r="AF157" s="30">
        <v>0.7921790101668239</v>
      </c>
      <c r="AG157" s="30">
        <v>0.7952669103744523</v>
      </c>
      <c r="AH157" s="30">
        <v>0.78705685839249218</v>
      </c>
      <c r="AI157" s="15">
        <v>0.69217901016682393</v>
      </c>
      <c r="AJ157" s="30"/>
      <c r="AK157" s="30"/>
      <c r="AL157" s="30"/>
      <c r="AM157" s="30">
        <f>IF(AF157="","",AJ157+AK157-AL157)</f>
        <v>0</v>
      </c>
      <c r="AN157" s="66"/>
      <c r="AO157" s="30"/>
      <c r="AP157" s="30"/>
      <c r="AQ157" s="30"/>
      <c r="AR157" s="30" t="str">
        <f t="shared" si="128"/>
        <v/>
      </c>
      <c r="AS157" s="66"/>
      <c r="AT157" s="66"/>
      <c r="AU157" s="66"/>
      <c r="AV157" s="66"/>
      <c r="AW157" s="30" t="str">
        <f t="shared" si="129"/>
        <v/>
      </c>
      <c r="AX157" s="66"/>
      <c r="AY157" s="66"/>
      <c r="AZ157" s="66"/>
      <c r="BA157" s="62" t="str">
        <f t="shared" si="130"/>
        <v/>
      </c>
      <c r="BB157" s="62">
        <f t="shared" si="131"/>
        <v>3.506445657732029E-2</v>
      </c>
      <c r="BC157" s="29"/>
      <c r="BD157" s="29"/>
      <c r="BE157" s="29"/>
      <c r="BF157" s="29"/>
      <c r="BG157" s="29"/>
      <c r="BH157" s="29"/>
      <c r="BI157" s="30"/>
      <c r="BY157" s="51">
        <v>405631</v>
      </c>
      <c r="BZ157" s="51">
        <v>612606</v>
      </c>
      <c r="CA157" s="29">
        <f t="shared" si="117"/>
        <v>286334</v>
      </c>
      <c r="CB157" s="29">
        <f t="shared" si="118"/>
        <v>516232</v>
      </c>
      <c r="CC157" s="29">
        <v>29601</v>
      </c>
      <c r="CD157" s="29">
        <v>65605</v>
      </c>
      <c r="CE157" s="29">
        <v>89696</v>
      </c>
      <c r="CF157" s="29">
        <v>30769</v>
      </c>
      <c r="CG157" s="15">
        <f t="shared" si="119"/>
        <v>0.28120565251508245</v>
      </c>
      <c r="CH157" s="15">
        <f t="shared" si="120"/>
        <v>0.50698609459290911</v>
      </c>
      <c r="CI157" s="15">
        <f t="shared" si="121"/>
        <v>2.9070835178843433E-2</v>
      </c>
      <c r="CJ157" s="15">
        <f t="shared" si="122"/>
        <v>6.4429990267491757E-2</v>
      </c>
      <c r="CK157" s="15">
        <f t="shared" si="123"/>
        <v>8.8089511577363624E-2</v>
      </c>
      <c r="CL157" s="15">
        <f t="shared" si="124"/>
        <v>3.0217915868309637E-2</v>
      </c>
    </row>
    <row r="158" spans="2:90" ht="15.6" customHeight="1">
      <c r="B158" t="str">
        <f t="shared" si="115"/>
        <v>2021</v>
      </c>
      <c r="C158" s="54">
        <v>202150</v>
      </c>
      <c r="D158" s="54"/>
      <c r="E158" s="54"/>
      <c r="F158" s="54"/>
      <c r="G158" s="29">
        <f t="shared" si="114"/>
        <v>987861</v>
      </c>
      <c r="H158" s="51">
        <v>402603</v>
      </c>
      <c r="I158" s="51">
        <v>585258</v>
      </c>
      <c r="J158" s="29">
        <f t="shared" si="116"/>
        <v>813897</v>
      </c>
      <c r="K158" s="29">
        <v>75822</v>
      </c>
      <c r="L158" s="29">
        <v>98142</v>
      </c>
      <c r="M158" s="29">
        <v>1051899.383265215</v>
      </c>
      <c r="N158" s="29"/>
      <c r="O158" s="29">
        <v>49721020.255728804</v>
      </c>
      <c r="P158" s="29">
        <v>28659465</v>
      </c>
      <c r="Q158" s="29">
        <v>6494397</v>
      </c>
      <c r="R158" s="29">
        <v>615525742.30999994</v>
      </c>
      <c r="S158" s="29">
        <v>101042217</v>
      </c>
      <c r="T158" s="62">
        <f t="shared" si="125"/>
        <v>6.4274094460932102E-2</v>
      </c>
      <c r="U158" s="25">
        <f t="shared" si="126"/>
        <v>94.77796665494887</v>
      </c>
      <c r="V158" s="30">
        <v>0.62253975655845417</v>
      </c>
      <c r="W158" s="30">
        <v>0.61096124323747447</v>
      </c>
      <c r="X158" s="30">
        <v>0.63949172588197967</v>
      </c>
      <c r="Y158" s="24">
        <v>609055</v>
      </c>
      <c r="Z158" s="24">
        <v>415996</v>
      </c>
      <c r="AA158" s="15"/>
      <c r="AB158" s="30"/>
      <c r="AC158" s="30"/>
      <c r="AD158" s="30"/>
      <c r="AE158" s="30"/>
      <c r="AF158" s="30">
        <v>0.80200637711290257</v>
      </c>
      <c r="AG158" s="30">
        <v>0.80054337300281297</v>
      </c>
      <c r="AH158" s="30">
        <v>0.80427726319064574</v>
      </c>
      <c r="AI158" s="15">
        <f>AF158-0.1</f>
        <v>0.70200637711290259</v>
      </c>
      <c r="AJ158" s="30"/>
      <c r="AK158" s="30"/>
      <c r="AL158" s="30"/>
      <c r="AM158" s="30">
        <f>IF(AF158="","",AJ158+AK158-AL158)</f>
        <v>0</v>
      </c>
      <c r="AN158" s="66"/>
      <c r="AO158" s="30"/>
      <c r="AP158" s="30"/>
      <c r="AQ158" s="30"/>
      <c r="AR158" s="30" t="str">
        <f t="shared" si="128"/>
        <v/>
      </c>
      <c r="AS158" s="66"/>
      <c r="AT158" s="66"/>
      <c r="AU158" s="66"/>
      <c r="AV158" s="66"/>
      <c r="AW158" s="30" t="str">
        <f t="shared" si="129"/>
        <v/>
      </c>
      <c r="AX158" s="66"/>
      <c r="AY158" s="66"/>
      <c r="AZ158" s="66"/>
      <c r="BA158" s="62" t="str">
        <f t="shared" si="130"/>
        <v/>
      </c>
      <c r="BB158" s="62">
        <f t="shared" si="131"/>
        <v>3.4468926757704653E-2</v>
      </c>
      <c r="BC158" s="29"/>
      <c r="BD158" s="29"/>
      <c r="BE158" s="29"/>
      <c r="BF158" s="29"/>
      <c r="BG158" s="29"/>
      <c r="BH158" s="29"/>
      <c r="BI158" s="30"/>
      <c r="BY158" s="51">
        <v>402603</v>
      </c>
      <c r="BZ158" s="51">
        <v>585258</v>
      </c>
      <c r="CA158" s="29">
        <f t="shared" si="117"/>
        <v>289158</v>
      </c>
      <c r="CB158" s="29">
        <f t="shared" si="118"/>
        <v>524739</v>
      </c>
      <c r="CC158" s="29">
        <v>23013</v>
      </c>
      <c r="CD158" s="29">
        <v>52809</v>
      </c>
      <c r="CE158" s="29">
        <v>90432</v>
      </c>
      <c r="CF158" s="29">
        <v>7710</v>
      </c>
      <c r="CG158" s="15">
        <f t="shared" si="119"/>
        <v>0.2927112215180071</v>
      </c>
      <c r="CH158" s="15">
        <f t="shared" si="120"/>
        <v>0.53118707996367909</v>
      </c>
      <c r="CI158" s="15">
        <f t="shared" si="121"/>
        <v>2.3295787565254626E-2</v>
      </c>
      <c r="CJ158" s="15">
        <f t="shared" si="122"/>
        <v>5.345792576081048E-2</v>
      </c>
      <c r="CK158" s="15">
        <f t="shared" si="123"/>
        <v>9.1543243432021304E-2</v>
      </c>
      <c r="CL158" s="15">
        <f t="shared" si="124"/>
        <v>7.8047417602274006E-3</v>
      </c>
    </row>
    <row r="159" spans="2:90" ht="15.6" customHeight="1">
      <c r="B159" t="str">
        <f t="shared" si="115"/>
        <v>2021</v>
      </c>
      <c r="C159" s="54">
        <v>202151</v>
      </c>
      <c r="D159" s="54"/>
      <c r="E159" s="54"/>
      <c r="F159" s="54"/>
      <c r="G159" s="29">
        <f t="shared" si="114"/>
        <v>948469</v>
      </c>
      <c r="H159" s="51">
        <v>377733</v>
      </c>
      <c r="I159" s="51">
        <v>570736</v>
      </c>
      <c r="J159" s="29">
        <f t="shared" si="116"/>
        <v>727710</v>
      </c>
      <c r="K159" s="29">
        <v>117009</v>
      </c>
      <c r="L159" s="29">
        <v>103750</v>
      </c>
      <c r="M159" s="29">
        <v>1042838.383265216</v>
      </c>
      <c r="N159" s="29"/>
      <c r="O159" s="29">
        <v>50763858.638994023</v>
      </c>
      <c r="P159" s="29">
        <v>28016596</v>
      </c>
      <c r="Q159" s="29">
        <v>5801668</v>
      </c>
      <c r="R159" s="29">
        <v>525672966</v>
      </c>
      <c r="S159" s="29">
        <v>95007883</v>
      </c>
      <c r="T159" s="62">
        <f t="shared" si="125"/>
        <v>6.1065122354110345E-2</v>
      </c>
      <c r="U159" s="25">
        <f t="shared" si="126"/>
        <v>90.607212615406468</v>
      </c>
      <c r="V159" s="31">
        <v>0.60760824516066114</v>
      </c>
      <c r="W159" s="31">
        <v>0.59013339732735459</v>
      </c>
      <c r="X159" s="31">
        <v>0.63440854680176972</v>
      </c>
      <c r="Y159" s="32">
        <v>595889</v>
      </c>
      <c r="Z159" s="32">
        <v>388543</v>
      </c>
      <c r="AA159" s="15"/>
      <c r="AB159" s="30"/>
      <c r="AC159" s="30"/>
      <c r="AD159" s="30"/>
      <c r="AE159" s="30"/>
      <c r="AF159" s="30">
        <v>0.78</v>
      </c>
      <c r="AG159" s="30">
        <v>0.78</v>
      </c>
      <c r="AH159" s="30">
        <v>0.79</v>
      </c>
      <c r="AI159" s="15">
        <v>0.68</v>
      </c>
      <c r="AJ159" s="30"/>
      <c r="AK159" s="30"/>
      <c r="AL159" s="30"/>
      <c r="AM159" s="30">
        <f>IF(AF159="","",AJ159+AK159-AL159)</f>
        <v>0</v>
      </c>
      <c r="AN159" s="66"/>
      <c r="AO159" s="30"/>
      <c r="AP159" s="30"/>
      <c r="AQ159" s="30"/>
      <c r="AR159" s="30" t="str">
        <f t="shared" si="128"/>
        <v/>
      </c>
      <c r="AS159" s="66"/>
      <c r="AT159" s="66"/>
      <c r="AU159" s="66"/>
      <c r="AV159" s="66"/>
      <c r="AW159" s="30" t="str">
        <f t="shared" si="129"/>
        <v/>
      </c>
      <c r="AX159" s="66"/>
      <c r="AY159" s="66"/>
      <c r="AZ159" s="66"/>
      <c r="BA159" s="62" t="str">
        <f t="shared" si="130"/>
        <v/>
      </c>
      <c r="BB159" s="62">
        <f t="shared" si="131"/>
        <v>3.3853827210129313E-2</v>
      </c>
      <c r="BC159" s="29"/>
      <c r="BD159" s="29"/>
      <c r="BE159" s="29"/>
      <c r="BF159" s="29"/>
      <c r="BG159" s="29"/>
      <c r="BH159" s="29"/>
      <c r="BI159" s="30"/>
      <c r="BY159" s="51">
        <v>377733</v>
      </c>
      <c r="BZ159" s="51">
        <v>570736</v>
      </c>
      <c r="CA159" s="29">
        <f t="shared" si="117"/>
        <v>261390</v>
      </c>
      <c r="CB159" s="29">
        <f t="shared" si="118"/>
        <v>466320</v>
      </c>
      <c r="CC159" s="29">
        <v>18846</v>
      </c>
      <c r="CD159" s="29">
        <v>98163</v>
      </c>
      <c r="CE159" s="29">
        <v>97497</v>
      </c>
      <c r="CF159" s="29">
        <v>6253</v>
      </c>
      <c r="CG159" s="15">
        <f t="shared" si="119"/>
        <v>0.27559150589001857</v>
      </c>
      <c r="CH159" s="15">
        <f t="shared" si="120"/>
        <v>0.49165549954716498</v>
      </c>
      <c r="CI159" s="15">
        <f t="shared" si="121"/>
        <v>1.9869916676243504E-2</v>
      </c>
      <c r="CJ159" s="15">
        <f t="shared" si="122"/>
        <v>0.10349626608776881</v>
      </c>
      <c r="CK159" s="15">
        <f t="shared" si="123"/>
        <v>0.1027940818308242</v>
      </c>
      <c r="CL159" s="15">
        <f t="shared" si="124"/>
        <v>6.592729967979976E-3</v>
      </c>
    </row>
    <row r="160" spans="2:90" ht="15.6" customHeight="1">
      <c r="B160" t="str">
        <f t="shared" si="115"/>
        <v>2021</v>
      </c>
      <c r="C160" s="54">
        <v>202152</v>
      </c>
      <c r="D160" s="54"/>
      <c r="E160" s="54"/>
      <c r="F160" s="54"/>
      <c r="G160" s="29">
        <f t="shared" si="114"/>
        <v>911285</v>
      </c>
      <c r="H160" s="51">
        <v>375872</v>
      </c>
      <c r="I160" s="51">
        <v>535413</v>
      </c>
      <c r="J160" s="29">
        <f t="shared" si="116"/>
        <v>684674</v>
      </c>
      <c r="K160" s="29">
        <v>112015</v>
      </c>
      <c r="L160" s="29">
        <v>114596</v>
      </c>
      <c r="M160" s="29">
        <v>1027716.383265216</v>
      </c>
      <c r="N160" s="29"/>
      <c r="O160" s="29">
        <v>51791575.022259228</v>
      </c>
      <c r="P160" s="29">
        <v>27852753</v>
      </c>
      <c r="Q160" s="29">
        <v>5945486</v>
      </c>
      <c r="R160" s="29">
        <v>543546067.4000001</v>
      </c>
      <c r="S160" s="29">
        <v>91572746</v>
      </c>
      <c r="T160" s="62">
        <f t="shared" si="125"/>
        <v>6.4926370123267893E-2</v>
      </c>
      <c r="U160" s="25">
        <f t="shared" si="126"/>
        <v>91.421637760142758</v>
      </c>
      <c r="V160" s="30">
        <v>0.60763412302135345</v>
      </c>
      <c r="W160" s="30">
        <v>0.59103481352729481</v>
      </c>
      <c r="X160" s="30">
        <v>0.63144188596491224</v>
      </c>
      <c r="Y160" s="29">
        <v>554612</v>
      </c>
      <c r="Z160" s="29">
        <v>386688</v>
      </c>
      <c r="AA160" s="15">
        <f>IFERROR(((Y160*(W160+0.1))+(Z160*X160))/(Y160+Z160),"")</f>
        <v>0.66655391479868265</v>
      </c>
      <c r="AB160" s="30"/>
      <c r="AC160" s="30"/>
      <c r="AD160" s="30"/>
      <c r="AE160" s="30"/>
      <c r="AF160" s="30">
        <v>0.79</v>
      </c>
      <c r="AG160" s="30">
        <v>0.79</v>
      </c>
      <c r="AH160" s="30">
        <v>0.79</v>
      </c>
      <c r="AI160" s="15">
        <v>0.69</v>
      </c>
      <c r="AJ160" s="30"/>
      <c r="AK160" s="30"/>
      <c r="AL160" s="30"/>
      <c r="AM160" s="30">
        <f>IF(AF160="","",AJ160+AK160-AL160)</f>
        <v>0</v>
      </c>
      <c r="AN160" s="66"/>
      <c r="AO160" s="30"/>
      <c r="AP160" s="30"/>
      <c r="AQ160" s="30"/>
      <c r="AR160" s="30" t="str">
        <f t="shared" si="128"/>
        <v/>
      </c>
      <c r="AS160" s="66"/>
      <c r="AT160" s="66"/>
      <c r="AU160" s="66"/>
      <c r="AV160" s="66"/>
      <c r="AW160" s="30" t="str">
        <f t="shared" si="129"/>
        <v/>
      </c>
      <c r="AX160" s="66"/>
      <c r="AY160" s="66"/>
      <c r="AZ160" s="66"/>
      <c r="BA160" s="62" t="str">
        <f t="shared" si="130"/>
        <v/>
      </c>
      <c r="BB160" s="62">
        <f t="shared" si="131"/>
        <v>3.271795071747486E-2</v>
      </c>
      <c r="BC160" s="29"/>
      <c r="BD160" s="29"/>
      <c r="BE160" s="29"/>
      <c r="BF160" s="29"/>
      <c r="BG160" s="29"/>
      <c r="BH160" s="29"/>
      <c r="BY160" s="51">
        <v>375872</v>
      </c>
      <c r="BZ160" s="51">
        <v>535413</v>
      </c>
      <c r="CA160" s="29">
        <f t="shared" si="117"/>
        <v>255089</v>
      </c>
      <c r="CB160" s="29">
        <f t="shared" si="118"/>
        <v>429585</v>
      </c>
      <c r="CC160" s="29">
        <v>18258</v>
      </c>
      <c r="CD160" s="29">
        <v>93757</v>
      </c>
      <c r="CE160" s="29">
        <v>102525</v>
      </c>
      <c r="CF160" s="29">
        <v>12071</v>
      </c>
      <c r="CG160" s="15">
        <f t="shared" si="119"/>
        <v>0.27992230751082264</v>
      </c>
      <c r="CH160" s="15">
        <f t="shared" si="120"/>
        <v>0.47140576219294733</v>
      </c>
      <c r="CI160" s="15">
        <f t="shared" si="121"/>
        <v>2.0035444454808319E-2</v>
      </c>
      <c r="CJ160" s="15">
        <f t="shared" si="122"/>
        <v>0.10288438852828698</v>
      </c>
      <c r="CK160" s="15">
        <f t="shared" si="123"/>
        <v>0.11250596684900992</v>
      </c>
      <c r="CL160" s="15">
        <f t="shared" si="124"/>
        <v>1.3246130464124834E-2</v>
      </c>
    </row>
    <row r="161" spans="2:76">
      <c r="B161" t="str">
        <f t="shared" si="115"/>
        <v>2020</v>
      </c>
      <c r="C161" s="54">
        <v>202001</v>
      </c>
      <c r="D161" s="54"/>
      <c r="E161" s="54"/>
      <c r="F161" s="54"/>
      <c r="G161" s="29">
        <f t="shared" si="114"/>
        <v>625987</v>
      </c>
      <c r="H161" s="29">
        <v>339958</v>
      </c>
      <c r="I161" s="69">
        <v>286029</v>
      </c>
      <c r="J161" s="29">
        <v>438782</v>
      </c>
      <c r="K161" s="29">
        <v>68417</v>
      </c>
      <c r="L161" s="29">
        <v>118788</v>
      </c>
      <c r="M161" s="29">
        <v>624204.56270970055</v>
      </c>
      <c r="N161" s="29">
        <v>625987</v>
      </c>
      <c r="O161" s="29">
        <v>624204.56270970055</v>
      </c>
      <c r="P161" s="29">
        <v>16097351</v>
      </c>
      <c r="Q161" s="29">
        <v>945715</v>
      </c>
      <c r="R161" s="20">
        <v>63563611.859999999</v>
      </c>
      <c r="S161" s="29">
        <v>34871444</v>
      </c>
      <c r="T161" s="62">
        <f t="shared" ref="T161:T192" si="132">Q161/S161</f>
        <v>2.7120041257826893E-2</v>
      </c>
      <c r="U161" s="25">
        <f t="shared" ref="U161:U192" si="133">R161/Q161</f>
        <v>67.212227637290297</v>
      </c>
      <c r="V161" s="30">
        <v>0.48</v>
      </c>
      <c r="W161" s="30"/>
      <c r="X161" s="30"/>
      <c r="Y161" s="30"/>
      <c r="Z161" s="30"/>
      <c r="AA161" s="30">
        <v>0.48</v>
      </c>
      <c r="AB161" s="30"/>
      <c r="AC161" s="30"/>
      <c r="AD161" s="30"/>
      <c r="AE161" s="30"/>
      <c r="AF161" s="30">
        <v>0.69</v>
      </c>
      <c r="AG161" s="30"/>
      <c r="AH161" s="30"/>
      <c r="AI161" s="30">
        <v>0.69</v>
      </c>
      <c r="AJ161" s="30"/>
      <c r="AK161" s="30"/>
      <c r="AL161" s="30"/>
      <c r="AM161" s="30"/>
      <c r="AN161" s="66">
        <v>0.34</v>
      </c>
      <c r="AO161" s="30"/>
      <c r="AP161" s="30"/>
      <c r="AQ161" s="30"/>
      <c r="AR161" s="30"/>
      <c r="AS161" s="66">
        <v>0.2</v>
      </c>
      <c r="AT161" s="30"/>
      <c r="AU161" s="30"/>
      <c r="AV161" s="30"/>
      <c r="AW161" s="30"/>
      <c r="AX161" s="30"/>
      <c r="AY161" s="30"/>
      <c r="AZ161" s="30"/>
      <c r="BA161" s="30"/>
      <c r="BB161" s="62">
        <f t="shared" ref="BB161:BB206" si="134">G161/P161</f>
        <v>3.888757845933781E-2</v>
      </c>
      <c r="BC161" s="29"/>
      <c r="BD161" s="29"/>
      <c r="BE161" s="29"/>
      <c r="BF161" s="29"/>
      <c r="BG161" s="29"/>
      <c r="BH161" s="29"/>
      <c r="BI161" s="15" t="e">
        <f>G161/G250-1</f>
        <v>#DIV/0!</v>
      </c>
      <c r="BJ161" s="30" t="e">
        <f>P161/#REF!-1</f>
        <v>#REF!</v>
      </c>
      <c r="BK161" s="30" t="e">
        <f>Q161/#REF!-1</f>
        <v>#REF!</v>
      </c>
      <c r="BL161" s="30" t="e">
        <f>R161/#REF!-1</f>
        <v>#REF!</v>
      </c>
      <c r="BM161" s="30" t="e">
        <f>S161/#REF!-1</f>
        <v>#REF!</v>
      </c>
      <c r="BN161" s="62" t="e">
        <f>T161-#REF!</f>
        <v>#REF!</v>
      </c>
      <c r="BO161" s="30" t="e">
        <f>U161/#REF!-1</f>
        <v>#REF!</v>
      </c>
      <c r="BP161" s="65"/>
      <c r="BQ161" s="30" t="e">
        <f>G161/#REF!-1</f>
        <v>#REF!</v>
      </c>
      <c r="BR161" s="30" t="e">
        <f>P161/#REF!-1</f>
        <v>#REF!</v>
      </c>
      <c r="BS161" s="30" t="e">
        <f>Q161/#REF!-1</f>
        <v>#REF!</v>
      </c>
      <c r="BT161" s="30" t="e">
        <f>R161/#REF!-1</f>
        <v>#REF!</v>
      </c>
      <c r="BU161" s="30" t="e">
        <f>S161/#REF!-1</f>
        <v>#REF!</v>
      </c>
      <c r="BV161" s="62" t="e">
        <f>T161-#REF!</f>
        <v>#REF!</v>
      </c>
      <c r="BW161" s="30" t="e">
        <f>U161/#REF!-1</f>
        <v>#REF!</v>
      </c>
      <c r="BX161" s="30"/>
    </row>
    <row r="162" spans="2:76">
      <c r="B162" t="str">
        <f t="shared" si="115"/>
        <v>2020</v>
      </c>
      <c r="C162" s="54">
        <v>202002</v>
      </c>
      <c r="D162" s="54"/>
      <c r="E162" s="54"/>
      <c r="F162" s="54"/>
      <c r="G162" s="29">
        <f t="shared" si="114"/>
        <v>666380</v>
      </c>
      <c r="H162" s="29">
        <v>352300</v>
      </c>
      <c r="I162" s="69">
        <v>314080</v>
      </c>
      <c r="J162" s="29">
        <v>446571</v>
      </c>
      <c r="K162" s="29">
        <v>66181</v>
      </c>
      <c r="L162" s="29">
        <v>153628</v>
      </c>
      <c r="M162" s="29">
        <v>605020.73933970043</v>
      </c>
      <c r="N162" s="29">
        <f t="shared" ref="N162:N193" si="135">N161+G162</f>
        <v>1292367</v>
      </c>
      <c r="O162" s="29">
        <v>1229225.302049401</v>
      </c>
      <c r="P162" s="29">
        <v>16125362</v>
      </c>
      <c r="Q162" s="29">
        <v>911502</v>
      </c>
      <c r="R162" s="20">
        <v>62547248.170000002</v>
      </c>
      <c r="S162" s="29">
        <v>37093642</v>
      </c>
      <c r="T162" s="62">
        <f t="shared" si="132"/>
        <v>2.4572998251290612E-2</v>
      </c>
      <c r="U162" s="25">
        <f t="shared" si="133"/>
        <v>68.619979078488029</v>
      </c>
      <c r="V162" s="30">
        <v>0.47899999999999998</v>
      </c>
      <c r="W162" s="30"/>
      <c r="X162" s="30"/>
      <c r="Y162" s="30"/>
      <c r="Z162" s="30"/>
      <c r="AA162" s="30">
        <v>0.47899999999999998</v>
      </c>
      <c r="AB162" s="30"/>
      <c r="AC162" s="30"/>
      <c r="AD162" s="30"/>
      <c r="AE162" s="30"/>
      <c r="AF162" s="30">
        <v>0.69499999999999995</v>
      </c>
      <c r="AG162" s="30"/>
      <c r="AH162" s="30"/>
      <c r="AI162" s="30">
        <v>0.69499999999999995</v>
      </c>
      <c r="AJ162" s="30"/>
      <c r="AK162" s="30"/>
      <c r="AL162" s="30"/>
      <c r="AM162" s="30"/>
      <c r="AN162" s="66">
        <v>0.34</v>
      </c>
      <c r="AO162" s="30"/>
      <c r="AP162" s="30"/>
      <c r="AQ162" s="30"/>
      <c r="AR162" s="30"/>
      <c r="AS162" s="66">
        <v>0.19</v>
      </c>
      <c r="AT162" s="30"/>
      <c r="AU162" s="30"/>
      <c r="AV162" s="30"/>
      <c r="AW162" s="30"/>
      <c r="AX162" s="30"/>
      <c r="AY162" s="30"/>
      <c r="AZ162" s="30"/>
      <c r="BA162" s="30"/>
      <c r="BB162" s="62">
        <f t="shared" si="134"/>
        <v>4.1324963743449607E-2</v>
      </c>
      <c r="BC162" s="29"/>
      <c r="BD162" s="29"/>
      <c r="BE162" s="29"/>
      <c r="BF162" s="29"/>
      <c r="BG162" s="29"/>
      <c r="BH162" s="29"/>
      <c r="BI162" s="30">
        <f t="shared" ref="BI162:BI193" si="136">G162/G161-1</f>
        <v>6.4526899120908254E-2</v>
      </c>
      <c r="BJ162" s="30">
        <f t="shared" ref="BJ162:BJ204" si="137">P162/P161-1</f>
        <v>1.7400999704857423E-3</v>
      </c>
      <c r="BK162" s="30">
        <f t="shared" ref="BK162:BK204" si="138">Q162/Q161-1</f>
        <v>-3.6176860893609608E-2</v>
      </c>
      <c r="BL162" s="30">
        <f t="shared" ref="BL162:BL204" si="139">R162/R161-1</f>
        <v>-1.5989709524980356E-2</v>
      </c>
      <c r="BM162" s="30">
        <f t="shared" ref="BM162:BM204" si="140">S162/S161-1</f>
        <v>6.3725436778585998E-2</v>
      </c>
      <c r="BN162" s="62">
        <f t="shared" ref="BN162:BN204" si="141">T162-T161</f>
        <v>-2.5470430065362808E-3</v>
      </c>
      <c r="BO162" s="30">
        <f t="shared" ref="BO162:BO204" si="142">U162/U161-1</f>
        <v>2.0944871055228909E-2</v>
      </c>
      <c r="BP162" s="30"/>
      <c r="BQ162" s="30" t="e">
        <f>G162/#REF!-1</f>
        <v>#REF!</v>
      </c>
      <c r="BR162" s="30" t="e">
        <f>P162/#REF!-1</f>
        <v>#REF!</v>
      </c>
      <c r="BS162" s="30" t="e">
        <f>Q162/#REF!-1</f>
        <v>#REF!</v>
      </c>
      <c r="BT162" s="30" t="e">
        <f>R162/#REF!-1</f>
        <v>#REF!</v>
      </c>
      <c r="BU162" s="30" t="e">
        <f>S162/#REF!-1</f>
        <v>#REF!</v>
      </c>
      <c r="BV162" s="62" t="e">
        <f>T162-#REF!</f>
        <v>#REF!</v>
      </c>
      <c r="BW162" s="30" t="e">
        <f>U162/#REF!-1</f>
        <v>#REF!</v>
      </c>
      <c r="BX162" s="30"/>
    </row>
    <row r="163" spans="2:76">
      <c r="B163" t="str">
        <f t="shared" si="115"/>
        <v>2020</v>
      </c>
      <c r="C163" s="54">
        <v>202003</v>
      </c>
      <c r="D163" s="54"/>
      <c r="E163" s="54"/>
      <c r="F163" s="54"/>
      <c r="G163" s="29">
        <f t="shared" ref="G163:G194" si="143">SUM(H163:I163)</f>
        <v>704958</v>
      </c>
      <c r="H163" s="29">
        <v>371706</v>
      </c>
      <c r="I163" s="69">
        <v>333252</v>
      </c>
      <c r="J163" s="29">
        <v>425592</v>
      </c>
      <c r="K163" s="29">
        <v>60954</v>
      </c>
      <c r="L163" s="29">
        <v>218412</v>
      </c>
      <c r="M163" s="29">
        <v>612881.26678970049</v>
      </c>
      <c r="N163" s="29">
        <f t="shared" si="135"/>
        <v>1997325</v>
      </c>
      <c r="O163" s="29">
        <v>1842106.5688391021</v>
      </c>
      <c r="P163" s="29">
        <v>16262827</v>
      </c>
      <c r="Q163" s="29">
        <v>892746</v>
      </c>
      <c r="R163" s="20">
        <v>61410839.239997998</v>
      </c>
      <c r="S163" s="29">
        <v>39639834</v>
      </c>
      <c r="T163" s="62">
        <f t="shared" si="132"/>
        <v>2.2521436391484385E-2</v>
      </c>
      <c r="U163" s="25">
        <f t="shared" si="133"/>
        <v>68.788702766518128</v>
      </c>
      <c r="V163" s="30">
        <v>0.48799999999999999</v>
      </c>
      <c r="W163" s="30"/>
      <c r="X163" s="30"/>
      <c r="Y163" s="30"/>
      <c r="Z163" s="30"/>
      <c r="AA163" s="30">
        <v>0.48799999999999999</v>
      </c>
      <c r="AB163" s="30"/>
      <c r="AC163" s="30"/>
      <c r="AD163" s="30"/>
      <c r="AE163" s="30"/>
      <c r="AF163" s="30">
        <v>0.7</v>
      </c>
      <c r="AG163" s="30"/>
      <c r="AH163" s="30"/>
      <c r="AI163" s="30">
        <v>0.7</v>
      </c>
      <c r="AJ163" s="30"/>
      <c r="AK163" s="30"/>
      <c r="AL163" s="30"/>
      <c r="AM163" s="30"/>
      <c r="AN163" s="66">
        <v>0.34100000000000003</v>
      </c>
      <c r="AO163" s="30"/>
      <c r="AP163" s="30"/>
      <c r="AQ163" s="30"/>
      <c r="AR163" s="30"/>
      <c r="AS163" s="66">
        <v>0.19500000000000001</v>
      </c>
      <c r="AT163" s="30"/>
      <c r="AU163" s="30"/>
      <c r="AV163" s="30"/>
      <c r="AW163" s="30"/>
      <c r="AX163" s="30"/>
      <c r="AY163" s="30"/>
      <c r="AZ163" s="30"/>
      <c r="BA163" s="30"/>
      <c r="BB163" s="62">
        <f t="shared" si="134"/>
        <v>4.334781400552315E-2</v>
      </c>
      <c r="BC163" s="29"/>
      <c r="BD163" s="29"/>
      <c r="BE163" s="29"/>
      <c r="BF163" s="29"/>
      <c r="BG163" s="29"/>
      <c r="BH163" s="29"/>
      <c r="BI163" s="30">
        <f t="shared" si="136"/>
        <v>5.7891893514211201E-2</v>
      </c>
      <c r="BJ163" s="30">
        <f t="shared" si="137"/>
        <v>8.5247698625308121E-3</v>
      </c>
      <c r="BK163" s="30">
        <f t="shared" si="138"/>
        <v>-2.0577025612670052E-2</v>
      </c>
      <c r="BL163" s="30">
        <f t="shared" si="139"/>
        <v>-1.8168807793322972E-2</v>
      </c>
      <c r="BM163" s="30">
        <f t="shared" si="140"/>
        <v>6.8642275676246589E-2</v>
      </c>
      <c r="BN163" s="62">
        <f t="shared" si="141"/>
        <v>-2.0515618598062266E-3</v>
      </c>
      <c r="BO163" s="30">
        <f t="shared" si="142"/>
        <v>2.4588128748497251E-3</v>
      </c>
      <c r="BP163" s="30"/>
      <c r="BQ163" s="30" t="e">
        <f>G163/#REF!-1</f>
        <v>#REF!</v>
      </c>
      <c r="BR163" s="30" t="e">
        <f>P163/#REF!-1</f>
        <v>#REF!</v>
      </c>
      <c r="BS163" s="30" t="e">
        <f>Q163/#REF!-1</f>
        <v>#REF!</v>
      </c>
      <c r="BT163" s="30" t="e">
        <f>R163/#REF!-1</f>
        <v>#REF!</v>
      </c>
      <c r="BU163" s="30" t="e">
        <f>S163/#REF!-1</f>
        <v>#REF!</v>
      </c>
      <c r="BV163" s="62" t="e">
        <f>T163-#REF!</f>
        <v>#REF!</v>
      </c>
      <c r="BW163" s="30" t="e">
        <f>U163/#REF!-1</f>
        <v>#REF!</v>
      </c>
      <c r="BX163" s="30"/>
    </row>
    <row r="164" spans="2:76">
      <c r="B164" t="str">
        <f t="shared" si="115"/>
        <v>2020</v>
      </c>
      <c r="C164" s="54">
        <v>202004</v>
      </c>
      <c r="D164" s="54"/>
      <c r="E164" s="54"/>
      <c r="F164" s="54"/>
      <c r="G164" s="29">
        <f t="shared" si="143"/>
        <v>795238</v>
      </c>
      <c r="H164" s="29">
        <v>429102</v>
      </c>
      <c r="I164" s="69">
        <v>366136</v>
      </c>
      <c r="J164" s="29">
        <v>476515</v>
      </c>
      <c r="K164" s="29">
        <v>68983</v>
      </c>
      <c r="L164" s="29">
        <v>249740</v>
      </c>
      <c r="M164" s="29">
        <v>659360.31168970035</v>
      </c>
      <c r="N164" s="29">
        <f t="shared" si="135"/>
        <v>2792563</v>
      </c>
      <c r="O164" s="29">
        <v>2501466.8805288021</v>
      </c>
      <c r="P164" s="29">
        <v>16647127</v>
      </c>
      <c r="Q164" s="29">
        <v>1193172</v>
      </c>
      <c r="R164" s="20">
        <v>113461863.36</v>
      </c>
      <c r="S164" s="29">
        <v>47972652</v>
      </c>
      <c r="T164" s="62">
        <f t="shared" si="132"/>
        <v>2.4871920776862618E-2</v>
      </c>
      <c r="U164" s="25">
        <f t="shared" si="133"/>
        <v>95.092629863925737</v>
      </c>
      <c r="V164" s="30">
        <v>0.52600000000000002</v>
      </c>
      <c r="W164" s="30"/>
      <c r="X164" s="30"/>
      <c r="Y164" s="30"/>
      <c r="Z164" s="30"/>
      <c r="AA164" s="30">
        <v>0.52600000000000002</v>
      </c>
      <c r="AB164" s="30"/>
      <c r="AC164" s="30"/>
      <c r="AD164" s="30"/>
      <c r="AE164" s="30"/>
      <c r="AF164" s="30">
        <v>0.70499999999999996</v>
      </c>
      <c r="AG164" s="30"/>
      <c r="AH164" s="30"/>
      <c r="AI164" s="30">
        <v>0.70499999999999996</v>
      </c>
      <c r="AJ164" s="30"/>
      <c r="AK164" s="30"/>
      <c r="AL164" s="30"/>
      <c r="AM164" s="30"/>
      <c r="AN164" s="66">
        <v>0.38200000000000001</v>
      </c>
      <c r="AO164" s="30"/>
      <c r="AP164" s="30"/>
      <c r="AQ164" s="30"/>
      <c r="AR164" s="30"/>
      <c r="AS164" s="66">
        <v>0.22700000000000001</v>
      </c>
      <c r="AT164" s="30"/>
      <c r="AU164" s="30"/>
      <c r="AV164" s="30"/>
      <c r="AW164" s="30"/>
      <c r="AX164" s="30"/>
      <c r="AY164" s="30"/>
      <c r="AZ164" s="30"/>
      <c r="BA164" s="30"/>
      <c r="BB164" s="62">
        <f t="shared" si="134"/>
        <v>4.7770284926642294E-2</v>
      </c>
      <c r="BC164" s="29"/>
      <c r="BD164" s="29"/>
      <c r="BE164" s="29"/>
      <c r="BF164" s="29"/>
      <c r="BG164" s="29"/>
      <c r="BH164" s="29"/>
      <c r="BI164" s="30">
        <f t="shared" si="136"/>
        <v>0.12806436695519441</v>
      </c>
      <c r="BJ164" s="30">
        <f t="shared" si="137"/>
        <v>2.3630577881692982E-2</v>
      </c>
      <c r="BK164" s="30">
        <f t="shared" si="138"/>
        <v>0.33651900988635064</v>
      </c>
      <c r="BL164" s="30">
        <f t="shared" si="139"/>
        <v>0.84758692055294738</v>
      </c>
      <c r="BM164" s="30">
        <f t="shared" si="140"/>
        <v>0.21021324155898324</v>
      </c>
      <c r="BN164" s="62">
        <f t="shared" si="141"/>
        <v>2.3504843853782327E-3</v>
      </c>
      <c r="BO164" s="30">
        <f t="shared" si="142"/>
        <v>0.38238731128115777</v>
      </c>
      <c r="BP164" s="30"/>
      <c r="BQ164" s="30" t="e">
        <f>G164/#REF!-1</f>
        <v>#REF!</v>
      </c>
      <c r="BR164" s="30" t="e">
        <f>P164/#REF!-1</f>
        <v>#REF!</v>
      </c>
      <c r="BS164" s="30" t="e">
        <f>Q164/#REF!-1</f>
        <v>#REF!</v>
      </c>
      <c r="BT164" s="30" t="e">
        <f>R164/#REF!-1</f>
        <v>#REF!</v>
      </c>
      <c r="BU164" s="30" t="e">
        <f>S164/#REF!-1</f>
        <v>#REF!</v>
      </c>
      <c r="BV164" s="62" t="e">
        <f>T164-#REF!</f>
        <v>#REF!</v>
      </c>
      <c r="BW164" s="30" t="e">
        <f>U164/#REF!-1</f>
        <v>#REF!</v>
      </c>
      <c r="BX164" s="30"/>
    </row>
    <row r="165" spans="2:76">
      <c r="B165" t="str">
        <f t="shared" si="115"/>
        <v>2020</v>
      </c>
      <c r="C165" s="54">
        <v>202005</v>
      </c>
      <c r="D165" s="54"/>
      <c r="E165" s="54"/>
      <c r="F165" s="54"/>
      <c r="G165" s="29">
        <f t="shared" si="143"/>
        <v>880396</v>
      </c>
      <c r="H165" s="29">
        <v>471040</v>
      </c>
      <c r="I165" s="69">
        <v>409356</v>
      </c>
      <c r="J165" s="29">
        <v>514732</v>
      </c>
      <c r="K165" s="29">
        <v>88452</v>
      </c>
      <c r="L165" s="29">
        <v>277212</v>
      </c>
      <c r="M165" s="29">
        <v>669393.13728094928</v>
      </c>
      <c r="N165" s="29">
        <f t="shared" si="135"/>
        <v>3672959</v>
      </c>
      <c r="O165" s="29">
        <v>3170860.017809751</v>
      </c>
      <c r="P165" s="29">
        <v>17249549</v>
      </c>
      <c r="Q165" s="29">
        <v>1328061</v>
      </c>
      <c r="R165" s="20">
        <v>107740786.8599975</v>
      </c>
      <c r="S165" s="29">
        <v>51347386</v>
      </c>
      <c r="T165" s="62">
        <f t="shared" si="132"/>
        <v>2.5864237762755829E-2</v>
      </c>
      <c r="U165" s="25">
        <f t="shared" si="133"/>
        <v>81.126384149521371</v>
      </c>
      <c r="V165" s="30">
        <v>0.51700000000000002</v>
      </c>
      <c r="W165" s="30"/>
      <c r="X165" s="30"/>
      <c r="Y165" s="30"/>
      <c r="Z165" s="30"/>
      <c r="AA165" s="30">
        <v>0.51700000000000002</v>
      </c>
      <c r="AB165" s="30"/>
      <c r="AC165" s="30"/>
      <c r="AD165" s="30"/>
      <c r="AE165" s="30"/>
      <c r="AF165" s="30">
        <v>0.7</v>
      </c>
      <c r="AG165" s="30"/>
      <c r="AH165" s="30"/>
      <c r="AI165" s="30">
        <v>0.7</v>
      </c>
      <c r="AJ165" s="30"/>
      <c r="AK165" s="30"/>
      <c r="AL165" s="30"/>
      <c r="AM165" s="30"/>
      <c r="AN165" s="66">
        <v>0.37</v>
      </c>
      <c r="AO165" s="30"/>
      <c r="AP165" s="30"/>
      <c r="AQ165" s="30"/>
      <c r="AR165" s="30"/>
      <c r="AS165" s="66">
        <v>0.219</v>
      </c>
      <c r="AT165" s="30"/>
      <c r="AU165" s="30"/>
      <c r="AV165" s="30"/>
      <c r="AW165" s="30"/>
      <c r="AX165" s="30"/>
      <c r="AY165" s="30"/>
      <c r="AZ165" s="30"/>
      <c r="BA165" s="30"/>
      <c r="BB165" s="62">
        <f t="shared" si="134"/>
        <v>5.103878368066319E-2</v>
      </c>
      <c r="BC165" s="29"/>
      <c r="BD165" s="29"/>
      <c r="BE165" s="29"/>
      <c r="BF165" s="29"/>
      <c r="BG165" s="29"/>
      <c r="BH165" s="29"/>
      <c r="BI165" s="30">
        <f t="shared" si="136"/>
        <v>0.10708492300418238</v>
      </c>
      <c r="BJ165" s="30">
        <f t="shared" si="137"/>
        <v>3.6187745789408643E-2</v>
      </c>
      <c r="BK165" s="30">
        <f t="shared" si="138"/>
        <v>0.11305075881767257</v>
      </c>
      <c r="BL165" s="30">
        <f t="shared" si="139"/>
        <v>-5.0422902732085939E-2</v>
      </c>
      <c r="BM165" s="30">
        <f t="shared" si="140"/>
        <v>7.0347038558552066E-2</v>
      </c>
      <c r="BN165" s="62">
        <f t="shared" si="141"/>
        <v>9.9231698589321085E-4</v>
      </c>
      <c r="BO165" s="30">
        <f t="shared" si="142"/>
        <v>-0.14686990710415282</v>
      </c>
      <c r="BP165" s="30"/>
      <c r="BQ165" s="30" t="e">
        <f>G165/#REF!-1</f>
        <v>#REF!</v>
      </c>
      <c r="BR165" s="30" t="e">
        <f>P165/#REF!-1</f>
        <v>#REF!</v>
      </c>
      <c r="BS165" s="30" t="e">
        <f>Q165/#REF!-1</f>
        <v>#REF!</v>
      </c>
      <c r="BT165" s="30" t="e">
        <f>R165/#REF!-1</f>
        <v>#REF!</v>
      </c>
      <c r="BU165" s="30" t="e">
        <f>S165/#REF!-1</f>
        <v>#REF!</v>
      </c>
      <c r="BV165" s="62" t="e">
        <f>T165-#REF!</f>
        <v>#REF!</v>
      </c>
      <c r="BW165" s="30" t="e">
        <f>U165/#REF!-1</f>
        <v>#REF!</v>
      </c>
      <c r="BX165" s="30"/>
    </row>
    <row r="166" spans="2:76">
      <c r="B166" t="str">
        <f t="shared" si="115"/>
        <v>2020</v>
      </c>
      <c r="C166" s="54">
        <v>202006</v>
      </c>
      <c r="D166" s="54"/>
      <c r="E166" s="54"/>
      <c r="F166" s="54"/>
      <c r="G166" s="29">
        <f t="shared" si="143"/>
        <v>924223</v>
      </c>
      <c r="H166" s="29">
        <v>483938</v>
      </c>
      <c r="I166" s="69">
        <v>440285</v>
      </c>
      <c r="J166" s="29">
        <v>543845</v>
      </c>
      <c r="K166" s="29">
        <v>105549</v>
      </c>
      <c r="L166" s="29">
        <v>274829</v>
      </c>
      <c r="M166" s="29">
        <v>663314.91556449072</v>
      </c>
      <c r="N166" s="29">
        <f t="shared" si="135"/>
        <v>4597182</v>
      </c>
      <c r="O166" s="29">
        <v>3834174.9333742419</v>
      </c>
      <c r="P166" s="29">
        <v>17913011</v>
      </c>
      <c r="Q166" s="29">
        <v>1424592</v>
      </c>
      <c r="R166" s="20">
        <v>100864430</v>
      </c>
      <c r="S166" s="29">
        <v>53595715</v>
      </c>
      <c r="T166" s="62">
        <f t="shared" si="132"/>
        <v>2.6580333894230163E-2</v>
      </c>
      <c r="U166" s="25">
        <f t="shared" si="133"/>
        <v>70.802327964778684</v>
      </c>
      <c r="V166" s="30">
        <v>0.51</v>
      </c>
      <c r="W166" s="30"/>
      <c r="X166" s="30"/>
      <c r="Y166" s="30"/>
      <c r="Z166" s="30"/>
      <c r="AA166" s="30">
        <v>0.51</v>
      </c>
      <c r="AB166" s="30"/>
      <c r="AC166" s="30"/>
      <c r="AD166" s="30"/>
      <c r="AE166" s="30"/>
      <c r="AF166" s="30">
        <v>0.70199999999999996</v>
      </c>
      <c r="AG166" s="30"/>
      <c r="AH166" s="30"/>
      <c r="AI166" s="30">
        <v>0.70199999999999996</v>
      </c>
      <c r="AJ166" s="30"/>
      <c r="AK166" s="30"/>
      <c r="AL166" s="30"/>
      <c r="AM166" s="30"/>
      <c r="AN166" s="66">
        <v>0.38</v>
      </c>
      <c r="AO166" s="30"/>
      <c r="AP166" s="30"/>
      <c r="AQ166" s="30"/>
      <c r="AR166" s="30"/>
      <c r="AS166" s="66">
        <v>0.219</v>
      </c>
      <c r="AT166" s="30"/>
      <c r="AU166" s="30"/>
      <c r="AV166" s="30"/>
      <c r="AW166" s="30"/>
      <c r="AX166" s="30"/>
      <c r="AY166" s="30"/>
      <c r="AZ166" s="30"/>
      <c r="BA166" s="30"/>
      <c r="BB166" s="62">
        <f t="shared" si="134"/>
        <v>5.1595066848337222E-2</v>
      </c>
      <c r="BC166" s="29"/>
      <c r="BD166" s="29"/>
      <c r="BE166" s="29"/>
      <c r="BF166" s="29"/>
      <c r="BG166" s="29"/>
      <c r="BH166" s="29"/>
      <c r="BI166" s="30">
        <f t="shared" si="136"/>
        <v>4.9781007637472285E-2</v>
      </c>
      <c r="BJ166" s="30">
        <f t="shared" si="137"/>
        <v>3.8462570818518227E-2</v>
      </c>
      <c r="BK166" s="30">
        <f t="shared" si="138"/>
        <v>7.2685667299920764E-2</v>
      </c>
      <c r="BL166" s="30">
        <f t="shared" si="139"/>
        <v>-6.3823154261281712E-2</v>
      </c>
      <c r="BM166" s="30">
        <f t="shared" si="140"/>
        <v>4.3786630150948636E-2</v>
      </c>
      <c r="BN166" s="62">
        <f t="shared" si="141"/>
        <v>7.1609613147433429E-4</v>
      </c>
      <c r="BO166" s="30">
        <f t="shared" si="142"/>
        <v>-0.12725892190282706</v>
      </c>
      <c r="BP166" s="30"/>
      <c r="BQ166" s="30" t="e">
        <f>G166/#REF!-1</f>
        <v>#REF!</v>
      </c>
      <c r="BR166" s="30" t="e">
        <f>P166/#REF!-1</f>
        <v>#REF!</v>
      </c>
      <c r="BS166" s="30" t="e">
        <f>Q166/#REF!-1</f>
        <v>#REF!</v>
      </c>
      <c r="BT166" s="30" t="e">
        <f>R166/#REF!-1</f>
        <v>#REF!</v>
      </c>
      <c r="BU166" s="30" t="e">
        <f>S166/#REF!-1</f>
        <v>#REF!</v>
      </c>
      <c r="BV166" s="62" t="e">
        <f>T166-#REF!</f>
        <v>#REF!</v>
      </c>
      <c r="BW166" s="30" t="e">
        <f>U166/#REF!-1</f>
        <v>#REF!</v>
      </c>
      <c r="BX166" s="30"/>
    </row>
    <row r="167" spans="2:76">
      <c r="B167" t="str">
        <f t="shared" si="115"/>
        <v>2020</v>
      </c>
      <c r="C167" s="54">
        <v>202007</v>
      </c>
      <c r="D167" s="54"/>
      <c r="E167" s="54"/>
      <c r="F167" s="54"/>
      <c r="G167" s="29">
        <f t="shared" si="143"/>
        <v>1003507</v>
      </c>
      <c r="H167" s="29">
        <v>489652</v>
      </c>
      <c r="I167" s="69">
        <v>513855</v>
      </c>
      <c r="J167" s="29">
        <v>632848</v>
      </c>
      <c r="K167" s="29">
        <v>139848</v>
      </c>
      <c r="L167" s="29">
        <v>230811</v>
      </c>
      <c r="M167" s="29">
        <v>624911.67000449076</v>
      </c>
      <c r="N167" s="29">
        <f t="shared" si="135"/>
        <v>5600689</v>
      </c>
      <c r="O167" s="29">
        <v>4459086.6033787327</v>
      </c>
      <c r="P167" s="29">
        <v>17665393</v>
      </c>
      <c r="Q167" s="29">
        <v>1541823</v>
      </c>
      <c r="R167" s="20">
        <v>106828965.7399935</v>
      </c>
      <c r="S167" s="29">
        <v>51482201</v>
      </c>
      <c r="T167" s="62">
        <f t="shared" si="132"/>
        <v>2.994866128586849E-2</v>
      </c>
      <c r="U167" s="25">
        <f t="shared" si="133"/>
        <v>69.28743814302517</v>
      </c>
      <c r="V167" s="30">
        <v>0.46700000000000003</v>
      </c>
      <c r="W167" s="30"/>
      <c r="X167" s="30"/>
      <c r="Y167" s="30"/>
      <c r="Z167" s="30"/>
      <c r="AA167" s="30">
        <v>0.46700000000000003</v>
      </c>
      <c r="AB167" s="30"/>
      <c r="AC167" s="30"/>
      <c r="AD167" s="30"/>
      <c r="AE167" s="30"/>
      <c r="AF167" s="30">
        <v>0.69099999999999995</v>
      </c>
      <c r="AG167" s="30"/>
      <c r="AH167" s="30"/>
      <c r="AI167" s="30">
        <v>0.69099999999999995</v>
      </c>
      <c r="AJ167" s="30"/>
      <c r="AK167" s="30"/>
      <c r="AL167" s="30"/>
      <c r="AM167" s="30"/>
      <c r="AN167" s="66">
        <v>0.33400000000000002</v>
      </c>
      <c r="AO167" s="30"/>
      <c r="AP167" s="30"/>
      <c r="AQ167" s="30"/>
      <c r="AR167" s="30"/>
      <c r="AS167" s="66">
        <v>0.19400000000000001</v>
      </c>
      <c r="AT167" s="30"/>
      <c r="AU167" s="30"/>
      <c r="AV167" s="30"/>
      <c r="AW167" s="30"/>
      <c r="AX167" s="30"/>
      <c r="AY167" s="30"/>
      <c r="AZ167" s="30"/>
      <c r="BA167" s="30"/>
      <c r="BB167" s="62">
        <f t="shared" si="134"/>
        <v>5.6806378437207712E-2</v>
      </c>
      <c r="BC167" s="29"/>
      <c r="BD167" s="29"/>
      <c r="BE167" s="29"/>
      <c r="BF167" s="29"/>
      <c r="BG167" s="29"/>
      <c r="BH167" s="29"/>
      <c r="BI167" s="30">
        <f t="shared" si="136"/>
        <v>8.5784491405212826E-2</v>
      </c>
      <c r="BJ167" s="30">
        <f t="shared" si="137"/>
        <v>-1.3823360014684316E-2</v>
      </c>
      <c r="BK167" s="30">
        <f t="shared" si="138"/>
        <v>8.2290929613531461E-2</v>
      </c>
      <c r="BL167" s="30">
        <f t="shared" si="139"/>
        <v>5.913418377512758E-2</v>
      </c>
      <c r="BM167" s="30">
        <f t="shared" si="140"/>
        <v>-3.9434383886846169E-2</v>
      </c>
      <c r="BN167" s="62">
        <f t="shared" si="141"/>
        <v>3.3683273916383268E-3</v>
      </c>
      <c r="BO167" s="30">
        <f t="shared" si="142"/>
        <v>-2.1396045374484141E-2</v>
      </c>
      <c r="BP167" s="30"/>
      <c r="BQ167" s="30" t="e">
        <f>G167/#REF!-1</f>
        <v>#REF!</v>
      </c>
      <c r="BR167" s="30" t="e">
        <f>P167/#REF!-1</f>
        <v>#REF!</v>
      </c>
      <c r="BS167" s="30" t="e">
        <f>Q167/#REF!-1</f>
        <v>#REF!</v>
      </c>
      <c r="BT167" s="30" t="e">
        <f>R167/#REF!-1</f>
        <v>#REF!</v>
      </c>
      <c r="BU167" s="30" t="e">
        <f>S167/#REF!-1</f>
        <v>#REF!</v>
      </c>
      <c r="BV167" s="62" t="e">
        <f>T167-#REF!</f>
        <v>#REF!</v>
      </c>
      <c r="BW167" s="30" t="e">
        <f>U167/#REF!-1</f>
        <v>#REF!</v>
      </c>
      <c r="BX167" s="30"/>
    </row>
    <row r="168" spans="2:76">
      <c r="B168" t="str">
        <f t="shared" si="115"/>
        <v>2020</v>
      </c>
      <c r="C168" s="54">
        <v>202008</v>
      </c>
      <c r="D168" s="54"/>
      <c r="E168" s="54"/>
      <c r="F168" s="54"/>
      <c r="G168" s="29">
        <f t="shared" si="143"/>
        <v>973716</v>
      </c>
      <c r="H168" s="29">
        <v>460573</v>
      </c>
      <c r="I168" s="69">
        <v>513143</v>
      </c>
      <c r="J168" s="29">
        <v>714140</v>
      </c>
      <c r="K168" s="29">
        <v>151459</v>
      </c>
      <c r="L168" s="29">
        <v>107817</v>
      </c>
      <c r="M168" s="29">
        <v>598836.47464449087</v>
      </c>
      <c r="N168" s="29">
        <f t="shared" si="135"/>
        <v>6574405</v>
      </c>
      <c r="O168" s="29">
        <v>5057923.0780232232</v>
      </c>
      <c r="P168" s="29">
        <v>16876129</v>
      </c>
      <c r="Q168" s="29">
        <v>1716994</v>
      </c>
      <c r="R168" s="20">
        <v>121229903</v>
      </c>
      <c r="S168" s="29">
        <v>49851099</v>
      </c>
      <c r="T168" s="62">
        <f t="shared" si="132"/>
        <v>3.4442450305859858E-2</v>
      </c>
      <c r="U168" s="25">
        <f t="shared" si="133"/>
        <v>70.605897865688519</v>
      </c>
      <c r="V168" s="30">
        <v>0.48899999999999999</v>
      </c>
      <c r="W168" s="30"/>
      <c r="X168" s="30"/>
      <c r="Y168" s="30"/>
      <c r="Z168" s="30"/>
      <c r="AA168" s="30">
        <v>0.48899999999999999</v>
      </c>
      <c r="AB168" s="30"/>
      <c r="AC168" s="30"/>
      <c r="AD168" s="30"/>
      <c r="AE168" s="30"/>
      <c r="AF168" s="30">
        <v>0.72199999999999998</v>
      </c>
      <c r="AG168" s="30"/>
      <c r="AH168" s="30"/>
      <c r="AI168" s="30">
        <v>0.72199999999999998</v>
      </c>
      <c r="AJ168" s="30"/>
      <c r="AK168" s="30"/>
      <c r="AL168" s="30"/>
      <c r="AM168" s="30"/>
      <c r="AN168" s="66">
        <v>0.34699999999999998</v>
      </c>
      <c r="AO168" s="30"/>
      <c r="AP168" s="30"/>
      <c r="AQ168" s="30"/>
      <c r="AR168" s="30"/>
      <c r="AS168" s="66">
        <v>0.20200000000000001</v>
      </c>
      <c r="AT168" s="30"/>
      <c r="AU168" s="30"/>
      <c r="AV168" s="30"/>
      <c r="AW168" s="30"/>
      <c r="AX168" s="30"/>
      <c r="AY168" s="30"/>
      <c r="AZ168" s="30"/>
      <c r="BA168" s="30"/>
      <c r="BB168" s="62">
        <f t="shared" si="134"/>
        <v>5.7697828690453833E-2</v>
      </c>
      <c r="BC168" s="29"/>
      <c r="BD168" s="29"/>
      <c r="BE168" s="29"/>
      <c r="BF168" s="29"/>
      <c r="BG168" s="29"/>
      <c r="BH168" s="29"/>
      <c r="BI168" s="30">
        <f t="shared" si="136"/>
        <v>-2.9686888083491181E-2</v>
      </c>
      <c r="BJ168" s="30">
        <f t="shared" si="137"/>
        <v>-4.4678541824685114E-2</v>
      </c>
      <c r="BK168" s="30">
        <f t="shared" si="138"/>
        <v>0.11361291146908559</v>
      </c>
      <c r="BL168" s="30">
        <f t="shared" si="139"/>
        <v>0.13480367576576868</v>
      </c>
      <c r="BM168" s="30">
        <f t="shared" si="140"/>
        <v>-3.1682833451506909E-2</v>
      </c>
      <c r="BN168" s="62">
        <f t="shared" si="141"/>
        <v>4.4937890199913677E-3</v>
      </c>
      <c r="BO168" s="30">
        <f t="shared" si="142"/>
        <v>1.9028842139346303E-2</v>
      </c>
      <c r="BP168" s="30"/>
      <c r="BQ168" s="30" t="e">
        <f>G168/#REF!-1</f>
        <v>#REF!</v>
      </c>
      <c r="BR168" s="30" t="e">
        <f>P168/#REF!-1</f>
        <v>#REF!</v>
      </c>
      <c r="BS168" s="30" t="e">
        <f>Q168/#REF!-1</f>
        <v>#REF!</v>
      </c>
      <c r="BT168" s="30" t="e">
        <f>R168/#REF!-1</f>
        <v>#REF!</v>
      </c>
      <c r="BU168" s="30" t="e">
        <f>S168/#REF!-1</f>
        <v>#REF!</v>
      </c>
      <c r="BV168" s="62" t="e">
        <f>T168-#REF!</f>
        <v>#REF!</v>
      </c>
      <c r="BW168" s="30" t="e">
        <f>U168/#REF!-1</f>
        <v>#REF!</v>
      </c>
      <c r="BX168" s="30"/>
    </row>
    <row r="169" spans="2:76">
      <c r="B169" t="str">
        <f t="shared" si="115"/>
        <v>2020</v>
      </c>
      <c r="C169" s="54">
        <v>202009</v>
      </c>
      <c r="D169" s="54"/>
      <c r="E169" s="54"/>
      <c r="F169" s="54"/>
      <c r="G169" s="29">
        <f t="shared" si="143"/>
        <v>1158818</v>
      </c>
      <c r="H169" s="29">
        <v>511245</v>
      </c>
      <c r="I169" s="69">
        <v>647573</v>
      </c>
      <c r="J169" s="29">
        <v>874325</v>
      </c>
      <c r="K169" s="29">
        <v>225482</v>
      </c>
      <c r="L169" s="29">
        <v>59011</v>
      </c>
      <c r="M169" s="29">
        <v>610987.32567406364</v>
      </c>
      <c r="N169" s="29">
        <f t="shared" si="135"/>
        <v>7733223</v>
      </c>
      <c r="O169" s="29">
        <v>5668910.4036972867</v>
      </c>
      <c r="P169" s="29">
        <v>18183447</v>
      </c>
      <c r="Q169" s="29">
        <v>2014133</v>
      </c>
      <c r="R169" s="20">
        <v>148797633</v>
      </c>
      <c r="S169" s="29">
        <v>56758867</v>
      </c>
      <c r="T169" s="62">
        <f t="shared" si="132"/>
        <v>3.548578585967898E-2</v>
      </c>
      <c r="U169" s="25">
        <f t="shared" si="133"/>
        <v>73.876766330723939</v>
      </c>
      <c r="V169" s="30">
        <v>0.5</v>
      </c>
      <c r="W169" s="30"/>
      <c r="X169" s="30"/>
      <c r="Y169" s="30"/>
      <c r="Z169" s="30"/>
      <c r="AA169" s="30">
        <v>0.5</v>
      </c>
      <c r="AB169" s="30"/>
      <c r="AC169" s="30"/>
      <c r="AD169" s="30"/>
      <c r="AE169" s="30"/>
      <c r="AF169" s="30">
        <v>0.70499999999999996</v>
      </c>
      <c r="AG169" s="30"/>
      <c r="AH169" s="30"/>
      <c r="AI169" s="30">
        <v>0.70499999999999996</v>
      </c>
      <c r="AJ169" s="30"/>
      <c r="AK169" s="30"/>
      <c r="AL169" s="30"/>
      <c r="AM169" s="30"/>
      <c r="AN169" s="66">
        <v>0.35899999999999999</v>
      </c>
      <c r="AO169" s="30"/>
      <c r="AP169" s="30"/>
      <c r="AQ169" s="30"/>
      <c r="AR169" s="30"/>
      <c r="AS169" s="66">
        <v>0.21099999999999999</v>
      </c>
      <c r="AT169" s="30"/>
      <c r="AU169" s="30"/>
      <c r="AV169" s="30"/>
      <c r="AW169" s="30"/>
      <c r="AX169" s="30"/>
      <c r="AY169" s="30"/>
      <c r="AZ169" s="30"/>
      <c r="BA169" s="30"/>
      <c r="BB169" s="62">
        <f t="shared" si="134"/>
        <v>6.3729280812378428E-2</v>
      </c>
      <c r="BC169" s="29"/>
      <c r="BD169" s="29"/>
      <c r="BE169" s="29"/>
      <c r="BF169" s="29"/>
      <c r="BG169" s="29"/>
      <c r="BH169" s="29"/>
      <c r="BI169" s="30">
        <f t="shared" si="136"/>
        <v>0.19009855029597955</v>
      </c>
      <c r="BJ169" s="30">
        <f t="shared" si="137"/>
        <v>7.746551356652942E-2</v>
      </c>
      <c r="BK169" s="30">
        <f t="shared" si="138"/>
        <v>0.17305768104023667</v>
      </c>
      <c r="BL169" s="30">
        <f t="shared" si="139"/>
        <v>0.22740041291627522</v>
      </c>
      <c r="BM169" s="30">
        <f t="shared" si="140"/>
        <v>0.13856801832994692</v>
      </c>
      <c r="BN169" s="62">
        <f t="shared" si="141"/>
        <v>1.0433355538191219E-3</v>
      </c>
      <c r="BO169" s="30">
        <f t="shared" si="142"/>
        <v>4.6325711646036938E-2</v>
      </c>
      <c r="BP169" s="30"/>
      <c r="BQ169" s="30" t="e">
        <f>G169/#REF!-1</f>
        <v>#REF!</v>
      </c>
      <c r="BR169" s="30" t="e">
        <f>P169/#REF!-1</f>
        <v>#REF!</v>
      </c>
      <c r="BS169" s="30" t="e">
        <f>Q169/#REF!-1</f>
        <v>#REF!</v>
      </c>
      <c r="BT169" s="30" t="e">
        <f>R169/#REF!-1</f>
        <v>#REF!</v>
      </c>
      <c r="BU169" s="30" t="e">
        <f>S169/#REF!-1</f>
        <v>#REF!</v>
      </c>
      <c r="BV169" s="62" t="e">
        <f>T169-#REF!</f>
        <v>#REF!</v>
      </c>
      <c r="BW169" s="30" t="e">
        <f>U169/#REF!-1</f>
        <v>#REF!</v>
      </c>
      <c r="BX169" s="30"/>
    </row>
    <row r="170" spans="2:76">
      <c r="B170" t="str">
        <f t="shared" si="115"/>
        <v>2020</v>
      </c>
      <c r="C170" s="54">
        <v>202010</v>
      </c>
      <c r="D170" s="54"/>
      <c r="E170" s="54"/>
      <c r="F170" s="54"/>
      <c r="G170" s="29">
        <f t="shared" si="143"/>
        <v>1241506</v>
      </c>
      <c r="H170" s="29">
        <v>543718</v>
      </c>
      <c r="I170" s="69">
        <v>697788</v>
      </c>
      <c r="J170" s="29">
        <v>912885</v>
      </c>
      <c r="K170" s="29">
        <v>250547</v>
      </c>
      <c r="L170" s="29">
        <v>78074</v>
      </c>
      <c r="M170" s="29">
        <v>608920.04949588375</v>
      </c>
      <c r="N170" s="29">
        <f t="shared" si="135"/>
        <v>8974729</v>
      </c>
      <c r="O170" s="29">
        <v>6277830.4531931709</v>
      </c>
      <c r="P170" s="29">
        <v>19829316</v>
      </c>
      <c r="Q170" s="29">
        <v>2321053</v>
      </c>
      <c r="R170" s="20">
        <v>163419183.25999501</v>
      </c>
      <c r="S170" s="29">
        <v>64121546</v>
      </c>
      <c r="T170" s="62">
        <f t="shared" si="132"/>
        <v>3.6197708021575153E-2</v>
      </c>
      <c r="U170" s="25">
        <f t="shared" si="133"/>
        <v>70.407346691348721</v>
      </c>
      <c r="V170" s="30">
        <v>0.51300000000000001</v>
      </c>
      <c r="W170" s="30"/>
      <c r="X170" s="30"/>
      <c r="Y170" s="30"/>
      <c r="Z170" s="30"/>
      <c r="AA170" s="30">
        <v>0.51300000000000001</v>
      </c>
      <c r="AB170" s="30">
        <v>0.47899999999999998</v>
      </c>
      <c r="AC170" s="30">
        <v>5.5500000000000001E-2</v>
      </c>
      <c r="AD170" s="30">
        <v>0.48399999999999999</v>
      </c>
      <c r="AE170" s="30">
        <f t="shared" ref="AE170:AE212" si="144">AB170+AC170-AD170</f>
        <v>5.0499999999999989E-2</v>
      </c>
      <c r="AF170" s="30">
        <v>0.70599999999999996</v>
      </c>
      <c r="AG170" s="30"/>
      <c r="AH170" s="30"/>
      <c r="AI170" s="30">
        <v>0.70599999999999996</v>
      </c>
      <c r="AJ170" s="30">
        <v>0.66300000000000003</v>
      </c>
      <c r="AK170" s="30">
        <v>0.16900000000000001</v>
      </c>
      <c r="AL170" s="30">
        <v>0.66600000000000004</v>
      </c>
      <c r="AM170" s="30">
        <f t="shared" ref="AM170:AM212" si="145">AJ170+AK170-AL170</f>
        <v>0.16600000000000004</v>
      </c>
      <c r="AN170" s="66">
        <v>0.375</v>
      </c>
      <c r="AO170" s="30">
        <v>0.34899999999999998</v>
      </c>
      <c r="AP170" s="30">
        <v>2.8500000000000001E-2</v>
      </c>
      <c r="AQ170" s="30">
        <v>0.35399999999999998</v>
      </c>
      <c r="AR170" s="30">
        <f t="shared" ref="AR170:AR212" si="146">AO170+AP170-AQ170</f>
        <v>2.3500000000000021E-2</v>
      </c>
      <c r="AS170" s="66">
        <v>0.22</v>
      </c>
      <c r="AT170" s="66">
        <v>0.20399999999999999</v>
      </c>
      <c r="AU170" s="66">
        <v>1.2999999999999999E-2</v>
      </c>
      <c r="AV170" s="66">
        <v>0.20799999999999999</v>
      </c>
      <c r="AW170" s="66">
        <f t="shared" ref="AW170:AW212" si="147">AT170+AU170-AV170</f>
        <v>9.000000000000008E-3</v>
      </c>
      <c r="AX170" s="66">
        <v>0.93600000000000005</v>
      </c>
      <c r="AY170" s="66">
        <v>2.5600000000000001E-2</v>
      </c>
      <c r="AZ170" s="66">
        <v>0.93700000000000006</v>
      </c>
      <c r="BA170" s="66">
        <f t="shared" ref="BA170:BA212" si="148">AX170+AY170-AZ170</f>
        <v>2.4599999999999955E-2</v>
      </c>
      <c r="BB170" s="62">
        <f t="shared" si="134"/>
        <v>6.2609623044990556E-2</v>
      </c>
      <c r="BC170" s="29"/>
      <c r="BD170" s="29"/>
      <c r="BE170" s="29"/>
      <c r="BF170" s="29"/>
      <c r="BG170" s="29"/>
      <c r="BH170" s="29"/>
      <c r="BI170" s="30">
        <f t="shared" si="136"/>
        <v>7.135546738141807E-2</v>
      </c>
      <c r="BJ170" s="30">
        <f t="shared" si="137"/>
        <v>9.051468624183312E-2</v>
      </c>
      <c r="BK170" s="30">
        <f t="shared" si="138"/>
        <v>0.15238318422864827</v>
      </c>
      <c r="BL170" s="30">
        <f t="shared" si="139"/>
        <v>9.8264669707447627E-2</v>
      </c>
      <c r="BM170" s="30">
        <f t="shared" si="140"/>
        <v>0.12971856890659916</v>
      </c>
      <c r="BN170" s="62">
        <f t="shared" si="141"/>
        <v>7.119221618961738E-4</v>
      </c>
      <c r="BO170" s="30">
        <f t="shared" si="142"/>
        <v>-4.6962256358699772E-2</v>
      </c>
      <c r="BP170" s="30"/>
      <c r="BQ170" s="30" t="e">
        <f>G170/#REF!-1</f>
        <v>#REF!</v>
      </c>
      <c r="BR170" s="30" t="e">
        <f>P170/#REF!-1</f>
        <v>#REF!</v>
      </c>
      <c r="BS170" s="30" t="e">
        <f>Q170/#REF!-1</f>
        <v>#REF!</v>
      </c>
      <c r="BT170" s="30" t="e">
        <f>R170/#REF!-1</f>
        <v>#REF!</v>
      </c>
      <c r="BU170" s="30" t="e">
        <f>S170/#REF!-1</f>
        <v>#REF!</v>
      </c>
      <c r="BV170" s="62" t="e">
        <f>T170-#REF!</f>
        <v>#REF!</v>
      </c>
      <c r="BW170" s="30" t="e">
        <f>U170/#REF!-1</f>
        <v>#REF!</v>
      </c>
      <c r="BX170" s="30"/>
    </row>
    <row r="171" spans="2:76">
      <c r="B171" t="str">
        <f t="shared" si="115"/>
        <v>2020</v>
      </c>
      <c r="C171" s="54">
        <v>202011</v>
      </c>
      <c r="D171" s="54"/>
      <c r="E171" s="54"/>
      <c r="F171" s="54"/>
      <c r="G171" s="29">
        <f t="shared" si="143"/>
        <v>1243738</v>
      </c>
      <c r="H171" s="29">
        <v>562561</v>
      </c>
      <c r="I171" s="69">
        <v>681177</v>
      </c>
      <c r="J171" s="29">
        <v>904782</v>
      </c>
      <c r="K171" s="29">
        <v>209715</v>
      </c>
      <c r="L171" s="29">
        <v>129241</v>
      </c>
      <c r="M171" s="29">
        <v>603039.74698588392</v>
      </c>
      <c r="N171" s="29">
        <f t="shared" si="135"/>
        <v>10218467</v>
      </c>
      <c r="O171" s="29">
        <v>6880870.2001790553</v>
      </c>
      <c r="P171" s="29">
        <v>20215948</v>
      </c>
      <c r="Q171" s="29">
        <v>2682248</v>
      </c>
      <c r="R171" s="20">
        <v>234481119.22996879</v>
      </c>
      <c r="S171" s="29">
        <v>69320397</v>
      </c>
      <c r="T171" s="62">
        <f t="shared" si="132"/>
        <v>3.8693488728865764E-2</v>
      </c>
      <c r="U171" s="25">
        <f t="shared" si="133"/>
        <v>87.419626831660906</v>
      </c>
      <c r="V171" s="30">
        <v>0.54</v>
      </c>
      <c r="W171" s="30"/>
      <c r="X171" s="30"/>
      <c r="Y171" s="30"/>
      <c r="Z171" s="30"/>
      <c r="AA171" s="30">
        <v>0.54</v>
      </c>
      <c r="AB171" s="30">
        <v>0.48499999999999999</v>
      </c>
      <c r="AC171" s="30">
        <v>9.4500000000000001E-2</v>
      </c>
      <c r="AD171" s="30">
        <v>0.497</v>
      </c>
      <c r="AE171" s="30">
        <f t="shared" si="144"/>
        <v>8.2500000000000018E-2</v>
      </c>
      <c r="AF171" s="30">
        <v>0.71499999999999997</v>
      </c>
      <c r="AG171" s="30"/>
      <c r="AH171" s="30"/>
      <c r="AI171" s="30">
        <v>0.71499999999999997</v>
      </c>
      <c r="AJ171" s="30">
        <v>0.65700000000000003</v>
      </c>
      <c r="AK171" s="30">
        <v>0.20599999999999999</v>
      </c>
      <c r="AL171" s="30">
        <v>0.66700000000000004</v>
      </c>
      <c r="AM171" s="30">
        <f t="shared" si="145"/>
        <v>0.19599999999999995</v>
      </c>
      <c r="AN171" s="66">
        <v>0.40400000000000003</v>
      </c>
      <c r="AO171" s="30">
        <v>0.36</v>
      </c>
      <c r="AP171" s="30">
        <v>5.9299999999999999E-2</v>
      </c>
      <c r="AQ171" s="30">
        <v>0.371</v>
      </c>
      <c r="AR171" s="30">
        <f t="shared" si="146"/>
        <v>4.830000000000001E-2</v>
      </c>
      <c r="AS171" s="66">
        <v>0.249</v>
      </c>
      <c r="AT171" s="66">
        <v>0.214</v>
      </c>
      <c r="AU171" s="66">
        <v>2.81E-2</v>
      </c>
      <c r="AV171" s="66">
        <v>0.222</v>
      </c>
      <c r="AW171" s="66">
        <f t="shared" si="147"/>
        <v>2.0099999999999979E-2</v>
      </c>
      <c r="AX171" s="66">
        <v>0.88400000000000001</v>
      </c>
      <c r="AY171" s="66">
        <v>7.9600000000000004E-2</v>
      </c>
      <c r="AZ171" s="66">
        <v>0.88700000000000001</v>
      </c>
      <c r="BA171" s="66">
        <f t="shared" si="148"/>
        <v>7.6600000000000001E-2</v>
      </c>
      <c r="BB171" s="62">
        <f t="shared" si="134"/>
        <v>6.1522615709142109E-2</v>
      </c>
      <c r="BC171" s="29"/>
      <c r="BD171" s="29"/>
      <c r="BE171" s="29"/>
      <c r="BF171" s="29"/>
      <c r="BG171" s="29"/>
      <c r="BH171" s="29"/>
      <c r="BI171" s="30">
        <f t="shared" si="136"/>
        <v>1.7978165228360599E-3</v>
      </c>
      <c r="BJ171" s="30">
        <f t="shared" si="137"/>
        <v>1.9497999830150547E-2</v>
      </c>
      <c r="BK171" s="30">
        <f t="shared" si="138"/>
        <v>0.155616868722946</v>
      </c>
      <c r="BL171" s="30">
        <f t="shared" si="139"/>
        <v>0.43484451795916979</v>
      </c>
      <c r="BM171" s="30">
        <f t="shared" si="140"/>
        <v>8.107806695739983E-2</v>
      </c>
      <c r="BN171" s="62">
        <f t="shared" si="141"/>
        <v>2.495780707290611E-3</v>
      </c>
      <c r="BO171" s="30">
        <f t="shared" si="142"/>
        <v>0.24162649126504521</v>
      </c>
      <c r="BP171" s="30"/>
      <c r="BQ171" s="30" t="e">
        <f>G171/#REF!-1</f>
        <v>#REF!</v>
      </c>
      <c r="BR171" s="30" t="e">
        <f>P171/#REF!-1</f>
        <v>#REF!</v>
      </c>
      <c r="BS171" s="30" t="e">
        <f>Q171/#REF!-1</f>
        <v>#REF!</v>
      </c>
      <c r="BT171" s="30" t="e">
        <f>R171/#REF!-1</f>
        <v>#REF!</v>
      </c>
      <c r="BU171" s="30" t="e">
        <f>S171/#REF!-1</f>
        <v>#REF!</v>
      </c>
      <c r="BV171" s="62" t="e">
        <f>T171-#REF!</f>
        <v>#REF!</v>
      </c>
      <c r="BW171" s="30" t="e">
        <f>U171/#REF!-1</f>
        <v>#REF!</v>
      </c>
      <c r="BX171" s="30"/>
    </row>
    <row r="172" spans="2:76">
      <c r="B172" t="str">
        <f t="shared" si="115"/>
        <v>2020</v>
      </c>
      <c r="C172" s="54">
        <v>202012</v>
      </c>
      <c r="D172" s="54"/>
      <c r="E172" s="54"/>
      <c r="F172" s="54"/>
      <c r="G172" s="29">
        <f t="shared" si="143"/>
        <v>1363144</v>
      </c>
      <c r="H172" s="29">
        <v>603891</v>
      </c>
      <c r="I172" s="69">
        <v>759253</v>
      </c>
      <c r="J172" s="29">
        <v>977778</v>
      </c>
      <c r="K172" s="29">
        <v>251184</v>
      </c>
      <c r="L172" s="29">
        <v>134182</v>
      </c>
      <c r="M172" s="29">
        <v>595061.47900588391</v>
      </c>
      <c r="N172" s="29">
        <f t="shared" si="135"/>
        <v>11581611</v>
      </c>
      <c r="O172" s="29">
        <v>7475931.6791849397</v>
      </c>
      <c r="P172" s="29">
        <v>20805392</v>
      </c>
      <c r="Q172" s="29">
        <v>2635660</v>
      </c>
      <c r="R172" s="20">
        <v>210218586.28999999</v>
      </c>
      <c r="S172" s="29">
        <v>74414044</v>
      </c>
      <c r="T172" s="62">
        <f t="shared" si="132"/>
        <v>3.5418851850062064E-2</v>
      </c>
      <c r="U172" s="25">
        <f t="shared" si="133"/>
        <v>79.759371956170369</v>
      </c>
      <c r="V172" s="30">
        <v>0.55200000000000005</v>
      </c>
      <c r="W172" s="30"/>
      <c r="X172" s="30"/>
      <c r="Y172" s="30"/>
      <c r="Z172" s="30"/>
      <c r="AA172" s="30">
        <v>0.55200000000000005</v>
      </c>
      <c r="AB172" s="30">
        <v>0.47399999999999998</v>
      </c>
      <c r="AC172" s="30">
        <v>0.126</v>
      </c>
      <c r="AD172" s="30">
        <v>0.496</v>
      </c>
      <c r="AE172" s="30">
        <f t="shared" si="144"/>
        <v>0.10399999999999998</v>
      </c>
      <c r="AF172" s="30">
        <v>0.73499999999999999</v>
      </c>
      <c r="AG172" s="30"/>
      <c r="AH172" s="30"/>
      <c r="AI172" s="30">
        <v>0.73499999999999999</v>
      </c>
      <c r="AJ172" s="30">
        <v>0.66100000000000003</v>
      </c>
      <c r="AK172" s="30">
        <v>0.26300000000000001</v>
      </c>
      <c r="AL172" s="30">
        <v>0.67700000000000005</v>
      </c>
      <c r="AM172" s="30">
        <f t="shared" si="145"/>
        <v>0.247</v>
      </c>
      <c r="AN172" s="66">
        <v>0.41299999999999998</v>
      </c>
      <c r="AO172" s="30">
        <v>0.34799999999999998</v>
      </c>
      <c r="AP172" s="30">
        <v>7.6899999999999996E-2</v>
      </c>
      <c r="AQ172" s="30">
        <v>0.36799999999999999</v>
      </c>
      <c r="AR172" s="30">
        <f t="shared" si="146"/>
        <v>5.6899999999999951E-2</v>
      </c>
      <c r="AS172" s="66">
        <v>0.25600000000000001</v>
      </c>
      <c r="AT172" s="66">
        <v>0.20499999999999999</v>
      </c>
      <c r="AU172" s="66">
        <v>3.8399999999999997E-2</v>
      </c>
      <c r="AV172" s="66">
        <v>0.22</v>
      </c>
      <c r="AW172" s="66">
        <f t="shared" si="147"/>
        <v>2.3399999999999976E-2</v>
      </c>
      <c r="AX172" s="66">
        <v>0.86499999999999999</v>
      </c>
      <c r="AY172" s="66">
        <v>0.10100000000000001</v>
      </c>
      <c r="AZ172" s="66">
        <v>0.87</v>
      </c>
      <c r="BA172" s="66">
        <f t="shared" si="148"/>
        <v>9.5999999999999974E-2</v>
      </c>
      <c r="BB172" s="62">
        <f t="shared" si="134"/>
        <v>6.5518784745800515E-2</v>
      </c>
      <c r="BC172" s="29"/>
      <c r="BD172" s="29"/>
      <c r="BE172" s="29"/>
      <c r="BF172" s="29"/>
      <c r="BG172" s="29"/>
      <c r="BH172" s="29"/>
      <c r="BI172" s="30">
        <f t="shared" si="136"/>
        <v>9.600575040724002E-2</v>
      </c>
      <c r="BJ172" s="30">
        <f t="shared" si="137"/>
        <v>2.9157376146792702E-2</v>
      </c>
      <c r="BK172" s="30">
        <f t="shared" si="138"/>
        <v>-1.7369012857871402E-2</v>
      </c>
      <c r="BL172" s="30">
        <f t="shared" si="139"/>
        <v>-0.10347329038536857</v>
      </c>
      <c r="BM172" s="30">
        <f t="shared" si="140"/>
        <v>7.3479772483126427E-2</v>
      </c>
      <c r="BN172" s="62">
        <f t="shared" si="141"/>
        <v>-3.2746368788037009E-3</v>
      </c>
      <c r="BO172" s="30">
        <f t="shared" si="142"/>
        <v>-8.7626259149349406E-2</v>
      </c>
      <c r="BP172" s="30"/>
      <c r="BQ172" s="30" t="e">
        <f>G172/#REF!-1</f>
        <v>#REF!</v>
      </c>
      <c r="BR172" s="30" t="e">
        <f>P172/#REF!-1</f>
        <v>#REF!</v>
      </c>
      <c r="BS172" s="30" t="e">
        <f>Q172/#REF!-1</f>
        <v>#REF!</v>
      </c>
      <c r="BT172" s="30" t="e">
        <f>R172/#REF!-1</f>
        <v>#REF!</v>
      </c>
      <c r="BU172" s="30" t="e">
        <f>S172/#REF!-1</f>
        <v>#REF!</v>
      </c>
      <c r="BV172" s="62" t="e">
        <f>T172-#REF!</f>
        <v>#REF!</v>
      </c>
      <c r="BW172" s="30" t="e">
        <f>U172/#REF!-1</f>
        <v>#REF!</v>
      </c>
      <c r="BX172" s="30"/>
    </row>
    <row r="173" spans="2:76">
      <c r="B173" t="str">
        <f t="shared" si="115"/>
        <v>2020</v>
      </c>
      <c r="C173" s="54">
        <v>202013</v>
      </c>
      <c r="D173" s="54"/>
      <c r="E173" s="54"/>
      <c r="F173" s="54"/>
      <c r="G173" s="29">
        <f t="shared" si="143"/>
        <v>1281214</v>
      </c>
      <c r="H173" s="29">
        <v>593875</v>
      </c>
      <c r="I173" s="69">
        <v>687339</v>
      </c>
      <c r="J173" s="29">
        <v>949164</v>
      </c>
      <c r="K173" s="29">
        <v>206570</v>
      </c>
      <c r="L173" s="29">
        <v>125480</v>
      </c>
      <c r="M173" s="29">
        <v>700500.95782329584</v>
      </c>
      <c r="N173" s="29">
        <f t="shared" si="135"/>
        <v>12862825</v>
      </c>
      <c r="O173" s="29">
        <v>8176432.6370082358</v>
      </c>
      <c r="P173" s="29">
        <v>20756256</v>
      </c>
      <c r="Q173" s="29">
        <v>2494967</v>
      </c>
      <c r="R173" s="20">
        <v>207535347.7900129</v>
      </c>
      <c r="S173" s="29">
        <v>74000907</v>
      </c>
      <c r="T173" s="62">
        <f t="shared" si="132"/>
        <v>3.3715357029340191E-2</v>
      </c>
      <c r="U173" s="25">
        <f t="shared" si="133"/>
        <v>83.181600313756817</v>
      </c>
      <c r="V173" s="30">
        <v>0.53100000000000003</v>
      </c>
      <c r="W173" s="30"/>
      <c r="X173" s="30"/>
      <c r="Y173" s="30"/>
      <c r="Z173" s="30"/>
      <c r="AA173" s="30">
        <v>0.53100000000000003</v>
      </c>
      <c r="AB173" s="30">
        <v>0.439</v>
      </c>
      <c r="AC173" s="30">
        <v>0.13300000000000001</v>
      </c>
      <c r="AD173" s="30">
        <v>0.46500000000000002</v>
      </c>
      <c r="AE173" s="30">
        <f t="shared" si="144"/>
        <v>0.10700000000000004</v>
      </c>
      <c r="AF173" s="30">
        <v>0.71599999999999997</v>
      </c>
      <c r="AG173" s="30"/>
      <c r="AH173" s="30"/>
      <c r="AI173" s="30">
        <v>0.71599999999999997</v>
      </c>
      <c r="AJ173" s="30">
        <v>0.63800000000000001</v>
      </c>
      <c r="AK173" s="30">
        <v>0.26400000000000001</v>
      </c>
      <c r="AL173" s="30">
        <v>0.65900000000000003</v>
      </c>
      <c r="AM173" s="30">
        <f t="shared" si="145"/>
        <v>0.24299999999999999</v>
      </c>
      <c r="AN173" s="66">
        <v>0.39800000000000002</v>
      </c>
      <c r="AO173" s="30">
        <v>0.32100000000000001</v>
      </c>
      <c r="AP173" s="30">
        <v>8.3799999999999999E-2</v>
      </c>
      <c r="AQ173" s="30">
        <v>0.34499999999999997</v>
      </c>
      <c r="AR173" s="30">
        <f t="shared" si="146"/>
        <v>5.980000000000002E-2</v>
      </c>
      <c r="AS173" s="66">
        <v>0.24299999999999999</v>
      </c>
      <c r="AT173" s="66">
        <v>0.189</v>
      </c>
      <c r="AU173" s="66">
        <v>4.2299999999999997E-2</v>
      </c>
      <c r="AV173" s="66">
        <v>0.20599999999999999</v>
      </c>
      <c r="AW173" s="66">
        <f t="shared" si="147"/>
        <v>2.5300000000000017E-2</v>
      </c>
      <c r="AX173" s="66">
        <v>0.82399999999999995</v>
      </c>
      <c r="AY173" s="66">
        <v>0.13</v>
      </c>
      <c r="AZ173" s="66">
        <v>0.83299999999999996</v>
      </c>
      <c r="BA173" s="66">
        <f t="shared" si="148"/>
        <v>0.121</v>
      </c>
      <c r="BB173" s="62">
        <f t="shared" si="134"/>
        <v>6.1726642801090907E-2</v>
      </c>
      <c r="BC173" s="29"/>
      <c r="BD173" s="29"/>
      <c r="BE173" s="29"/>
      <c r="BF173" s="29"/>
      <c r="BG173" s="29"/>
      <c r="BH173" s="29"/>
      <c r="BI173" s="30">
        <f t="shared" si="136"/>
        <v>-6.0103701443134372E-2</v>
      </c>
      <c r="BJ173" s="30">
        <f t="shared" si="137"/>
        <v>-2.3616954681747737E-3</v>
      </c>
      <c r="BK173" s="30">
        <f t="shared" si="138"/>
        <v>-5.3380557431535136E-2</v>
      </c>
      <c r="BL173" s="30">
        <f t="shared" si="139"/>
        <v>-1.276404026561917E-2</v>
      </c>
      <c r="BM173" s="30">
        <f t="shared" si="140"/>
        <v>-5.5518686768319947E-3</v>
      </c>
      <c r="BN173" s="62">
        <f t="shared" si="141"/>
        <v>-1.7034948207218722E-3</v>
      </c>
      <c r="BO173" s="30">
        <f t="shared" si="142"/>
        <v>4.2906912048743751E-2</v>
      </c>
      <c r="BP173" s="30"/>
      <c r="BQ173" s="30" t="e">
        <f>G173/#REF!-1</f>
        <v>#REF!</v>
      </c>
      <c r="BR173" s="30" t="e">
        <f>P173/#REF!-1</f>
        <v>#REF!</v>
      </c>
      <c r="BS173" s="30" t="e">
        <f>Q173/#REF!-1</f>
        <v>#REF!</v>
      </c>
      <c r="BT173" s="30" t="e">
        <f>R173/#REF!-1</f>
        <v>#REF!</v>
      </c>
      <c r="BU173" s="30" t="e">
        <f>S173/#REF!-1</f>
        <v>#REF!</v>
      </c>
      <c r="BV173" s="62" t="e">
        <f>T173-#REF!</f>
        <v>#REF!</v>
      </c>
      <c r="BW173" s="30" t="e">
        <f>U173/#REF!-1</f>
        <v>#REF!</v>
      </c>
      <c r="BX173" s="30"/>
    </row>
    <row r="174" spans="2:76">
      <c r="B174" t="str">
        <f t="shared" si="115"/>
        <v>2020</v>
      </c>
      <c r="C174" s="54">
        <v>202014</v>
      </c>
      <c r="D174" s="54"/>
      <c r="E174" s="54"/>
      <c r="F174" s="54"/>
      <c r="G174" s="29">
        <f t="shared" si="143"/>
        <v>1330595</v>
      </c>
      <c r="H174" s="29">
        <v>606381</v>
      </c>
      <c r="I174" s="69">
        <v>724214</v>
      </c>
      <c r="J174" s="29">
        <v>928553</v>
      </c>
      <c r="K174" s="29">
        <v>255442</v>
      </c>
      <c r="L174" s="29">
        <v>146598</v>
      </c>
      <c r="M174" s="29">
        <v>1266585.424012884</v>
      </c>
      <c r="N174" s="29">
        <f t="shared" si="135"/>
        <v>14193420</v>
      </c>
      <c r="O174" s="29">
        <v>9443018.0610211194</v>
      </c>
      <c r="P174" s="29">
        <v>20786935</v>
      </c>
      <c r="Q174" s="29">
        <v>2334591</v>
      </c>
      <c r="R174" s="20">
        <v>187754339.27000189</v>
      </c>
      <c r="S174" s="29">
        <v>71789849</v>
      </c>
      <c r="T174" s="62">
        <f t="shared" si="132"/>
        <v>3.2519792596304248E-2</v>
      </c>
      <c r="U174" s="25">
        <f t="shared" si="133"/>
        <v>80.422797513569563</v>
      </c>
      <c r="V174" s="30">
        <v>0.54100000000000004</v>
      </c>
      <c r="W174" s="30"/>
      <c r="X174" s="30"/>
      <c r="Y174" s="30"/>
      <c r="Z174" s="30"/>
      <c r="AA174" s="30">
        <v>0.54100000000000004</v>
      </c>
      <c r="AB174" s="30">
        <v>0.439</v>
      </c>
      <c r="AC174" s="30">
        <v>0.158</v>
      </c>
      <c r="AD174" s="30">
        <v>0.47499999999999998</v>
      </c>
      <c r="AE174" s="30">
        <f t="shared" si="144"/>
        <v>0.122</v>
      </c>
      <c r="AF174" s="30">
        <v>0.72199999999999998</v>
      </c>
      <c r="AG174" s="30"/>
      <c r="AH174" s="30"/>
      <c r="AI174" s="30">
        <v>0.72199999999999998</v>
      </c>
      <c r="AJ174" s="30">
        <v>0.63900000000000001</v>
      </c>
      <c r="AK174" s="30">
        <v>0.29699999999999999</v>
      </c>
      <c r="AL174" s="30">
        <v>0.66400000000000003</v>
      </c>
      <c r="AM174" s="30">
        <f t="shared" si="145"/>
        <v>0.27199999999999991</v>
      </c>
      <c r="AN174" s="66">
        <v>0.39200000000000002</v>
      </c>
      <c r="AO174" s="30">
        <v>0.316</v>
      </c>
      <c r="AP174" s="30">
        <v>9.5399999999999999E-2</v>
      </c>
      <c r="AQ174" s="30">
        <v>0.34599999999999997</v>
      </c>
      <c r="AR174" s="30">
        <f t="shared" si="146"/>
        <v>6.5400000000000014E-2</v>
      </c>
      <c r="AS174" s="66">
        <v>0.25</v>
      </c>
      <c r="AT174" s="66">
        <v>0.185</v>
      </c>
      <c r="AU174" s="66">
        <v>0.05</v>
      </c>
      <c r="AV174" s="66">
        <v>0.20699999999999999</v>
      </c>
      <c r="AW174" s="66">
        <f t="shared" si="147"/>
        <v>2.7999999999999997E-2</v>
      </c>
      <c r="AX174" s="66">
        <v>0.81499999999999995</v>
      </c>
      <c r="AY174" s="66">
        <v>0.2</v>
      </c>
      <c r="AZ174" s="66">
        <v>0.84499999999999997</v>
      </c>
      <c r="BA174" s="66">
        <f t="shared" si="148"/>
        <v>0.16999999999999993</v>
      </c>
      <c r="BB174" s="62">
        <f t="shared" si="134"/>
        <v>6.4011120446568967E-2</v>
      </c>
      <c r="BC174" s="29"/>
      <c r="BD174" s="29"/>
      <c r="BE174" s="29"/>
      <c r="BF174" s="29"/>
      <c r="BG174" s="29"/>
      <c r="BH174" s="29"/>
      <c r="BI174" s="30">
        <f t="shared" si="136"/>
        <v>3.8542351238747052E-2</v>
      </c>
      <c r="BJ174" s="30">
        <f t="shared" si="137"/>
        <v>1.478060397790415E-3</v>
      </c>
      <c r="BK174" s="30">
        <f t="shared" si="138"/>
        <v>-6.4279808109686476E-2</v>
      </c>
      <c r="BL174" s="30">
        <f t="shared" si="139"/>
        <v>-9.5313924739344635E-2</v>
      </c>
      <c r="BM174" s="30">
        <f t="shared" si="140"/>
        <v>-2.9878795945028069E-2</v>
      </c>
      <c r="BN174" s="62">
        <f t="shared" si="141"/>
        <v>-1.1955644330359436E-3</v>
      </c>
      <c r="BO174" s="30">
        <f t="shared" si="142"/>
        <v>-3.3166022170542431E-2</v>
      </c>
      <c r="BP174" s="30"/>
      <c r="BQ174" s="30" t="e">
        <f>G174/#REF!-1</f>
        <v>#REF!</v>
      </c>
      <c r="BR174" s="30" t="e">
        <f>P174/#REF!-1</f>
        <v>#REF!</v>
      </c>
      <c r="BS174" s="30" t="e">
        <f>Q174/#REF!-1</f>
        <v>#REF!</v>
      </c>
      <c r="BT174" s="30" t="e">
        <f>R174/#REF!-1</f>
        <v>#REF!</v>
      </c>
      <c r="BU174" s="30" t="e">
        <f>S174/#REF!-1</f>
        <v>#REF!</v>
      </c>
      <c r="BV174" s="62" t="e">
        <f>T174-#REF!</f>
        <v>#REF!</v>
      </c>
      <c r="BW174" s="30" t="e">
        <f>U174/#REF!-1</f>
        <v>#REF!</v>
      </c>
      <c r="BX174" s="30"/>
    </row>
    <row r="175" spans="2:76">
      <c r="B175" t="str">
        <f t="shared" si="115"/>
        <v>2020</v>
      </c>
      <c r="C175" s="54">
        <v>202015</v>
      </c>
      <c r="D175" s="54"/>
      <c r="E175" s="54"/>
      <c r="F175" s="54"/>
      <c r="G175" s="29">
        <f t="shared" si="143"/>
        <v>1692801</v>
      </c>
      <c r="H175" s="29">
        <v>713557</v>
      </c>
      <c r="I175" s="69">
        <v>979244</v>
      </c>
      <c r="J175" s="29">
        <v>943313</v>
      </c>
      <c r="K175" s="29">
        <v>601764</v>
      </c>
      <c r="L175" s="29">
        <v>147719</v>
      </c>
      <c r="M175" s="29">
        <v>1251843.428132884</v>
      </c>
      <c r="N175" s="29">
        <f t="shared" si="135"/>
        <v>15886221</v>
      </c>
      <c r="O175" s="29">
        <v>10694861.489154</v>
      </c>
      <c r="P175" s="29">
        <v>21226975</v>
      </c>
      <c r="Q175" s="29">
        <v>2211645</v>
      </c>
      <c r="R175" s="20">
        <v>171403061</v>
      </c>
      <c r="S175" s="29">
        <v>69799888</v>
      </c>
      <c r="T175" s="62">
        <f t="shared" si="132"/>
        <v>3.1685509294800011E-2</v>
      </c>
      <c r="U175" s="25">
        <f t="shared" si="133"/>
        <v>77.500259309247184</v>
      </c>
      <c r="V175" s="30">
        <v>0.622</v>
      </c>
      <c r="W175" s="30"/>
      <c r="X175" s="30"/>
      <c r="Y175" s="30"/>
      <c r="Z175" s="30"/>
      <c r="AA175" s="30">
        <v>0.622</v>
      </c>
      <c r="AB175" s="30">
        <v>0.45200000000000001</v>
      </c>
      <c r="AC175" s="30">
        <v>0.254</v>
      </c>
      <c r="AD175" s="30">
        <v>0.53100000000000003</v>
      </c>
      <c r="AE175" s="30">
        <f t="shared" si="144"/>
        <v>0.17499999999999993</v>
      </c>
      <c r="AF175" s="30">
        <v>0.77700000000000002</v>
      </c>
      <c r="AG175" s="30"/>
      <c r="AH175" s="30"/>
      <c r="AI175" s="30">
        <v>0.77700000000000002</v>
      </c>
      <c r="AJ175" s="30">
        <v>0.67800000000000005</v>
      </c>
      <c r="AK175" s="30">
        <v>0.441</v>
      </c>
      <c r="AL175" s="30">
        <v>0.73</v>
      </c>
      <c r="AM175" s="30">
        <f t="shared" si="145"/>
        <v>0.38900000000000001</v>
      </c>
      <c r="AN175" s="66">
        <v>0.46800000000000003</v>
      </c>
      <c r="AO175" s="30">
        <v>0.313</v>
      </c>
      <c r="AP175" s="30">
        <v>0.153</v>
      </c>
      <c r="AQ175" s="30">
        <v>0.378</v>
      </c>
      <c r="AR175" s="30">
        <f t="shared" si="146"/>
        <v>8.7999999999999967E-2</v>
      </c>
      <c r="AS175" s="66">
        <v>0.28999999999999998</v>
      </c>
      <c r="AT175" s="66">
        <v>0.17199999999999999</v>
      </c>
      <c r="AU175" s="66">
        <v>7.8600000000000003E-2</v>
      </c>
      <c r="AV175" s="66">
        <v>0.216</v>
      </c>
      <c r="AW175" s="66">
        <f t="shared" si="147"/>
        <v>3.4599999999999992E-2</v>
      </c>
      <c r="AX175" s="66">
        <v>0.76600000000000001</v>
      </c>
      <c r="AY175" s="66">
        <v>0.49399999999999999</v>
      </c>
      <c r="AZ175" s="66">
        <v>0.90800000000000003</v>
      </c>
      <c r="BA175" s="66">
        <f t="shared" si="148"/>
        <v>0.35199999999999998</v>
      </c>
      <c r="BB175" s="62">
        <f t="shared" si="134"/>
        <v>7.9747632434673338E-2</v>
      </c>
      <c r="BC175" s="29"/>
      <c r="BD175" s="29"/>
      <c r="BE175" s="29"/>
      <c r="BF175" s="29"/>
      <c r="BG175" s="29"/>
      <c r="BH175" s="29"/>
      <c r="BI175" s="30">
        <f t="shared" si="136"/>
        <v>0.27221355859596641</v>
      </c>
      <c r="BJ175" s="30">
        <f t="shared" si="137"/>
        <v>2.1169066050382046E-2</v>
      </c>
      <c r="BK175" s="30">
        <f t="shared" si="138"/>
        <v>-5.2662757630779877E-2</v>
      </c>
      <c r="BL175" s="30">
        <f t="shared" si="139"/>
        <v>-8.7088683721380122E-2</v>
      </c>
      <c r="BM175" s="30">
        <f t="shared" si="140"/>
        <v>-2.7719253177423409E-2</v>
      </c>
      <c r="BN175" s="62">
        <f t="shared" si="141"/>
        <v>-8.3428330150423641E-4</v>
      </c>
      <c r="BO175" s="30">
        <f t="shared" si="142"/>
        <v>-3.6339673508985593E-2</v>
      </c>
      <c r="BP175" s="30"/>
      <c r="BQ175" s="30" t="e">
        <f>G175/#REF!-1</f>
        <v>#REF!</v>
      </c>
      <c r="BR175" s="30" t="e">
        <f>P175/#REF!-1</f>
        <v>#REF!</v>
      </c>
      <c r="BS175" s="30" t="e">
        <f>Q175/#REF!-1</f>
        <v>#REF!</v>
      </c>
      <c r="BT175" s="30" t="e">
        <f>R175/#REF!-1</f>
        <v>#REF!</v>
      </c>
      <c r="BU175" s="30" t="e">
        <f>S175/#REF!-1</f>
        <v>#REF!</v>
      </c>
      <c r="BV175" s="62" t="e">
        <f>T175-#REF!</f>
        <v>#REF!</v>
      </c>
      <c r="BW175" s="30" t="e">
        <f>U175/#REF!-1</f>
        <v>#REF!</v>
      </c>
      <c r="BX175" s="30"/>
    </row>
    <row r="176" spans="2:76">
      <c r="B176" t="str">
        <f t="shared" si="115"/>
        <v>2020</v>
      </c>
      <c r="C176" s="54">
        <v>202016</v>
      </c>
      <c r="D176" s="54"/>
      <c r="E176" s="54"/>
      <c r="F176" s="54"/>
      <c r="G176" s="29">
        <f t="shared" si="143"/>
        <v>1699815</v>
      </c>
      <c r="H176" s="29">
        <v>659594</v>
      </c>
      <c r="I176" s="69">
        <v>1040221</v>
      </c>
      <c r="J176" s="29">
        <v>950196</v>
      </c>
      <c r="K176" s="29">
        <v>590521</v>
      </c>
      <c r="L176" s="29">
        <v>159098</v>
      </c>
      <c r="M176" s="29">
        <v>1280836.696602884</v>
      </c>
      <c r="N176" s="29">
        <f t="shared" si="135"/>
        <v>17586036</v>
      </c>
      <c r="O176" s="29">
        <v>11975698.18575689</v>
      </c>
      <c r="P176" s="29">
        <v>21970673</v>
      </c>
      <c r="Q176" s="29">
        <v>2169854</v>
      </c>
      <c r="R176" s="20">
        <v>167360400.79999501</v>
      </c>
      <c r="S176" s="29">
        <v>71887193</v>
      </c>
      <c r="T176" s="62">
        <f t="shared" si="132"/>
        <v>3.0184152551345274E-2</v>
      </c>
      <c r="U176" s="25">
        <f t="shared" si="133"/>
        <v>77.129798041709265</v>
      </c>
      <c r="V176" s="30">
        <v>0.60299999999999998</v>
      </c>
      <c r="W176" s="30"/>
      <c r="X176" s="30"/>
      <c r="Y176" s="30"/>
      <c r="Z176" s="30"/>
      <c r="AA176" s="30">
        <v>0.60299999999999998</v>
      </c>
      <c r="AB176" s="30">
        <v>0.44</v>
      </c>
      <c r="AC176" s="30">
        <v>0.24099999999999999</v>
      </c>
      <c r="AD176" s="30">
        <v>0.51700000000000002</v>
      </c>
      <c r="AE176" s="30">
        <f t="shared" si="144"/>
        <v>0.16400000000000003</v>
      </c>
      <c r="AF176" s="30">
        <v>0.77500000000000002</v>
      </c>
      <c r="AG176" s="30"/>
      <c r="AH176" s="30"/>
      <c r="AI176" s="30">
        <v>0.77500000000000002</v>
      </c>
      <c r="AJ176" s="30">
        <v>0.67</v>
      </c>
      <c r="AK176" s="30">
        <v>0.436</v>
      </c>
      <c r="AL176" s="30">
        <v>0.72499999999999998</v>
      </c>
      <c r="AM176" s="30">
        <f t="shared" si="145"/>
        <v>0.38100000000000012</v>
      </c>
      <c r="AN176" s="66">
        <v>0.46700000000000003</v>
      </c>
      <c r="AO176" s="30">
        <v>0.30399999999999999</v>
      </c>
      <c r="AP176" s="30">
        <v>0.154</v>
      </c>
      <c r="AQ176" s="30">
        <v>0.371</v>
      </c>
      <c r="AR176" s="30">
        <f t="shared" si="146"/>
        <v>8.6999999999999966E-2</v>
      </c>
      <c r="AS176" s="66">
        <v>0.3</v>
      </c>
      <c r="AT176" s="66">
        <v>0.17</v>
      </c>
      <c r="AU176" s="66">
        <v>8.5000000000000006E-2</v>
      </c>
      <c r="AV176" s="66">
        <v>0.219</v>
      </c>
      <c r="AW176" s="66">
        <f t="shared" si="147"/>
        <v>3.6000000000000004E-2</v>
      </c>
      <c r="AX176" s="66">
        <v>0.72599999999999998</v>
      </c>
      <c r="AY176" s="66">
        <v>0.53600000000000003</v>
      </c>
      <c r="AZ176" s="66">
        <v>0.90600000000000003</v>
      </c>
      <c r="BA176" s="66">
        <f t="shared" si="148"/>
        <v>0.35599999999999998</v>
      </c>
      <c r="BB176" s="62">
        <f t="shared" si="134"/>
        <v>7.7367452512720022E-2</v>
      </c>
      <c r="BC176" s="29"/>
      <c r="BD176" s="29"/>
      <c r="BE176" s="29"/>
      <c r="BF176" s="29"/>
      <c r="BG176" s="29"/>
      <c r="BH176" s="29"/>
      <c r="BI176" s="30">
        <f t="shared" si="136"/>
        <v>4.1434285542127913E-3</v>
      </c>
      <c r="BJ176" s="30">
        <f t="shared" si="137"/>
        <v>3.5035514952083346E-2</v>
      </c>
      <c r="BK176" s="30">
        <f t="shared" si="138"/>
        <v>-1.8895889711052161E-2</v>
      </c>
      <c r="BL176" s="30">
        <f t="shared" si="139"/>
        <v>-2.3585694306853644E-2</v>
      </c>
      <c r="BM176" s="30">
        <f t="shared" si="140"/>
        <v>2.9904131078261953E-2</v>
      </c>
      <c r="BN176" s="62">
        <f t="shared" si="141"/>
        <v>-1.5013567434547376E-3</v>
      </c>
      <c r="BO176" s="30">
        <f t="shared" si="142"/>
        <v>-4.7801293936279299E-3</v>
      </c>
      <c r="BP176" s="30"/>
      <c r="BQ176" s="30" t="e">
        <f t="shared" ref="BQ176:BQ204" si="149">G176/G213-1</f>
        <v>#DIV/0!</v>
      </c>
      <c r="BR176" s="30" t="e">
        <f t="shared" ref="BR176:BR204" si="150">P176/P213-1</f>
        <v>#DIV/0!</v>
      </c>
      <c r="BS176" s="30" t="e">
        <f t="shared" ref="BS176:BS204" si="151">Q176/Q213-1</f>
        <v>#DIV/0!</v>
      </c>
      <c r="BT176" s="30" t="e">
        <f t="shared" ref="BT176:BT204" si="152">R176/R213-1</f>
        <v>#DIV/0!</v>
      </c>
      <c r="BU176" s="30" t="e">
        <f t="shared" ref="BU176:BU204" si="153">S176/S213-1</f>
        <v>#DIV/0!</v>
      </c>
      <c r="BV176" s="62">
        <f t="shared" ref="BV176:BV204" si="154">T176-T213</f>
        <v>3.0184152551345274E-2</v>
      </c>
      <c r="BW176" s="30" t="e">
        <f t="shared" ref="BW176:BW204" si="155">U176/U213-1</f>
        <v>#DIV/0!</v>
      </c>
      <c r="BX176" s="30"/>
    </row>
    <row r="177" spans="2:76">
      <c r="B177" t="str">
        <f t="shared" si="115"/>
        <v>2020</v>
      </c>
      <c r="C177" s="54">
        <v>202017</v>
      </c>
      <c r="D177" s="54"/>
      <c r="E177" s="54"/>
      <c r="F177" s="54"/>
      <c r="G177" s="29">
        <f t="shared" si="143"/>
        <v>1329167</v>
      </c>
      <c r="H177" s="29">
        <v>541870</v>
      </c>
      <c r="I177" s="69">
        <v>787297</v>
      </c>
      <c r="J177" s="29">
        <v>859510</v>
      </c>
      <c r="K177" s="29">
        <v>328377</v>
      </c>
      <c r="L177" s="29">
        <v>141280</v>
      </c>
      <c r="M177" s="29">
        <v>1331146.1813628839</v>
      </c>
      <c r="N177" s="29">
        <f t="shared" si="135"/>
        <v>18915203</v>
      </c>
      <c r="O177" s="29">
        <v>13306844.36711977</v>
      </c>
      <c r="P177" s="29">
        <v>21821990</v>
      </c>
      <c r="Q177" s="29">
        <v>2042861</v>
      </c>
      <c r="R177" s="20">
        <v>162175259.90999249</v>
      </c>
      <c r="S177" s="29">
        <v>69450248</v>
      </c>
      <c r="T177" s="62">
        <f t="shared" si="132"/>
        <v>2.9414740174865898E-2</v>
      </c>
      <c r="U177" s="25">
        <f t="shared" si="133"/>
        <v>79.386340974737138</v>
      </c>
      <c r="V177" s="30">
        <v>0.53</v>
      </c>
      <c r="W177" s="30"/>
      <c r="X177" s="30"/>
      <c r="Y177" s="30"/>
      <c r="Z177" s="30"/>
      <c r="AA177" s="30">
        <v>0.53</v>
      </c>
      <c r="AB177" s="30">
        <v>0.39600000000000002</v>
      </c>
      <c r="AC177" s="30">
        <v>0.20499999999999999</v>
      </c>
      <c r="AD177" s="30">
        <v>0.45900000000000002</v>
      </c>
      <c r="AE177" s="30">
        <f t="shared" si="144"/>
        <v>0.14199999999999996</v>
      </c>
      <c r="AF177" s="30">
        <v>0.72699999999999998</v>
      </c>
      <c r="AG177" s="30"/>
      <c r="AH177" s="30"/>
      <c r="AI177" s="30">
        <v>0.72699999999999998</v>
      </c>
      <c r="AJ177" s="30">
        <v>0.626</v>
      </c>
      <c r="AK177" s="30">
        <v>0.36</v>
      </c>
      <c r="AL177" s="30">
        <v>0.67500000000000004</v>
      </c>
      <c r="AM177" s="30">
        <f t="shared" si="145"/>
        <v>0.31099999999999994</v>
      </c>
      <c r="AN177" s="66">
        <v>0.39100000000000001</v>
      </c>
      <c r="AO177" s="30">
        <v>0.27500000000000002</v>
      </c>
      <c r="AP177" s="30">
        <v>0.13</v>
      </c>
      <c r="AQ177" s="30">
        <v>0.33</v>
      </c>
      <c r="AR177" s="30">
        <f t="shared" si="146"/>
        <v>7.5000000000000011E-2</v>
      </c>
      <c r="AS177" s="66">
        <v>0.246</v>
      </c>
      <c r="AT177" s="66">
        <v>0.156</v>
      </c>
      <c r="AU177" s="66">
        <v>7.4499999999999997E-2</v>
      </c>
      <c r="AV177" s="66">
        <v>0.19600000000000001</v>
      </c>
      <c r="AW177" s="66">
        <f t="shared" si="147"/>
        <v>3.4499999999999975E-2</v>
      </c>
      <c r="AX177" s="66">
        <v>0.73599999999999999</v>
      </c>
      <c r="AY177" s="66">
        <v>0.46200000000000002</v>
      </c>
      <c r="AZ177" s="66">
        <v>0.88400000000000001</v>
      </c>
      <c r="BA177" s="66">
        <f t="shared" si="148"/>
        <v>0.31399999999999995</v>
      </c>
      <c r="BB177" s="62">
        <f t="shared" si="134"/>
        <v>6.0909522917020856E-2</v>
      </c>
      <c r="BC177" s="29"/>
      <c r="BD177" s="29"/>
      <c r="BE177" s="29"/>
      <c r="BF177" s="29"/>
      <c r="BG177" s="29"/>
      <c r="BH177" s="29"/>
      <c r="BI177" s="30">
        <f t="shared" si="136"/>
        <v>-0.2180519644784874</v>
      </c>
      <c r="BJ177" s="30">
        <f t="shared" si="137"/>
        <v>-6.7673393527817316E-3</v>
      </c>
      <c r="BK177" s="30">
        <f t="shared" si="138"/>
        <v>-5.8526057513547003E-2</v>
      </c>
      <c r="BL177" s="30">
        <f t="shared" si="139"/>
        <v>-3.0981886188233054E-2</v>
      </c>
      <c r="BM177" s="30">
        <f t="shared" si="140"/>
        <v>-3.3899570956957503E-2</v>
      </c>
      <c r="BN177" s="62">
        <f t="shared" si="141"/>
        <v>-7.6941237647937602E-4</v>
      </c>
      <c r="BO177" s="30">
        <f t="shared" si="142"/>
        <v>2.9256435130396774E-2</v>
      </c>
      <c r="BP177" s="30"/>
      <c r="BQ177" s="30" t="e">
        <f t="shared" si="149"/>
        <v>#DIV/0!</v>
      </c>
      <c r="BR177" s="30" t="e">
        <f t="shared" si="150"/>
        <v>#DIV/0!</v>
      </c>
      <c r="BS177" s="30" t="e">
        <f t="shared" si="151"/>
        <v>#DIV/0!</v>
      </c>
      <c r="BT177" s="30" t="e">
        <f t="shared" si="152"/>
        <v>#DIV/0!</v>
      </c>
      <c r="BU177" s="30" t="e">
        <f t="shared" si="153"/>
        <v>#DIV/0!</v>
      </c>
      <c r="BV177" s="62">
        <f t="shared" si="154"/>
        <v>2.9414740174865898E-2</v>
      </c>
      <c r="BW177" s="30" t="e">
        <f t="shared" si="155"/>
        <v>#DIV/0!</v>
      </c>
      <c r="BX177" s="30"/>
    </row>
    <row r="178" spans="2:76">
      <c r="B178" t="str">
        <f t="shared" si="115"/>
        <v>2020</v>
      </c>
      <c r="C178" s="54">
        <v>202018</v>
      </c>
      <c r="D178" s="54"/>
      <c r="E178" s="54"/>
      <c r="F178" s="54"/>
      <c r="G178" s="29">
        <f t="shared" si="143"/>
        <v>1142737</v>
      </c>
      <c r="H178" s="29">
        <v>488095</v>
      </c>
      <c r="I178" s="69">
        <v>654642</v>
      </c>
      <c r="J178" s="29">
        <v>802199</v>
      </c>
      <c r="K178" s="29">
        <v>225859</v>
      </c>
      <c r="L178" s="29">
        <v>114679</v>
      </c>
      <c r="M178" s="29">
        <v>1001261.5199226</v>
      </c>
      <c r="N178" s="29">
        <f t="shared" si="135"/>
        <v>20057940</v>
      </c>
      <c r="O178" s="29">
        <v>14308105.88704237</v>
      </c>
      <c r="P178" s="19">
        <v>20733930</v>
      </c>
      <c r="Q178" s="29">
        <v>2051264</v>
      </c>
      <c r="R178" s="20">
        <v>158436736.16999069</v>
      </c>
      <c r="S178" s="19">
        <v>63659970</v>
      </c>
      <c r="T178" s="62">
        <f t="shared" si="132"/>
        <v>3.2222195517842687E-2</v>
      </c>
      <c r="U178" s="25">
        <f t="shared" si="133"/>
        <v>77.238588582449992</v>
      </c>
      <c r="V178" s="30">
        <v>0.51700000000000002</v>
      </c>
      <c r="W178" s="30"/>
      <c r="X178" s="30"/>
      <c r="Y178" s="30"/>
      <c r="Z178" s="30"/>
      <c r="AA178" s="30">
        <v>0.51700000000000002</v>
      </c>
      <c r="AB178" s="30">
        <v>0.39400000000000002</v>
      </c>
      <c r="AC178" s="30">
        <v>0.184</v>
      </c>
      <c r="AD178" s="30">
        <v>0.45</v>
      </c>
      <c r="AE178" s="30">
        <f t="shared" si="144"/>
        <v>0.12800000000000006</v>
      </c>
      <c r="AF178" s="30">
        <v>0.71399999999999997</v>
      </c>
      <c r="AG178" s="30"/>
      <c r="AH178" s="30"/>
      <c r="AI178" s="30">
        <v>0.71399999999999997</v>
      </c>
      <c r="AJ178" s="30">
        <v>0.60799999999999998</v>
      </c>
      <c r="AK178" s="30">
        <v>0.32700000000000001</v>
      </c>
      <c r="AL178" s="30">
        <v>0.65</v>
      </c>
      <c r="AM178" s="30">
        <f t="shared" si="145"/>
        <v>0.28500000000000003</v>
      </c>
      <c r="AN178" s="66">
        <v>0.378</v>
      </c>
      <c r="AO178" s="30">
        <v>0.27300000000000002</v>
      </c>
      <c r="AP178" s="30">
        <v>0.11899999999999999</v>
      </c>
      <c r="AQ178" s="30">
        <v>0.32100000000000001</v>
      </c>
      <c r="AR178" s="30">
        <f t="shared" si="146"/>
        <v>7.1000000000000008E-2</v>
      </c>
      <c r="AS178" s="66">
        <v>0.23300000000000001</v>
      </c>
      <c r="AT178" s="66">
        <v>0.156</v>
      </c>
      <c r="AU178" s="66">
        <v>6.8500000000000005E-2</v>
      </c>
      <c r="AV178" s="66">
        <v>0.192</v>
      </c>
      <c r="AW178" s="66">
        <f t="shared" si="147"/>
        <v>3.2500000000000001E-2</v>
      </c>
      <c r="AX178" s="66">
        <v>0.75</v>
      </c>
      <c r="AY178" s="66">
        <v>0.42299999999999999</v>
      </c>
      <c r="AZ178" s="66">
        <v>0.876</v>
      </c>
      <c r="BA178" s="66">
        <f t="shared" si="148"/>
        <v>0.29700000000000004</v>
      </c>
      <c r="BB178" s="62">
        <f t="shared" si="134"/>
        <v>5.5114346387780802E-2</v>
      </c>
      <c r="BC178" s="29"/>
      <c r="BD178" s="29"/>
      <c r="BE178" s="29"/>
      <c r="BF178" s="29"/>
      <c r="BG178" s="29"/>
      <c r="BH178" s="29"/>
      <c r="BI178" s="30">
        <f t="shared" si="136"/>
        <v>-0.14026077987190477</v>
      </c>
      <c r="BJ178" s="30">
        <f t="shared" si="137"/>
        <v>-4.986071389456237E-2</v>
      </c>
      <c r="BK178" s="30">
        <f t="shared" si="138"/>
        <v>4.1133488768936299E-3</v>
      </c>
      <c r="BL178" s="30">
        <f t="shared" si="139"/>
        <v>-2.3052367803058749E-2</v>
      </c>
      <c r="BM178" s="30">
        <f t="shared" si="140"/>
        <v>-8.337303561536602E-2</v>
      </c>
      <c r="BN178" s="62">
        <f t="shared" si="141"/>
        <v>2.8074553429767897E-3</v>
      </c>
      <c r="BO178" s="30">
        <f t="shared" si="142"/>
        <v>-2.705443236098537E-2</v>
      </c>
      <c r="BP178" s="30"/>
      <c r="BQ178" s="30" t="e">
        <f t="shared" si="149"/>
        <v>#DIV/0!</v>
      </c>
      <c r="BR178" s="30" t="e">
        <f t="shared" si="150"/>
        <v>#DIV/0!</v>
      </c>
      <c r="BS178" s="30" t="e">
        <f t="shared" si="151"/>
        <v>#DIV/0!</v>
      </c>
      <c r="BT178" s="30" t="e">
        <f t="shared" si="152"/>
        <v>#DIV/0!</v>
      </c>
      <c r="BU178" s="30" t="e">
        <f t="shared" si="153"/>
        <v>#DIV/0!</v>
      </c>
      <c r="BV178" s="62">
        <f t="shared" si="154"/>
        <v>3.2222195517842687E-2</v>
      </c>
      <c r="BW178" s="30" t="e">
        <f t="shared" si="155"/>
        <v>#DIV/0!</v>
      </c>
      <c r="BX178" s="30"/>
    </row>
    <row r="179" spans="2:76">
      <c r="B179" t="str">
        <f t="shared" si="115"/>
        <v>2020</v>
      </c>
      <c r="C179" s="54">
        <v>202019</v>
      </c>
      <c r="D179" s="54"/>
      <c r="E179" s="54"/>
      <c r="F179" s="54"/>
      <c r="G179" s="29">
        <f t="shared" si="143"/>
        <v>1089758</v>
      </c>
      <c r="H179" s="29">
        <v>480850</v>
      </c>
      <c r="I179" s="69">
        <v>608908</v>
      </c>
      <c r="J179" s="70">
        <v>791281</v>
      </c>
      <c r="K179" s="70">
        <v>173799</v>
      </c>
      <c r="L179" s="70">
        <v>124678</v>
      </c>
      <c r="M179" s="29">
        <v>931374.14988491603</v>
      </c>
      <c r="N179" s="29">
        <f t="shared" si="135"/>
        <v>21147698</v>
      </c>
      <c r="O179" s="29">
        <v>15239480.03692729</v>
      </c>
      <c r="P179" s="70">
        <v>21178872</v>
      </c>
      <c r="Q179" s="29">
        <v>1981020</v>
      </c>
      <c r="R179" s="20">
        <v>153422562.5399915</v>
      </c>
      <c r="S179" s="19">
        <v>64139801</v>
      </c>
      <c r="T179" s="62">
        <f t="shared" si="132"/>
        <v>3.0885970475648967E-2</v>
      </c>
      <c r="U179" s="25">
        <f t="shared" si="133"/>
        <v>77.44624614592054</v>
      </c>
      <c r="V179" s="30">
        <v>0.497</v>
      </c>
      <c r="W179" s="30"/>
      <c r="X179" s="30"/>
      <c r="Y179" s="30"/>
      <c r="Z179" s="30"/>
      <c r="AA179" s="30">
        <v>0.497</v>
      </c>
      <c r="AB179" s="30">
        <v>0.39</v>
      </c>
      <c r="AC179" s="30">
        <v>0.158</v>
      </c>
      <c r="AD179" s="30">
        <v>0.437</v>
      </c>
      <c r="AE179" s="30">
        <f t="shared" si="144"/>
        <v>0.11100000000000004</v>
      </c>
      <c r="AF179" s="30">
        <v>0.69899999999999995</v>
      </c>
      <c r="AG179" s="30"/>
      <c r="AH179" s="30"/>
      <c r="AI179" s="30">
        <v>0.69899999999999995</v>
      </c>
      <c r="AJ179" s="30">
        <v>0.6</v>
      </c>
      <c r="AK179" s="30">
        <v>0.29199999999999998</v>
      </c>
      <c r="AL179" s="30">
        <v>0.63600000000000001</v>
      </c>
      <c r="AM179" s="30">
        <f t="shared" si="145"/>
        <v>0.25599999999999989</v>
      </c>
      <c r="AN179" s="66">
        <v>0.36099999999999999</v>
      </c>
      <c r="AO179" s="30">
        <v>0.26800000000000002</v>
      </c>
      <c r="AP179" s="30">
        <v>0.1</v>
      </c>
      <c r="AQ179" s="30">
        <v>0.307</v>
      </c>
      <c r="AR179" s="30">
        <f t="shared" si="146"/>
        <v>6.0999999999999999E-2</v>
      </c>
      <c r="AS179" s="66">
        <v>0.219</v>
      </c>
      <c r="AT179" s="66">
        <v>0.153</v>
      </c>
      <c r="AU179" s="66">
        <v>5.7000000000000002E-2</v>
      </c>
      <c r="AV179" s="66">
        <v>0.182</v>
      </c>
      <c r="AW179" s="66">
        <f t="shared" si="147"/>
        <v>2.7999999999999997E-2</v>
      </c>
      <c r="AX179" s="66">
        <v>0.76200000000000001</v>
      </c>
      <c r="AY179" s="66">
        <v>0.38700000000000001</v>
      </c>
      <c r="AZ179" s="66">
        <v>0.872</v>
      </c>
      <c r="BA179" s="66">
        <f t="shared" si="148"/>
        <v>0.27700000000000002</v>
      </c>
      <c r="BB179" s="62">
        <f t="shared" si="134"/>
        <v>5.1454959452042585E-2</v>
      </c>
      <c r="BC179" s="29"/>
      <c r="BD179" s="29"/>
      <c r="BE179" s="29"/>
      <c r="BF179" s="29"/>
      <c r="BG179" s="29"/>
      <c r="BH179" s="29"/>
      <c r="BI179" s="30">
        <f t="shared" si="136"/>
        <v>-4.6361498752556352E-2</v>
      </c>
      <c r="BJ179" s="30">
        <f t="shared" si="137"/>
        <v>2.1459607512902767E-2</v>
      </c>
      <c r="BK179" s="30">
        <f t="shared" si="138"/>
        <v>-3.4244251349411892E-2</v>
      </c>
      <c r="BL179" s="30">
        <f t="shared" si="139"/>
        <v>-3.1647796787604654E-2</v>
      </c>
      <c r="BM179" s="30">
        <f t="shared" si="140"/>
        <v>7.5374053742092162E-3</v>
      </c>
      <c r="BN179" s="62">
        <f t="shared" si="141"/>
        <v>-1.3362250421937207E-3</v>
      </c>
      <c r="BO179" s="30">
        <f t="shared" si="142"/>
        <v>2.6885209489408979E-3</v>
      </c>
      <c r="BP179" s="30"/>
      <c r="BQ179" s="30" t="e">
        <f t="shared" si="149"/>
        <v>#DIV/0!</v>
      </c>
      <c r="BR179" s="30" t="e">
        <f t="shared" si="150"/>
        <v>#DIV/0!</v>
      </c>
      <c r="BS179" s="30" t="e">
        <f t="shared" si="151"/>
        <v>#DIV/0!</v>
      </c>
      <c r="BT179" s="30" t="e">
        <f t="shared" si="152"/>
        <v>#DIV/0!</v>
      </c>
      <c r="BU179" s="30" t="e">
        <f t="shared" si="153"/>
        <v>#DIV/0!</v>
      </c>
      <c r="BV179" s="62">
        <f t="shared" si="154"/>
        <v>3.0885970475648967E-2</v>
      </c>
      <c r="BW179" s="30" t="e">
        <f t="shared" si="155"/>
        <v>#DIV/0!</v>
      </c>
      <c r="BX179" s="30"/>
    </row>
    <row r="180" spans="2:76">
      <c r="B180" t="str">
        <f t="shared" si="115"/>
        <v>2020</v>
      </c>
      <c r="C180" s="54">
        <v>202020</v>
      </c>
      <c r="D180" s="54"/>
      <c r="E180" s="54"/>
      <c r="F180" s="54"/>
      <c r="G180" s="29">
        <f t="shared" si="143"/>
        <v>1118439</v>
      </c>
      <c r="H180" s="29">
        <v>498779</v>
      </c>
      <c r="I180" s="69">
        <v>619660</v>
      </c>
      <c r="J180" s="70">
        <v>798147</v>
      </c>
      <c r="K180" s="70">
        <v>142252</v>
      </c>
      <c r="L180" s="70">
        <v>178040</v>
      </c>
      <c r="M180" s="29">
        <v>945171.77340491593</v>
      </c>
      <c r="N180" s="29">
        <f t="shared" si="135"/>
        <v>22266137</v>
      </c>
      <c r="O180" s="29">
        <v>16184651.810332211</v>
      </c>
      <c r="P180" s="29">
        <v>21541562</v>
      </c>
      <c r="Q180" s="29">
        <v>1917506</v>
      </c>
      <c r="R180" s="20">
        <v>146414902.15999231</v>
      </c>
      <c r="S180" s="19">
        <v>63559188</v>
      </c>
      <c r="T180" s="62">
        <f t="shared" si="132"/>
        <v>3.0168824686684165E-2</v>
      </c>
      <c r="U180" s="25">
        <f t="shared" si="133"/>
        <v>76.356946033020137</v>
      </c>
      <c r="V180" s="30">
        <v>0.49</v>
      </c>
      <c r="W180" s="30"/>
      <c r="X180" s="30"/>
      <c r="Y180" s="30"/>
      <c r="Z180" s="30"/>
      <c r="AA180" s="30">
        <v>0.49</v>
      </c>
      <c r="AB180" s="30">
        <v>0.39100000000000001</v>
      </c>
      <c r="AC180" s="30">
        <v>0.14199999999999999</v>
      </c>
      <c r="AD180" s="30">
        <v>0.42899999999999999</v>
      </c>
      <c r="AE180" s="30">
        <f t="shared" si="144"/>
        <v>0.10400000000000004</v>
      </c>
      <c r="AF180" s="67">
        <v>0.67900000000000005</v>
      </c>
      <c r="AG180" s="67"/>
      <c r="AH180" s="67"/>
      <c r="AI180" s="67">
        <v>0.67900000000000005</v>
      </c>
      <c r="AJ180" s="67">
        <v>0.59299999999999997</v>
      </c>
      <c r="AK180" s="67">
        <v>0.27</v>
      </c>
      <c r="AL180" s="67">
        <v>0.624</v>
      </c>
      <c r="AM180" s="67">
        <f t="shared" si="145"/>
        <v>0.23899999999999999</v>
      </c>
      <c r="AN180" s="71">
        <v>0.34899999999999998</v>
      </c>
      <c r="AO180" s="71">
        <v>0.26400000000000001</v>
      </c>
      <c r="AP180" s="71">
        <v>8.9200000000000002E-2</v>
      </c>
      <c r="AQ180" s="71">
        <v>0.29699999999999999</v>
      </c>
      <c r="AR180" s="66">
        <f t="shared" si="146"/>
        <v>5.6200000000000028E-2</v>
      </c>
      <c r="AS180" s="71">
        <v>0.20799999999999999</v>
      </c>
      <c r="AT180" s="71">
        <v>0.14699999999999999</v>
      </c>
      <c r="AU180" s="71">
        <v>4.99E-2</v>
      </c>
      <c r="AV180" s="71">
        <v>0.17199999999999999</v>
      </c>
      <c r="AW180" s="66">
        <f t="shared" si="147"/>
        <v>2.4900000000000005E-2</v>
      </c>
      <c r="AX180" s="71">
        <v>0.75</v>
      </c>
      <c r="AY180" s="71">
        <v>0.34799999999999998</v>
      </c>
      <c r="AZ180" s="71">
        <v>0.84699999999999998</v>
      </c>
      <c r="BA180" s="66">
        <f t="shared" si="148"/>
        <v>0.25099999999999989</v>
      </c>
      <c r="BB180" s="62">
        <f t="shared" si="134"/>
        <v>5.1920051108642909E-2</v>
      </c>
      <c r="BC180" s="29"/>
      <c r="BD180" s="29"/>
      <c r="BE180" s="29"/>
      <c r="BF180" s="29"/>
      <c r="BG180" s="29"/>
      <c r="BH180" s="29"/>
      <c r="BI180" s="30">
        <f t="shared" si="136"/>
        <v>2.6318687268182428E-2</v>
      </c>
      <c r="BJ180" s="30">
        <f t="shared" si="137"/>
        <v>1.7125085793048944E-2</v>
      </c>
      <c r="BK180" s="30">
        <f t="shared" si="138"/>
        <v>-3.2061261370405103E-2</v>
      </c>
      <c r="BL180" s="30">
        <f t="shared" si="139"/>
        <v>-4.5675552956381815E-2</v>
      </c>
      <c r="BM180" s="30">
        <f t="shared" si="140"/>
        <v>-9.0523043562296124E-3</v>
      </c>
      <c r="BN180" s="62">
        <f t="shared" si="141"/>
        <v>-7.1714578896480211E-4</v>
      </c>
      <c r="BO180" s="30">
        <f t="shared" si="142"/>
        <v>-1.4065240952389035E-2</v>
      </c>
      <c r="BP180" s="30"/>
      <c r="BQ180" s="30" t="e">
        <f t="shared" si="149"/>
        <v>#DIV/0!</v>
      </c>
      <c r="BR180" s="30" t="e">
        <f t="shared" si="150"/>
        <v>#DIV/0!</v>
      </c>
      <c r="BS180" s="30" t="e">
        <f t="shared" si="151"/>
        <v>#DIV/0!</v>
      </c>
      <c r="BT180" s="30" t="e">
        <f t="shared" si="152"/>
        <v>#DIV/0!</v>
      </c>
      <c r="BU180" s="30" t="e">
        <f t="shared" si="153"/>
        <v>#DIV/0!</v>
      </c>
      <c r="BV180" s="62">
        <f t="shared" si="154"/>
        <v>3.0168824686684165E-2</v>
      </c>
      <c r="BW180" s="30" t="e">
        <f t="shared" si="155"/>
        <v>#DIV/0!</v>
      </c>
      <c r="BX180" s="30"/>
    </row>
    <row r="181" spans="2:76">
      <c r="B181" t="str">
        <f t="shared" si="115"/>
        <v>2020</v>
      </c>
      <c r="C181" s="54">
        <v>202021</v>
      </c>
      <c r="D181" s="54"/>
      <c r="E181" s="54"/>
      <c r="F181" s="54"/>
      <c r="G181" s="29">
        <f t="shared" si="143"/>
        <v>1083352</v>
      </c>
      <c r="H181" s="29">
        <v>481511</v>
      </c>
      <c r="I181" s="69">
        <v>601841</v>
      </c>
      <c r="J181" s="70">
        <v>769193</v>
      </c>
      <c r="K181" s="70">
        <v>129478</v>
      </c>
      <c r="L181" s="70">
        <v>184681</v>
      </c>
      <c r="M181" s="29">
        <v>942563.98497491598</v>
      </c>
      <c r="N181" s="29">
        <f t="shared" si="135"/>
        <v>23349489</v>
      </c>
      <c r="O181" s="29">
        <v>17127215.795307118</v>
      </c>
      <c r="P181" s="29">
        <v>21927535</v>
      </c>
      <c r="Q181" s="29">
        <v>1902906</v>
      </c>
      <c r="R181" s="20">
        <v>145315103.78002489</v>
      </c>
      <c r="S181" s="19">
        <v>64122502</v>
      </c>
      <c r="T181" s="62">
        <f t="shared" si="132"/>
        <v>2.9676103405946324E-2</v>
      </c>
      <c r="U181" s="25">
        <f t="shared" si="133"/>
        <v>76.364835562042941</v>
      </c>
      <c r="V181" s="30">
        <v>0.48799999999999999</v>
      </c>
      <c r="W181" s="30"/>
      <c r="X181" s="30"/>
      <c r="Y181" s="30"/>
      <c r="Z181" s="30"/>
      <c r="AA181" s="30">
        <v>0.48799999999999999</v>
      </c>
      <c r="AB181" s="30">
        <v>0.38100000000000001</v>
      </c>
      <c r="AC181" s="30">
        <v>0.14499999999999999</v>
      </c>
      <c r="AD181" s="30">
        <v>0.42</v>
      </c>
      <c r="AE181" s="30">
        <f t="shared" si="144"/>
        <v>0.10600000000000004</v>
      </c>
      <c r="AF181" s="67">
        <v>0.66800000000000004</v>
      </c>
      <c r="AG181" s="67"/>
      <c r="AH181" s="67"/>
      <c r="AI181" s="67">
        <v>0.66800000000000004</v>
      </c>
      <c r="AJ181" s="67">
        <v>0.58199999999999996</v>
      </c>
      <c r="AK181" s="67">
        <v>0.26900000000000002</v>
      </c>
      <c r="AL181" s="67">
        <v>0.61299999999999999</v>
      </c>
      <c r="AM181" s="67">
        <f t="shared" si="145"/>
        <v>0.23799999999999999</v>
      </c>
      <c r="AN181" s="71">
        <v>0.35499999999999998</v>
      </c>
      <c r="AO181" s="71">
        <v>0.26800000000000002</v>
      </c>
      <c r="AP181" s="71">
        <v>8.7599999999999997E-2</v>
      </c>
      <c r="AQ181" s="71">
        <v>0.30099999999999999</v>
      </c>
      <c r="AR181" s="66">
        <f t="shared" si="146"/>
        <v>5.4600000000000037E-2</v>
      </c>
      <c r="AS181" s="71">
        <v>0.21199999999999999</v>
      </c>
      <c r="AT181" s="71">
        <v>0.15</v>
      </c>
      <c r="AU181" s="71">
        <v>4.9700000000000001E-2</v>
      </c>
      <c r="AV181" s="71">
        <v>0.17399999999999999</v>
      </c>
      <c r="AW181" s="66">
        <f t="shared" si="147"/>
        <v>2.5700000000000001E-2</v>
      </c>
      <c r="AX181" s="71">
        <v>0.73799999999999999</v>
      </c>
      <c r="AY181" s="71">
        <v>0.34399999999999997</v>
      </c>
      <c r="AZ181" s="71">
        <v>0.83499999999999996</v>
      </c>
      <c r="BA181" s="66">
        <f t="shared" si="148"/>
        <v>0.24699999999999989</v>
      </c>
      <c r="BB181" s="62">
        <f t="shared" si="134"/>
        <v>4.9406009385003835E-2</v>
      </c>
      <c r="BC181" s="29"/>
      <c r="BD181" s="29"/>
      <c r="BE181" s="29"/>
      <c r="BF181" s="29"/>
      <c r="BG181" s="29"/>
      <c r="BH181" s="29"/>
      <c r="BI181" s="30">
        <f t="shared" si="136"/>
        <v>-3.1371402463612252E-2</v>
      </c>
      <c r="BJ181" s="30">
        <f t="shared" si="137"/>
        <v>1.7917595762090066E-2</v>
      </c>
      <c r="BK181" s="30">
        <f t="shared" si="138"/>
        <v>-7.6140570094695992E-3</v>
      </c>
      <c r="BL181" s="30">
        <f t="shared" si="139"/>
        <v>-7.5115194132742147E-3</v>
      </c>
      <c r="BM181" s="30">
        <f t="shared" si="140"/>
        <v>8.8628256232599067E-3</v>
      </c>
      <c r="BN181" s="62">
        <f t="shared" si="141"/>
        <v>-4.9272128073784074E-4</v>
      </c>
      <c r="BO181" s="30">
        <f t="shared" si="142"/>
        <v>1.03324313408093E-4</v>
      </c>
      <c r="BP181" s="30"/>
      <c r="BQ181" s="30" t="e">
        <f t="shared" si="149"/>
        <v>#DIV/0!</v>
      </c>
      <c r="BR181" s="30" t="e">
        <f t="shared" si="150"/>
        <v>#DIV/0!</v>
      </c>
      <c r="BS181" s="30" t="e">
        <f t="shared" si="151"/>
        <v>#DIV/0!</v>
      </c>
      <c r="BT181" s="30" t="e">
        <f t="shared" si="152"/>
        <v>#DIV/0!</v>
      </c>
      <c r="BU181" s="30" t="e">
        <f t="shared" si="153"/>
        <v>#DIV/0!</v>
      </c>
      <c r="BV181" s="62">
        <f t="shared" si="154"/>
        <v>2.9676103405946324E-2</v>
      </c>
      <c r="BW181" s="30" t="e">
        <f t="shared" si="155"/>
        <v>#DIV/0!</v>
      </c>
      <c r="BX181" s="30"/>
    </row>
    <row r="182" spans="2:76">
      <c r="B182" t="str">
        <f t="shared" si="115"/>
        <v>2020</v>
      </c>
      <c r="C182" s="54">
        <v>202022</v>
      </c>
      <c r="D182" s="54"/>
      <c r="E182" s="54"/>
      <c r="F182" s="54"/>
      <c r="G182" s="29">
        <f t="shared" si="143"/>
        <v>1103000</v>
      </c>
      <c r="H182" s="29">
        <v>488688</v>
      </c>
      <c r="I182" s="69">
        <v>614312</v>
      </c>
      <c r="J182" s="70">
        <v>786115</v>
      </c>
      <c r="K182" s="70">
        <v>133164</v>
      </c>
      <c r="L182" s="70">
        <v>183721</v>
      </c>
      <c r="M182" s="29">
        <v>893245.49313052802</v>
      </c>
      <c r="N182" s="29">
        <f t="shared" si="135"/>
        <v>24452489</v>
      </c>
      <c r="O182" s="29">
        <v>18020461.28843765</v>
      </c>
      <c r="P182" s="29">
        <v>22248368</v>
      </c>
      <c r="Q182" s="29">
        <v>1921203</v>
      </c>
      <c r="R182" s="20">
        <v>147563606.91999209</v>
      </c>
      <c r="S182" s="19">
        <v>63108783</v>
      </c>
      <c r="T182" s="62">
        <f t="shared" si="132"/>
        <v>3.0442719835050536E-2</v>
      </c>
      <c r="U182" s="25">
        <f t="shared" si="133"/>
        <v>76.807920308261075</v>
      </c>
      <c r="V182" s="30">
        <v>0.46700000000000003</v>
      </c>
      <c r="W182" s="30"/>
      <c r="X182" s="30"/>
      <c r="Y182" s="30"/>
      <c r="Z182" s="30"/>
      <c r="AA182" s="30">
        <v>0.46700000000000003</v>
      </c>
      <c r="AB182" s="30">
        <v>0.36599999999999999</v>
      </c>
      <c r="AC182" s="30">
        <v>0.152</v>
      </c>
      <c r="AD182" s="30">
        <v>0.41</v>
      </c>
      <c r="AE182" s="30">
        <f t="shared" si="144"/>
        <v>0.10800000000000004</v>
      </c>
      <c r="AF182" s="30">
        <v>0.66200000000000003</v>
      </c>
      <c r="AG182" s="30"/>
      <c r="AH182" s="30"/>
      <c r="AI182" s="30">
        <v>0.66200000000000003</v>
      </c>
      <c r="AJ182" s="30">
        <v>0.57299999999999995</v>
      </c>
      <c r="AK182" s="30">
        <v>0.28499999999999998</v>
      </c>
      <c r="AL182" s="30">
        <v>0.60699999999999998</v>
      </c>
      <c r="AM182" s="30">
        <f t="shared" si="145"/>
        <v>0.25099999999999989</v>
      </c>
      <c r="AN182" s="66">
        <v>0.35099999999999998</v>
      </c>
      <c r="AO182" s="66">
        <v>0.251</v>
      </c>
      <c r="AP182" s="66">
        <v>9.8100000000000007E-2</v>
      </c>
      <c r="AQ182" s="66">
        <v>0.28999999999999998</v>
      </c>
      <c r="AR182" s="66">
        <f t="shared" si="146"/>
        <v>5.9100000000000041E-2</v>
      </c>
      <c r="AS182" s="66">
        <v>0.214</v>
      </c>
      <c r="AT182" s="66">
        <v>0.14199999999999999</v>
      </c>
      <c r="AU182" s="66">
        <v>5.6899999999999999E-2</v>
      </c>
      <c r="AV182" s="66">
        <v>0.17100000000000001</v>
      </c>
      <c r="AW182" s="66">
        <f t="shared" si="147"/>
        <v>2.789999999999998E-2</v>
      </c>
      <c r="AX182" s="66">
        <v>0.71199999999999997</v>
      </c>
      <c r="AY182" s="66">
        <v>0.36</v>
      </c>
      <c r="AZ182" s="66">
        <v>0.81799999999999995</v>
      </c>
      <c r="BA182" s="66">
        <f t="shared" si="148"/>
        <v>0.25400000000000011</v>
      </c>
      <c r="BB182" s="62">
        <f t="shared" si="134"/>
        <v>4.957667007305884E-2</v>
      </c>
      <c r="BC182" s="29"/>
      <c r="BD182" s="29"/>
      <c r="BE182" s="29"/>
      <c r="BF182" s="29"/>
      <c r="BG182" s="29"/>
      <c r="BH182" s="29"/>
      <c r="BI182" s="30">
        <f t="shared" si="136"/>
        <v>1.8136302882165722E-2</v>
      </c>
      <c r="BJ182" s="30">
        <f t="shared" si="137"/>
        <v>1.463151238841931E-2</v>
      </c>
      <c r="BK182" s="30">
        <f t="shared" si="138"/>
        <v>9.6152936613789208E-3</v>
      </c>
      <c r="BL182" s="30">
        <f t="shared" si="139"/>
        <v>1.5473292737490985E-2</v>
      </c>
      <c r="BM182" s="30">
        <f t="shared" si="140"/>
        <v>-1.5809099276881011E-2</v>
      </c>
      <c r="BN182" s="62">
        <f t="shared" si="141"/>
        <v>7.6661642910421171E-4</v>
      </c>
      <c r="BO182" s="30">
        <f t="shared" si="142"/>
        <v>5.8022091314287039E-3</v>
      </c>
      <c r="BP182" s="30"/>
      <c r="BQ182" s="30" t="e">
        <f t="shared" si="149"/>
        <v>#DIV/0!</v>
      </c>
      <c r="BR182" s="30" t="e">
        <f t="shared" si="150"/>
        <v>#DIV/0!</v>
      </c>
      <c r="BS182" s="30" t="e">
        <f t="shared" si="151"/>
        <v>#DIV/0!</v>
      </c>
      <c r="BT182" s="30" t="e">
        <f t="shared" si="152"/>
        <v>#DIV/0!</v>
      </c>
      <c r="BU182" s="30" t="e">
        <f t="shared" si="153"/>
        <v>#DIV/0!</v>
      </c>
      <c r="BV182" s="62">
        <f t="shared" si="154"/>
        <v>3.0442719835050536E-2</v>
      </c>
      <c r="BW182" s="30" t="e">
        <f t="shared" si="155"/>
        <v>#DIV/0!</v>
      </c>
      <c r="BX182" s="30"/>
    </row>
    <row r="183" spans="2:76">
      <c r="B183" t="str">
        <f t="shared" si="115"/>
        <v>2020</v>
      </c>
      <c r="C183" s="54">
        <v>202023</v>
      </c>
      <c r="D183" s="54"/>
      <c r="E183" s="54"/>
      <c r="F183" s="54"/>
      <c r="G183" s="29">
        <f t="shared" si="143"/>
        <v>991635</v>
      </c>
      <c r="H183" s="29">
        <v>439376</v>
      </c>
      <c r="I183" s="69">
        <v>552259</v>
      </c>
      <c r="J183" s="70">
        <v>790052</v>
      </c>
      <c r="K183" s="70">
        <v>102580</v>
      </c>
      <c r="L183" s="70">
        <v>99003</v>
      </c>
      <c r="M183" s="29">
        <v>734952.98259509937</v>
      </c>
      <c r="N183" s="29">
        <f t="shared" si="135"/>
        <v>25444124</v>
      </c>
      <c r="O183" s="29">
        <v>18755414.271032751</v>
      </c>
      <c r="P183" s="29">
        <v>21163452</v>
      </c>
      <c r="Q183" s="29">
        <v>1812059</v>
      </c>
      <c r="R183" s="20">
        <v>137363551</v>
      </c>
      <c r="S183" s="29">
        <v>59103396</v>
      </c>
      <c r="T183" s="72">
        <f t="shared" si="132"/>
        <v>3.0659135052070442E-2</v>
      </c>
      <c r="U183" s="25">
        <f t="shared" si="133"/>
        <v>75.805230955504214</v>
      </c>
      <c r="V183" s="30">
        <v>0.49099999999999999</v>
      </c>
      <c r="W183" s="30"/>
      <c r="X183" s="30"/>
      <c r="Y183" s="30"/>
      <c r="Z183" s="30"/>
      <c r="AA183" s="30">
        <v>0.49099999999999999</v>
      </c>
      <c r="AB183" s="30">
        <v>0.38600000000000001</v>
      </c>
      <c r="AC183" s="30">
        <v>0.16200000000000001</v>
      </c>
      <c r="AD183" s="30">
        <v>0.432</v>
      </c>
      <c r="AE183" s="30">
        <f t="shared" si="144"/>
        <v>0.11600000000000005</v>
      </c>
      <c r="AF183" s="30">
        <v>0.66800000000000004</v>
      </c>
      <c r="AG183" s="30"/>
      <c r="AH183" s="30"/>
      <c r="AI183" s="30">
        <v>0.66800000000000004</v>
      </c>
      <c r="AJ183" s="30">
        <v>0.57899999999999996</v>
      </c>
      <c r="AK183" s="30">
        <v>0.30099999999999999</v>
      </c>
      <c r="AL183" s="30">
        <v>0.61399999999999999</v>
      </c>
      <c r="AM183" s="30">
        <f t="shared" si="145"/>
        <v>0.2659999999999999</v>
      </c>
      <c r="AN183" s="66">
        <v>0.35199999999999998</v>
      </c>
      <c r="AO183" s="66">
        <v>0.25600000000000001</v>
      </c>
      <c r="AP183" s="66">
        <v>9.98E-2</v>
      </c>
      <c r="AQ183" s="66">
        <v>0.29499999999999998</v>
      </c>
      <c r="AR183" s="66">
        <f t="shared" si="146"/>
        <v>6.0800000000000021E-2</v>
      </c>
      <c r="AS183" s="66">
        <v>0.215</v>
      </c>
      <c r="AT183" s="66">
        <v>0.14599999999999999</v>
      </c>
      <c r="AU183" s="66">
        <v>6.0100000000000001E-2</v>
      </c>
      <c r="AV183" s="66">
        <v>0.17699999999999999</v>
      </c>
      <c r="AW183" s="66">
        <f t="shared" si="147"/>
        <v>2.9100000000000015E-2</v>
      </c>
      <c r="AX183" s="66">
        <v>0.68899999999999995</v>
      </c>
      <c r="AY183" s="66">
        <v>0.35799999999999998</v>
      </c>
      <c r="AZ183" s="66">
        <v>0.79300000000000004</v>
      </c>
      <c r="BA183" s="66">
        <f t="shared" si="148"/>
        <v>0.25399999999999989</v>
      </c>
      <c r="BB183" s="62">
        <f t="shared" si="134"/>
        <v>4.6856013848780437E-2</v>
      </c>
      <c r="BC183" s="29"/>
      <c r="BD183" s="29"/>
      <c r="BE183" s="29"/>
      <c r="BF183" s="29"/>
      <c r="BG183" s="29"/>
      <c r="BH183" s="29"/>
      <c r="BI183" s="30">
        <f t="shared" si="136"/>
        <v>-0.10096554850407979</v>
      </c>
      <c r="BJ183" s="30">
        <f t="shared" si="137"/>
        <v>-4.8763846408869216E-2</v>
      </c>
      <c r="BK183" s="30">
        <f t="shared" si="138"/>
        <v>-5.6810238168480853E-2</v>
      </c>
      <c r="BL183" s="30">
        <f t="shared" si="139"/>
        <v>-6.9123113299354944E-2</v>
      </c>
      <c r="BM183" s="30">
        <f t="shared" si="140"/>
        <v>-6.3467980360198073E-2</v>
      </c>
      <c r="BN183" s="62">
        <f t="shared" si="141"/>
        <v>2.1641521701990657E-4</v>
      </c>
      <c r="BO183" s="30">
        <f t="shared" si="142"/>
        <v>-1.3054504649164578E-2</v>
      </c>
      <c r="BP183" s="30"/>
      <c r="BQ183" s="30" t="e">
        <f t="shared" si="149"/>
        <v>#DIV/0!</v>
      </c>
      <c r="BR183" s="30" t="e">
        <f t="shared" si="150"/>
        <v>#DIV/0!</v>
      </c>
      <c r="BS183" s="30" t="e">
        <f t="shared" si="151"/>
        <v>#DIV/0!</v>
      </c>
      <c r="BT183" s="30" t="e">
        <f t="shared" si="152"/>
        <v>#DIV/0!</v>
      </c>
      <c r="BU183" s="30" t="e">
        <f t="shared" si="153"/>
        <v>#DIV/0!</v>
      </c>
      <c r="BV183" s="62">
        <f t="shared" si="154"/>
        <v>3.0659135052070442E-2</v>
      </c>
      <c r="BW183" s="30" t="e">
        <f t="shared" si="155"/>
        <v>#DIV/0!</v>
      </c>
      <c r="BX183" s="30"/>
    </row>
    <row r="184" spans="2:76">
      <c r="B184" t="str">
        <f t="shared" si="115"/>
        <v>2020</v>
      </c>
      <c r="C184" s="54">
        <v>202024</v>
      </c>
      <c r="D184" s="54"/>
      <c r="E184" s="54"/>
      <c r="F184" s="54"/>
      <c r="G184" s="29">
        <f t="shared" si="143"/>
        <v>1043577</v>
      </c>
      <c r="H184" s="29">
        <v>457564</v>
      </c>
      <c r="I184" s="69">
        <v>586013</v>
      </c>
      <c r="J184" s="70">
        <v>868525</v>
      </c>
      <c r="K184" s="29">
        <v>107169</v>
      </c>
      <c r="L184" s="29">
        <v>67883</v>
      </c>
      <c r="M184" s="29">
        <v>784893.54208209924</v>
      </c>
      <c r="N184" s="29">
        <f t="shared" si="135"/>
        <v>26487701</v>
      </c>
      <c r="O184" s="29">
        <v>19540307.813114852</v>
      </c>
      <c r="P184" s="29">
        <v>21611931</v>
      </c>
      <c r="Q184" s="29">
        <v>1906617</v>
      </c>
      <c r="R184" s="20">
        <v>146271046</v>
      </c>
      <c r="S184" s="29">
        <v>61406150</v>
      </c>
      <c r="T184" s="72">
        <f t="shared" si="132"/>
        <v>3.1049284151505999E-2</v>
      </c>
      <c r="U184" s="25">
        <f t="shared" si="133"/>
        <v>76.717581978971126</v>
      </c>
      <c r="V184" s="30">
        <v>0.505</v>
      </c>
      <c r="W184" s="30"/>
      <c r="X184" s="30"/>
      <c r="Y184" s="30"/>
      <c r="Z184" s="30"/>
      <c r="AA184" s="30">
        <v>0.505</v>
      </c>
      <c r="AB184" s="30">
        <v>0.39400000000000002</v>
      </c>
      <c r="AC184" s="30">
        <v>0.17399999999999999</v>
      </c>
      <c r="AD184" s="30">
        <v>0.44400000000000001</v>
      </c>
      <c r="AE184" s="30">
        <f t="shared" si="144"/>
        <v>0.12400000000000005</v>
      </c>
      <c r="AF184" s="30">
        <v>0.68500000000000005</v>
      </c>
      <c r="AG184" s="30"/>
      <c r="AH184" s="30"/>
      <c r="AI184" s="30">
        <v>0.68500000000000005</v>
      </c>
      <c r="AJ184" s="30">
        <v>0.59099999999999997</v>
      </c>
      <c r="AK184" s="30">
        <v>0.32100000000000001</v>
      </c>
      <c r="AL184" s="30">
        <v>0.629</v>
      </c>
      <c r="AM184" s="30">
        <f t="shared" si="145"/>
        <v>0.28299999999999992</v>
      </c>
      <c r="AN184" s="66">
        <v>0.372</v>
      </c>
      <c r="AO184" s="66">
        <v>0.27100000000000002</v>
      </c>
      <c r="AP184" s="66">
        <v>0.113</v>
      </c>
      <c r="AQ184" s="66">
        <v>0.316</v>
      </c>
      <c r="AR184" s="66">
        <f t="shared" si="146"/>
        <v>6.8000000000000005E-2</v>
      </c>
      <c r="AS184" s="66">
        <v>0.22900000000000001</v>
      </c>
      <c r="AT184" s="66">
        <v>0.154</v>
      </c>
      <c r="AU184" s="66">
        <v>6.6500000000000004E-2</v>
      </c>
      <c r="AV184" s="66">
        <v>0.189</v>
      </c>
      <c r="AW184" s="66">
        <f t="shared" si="147"/>
        <v>3.15E-2</v>
      </c>
      <c r="AX184" s="66">
        <v>0.73299999999999998</v>
      </c>
      <c r="AY184" s="66">
        <v>0.38500000000000001</v>
      </c>
      <c r="AZ184" s="66">
        <v>0.83799999999999997</v>
      </c>
      <c r="BA184" s="66">
        <f t="shared" si="148"/>
        <v>0.27999999999999992</v>
      </c>
      <c r="BB184" s="62">
        <f t="shared" si="134"/>
        <v>4.8287078095890647E-2</v>
      </c>
      <c r="BC184" s="29"/>
      <c r="BD184" s="29"/>
      <c r="BE184" s="29"/>
      <c r="BF184" s="29"/>
      <c r="BG184" s="29"/>
      <c r="BH184" s="29"/>
      <c r="BI184" s="30">
        <f t="shared" si="136"/>
        <v>5.2380160038723922E-2</v>
      </c>
      <c r="BJ184" s="30">
        <f t="shared" si="137"/>
        <v>2.119120264501273E-2</v>
      </c>
      <c r="BK184" s="30">
        <f t="shared" si="138"/>
        <v>5.2182627607600063E-2</v>
      </c>
      <c r="BL184" s="30">
        <f t="shared" si="139"/>
        <v>6.4846132290217184E-2</v>
      </c>
      <c r="BM184" s="30">
        <f t="shared" si="140"/>
        <v>3.8961449863219366E-2</v>
      </c>
      <c r="BN184" s="62">
        <f t="shared" si="141"/>
        <v>3.9014909943555637E-4</v>
      </c>
      <c r="BO184" s="30">
        <f t="shared" si="142"/>
        <v>1.2035462618700254E-2</v>
      </c>
      <c r="BP184" s="30"/>
      <c r="BQ184" s="30" t="e">
        <f t="shared" si="149"/>
        <v>#DIV/0!</v>
      </c>
      <c r="BR184" s="30" t="e">
        <f t="shared" si="150"/>
        <v>#DIV/0!</v>
      </c>
      <c r="BS184" s="30" t="e">
        <f t="shared" si="151"/>
        <v>#DIV/0!</v>
      </c>
      <c r="BT184" s="30" t="e">
        <f t="shared" si="152"/>
        <v>#DIV/0!</v>
      </c>
      <c r="BU184" s="30" t="e">
        <f t="shared" si="153"/>
        <v>#DIV/0!</v>
      </c>
      <c r="BV184" s="62">
        <f t="shared" si="154"/>
        <v>3.1049284151505999E-2</v>
      </c>
      <c r="BW184" s="30" t="e">
        <f t="shared" si="155"/>
        <v>#DIV/0!</v>
      </c>
      <c r="BX184" s="30"/>
    </row>
    <row r="185" spans="2:76">
      <c r="B185" t="str">
        <f t="shared" si="115"/>
        <v>2020</v>
      </c>
      <c r="C185" s="54">
        <v>202025</v>
      </c>
      <c r="D185" s="54"/>
      <c r="E185" s="54"/>
      <c r="F185" s="54"/>
      <c r="G185" s="29">
        <f t="shared" si="143"/>
        <v>1063756</v>
      </c>
      <c r="H185" s="29">
        <v>459029</v>
      </c>
      <c r="I185" s="69">
        <v>604727</v>
      </c>
      <c r="J185" s="70">
        <v>898797</v>
      </c>
      <c r="K185" s="70">
        <v>102027</v>
      </c>
      <c r="L185" s="70">
        <v>62929</v>
      </c>
      <c r="M185" s="29">
        <v>715874.97993709939</v>
      </c>
      <c r="N185" s="29">
        <f t="shared" si="135"/>
        <v>27551457</v>
      </c>
      <c r="O185" s="29">
        <v>20256182.793051951</v>
      </c>
      <c r="P185" s="29">
        <v>21597926</v>
      </c>
      <c r="Q185" s="29">
        <v>1865746</v>
      </c>
      <c r="R185" s="20">
        <v>146597636.0500412</v>
      </c>
      <c r="S185" s="29">
        <v>61523687</v>
      </c>
      <c r="T185" s="72">
        <f t="shared" si="132"/>
        <v>3.0325653272372965E-2</v>
      </c>
      <c r="U185" s="25">
        <f t="shared" si="133"/>
        <v>78.573201309310704</v>
      </c>
      <c r="V185" s="30">
        <v>0.49299999999999999</v>
      </c>
      <c r="W185" s="30"/>
      <c r="X185" s="30"/>
      <c r="Y185" s="30"/>
      <c r="Z185" s="30"/>
      <c r="AA185" s="30">
        <v>0.49299999999999999</v>
      </c>
      <c r="AB185" s="30">
        <v>0.38200000000000001</v>
      </c>
      <c r="AC185" s="30">
        <v>0.18</v>
      </c>
      <c r="AD185" s="30">
        <v>0.433</v>
      </c>
      <c r="AE185" s="30">
        <f t="shared" si="144"/>
        <v>0.12900000000000006</v>
      </c>
      <c r="AF185" s="30">
        <v>0.67500000000000004</v>
      </c>
      <c r="AG185" s="30"/>
      <c r="AH185" s="30"/>
      <c r="AI185" s="30">
        <v>0.67500000000000004</v>
      </c>
      <c r="AJ185" s="30">
        <v>0.57999999999999996</v>
      </c>
      <c r="AK185" s="30">
        <v>0.32600000000000001</v>
      </c>
      <c r="AL185" s="30">
        <v>0.61899999999999999</v>
      </c>
      <c r="AM185" s="30">
        <f t="shared" si="145"/>
        <v>0.28699999999999992</v>
      </c>
      <c r="AN185" s="66">
        <v>0.36</v>
      </c>
      <c r="AO185" s="66">
        <v>0.26400000000000001</v>
      </c>
      <c r="AP185" s="66">
        <v>0.113</v>
      </c>
      <c r="AQ185" s="66">
        <v>0.307</v>
      </c>
      <c r="AR185" s="66">
        <f t="shared" si="146"/>
        <v>7.0000000000000007E-2</v>
      </c>
      <c r="AS185" s="66">
        <v>0.222</v>
      </c>
      <c r="AT185" s="66">
        <v>0.15</v>
      </c>
      <c r="AU185" s="66">
        <v>6.7299999999999999E-2</v>
      </c>
      <c r="AV185" s="66">
        <v>0.184</v>
      </c>
      <c r="AW185" s="66">
        <f t="shared" si="147"/>
        <v>3.3299999999999996E-2</v>
      </c>
      <c r="AX185" s="66">
        <v>0.71599999999999997</v>
      </c>
      <c r="AY185" s="66">
        <v>0.39500000000000002</v>
      </c>
      <c r="AZ185" s="66">
        <v>0.82799999999999996</v>
      </c>
      <c r="BA185" s="66">
        <f t="shared" si="148"/>
        <v>0.28300000000000003</v>
      </c>
      <c r="BB185" s="62">
        <f t="shared" si="134"/>
        <v>4.9252692133494667E-2</v>
      </c>
      <c r="BC185" s="29"/>
      <c r="BD185" s="29"/>
      <c r="BE185" s="29"/>
      <c r="BF185" s="29"/>
      <c r="BG185" s="29"/>
      <c r="BH185" s="29"/>
      <c r="BI185" s="30">
        <f t="shared" si="136"/>
        <v>1.9336378628505679E-2</v>
      </c>
      <c r="BJ185" s="30">
        <f t="shared" si="137"/>
        <v>-6.4802168765021317E-4</v>
      </c>
      <c r="BK185" s="30">
        <f t="shared" si="138"/>
        <v>-2.1436397556509723E-2</v>
      </c>
      <c r="BL185" s="30">
        <f t="shared" si="139"/>
        <v>2.232773053671977E-3</v>
      </c>
      <c r="BM185" s="30">
        <f t="shared" si="140"/>
        <v>1.9140916667141905E-3</v>
      </c>
      <c r="BN185" s="62">
        <f t="shared" si="141"/>
        <v>-7.2363087913303314E-4</v>
      </c>
      <c r="BO185" s="30">
        <f t="shared" si="142"/>
        <v>2.4187667057184115E-2</v>
      </c>
      <c r="BP185" s="30"/>
      <c r="BQ185" s="30" t="e">
        <f t="shared" si="149"/>
        <v>#DIV/0!</v>
      </c>
      <c r="BR185" s="30" t="e">
        <f t="shared" si="150"/>
        <v>#DIV/0!</v>
      </c>
      <c r="BS185" s="30" t="e">
        <f t="shared" si="151"/>
        <v>#DIV/0!</v>
      </c>
      <c r="BT185" s="30" t="e">
        <f t="shared" si="152"/>
        <v>#DIV/0!</v>
      </c>
      <c r="BU185" s="30" t="e">
        <f t="shared" si="153"/>
        <v>#DIV/0!</v>
      </c>
      <c r="BV185" s="62">
        <f t="shared" si="154"/>
        <v>3.0325653272372965E-2</v>
      </c>
      <c r="BW185" s="30" t="e">
        <f t="shared" si="155"/>
        <v>#DIV/0!</v>
      </c>
      <c r="BX185" s="30"/>
    </row>
    <row r="186" spans="2:76">
      <c r="B186" t="str">
        <f t="shared" si="115"/>
        <v>2020</v>
      </c>
      <c r="C186" s="54">
        <v>202026</v>
      </c>
      <c r="D186" s="54"/>
      <c r="E186" s="54"/>
      <c r="F186" s="54"/>
      <c r="G186" s="29">
        <f t="shared" si="143"/>
        <v>1016808</v>
      </c>
      <c r="H186" s="29">
        <v>449331</v>
      </c>
      <c r="I186" s="69">
        <v>567477</v>
      </c>
      <c r="J186" s="70">
        <v>851675</v>
      </c>
      <c r="K186" s="70">
        <v>91993</v>
      </c>
      <c r="L186" s="70">
        <v>73135</v>
      </c>
      <c r="M186" s="29">
        <v>723661.97082309937</v>
      </c>
      <c r="N186" s="29">
        <f t="shared" si="135"/>
        <v>28568265</v>
      </c>
      <c r="O186" s="29">
        <v>20979844.763875049</v>
      </c>
      <c r="P186" s="73">
        <v>21386158</v>
      </c>
      <c r="Q186" s="29">
        <v>1780940</v>
      </c>
      <c r="R186" s="20">
        <v>137555920.41999549</v>
      </c>
      <c r="S186" s="29">
        <v>60529393</v>
      </c>
      <c r="T186" s="72">
        <f t="shared" si="132"/>
        <v>2.9422730209767673E-2</v>
      </c>
      <c r="U186" s="25">
        <f t="shared" si="133"/>
        <v>77.237818466649912</v>
      </c>
      <c r="V186" s="30">
        <v>0.51200000000000001</v>
      </c>
      <c r="W186" s="30"/>
      <c r="X186" s="30"/>
      <c r="Y186" s="30"/>
      <c r="Z186" s="30"/>
      <c r="AA186" s="30">
        <v>0.51200000000000001</v>
      </c>
      <c r="AB186" s="30">
        <v>0.39100000000000001</v>
      </c>
      <c r="AC186" s="30">
        <v>0.20399999999999999</v>
      </c>
      <c r="AD186" s="30">
        <v>0.44800000000000001</v>
      </c>
      <c r="AE186" s="30">
        <f t="shared" si="144"/>
        <v>0.14699999999999996</v>
      </c>
      <c r="AF186" s="30">
        <v>0.68899999999999995</v>
      </c>
      <c r="AG186" s="30"/>
      <c r="AH186" s="30"/>
      <c r="AI186" s="30">
        <v>0.68899999999999995</v>
      </c>
      <c r="AJ186" s="30">
        <v>0.58699999999999997</v>
      </c>
      <c r="AK186" s="30">
        <v>0.34399999999999997</v>
      </c>
      <c r="AL186" s="30">
        <v>0.63</v>
      </c>
      <c r="AM186" s="30">
        <f t="shared" si="145"/>
        <v>0.30099999999999993</v>
      </c>
      <c r="AN186" s="66">
        <v>0.36899999999999999</v>
      </c>
      <c r="AO186" s="66">
        <v>0.25900000000000001</v>
      </c>
      <c r="AP186" s="66">
        <v>0.13500000000000001</v>
      </c>
      <c r="AQ186" s="66">
        <v>0.314</v>
      </c>
      <c r="AR186" s="66">
        <f t="shared" si="146"/>
        <v>8.0000000000000016E-2</v>
      </c>
      <c r="AS186" s="66">
        <v>0.22600000000000001</v>
      </c>
      <c r="AT186" s="66">
        <v>0.14699999999999999</v>
      </c>
      <c r="AU186" s="66">
        <v>8.0699999999999994E-2</v>
      </c>
      <c r="AV186" s="66">
        <v>0.191</v>
      </c>
      <c r="AW186" s="66">
        <f t="shared" si="147"/>
        <v>3.6699999999999983E-2</v>
      </c>
      <c r="AX186" s="66">
        <v>0.69399999999999995</v>
      </c>
      <c r="AY186" s="66">
        <v>0.42499999999999999</v>
      </c>
      <c r="AZ186" s="66">
        <v>0.82899999999999996</v>
      </c>
      <c r="BA186" s="66">
        <f t="shared" si="148"/>
        <v>0.29000000000000004</v>
      </c>
      <c r="BB186" s="62">
        <f t="shared" si="134"/>
        <v>4.7545145790094695E-2</v>
      </c>
      <c r="BC186" s="29"/>
      <c r="BD186" s="29"/>
      <c r="BE186" s="29"/>
      <c r="BF186" s="29"/>
      <c r="BG186" s="29"/>
      <c r="BH186" s="29"/>
      <c r="BI186" s="30">
        <f t="shared" si="136"/>
        <v>-4.4134181146804341E-2</v>
      </c>
      <c r="BJ186" s="30">
        <f t="shared" si="137"/>
        <v>-9.8050155371399716E-3</v>
      </c>
      <c r="BK186" s="30">
        <f t="shared" si="138"/>
        <v>-4.5454204377230356E-2</v>
      </c>
      <c r="BL186" s="30">
        <f t="shared" si="139"/>
        <v>-6.1677090256484823E-2</v>
      </c>
      <c r="BM186" s="30">
        <f t="shared" si="140"/>
        <v>-1.61611575717171E-2</v>
      </c>
      <c r="BN186" s="62">
        <f t="shared" si="141"/>
        <v>-9.029230626052924E-4</v>
      </c>
      <c r="BO186" s="30">
        <f t="shared" si="142"/>
        <v>-1.6995398181676946E-2</v>
      </c>
      <c r="BP186" s="30"/>
      <c r="BQ186" s="30" t="e">
        <f t="shared" si="149"/>
        <v>#DIV/0!</v>
      </c>
      <c r="BR186" s="30" t="e">
        <f t="shared" si="150"/>
        <v>#DIV/0!</v>
      </c>
      <c r="BS186" s="30" t="e">
        <f t="shared" si="151"/>
        <v>#DIV/0!</v>
      </c>
      <c r="BT186" s="30" t="e">
        <f t="shared" si="152"/>
        <v>#DIV/0!</v>
      </c>
      <c r="BU186" s="30" t="e">
        <f t="shared" si="153"/>
        <v>#DIV/0!</v>
      </c>
      <c r="BV186" s="62">
        <f t="shared" si="154"/>
        <v>2.9422730209767673E-2</v>
      </c>
      <c r="BW186" s="30" t="e">
        <f t="shared" si="155"/>
        <v>#DIV/0!</v>
      </c>
      <c r="BX186" s="30"/>
    </row>
    <row r="187" spans="2:76">
      <c r="B187" t="str">
        <f t="shared" si="115"/>
        <v>2020</v>
      </c>
      <c r="C187" s="54">
        <v>202027</v>
      </c>
      <c r="D187" s="54"/>
      <c r="E187" s="54"/>
      <c r="F187" s="54"/>
      <c r="G187" s="29">
        <f t="shared" si="143"/>
        <v>1160404</v>
      </c>
      <c r="H187" s="29">
        <v>546779</v>
      </c>
      <c r="I187" s="69">
        <v>613625</v>
      </c>
      <c r="J187" s="70">
        <v>789162</v>
      </c>
      <c r="K187" s="70">
        <v>86038</v>
      </c>
      <c r="L187" s="70">
        <v>285204</v>
      </c>
      <c r="M187" s="29">
        <v>1046318.706463582</v>
      </c>
      <c r="N187" s="29">
        <f t="shared" si="135"/>
        <v>29728669</v>
      </c>
      <c r="O187" s="29">
        <v>22026163.470338631</v>
      </c>
      <c r="P187" s="73">
        <v>22223760</v>
      </c>
      <c r="Q187" s="29">
        <v>1920835</v>
      </c>
      <c r="R187" s="20">
        <v>147677515.8499943</v>
      </c>
      <c r="S187" s="29">
        <v>64192314</v>
      </c>
      <c r="T187" s="72">
        <f t="shared" si="132"/>
        <v>2.992313067262227E-2</v>
      </c>
      <c r="U187" s="25">
        <f t="shared" si="133"/>
        <v>76.881937204389914</v>
      </c>
      <c r="V187" s="30">
        <v>0.49</v>
      </c>
      <c r="W187" s="30"/>
      <c r="X187" s="30"/>
      <c r="Y187" s="30"/>
      <c r="Z187" s="30"/>
      <c r="AA187" s="30">
        <v>0.49</v>
      </c>
      <c r="AB187" s="30">
        <v>0.378</v>
      </c>
      <c r="AC187" s="30">
        <v>0.17899999999999999</v>
      </c>
      <c r="AD187" s="30">
        <v>0.42699999999999999</v>
      </c>
      <c r="AE187" s="30">
        <f t="shared" si="144"/>
        <v>0.12999999999999995</v>
      </c>
      <c r="AF187" s="30">
        <v>0.67700000000000005</v>
      </c>
      <c r="AG187" s="30"/>
      <c r="AH187" s="30"/>
      <c r="AI187" s="30">
        <v>0.67700000000000005</v>
      </c>
      <c r="AJ187" s="30">
        <v>0.57999999999999996</v>
      </c>
      <c r="AK187" s="30">
        <v>0.309</v>
      </c>
      <c r="AL187" s="30">
        <v>0.61699999999999999</v>
      </c>
      <c r="AM187" s="30">
        <f t="shared" si="145"/>
        <v>0.27200000000000002</v>
      </c>
      <c r="AN187" s="33">
        <v>0.36299999999999999</v>
      </c>
      <c r="AO187" s="33">
        <v>0.26600000000000001</v>
      </c>
      <c r="AP187" s="33">
        <v>0.12</v>
      </c>
      <c r="AQ187" s="33">
        <v>0.31</v>
      </c>
      <c r="AR187" s="33">
        <f t="shared" si="146"/>
        <v>7.6000000000000012E-2</v>
      </c>
      <c r="AS187" s="33">
        <v>0.22</v>
      </c>
      <c r="AT187" s="33">
        <v>0.151</v>
      </c>
      <c r="AU187" s="33">
        <v>7.0000000000000007E-2</v>
      </c>
      <c r="AV187" s="33">
        <v>0.186</v>
      </c>
      <c r="AW187" s="33">
        <f t="shared" si="147"/>
        <v>3.5000000000000003E-2</v>
      </c>
      <c r="AX187" s="33">
        <v>0.72299999999999998</v>
      </c>
      <c r="AY187" s="33">
        <v>0.38</v>
      </c>
      <c r="AZ187" s="33">
        <v>0.83399999999999996</v>
      </c>
      <c r="BA187" s="66">
        <f t="shared" si="148"/>
        <v>0.26900000000000002</v>
      </c>
      <c r="BB187" s="62">
        <f t="shared" si="134"/>
        <v>5.2214566751980766E-2</v>
      </c>
      <c r="BC187" s="29"/>
      <c r="BD187" s="29"/>
      <c r="BE187" s="29"/>
      <c r="BF187" s="29"/>
      <c r="BG187" s="29"/>
      <c r="BH187" s="29"/>
      <c r="BI187" s="30">
        <f t="shared" si="136"/>
        <v>0.14122233499343051</v>
      </c>
      <c r="BJ187" s="30">
        <f t="shared" si="137"/>
        <v>3.9165613571170654E-2</v>
      </c>
      <c r="BK187" s="30">
        <f t="shared" si="138"/>
        <v>7.8551214527159852E-2</v>
      </c>
      <c r="BL187" s="30">
        <f t="shared" si="139"/>
        <v>7.3581677903029163E-2</v>
      </c>
      <c r="BM187" s="30">
        <f t="shared" si="140"/>
        <v>6.0514748594951318E-2</v>
      </c>
      <c r="BN187" s="62">
        <f t="shared" si="141"/>
        <v>5.0040046285459647E-4</v>
      </c>
      <c r="BO187" s="30">
        <f t="shared" si="142"/>
        <v>-4.6076037532528646E-3</v>
      </c>
      <c r="BP187" s="30"/>
      <c r="BQ187" s="30" t="e">
        <f t="shared" si="149"/>
        <v>#DIV/0!</v>
      </c>
      <c r="BR187" s="30" t="e">
        <f t="shared" si="150"/>
        <v>#DIV/0!</v>
      </c>
      <c r="BS187" s="30" t="e">
        <f t="shared" si="151"/>
        <v>#DIV/0!</v>
      </c>
      <c r="BT187" s="30" t="e">
        <f t="shared" si="152"/>
        <v>#DIV/0!</v>
      </c>
      <c r="BU187" s="30" t="e">
        <f t="shared" si="153"/>
        <v>#DIV/0!</v>
      </c>
      <c r="BV187" s="62">
        <f t="shared" si="154"/>
        <v>2.992313067262227E-2</v>
      </c>
      <c r="BW187" s="30" t="e">
        <f t="shared" si="155"/>
        <v>#DIV/0!</v>
      </c>
      <c r="BX187" s="30"/>
    </row>
    <row r="188" spans="2:76" ht="16.5" customHeight="1">
      <c r="B188" t="str">
        <f t="shared" si="115"/>
        <v>2020</v>
      </c>
      <c r="C188" s="54">
        <v>202028</v>
      </c>
      <c r="D188" s="54"/>
      <c r="E188" s="54"/>
      <c r="F188" s="54"/>
      <c r="G188" s="29">
        <f t="shared" si="143"/>
        <v>1191225</v>
      </c>
      <c r="H188" s="29">
        <v>564322</v>
      </c>
      <c r="I188" s="69">
        <v>626903</v>
      </c>
      <c r="J188" s="70">
        <v>714554</v>
      </c>
      <c r="K188" s="70">
        <v>82975</v>
      </c>
      <c r="L188" s="70">
        <v>393696</v>
      </c>
      <c r="M188" s="29">
        <v>976098.67322458152</v>
      </c>
      <c r="N188" s="29">
        <f t="shared" si="135"/>
        <v>30919894</v>
      </c>
      <c r="O188" s="29">
        <v>23002262.143563211</v>
      </c>
      <c r="P188" s="73">
        <v>21889267</v>
      </c>
      <c r="Q188" s="29">
        <v>1774359</v>
      </c>
      <c r="R188" s="20">
        <v>136254655.3799955</v>
      </c>
      <c r="S188" s="29">
        <v>61263936</v>
      </c>
      <c r="T188" s="72">
        <f t="shared" si="132"/>
        <v>2.8962536785099802E-2</v>
      </c>
      <c r="U188" s="25">
        <f t="shared" si="133"/>
        <v>76.790917384810797</v>
      </c>
      <c r="V188" s="30">
        <v>0.48799999999999999</v>
      </c>
      <c r="W188" s="30"/>
      <c r="X188" s="30"/>
      <c r="Y188" s="30"/>
      <c r="Z188" s="30"/>
      <c r="AA188" s="30">
        <v>0.48799999999999999</v>
      </c>
      <c r="AB188" s="30">
        <v>0.379</v>
      </c>
      <c r="AC188" s="30">
        <v>0.16800000000000001</v>
      </c>
      <c r="AD188" s="30">
        <v>0.42499999999999999</v>
      </c>
      <c r="AE188" s="30">
        <f t="shared" si="144"/>
        <v>0.12200000000000005</v>
      </c>
      <c r="AF188" s="30">
        <v>0.67600000000000005</v>
      </c>
      <c r="AG188" s="30"/>
      <c r="AH188" s="30"/>
      <c r="AI188" s="30">
        <v>0.67600000000000005</v>
      </c>
      <c r="AJ188" s="30">
        <v>0.58099999999999996</v>
      </c>
      <c r="AK188" s="30">
        <v>0.28899999999999998</v>
      </c>
      <c r="AL188" s="30">
        <v>0.61399999999999999</v>
      </c>
      <c r="AM188" s="30">
        <f t="shared" si="145"/>
        <v>0.25599999999999989</v>
      </c>
      <c r="AN188" s="33">
        <v>0.34599999999999997</v>
      </c>
      <c r="AO188" s="33">
        <v>0.252</v>
      </c>
      <c r="AP188" s="33">
        <v>0.109</v>
      </c>
      <c r="AQ188" s="33">
        <v>0.29299999999999998</v>
      </c>
      <c r="AR188" s="33">
        <f t="shared" si="146"/>
        <v>6.8000000000000005E-2</v>
      </c>
      <c r="AS188" s="33">
        <v>0.20399999999999999</v>
      </c>
      <c r="AT188" s="33">
        <v>0.13900000000000001</v>
      </c>
      <c r="AU188" s="33">
        <v>6.3500000000000001E-2</v>
      </c>
      <c r="AV188" s="33">
        <v>0.17199999999999999</v>
      </c>
      <c r="AW188" s="33">
        <f t="shared" si="147"/>
        <v>3.0500000000000027E-2</v>
      </c>
      <c r="AX188" s="33">
        <v>0.73699999999999999</v>
      </c>
      <c r="AY188" s="33">
        <v>0.36</v>
      </c>
      <c r="AZ188" s="33">
        <v>0.84099999999999997</v>
      </c>
      <c r="BA188" s="66">
        <f t="shared" si="148"/>
        <v>0.25600000000000001</v>
      </c>
      <c r="BB188" s="62">
        <f t="shared" si="134"/>
        <v>5.4420506634598589E-2</v>
      </c>
      <c r="BC188" s="29"/>
      <c r="BD188" s="29"/>
      <c r="BE188" s="29"/>
      <c r="BF188" s="29"/>
      <c r="BG188" s="29"/>
      <c r="BH188" s="29"/>
      <c r="BI188" s="30">
        <f t="shared" si="136"/>
        <v>2.6560577178293077E-2</v>
      </c>
      <c r="BJ188" s="30">
        <f t="shared" si="137"/>
        <v>-1.5051143460872551E-2</v>
      </c>
      <c r="BK188" s="30">
        <f t="shared" si="138"/>
        <v>-7.6256419734126002E-2</v>
      </c>
      <c r="BL188" s="30">
        <f t="shared" si="139"/>
        <v>-7.7350031277623521E-2</v>
      </c>
      <c r="BM188" s="30">
        <f t="shared" si="140"/>
        <v>-4.5618825954770847E-2</v>
      </c>
      <c r="BN188" s="62">
        <f t="shared" si="141"/>
        <v>-9.6059388752246788E-4</v>
      </c>
      <c r="BO188" s="30">
        <f t="shared" si="142"/>
        <v>-1.1838908186866393E-3</v>
      </c>
      <c r="BP188" s="30"/>
      <c r="BQ188" s="30" t="e">
        <f t="shared" si="149"/>
        <v>#DIV/0!</v>
      </c>
      <c r="BR188" s="30" t="e">
        <f t="shared" si="150"/>
        <v>#DIV/0!</v>
      </c>
      <c r="BS188" s="30" t="e">
        <f t="shared" si="151"/>
        <v>#DIV/0!</v>
      </c>
      <c r="BT188" s="30" t="e">
        <f t="shared" si="152"/>
        <v>#DIV/0!</v>
      </c>
      <c r="BU188" s="30" t="e">
        <f t="shared" si="153"/>
        <v>#DIV/0!</v>
      </c>
      <c r="BV188" s="62">
        <f t="shared" si="154"/>
        <v>2.8962536785099802E-2</v>
      </c>
      <c r="BW188" s="30" t="e">
        <f t="shared" si="155"/>
        <v>#DIV/0!</v>
      </c>
      <c r="BX188" s="30"/>
    </row>
    <row r="189" spans="2:76">
      <c r="B189" t="str">
        <f t="shared" si="115"/>
        <v>2020</v>
      </c>
      <c r="C189" s="54">
        <v>202029</v>
      </c>
      <c r="D189" s="54"/>
      <c r="E189" s="54"/>
      <c r="F189" s="54"/>
      <c r="G189" s="29">
        <f t="shared" si="143"/>
        <v>1057981</v>
      </c>
      <c r="H189" s="29">
        <v>504476</v>
      </c>
      <c r="I189" s="69">
        <v>553505</v>
      </c>
      <c r="J189" s="70">
        <v>703903</v>
      </c>
      <c r="K189" s="70">
        <v>74983</v>
      </c>
      <c r="L189" s="70">
        <v>279095</v>
      </c>
      <c r="M189" s="29">
        <v>957513.8656775821</v>
      </c>
      <c r="N189" s="29">
        <f t="shared" si="135"/>
        <v>31977875</v>
      </c>
      <c r="O189" s="29">
        <v>23959776.009240799</v>
      </c>
      <c r="P189" s="70">
        <v>22170395</v>
      </c>
      <c r="Q189" s="29">
        <v>1750904</v>
      </c>
      <c r="R189" s="20" t="e">
        <f>#REF!+R186</f>
        <v>#REF!</v>
      </c>
      <c r="S189" s="29">
        <v>62191290</v>
      </c>
      <c r="T189" s="72">
        <f t="shared" si="132"/>
        <v>2.8153524392242064E-2</v>
      </c>
      <c r="U189" s="25" t="e">
        <f t="shared" si="133"/>
        <v>#REF!</v>
      </c>
      <c r="V189" s="30">
        <v>0.48699999999999999</v>
      </c>
      <c r="W189" s="30"/>
      <c r="X189" s="30"/>
      <c r="Y189" s="30"/>
      <c r="Z189" s="30"/>
      <c r="AA189" s="30">
        <v>0.48699999999999999</v>
      </c>
      <c r="AB189" s="30">
        <v>0.375</v>
      </c>
      <c r="AC189" s="30">
        <v>0.17699999999999999</v>
      </c>
      <c r="AD189" s="30">
        <v>0.42499999999999999</v>
      </c>
      <c r="AE189" s="30">
        <f t="shared" si="144"/>
        <v>0.12700000000000006</v>
      </c>
      <c r="AF189" s="30">
        <v>0.67800000000000005</v>
      </c>
      <c r="AG189" s="30"/>
      <c r="AH189" s="30"/>
      <c r="AI189" s="30">
        <v>0.67800000000000005</v>
      </c>
      <c r="AJ189" s="30">
        <v>0.58399999999999996</v>
      </c>
      <c r="AK189" s="30">
        <v>0.3</v>
      </c>
      <c r="AL189" s="30">
        <v>0.61899999999999999</v>
      </c>
      <c r="AM189" s="30">
        <f t="shared" si="145"/>
        <v>0.2649999999999999</v>
      </c>
      <c r="AN189" s="66">
        <v>0.35</v>
      </c>
      <c r="AO189" s="33">
        <v>0.255</v>
      </c>
      <c r="AP189" s="33">
        <v>0.115</v>
      </c>
      <c r="AQ189" s="33">
        <v>0.29799999999999999</v>
      </c>
      <c r="AR189" s="33">
        <f t="shared" si="146"/>
        <v>7.2000000000000008E-2</v>
      </c>
      <c r="AS189" s="33">
        <v>0.21199999999999999</v>
      </c>
      <c r="AT189" s="33">
        <v>0.14499999999999999</v>
      </c>
      <c r="AU189" s="33">
        <v>6.93E-2</v>
      </c>
      <c r="AV189" s="33">
        <v>0.18</v>
      </c>
      <c r="AW189" s="33">
        <f t="shared" si="147"/>
        <v>3.4299999999999997E-2</v>
      </c>
      <c r="AX189" s="33">
        <v>0.72799999999999998</v>
      </c>
      <c r="AY189" s="33">
        <v>0.38100000000000001</v>
      </c>
      <c r="AZ189" s="33">
        <v>0.83899999999999997</v>
      </c>
      <c r="BA189" s="66">
        <f t="shared" si="148"/>
        <v>0.27</v>
      </c>
      <c r="BB189" s="62">
        <f t="shared" si="134"/>
        <v>4.7720439802718895E-2</v>
      </c>
      <c r="BC189" s="29"/>
      <c r="BD189" s="29"/>
      <c r="BE189" s="29"/>
      <c r="BF189" s="29"/>
      <c r="BG189" s="29"/>
      <c r="BH189" s="29"/>
      <c r="BI189" s="30">
        <f t="shared" si="136"/>
        <v>-0.11185460345442721</v>
      </c>
      <c r="BJ189" s="30">
        <f t="shared" si="137"/>
        <v>1.2843189312826242E-2</v>
      </c>
      <c r="BK189" s="30">
        <f t="shared" si="138"/>
        <v>-1.3218858190478966E-2</v>
      </c>
      <c r="BL189" s="30" t="e">
        <f t="shared" si="139"/>
        <v>#REF!</v>
      </c>
      <c r="BM189" s="30">
        <f t="shared" si="140"/>
        <v>1.513702939360595E-2</v>
      </c>
      <c r="BN189" s="62">
        <f t="shared" si="141"/>
        <v>-8.0901239285773724E-4</v>
      </c>
      <c r="BO189" s="30" t="e">
        <f t="shared" si="142"/>
        <v>#REF!</v>
      </c>
      <c r="BP189" s="30"/>
      <c r="BQ189" s="30" t="e">
        <f t="shared" si="149"/>
        <v>#DIV/0!</v>
      </c>
      <c r="BR189" s="30" t="e">
        <f t="shared" si="150"/>
        <v>#DIV/0!</v>
      </c>
      <c r="BS189" s="30" t="e">
        <f t="shared" si="151"/>
        <v>#DIV/0!</v>
      </c>
      <c r="BT189" s="30" t="e">
        <f t="shared" si="152"/>
        <v>#REF!</v>
      </c>
      <c r="BU189" s="30">
        <f t="shared" si="153"/>
        <v>135.04399955374819</v>
      </c>
      <c r="BV189" s="62">
        <f t="shared" si="154"/>
        <v>2.8153524392242064E-2</v>
      </c>
      <c r="BW189" s="30" t="e">
        <f t="shared" si="155"/>
        <v>#REF!</v>
      </c>
      <c r="BX189" s="30"/>
    </row>
    <row r="190" spans="2:76">
      <c r="B190" t="str">
        <f t="shared" si="115"/>
        <v>2020</v>
      </c>
      <c r="C190" s="54">
        <v>202030</v>
      </c>
      <c r="D190" s="54"/>
      <c r="E190" s="54"/>
      <c r="F190" s="54"/>
      <c r="G190" s="29">
        <f t="shared" si="143"/>
        <v>1069689</v>
      </c>
      <c r="H190" s="29">
        <v>527237</v>
      </c>
      <c r="I190" s="69">
        <v>542452</v>
      </c>
      <c r="J190" s="70">
        <v>673660</v>
      </c>
      <c r="K190" s="70">
        <v>57884</v>
      </c>
      <c r="L190" s="70">
        <v>338145</v>
      </c>
      <c r="M190" s="29">
        <v>949036.41348458151</v>
      </c>
      <c r="N190" s="29">
        <f t="shared" si="135"/>
        <v>33047564</v>
      </c>
      <c r="O190" s="29">
        <v>24908812.422725379</v>
      </c>
      <c r="P190" s="70">
        <v>21775972</v>
      </c>
      <c r="Q190" s="29">
        <v>1687915</v>
      </c>
      <c r="R190" s="20">
        <v>130124662.5</v>
      </c>
      <c r="S190" s="29">
        <v>59833058</v>
      </c>
      <c r="T190" s="72">
        <f t="shared" si="132"/>
        <v>2.8210408366558835E-2</v>
      </c>
      <c r="U190" s="25">
        <f t="shared" si="133"/>
        <v>77.091952201384544</v>
      </c>
      <c r="V190" s="30">
        <v>0.48699999999999999</v>
      </c>
      <c r="W190" s="30"/>
      <c r="X190" s="30"/>
      <c r="Y190" s="30"/>
      <c r="Z190" s="30"/>
      <c r="AA190" s="30">
        <v>0.48699999999999999</v>
      </c>
      <c r="AB190" s="30">
        <v>0.38900000000000001</v>
      </c>
      <c r="AC190" s="30">
        <v>0.16300000000000001</v>
      </c>
      <c r="AD190" s="30">
        <v>0.43</v>
      </c>
      <c r="AE190" s="30">
        <f t="shared" si="144"/>
        <v>0.12200000000000005</v>
      </c>
      <c r="AF190" s="30">
        <v>0.69399999999999995</v>
      </c>
      <c r="AG190" s="30"/>
      <c r="AH190" s="30"/>
      <c r="AI190" s="30">
        <v>0.69399999999999995</v>
      </c>
      <c r="AJ190" s="30">
        <v>0.58099999999999996</v>
      </c>
      <c r="AK190" s="30">
        <v>0.28899999999999998</v>
      </c>
      <c r="AL190" s="30">
        <v>0.61099999999999999</v>
      </c>
      <c r="AM190" s="30">
        <f t="shared" si="145"/>
        <v>0.2589999999999999</v>
      </c>
      <c r="AN190" s="66">
        <v>0.34699999999999998</v>
      </c>
      <c r="AO190" s="33">
        <v>0.25900000000000001</v>
      </c>
      <c r="AP190" s="33">
        <v>0.107</v>
      </c>
      <c r="AQ190" s="33">
        <v>0.29799999999999999</v>
      </c>
      <c r="AR190" s="33">
        <f t="shared" si="146"/>
        <v>6.8000000000000005E-2</v>
      </c>
      <c r="AS190" s="33">
        <v>0.20699999999999999</v>
      </c>
      <c r="AT190" s="33">
        <v>0.14599999999999999</v>
      </c>
      <c r="AU190" s="33">
        <v>5.9799999999999999E-2</v>
      </c>
      <c r="AV190" s="33">
        <v>0.17499999999999999</v>
      </c>
      <c r="AW190" s="33">
        <f t="shared" si="147"/>
        <v>3.0799999999999994E-2</v>
      </c>
      <c r="AX190" s="33">
        <v>0.77100000000000002</v>
      </c>
      <c r="AY190" s="33">
        <v>0.35599999999999998</v>
      </c>
      <c r="AZ190" s="33">
        <v>0.85799999999999998</v>
      </c>
      <c r="BA190" s="66">
        <f t="shared" si="148"/>
        <v>0.26900000000000002</v>
      </c>
      <c r="BB190" s="62">
        <f t="shared" si="134"/>
        <v>4.9122445601968996E-2</v>
      </c>
      <c r="BC190" s="29"/>
      <c r="BD190" s="29"/>
      <c r="BE190" s="29"/>
      <c r="BF190" s="29"/>
      <c r="BG190" s="29"/>
      <c r="BH190" s="29"/>
      <c r="BI190" s="30">
        <f t="shared" si="136"/>
        <v>1.106636130516514E-2</v>
      </c>
      <c r="BJ190" s="30">
        <f t="shared" si="137"/>
        <v>-1.7790526510691351E-2</v>
      </c>
      <c r="BK190" s="30">
        <f t="shared" si="138"/>
        <v>-3.5975130561127333E-2</v>
      </c>
      <c r="BL190" s="30" t="e">
        <f t="shared" si="139"/>
        <v>#REF!</v>
      </c>
      <c r="BM190" s="30">
        <f t="shared" si="140"/>
        <v>-3.7919007629524937E-2</v>
      </c>
      <c r="BN190" s="62">
        <f t="shared" si="141"/>
        <v>5.6883974316770253E-5</v>
      </c>
      <c r="BO190" s="30" t="e">
        <f t="shared" si="142"/>
        <v>#REF!</v>
      </c>
      <c r="BP190" s="30"/>
      <c r="BQ190" s="30" t="e">
        <f t="shared" si="149"/>
        <v>#DIV/0!</v>
      </c>
      <c r="BR190" s="30" t="e">
        <f t="shared" si="150"/>
        <v>#DIV/0!</v>
      </c>
      <c r="BS190" s="30" t="e">
        <f t="shared" si="151"/>
        <v>#DIV/0!</v>
      </c>
      <c r="BT190" s="30" t="e">
        <f t="shared" si="152"/>
        <v>#DIV/0!</v>
      </c>
      <c r="BU190" s="30" t="e">
        <f t="shared" si="153"/>
        <v>#DIV/0!</v>
      </c>
      <c r="BV190" s="62">
        <f t="shared" si="154"/>
        <v>2.8210408366558835E-2</v>
      </c>
      <c r="BW190" s="30" t="e">
        <f t="shared" si="155"/>
        <v>#DIV/0!</v>
      </c>
      <c r="BX190" s="30"/>
    </row>
    <row r="191" spans="2:76">
      <c r="B191" t="str">
        <f t="shared" si="115"/>
        <v>2020</v>
      </c>
      <c r="C191" s="54">
        <v>202031</v>
      </c>
      <c r="D191" s="54"/>
      <c r="E191" s="54"/>
      <c r="F191" s="54"/>
      <c r="G191" s="29">
        <f t="shared" si="143"/>
        <v>1182461</v>
      </c>
      <c r="H191" s="29">
        <v>590248</v>
      </c>
      <c r="I191" s="69">
        <v>592213</v>
      </c>
      <c r="J191" s="70">
        <v>703899</v>
      </c>
      <c r="K191" s="70">
        <v>43130</v>
      </c>
      <c r="L191" s="70">
        <v>435431</v>
      </c>
      <c r="M191" s="29">
        <v>1005203.494652134</v>
      </c>
      <c r="N191" s="29">
        <f t="shared" si="135"/>
        <v>34230025</v>
      </c>
      <c r="O191" s="29">
        <v>25914015.917377509</v>
      </c>
      <c r="P191" s="70">
        <v>21994373</v>
      </c>
      <c r="Q191" s="29">
        <v>1727837</v>
      </c>
      <c r="R191" s="20">
        <v>130624304.40000001</v>
      </c>
      <c r="S191" s="29">
        <v>60251284</v>
      </c>
      <c r="T191" s="72">
        <f t="shared" si="132"/>
        <v>2.8677181385877187E-2</v>
      </c>
      <c r="U191" s="25">
        <f t="shared" si="133"/>
        <v>75.599899990566243</v>
      </c>
      <c r="V191" s="30">
        <v>0.48</v>
      </c>
      <c r="W191" s="30"/>
      <c r="X191" s="30"/>
      <c r="Y191" s="30"/>
      <c r="Z191" s="30"/>
      <c r="AA191" s="30">
        <v>0.48</v>
      </c>
      <c r="AB191" s="30">
        <v>0.39</v>
      </c>
      <c r="AC191" s="30">
        <v>0.14599999999999999</v>
      </c>
      <c r="AD191" s="30">
        <v>0.42399999999999999</v>
      </c>
      <c r="AE191" s="30">
        <f t="shared" si="144"/>
        <v>0.11200000000000004</v>
      </c>
      <c r="AF191" s="30">
        <v>0.67100000000000004</v>
      </c>
      <c r="AG191" s="30"/>
      <c r="AH191" s="30"/>
      <c r="AI191" s="30">
        <v>0.67100000000000004</v>
      </c>
      <c r="AJ191" s="30">
        <v>0.58899999999999997</v>
      </c>
      <c r="AK191" s="30">
        <v>0.27100000000000002</v>
      </c>
      <c r="AL191" s="30">
        <v>0.61499999999999999</v>
      </c>
      <c r="AM191" s="30">
        <f t="shared" si="145"/>
        <v>0.245</v>
      </c>
      <c r="AN191" s="66">
        <v>0.34100000000000003</v>
      </c>
      <c r="AO191" s="33">
        <v>0.26400000000000001</v>
      </c>
      <c r="AP191" s="33">
        <v>9.2100000000000001E-2</v>
      </c>
      <c r="AQ191" s="33">
        <v>0.29399999999999998</v>
      </c>
      <c r="AR191" s="33">
        <f t="shared" si="146"/>
        <v>6.2100000000000044E-2</v>
      </c>
      <c r="AS191" s="33">
        <v>0.2</v>
      </c>
      <c r="AT191" s="33">
        <v>0.14599999999999999</v>
      </c>
      <c r="AU191" s="33">
        <v>5.0099999999999999E-2</v>
      </c>
      <c r="AV191" s="33">
        <v>0.16900000000000001</v>
      </c>
      <c r="AW191" s="33">
        <f t="shared" si="147"/>
        <v>2.7099999999999985E-2</v>
      </c>
      <c r="AX191" s="33">
        <v>0.80400000000000005</v>
      </c>
      <c r="AY191" s="33">
        <v>0.32400000000000001</v>
      </c>
      <c r="AZ191" s="33">
        <v>0.871</v>
      </c>
      <c r="BA191" s="66">
        <f t="shared" si="148"/>
        <v>0.25700000000000012</v>
      </c>
      <c r="BB191" s="62">
        <f t="shared" si="134"/>
        <v>5.3761978120494727E-2</v>
      </c>
      <c r="BC191" s="29"/>
      <c r="BD191" s="29"/>
      <c r="BE191" s="29"/>
      <c r="BF191" s="29"/>
      <c r="BG191" s="29"/>
      <c r="BH191" s="29"/>
      <c r="BI191" s="30">
        <f t="shared" si="136"/>
        <v>0.10542503475309184</v>
      </c>
      <c r="BJ191" s="30">
        <f t="shared" si="137"/>
        <v>1.0029448972473043E-2</v>
      </c>
      <c r="BK191" s="30">
        <f t="shared" si="138"/>
        <v>2.3651664923885374E-2</v>
      </c>
      <c r="BL191" s="30">
        <f t="shared" si="139"/>
        <v>3.8397171635315974E-3</v>
      </c>
      <c r="BM191" s="30">
        <f t="shared" si="140"/>
        <v>6.9898817473110775E-3</v>
      </c>
      <c r="BN191" s="62">
        <f t="shared" si="141"/>
        <v>4.6677301931835266E-4</v>
      </c>
      <c r="BO191" s="30">
        <f t="shared" si="142"/>
        <v>-1.9354188968008779E-2</v>
      </c>
      <c r="BP191" s="30"/>
      <c r="BQ191" s="30" t="e">
        <f t="shared" si="149"/>
        <v>#DIV/0!</v>
      </c>
      <c r="BR191" s="30" t="e">
        <f t="shared" si="150"/>
        <v>#DIV/0!</v>
      </c>
      <c r="BS191" s="30" t="e">
        <f t="shared" si="151"/>
        <v>#DIV/0!</v>
      </c>
      <c r="BT191" s="30" t="e">
        <f t="shared" si="152"/>
        <v>#DIV/0!</v>
      </c>
      <c r="BU191" s="30" t="e">
        <f t="shared" si="153"/>
        <v>#DIV/0!</v>
      </c>
      <c r="BV191" s="62">
        <f t="shared" si="154"/>
        <v>2.8677181385877187E-2</v>
      </c>
      <c r="BW191" s="30" t="e">
        <f t="shared" si="155"/>
        <v>#DIV/0!</v>
      </c>
      <c r="BX191" s="30"/>
    </row>
    <row r="192" spans="2:76">
      <c r="B192" t="str">
        <f t="shared" si="115"/>
        <v>2020</v>
      </c>
      <c r="C192" s="54">
        <v>202032</v>
      </c>
      <c r="D192" s="54"/>
      <c r="E192" s="54"/>
      <c r="F192" s="54"/>
      <c r="G192" s="29">
        <f t="shared" si="143"/>
        <v>1129287</v>
      </c>
      <c r="H192" s="29">
        <v>561949</v>
      </c>
      <c r="I192" s="69">
        <v>567338</v>
      </c>
      <c r="J192" s="70">
        <v>717342</v>
      </c>
      <c r="K192" s="70">
        <v>41509</v>
      </c>
      <c r="L192" s="70">
        <v>370436</v>
      </c>
      <c r="M192" s="29">
        <v>1021621.628741371</v>
      </c>
      <c r="N192" s="29">
        <f t="shared" si="135"/>
        <v>35359312</v>
      </c>
      <c r="O192" s="29">
        <v>26935637.546118889</v>
      </c>
      <c r="P192" s="70">
        <v>21833255</v>
      </c>
      <c r="Q192" s="29">
        <v>1607025</v>
      </c>
      <c r="R192" s="20">
        <v>122555563.3</v>
      </c>
      <c r="S192" s="29">
        <v>59489540</v>
      </c>
      <c r="T192" s="72">
        <f t="shared" si="132"/>
        <v>2.7013572470051036E-2</v>
      </c>
      <c r="U192" s="25">
        <f t="shared" si="133"/>
        <v>76.26238751730682</v>
      </c>
      <c r="V192" s="67">
        <v>0.46899999999999997</v>
      </c>
      <c r="W192" s="67"/>
      <c r="X192" s="67"/>
      <c r="Y192" s="67"/>
      <c r="Z192" s="67"/>
      <c r="AA192" s="67">
        <v>0.46899999999999997</v>
      </c>
      <c r="AB192" s="30">
        <v>0.38</v>
      </c>
      <c r="AC192" s="30">
        <v>0.14299999999999999</v>
      </c>
      <c r="AD192" s="67">
        <v>0.41299999999999998</v>
      </c>
      <c r="AE192" s="30">
        <f t="shared" si="144"/>
        <v>0.11000000000000004</v>
      </c>
      <c r="AF192" s="30">
        <v>0.66400000000000003</v>
      </c>
      <c r="AG192" s="30"/>
      <c r="AH192" s="30"/>
      <c r="AI192" s="30">
        <v>0.66400000000000003</v>
      </c>
      <c r="AJ192" s="30">
        <v>0.58099999999999996</v>
      </c>
      <c r="AK192" s="30">
        <v>0.26400000000000001</v>
      </c>
      <c r="AL192" s="30">
        <v>0.60699999999999998</v>
      </c>
      <c r="AM192" s="30">
        <f t="shared" si="145"/>
        <v>0.23799999999999999</v>
      </c>
      <c r="AN192" s="66">
        <v>0.33200000000000002</v>
      </c>
      <c r="AO192" s="66">
        <v>0.25800000000000001</v>
      </c>
      <c r="AP192" s="66">
        <v>8.6300000000000002E-2</v>
      </c>
      <c r="AQ192" s="66">
        <v>0.28499999999999998</v>
      </c>
      <c r="AR192" s="66">
        <f t="shared" si="146"/>
        <v>5.9300000000000019E-2</v>
      </c>
      <c r="AS192" s="66">
        <v>0.19600000000000001</v>
      </c>
      <c r="AT192" s="66">
        <v>0.14399999999999999</v>
      </c>
      <c r="AU192" s="66">
        <v>4.8500000000000001E-2</v>
      </c>
      <c r="AV192" s="66">
        <v>0.16600000000000001</v>
      </c>
      <c r="AW192" s="66">
        <f t="shared" si="147"/>
        <v>2.6499999999999996E-2</v>
      </c>
      <c r="AX192" s="66">
        <v>0.79300000000000004</v>
      </c>
      <c r="AY192" s="66">
        <v>0.31900000000000001</v>
      </c>
      <c r="AZ192" s="66">
        <v>0.86599999999999999</v>
      </c>
      <c r="BA192" s="66">
        <f t="shared" si="148"/>
        <v>0.24600000000000011</v>
      </c>
      <c r="BB192" s="62">
        <f t="shared" si="134"/>
        <v>5.172325427427106E-2</v>
      </c>
      <c r="BC192" s="29"/>
      <c r="BD192" s="29"/>
      <c r="BE192" s="29"/>
      <c r="BF192" s="29"/>
      <c r="BG192" s="29"/>
      <c r="BH192" s="29"/>
      <c r="BI192" s="30">
        <f t="shared" si="136"/>
        <v>-4.4968924979343905E-2</v>
      </c>
      <c r="BJ192" s="30">
        <f t="shared" si="137"/>
        <v>-7.325419096966268E-3</v>
      </c>
      <c r="BK192" s="30">
        <f t="shared" si="138"/>
        <v>-6.9920947404182199E-2</v>
      </c>
      <c r="BL192" s="30">
        <f t="shared" si="139"/>
        <v>-6.1770595733025124E-2</v>
      </c>
      <c r="BM192" s="30">
        <f t="shared" si="140"/>
        <v>-1.2642784508957505E-2</v>
      </c>
      <c r="BN192" s="62">
        <f t="shared" si="141"/>
        <v>-1.6636089158261515E-3</v>
      </c>
      <c r="BO192" s="30">
        <f t="shared" si="142"/>
        <v>8.7630741154849368E-3</v>
      </c>
      <c r="BP192" s="68"/>
      <c r="BQ192" s="30" t="e">
        <f t="shared" si="149"/>
        <v>#DIV/0!</v>
      </c>
      <c r="BR192" s="30" t="e">
        <f t="shared" si="150"/>
        <v>#DIV/0!</v>
      </c>
      <c r="BS192" s="30" t="e">
        <f t="shared" si="151"/>
        <v>#DIV/0!</v>
      </c>
      <c r="BT192" s="30" t="e">
        <f t="shared" si="152"/>
        <v>#DIV/0!</v>
      </c>
      <c r="BU192" s="30" t="e">
        <f t="shared" si="153"/>
        <v>#DIV/0!</v>
      </c>
      <c r="BV192" s="62">
        <f t="shared" si="154"/>
        <v>2.7013572470051036E-2</v>
      </c>
      <c r="BW192" s="30" t="e">
        <f t="shared" si="155"/>
        <v>#DIV/0!</v>
      </c>
      <c r="BX192" s="30"/>
    </row>
    <row r="193" spans="2:76">
      <c r="B193" t="str">
        <f t="shared" si="115"/>
        <v>2020</v>
      </c>
      <c r="C193" s="54">
        <v>202033</v>
      </c>
      <c r="D193" s="54"/>
      <c r="E193" s="54"/>
      <c r="F193" s="54"/>
      <c r="G193" s="29">
        <f t="shared" si="143"/>
        <v>1109640</v>
      </c>
      <c r="H193" s="29">
        <v>538279</v>
      </c>
      <c r="I193" s="69">
        <v>571361</v>
      </c>
      <c r="J193" s="29">
        <v>746658</v>
      </c>
      <c r="K193" s="29">
        <v>44244</v>
      </c>
      <c r="L193" s="29">
        <v>318738</v>
      </c>
      <c r="M193" s="29">
        <v>1036431.300507372</v>
      </c>
      <c r="N193" s="29">
        <f t="shared" si="135"/>
        <v>36468952</v>
      </c>
      <c r="O193" s="29">
        <v>27972068.846626259</v>
      </c>
      <c r="P193" s="29">
        <v>21706945</v>
      </c>
      <c r="Q193" s="29">
        <v>4389902</v>
      </c>
      <c r="R193" s="74">
        <v>412862903.99999988</v>
      </c>
      <c r="S193" s="29">
        <v>81947611</v>
      </c>
      <c r="T193" s="72">
        <f t="shared" ref="T193:T212" si="156">Q193/S193</f>
        <v>5.3569615348518215E-2</v>
      </c>
      <c r="U193" s="25">
        <f t="shared" ref="U193:U212" si="157">R193/Q193</f>
        <v>94.0483190740932</v>
      </c>
      <c r="V193" s="67">
        <v>0.47099999999999997</v>
      </c>
      <c r="W193" s="67"/>
      <c r="X193" s="67"/>
      <c r="Y193" s="67"/>
      <c r="Z193" s="67"/>
      <c r="AA193" s="67">
        <v>0.47099999999999997</v>
      </c>
      <c r="AB193" s="30">
        <v>0.38100000000000001</v>
      </c>
      <c r="AC193" s="30">
        <v>0.14899999999999999</v>
      </c>
      <c r="AD193" s="30">
        <v>0.40600000000000003</v>
      </c>
      <c r="AE193" s="30">
        <f t="shared" si="144"/>
        <v>0.124</v>
      </c>
      <c r="AF193" s="67">
        <v>0.66500000000000004</v>
      </c>
      <c r="AG193" s="67"/>
      <c r="AH193" s="67"/>
      <c r="AI193" s="67">
        <v>0.66500000000000004</v>
      </c>
      <c r="AJ193" s="30">
        <v>0.58299999999999996</v>
      </c>
      <c r="AK193" s="30">
        <v>0.27200000000000002</v>
      </c>
      <c r="AL193" s="30">
        <v>0.60899999999999999</v>
      </c>
      <c r="AM193" s="30">
        <f t="shared" si="145"/>
        <v>0.246</v>
      </c>
      <c r="AN193" s="66">
        <v>0.34100000000000003</v>
      </c>
      <c r="AO193" s="66">
        <v>0.26400000000000001</v>
      </c>
      <c r="AP193" s="66">
        <v>9.5600000000000004E-2</v>
      </c>
      <c r="AQ193" s="66">
        <v>0.29399999999999998</v>
      </c>
      <c r="AR193" s="66">
        <f t="shared" si="146"/>
        <v>6.5600000000000047E-2</v>
      </c>
      <c r="AS193" s="66">
        <v>0.20100000000000001</v>
      </c>
      <c r="AT193" s="66">
        <v>0.14899999999999999</v>
      </c>
      <c r="AU193" s="66">
        <v>5.0900000000000001E-2</v>
      </c>
      <c r="AV193" s="66">
        <v>0.17199999999999999</v>
      </c>
      <c r="AW193" s="66">
        <f t="shared" si="147"/>
        <v>2.7900000000000008E-2</v>
      </c>
      <c r="AX193" s="66">
        <v>0.77100000000000002</v>
      </c>
      <c r="AY193" s="66">
        <v>0.34100000000000003</v>
      </c>
      <c r="AZ193" s="66">
        <v>0.84699999999999998</v>
      </c>
      <c r="BA193" s="66">
        <f t="shared" si="148"/>
        <v>0.26500000000000012</v>
      </c>
      <c r="BB193" s="62">
        <f t="shared" si="134"/>
        <v>5.1119123395761128E-2</v>
      </c>
      <c r="BC193" s="29"/>
      <c r="BD193" s="29"/>
      <c r="BE193" s="29"/>
      <c r="BF193" s="29"/>
      <c r="BG193" s="29"/>
      <c r="BH193" s="29"/>
      <c r="BI193" s="30">
        <f t="shared" si="136"/>
        <v>-1.7397703152520094E-2</v>
      </c>
      <c r="BJ193" s="30">
        <f t="shared" si="137"/>
        <v>-5.7852115957973682E-3</v>
      </c>
      <c r="BK193" s="30">
        <f t="shared" si="138"/>
        <v>1.7316949020705965</v>
      </c>
      <c r="BL193" s="30">
        <f t="shared" si="139"/>
        <v>2.3687814154088254</v>
      </c>
      <c r="BM193" s="30">
        <f t="shared" si="140"/>
        <v>0.37751293756852045</v>
      </c>
      <c r="BN193" s="62">
        <f t="shared" si="141"/>
        <v>2.6556042878467179E-2</v>
      </c>
      <c r="BO193" s="30">
        <f t="shared" si="142"/>
        <v>0.23322022999542313</v>
      </c>
      <c r="BP193" s="30"/>
      <c r="BQ193" s="30" t="e">
        <f t="shared" si="149"/>
        <v>#DIV/0!</v>
      </c>
      <c r="BR193" s="30" t="e">
        <f t="shared" si="150"/>
        <v>#DIV/0!</v>
      </c>
      <c r="BS193" s="30" t="e">
        <f t="shared" si="151"/>
        <v>#DIV/0!</v>
      </c>
      <c r="BT193" s="30" t="e">
        <f t="shared" si="152"/>
        <v>#DIV/0!</v>
      </c>
      <c r="BU193" s="30" t="e">
        <f t="shared" si="153"/>
        <v>#DIV/0!</v>
      </c>
      <c r="BV193" s="62">
        <f t="shared" si="154"/>
        <v>5.3569615348518215E-2</v>
      </c>
      <c r="BW193" s="30" t="e">
        <f t="shared" si="155"/>
        <v>#DIV/0!</v>
      </c>
      <c r="BX193" s="30"/>
    </row>
    <row r="194" spans="2:76">
      <c r="B194" t="str">
        <f t="shared" si="115"/>
        <v>2020</v>
      </c>
      <c r="C194" s="54">
        <v>202034</v>
      </c>
      <c r="D194" s="54"/>
      <c r="E194" s="54"/>
      <c r="F194" s="54"/>
      <c r="G194" s="29">
        <f t="shared" si="143"/>
        <v>1040130</v>
      </c>
      <c r="H194" s="29">
        <v>505482</v>
      </c>
      <c r="I194" s="69">
        <v>534648</v>
      </c>
      <c r="J194" s="29">
        <v>724795</v>
      </c>
      <c r="K194" s="29">
        <v>39634</v>
      </c>
      <c r="L194" s="29">
        <v>275701</v>
      </c>
      <c r="M194" s="29">
        <v>1041707.251004371</v>
      </c>
      <c r="N194" s="29">
        <f t="shared" ref="N194:N212" si="158">N193+G194</f>
        <v>37509082</v>
      </c>
      <c r="O194" s="29">
        <v>29013776.097630631</v>
      </c>
      <c r="P194" s="29">
        <v>21386122</v>
      </c>
      <c r="Q194" s="29">
        <v>4291365</v>
      </c>
      <c r="R194" s="74">
        <v>391569915.39999998</v>
      </c>
      <c r="S194" s="29">
        <v>80067580</v>
      </c>
      <c r="T194" s="72">
        <f t="shared" si="156"/>
        <v>5.3596786614507397E-2</v>
      </c>
      <c r="U194" s="25">
        <f t="shared" si="157"/>
        <v>91.246005734772027</v>
      </c>
      <c r="V194" s="67">
        <v>0.47399999999999998</v>
      </c>
      <c r="W194" s="67"/>
      <c r="X194" s="67"/>
      <c r="Y194" s="67"/>
      <c r="Z194" s="67"/>
      <c r="AA194" s="67">
        <v>0.47399999999999998</v>
      </c>
      <c r="AB194" s="30">
        <v>0.38200000000000001</v>
      </c>
      <c r="AC194" s="30">
        <v>0.14799999999999999</v>
      </c>
      <c r="AD194" s="30">
        <v>0.41599999999999998</v>
      </c>
      <c r="AE194" s="30">
        <f t="shared" si="144"/>
        <v>0.11400000000000005</v>
      </c>
      <c r="AF194" s="67">
        <v>0.67900000000000005</v>
      </c>
      <c r="AG194" s="67"/>
      <c r="AH194" s="67"/>
      <c r="AI194" s="67">
        <v>0.67900000000000005</v>
      </c>
      <c r="AJ194" s="30">
        <v>0.59799999999999998</v>
      </c>
      <c r="AK194" s="30">
        <v>0.27700000000000002</v>
      </c>
      <c r="AL194" s="30">
        <v>0.624</v>
      </c>
      <c r="AM194" s="30">
        <f t="shared" si="145"/>
        <v>0.251</v>
      </c>
      <c r="AN194" s="66">
        <v>0.33100000000000002</v>
      </c>
      <c r="AO194" s="66">
        <v>0.249</v>
      </c>
      <c r="AP194" s="66">
        <v>8.9099999999999999E-2</v>
      </c>
      <c r="AQ194" s="66">
        <v>0.27700000000000002</v>
      </c>
      <c r="AR194" s="66">
        <f t="shared" si="146"/>
        <v>6.1099999999999988E-2</v>
      </c>
      <c r="AS194" s="66">
        <v>0.191</v>
      </c>
      <c r="AT194" s="66">
        <v>0.13900000000000001</v>
      </c>
      <c r="AU194" s="66">
        <v>4.7800000000000002E-2</v>
      </c>
      <c r="AV194" s="66">
        <v>0.159</v>
      </c>
      <c r="AW194" s="66">
        <f t="shared" si="147"/>
        <v>2.7800000000000019E-2</v>
      </c>
      <c r="AX194" s="66">
        <v>0.748</v>
      </c>
      <c r="AY194" s="66">
        <v>0.316</v>
      </c>
      <c r="AZ194" s="66">
        <v>0.78700000000000003</v>
      </c>
      <c r="BA194" s="66">
        <f t="shared" si="148"/>
        <v>0.27700000000000002</v>
      </c>
      <c r="BB194" s="62">
        <f t="shared" si="134"/>
        <v>4.8635746116102767E-2</v>
      </c>
      <c r="BC194" s="29"/>
      <c r="BD194" s="29"/>
      <c r="BE194" s="29"/>
      <c r="BF194" s="29"/>
      <c r="BG194" s="29"/>
      <c r="BH194" s="29"/>
      <c r="BI194" s="30">
        <f t="shared" ref="BI194:BI211" si="159">G194/G193-1</f>
        <v>-6.264193792581374E-2</v>
      </c>
      <c r="BJ194" s="30">
        <f t="shared" si="137"/>
        <v>-1.477973984823755E-2</v>
      </c>
      <c r="BK194" s="30">
        <f t="shared" si="138"/>
        <v>-2.2446286955836392E-2</v>
      </c>
      <c r="BL194" s="30">
        <f t="shared" si="139"/>
        <v>-5.1573993191696199E-2</v>
      </c>
      <c r="BM194" s="30">
        <f t="shared" si="140"/>
        <v>-2.294186465057535E-2</v>
      </c>
      <c r="BN194" s="62">
        <f t="shared" si="141"/>
        <v>2.7171265989181514E-5</v>
      </c>
      <c r="BO194" s="30">
        <f t="shared" si="142"/>
        <v>-2.9796527645682414E-2</v>
      </c>
      <c r="BP194" s="30"/>
      <c r="BQ194" s="30" t="e">
        <f t="shared" si="149"/>
        <v>#DIV/0!</v>
      </c>
      <c r="BR194" s="30" t="e">
        <f t="shared" si="150"/>
        <v>#DIV/0!</v>
      </c>
      <c r="BS194" s="30" t="e">
        <f t="shared" si="151"/>
        <v>#DIV/0!</v>
      </c>
      <c r="BT194" s="30" t="e">
        <f t="shared" si="152"/>
        <v>#DIV/0!</v>
      </c>
      <c r="BU194" s="30" t="e">
        <f t="shared" si="153"/>
        <v>#DIV/0!</v>
      </c>
      <c r="BV194" s="62">
        <f t="shared" si="154"/>
        <v>5.3596786614507397E-2</v>
      </c>
      <c r="BW194" s="30" t="e">
        <f t="shared" si="155"/>
        <v>#DIV/0!</v>
      </c>
      <c r="BX194" s="30"/>
    </row>
    <row r="195" spans="2:76">
      <c r="B195" t="str">
        <f t="shared" si="115"/>
        <v>2020</v>
      </c>
      <c r="C195" s="54">
        <v>202035</v>
      </c>
      <c r="D195" s="54"/>
      <c r="E195" s="54"/>
      <c r="F195" s="54"/>
      <c r="G195" s="29">
        <f t="shared" ref="G195:G212" si="160">SUM(H195:I195)</f>
        <v>886437</v>
      </c>
      <c r="H195" s="29">
        <v>484013</v>
      </c>
      <c r="I195" s="69">
        <v>402424</v>
      </c>
      <c r="J195" s="29">
        <v>629881</v>
      </c>
      <c r="K195" s="29">
        <v>32773</v>
      </c>
      <c r="L195" s="29">
        <v>223783</v>
      </c>
      <c r="M195" s="29">
        <v>998918.20591575443</v>
      </c>
      <c r="N195" s="29">
        <f t="shared" si="158"/>
        <v>38395519</v>
      </c>
      <c r="O195" s="29">
        <v>30012694.30354638</v>
      </c>
      <c r="P195" s="29">
        <v>21498651</v>
      </c>
      <c r="Q195" s="29">
        <v>4347700</v>
      </c>
      <c r="R195" s="74">
        <v>396318420.69999999</v>
      </c>
      <c r="S195" s="29">
        <v>82714586</v>
      </c>
      <c r="T195" s="72">
        <f t="shared" si="156"/>
        <v>5.2562676188695423E-2</v>
      </c>
      <c r="U195" s="25">
        <f t="shared" si="157"/>
        <v>91.155880281528155</v>
      </c>
      <c r="V195" s="30">
        <v>0.48</v>
      </c>
      <c r="W195" s="30"/>
      <c r="X195" s="30"/>
      <c r="Y195" s="30"/>
      <c r="Z195" s="30"/>
      <c r="AA195" s="30">
        <v>0.48</v>
      </c>
      <c r="AB195" s="30">
        <v>0.38800000000000001</v>
      </c>
      <c r="AC195" s="30">
        <v>0.156</v>
      </c>
      <c r="AD195" s="30">
        <v>0.42499999999999999</v>
      </c>
      <c r="AE195" s="30">
        <f t="shared" si="144"/>
        <v>0.11900000000000005</v>
      </c>
      <c r="AF195" s="67">
        <v>0.69199999999999995</v>
      </c>
      <c r="AG195" s="67"/>
      <c r="AH195" s="67"/>
      <c r="AI195" s="67">
        <v>0.69199999999999995</v>
      </c>
      <c r="AJ195" s="30">
        <v>0.61099999999999999</v>
      </c>
      <c r="AK195" s="30">
        <v>0.28999999999999998</v>
      </c>
      <c r="AL195" s="30">
        <v>0.63800000000000001</v>
      </c>
      <c r="AM195" s="30">
        <f t="shared" si="145"/>
        <v>0.26300000000000001</v>
      </c>
      <c r="AN195" s="66">
        <v>0.34300000000000003</v>
      </c>
      <c r="AO195" s="66">
        <v>0.26400000000000001</v>
      </c>
      <c r="AP195" s="66">
        <v>9.3399999999999997E-2</v>
      </c>
      <c r="AQ195" s="66">
        <v>0.29399999999999998</v>
      </c>
      <c r="AR195" s="66">
        <f t="shared" si="146"/>
        <v>6.3400000000000012E-2</v>
      </c>
      <c r="AS195" s="66">
        <v>0.19600000000000001</v>
      </c>
      <c r="AT195" s="66">
        <v>0.14599999999999999</v>
      </c>
      <c r="AU195" s="66">
        <v>5.1999999999999998E-2</v>
      </c>
      <c r="AV195" s="66">
        <v>0.16900000000000001</v>
      </c>
      <c r="AW195" s="66">
        <f t="shared" si="147"/>
        <v>2.899999999999997E-2</v>
      </c>
      <c r="AX195" s="66">
        <v>0.78900000000000003</v>
      </c>
      <c r="AY195" s="66">
        <v>0.33600000000000002</v>
      </c>
      <c r="AZ195" s="66">
        <v>0.86299999999999999</v>
      </c>
      <c r="BA195" s="66">
        <f t="shared" si="148"/>
        <v>0.26200000000000001</v>
      </c>
      <c r="BB195" s="62">
        <f t="shared" si="134"/>
        <v>4.123221498874511E-2</v>
      </c>
      <c r="BC195" s="29"/>
      <c r="BD195" s="29"/>
      <c r="BE195" s="29"/>
      <c r="BF195" s="29"/>
      <c r="BG195" s="29"/>
      <c r="BH195" s="29"/>
      <c r="BI195" s="30">
        <f t="shared" si="159"/>
        <v>-0.14776326036168552</v>
      </c>
      <c r="BJ195" s="30">
        <f t="shared" si="137"/>
        <v>5.2617767728062592E-3</v>
      </c>
      <c r="BK195" s="30">
        <f t="shared" si="138"/>
        <v>1.3127524692026826E-2</v>
      </c>
      <c r="BL195" s="30">
        <f t="shared" si="139"/>
        <v>1.2126838945605067E-2</v>
      </c>
      <c r="BM195" s="30">
        <f t="shared" si="140"/>
        <v>3.3059647862468289E-2</v>
      </c>
      <c r="BN195" s="62">
        <f t="shared" si="141"/>
        <v>-1.0341104258119738E-3</v>
      </c>
      <c r="BO195" s="30">
        <f t="shared" si="142"/>
        <v>-9.8771943514808225E-4</v>
      </c>
      <c r="BP195" s="30"/>
      <c r="BQ195" s="30" t="e">
        <f t="shared" si="149"/>
        <v>#DIV/0!</v>
      </c>
      <c r="BR195" s="30" t="e">
        <f t="shared" si="150"/>
        <v>#DIV/0!</v>
      </c>
      <c r="BS195" s="30" t="e">
        <f t="shared" si="151"/>
        <v>#DIV/0!</v>
      </c>
      <c r="BT195" s="30" t="e">
        <f t="shared" si="152"/>
        <v>#DIV/0!</v>
      </c>
      <c r="BU195" s="30" t="e">
        <f t="shared" si="153"/>
        <v>#DIV/0!</v>
      </c>
      <c r="BV195" s="62">
        <f t="shared" si="154"/>
        <v>5.2562676188695423E-2</v>
      </c>
      <c r="BW195" s="30" t="e">
        <f t="shared" si="155"/>
        <v>#DIV/0!</v>
      </c>
      <c r="BX195" s="30"/>
    </row>
    <row r="196" spans="2:76">
      <c r="B196" t="str">
        <f t="shared" si="115"/>
        <v>2020</v>
      </c>
      <c r="C196" s="54">
        <v>202036</v>
      </c>
      <c r="D196" s="54"/>
      <c r="E196" s="54"/>
      <c r="F196" s="54"/>
      <c r="G196" s="75">
        <f t="shared" si="160"/>
        <v>659979</v>
      </c>
      <c r="H196" s="29">
        <v>525041</v>
      </c>
      <c r="I196" s="69">
        <v>134938</v>
      </c>
      <c r="J196" s="29">
        <v>456058</v>
      </c>
      <c r="K196" s="29">
        <v>26498</v>
      </c>
      <c r="L196" s="29">
        <v>177423</v>
      </c>
      <c r="M196" s="29">
        <v>893663.71818117448</v>
      </c>
      <c r="N196" s="29">
        <f t="shared" si="158"/>
        <v>39055498</v>
      </c>
      <c r="O196" s="29">
        <v>30906358.021727551</v>
      </c>
      <c r="P196" s="29">
        <v>22926528</v>
      </c>
      <c r="Q196" s="29">
        <v>4372801</v>
      </c>
      <c r="R196" s="74">
        <v>397516811.30000001</v>
      </c>
      <c r="S196" s="29">
        <v>86506688</v>
      </c>
      <c r="T196" s="72">
        <f t="shared" si="156"/>
        <v>5.0548704396127152E-2</v>
      </c>
      <c r="U196" s="25">
        <f t="shared" si="157"/>
        <v>90.906677733562546</v>
      </c>
      <c r="V196" s="30">
        <v>0.47799999999999998</v>
      </c>
      <c r="W196" s="30"/>
      <c r="X196" s="30"/>
      <c r="Y196" s="30"/>
      <c r="Z196" s="30"/>
      <c r="AA196" s="30">
        <v>0.47799999999999998</v>
      </c>
      <c r="AB196" s="30">
        <v>0.40100000000000002</v>
      </c>
      <c r="AC196" s="30">
        <v>0.17</v>
      </c>
      <c r="AD196" s="30">
        <v>0.437</v>
      </c>
      <c r="AE196" s="30">
        <f t="shared" si="144"/>
        <v>0.13400000000000006</v>
      </c>
      <c r="AF196" s="67">
        <v>0.68899999999999995</v>
      </c>
      <c r="AG196" s="67"/>
      <c r="AH196" s="67"/>
      <c r="AI196" s="67">
        <v>0.68899999999999995</v>
      </c>
      <c r="AJ196" s="30">
        <v>0.621</v>
      </c>
      <c r="AK196" s="30">
        <v>0.32</v>
      </c>
      <c r="AL196" s="30">
        <v>0.64700000000000002</v>
      </c>
      <c r="AM196" s="30">
        <f t="shared" si="145"/>
        <v>0.29400000000000004</v>
      </c>
      <c r="AN196" s="66">
        <v>0.32700000000000001</v>
      </c>
      <c r="AO196" s="66">
        <v>0.26300000000000001</v>
      </c>
      <c r="AP196" s="66">
        <v>0.109</v>
      </c>
      <c r="AQ196" s="66">
        <v>0.29699999999999999</v>
      </c>
      <c r="AR196" s="66">
        <f t="shared" si="146"/>
        <v>7.5000000000000011E-2</v>
      </c>
      <c r="AS196" s="66">
        <v>0.183</v>
      </c>
      <c r="AT196" s="66">
        <v>0.14099999999999999</v>
      </c>
      <c r="AU196" s="66">
        <v>5.8299999999999998E-2</v>
      </c>
      <c r="AV196" s="66">
        <v>0.16600000000000001</v>
      </c>
      <c r="AW196" s="66">
        <f t="shared" si="147"/>
        <v>3.3299999999999969E-2</v>
      </c>
      <c r="AX196" s="66">
        <v>0.85699999999999998</v>
      </c>
      <c r="AY196" s="66">
        <v>0.27700000000000002</v>
      </c>
      <c r="AZ196" s="66">
        <v>0.88700000000000001</v>
      </c>
      <c r="BA196" s="66">
        <f t="shared" si="148"/>
        <v>0.24699999999999989</v>
      </c>
      <c r="BB196" s="62">
        <f t="shared" si="134"/>
        <v>2.8786696354546139E-2</v>
      </c>
      <c r="BC196" s="29"/>
      <c r="BD196" s="29"/>
      <c r="BE196" s="29"/>
      <c r="BF196" s="29"/>
      <c r="BG196" s="29"/>
      <c r="BH196" s="29"/>
      <c r="BI196" s="30">
        <f t="shared" si="159"/>
        <v>-0.25546993187333111</v>
      </c>
      <c r="BJ196" s="30">
        <f t="shared" si="137"/>
        <v>6.641705100473505E-2</v>
      </c>
      <c r="BK196" s="30">
        <f t="shared" si="138"/>
        <v>5.7733974285254508E-3</v>
      </c>
      <c r="BL196" s="30">
        <f t="shared" si="139"/>
        <v>3.0238074674484583E-3</v>
      </c>
      <c r="BM196" s="30">
        <f t="shared" si="140"/>
        <v>4.5845626308278931E-2</v>
      </c>
      <c r="BN196" s="62">
        <f t="shared" si="141"/>
        <v>-2.0139717925682712E-3</v>
      </c>
      <c r="BO196" s="30">
        <f t="shared" si="142"/>
        <v>-2.7338066090302204E-3</v>
      </c>
      <c r="BP196" s="30"/>
      <c r="BQ196" s="30" t="e">
        <f t="shared" si="149"/>
        <v>#DIV/0!</v>
      </c>
      <c r="BR196" s="30" t="e">
        <f t="shared" si="150"/>
        <v>#DIV/0!</v>
      </c>
      <c r="BS196" s="30" t="e">
        <f t="shared" si="151"/>
        <v>#DIV/0!</v>
      </c>
      <c r="BT196" s="30" t="e">
        <f t="shared" si="152"/>
        <v>#DIV/0!</v>
      </c>
      <c r="BU196" s="30" t="e">
        <f t="shared" si="153"/>
        <v>#DIV/0!</v>
      </c>
      <c r="BV196" s="62">
        <f t="shared" si="154"/>
        <v>5.0548704396127152E-2</v>
      </c>
      <c r="BW196" s="30" t="e">
        <f t="shared" si="155"/>
        <v>#DIV/0!</v>
      </c>
      <c r="BX196" s="30"/>
    </row>
    <row r="197" spans="2:76">
      <c r="B197" t="str">
        <f t="shared" ref="B197:B212" si="161">LEFT(C197,4)</f>
        <v>2020</v>
      </c>
      <c r="C197" s="54">
        <v>202037</v>
      </c>
      <c r="D197" s="54"/>
      <c r="E197" s="54"/>
      <c r="F197" s="54"/>
      <c r="G197" s="75">
        <f t="shared" si="160"/>
        <v>1186746</v>
      </c>
      <c r="H197" s="29">
        <v>525678</v>
      </c>
      <c r="I197" s="69">
        <v>661068</v>
      </c>
      <c r="J197" s="29">
        <v>912103</v>
      </c>
      <c r="K197" s="29">
        <v>40817</v>
      </c>
      <c r="L197" s="29">
        <v>233826</v>
      </c>
      <c r="M197" s="29">
        <v>886106.29776717466</v>
      </c>
      <c r="N197" s="29">
        <f t="shared" si="158"/>
        <v>40242244</v>
      </c>
      <c r="O197" s="29">
        <v>31792464.319494732</v>
      </c>
      <c r="P197" s="29">
        <v>23004599</v>
      </c>
      <c r="Q197" s="29">
        <v>4610089</v>
      </c>
      <c r="R197" s="74">
        <v>429828957.89999998</v>
      </c>
      <c r="S197" s="29">
        <v>92667511</v>
      </c>
      <c r="T197" s="72">
        <f t="shared" si="156"/>
        <v>4.9748708584608475E-2</v>
      </c>
      <c r="U197" s="25">
        <f t="shared" si="157"/>
        <v>93.236585649431063</v>
      </c>
      <c r="V197" s="30">
        <v>0.48799999999999999</v>
      </c>
      <c r="W197" s="30"/>
      <c r="X197" s="30"/>
      <c r="Y197" s="30"/>
      <c r="Z197" s="30"/>
      <c r="AA197" s="30">
        <v>0.48799999999999999</v>
      </c>
      <c r="AB197" s="30">
        <v>0.39700000000000002</v>
      </c>
      <c r="AC197" s="30">
        <v>0.14499999999999999</v>
      </c>
      <c r="AD197" s="30">
        <v>0.43</v>
      </c>
      <c r="AE197" s="30">
        <f t="shared" si="144"/>
        <v>0.11200000000000004</v>
      </c>
      <c r="AF197" s="30">
        <v>0.70199999999999996</v>
      </c>
      <c r="AG197" s="30"/>
      <c r="AH197" s="30"/>
      <c r="AI197" s="30">
        <v>0.70199999999999996</v>
      </c>
      <c r="AJ197" s="30">
        <v>0.626</v>
      </c>
      <c r="AK197" s="30">
        <v>0.28899999999999998</v>
      </c>
      <c r="AL197" s="30">
        <v>0.64900000000000002</v>
      </c>
      <c r="AM197" s="30">
        <f t="shared" si="145"/>
        <v>0.26600000000000001</v>
      </c>
      <c r="AN197" s="66">
        <v>0.35399999999999998</v>
      </c>
      <c r="AO197" s="66">
        <v>0.27800000000000002</v>
      </c>
      <c r="AP197" s="66">
        <v>8.8800000000000004E-2</v>
      </c>
      <c r="AQ197" s="66">
        <v>0.30599999999999999</v>
      </c>
      <c r="AR197" s="66">
        <f t="shared" si="146"/>
        <v>6.0800000000000021E-2</v>
      </c>
      <c r="AS197" s="66">
        <v>0.20100000000000001</v>
      </c>
      <c r="AT197" s="66">
        <v>0.152</v>
      </c>
      <c r="AU197" s="66">
        <v>4.7500000000000001E-2</v>
      </c>
      <c r="AV197" s="66">
        <v>0.17199999999999999</v>
      </c>
      <c r="AW197" s="66">
        <f t="shared" si="147"/>
        <v>2.7500000000000024E-2</v>
      </c>
      <c r="AX197" s="66">
        <v>0.74099999999999999</v>
      </c>
      <c r="AY197" s="66">
        <v>0.29199999999999998</v>
      </c>
      <c r="AZ197" s="66">
        <v>0.80800000000000005</v>
      </c>
      <c r="BA197" s="66">
        <f t="shared" si="148"/>
        <v>0.22499999999999987</v>
      </c>
      <c r="BB197" s="62">
        <f t="shared" si="134"/>
        <v>5.1587336949450849E-2</v>
      </c>
      <c r="BC197" s="29"/>
      <c r="BD197" s="29"/>
      <c r="BE197" s="29"/>
      <c r="BF197" s="29"/>
      <c r="BG197" s="29"/>
      <c r="BH197" s="29"/>
      <c r="BI197" s="30">
        <f t="shared" si="159"/>
        <v>0.79815721409317564</v>
      </c>
      <c r="BJ197" s="30">
        <f t="shared" si="137"/>
        <v>3.405269214771689E-3</v>
      </c>
      <c r="BK197" s="30">
        <f t="shared" si="138"/>
        <v>5.426453204707915E-2</v>
      </c>
      <c r="BL197" s="30">
        <f t="shared" si="139"/>
        <v>8.1284981368031861E-2</v>
      </c>
      <c r="BM197" s="30">
        <f t="shared" si="140"/>
        <v>7.1217880864887562E-2</v>
      </c>
      <c r="BN197" s="62">
        <f t="shared" si="141"/>
        <v>-7.9999581151867644E-4</v>
      </c>
      <c r="BO197" s="30">
        <f t="shared" si="142"/>
        <v>2.5629667412301993E-2</v>
      </c>
      <c r="BP197" s="30"/>
      <c r="BQ197" s="30" t="e">
        <f t="shared" si="149"/>
        <v>#DIV/0!</v>
      </c>
      <c r="BR197" s="30" t="e">
        <f t="shared" si="150"/>
        <v>#DIV/0!</v>
      </c>
      <c r="BS197" s="30" t="e">
        <f t="shared" si="151"/>
        <v>#DIV/0!</v>
      </c>
      <c r="BT197" s="30" t="e">
        <f t="shared" si="152"/>
        <v>#DIV/0!</v>
      </c>
      <c r="BU197" s="30" t="e">
        <f t="shared" si="153"/>
        <v>#DIV/0!</v>
      </c>
      <c r="BV197" s="62">
        <f t="shared" si="154"/>
        <v>4.9748708584608475E-2</v>
      </c>
      <c r="BW197" s="30" t="e">
        <f t="shared" si="155"/>
        <v>#DIV/0!</v>
      </c>
      <c r="BX197" s="30"/>
    </row>
    <row r="198" spans="2:76">
      <c r="B198" t="str">
        <f t="shared" si="161"/>
        <v>2020</v>
      </c>
      <c r="C198" s="54">
        <v>202038</v>
      </c>
      <c r="D198" s="54"/>
      <c r="E198" s="54"/>
      <c r="F198" s="54"/>
      <c r="G198" s="75">
        <f t="shared" si="160"/>
        <v>1125234</v>
      </c>
      <c r="H198" s="29">
        <v>537089</v>
      </c>
      <c r="I198" s="69">
        <v>588145</v>
      </c>
      <c r="J198" s="29">
        <v>844988</v>
      </c>
      <c r="K198" s="29">
        <v>43330</v>
      </c>
      <c r="L198" s="29">
        <v>236916</v>
      </c>
      <c r="M198" s="29">
        <v>884149.53833717457</v>
      </c>
      <c r="N198" s="29">
        <f t="shared" si="158"/>
        <v>41367478</v>
      </c>
      <c r="O198" s="29">
        <v>32676613.857831899</v>
      </c>
      <c r="P198" s="29">
        <v>22926528</v>
      </c>
      <c r="Q198" s="29">
        <v>4578069</v>
      </c>
      <c r="R198" s="74">
        <v>418155386.80000001</v>
      </c>
      <c r="S198" s="29">
        <v>92343688</v>
      </c>
      <c r="T198" s="72">
        <f t="shared" si="156"/>
        <v>4.9576415011711464E-2</v>
      </c>
      <c r="U198" s="25">
        <f t="shared" si="157"/>
        <v>91.338812674077218</v>
      </c>
      <c r="V198" s="30">
        <v>0.48299999999999998</v>
      </c>
      <c r="W198" s="30"/>
      <c r="X198" s="30"/>
      <c r="Y198" s="30"/>
      <c r="Z198" s="30"/>
      <c r="AA198" s="30">
        <v>0.48299999999999998</v>
      </c>
      <c r="AB198" s="30">
        <v>0.39400000000000002</v>
      </c>
      <c r="AC198" s="30">
        <v>0.14599999999999999</v>
      </c>
      <c r="AD198" s="30">
        <v>0.42799999999999999</v>
      </c>
      <c r="AE198" s="30">
        <f t="shared" si="144"/>
        <v>0.11200000000000004</v>
      </c>
      <c r="AF198" s="30">
        <v>0.71699999999999997</v>
      </c>
      <c r="AG198" s="30"/>
      <c r="AH198" s="30"/>
      <c r="AI198" s="30">
        <v>0.71699999999999997</v>
      </c>
      <c r="AJ198" s="30">
        <v>0.64300000000000002</v>
      </c>
      <c r="AK198" s="30">
        <v>0.30199999999999999</v>
      </c>
      <c r="AL198" s="30">
        <v>0.66500000000000004</v>
      </c>
      <c r="AM198" s="30">
        <f t="shared" si="145"/>
        <v>0.28000000000000003</v>
      </c>
      <c r="AN198" s="66">
        <v>0.34499999999999997</v>
      </c>
      <c r="AO198" s="66">
        <v>0.27100000000000002</v>
      </c>
      <c r="AP198" s="66">
        <v>8.9700000000000002E-2</v>
      </c>
      <c r="AQ198" s="66">
        <v>0.3</v>
      </c>
      <c r="AR198" s="66">
        <f t="shared" si="146"/>
        <v>6.0700000000000032E-2</v>
      </c>
      <c r="AS198" s="66">
        <v>0.19600000000000001</v>
      </c>
      <c r="AT198" s="66">
        <v>0.14799999999999999</v>
      </c>
      <c r="AU198" s="66">
        <v>4.82E-2</v>
      </c>
      <c r="AV198" s="66">
        <v>0.16900000000000001</v>
      </c>
      <c r="AW198" s="66">
        <f t="shared" si="147"/>
        <v>2.7199999999999974E-2</v>
      </c>
      <c r="AX198" s="66">
        <v>0.78300000000000003</v>
      </c>
      <c r="AY198" s="66">
        <v>0.30599999999999999</v>
      </c>
      <c r="AZ198" s="66">
        <v>0.84299999999999997</v>
      </c>
      <c r="BA198" s="66">
        <f t="shared" si="148"/>
        <v>0.246</v>
      </c>
      <c r="BB198" s="62">
        <f t="shared" si="134"/>
        <v>4.9080000251237342E-2</v>
      </c>
      <c r="BC198" s="29"/>
      <c r="BD198" s="29"/>
      <c r="BE198" s="29"/>
      <c r="BF198" s="29"/>
      <c r="BG198" s="29"/>
      <c r="BH198" s="29"/>
      <c r="BI198" s="30">
        <f t="shared" si="159"/>
        <v>-5.1832489850397678E-2</v>
      </c>
      <c r="BJ198" s="30">
        <f t="shared" si="137"/>
        <v>-3.3937127093587316E-3</v>
      </c>
      <c r="BK198" s="30">
        <f t="shared" si="138"/>
        <v>-6.9456359736221884E-3</v>
      </c>
      <c r="BL198" s="30">
        <f t="shared" si="139"/>
        <v>-2.7158642723917659E-2</v>
      </c>
      <c r="BM198" s="30">
        <f t="shared" si="140"/>
        <v>-3.494460965936641E-3</v>
      </c>
      <c r="BN198" s="62">
        <f t="shared" si="141"/>
        <v>-1.7229357289701153E-4</v>
      </c>
      <c r="BO198" s="30">
        <f t="shared" si="142"/>
        <v>-2.0354380870289068E-2</v>
      </c>
      <c r="BP198" s="30"/>
      <c r="BQ198" s="30" t="e">
        <f t="shared" si="149"/>
        <v>#DIV/0!</v>
      </c>
      <c r="BR198" s="30" t="e">
        <f t="shared" si="150"/>
        <v>#DIV/0!</v>
      </c>
      <c r="BS198" s="30" t="e">
        <f t="shared" si="151"/>
        <v>#DIV/0!</v>
      </c>
      <c r="BT198" s="30" t="e">
        <f t="shared" si="152"/>
        <v>#DIV/0!</v>
      </c>
      <c r="BU198" s="30" t="e">
        <f t="shared" si="153"/>
        <v>#DIV/0!</v>
      </c>
      <c r="BV198" s="62">
        <f t="shared" si="154"/>
        <v>4.9576415011711464E-2</v>
      </c>
      <c r="BW198" s="30" t="e">
        <f t="shared" si="155"/>
        <v>#DIV/0!</v>
      </c>
      <c r="BX198" s="30"/>
    </row>
    <row r="199" spans="2:76">
      <c r="B199" t="str">
        <f t="shared" si="161"/>
        <v>2020</v>
      </c>
      <c r="C199" s="54">
        <v>202039</v>
      </c>
      <c r="D199" s="54"/>
      <c r="E199" s="54"/>
      <c r="F199" s="54"/>
      <c r="G199" s="75">
        <f t="shared" si="160"/>
        <v>1155436</v>
      </c>
      <c r="H199" s="29">
        <v>549362</v>
      </c>
      <c r="I199" s="69">
        <v>606074</v>
      </c>
      <c r="J199" s="29">
        <v>887819</v>
      </c>
      <c r="K199" s="29">
        <v>47366</v>
      </c>
      <c r="L199" s="29">
        <v>220251</v>
      </c>
      <c r="M199" s="29">
        <v>951974.15254417458</v>
      </c>
      <c r="N199" s="29">
        <f t="shared" si="158"/>
        <v>42522914</v>
      </c>
      <c r="O199" s="29">
        <v>33628588.010376081</v>
      </c>
      <c r="P199" s="29">
        <v>23578598</v>
      </c>
      <c r="Q199" s="29">
        <v>4659452</v>
      </c>
      <c r="R199" s="74">
        <v>433230604</v>
      </c>
      <c r="S199" s="29">
        <v>95524990</v>
      </c>
      <c r="T199" s="72">
        <f t="shared" si="156"/>
        <v>4.8777309476818582E-2</v>
      </c>
      <c r="U199" s="25">
        <f t="shared" si="157"/>
        <v>92.978874768964246</v>
      </c>
      <c r="V199" s="30">
        <v>0.49399999999999999</v>
      </c>
      <c r="W199" s="30"/>
      <c r="X199" s="30"/>
      <c r="Y199" s="30"/>
      <c r="Z199" s="30"/>
      <c r="AA199" s="30">
        <v>0.49399999999999999</v>
      </c>
      <c r="AB199" s="30">
        <v>0.40899999999999997</v>
      </c>
      <c r="AC199" s="30">
        <v>0.154</v>
      </c>
      <c r="AD199" s="30">
        <v>0.441</v>
      </c>
      <c r="AE199" s="30">
        <f t="shared" si="144"/>
        <v>0.12199999999999994</v>
      </c>
      <c r="AF199" s="30">
        <v>0.72</v>
      </c>
      <c r="AG199" s="30"/>
      <c r="AH199" s="30"/>
      <c r="AI199" s="30">
        <v>0.72</v>
      </c>
      <c r="AJ199" s="30">
        <v>0.64900000000000002</v>
      </c>
      <c r="AK199" s="30">
        <v>0.31</v>
      </c>
      <c r="AL199" s="30">
        <v>0.67</v>
      </c>
      <c r="AM199" s="30">
        <f t="shared" si="145"/>
        <v>0.28900000000000003</v>
      </c>
      <c r="AN199" s="66">
        <v>0.33700000000000002</v>
      </c>
      <c r="AO199" s="66">
        <v>0.26300000000000001</v>
      </c>
      <c r="AP199" s="66">
        <v>9.1600000000000001E-2</v>
      </c>
      <c r="AQ199" s="66">
        <v>0.29099999999999998</v>
      </c>
      <c r="AR199" s="66">
        <f t="shared" si="146"/>
        <v>6.3600000000000045E-2</v>
      </c>
      <c r="AS199" s="66">
        <v>0.191</v>
      </c>
      <c r="AT199" s="66">
        <v>0.14299999999999999</v>
      </c>
      <c r="AU199" s="66">
        <v>4.9399999999999999E-2</v>
      </c>
      <c r="AV199" s="66">
        <v>0.16400000000000001</v>
      </c>
      <c r="AW199" s="66">
        <f t="shared" si="147"/>
        <v>2.8399999999999981E-2</v>
      </c>
      <c r="AX199" s="66">
        <v>0.77700000000000002</v>
      </c>
      <c r="AY199" s="66">
        <v>0.314</v>
      </c>
      <c r="AZ199" s="66">
        <v>0.83699999999999997</v>
      </c>
      <c r="BA199" s="66">
        <f t="shared" si="148"/>
        <v>0.254</v>
      </c>
      <c r="BB199" s="62">
        <f t="shared" si="134"/>
        <v>4.9003592155903414E-2</v>
      </c>
      <c r="BC199" s="29"/>
      <c r="BD199" s="29"/>
      <c r="BE199" s="29"/>
      <c r="BF199" s="29"/>
      <c r="BG199" s="29"/>
      <c r="BH199" s="29"/>
      <c r="BI199" s="30">
        <f t="shared" si="159"/>
        <v>2.6840639369233532E-2</v>
      </c>
      <c r="BJ199" s="30">
        <f t="shared" si="137"/>
        <v>2.8441724800196466E-2</v>
      </c>
      <c r="BK199" s="30">
        <f t="shared" si="138"/>
        <v>1.7776708913736394E-2</v>
      </c>
      <c r="BL199" s="30">
        <f t="shared" si="139"/>
        <v>3.6051711100424821E-2</v>
      </c>
      <c r="BM199" s="30">
        <f t="shared" si="140"/>
        <v>3.4450670846067899E-2</v>
      </c>
      <c r="BN199" s="62">
        <f t="shared" si="141"/>
        <v>-7.9910553489288133E-4</v>
      </c>
      <c r="BO199" s="30">
        <f t="shared" si="142"/>
        <v>1.7955807031773352E-2</v>
      </c>
      <c r="BP199" s="30"/>
      <c r="BQ199" s="30" t="e">
        <f t="shared" si="149"/>
        <v>#DIV/0!</v>
      </c>
      <c r="BR199" s="30" t="e">
        <f t="shared" si="150"/>
        <v>#DIV/0!</v>
      </c>
      <c r="BS199" s="30" t="e">
        <f t="shared" si="151"/>
        <v>#DIV/0!</v>
      </c>
      <c r="BT199" s="30" t="e">
        <f t="shared" si="152"/>
        <v>#DIV/0!</v>
      </c>
      <c r="BU199" s="30" t="e">
        <f t="shared" si="153"/>
        <v>#DIV/0!</v>
      </c>
      <c r="BV199" s="62">
        <f t="shared" si="154"/>
        <v>4.8777309476818582E-2</v>
      </c>
      <c r="BW199" s="30" t="e">
        <f t="shared" si="155"/>
        <v>#DIV/0!</v>
      </c>
      <c r="BX199" s="30"/>
    </row>
    <row r="200" spans="2:76">
      <c r="B200" t="str">
        <f t="shared" si="161"/>
        <v>2020</v>
      </c>
      <c r="C200" s="54">
        <v>202040</v>
      </c>
      <c r="D200" s="54"/>
      <c r="E200" s="54"/>
      <c r="F200" s="54"/>
      <c r="G200" s="75">
        <f t="shared" si="160"/>
        <v>1331776</v>
      </c>
      <c r="H200" s="29">
        <v>642461</v>
      </c>
      <c r="I200" s="69">
        <v>689315</v>
      </c>
      <c r="J200" s="29">
        <v>1021577</v>
      </c>
      <c r="K200" s="29">
        <v>55564</v>
      </c>
      <c r="L200" s="29">
        <v>254635</v>
      </c>
      <c r="M200" s="29">
        <v>1032216.852149122</v>
      </c>
      <c r="N200" s="29">
        <f t="shared" si="158"/>
        <v>43854690</v>
      </c>
      <c r="O200" s="29">
        <v>34660804.862525202</v>
      </c>
      <c r="P200" s="29">
        <v>26330312</v>
      </c>
      <c r="Q200" s="29">
        <v>5626885</v>
      </c>
      <c r="R200" s="74">
        <v>559024549.5</v>
      </c>
      <c r="S200" s="29">
        <v>112721757</v>
      </c>
      <c r="T200" s="72">
        <f t="shared" si="156"/>
        <v>4.9918357819777416E-2</v>
      </c>
      <c r="U200" s="25">
        <f t="shared" si="157"/>
        <v>99.348849230080233</v>
      </c>
      <c r="V200" s="30">
        <v>0.56599999999999995</v>
      </c>
      <c r="W200" s="30"/>
      <c r="X200" s="30"/>
      <c r="Y200" s="30"/>
      <c r="Z200" s="30"/>
      <c r="AA200" s="30">
        <v>0.56599999999999995</v>
      </c>
      <c r="AB200" s="30">
        <v>0.501</v>
      </c>
      <c r="AC200" s="30">
        <v>0.161</v>
      </c>
      <c r="AD200" s="30">
        <v>0.52300000000000002</v>
      </c>
      <c r="AE200" s="30">
        <f t="shared" si="144"/>
        <v>0.13900000000000001</v>
      </c>
      <c r="AF200" s="30">
        <v>0.74199999999999999</v>
      </c>
      <c r="AG200" s="30"/>
      <c r="AH200" s="30"/>
      <c r="AI200" s="30">
        <v>0.74199999999999999</v>
      </c>
      <c r="AJ200" s="30">
        <v>0.68100000000000005</v>
      </c>
      <c r="AK200" s="30">
        <v>0.308</v>
      </c>
      <c r="AL200" s="30">
        <v>0.69599999999999995</v>
      </c>
      <c r="AM200" s="30">
        <f t="shared" si="145"/>
        <v>0.29300000000000015</v>
      </c>
      <c r="AN200" s="66">
        <v>0.42</v>
      </c>
      <c r="AO200" s="66">
        <v>0.35899999999999999</v>
      </c>
      <c r="AP200" s="66">
        <v>9.3399999999999997E-2</v>
      </c>
      <c r="AQ200" s="66">
        <v>0.38100000000000001</v>
      </c>
      <c r="AR200" s="66">
        <f t="shared" si="146"/>
        <v>7.1399999999999963E-2</v>
      </c>
      <c r="AS200" s="66">
        <v>0.25700000000000001</v>
      </c>
      <c r="AT200" s="66">
        <v>0.21299999999999999</v>
      </c>
      <c r="AU200" s="66">
        <v>4.9799999999999997E-2</v>
      </c>
      <c r="AV200" s="66">
        <v>0.23100000000000001</v>
      </c>
      <c r="AW200" s="66">
        <f t="shared" si="147"/>
        <v>3.1799999999999967E-2</v>
      </c>
      <c r="AX200" s="66">
        <v>0.77800000000000002</v>
      </c>
      <c r="AY200" s="66">
        <v>0.307</v>
      </c>
      <c r="AZ200" s="66">
        <v>0.83</v>
      </c>
      <c r="BA200" s="66">
        <f t="shared" si="148"/>
        <v>0.255</v>
      </c>
      <c r="BB200" s="62">
        <f t="shared" si="134"/>
        <v>5.0579575357861312E-2</v>
      </c>
      <c r="BC200" s="29"/>
      <c r="BD200" s="29"/>
      <c r="BE200" s="29"/>
      <c r="BF200" s="29"/>
      <c r="BG200" s="29"/>
      <c r="BH200" s="29"/>
      <c r="BI200" s="30">
        <f t="shared" si="159"/>
        <v>0.15261771314032102</v>
      </c>
      <c r="BJ200" s="30">
        <f t="shared" si="137"/>
        <v>0.11670388544730259</v>
      </c>
      <c r="BK200" s="30">
        <f t="shared" si="138"/>
        <v>0.20762806441615878</v>
      </c>
      <c r="BL200" s="30">
        <f t="shared" si="139"/>
        <v>0.29036255596569083</v>
      </c>
      <c r="BM200" s="30">
        <f t="shared" si="140"/>
        <v>0.18002375085304911</v>
      </c>
      <c r="BN200" s="62">
        <f t="shared" si="141"/>
        <v>1.1410483429588336E-3</v>
      </c>
      <c r="BO200" s="30">
        <f t="shared" si="142"/>
        <v>6.850991127763395E-2</v>
      </c>
      <c r="BP200" s="30"/>
      <c r="BQ200" s="30" t="e">
        <f t="shared" si="149"/>
        <v>#DIV/0!</v>
      </c>
      <c r="BR200" s="30" t="e">
        <f t="shared" si="150"/>
        <v>#DIV/0!</v>
      </c>
      <c r="BS200" s="30" t="e">
        <f t="shared" si="151"/>
        <v>#DIV/0!</v>
      </c>
      <c r="BT200" s="30" t="e">
        <f t="shared" si="152"/>
        <v>#DIV/0!</v>
      </c>
      <c r="BU200" s="30" t="e">
        <f t="shared" si="153"/>
        <v>#DIV/0!</v>
      </c>
      <c r="BV200" s="62">
        <f t="shared" si="154"/>
        <v>4.9918357819777416E-2</v>
      </c>
      <c r="BW200" s="30" t="e">
        <f t="shared" si="155"/>
        <v>#DIV/0!</v>
      </c>
      <c r="BX200" s="30"/>
    </row>
    <row r="201" spans="2:76">
      <c r="B201" t="str">
        <f t="shared" si="161"/>
        <v>2020</v>
      </c>
      <c r="C201" s="54">
        <v>202041</v>
      </c>
      <c r="D201" s="54"/>
      <c r="E201" s="54"/>
      <c r="F201" s="54"/>
      <c r="G201" s="75">
        <f t="shared" si="160"/>
        <v>2220333</v>
      </c>
      <c r="H201" s="75">
        <v>866928</v>
      </c>
      <c r="I201" s="76">
        <v>1353405</v>
      </c>
      <c r="J201" s="75">
        <v>1693388</v>
      </c>
      <c r="K201" s="75">
        <v>160147</v>
      </c>
      <c r="L201" s="75">
        <v>366798</v>
      </c>
      <c r="M201" s="29">
        <v>1098275.2275677989</v>
      </c>
      <c r="N201" s="29">
        <f t="shared" si="158"/>
        <v>46075023</v>
      </c>
      <c r="O201" s="29">
        <v>35759080.090093002</v>
      </c>
      <c r="P201" s="29">
        <v>30482193</v>
      </c>
      <c r="Q201" s="29">
        <v>6419115</v>
      </c>
      <c r="R201" s="74">
        <v>668412582.85499799</v>
      </c>
      <c r="S201" s="29">
        <v>150273965</v>
      </c>
      <c r="T201" s="72">
        <f t="shared" si="156"/>
        <v>4.2716081924104421E-2</v>
      </c>
      <c r="U201" s="25">
        <f t="shared" si="157"/>
        <v>104.12846363634208</v>
      </c>
      <c r="V201" s="30">
        <v>0.60499999999999998</v>
      </c>
      <c r="W201" s="30"/>
      <c r="X201" s="30"/>
      <c r="Y201" s="30"/>
      <c r="Z201" s="30"/>
      <c r="AA201" s="30">
        <v>0.60499999999999998</v>
      </c>
      <c r="AB201" s="30">
        <v>0.55000000000000004</v>
      </c>
      <c r="AC201" s="30">
        <v>0.14599999999999999</v>
      </c>
      <c r="AD201" s="30">
        <v>0.56399999999999995</v>
      </c>
      <c r="AE201" s="30">
        <f t="shared" si="144"/>
        <v>0.13200000000000012</v>
      </c>
      <c r="AF201" s="30">
        <v>0.75900000000000001</v>
      </c>
      <c r="AG201" s="30"/>
      <c r="AH201" s="30"/>
      <c r="AI201" s="30">
        <v>0.75900000000000001</v>
      </c>
      <c r="AJ201" s="30">
        <v>0.70699999999999996</v>
      </c>
      <c r="AK201" s="30">
        <v>0.27500000000000002</v>
      </c>
      <c r="AL201" s="30">
        <v>0.71299999999999997</v>
      </c>
      <c r="AM201" s="30">
        <f t="shared" si="145"/>
        <v>0.26900000000000002</v>
      </c>
      <c r="AN201" s="66">
        <v>0.47799999999999998</v>
      </c>
      <c r="AO201" s="66">
        <v>0.43099999999999999</v>
      </c>
      <c r="AP201" s="66">
        <v>8.3000000000000004E-2</v>
      </c>
      <c r="AQ201" s="66">
        <v>0.44400000000000001</v>
      </c>
      <c r="AR201" s="66">
        <f t="shared" si="146"/>
        <v>7.0000000000000007E-2</v>
      </c>
      <c r="AS201" s="66">
        <v>0.31900000000000001</v>
      </c>
      <c r="AT201" s="66">
        <v>0.28499999999999998</v>
      </c>
      <c r="AU201" s="66">
        <v>4.3700000000000003E-2</v>
      </c>
      <c r="AV201" s="66">
        <v>0.29599999999999999</v>
      </c>
      <c r="AW201" s="66">
        <f t="shared" si="147"/>
        <v>3.2700000000000007E-2</v>
      </c>
      <c r="AX201" s="66">
        <v>0.81599999999999995</v>
      </c>
      <c r="AY201" s="66">
        <v>0.39100000000000001</v>
      </c>
      <c r="AZ201" s="66">
        <v>0.85299999999999998</v>
      </c>
      <c r="BA201" s="66">
        <f t="shared" si="148"/>
        <v>0.35399999999999987</v>
      </c>
      <c r="BB201" s="62">
        <f t="shared" si="134"/>
        <v>7.2840330090423608E-2</v>
      </c>
      <c r="BC201" s="75"/>
      <c r="BD201" s="75"/>
      <c r="BE201" s="75"/>
      <c r="BF201" s="75"/>
      <c r="BG201" s="75"/>
      <c r="BH201" s="75"/>
      <c r="BI201" s="30">
        <f t="shared" si="159"/>
        <v>0.66719703613820935</v>
      </c>
      <c r="BJ201" s="30">
        <f t="shared" si="137"/>
        <v>0.15768445888525751</v>
      </c>
      <c r="BK201" s="30">
        <f t="shared" si="138"/>
        <v>0.14079370735318042</v>
      </c>
      <c r="BL201" s="30">
        <f t="shared" si="139"/>
        <v>0.19567661823230531</v>
      </c>
      <c r="BM201" s="30">
        <f t="shared" si="140"/>
        <v>0.33314072632845848</v>
      </c>
      <c r="BN201" s="62">
        <f t="shared" si="141"/>
        <v>-7.2022758956729951E-3</v>
      </c>
      <c r="BO201" s="30">
        <f t="shared" si="142"/>
        <v>4.810940884874082E-2</v>
      </c>
      <c r="BP201" s="30"/>
      <c r="BQ201" s="30" t="e">
        <f t="shared" si="149"/>
        <v>#DIV/0!</v>
      </c>
      <c r="BR201" s="30" t="e">
        <f t="shared" si="150"/>
        <v>#DIV/0!</v>
      </c>
      <c r="BS201" s="30" t="e">
        <f t="shared" si="151"/>
        <v>#DIV/0!</v>
      </c>
      <c r="BT201" s="30" t="e">
        <f t="shared" si="152"/>
        <v>#DIV/0!</v>
      </c>
      <c r="BU201" s="30" t="e">
        <f t="shared" si="153"/>
        <v>#DIV/0!</v>
      </c>
      <c r="BV201" s="62">
        <f t="shared" si="154"/>
        <v>4.2716081924104421E-2</v>
      </c>
      <c r="BW201" s="30" t="e">
        <f t="shared" si="155"/>
        <v>#DIV/0!</v>
      </c>
      <c r="BX201" s="30"/>
    </row>
    <row r="202" spans="2:76" ht="15.6" customHeight="1">
      <c r="B202" t="str">
        <f t="shared" si="161"/>
        <v>2020</v>
      </c>
      <c r="C202" s="54">
        <v>202042</v>
      </c>
      <c r="D202" s="54"/>
      <c r="E202" s="54"/>
      <c r="F202" s="54"/>
      <c r="G202" s="75">
        <f t="shared" si="160"/>
        <v>1735227</v>
      </c>
      <c r="H202" s="75">
        <v>768498</v>
      </c>
      <c r="I202" s="76">
        <v>966729</v>
      </c>
      <c r="J202" s="75">
        <v>1252529</v>
      </c>
      <c r="K202" s="75">
        <v>120377</v>
      </c>
      <c r="L202" s="75">
        <v>362321</v>
      </c>
      <c r="M202" s="29">
        <v>1131938.9842927989</v>
      </c>
      <c r="N202" s="29">
        <f t="shared" si="158"/>
        <v>47810250</v>
      </c>
      <c r="O202" s="29">
        <v>36891019.074385799</v>
      </c>
      <c r="P202" s="29">
        <v>29593355</v>
      </c>
      <c r="Q202" s="29">
        <v>6568736</v>
      </c>
      <c r="R202" s="74">
        <v>623135963.29999995</v>
      </c>
      <c r="S202" s="29">
        <v>152135168</v>
      </c>
      <c r="T202" s="72">
        <f t="shared" si="156"/>
        <v>4.3176972729934475E-2</v>
      </c>
      <c r="U202" s="25">
        <f t="shared" si="157"/>
        <v>94.863907348384828</v>
      </c>
      <c r="V202" s="30">
        <v>0.57599999999999996</v>
      </c>
      <c r="W202" s="30"/>
      <c r="X202" s="30"/>
      <c r="Y202" s="30"/>
      <c r="Z202" s="30"/>
      <c r="AA202" s="30">
        <v>0.57599999999999996</v>
      </c>
      <c r="AB202" s="30">
        <v>0.498</v>
      </c>
      <c r="AC202" s="30">
        <v>0.16200000000000001</v>
      </c>
      <c r="AD202" s="30">
        <v>0.52200000000000002</v>
      </c>
      <c r="AE202" s="30">
        <f t="shared" si="144"/>
        <v>0.13800000000000001</v>
      </c>
      <c r="AF202" s="30">
        <v>0.747</v>
      </c>
      <c r="AG202" s="30"/>
      <c r="AH202" s="30"/>
      <c r="AI202" s="30">
        <v>0.747</v>
      </c>
      <c r="AJ202" s="30">
        <v>0.67500000000000004</v>
      </c>
      <c r="AK202" s="30">
        <v>0.28899999999999998</v>
      </c>
      <c r="AL202" s="30">
        <v>0.68899999999999995</v>
      </c>
      <c r="AM202" s="30">
        <f t="shared" si="145"/>
        <v>0.27500000000000002</v>
      </c>
      <c r="AN202" s="66">
        <v>0.41799999999999998</v>
      </c>
      <c r="AO202" s="66">
        <v>0.34699999999999998</v>
      </c>
      <c r="AP202" s="66">
        <v>0.10299999999999999</v>
      </c>
      <c r="AQ202" s="66">
        <v>0.372</v>
      </c>
      <c r="AR202" s="66">
        <f t="shared" si="146"/>
        <v>7.7999999999999958E-2</v>
      </c>
      <c r="AS202" s="66">
        <v>0.25700000000000001</v>
      </c>
      <c r="AT202" s="66">
        <v>0.20899999999999999</v>
      </c>
      <c r="AU202" s="66">
        <v>5.2600000000000001E-2</v>
      </c>
      <c r="AV202" s="66">
        <v>0.22800000000000001</v>
      </c>
      <c r="AW202" s="66">
        <f t="shared" si="147"/>
        <v>3.3599999999999991E-2</v>
      </c>
      <c r="AX202" s="66">
        <v>0.76800000000000002</v>
      </c>
      <c r="AY202" s="66">
        <v>0.34100000000000003</v>
      </c>
      <c r="AZ202" s="66">
        <v>0.82</v>
      </c>
      <c r="BA202" s="66">
        <f t="shared" si="148"/>
        <v>0.28900000000000003</v>
      </c>
      <c r="BB202" s="62">
        <f t="shared" si="134"/>
        <v>5.8635697101595947E-2</v>
      </c>
      <c r="BC202" s="75"/>
      <c r="BD202" s="75"/>
      <c r="BE202" s="75"/>
      <c r="BF202" s="75"/>
      <c r="BG202" s="75"/>
      <c r="BH202" s="75"/>
      <c r="BI202" s="30">
        <f t="shared" si="159"/>
        <v>-0.21848344369966122</v>
      </c>
      <c r="BJ202" s="30">
        <f t="shared" si="137"/>
        <v>-2.9159253732170765E-2</v>
      </c>
      <c r="BK202" s="30">
        <f t="shared" si="138"/>
        <v>2.3308664823733505E-2</v>
      </c>
      <c r="BL202" s="30">
        <f t="shared" si="139"/>
        <v>-6.7737533248712234E-2</v>
      </c>
      <c r="BM202" s="30">
        <f t="shared" si="140"/>
        <v>1.2385398894612321E-2</v>
      </c>
      <c r="BN202" s="62">
        <f t="shared" si="141"/>
        <v>4.6089080583005398E-4</v>
      </c>
      <c r="BO202" s="30">
        <f t="shared" si="142"/>
        <v>-8.8972370900551767E-2</v>
      </c>
      <c r="BP202" s="30"/>
      <c r="BQ202" s="30" t="e">
        <f t="shared" si="149"/>
        <v>#DIV/0!</v>
      </c>
      <c r="BR202" s="30" t="e">
        <f t="shared" si="150"/>
        <v>#DIV/0!</v>
      </c>
      <c r="BS202" s="30" t="e">
        <f t="shared" si="151"/>
        <v>#DIV/0!</v>
      </c>
      <c r="BT202" s="30" t="e">
        <f t="shared" si="152"/>
        <v>#DIV/0!</v>
      </c>
      <c r="BU202" s="30" t="e">
        <f t="shared" si="153"/>
        <v>#DIV/0!</v>
      </c>
      <c r="BV202" s="62">
        <f t="shared" si="154"/>
        <v>4.3176972729934475E-2</v>
      </c>
      <c r="BW202" s="30" t="e">
        <f t="shared" si="155"/>
        <v>#DIV/0!</v>
      </c>
      <c r="BX202" s="30"/>
    </row>
    <row r="203" spans="2:76" ht="15.6" customHeight="1">
      <c r="B203" t="str">
        <f t="shared" si="161"/>
        <v>2020</v>
      </c>
      <c r="C203" s="54">
        <v>202043</v>
      </c>
      <c r="D203" s="54"/>
      <c r="E203" s="54"/>
      <c r="F203" s="54"/>
      <c r="G203" s="29">
        <f t="shared" si="160"/>
        <v>1986384</v>
      </c>
      <c r="H203" s="29">
        <v>871552</v>
      </c>
      <c r="I203" s="69">
        <v>1114832</v>
      </c>
      <c r="J203" s="29">
        <v>1461790</v>
      </c>
      <c r="K203" s="29">
        <v>98485</v>
      </c>
      <c r="L203" s="29">
        <v>426109</v>
      </c>
      <c r="M203" s="29">
        <v>1366965.6506598</v>
      </c>
      <c r="N203" s="29">
        <f t="shared" si="158"/>
        <v>49796634</v>
      </c>
      <c r="O203" s="29">
        <v>38257984.725045599</v>
      </c>
      <c r="P203" s="29">
        <v>34279671</v>
      </c>
      <c r="Q203" s="29">
        <v>7712355</v>
      </c>
      <c r="R203" s="74">
        <v>810256183.54499698</v>
      </c>
      <c r="S203" s="29">
        <v>173640860</v>
      </c>
      <c r="T203" s="72">
        <f t="shared" si="156"/>
        <v>4.4415554034920125E-2</v>
      </c>
      <c r="U203" s="25">
        <f t="shared" si="157"/>
        <v>105.0595030370097</v>
      </c>
      <c r="V203" s="30">
        <v>0.61</v>
      </c>
      <c r="W203" s="30"/>
      <c r="X203" s="30"/>
      <c r="Y203" s="30"/>
      <c r="Z203" s="30"/>
      <c r="AA203" s="30">
        <v>0.61</v>
      </c>
      <c r="AB203" s="30">
        <v>0.55100000000000005</v>
      </c>
      <c r="AC203" s="30">
        <v>0.13</v>
      </c>
      <c r="AD203" s="30">
        <v>0.56399999999999995</v>
      </c>
      <c r="AE203" s="30">
        <f t="shared" si="144"/>
        <v>0.1170000000000001</v>
      </c>
      <c r="AF203" s="30">
        <v>0.752</v>
      </c>
      <c r="AG203" s="30"/>
      <c r="AH203" s="30"/>
      <c r="AI203" s="30">
        <v>0.752</v>
      </c>
      <c r="AJ203" s="30">
        <v>0.68799999999999994</v>
      </c>
      <c r="AK203" s="30">
        <v>0.26500000000000001</v>
      </c>
      <c r="AL203" s="30">
        <v>0.69899999999999995</v>
      </c>
      <c r="AM203" s="30">
        <f t="shared" si="145"/>
        <v>0.254</v>
      </c>
      <c r="AN203" s="66">
        <v>0.49299999999999999</v>
      </c>
      <c r="AO203" s="66">
        <v>0.438</v>
      </c>
      <c r="AP203" s="66">
        <v>9.0800000000000006E-2</v>
      </c>
      <c r="AQ203" s="66">
        <v>0.45400000000000001</v>
      </c>
      <c r="AR203" s="66">
        <f t="shared" si="146"/>
        <v>7.4800000000000033E-2</v>
      </c>
      <c r="AS203" s="66">
        <v>0.316</v>
      </c>
      <c r="AT203" s="66">
        <v>0.27900000000000003</v>
      </c>
      <c r="AU203" s="66">
        <v>4.3999999999999997E-2</v>
      </c>
      <c r="AV203" s="66">
        <v>0.29099999999999998</v>
      </c>
      <c r="AW203" s="66">
        <f t="shared" si="147"/>
        <v>3.2000000000000028E-2</v>
      </c>
      <c r="AX203" s="66">
        <v>0.84899999999999998</v>
      </c>
      <c r="AY203" s="66">
        <v>0.33100000000000002</v>
      </c>
      <c r="AZ203" s="66"/>
      <c r="BA203" s="66">
        <f t="shared" si="148"/>
        <v>1.18</v>
      </c>
      <c r="BB203" s="62">
        <f t="shared" si="134"/>
        <v>5.7946413779758857E-2</v>
      </c>
      <c r="BC203" s="29"/>
      <c r="BD203" s="29"/>
      <c r="BE203" s="29"/>
      <c r="BF203" s="29"/>
      <c r="BG203" s="29"/>
      <c r="BH203" s="29"/>
      <c r="BI203" s="30">
        <f t="shared" si="159"/>
        <v>0.14474014062713403</v>
      </c>
      <c r="BJ203" s="30">
        <f t="shared" si="137"/>
        <v>0.1583570365712168</v>
      </c>
      <c r="BK203" s="30">
        <f t="shared" si="138"/>
        <v>0.17410031397212489</v>
      </c>
      <c r="BL203" s="30">
        <f t="shared" si="139"/>
        <v>0.30028794880341492</v>
      </c>
      <c r="BM203" s="30">
        <f t="shared" si="140"/>
        <v>0.1413591103406151</v>
      </c>
      <c r="BN203" s="62">
        <f t="shared" si="141"/>
        <v>1.2385813049856503E-3</v>
      </c>
      <c r="BO203" s="30">
        <f t="shared" si="142"/>
        <v>0.10747602511439736</v>
      </c>
      <c r="BP203" s="30"/>
      <c r="BQ203" s="30" t="e">
        <f t="shared" si="149"/>
        <v>#DIV/0!</v>
      </c>
      <c r="BR203" s="30" t="e">
        <f t="shared" si="150"/>
        <v>#DIV/0!</v>
      </c>
      <c r="BS203" s="30" t="e">
        <f t="shared" si="151"/>
        <v>#DIV/0!</v>
      </c>
      <c r="BT203" s="30" t="e">
        <f t="shared" si="152"/>
        <v>#DIV/0!</v>
      </c>
      <c r="BU203" s="30" t="e">
        <f t="shared" si="153"/>
        <v>#DIV/0!</v>
      </c>
      <c r="BV203" s="62">
        <f t="shared" si="154"/>
        <v>4.4415554034920125E-2</v>
      </c>
      <c r="BW203" s="30" t="e">
        <f t="shared" si="155"/>
        <v>#DIV/0!</v>
      </c>
      <c r="BX203" s="30"/>
    </row>
    <row r="204" spans="2:76" ht="15.6" customHeight="1">
      <c r="B204" t="str">
        <f t="shared" si="161"/>
        <v>2020</v>
      </c>
      <c r="C204" s="54">
        <v>202044</v>
      </c>
      <c r="D204" s="54"/>
      <c r="E204" s="54"/>
      <c r="F204" s="54"/>
      <c r="G204" s="29">
        <f t="shared" si="160"/>
        <v>1532183</v>
      </c>
      <c r="H204" s="29">
        <v>742596</v>
      </c>
      <c r="I204" s="69">
        <v>789587</v>
      </c>
      <c r="J204" s="29">
        <v>1000737</v>
      </c>
      <c r="K204" s="29">
        <v>135822</v>
      </c>
      <c r="L204" s="29">
        <v>395624</v>
      </c>
      <c r="M204" s="29">
        <v>1333476.951297997</v>
      </c>
      <c r="N204" s="29">
        <f t="shared" si="158"/>
        <v>51328817</v>
      </c>
      <c r="O204" s="29">
        <v>39591461.676343597</v>
      </c>
      <c r="P204" s="29">
        <v>31408249</v>
      </c>
      <c r="Q204" s="29">
        <v>7957652</v>
      </c>
      <c r="R204" s="74">
        <v>756811120.20000005</v>
      </c>
      <c r="S204" s="29">
        <v>169672961</v>
      </c>
      <c r="T204" s="72">
        <f t="shared" si="156"/>
        <v>4.6899941823965695E-2</v>
      </c>
      <c r="U204" s="25">
        <f t="shared" si="157"/>
        <v>95.104827428995392</v>
      </c>
      <c r="V204" s="30">
        <v>0.54500000000000004</v>
      </c>
      <c r="W204" s="30"/>
      <c r="X204" s="30"/>
      <c r="Y204" s="30"/>
      <c r="Z204" s="30"/>
      <c r="AA204" s="30">
        <v>0.54500000000000004</v>
      </c>
      <c r="AB204" s="30">
        <v>0.47299999999999998</v>
      </c>
      <c r="AC204" s="30">
        <v>0.14000000000000001</v>
      </c>
      <c r="AD204" s="30">
        <v>0.49199999999999999</v>
      </c>
      <c r="AE204" s="30">
        <f t="shared" si="144"/>
        <v>0.121</v>
      </c>
      <c r="AF204" s="30">
        <v>0.71299999999999997</v>
      </c>
      <c r="AG204" s="30"/>
      <c r="AH204" s="30"/>
      <c r="AI204" s="30">
        <v>0.71299999999999997</v>
      </c>
      <c r="AJ204" s="30">
        <v>0.63900000000000001</v>
      </c>
      <c r="AK204" s="30">
        <v>0.27500000000000002</v>
      </c>
      <c r="AL204" s="30">
        <v>0.65500000000000003</v>
      </c>
      <c r="AM204" s="30">
        <f t="shared" si="145"/>
        <v>0.25900000000000001</v>
      </c>
      <c r="AN204" s="30">
        <v>0.41699999999999998</v>
      </c>
      <c r="AO204" s="66">
        <v>0.36</v>
      </c>
      <c r="AP204" s="66">
        <v>8.2900000000000001E-2</v>
      </c>
      <c r="AQ204" s="66">
        <v>0.377</v>
      </c>
      <c r="AR204" s="66">
        <f t="shared" si="146"/>
        <v>6.5899999999999959E-2</v>
      </c>
      <c r="AS204" s="66">
        <v>0.26100000000000001</v>
      </c>
      <c r="AT204" s="66">
        <v>0.221</v>
      </c>
      <c r="AU204" s="66">
        <v>4.6600000000000003E-2</v>
      </c>
      <c r="AV204" s="66">
        <v>0.23599999999999999</v>
      </c>
      <c r="AW204" s="66">
        <f t="shared" si="147"/>
        <v>3.1600000000000017E-2</v>
      </c>
      <c r="AX204" s="66">
        <v>0.78500000000000003</v>
      </c>
      <c r="AY204" s="66">
        <v>0.29199999999999998</v>
      </c>
      <c r="AZ204" s="66">
        <v>0.83399999999999996</v>
      </c>
      <c r="BA204" s="66">
        <f t="shared" si="148"/>
        <v>0.24299999999999999</v>
      </c>
      <c r="BB204" s="62">
        <f t="shared" si="134"/>
        <v>4.8782821353715068E-2</v>
      </c>
      <c r="BC204" s="29"/>
      <c r="BD204" s="29"/>
      <c r="BE204" s="29"/>
      <c r="BF204" s="29"/>
      <c r="BG204" s="29"/>
      <c r="BH204" s="29"/>
      <c r="BI204" s="30">
        <f t="shared" si="159"/>
        <v>-0.22865719820538222</v>
      </c>
      <c r="BJ204" s="30">
        <f t="shared" si="137"/>
        <v>-8.3764572886361743E-2</v>
      </c>
      <c r="BK204" s="30">
        <f t="shared" si="138"/>
        <v>3.1805719524062415E-2</v>
      </c>
      <c r="BL204" s="30">
        <f t="shared" si="139"/>
        <v>-6.5960697900713905E-2</v>
      </c>
      <c r="BM204" s="30">
        <f t="shared" si="140"/>
        <v>-2.2851182607595888E-2</v>
      </c>
      <c r="BN204" s="62">
        <f t="shared" si="141"/>
        <v>2.4843877890455696E-3</v>
      </c>
      <c r="BO204" s="30">
        <f t="shared" si="142"/>
        <v>-9.4752738402993808E-2</v>
      </c>
      <c r="BP204" s="30"/>
      <c r="BQ204" s="30" t="e">
        <f t="shared" si="149"/>
        <v>#DIV/0!</v>
      </c>
      <c r="BR204" s="30" t="e">
        <f t="shared" si="150"/>
        <v>#DIV/0!</v>
      </c>
      <c r="BS204" s="30" t="e">
        <f t="shared" si="151"/>
        <v>#DIV/0!</v>
      </c>
      <c r="BT204" s="30" t="e">
        <f t="shared" si="152"/>
        <v>#DIV/0!</v>
      </c>
      <c r="BU204" s="30" t="e">
        <f t="shared" si="153"/>
        <v>#DIV/0!</v>
      </c>
      <c r="BV204" s="62">
        <f t="shared" si="154"/>
        <v>4.6899941823965695E-2</v>
      </c>
      <c r="BW204" s="30" t="e">
        <f t="shared" si="155"/>
        <v>#DIV/0!</v>
      </c>
      <c r="BX204" s="30"/>
    </row>
    <row r="205" spans="2:76" ht="15.6" customHeight="1">
      <c r="B205" t="str">
        <f t="shared" si="161"/>
        <v>2020</v>
      </c>
      <c r="C205" s="54">
        <v>202045</v>
      </c>
      <c r="D205" s="54"/>
      <c r="E205" s="54"/>
      <c r="F205" s="54"/>
      <c r="G205" s="29">
        <f t="shared" si="160"/>
        <v>1349556</v>
      </c>
      <c r="H205" s="29">
        <v>658686</v>
      </c>
      <c r="I205" s="69">
        <v>690870</v>
      </c>
      <c r="J205" s="29">
        <v>943179</v>
      </c>
      <c r="K205" s="29">
        <v>83733</v>
      </c>
      <c r="L205" s="29">
        <v>322644</v>
      </c>
      <c r="M205" s="29">
        <v>1051544.995991224</v>
      </c>
      <c r="N205" s="29">
        <f t="shared" si="158"/>
        <v>52678373</v>
      </c>
      <c r="O205" s="29">
        <v>40643006.67233482</v>
      </c>
      <c r="P205" s="29">
        <v>31513264</v>
      </c>
      <c r="Q205" s="29">
        <v>6836960</v>
      </c>
      <c r="R205" s="74">
        <v>626342110.1999979</v>
      </c>
      <c r="S205" s="29">
        <v>150111264</v>
      </c>
      <c r="T205" s="72">
        <f t="shared" si="156"/>
        <v>4.5545949170076934E-2</v>
      </c>
      <c r="U205" s="25">
        <f t="shared" si="157"/>
        <v>91.611200036273118</v>
      </c>
      <c r="V205" s="30">
        <v>0.53500000000000003</v>
      </c>
      <c r="W205" s="30"/>
      <c r="X205" s="30"/>
      <c r="Y205" s="30"/>
      <c r="Z205" s="30"/>
      <c r="AA205" s="30">
        <v>0.53500000000000003</v>
      </c>
      <c r="AB205" s="30">
        <v>0.44800000000000001</v>
      </c>
      <c r="AC205" s="30">
        <v>0.16300000000000001</v>
      </c>
      <c r="AD205" s="30">
        <v>0.47599999999999998</v>
      </c>
      <c r="AE205" s="30">
        <f t="shared" si="144"/>
        <v>0.13500000000000001</v>
      </c>
      <c r="AF205" s="30">
        <v>0.70399999999999996</v>
      </c>
      <c r="AG205" s="30"/>
      <c r="AH205" s="30"/>
      <c r="AI205" s="30">
        <v>0.70399999999999996</v>
      </c>
      <c r="AJ205" s="30">
        <v>0.61899999999999999</v>
      </c>
      <c r="AK205" s="30">
        <v>0.29499999999999998</v>
      </c>
      <c r="AL205" s="30">
        <v>0.64100000000000001</v>
      </c>
      <c r="AM205" s="30">
        <f t="shared" si="145"/>
        <v>0.27299999999999991</v>
      </c>
      <c r="AN205" s="66">
        <v>0.39600000000000002</v>
      </c>
      <c r="AO205" s="66">
        <v>0.32200000000000001</v>
      </c>
      <c r="AP205" s="66">
        <v>0.10199999999999999</v>
      </c>
      <c r="AQ205" s="66">
        <v>0.34799999999999998</v>
      </c>
      <c r="AR205" s="66">
        <f t="shared" si="146"/>
        <v>7.6000000000000012E-2</v>
      </c>
      <c r="AS205" s="2">
        <v>0.23899999999999999</v>
      </c>
      <c r="AT205" s="30">
        <v>0.189</v>
      </c>
      <c r="AU205" s="30">
        <v>5.5300000000000002E-2</v>
      </c>
      <c r="AV205" s="2">
        <v>0.21</v>
      </c>
      <c r="AW205" s="66">
        <f t="shared" si="147"/>
        <v>3.4300000000000025E-2</v>
      </c>
      <c r="AX205" s="30">
        <v>0.76800000000000002</v>
      </c>
      <c r="AY205" s="30">
        <v>0.30499999999999999</v>
      </c>
      <c r="AZ205" s="30">
        <v>0.82799999999999996</v>
      </c>
      <c r="BA205" s="30">
        <f t="shared" si="148"/>
        <v>0.245</v>
      </c>
      <c r="BB205" s="30">
        <f t="shared" si="134"/>
        <v>4.2825014888968657E-2</v>
      </c>
      <c r="BC205" s="29"/>
      <c r="BD205" s="29"/>
      <c r="BE205" s="29"/>
      <c r="BF205" s="29"/>
      <c r="BG205" s="29"/>
      <c r="BH205" s="29"/>
      <c r="BI205" s="30">
        <f t="shared" si="159"/>
        <v>-0.11919398661909186</v>
      </c>
      <c r="BJ205" s="30">
        <f>P205/P204-1</f>
        <v>3.3435483780073216E-3</v>
      </c>
      <c r="BK205" s="30"/>
      <c r="BL205" s="30"/>
      <c r="BM205" s="30"/>
      <c r="BN205" s="30"/>
      <c r="BO205" s="30"/>
      <c r="BP205" s="30"/>
      <c r="BQ205" s="30"/>
      <c r="BR205" s="30" t="e">
        <f>P205/P242-1</f>
        <v>#DIV/0!</v>
      </c>
      <c r="BS205" s="30"/>
      <c r="BT205" s="30"/>
      <c r="BU205" s="30"/>
      <c r="BV205" s="30"/>
      <c r="BW205" s="30"/>
      <c r="BX205" s="30"/>
    </row>
    <row r="206" spans="2:76" ht="15.6" customHeight="1">
      <c r="B206" t="str">
        <f t="shared" si="161"/>
        <v>2020</v>
      </c>
      <c r="C206" s="54">
        <v>202046</v>
      </c>
      <c r="D206" s="54"/>
      <c r="E206" s="54"/>
      <c r="F206" s="54"/>
      <c r="G206" s="29">
        <f t="shared" si="160"/>
        <v>1500886</v>
      </c>
      <c r="H206" s="29">
        <v>674560</v>
      </c>
      <c r="I206" s="69">
        <v>826326</v>
      </c>
      <c r="J206" s="29">
        <v>1084447</v>
      </c>
      <c r="K206" s="29">
        <v>76127</v>
      </c>
      <c r="L206" s="29">
        <v>340312</v>
      </c>
      <c r="M206" s="29">
        <v>1129295.884596223</v>
      </c>
      <c r="N206" s="29">
        <f t="shared" si="158"/>
        <v>54179259</v>
      </c>
      <c r="O206" s="29">
        <v>41772302.556931041</v>
      </c>
      <c r="P206" s="29">
        <v>31900319</v>
      </c>
      <c r="Q206" s="29">
        <v>6609870</v>
      </c>
      <c r="R206" s="74">
        <v>668761909.91499901</v>
      </c>
      <c r="S206" s="29">
        <v>151832282</v>
      </c>
      <c r="T206" s="72">
        <f t="shared" si="156"/>
        <v>4.3534022626360844E-2</v>
      </c>
      <c r="U206" s="25">
        <f t="shared" si="157"/>
        <v>101.17625761399226</v>
      </c>
      <c r="V206" s="30">
        <v>0.52100000000000002</v>
      </c>
      <c r="W206" s="30"/>
      <c r="X206" s="30"/>
      <c r="Y206" s="30"/>
      <c r="Z206" s="30"/>
      <c r="AA206" s="30">
        <v>0.52100000000000002</v>
      </c>
      <c r="AB206" s="30">
        <v>0.439</v>
      </c>
      <c r="AC206" s="30">
        <v>0.158</v>
      </c>
      <c r="AD206" s="30">
        <v>0.46600000000000003</v>
      </c>
      <c r="AE206" s="30">
        <f t="shared" si="144"/>
        <v>0.13099999999999995</v>
      </c>
      <c r="AF206" s="30">
        <v>0.67400000000000004</v>
      </c>
      <c r="AG206" s="30"/>
      <c r="AH206" s="30"/>
      <c r="AI206" s="30">
        <v>0.67400000000000004</v>
      </c>
      <c r="AJ206" s="30">
        <v>0.59299999999999997</v>
      </c>
      <c r="AK206" s="30">
        <v>0.26400000000000001</v>
      </c>
      <c r="AL206" s="30">
        <v>0.61499999999999999</v>
      </c>
      <c r="AM206" s="30">
        <f t="shared" si="145"/>
        <v>0.24199999999999999</v>
      </c>
      <c r="AN206" s="66">
        <v>0.40799999999999997</v>
      </c>
      <c r="AO206" s="66">
        <v>0.33700000000000002</v>
      </c>
      <c r="AP206" s="66">
        <v>0.10299999999999999</v>
      </c>
      <c r="AQ206" s="66">
        <v>0.36199999999999999</v>
      </c>
      <c r="AR206" s="66">
        <f t="shared" si="146"/>
        <v>7.8000000000000014E-2</v>
      </c>
      <c r="AS206" s="2">
        <v>0.24199999999999999</v>
      </c>
      <c r="AT206" s="30">
        <v>0.193</v>
      </c>
      <c r="AU206" s="30">
        <v>5.3400000000000003E-2</v>
      </c>
      <c r="AV206" s="2">
        <v>0.21199999999999999</v>
      </c>
      <c r="AW206" s="66">
        <f t="shared" si="147"/>
        <v>3.4400000000000014E-2</v>
      </c>
      <c r="AX206" s="30">
        <v>0.77900000000000003</v>
      </c>
      <c r="AY206" s="30">
        <v>0.34699999999999998</v>
      </c>
      <c r="AZ206" s="30">
        <v>0.82499999999999996</v>
      </c>
      <c r="BA206" s="30">
        <f t="shared" si="148"/>
        <v>0.30099999999999993</v>
      </c>
      <c r="BB206" s="30">
        <f t="shared" si="134"/>
        <v>4.70492473758648E-2</v>
      </c>
      <c r="BC206" s="29"/>
      <c r="BD206" s="29"/>
      <c r="BE206" s="29"/>
      <c r="BF206" s="29"/>
      <c r="BG206" s="29"/>
      <c r="BH206" s="29"/>
      <c r="BI206" s="30">
        <f t="shared" si="159"/>
        <v>0.112133175651844</v>
      </c>
      <c r="BJ206" s="30">
        <f>P206/P205-1</f>
        <v>1.2282288499217309E-2</v>
      </c>
      <c r="BK206" s="30"/>
      <c r="BL206" s="30"/>
      <c r="BM206" s="30"/>
      <c r="BN206" s="30"/>
      <c r="BO206" s="30"/>
      <c r="BP206" s="30"/>
      <c r="BQ206" s="30"/>
      <c r="BR206" s="30" t="e">
        <f>P206/P243-1</f>
        <v>#DIV/0!</v>
      </c>
      <c r="BS206" s="30"/>
      <c r="BT206" s="30"/>
      <c r="BU206" s="30"/>
      <c r="BV206" s="30"/>
      <c r="BW206" s="30"/>
      <c r="BX206" s="30"/>
    </row>
    <row r="207" spans="2:76" ht="15.6" customHeight="1">
      <c r="B207" t="str">
        <f t="shared" si="161"/>
        <v>2020</v>
      </c>
      <c r="C207" s="54">
        <v>202047</v>
      </c>
      <c r="D207" s="54"/>
      <c r="E207" s="54"/>
      <c r="F207" s="54"/>
      <c r="G207" s="29">
        <f t="shared" si="160"/>
        <v>1275239</v>
      </c>
      <c r="H207" s="29">
        <v>633384</v>
      </c>
      <c r="I207" s="69">
        <v>641855</v>
      </c>
      <c r="J207" s="29">
        <v>924861</v>
      </c>
      <c r="K207" s="29">
        <v>67789</v>
      </c>
      <c r="L207" s="29">
        <v>282589</v>
      </c>
      <c r="M207" s="29">
        <v>1090034.938632224</v>
      </c>
      <c r="N207" s="29">
        <f t="shared" si="158"/>
        <v>55454498</v>
      </c>
      <c r="O207" s="29">
        <v>42862337.495563269</v>
      </c>
      <c r="P207" s="29">
        <v>29616896</v>
      </c>
      <c r="Q207" s="29">
        <v>4589283</v>
      </c>
      <c r="R207" s="74">
        <v>403392798.63999891</v>
      </c>
      <c r="S207" s="29">
        <v>127803712</v>
      </c>
      <c r="T207" s="72">
        <f t="shared" si="156"/>
        <v>3.5908839643092681E-2</v>
      </c>
      <c r="U207" s="25">
        <f t="shared" si="157"/>
        <v>87.898871924001838</v>
      </c>
      <c r="V207" s="30">
        <v>0.47199999999999998</v>
      </c>
      <c r="W207" s="30"/>
      <c r="X207" s="30"/>
      <c r="Y207" s="30"/>
      <c r="Z207" s="30"/>
      <c r="AA207" s="30">
        <v>0.47199999999999998</v>
      </c>
      <c r="AB207" s="30">
        <v>0.38600000000000001</v>
      </c>
      <c r="AC207" s="30">
        <v>0.14899999999999999</v>
      </c>
      <c r="AD207" s="30">
        <v>0.41299999999999998</v>
      </c>
      <c r="AE207" s="30">
        <f t="shared" si="144"/>
        <v>0.12200000000000005</v>
      </c>
      <c r="AF207" s="30">
        <v>0.64600000000000002</v>
      </c>
      <c r="AG207" s="30"/>
      <c r="AH207" s="30"/>
      <c r="AI207" s="30">
        <v>0.64600000000000002</v>
      </c>
      <c r="AJ207" s="30">
        <v>0.55800000000000005</v>
      </c>
      <c r="AK207" s="30">
        <v>0.26600000000000001</v>
      </c>
      <c r="AL207" s="30">
        <v>0.58399999999999996</v>
      </c>
      <c r="AM207" s="30">
        <f t="shared" si="145"/>
        <v>0.2400000000000001</v>
      </c>
      <c r="AN207" s="30">
        <v>0.34499999999999997</v>
      </c>
      <c r="AO207" s="30">
        <v>0.27400000000000002</v>
      </c>
      <c r="AP207" s="30">
        <v>0.1</v>
      </c>
      <c r="AQ207" s="30">
        <v>0.30099999999999999</v>
      </c>
      <c r="AR207" s="30">
        <f t="shared" si="146"/>
        <v>7.3000000000000009E-2</v>
      </c>
      <c r="AS207" s="30">
        <v>0.20300000000000001</v>
      </c>
      <c r="AT207" s="30">
        <v>0.156</v>
      </c>
      <c r="AU207" s="30">
        <v>5.2299999999999999E-2</v>
      </c>
      <c r="AV207" s="30">
        <v>0.17499999999999999</v>
      </c>
      <c r="AW207" s="66">
        <f t="shared" si="147"/>
        <v>3.3299999999999996E-2</v>
      </c>
      <c r="AX207" s="30">
        <v>0.76200000000000001</v>
      </c>
      <c r="AY207" s="30">
        <v>0.32</v>
      </c>
      <c r="AZ207" s="30">
        <v>0.80700000000000005</v>
      </c>
      <c r="BA207" s="30">
        <f t="shared" si="148"/>
        <v>0.27500000000000002</v>
      </c>
      <c r="BB207" s="30"/>
      <c r="BC207" s="29"/>
      <c r="BD207" s="29"/>
      <c r="BE207" s="29"/>
      <c r="BF207" s="29"/>
      <c r="BG207" s="29"/>
      <c r="BH207" s="29"/>
      <c r="BI207" s="30">
        <f t="shared" si="159"/>
        <v>-0.15034253101168238</v>
      </c>
      <c r="BJ207" s="30">
        <f>P207/P206-1</f>
        <v>-7.1579942507784988E-2</v>
      </c>
    </row>
    <row r="208" spans="2:76" ht="15.6" customHeight="1">
      <c r="B208" t="str">
        <f t="shared" si="161"/>
        <v>2020</v>
      </c>
      <c r="C208" s="54">
        <v>202048</v>
      </c>
      <c r="D208" s="54"/>
      <c r="E208" s="54"/>
      <c r="F208" s="54"/>
      <c r="G208" s="29">
        <f t="shared" si="160"/>
        <v>1258285</v>
      </c>
      <c r="H208" s="29">
        <v>608611</v>
      </c>
      <c r="I208" s="69">
        <v>649674</v>
      </c>
      <c r="J208" s="29">
        <v>964436</v>
      </c>
      <c r="K208" s="29">
        <v>49822</v>
      </c>
      <c r="L208" s="29">
        <v>244027</v>
      </c>
      <c r="M208" s="29">
        <v>1070588.3503035509</v>
      </c>
      <c r="N208" s="29">
        <f t="shared" si="158"/>
        <v>56712783</v>
      </c>
      <c r="O208" s="29">
        <v>43932925.845866822</v>
      </c>
      <c r="P208" s="29">
        <v>28215709</v>
      </c>
      <c r="Q208" s="29">
        <v>5385765</v>
      </c>
      <c r="R208" s="74">
        <v>476718600.76999992</v>
      </c>
      <c r="S208" s="29">
        <v>120205390</v>
      </c>
      <c r="T208" s="72">
        <f t="shared" si="156"/>
        <v>4.4804688042690929E-2</v>
      </c>
      <c r="U208" s="25">
        <f t="shared" si="157"/>
        <v>88.514556570886384</v>
      </c>
      <c r="V208" s="67">
        <v>0.46300000000000002</v>
      </c>
      <c r="W208" s="67"/>
      <c r="X208" s="67"/>
      <c r="Y208" s="67"/>
      <c r="Z208" s="67"/>
      <c r="AA208" s="67">
        <v>0.46300000000000002</v>
      </c>
      <c r="AB208" s="67">
        <v>0.37</v>
      </c>
      <c r="AC208" s="67">
        <v>0.154</v>
      </c>
      <c r="AD208" s="67">
        <v>0.40300000000000002</v>
      </c>
      <c r="AE208" s="30">
        <f t="shared" si="144"/>
        <v>0.121</v>
      </c>
      <c r="AF208" s="30">
        <v>0.63600000000000001</v>
      </c>
      <c r="AG208" s="30"/>
      <c r="AH208" s="30"/>
      <c r="AI208" s="30">
        <v>0.63600000000000001</v>
      </c>
      <c r="AJ208" s="30">
        <v>0.53800000000000003</v>
      </c>
      <c r="AK208" s="30">
        <v>0.26500000000000001</v>
      </c>
      <c r="AL208" s="30">
        <v>0.56599999999999995</v>
      </c>
      <c r="AM208" s="30">
        <f t="shared" si="145"/>
        <v>0.2370000000000001</v>
      </c>
      <c r="AN208" s="67">
        <v>0.34399999999999997</v>
      </c>
      <c r="AO208" s="67">
        <v>0.26600000000000001</v>
      </c>
      <c r="AP208" s="67">
        <v>9.7900000000000001E-2</v>
      </c>
      <c r="AQ208" s="30">
        <v>0.29499999999999998</v>
      </c>
      <c r="AR208" s="30">
        <f t="shared" si="146"/>
        <v>6.8900000000000017E-2</v>
      </c>
      <c r="AS208" s="30">
        <v>0.20100000000000001</v>
      </c>
      <c r="AT208" s="30">
        <v>0.151</v>
      </c>
      <c r="AU208" s="30">
        <v>5.3800000000000001E-2</v>
      </c>
      <c r="AV208" s="30">
        <v>0.17299999999999999</v>
      </c>
      <c r="AW208" s="66">
        <f t="shared" si="147"/>
        <v>3.1799999999999995E-2</v>
      </c>
      <c r="AX208" s="30">
        <v>0.73199999999999998</v>
      </c>
      <c r="AY208" s="30">
        <v>0.31</v>
      </c>
      <c r="AZ208" s="30">
        <v>0.78400000000000003</v>
      </c>
      <c r="BA208" s="30">
        <f t="shared" si="148"/>
        <v>0.25800000000000001</v>
      </c>
      <c r="BB208" s="30"/>
      <c r="BC208" s="29"/>
      <c r="BD208" s="29"/>
      <c r="BE208" s="29"/>
      <c r="BF208" s="29"/>
      <c r="BG208" s="29"/>
      <c r="BH208" s="29"/>
      <c r="BI208" s="30">
        <f t="shared" si="159"/>
        <v>-1.3294762785642567E-2</v>
      </c>
      <c r="BJ208" s="30">
        <f>P208/P207-1</f>
        <v>-4.731039336465237E-2</v>
      </c>
    </row>
    <row r="209" spans="2:61" ht="15.6" customHeight="1">
      <c r="B209" t="str">
        <f t="shared" si="161"/>
        <v>2020</v>
      </c>
      <c r="C209" s="54">
        <v>202049</v>
      </c>
      <c r="D209" s="54"/>
      <c r="E209" s="54"/>
      <c r="F209" s="54"/>
      <c r="G209" s="29">
        <f t="shared" si="160"/>
        <v>1194696</v>
      </c>
      <c r="H209" s="29">
        <v>612172</v>
      </c>
      <c r="I209" s="69">
        <v>582524</v>
      </c>
      <c r="J209" s="29">
        <v>949692</v>
      </c>
      <c r="K209" s="29">
        <v>51029</v>
      </c>
      <c r="L209" s="29">
        <v>193975</v>
      </c>
      <c r="M209" s="29">
        <v>877126.92238353915</v>
      </c>
      <c r="N209" s="29">
        <f t="shared" si="158"/>
        <v>57907479</v>
      </c>
      <c r="O209" s="29">
        <v>44810052.768250361</v>
      </c>
      <c r="P209" s="29">
        <v>26336880</v>
      </c>
      <c r="Q209" s="29">
        <v>5639371</v>
      </c>
      <c r="R209" s="74">
        <v>512751201.89499903</v>
      </c>
      <c r="S209" s="29">
        <v>113016688</v>
      </c>
      <c r="T209" s="72">
        <f t="shared" si="156"/>
        <v>4.9898568961780229E-2</v>
      </c>
      <c r="U209" s="25">
        <f t="shared" si="157"/>
        <v>90.92347389363087</v>
      </c>
      <c r="V209" s="30">
        <v>0.44600000000000001</v>
      </c>
      <c r="W209" s="30"/>
      <c r="X209" s="30"/>
      <c r="Y209" s="30"/>
      <c r="Z209" s="30"/>
      <c r="AA209" s="30">
        <v>0.44600000000000001</v>
      </c>
      <c r="AB209" s="30">
        <v>0.35</v>
      </c>
      <c r="AC209" s="30">
        <v>0.158</v>
      </c>
      <c r="AD209" s="30">
        <v>0.39</v>
      </c>
      <c r="AE209" s="30">
        <f t="shared" si="144"/>
        <v>0.11799999999999999</v>
      </c>
      <c r="AF209" s="30">
        <v>0.629</v>
      </c>
      <c r="AG209" s="30"/>
      <c r="AH209" s="30"/>
      <c r="AI209" s="30">
        <v>0.629</v>
      </c>
      <c r="AJ209" s="30">
        <v>0.53400000000000003</v>
      </c>
      <c r="AK209" s="30">
        <v>0.27900000000000003</v>
      </c>
      <c r="AL209" s="30">
        <v>0.56699999999999995</v>
      </c>
      <c r="AM209" s="30">
        <f t="shared" si="145"/>
        <v>0.24600000000000011</v>
      </c>
      <c r="AN209" s="30">
        <v>0.34799999999999998</v>
      </c>
      <c r="AO209" s="30">
        <v>0.27</v>
      </c>
      <c r="AP209" s="30">
        <v>0.10100000000000001</v>
      </c>
      <c r="AQ209" s="30">
        <v>0.29899999999999999</v>
      </c>
      <c r="AR209" s="30">
        <f t="shared" si="146"/>
        <v>7.2000000000000008E-2</v>
      </c>
      <c r="AS209" s="30">
        <v>0.20399999999999999</v>
      </c>
      <c r="AT209" s="30">
        <v>0.153</v>
      </c>
      <c r="AU209" s="30">
        <v>5.4699999999999999E-2</v>
      </c>
      <c r="AV209" s="30">
        <v>0.17499999999999999</v>
      </c>
      <c r="AW209" s="66">
        <f t="shared" si="147"/>
        <v>3.2700000000000007E-2</v>
      </c>
      <c r="AX209" s="30">
        <v>0.73799999999999999</v>
      </c>
      <c r="AY209" s="30">
        <v>0.311</v>
      </c>
      <c r="AZ209" s="30">
        <v>0.78800000000000003</v>
      </c>
      <c r="BA209" s="30">
        <f t="shared" si="148"/>
        <v>0.2609999999999999</v>
      </c>
      <c r="BB209" s="30" t="e">
        <f>BB208/BB246-1</f>
        <v>#DIV/0!</v>
      </c>
      <c r="BC209" s="29"/>
      <c r="BD209" s="29"/>
      <c r="BE209" s="29"/>
      <c r="BF209" s="29"/>
      <c r="BG209" s="29"/>
      <c r="BH209" s="29"/>
      <c r="BI209" s="30">
        <f t="shared" si="159"/>
        <v>-5.0536245763082244E-2</v>
      </c>
    </row>
    <row r="210" spans="2:61" ht="15.6" customHeight="1">
      <c r="B210" t="str">
        <f t="shared" si="161"/>
        <v>2020</v>
      </c>
      <c r="C210" s="54">
        <v>202050</v>
      </c>
      <c r="D210" s="54"/>
      <c r="E210" s="54"/>
      <c r="F210" s="54"/>
      <c r="G210" s="29">
        <f t="shared" si="160"/>
        <v>1140120</v>
      </c>
      <c r="H210" s="29">
        <v>572209</v>
      </c>
      <c r="I210" s="69">
        <v>567911</v>
      </c>
      <c r="J210" s="29">
        <v>930119</v>
      </c>
      <c r="K210" s="29">
        <v>47208</v>
      </c>
      <c r="L210" s="29">
        <v>162793</v>
      </c>
      <c r="M210" s="29">
        <v>828754.38306053914</v>
      </c>
      <c r="N210" s="29">
        <f t="shared" si="158"/>
        <v>59047599</v>
      </c>
      <c r="O210" s="29">
        <v>45638807.151310898</v>
      </c>
      <c r="P210" s="29">
        <v>26205735</v>
      </c>
      <c r="Q210" s="29">
        <v>5490805</v>
      </c>
      <c r="R210" s="74">
        <v>501100068.44499999</v>
      </c>
      <c r="S210" s="29">
        <v>110779324</v>
      </c>
      <c r="T210" s="72">
        <f t="shared" si="156"/>
        <v>4.9565251002975971E-2</v>
      </c>
      <c r="U210" s="25">
        <f t="shared" si="157"/>
        <v>91.26167628335007</v>
      </c>
      <c r="V210" s="30">
        <v>0.44800000000000001</v>
      </c>
      <c r="W210" s="30"/>
      <c r="X210" s="30"/>
      <c r="Y210" s="30"/>
      <c r="Z210" s="30"/>
      <c r="AA210" s="30">
        <v>0.44800000000000001</v>
      </c>
      <c r="AB210" s="30">
        <v>0.35499999999999998</v>
      </c>
      <c r="AC210" s="30">
        <v>0.155</v>
      </c>
      <c r="AD210" s="30">
        <v>0.39400000000000002</v>
      </c>
      <c r="AE210" s="30">
        <f t="shared" si="144"/>
        <v>0.11599999999999999</v>
      </c>
      <c r="AF210" s="30">
        <v>0.629</v>
      </c>
      <c r="AG210" s="30"/>
      <c r="AH210" s="30"/>
      <c r="AI210" s="30">
        <v>0.629</v>
      </c>
      <c r="AJ210" s="30">
        <v>0.53700000000000003</v>
      </c>
      <c r="AK210" s="30">
        <v>0.27800000000000002</v>
      </c>
      <c r="AL210" s="30">
        <v>0.56999999999999995</v>
      </c>
      <c r="AM210" s="30">
        <f t="shared" si="145"/>
        <v>0.24500000000000011</v>
      </c>
      <c r="AN210" s="30">
        <v>0.32300000000000001</v>
      </c>
      <c r="AO210" s="30">
        <v>0.24399999999999999</v>
      </c>
      <c r="AP210" s="30">
        <v>0.10100000000000001</v>
      </c>
      <c r="AQ210" s="30">
        <v>0.27800000000000002</v>
      </c>
      <c r="AR210" s="30">
        <f t="shared" si="146"/>
        <v>6.6999999999999948E-2</v>
      </c>
      <c r="AS210" s="30">
        <v>0.188</v>
      </c>
      <c r="AT210" s="30">
        <v>0.13600000000000001</v>
      </c>
      <c r="AU210" s="30">
        <v>5.6500000000000002E-2</v>
      </c>
      <c r="AV210" s="30">
        <v>0.16200000000000001</v>
      </c>
      <c r="AW210" s="66">
        <f t="shared" si="147"/>
        <v>3.0499999999999999E-2</v>
      </c>
      <c r="AX210" s="30">
        <v>0.749</v>
      </c>
      <c r="AY210" s="30">
        <v>0.314</v>
      </c>
      <c r="AZ210" s="30">
        <v>0.80400000000000005</v>
      </c>
      <c r="BA210" s="30">
        <f t="shared" si="148"/>
        <v>0.2589999999999999</v>
      </c>
      <c r="BB210" s="30"/>
      <c r="BC210" s="29"/>
      <c r="BD210" s="29"/>
      <c r="BE210" s="29"/>
      <c r="BF210" s="29"/>
      <c r="BG210" s="29"/>
      <c r="BH210" s="29"/>
      <c r="BI210" s="30">
        <f t="shared" si="159"/>
        <v>-4.5681914060145878E-2</v>
      </c>
    </row>
    <row r="211" spans="2:61" ht="15.6" customHeight="1">
      <c r="B211" t="str">
        <f t="shared" si="161"/>
        <v>2020</v>
      </c>
      <c r="C211" s="54">
        <v>202051</v>
      </c>
      <c r="D211" s="54"/>
      <c r="E211" s="54"/>
      <c r="F211" s="54"/>
      <c r="G211" s="29">
        <f t="shared" si="160"/>
        <v>1080451</v>
      </c>
      <c r="H211" s="29">
        <v>524779</v>
      </c>
      <c r="I211" s="69">
        <v>555672</v>
      </c>
      <c r="J211" s="29">
        <v>909113</v>
      </c>
      <c r="K211" s="29">
        <v>45019</v>
      </c>
      <c r="L211" s="29">
        <v>126319</v>
      </c>
      <c r="M211" s="29">
        <v>837615.75313553913</v>
      </c>
      <c r="N211" s="29">
        <f t="shared" si="158"/>
        <v>60128050</v>
      </c>
      <c r="O211" s="29">
        <v>46476422.904446438</v>
      </c>
      <c r="P211" s="29">
        <v>25932721</v>
      </c>
      <c r="Q211" s="29">
        <v>5161138</v>
      </c>
      <c r="R211" s="74">
        <v>465647288.3949917</v>
      </c>
      <c r="S211" s="29">
        <v>105537707</v>
      </c>
      <c r="T211" s="72">
        <f t="shared" si="156"/>
        <v>4.890326070851625E-2</v>
      </c>
      <c r="U211" s="25">
        <f t="shared" si="157"/>
        <v>90.221824798133994</v>
      </c>
      <c r="V211" s="30">
        <v>0.443</v>
      </c>
      <c r="W211" s="30"/>
      <c r="X211" s="30"/>
      <c r="Y211" s="30"/>
      <c r="Z211" s="30"/>
      <c r="AA211" s="30">
        <v>0.443</v>
      </c>
      <c r="AB211" s="30">
        <v>0.35099999999999998</v>
      </c>
      <c r="AC211" s="30">
        <v>0.14899999999999999</v>
      </c>
      <c r="AD211" s="30">
        <v>0.38900000000000001</v>
      </c>
      <c r="AE211" s="30">
        <f t="shared" si="144"/>
        <v>0.11099999999999999</v>
      </c>
      <c r="AF211" s="30">
        <v>0.63</v>
      </c>
      <c r="AG211" s="30"/>
      <c r="AH211" s="30"/>
      <c r="AI211" s="30">
        <v>0.63</v>
      </c>
      <c r="AJ211" s="30">
        <v>0.54100000000000004</v>
      </c>
      <c r="AK211" s="30">
        <v>0.27100000000000002</v>
      </c>
      <c r="AL211" s="30">
        <v>0.57199999999999995</v>
      </c>
      <c r="AM211" s="30">
        <f t="shared" si="145"/>
        <v>0.2400000000000001</v>
      </c>
      <c r="AN211" s="30">
        <v>0.311</v>
      </c>
      <c r="AO211" s="30">
        <v>0.23499999999999999</v>
      </c>
      <c r="AP211" s="30">
        <v>9.6100000000000005E-2</v>
      </c>
      <c r="AQ211" s="30">
        <v>0.26900000000000002</v>
      </c>
      <c r="AR211" s="30">
        <f t="shared" si="146"/>
        <v>6.2099999999999989E-2</v>
      </c>
      <c r="AS211" s="30">
        <v>0.182</v>
      </c>
      <c r="AT211" s="30">
        <v>0.13300000000000001</v>
      </c>
      <c r="AU211" s="30">
        <v>5.1499999999999997E-2</v>
      </c>
      <c r="AV211" s="30">
        <v>0.157</v>
      </c>
      <c r="AW211" s="30">
        <f t="shared" si="147"/>
        <v>2.7499999999999997E-2</v>
      </c>
      <c r="AX211" s="30">
        <v>0.76200000000000001</v>
      </c>
      <c r="AY211" s="30">
        <v>0.32200000000000001</v>
      </c>
      <c r="AZ211" s="30">
        <v>0.81699999999999995</v>
      </c>
      <c r="BA211" s="30">
        <f t="shared" si="148"/>
        <v>0.26700000000000013</v>
      </c>
      <c r="BB211" s="30"/>
      <c r="BC211" s="29"/>
      <c r="BD211" s="29"/>
      <c r="BE211" s="29"/>
      <c r="BF211" s="29"/>
      <c r="BG211" s="29"/>
      <c r="BH211" s="29"/>
      <c r="BI211" s="30">
        <f t="shared" si="159"/>
        <v>-5.2335719047117868E-2</v>
      </c>
    </row>
    <row r="212" spans="2:61" ht="15.6" customHeight="1">
      <c r="B212" t="str">
        <f t="shared" si="161"/>
        <v>2020</v>
      </c>
      <c r="C212" s="54">
        <v>202052</v>
      </c>
      <c r="D212" s="54"/>
      <c r="E212" s="54"/>
      <c r="F212" s="54"/>
      <c r="G212" s="29">
        <f t="shared" si="160"/>
        <v>1047513</v>
      </c>
      <c r="H212" s="29">
        <v>531179</v>
      </c>
      <c r="I212" s="69">
        <v>516334</v>
      </c>
      <c r="J212" s="29">
        <v>865629</v>
      </c>
      <c r="K212" s="29">
        <v>39713</v>
      </c>
      <c r="L212" s="29">
        <v>142171</v>
      </c>
      <c r="M212" s="29">
        <v>833352.0142755392</v>
      </c>
      <c r="N212" s="29">
        <f t="shared" si="158"/>
        <v>61175563</v>
      </c>
      <c r="O212" s="29">
        <v>47309774.918721966</v>
      </c>
      <c r="P212" s="29">
        <v>25392418</v>
      </c>
      <c r="Q212" s="29">
        <v>5097640</v>
      </c>
      <c r="R212" s="74">
        <v>456772209.72999918</v>
      </c>
      <c r="S212" s="29">
        <v>104938899</v>
      </c>
      <c r="T212" s="72">
        <f t="shared" si="156"/>
        <v>4.8577220159323378E-2</v>
      </c>
      <c r="U212" s="25">
        <f t="shared" si="157"/>
        <v>89.604642487503867</v>
      </c>
      <c r="V212" s="30">
        <v>0.45</v>
      </c>
      <c r="W212" s="30"/>
      <c r="X212" s="30"/>
      <c r="Y212" s="30"/>
      <c r="Z212" s="30"/>
      <c r="AA212" s="30">
        <v>0.45</v>
      </c>
      <c r="AB212" s="30">
        <v>0.35799999999999998</v>
      </c>
      <c r="AC212" s="30">
        <v>0.156</v>
      </c>
      <c r="AD212" s="30">
        <v>0.39700000000000002</v>
      </c>
      <c r="AE212" s="30">
        <f t="shared" si="144"/>
        <v>0.11699999999999999</v>
      </c>
      <c r="AF212" s="30">
        <v>0.63</v>
      </c>
      <c r="AG212" s="30"/>
      <c r="AH212" s="30"/>
      <c r="AI212" s="30">
        <v>0.63</v>
      </c>
      <c r="AJ212" s="30">
        <v>0.54300000000000004</v>
      </c>
      <c r="AK212" s="30">
        <v>0.27400000000000002</v>
      </c>
      <c r="AL212" s="30">
        <v>0.57499999999999996</v>
      </c>
      <c r="AM212" s="30">
        <f t="shared" si="145"/>
        <v>0.2420000000000001</v>
      </c>
      <c r="AN212" s="30">
        <v>0.312</v>
      </c>
      <c r="AO212" s="30">
        <v>0.23400000000000001</v>
      </c>
      <c r="AP212" s="30">
        <v>9.5200000000000007E-2</v>
      </c>
      <c r="AQ212" s="30">
        <v>0.26700000000000002</v>
      </c>
      <c r="AR212" s="30">
        <f t="shared" si="146"/>
        <v>6.2200000000000033E-2</v>
      </c>
      <c r="AS212" s="30">
        <v>0.183</v>
      </c>
      <c r="AT212" s="30">
        <v>0.13300000000000001</v>
      </c>
      <c r="AU212" s="30">
        <v>5.2900000000000003E-2</v>
      </c>
      <c r="AV212" s="30">
        <v>0.157</v>
      </c>
      <c r="AW212" s="30">
        <f t="shared" si="147"/>
        <v>2.8900000000000009E-2</v>
      </c>
      <c r="AX212" s="30">
        <v>0.76700000000000002</v>
      </c>
      <c r="AY212" s="30">
        <v>0.308</v>
      </c>
      <c r="AZ212" s="30">
        <v>0.82099999999999995</v>
      </c>
      <c r="BA212" s="30">
        <f t="shared" si="148"/>
        <v>0.254</v>
      </c>
      <c r="BB212" s="30"/>
      <c r="BC212" s="29"/>
      <c r="BD212" s="29"/>
      <c r="BE212" s="29"/>
      <c r="BF212" s="29"/>
      <c r="BG212" s="29"/>
      <c r="BH212" s="29"/>
    </row>
    <row r="226" spans="16:62">
      <c r="P226" s="34"/>
      <c r="Q226" s="34"/>
      <c r="R226" s="34"/>
      <c r="S226" s="34">
        <v>457141</v>
      </c>
      <c r="T226" s="34"/>
      <c r="U226" s="34"/>
      <c r="V226" s="34"/>
      <c r="W226" s="34"/>
      <c r="X226" s="34"/>
      <c r="Y226" s="34"/>
      <c r="Z226" s="34"/>
      <c r="AA226" s="34"/>
      <c r="AB226" s="34"/>
      <c r="AC226" s="34"/>
      <c r="AD226" s="34"/>
      <c r="AE226" s="34"/>
      <c r="AF226" s="34"/>
      <c r="AG226" s="34"/>
      <c r="AH226" s="34"/>
      <c r="AI226" s="34"/>
      <c r="AJ226" s="34"/>
      <c r="AK226" s="34"/>
      <c r="AL226" s="34"/>
      <c r="AM226" s="34"/>
      <c r="AN226" s="34"/>
      <c r="AO226" s="34"/>
      <c r="AP226" s="34"/>
      <c r="AQ226" s="34"/>
      <c r="AR226" s="34"/>
      <c r="AS226" s="34"/>
      <c r="AT226" s="34"/>
      <c r="AU226" s="34"/>
      <c r="AV226" s="34"/>
      <c r="AW226" s="34"/>
      <c r="AX226" s="34"/>
      <c r="AY226" s="34"/>
      <c r="AZ226" s="34"/>
      <c r="BA226" s="34"/>
      <c r="BB226" s="34"/>
      <c r="BI226" s="34"/>
      <c r="BJ226" s="34">
        <v>502792</v>
      </c>
    </row>
  </sheetData>
  <mergeCells count="17">
    <mergeCell ref="CK1:CL1"/>
    <mergeCell ref="CA1:CB1"/>
    <mergeCell ref="CE1:CF1"/>
    <mergeCell ref="CC1:CD1"/>
    <mergeCell ref="AS1:AW1"/>
    <mergeCell ref="CG1:CH1"/>
    <mergeCell ref="AX1:BA1"/>
    <mergeCell ref="BY1:BZ1"/>
    <mergeCell ref="BC1:BE1"/>
    <mergeCell ref="H1:I1"/>
    <mergeCell ref="BF1:BH1"/>
    <mergeCell ref="AF1:AM1"/>
    <mergeCell ref="CI1:CJ1"/>
    <mergeCell ref="C1:C2"/>
    <mergeCell ref="AN1:AR1"/>
    <mergeCell ref="V1:AE1"/>
    <mergeCell ref="J1:L1"/>
  </mergeCells>
  <pageMargins left="0.7" right="0.7" top="0.75" bottom="0.75" header="0.3" footer="0.3"/>
  <pageSetup paperSize="9" orientation="portrait"/>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214"/>
  <sheetViews>
    <sheetView showGridLines="0" workbookViewId="0">
      <selection activeCell="G3" sqref="G3"/>
    </sheetView>
  </sheetViews>
  <sheetFormatPr defaultRowHeight="15"/>
  <cols>
    <col min="1" max="1" width="8.42578125" customWidth="1"/>
    <col min="2" max="2" width="19.5703125" customWidth="1"/>
    <col min="3" max="3" width="24.42578125" bestFit="1" customWidth="1"/>
    <col min="4" max="6" width="24.42578125" customWidth="1"/>
    <col min="7" max="8" width="12" style="77" bestFit="1" customWidth="1"/>
    <col min="9" max="9" width="9.42578125" style="77" customWidth="1"/>
  </cols>
  <sheetData>
    <row r="1" spans="1:8">
      <c r="C1" s="1081" t="s">
        <v>136</v>
      </c>
      <c r="D1" s="3"/>
      <c r="E1" s="3"/>
      <c r="F1" s="3"/>
    </row>
    <row r="2" spans="1:8">
      <c r="C2" s="1002"/>
    </row>
    <row r="3" spans="1:8">
      <c r="G3" s="77" t="s">
        <v>1002</v>
      </c>
      <c r="H3" s="77" t="s">
        <v>1003</v>
      </c>
    </row>
    <row r="4" spans="1:8">
      <c r="A4" s="47" t="s">
        <v>998</v>
      </c>
      <c r="B4" t="s">
        <v>41</v>
      </c>
      <c r="C4" t="s">
        <v>40</v>
      </c>
      <c r="D4" t="s">
        <v>44</v>
      </c>
      <c r="E4" t="s">
        <v>47</v>
      </c>
      <c r="F4" t="s">
        <v>48</v>
      </c>
    </row>
    <row r="5" spans="1:8">
      <c r="B5" t="str">
        <f t="shared" ref="B5:B68" si="0">LEFT(C5,4)</f>
        <v>2023</v>
      </c>
      <c r="C5" s="50">
        <v>202301</v>
      </c>
      <c r="D5" s="50"/>
      <c r="E5" s="50"/>
      <c r="F5" s="50"/>
    </row>
    <row r="6" spans="1:8">
      <c r="B6" t="str">
        <f t="shared" si="0"/>
        <v>2023</v>
      </c>
      <c r="C6" s="50">
        <v>202302</v>
      </c>
      <c r="D6" s="50"/>
      <c r="E6" s="50"/>
      <c r="F6" s="50"/>
    </row>
    <row r="7" spans="1:8">
      <c r="B7" t="str">
        <f t="shared" si="0"/>
        <v>2023</v>
      </c>
      <c r="C7" s="50">
        <v>202303</v>
      </c>
      <c r="D7" s="50"/>
      <c r="E7" s="50"/>
      <c r="F7" s="50"/>
      <c r="G7" s="77">
        <v>0.43244771835431312</v>
      </c>
      <c r="H7" s="77">
        <v>0.56755228164568694</v>
      </c>
    </row>
    <row r="8" spans="1:8">
      <c r="B8" t="str">
        <f t="shared" si="0"/>
        <v>2023</v>
      </c>
      <c r="C8" s="50">
        <v>202304</v>
      </c>
      <c r="D8" s="50"/>
      <c r="E8" s="50"/>
      <c r="F8" s="50"/>
      <c r="G8" s="77">
        <v>0.42425232376868188</v>
      </c>
      <c r="H8" s="77">
        <v>0.57574767623131806</v>
      </c>
    </row>
    <row r="9" spans="1:8">
      <c r="B9" t="str">
        <f t="shared" si="0"/>
        <v>2023</v>
      </c>
      <c r="C9" s="50">
        <v>202305</v>
      </c>
      <c r="D9" s="50"/>
      <c r="E9" s="50"/>
      <c r="F9" s="50"/>
      <c r="G9" s="77">
        <v>0.44126535412722112</v>
      </c>
      <c r="H9" s="77">
        <v>0.55873464587277899</v>
      </c>
    </row>
    <row r="10" spans="1:8">
      <c r="B10" t="str">
        <f t="shared" si="0"/>
        <v>2023</v>
      </c>
      <c r="C10" s="50">
        <v>202306</v>
      </c>
      <c r="D10" s="50"/>
      <c r="E10" s="50"/>
      <c r="F10" s="50"/>
      <c r="G10" s="77">
        <v>0.46613101945173319</v>
      </c>
      <c r="H10" s="77">
        <v>0.5338689805482667</v>
      </c>
    </row>
    <row r="11" spans="1:8">
      <c r="B11" t="str">
        <f t="shared" si="0"/>
        <v>2023</v>
      </c>
      <c r="C11" s="50">
        <v>202307</v>
      </c>
      <c r="D11" s="50"/>
      <c r="E11" s="50"/>
      <c r="F11" s="50"/>
      <c r="G11" s="77">
        <v>0.47440790580079872</v>
      </c>
      <c r="H11" s="77">
        <v>0.52559209419920128</v>
      </c>
    </row>
    <row r="12" spans="1:8">
      <c r="B12" t="str">
        <f t="shared" si="0"/>
        <v>2023</v>
      </c>
      <c r="C12" s="50">
        <v>202308</v>
      </c>
      <c r="D12" s="50"/>
      <c r="E12" s="50"/>
      <c r="F12" s="50"/>
      <c r="G12" s="77">
        <v>0.47400383687428732</v>
      </c>
      <c r="H12" s="77">
        <v>0.52599616312571273</v>
      </c>
    </row>
    <row r="13" spans="1:8">
      <c r="B13" t="str">
        <f t="shared" si="0"/>
        <v>2023</v>
      </c>
      <c r="C13" s="50">
        <v>202309</v>
      </c>
      <c r="D13" s="50"/>
      <c r="E13" s="50"/>
      <c r="F13" s="50"/>
      <c r="G13" s="77">
        <v>0.46615516545601288</v>
      </c>
      <c r="H13" s="77">
        <v>0.53384483454398712</v>
      </c>
    </row>
    <row r="14" spans="1:8">
      <c r="B14" t="str">
        <f t="shared" si="0"/>
        <v>2023</v>
      </c>
      <c r="C14" s="50">
        <v>202310</v>
      </c>
      <c r="D14" s="50"/>
      <c r="E14" s="50"/>
      <c r="F14" s="50"/>
      <c r="G14" s="77">
        <v>0.46146498347991122</v>
      </c>
      <c r="H14" s="77">
        <v>0.53853501652008884</v>
      </c>
    </row>
    <row r="15" spans="1:8">
      <c r="B15" t="str">
        <f t="shared" si="0"/>
        <v>2023</v>
      </c>
      <c r="C15" s="50">
        <v>202311</v>
      </c>
      <c r="D15" s="50"/>
      <c r="E15" s="50"/>
      <c r="F15" s="50"/>
      <c r="G15" s="77">
        <v>0.46282643813658159</v>
      </c>
      <c r="H15" s="77">
        <v>0.53717356186341836</v>
      </c>
    </row>
    <row r="16" spans="1:8">
      <c r="B16" t="str">
        <f t="shared" si="0"/>
        <v>2023</v>
      </c>
      <c r="C16" s="50">
        <v>202312</v>
      </c>
      <c r="D16" s="50"/>
      <c r="E16" s="50"/>
      <c r="F16" s="50"/>
      <c r="G16" s="77">
        <v>0.46692656439505359</v>
      </c>
      <c r="H16" s="77">
        <v>0.53307343560494636</v>
      </c>
    </row>
    <row r="17" spans="2:8">
      <c r="B17" t="str">
        <f t="shared" si="0"/>
        <v>2023</v>
      </c>
      <c r="C17" s="50">
        <v>202313</v>
      </c>
      <c r="D17" s="50"/>
      <c r="E17" s="50"/>
      <c r="F17" s="50"/>
      <c r="G17" s="77">
        <v>0.5011564072949195</v>
      </c>
      <c r="H17" s="77">
        <v>0.4988435927050805</v>
      </c>
    </row>
    <row r="18" spans="2:8">
      <c r="B18" t="str">
        <f t="shared" si="0"/>
        <v>2023</v>
      </c>
      <c r="C18">
        <v>202314</v>
      </c>
      <c r="G18" s="77">
        <v>0.50417194256347253</v>
      </c>
      <c r="H18" s="77">
        <v>0.49582805743652753</v>
      </c>
    </row>
    <row r="19" spans="2:8">
      <c r="B19" t="str">
        <f t="shared" si="0"/>
        <v>2023</v>
      </c>
      <c r="C19">
        <v>202315</v>
      </c>
      <c r="G19" s="77">
        <v>0.54387910513120175</v>
      </c>
      <c r="H19" s="77">
        <v>0.45612089486879831</v>
      </c>
    </row>
    <row r="20" spans="2:8">
      <c r="B20" t="str">
        <f t="shared" si="0"/>
        <v>2023</v>
      </c>
      <c r="C20">
        <v>202316</v>
      </c>
      <c r="G20" s="77">
        <v>0.46299020695806942</v>
      </c>
      <c r="H20" s="77">
        <v>0.53700979304193064</v>
      </c>
    </row>
    <row r="21" spans="2:8">
      <c r="B21" t="str">
        <f t="shared" si="0"/>
        <v>2023</v>
      </c>
      <c r="C21">
        <v>202317</v>
      </c>
      <c r="G21" s="77">
        <v>0.45</v>
      </c>
      <c r="H21" s="77">
        <v>0.55000000000000004</v>
      </c>
    </row>
    <row r="22" spans="2:8">
      <c r="B22" t="str">
        <f t="shared" si="0"/>
        <v>2023</v>
      </c>
      <c r="C22">
        <v>202318</v>
      </c>
      <c r="G22" s="77">
        <v>0.44</v>
      </c>
      <c r="H22" s="77">
        <v>0.56000000000000005</v>
      </c>
    </row>
    <row r="23" spans="2:8">
      <c r="B23" t="str">
        <f t="shared" si="0"/>
        <v>2023</v>
      </c>
      <c r="C23">
        <v>202319</v>
      </c>
      <c r="G23" s="77">
        <v>0.44</v>
      </c>
      <c r="H23" s="77">
        <v>0.56000000000000005</v>
      </c>
    </row>
    <row r="24" spans="2:8">
      <c r="B24" t="str">
        <f t="shared" si="0"/>
        <v>2023</v>
      </c>
      <c r="C24">
        <v>202320</v>
      </c>
      <c r="G24" s="77">
        <v>0.43473052928640321</v>
      </c>
      <c r="H24" s="77">
        <v>0.56526947071359679</v>
      </c>
    </row>
    <row r="25" spans="2:8">
      <c r="B25" t="str">
        <f t="shared" si="0"/>
        <v>2023</v>
      </c>
      <c r="C25">
        <v>202321</v>
      </c>
      <c r="G25" s="77">
        <v>0.43757164288565248</v>
      </c>
      <c r="H25" s="77">
        <v>0.56242835711434747</v>
      </c>
    </row>
    <row r="26" spans="2:8">
      <c r="B26" t="str">
        <f t="shared" si="0"/>
        <v>2023</v>
      </c>
      <c r="C26">
        <v>202322</v>
      </c>
      <c r="G26" s="77">
        <v>0.4357307320838304</v>
      </c>
      <c r="H26" s="77">
        <v>0.5642692679161696</v>
      </c>
    </row>
    <row r="27" spans="2:8">
      <c r="B27" t="str">
        <f t="shared" si="0"/>
        <v>2023</v>
      </c>
      <c r="C27">
        <v>202323</v>
      </c>
      <c r="G27" s="77">
        <v>0.43326993599643249</v>
      </c>
      <c r="H27" s="77">
        <v>0.56673006400356751</v>
      </c>
    </row>
    <row r="28" spans="2:8">
      <c r="B28" t="str">
        <f t="shared" si="0"/>
        <v>2023</v>
      </c>
      <c r="C28">
        <v>202324</v>
      </c>
      <c r="G28" s="77">
        <v>0.44135071868790787</v>
      </c>
      <c r="H28" s="77">
        <v>0.55864928131209202</v>
      </c>
    </row>
    <row r="29" spans="2:8">
      <c r="B29" t="str">
        <f t="shared" si="0"/>
        <v>2023</v>
      </c>
      <c r="C29">
        <v>202325</v>
      </c>
      <c r="G29" s="77">
        <v>0.45027926947870978</v>
      </c>
      <c r="H29" s="77">
        <v>0.54972073052129022</v>
      </c>
    </row>
    <row r="30" spans="2:8">
      <c r="B30" t="str">
        <f t="shared" si="0"/>
        <v>2023</v>
      </c>
      <c r="C30">
        <v>202326</v>
      </c>
      <c r="G30" s="77">
        <v>0.44013052100831063</v>
      </c>
      <c r="H30" s="77">
        <v>0.55986947899168937</v>
      </c>
    </row>
    <row r="31" spans="2:8">
      <c r="B31" t="str">
        <f t="shared" si="0"/>
        <v>2023</v>
      </c>
      <c r="C31">
        <v>202327</v>
      </c>
      <c r="G31" s="77" t="s">
        <v>309</v>
      </c>
      <c r="H31" s="77" t="s">
        <v>309</v>
      </c>
    </row>
    <row r="32" spans="2:8">
      <c r="B32" t="str">
        <f t="shared" si="0"/>
        <v>2023</v>
      </c>
      <c r="C32">
        <v>202328</v>
      </c>
      <c r="G32" s="77" t="s">
        <v>309</v>
      </c>
      <c r="H32" s="77" t="s">
        <v>309</v>
      </c>
    </row>
    <row r="33" spans="2:8">
      <c r="B33" t="str">
        <f t="shared" si="0"/>
        <v>2023</v>
      </c>
      <c r="C33">
        <v>202329</v>
      </c>
      <c r="G33" s="77" t="s">
        <v>309</v>
      </c>
      <c r="H33" s="77" t="s">
        <v>309</v>
      </c>
    </row>
    <row r="34" spans="2:8">
      <c r="B34" t="str">
        <f t="shared" si="0"/>
        <v>2023</v>
      </c>
      <c r="C34">
        <v>202330</v>
      </c>
      <c r="G34" s="77" t="s">
        <v>309</v>
      </c>
      <c r="H34" s="77" t="s">
        <v>309</v>
      </c>
    </row>
    <row r="35" spans="2:8">
      <c r="B35" t="str">
        <f t="shared" si="0"/>
        <v>2023</v>
      </c>
      <c r="C35">
        <v>202331</v>
      </c>
      <c r="G35" s="77" t="s">
        <v>309</v>
      </c>
      <c r="H35" s="77" t="s">
        <v>309</v>
      </c>
    </row>
    <row r="36" spans="2:8">
      <c r="B36" t="str">
        <f t="shared" si="0"/>
        <v>2023</v>
      </c>
      <c r="C36">
        <v>202332</v>
      </c>
      <c r="G36" s="77" t="s">
        <v>309</v>
      </c>
      <c r="H36" s="77" t="s">
        <v>309</v>
      </c>
    </row>
    <row r="37" spans="2:8">
      <c r="B37" t="str">
        <f t="shared" si="0"/>
        <v>2023</v>
      </c>
      <c r="C37">
        <v>202333</v>
      </c>
      <c r="G37" s="77" t="s">
        <v>309</v>
      </c>
      <c r="H37" s="77" t="s">
        <v>309</v>
      </c>
    </row>
    <row r="38" spans="2:8">
      <c r="B38" t="str">
        <f t="shared" si="0"/>
        <v>2023</v>
      </c>
      <c r="C38">
        <v>202334</v>
      </c>
      <c r="G38" s="77" t="s">
        <v>309</v>
      </c>
      <c r="H38" s="77" t="s">
        <v>309</v>
      </c>
    </row>
    <row r="39" spans="2:8">
      <c r="B39" t="str">
        <f t="shared" si="0"/>
        <v>2023</v>
      </c>
      <c r="C39">
        <v>202335</v>
      </c>
      <c r="G39" s="77" t="s">
        <v>309</v>
      </c>
      <c r="H39" s="77" t="s">
        <v>309</v>
      </c>
    </row>
    <row r="40" spans="2:8">
      <c r="B40" t="str">
        <f t="shared" si="0"/>
        <v>2023</v>
      </c>
      <c r="C40">
        <v>202336</v>
      </c>
      <c r="G40" s="77" t="s">
        <v>309</v>
      </c>
      <c r="H40" s="77" t="s">
        <v>309</v>
      </c>
    </row>
    <row r="41" spans="2:8">
      <c r="B41" t="str">
        <f t="shared" si="0"/>
        <v>2023</v>
      </c>
      <c r="C41">
        <v>202337</v>
      </c>
      <c r="G41" s="77" t="s">
        <v>309</v>
      </c>
      <c r="H41" s="77" t="s">
        <v>309</v>
      </c>
    </row>
    <row r="42" spans="2:8">
      <c r="B42" t="str">
        <f t="shared" si="0"/>
        <v>2023</v>
      </c>
      <c r="C42">
        <v>202338</v>
      </c>
      <c r="G42" s="77" t="s">
        <v>309</v>
      </c>
      <c r="H42" s="77" t="s">
        <v>309</v>
      </c>
    </row>
    <row r="43" spans="2:8">
      <c r="B43" t="str">
        <f t="shared" si="0"/>
        <v>2023</v>
      </c>
      <c r="C43">
        <v>202339</v>
      </c>
      <c r="G43" s="77" t="s">
        <v>309</v>
      </c>
      <c r="H43" s="77" t="s">
        <v>309</v>
      </c>
    </row>
    <row r="44" spans="2:8">
      <c r="B44" t="str">
        <f t="shared" si="0"/>
        <v>2023</v>
      </c>
      <c r="C44">
        <v>202340</v>
      </c>
      <c r="G44" s="77" t="s">
        <v>309</v>
      </c>
      <c r="H44" s="77" t="s">
        <v>309</v>
      </c>
    </row>
    <row r="45" spans="2:8">
      <c r="B45" t="str">
        <f t="shared" si="0"/>
        <v>2023</v>
      </c>
      <c r="C45">
        <v>202341</v>
      </c>
      <c r="G45" s="77" t="s">
        <v>309</v>
      </c>
      <c r="H45" s="77" t="s">
        <v>309</v>
      </c>
    </row>
    <row r="46" spans="2:8">
      <c r="B46" t="str">
        <f t="shared" si="0"/>
        <v>2023</v>
      </c>
      <c r="C46">
        <v>202342</v>
      </c>
      <c r="G46" s="77" t="s">
        <v>309</v>
      </c>
      <c r="H46" s="77" t="s">
        <v>309</v>
      </c>
    </row>
    <row r="47" spans="2:8">
      <c r="B47" t="str">
        <f t="shared" si="0"/>
        <v>2023</v>
      </c>
      <c r="C47">
        <v>202343</v>
      </c>
      <c r="G47" s="77" t="s">
        <v>309</v>
      </c>
      <c r="H47" s="77" t="s">
        <v>309</v>
      </c>
    </row>
    <row r="48" spans="2:8">
      <c r="B48" t="str">
        <f t="shared" si="0"/>
        <v>2023</v>
      </c>
      <c r="C48">
        <v>202344</v>
      </c>
      <c r="G48" s="77" t="s">
        <v>309</v>
      </c>
      <c r="H48" s="77" t="s">
        <v>309</v>
      </c>
    </row>
    <row r="49" spans="2:8">
      <c r="B49" t="str">
        <f t="shared" si="0"/>
        <v>2023</v>
      </c>
      <c r="C49">
        <v>202345</v>
      </c>
      <c r="G49" s="77" t="s">
        <v>309</v>
      </c>
      <c r="H49" s="77" t="s">
        <v>309</v>
      </c>
    </row>
    <row r="50" spans="2:8">
      <c r="B50" t="str">
        <f t="shared" si="0"/>
        <v>2023</v>
      </c>
      <c r="C50">
        <v>202346</v>
      </c>
      <c r="G50" s="77" t="s">
        <v>309</v>
      </c>
      <c r="H50" s="77" t="s">
        <v>309</v>
      </c>
    </row>
    <row r="51" spans="2:8">
      <c r="B51" t="str">
        <f t="shared" si="0"/>
        <v>2023</v>
      </c>
      <c r="C51">
        <v>202347</v>
      </c>
      <c r="G51" s="77" t="s">
        <v>309</v>
      </c>
      <c r="H51" s="77" t="s">
        <v>309</v>
      </c>
    </row>
    <row r="52" spans="2:8">
      <c r="B52" t="str">
        <f t="shared" si="0"/>
        <v>2023</v>
      </c>
      <c r="C52">
        <v>202348</v>
      </c>
      <c r="G52" s="77" t="s">
        <v>309</v>
      </c>
      <c r="H52" s="77" t="s">
        <v>309</v>
      </c>
    </row>
    <row r="53" spans="2:8">
      <c r="B53" t="str">
        <f t="shared" si="0"/>
        <v>2023</v>
      </c>
      <c r="C53">
        <v>202349</v>
      </c>
      <c r="G53" s="77" t="s">
        <v>309</v>
      </c>
      <c r="H53" s="77" t="s">
        <v>309</v>
      </c>
    </row>
    <row r="54" spans="2:8">
      <c r="B54" t="str">
        <f t="shared" si="0"/>
        <v>2023</v>
      </c>
      <c r="C54">
        <v>202350</v>
      </c>
      <c r="G54" s="77" t="s">
        <v>309</v>
      </c>
      <c r="H54" s="77" t="s">
        <v>309</v>
      </c>
    </row>
    <row r="55" spans="2:8">
      <c r="B55" t="str">
        <f t="shared" si="0"/>
        <v>2023</v>
      </c>
      <c r="C55">
        <v>202351</v>
      </c>
      <c r="G55" s="77" t="s">
        <v>309</v>
      </c>
      <c r="H55" s="77" t="s">
        <v>309</v>
      </c>
    </row>
    <row r="56" spans="2:8">
      <c r="B56" t="str">
        <f t="shared" si="0"/>
        <v>2023</v>
      </c>
      <c r="C56">
        <v>202352</v>
      </c>
      <c r="G56" s="77" t="s">
        <v>309</v>
      </c>
      <c r="H56" s="77" t="s">
        <v>309</v>
      </c>
    </row>
    <row r="57" spans="2:8">
      <c r="B57" t="str">
        <f t="shared" si="0"/>
        <v>2022</v>
      </c>
      <c r="C57">
        <v>202201</v>
      </c>
      <c r="G57" s="77" t="s">
        <v>309</v>
      </c>
      <c r="H57" s="77" t="s">
        <v>309</v>
      </c>
    </row>
    <row r="58" spans="2:8">
      <c r="B58" t="str">
        <f t="shared" si="0"/>
        <v>2022</v>
      </c>
      <c r="C58">
        <v>202202</v>
      </c>
      <c r="G58" s="77" t="s">
        <v>309</v>
      </c>
      <c r="H58" s="77" t="s">
        <v>309</v>
      </c>
    </row>
    <row r="59" spans="2:8">
      <c r="B59" t="str">
        <f t="shared" si="0"/>
        <v>2022</v>
      </c>
      <c r="C59">
        <v>202203</v>
      </c>
      <c r="G59" s="77">
        <v>0.41762848484267262</v>
      </c>
      <c r="H59" s="77">
        <v>0.58237151515732744</v>
      </c>
    </row>
    <row r="60" spans="2:8">
      <c r="B60" t="str">
        <f t="shared" si="0"/>
        <v>2022</v>
      </c>
      <c r="C60">
        <v>202204</v>
      </c>
      <c r="G60" s="77">
        <v>0.41378188435764113</v>
      </c>
      <c r="H60" s="77">
        <v>0.58621811564235893</v>
      </c>
    </row>
    <row r="61" spans="2:8">
      <c r="B61" t="str">
        <f t="shared" si="0"/>
        <v>2022</v>
      </c>
      <c r="C61">
        <v>202205</v>
      </c>
      <c r="G61" s="77">
        <v>0.41803720040401932</v>
      </c>
      <c r="H61" s="77">
        <v>0.58196279959598074</v>
      </c>
    </row>
    <row r="62" spans="2:8">
      <c r="B62" t="str">
        <f t="shared" si="0"/>
        <v>2022</v>
      </c>
      <c r="C62">
        <v>202206</v>
      </c>
      <c r="G62" s="77">
        <v>0.46579075805399872</v>
      </c>
      <c r="H62" s="77">
        <v>0.53420924194600128</v>
      </c>
    </row>
    <row r="63" spans="2:8">
      <c r="B63" t="str">
        <f t="shared" si="0"/>
        <v>2022</v>
      </c>
      <c r="C63">
        <v>202207</v>
      </c>
      <c r="G63" s="77">
        <v>0.45420002123904551</v>
      </c>
      <c r="H63" s="77">
        <v>0.54579997876095454</v>
      </c>
    </row>
    <row r="64" spans="2:8">
      <c r="B64" t="str">
        <f t="shared" si="0"/>
        <v>2022</v>
      </c>
      <c r="C64">
        <v>202208</v>
      </c>
      <c r="G64" s="77">
        <v>0.43517399202280682</v>
      </c>
      <c r="H64" s="77">
        <v>0.56482600797719329</v>
      </c>
    </row>
    <row r="65" spans="2:8">
      <c r="B65" t="str">
        <f t="shared" si="0"/>
        <v>2022</v>
      </c>
      <c r="C65">
        <v>202209</v>
      </c>
      <c r="G65" s="77">
        <v>0.41845384975792599</v>
      </c>
      <c r="H65" s="77">
        <v>0.58154615024207401</v>
      </c>
    </row>
    <row r="66" spans="2:8">
      <c r="B66" t="str">
        <f t="shared" si="0"/>
        <v>2022</v>
      </c>
      <c r="C66">
        <v>202210</v>
      </c>
      <c r="G66" s="77">
        <v>0.42223409823177499</v>
      </c>
      <c r="H66" s="77">
        <v>0.57776590176822495</v>
      </c>
    </row>
    <row r="67" spans="2:8">
      <c r="B67" t="str">
        <f t="shared" si="0"/>
        <v>2022</v>
      </c>
      <c r="C67">
        <v>202211</v>
      </c>
      <c r="G67" s="77">
        <v>0.44151373622235629</v>
      </c>
      <c r="H67" s="77">
        <v>0.55848626377764365</v>
      </c>
    </row>
    <row r="68" spans="2:8">
      <c r="B68" t="str">
        <f t="shared" si="0"/>
        <v>2022</v>
      </c>
      <c r="C68">
        <v>202212</v>
      </c>
      <c r="G68" s="77">
        <v>0.4430768943217076</v>
      </c>
      <c r="H68" s="77">
        <v>0.56016338122515275</v>
      </c>
    </row>
    <row r="69" spans="2:8">
      <c r="B69" t="str">
        <f t="shared" ref="B69:B132" si="1">LEFT(C69,4)</f>
        <v>2022</v>
      </c>
      <c r="C69">
        <v>202213</v>
      </c>
      <c r="G69" s="77">
        <v>0.42813799424624072</v>
      </c>
      <c r="H69" s="77">
        <v>0.57186200575375923</v>
      </c>
    </row>
    <row r="70" spans="2:8">
      <c r="B70" t="str">
        <f t="shared" si="1"/>
        <v>2022</v>
      </c>
      <c r="C70">
        <v>202214</v>
      </c>
      <c r="G70" s="77">
        <v>0.44342773321862611</v>
      </c>
      <c r="H70" s="77">
        <v>0.55657226678137395</v>
      </c>
    </row>
    <row r="71" spans="2:8">
      <c r="B71" t="str">
        <f t="shared" si="1"/>
        <v>2022</v>
      </c>
      <c r="C71">
        <v>202215</v>
      </c>
      <c r="G71" s="77">
        <v>0.46416908958090441</v>
      </c>
      <c r="H71" s="77">
        <v>0.53583091041909559</v>
      </c>
    </row>
    <row r="72" spans="2:8">
      <c r="B72" t="str">
        <f t="shared" si="1"/>
        <v>2022</v>
      </c>
      <c r="C72">
        <v>202216</v>
      </c>
      <c r="G72" s="77">
        <v>0.43177410168334801</v>
      </c>
      <c r="H72" s="77">
        <v>0.56822589831665204</v>
      </c>
    </row>
    <row r="73" spans="2:8">
      <c r="B73" t="str">
        <f t="shared" si="1"/>
        <v>2022</v>
      </c>
      <c r="C73">
        <v>202217</v>
      </c>
      <c r="G73" s="77">
        <v>0.42648088819677621</v>
      </c>
      <c r="H73" s="77">
        <v>0.57351911180322379</v>
      </c>
    </row>
    <row r="74" spans="2:8">
      <c r="B74" t="str">
        <f t="shared" si="1"/>
        <v>2022</v>
      </c>
      <c r="C74">
        <v>202218</v>
      </c>
      <c r="G74" s="77">
        <v>0.41283943505899962</v>
      </c>
      <c r="H74" s="77">
        <v>0.58716056494100044</v>
      </c>
    </row>
    <row r="75" spans="2:8">
      <c r="B75" t="str">
        <f t="shared" si="1"/>
        <v>2022</v>
      </c>
      <c r="C75">
        <v>202219</v>
      </c>
      <c r="G75" s="77">
        <v>0.41567313708638781</v>
      </c>
      <c r="H75" s="77">
        <v>0.58432686291361224</v>
      </c>
    </row>
    <row r="76" spans="2:8">
      <c r="B76" t="str">
        <f t="shared" si="1"/>
        <v>2022</v>
      </c>
      <c r="C76">
        <v>202220</v>
      </c>
      <c r="G76" s="77">
        <v>0.4143743411535058</v>
      </c>
      <c r="H76" s="77">
        <v>0.5856256588464942</v>
      </c>
    </row>
    <row r="77" spans="2:8">
      <c r="B77" t="str">
        <f t="shared" si="1"/>
        <v>2022</v>
      </c>
      <c r="C77">
        <v>202221</v>
      </c>
      <c r="G77" s="77">
        <v>0.41880208374011041</v>
      </c>
      <c r="H77" s="77">
        <v>0.58119791625988959</v>
      </c>
    </row>
    <row r="78" spans="2:8">
      <c r="B78" t="str">
        <f t="shared" si="1"/>
        <v>2022</v>
      </c>
      <c r="C78">
        <v>202222</v>
      </c>
      <c r="G78" s="77">
        <v>0.40764940132504052</v>
      </c>
      <c r="H78" s="77">
        <v>0.59235059867495954</v>
      </c>
    </row>
    <row r="79" spans="2:8">
      <c r="B79" t="str">
        <f t="shared" si="1"/>
        <v>2022</v>
      </c>
      <c r="C79">
        <v>202223</v>
      </c>
      <c r="G79" s="77">
        <v>0.4080734033807708</v>
      </c>
      <c r="H79" s="77">
        <v>0.5919265966192292</v>
      </c>
    </row>
    <row r="80" spans="2:8">
      <c r="B80" t="str">
        <f t="shared" si="1"/>
        <v>2022</v>
      </c>
      <c r="C80">
        <v>202224</v>
      </c>
      <c r="G80" s="77">
        <v>0.41808269121084363</v>
      </c>
      <c r="H80" s="77">
        <v>0.58191730878915637</v>
      </c>
    </row>
    <row r="81" spans="2:8">
      <c r="B81" t="str">
        <f t="shared" si="1"/>
        <v>2022</v>
      </c>
      <c r="C81">
        <v>202225</v>
      </c>
      <c r="G81" s="77">
        <v>0.41588213016278658</v>
      </c>
      <c r="H81" s="77">
        <v>0.58411786983721337</v>
      </c>
    </row>
    <row r="82" spans="2:8">
      <c r="B82" t="str">
        <f t="shared" si="1"/>
        <v>2022</v>
      </c>
      <c r="C82">
        <v>202226</v>
      </c>
      <c r="G82" s="77">
        <v>0.41224809096019172</v>
      </c>
      <c r="H82" s="77">
        <v>0.58775190903980823</v>
      </c>
    </row>
    <row r="83" spans="2:8">
      <c r="B83" t="str">
        <f t="shared" si="1"/>
        <v>2022</v>
      </c>
      <c r="C83" s="21">
        <v>202227</v>
      </c>
      <c r="D83" s="21"/>
      <c r="E83" s="21"/>
      <c r="F83" s="21"/>
      <c r="G83" s="77">
        <v>0.4168262203388598</v>
      </c>
      <c r="H83" s="77">
        <v>0.58317377966114026</v>
      </c>
    </row>
    <row r="84" spans="2:8">
      <c r="B84" t="str">
        <f t="shared" si="1"/>
        <v>2022</v>
      </c>
      <c r="C84" s="21">
        <v>202228</v>
      </c>
      <c r="D84" s="21"/>
      <c r="E84" s="21"/>
      <c r="F84" s="21"/>
      <c r="G84" s="77">
        <v>0.42041155738623143</v>
      </c>
      <c r="H84" s="77">
        <v>0.57958844261376852</v>
      </c>
    </row>
    <row r="85" spans="2:8">
      <c r="B85" t="str">
        <f t="shared" si="1"/>
        <v>2022</v>
      </c>
      <c r="C85" s="21">
        <v>202229</v>
      </c>
      <c r="D85" s="21"/>
      <c r="E85" s="21"/>
      <c r="F85" s="21"/>
      <c r="G85" s="77">
        <v>0.4268675273046138</v>
      </c>
      <c r="H85" s="77">
        <v>0.57313247269538614</v>
      </c>
    </row>
    <row r="86" spans="2:8">
      <c r="B86" t="str">
        <f t="shared" si="1"/>
        <v>2022</v>
      </c>
      <c r="C86" s="21">
        <v>202230</v>
      </c>
      <c r="D86" s="21"/>
      <c r="E86" s="21"/>
      <c r="F86" s="21"/>
      <c r="G86" s="77">
        <v>0.42352062702962762</v>
      </c>
      <c r="H86" s="77">
        <v>0.57647937297037244</v>
      </c>
    </row>
    <row r="87" spans="2:8">
      <c r="B87" t="str">
        <f t="shared" si="1"/>
        <v>2022</v>
      </c>
      <c r="C87" s="21">
        <v>202231</v>
      </c>
      <c r="D87" s="21"/>
      <c r="E87" s="21"/>
      <c r="F87" s="21"/>
      <c r="G87" s="77">
        <v>0.42029044083470418</v>
      </c>
      <c r="H87" s="77">
        <v>0.57970955916529587</v>
      </c>
    </row>
    <row r="88" spans="2:8">
      <c r="B88" t="str">
        <f t="shared" si="1"/>
        <v>2022</v>
      </c>
      <c r="C88" s="21">
        <v>202232</v>
      </c>
      <c r="D88" s="21"/>
      <c r="E88" s="21"/>
      <c r="F88" s="21"/>
      <c r="G88" s="77">
        <v>0.42520106610806691</v>
      </c>
      <c r="H88" s="77">
        <v>0.57479893389193304</v>
      </c>
    </row>
    <row r="89" spans="2:8">
      <c r="B89" t="str">
        <f t="shared" si="1"/>
        <v>2022</v>
      </c>
      <c r="C89" s="21">
        <v>202233</v>
      </c>
      <c r="D89" s="21"/>
      <c r="E89" s="21"/>
      <c r="F89" s="21"/>
      <c r="G89" s="77">
        <v>0.44368404356561281</v>
      </c>
      <c r="H89" s="77">
        <v>0.55631595643438725</v>
      </c>
    </row>
    <row r="90" spans="2:8">
      <c r="B90" t="str">
        <f t="shared" si="1"/>
        <v>2022</v>
      </c>
      <c r="C90" s="21">
        <v>202234</v>
      </c>
      <c r="D90" s="21"/>
      <c r="E90" s="21"/>
      <c r="F90" s="21"/>
      <c r="G90" s="77">
        <v>0.44240307100124832</v>
      </c>
      <c r="H90" s="77">
        <v>0.55759692899875168</v>
      </c>
    </row>
    <row r="91" spans="2:8">
      <c r="B91" t="str">
        <f t="shared" si="1"/>
        <v>2022</v>
      </c>
      <c r="C91" s="21">
        <v>202235</v>
      </c>
      <c r="D91" s="21"/>
      <c r="E91" s="21"/>
      <c r="F91" s="21"/>
      <c r="G91" s="77">
        <v>0.44197929126996582</v>
      </c>
      <c r="H91" s="77">
        <v>0.55802070873003418</v>
      </c>
    </row>
    <row r="92" spans="2:8">
      <c r="B92" t="str">
        <f t="shared" si="1"/>
        <v>2022</v>
      </c>
      <c r="C92" s="21">
        <v>202236</v>
      </c>
      <c r="D92" s="21"/>
      <c r="E92" s="21"/>
      <c r="F92" s="21"/>
      <c r="G92" s="77">
        <v>0.42811021818178152</v>
      </c>
      <c r="H92" s="77">
        <v>0.57188978181821848</v>
      </c>
    </row>
    <row r="93" spans="2:8">
      <c r="B93" t="str">
        <f t="shared" si="1"/>
        <v>2022</v>
      </c>
      <c r="C93" s="21">
        <v>202237</v>
      </c>
      <c r="D93" s="21"/>
      <c r="E93" s="21"/>
      <c r="F93" s="21"/>
      <c r="G93" s="77">
        <v>0.42873558893253172</v>
      </c>
      <c r="H93" s="77">
        <v>0.57126441106746828</v>
      </c>
    </row>
    <row r="94" spans="2:8">
      <c r="B94" t="str">
        <f t="shared" si="1"/>
        <v>2022</v>
      </c>
      <c r="C94" s="21">
        <v>202238</v>
      </c>
      <c r="D94" s="21"/>
      <c r="E94" s="21"/>
      <c r="F94" s="21"/>
      <c r="G94" s="77">
        <v>0.41027562588774541</v>
      </c>
      <c r="H94" s="77">
        <v>0.58972437411225465</v>
      </c>
    </row>
    <row r="95" spans="2:8">
      <c r="B95" t="str">
        <f t="shared" si="1"/>
        <v>2022</v>
      </c>
      <c r="C95" s="21">
        <v>202239</v>
      </c>
      <c r="D95" s="21"/>
      <c r="E95" s="21"/>
      <c r="F95" s="21"/>
      <c r="G95" s="77">
        <v>0.41954316463787211</v>
      </c>
      <c r="H95" s="77">
        <v>0.580456835362128</v>
      </c>
    </row>
    <row r="96" spans="2:8">
      <c r="B96" t="str">
        <f t="shared" si="1"/>
        <v>2022</v>
      </c>
      <c r="C96" s="50">
        <v>202240</v>
      </c>
      <c r="D96" s="50"/>
      <c r="E96" s="50"/>
      <c r="F96" s="50"/>
      <c r="G96" s="77">
        <v>0.4231331123223015</v>
      </c>
      <c r="H96" s="77">
        <v>0.57686688767769845</v>
      </c>
    </row>
    <row r="97" spans="2:8">
      <c r="B97" t="str">
        <f t="shared" si="1"/>
        <v>2022</v>
      </c>
      <c r="C97" s="50">
        <v>202241</v>
      </c>
      <c r="D97" s="50"/>
      <c r="E97" s="50"/>
      <c r="F97" s="50"/>
      <c r="G97" s="77">
        <v>0.41991208317164253</v>
      </c>
      <c r="H97" s="77">
        <v>0.58008791682835759</v>
      </c>
    </row>
    <row r="98" spans="2:8">
      <c r="B98" t="str">
        <f t="shared" si="1"/>
        <v>2022</v>
      </c>
      <c r="C98" s="50">
        <v>202242</v>
      </c>
      <c r="D98" s="50"/>
      <c r="E98" s="50"/>
      <c r="F98" s="50"/>
      <c r="G98" s="77">
        <v>0.42914097053510247</v>
      </c>
      <c r="H98" s="77">
        <v>0.57085902946489753</v>
      </c>
    </row>
    <row r="99" spans="2:8">
      <c r="B99" t="str">
        <f t="shared" si="1"/>
        <v>2022</v>
      </c>
      <c r="C99" s="50">
        <v>202243</v>
      </c>
      <c r="D99" s="50"/>
      <c r="E99" s="50"/>
      <c r="F99" s="50"/>
      <c r="G99" s="77">
        <v>0.42260971015823512</v>
      </c>
      <c r="H99" s="77">
        <v>0.57739028984176488</v>
      </c>
    </row>
    <row r="100" spans="2:8">
      <c r="B100" t="str">
        <f t="shared" si="1"/>
        <v>2022</v>
      </c>
      <c r="C100" s="50">
        <v>202244</v>
      </c>
      <c r="D100" s="50"/>
      <c r="E100" s="50"/>
      <c r="F100" s="50"/>
      <c r="G100" s="77">
        <v>0.41380681779880962</v>
      </c>
      <c r="H100" s="77">
        <v>0.58619318220119043</v>
      </c>
    </row>
    <row r="101" spans="2:8">
      <c r="B101" t="str">
        <f t="shared" si="1"/>
        <v>2022</v>
      </c>
      <c r="C101" s="50">
        <v>202245</v>
      </c>
      <c r="D101" s="50"/>
      <c r="E101" s="50"/>
      <c r="F101" s="50"/>
      <c r="G101" s="77">
        <v>0.39962360755084508</v>
      </c>
      <c r="H101" s="77">
        <v>0.60037639244915486</v>
      </c>
    </row>
    <row r="102" spans="2:8">
      <c r="B102" t="str">
        <f t="shared" si="1"/>
        <v>2022</v>
      </c>
      <c r="C102" s="50">
        <v>202246</v>
      </c>
      <c r="D102" s="50"/>
      <c r="E102" s="50"/>
      <c r="F102" s="50"/>
      <c r="G102" s="77">
        <v>0.42328339277374433</v>
      </c>
      <c r="H102" s="77">
        <v>0.57671660722625573</v>
      </c>
    </row>
    <row r="103" spans="2:8">
      <c r="B103" t="str">
        <f t="shared" si="1"/>
        <v>2022</v>
      </c>
      <c r="C103" s="50">
        <v>202247</v>
      </c>
      <c r="D103" s="50"/>
      <c r="E103" s="50"/>
      <c r="F103" s="50"/>
      <c r="G103" s="77">
        <v>0.43123051550931502</v>
      </c>
      <c r="H103" s="77">
        <v>0.56876948449068498</v>
      </c>
    </row>
    <row r="104" spans="2:8">
      <c r="B104" t="str">
        <f t="shared" si="1"/>
        <v>2022</v>
      </c>
      <c r="C104" s="50">
        <v>202248</v>
      </c>
      <c r="D104" s="50"/>
      <c r="E104" s="50"/>
      <c r="F104" s="50"/>
      <c r="G104" s="77">
        <v>0.41301658815136111</v>
      </c>
      <c r="H104" s="77">
        <v>0.58698341184863889</v>
      </c>
    </row>
    <row r="105" spans="2:8">
      <c r="B105" t="str">
        <f t="shared" si="1"/>
        <v>2022</v>
      </c>
      <c r="C105" s="50">
        <v>202249</v>
      </c>
      <c r="D105" s="50"/>
      <c r="E105" s="50"/>
      <c r="F105" s="50"/>
      <c r="G105" s="77">
        <v>0.39385399860039272</v>
      </c>
      <c r="H105" s="77">
        <v>0.60614600139960728</v>
      </c>
    </row>
    <row r="106" spans="2:8">
      <c r="B106" t="str">
        <f t="shared" si="1"/>
        <v>2022</v>
      </c>
      <c r="C106" s="50">
        <v>202250</v>
      </c>
      <c r="D106" s="50"/>
      <c r="E106" s="50"/>
      <c r="F106" s="50"/>
      <c r="G106" s="77">
        <v>0.4088604121177411</v>
      </c>
      <c r="H106" s="77">
        <v>0.59113958788225884</v>
      </c>
    </row>
    <row r="107" spans="2:8">
      <c r="B107" t="str">
        <f t="shared" si="1"/>
        <v>2022</v>
      </c>
      <c r="C107" s="50">
        <v>202251</v>
      </c>
      <c r="D107" s="50"/>
      <c r="E107" s="50"/>
      <c r="F107" s="50"/>
      <c r="G107" s="77">
        <v>0.42132341432425219</v>
      </c>
      <c r="H107" s="77">
        <v>0.57867658567574787</v>
      </c>
    </row>
    <row r="108" spans="2:8">
      <c r="B108" t="str">
        <f t="shared" si="1"/>
        <v>2022</v>
      </c>
      <c r="C108" s="50">
        <v>202252</v>
      </c>
      <c r="D108" s="50"/>
      <c r="E108" s="50"/>
      <c r="F108" s="50"/>
      <c r="G108" s="77">
        <v>0.42389571857585628</v>
      </c>
      <c r="H108" s="77">
        <v>0.5761042814241436</v>
      </c>
    </row>
    <row r="109" spans="2:8">
      <c r="B109" t="str">
        <f t="shared" si="1"/>
        <v>2021</v>
      </c>
      <c r="C109" s="54">
        <v>202101</v>
      </c>
      <c r="D109" s="54"/>
      <c r="E109" s="54"/>
      <c r="F109" s="54"/>
      <c r="G109" s="77">
        <v>0.42</v>
      </c>
      <c r="H109" s="77">
        <v>0.57999999999999996</v>
      </c>
    </row>
    <row r="110" spans="2:8">
      <c r="B110" t="str">
        <f t="shared" si="1"/>
        <v>2021</v>
      </c>
      <c r="C110" s="54">
        <v>202102</v>
      </c>
      <c r="D110" s="54"/>
      <c r="E110" s="54"/>
      <c r="F110" s="54"/>
      <c r="G110" s="77">
        <v>0.42203128153813779</v>
      </c>
      <c r="H110" s="77">
        <v>0.57796871846186215</v>
      </c>
    </row>
    <row r="111" spans="2:8">
      <c r="B111" t="str">
        <f t="shared" si="1"/>
        <v>2021</v>
      </c>
      <c r="C111" s="54">
        <v>202103</v>
      </c>
      <c r="D111" s="54"/>
      <c r="E111" s="54"/>
      <c r="F111" s="54"/>
      <c r="G111" s="77">
        <v>0.5178072518355038</v>
      </c>
      <c r="H111" s="77">
        <v>0.4821927481644962</v>
      </c>
    </row>
    <row r="112" spans="2:8">
      <c r="B112" t="str">
        <f t="shared" si="1"/>
        <v>2021</v>
      </c>
      <c r="C112" s="54">
        <v>202104</v>
      </c>
      <c r="D112" s="54"/>
      <c r="E112" s="54"/>
      <c r="F112" s="54"/>
      <c r="G112" s="77">
        <v>0.52149920028363139</v>
      </c>
      <c r="H112" s="77">
        <v>0.47850079971636861</v>
      </c>
    </row>
    <row r="113" spans="2:8">
      <c r="B113" t="str">
        <f t="shared" si="1"/>
        <v>2021</v>
      </c>
      <c r="C113" s="54">
        <v>202105</v>
      </c>
      <c r="D113" s="54"/>
      <c r="E113" s="54"/>
      <c r="F113" s="54"/>
      <c r="G113" s="77">
        <v>0.52897466668858606</v>
      </c>
      <c r="H113" s="77">
        <v>0.47102533331141389</v>
      </c>
    </row>
    <row r="114" spans="2:8">
      <c r="B114" t="str">
        <f t="shared" si="1"/>
        <v>2021</v>
      </c>
      <c r="C114" s="54">
        <v>202106</v>
      </c>
      <c r="D114" s="54"/>
      <c r="E114" s="54"/>
      <c r="F114" s="54"/>
      <c r="G114" s="77">
        <v>0.53010050624721305</v>
      </c>
      <c r="H114" s="77">
        <v>0.469899493752787</v>
      </c>
    </row>
    <row r="115" spans="2:8">
      <c r="B115" t="str">
        <f t="shared" si="1"/>
        <v>2021</v>
      </c>
      <c r="C115" s="54">
        <v>202107</v>
      </c>
      <c r="D115" s="54"/>
      <c r="E115" s="54"/>
      <c r="F115" s="54"/>
      <c r="G115" s="77">
        <v>0.52554275401350348</v>
      </c>
      <c r="H115" s="77">
        <v>0.47445724598649658</v>
      </c>
    </row>
    <row r="116" spans="2:8">
      <c r="B116" t="str">
        <f t="shared" si="1"/>
        <v>2021</v>
      </c>
      <c r="C116" s="54">
        <v>202108</v>
      </c>
      <c r="D116" s="54"/>
      <c r="E116" s="54"/>
      <c r="F116" s="54"/>
      <c r="G116" s="77">
        <v>0.54592270904574847</v>
      </c>
      <c r="H116" s="77">
        <v>0.45407729095425159</v>
      </c>
    </row>
    <row r="117" spans="2:8">
      <c r="B117" t="str">
        <f t="shared" si="1"/>
        <v>2021</v>
      </c>
      <c r="C117" s="54">
        <v>202109</v>
      </c>
      <c r="D117" s="54"/>
      <c r="E117" s="54"/>
      <c r="F117" s="54"/>
      <c r="G117" s="77">
        <v>0.53219446888906496</v>
      </c>
      <c r="H117" s="77">
        <v>0.46780553111093498</v>
      </c>
    </row>
    <row r="118" spans="2:8">
      <c r="B118" t="str">
        <f t="shared" si="1"/>
        <v>2021</v>
      </c>
      <c r="C118" s="54">
        <v>202110</v>
      </c>
      <c r="D118" s="54"/>
      <c r="E118" s="54"/>
      <c r="F118" s="54"/>
      <c r="G118" s="77">
        <v>0.59763251667934381</v>
      </c>
      <c r="H118" s="77">
        <v>0.40236748332065619</v>
      </c>
    </row>
    <row r="119" spans="2:8">
      <c r="B119" t="str">
        <f t="shared" si="1"/>
        <v>2021</v>
      </c>
      <c r="C119" s="54">
        <v>202111</v>
      </c>
      <c r="D119" s="54"/>
      <c r="E119" s="54"/>
      <c r="F119" s="54"/>
      <c r="G119" s="77">
        <v>0.56758614360741111</v>
      </c>
      <c r="H119" s="77">
        <v>0.43241385639258889</v>
      </c>
    </row>
    <row r="120" spans="2:8">
      <c r="B120" t="str">
        <f t="shared" si="1"/>
        <v>2021</v>
      </c>
      <c r="C120" s="54">
        <v>202112</v>
      </c>
      <c r="D120" s="54"/>
      <c r="E120" s="54"/>
      <c r="F120" s="54"/>
      <c r="G120" s="77">
        <v>0.55764174465416194</v>
      </c>
      <c r="H120" s="77">
        <v>0.44235825534583811</v>
      </c>
    </row>
    <row r="121" spans="2:8">
      <c r="B121" t="str">
        <f t="shared" si="1"/>
        <v>2021</v>
      </c>
      <c r="C121" s="54">
        <v>202113</v>
      </c>
      <c r="D121" s="54"/>
      <c r="E121" s="54"/>
      <c r="F121" s="54"/>
      <c r="G121" s="77">
        <v>0.54477199273594057</v>
      </c>
      <c r="H121" s="77">
        <v>0.45522800726405938</v>
      </c>
    </row>
    <row r="122" spans="2:8">
      <c r="B122" t="str">
        <f t="shared" si="1"/>
        <v>2021</v>
      </c>
      <c r="C122" s="54">
        <v>202114</v>
      </c>
      <c r="D122" s="54"/>
      <c r="E122" s="54"/>
      <c r="F122" s="54"/>
      <c r="G122" s="77">
        <v>0.54177237396091982</v>
      </c>
      <c r="H122" s="77">
        <v>0.45822762603908018</v>
      </c>
    </row>
    <row r="123" spans="2:8">
      <c r="B123" t="str">
        <f t="shared" si="1"/>
        <v>2021</v>
      </c>
      <c r="C123" s="54">
        <v>202115</v>
      </c>
      <c r="D123" s="54"/>
      <c r="E123" s="54"/>
      <c r="F123" s="54"/>
      <c r="G123" s="77">
        <v>0.53680422727866095</v>
      </c>
      <c r="H123" s="77">
        <v>0.46319577272133899</v>
      </c>
    </row>
    <row r="124" spans="2:8">
      <c r="B124" t="str">
        <f t="shared" si="1"/>
        <v>2021</v>
      </c>
      <c r="C124" s="54">
        <v>202116</v>
      </c>
      <c r="D124" s="54"/>
      <c r="E124" s="54"/>
      <c r="F124" s="54"/>
      <c r="G124" s="77">
        <v>0.52936753422082472</v>
      </c>
      <c r="H124" s="77">
        <v>0.47063246577917528</v>
      </c>
    </row>
    <row r="125" spans="2:8">
      <c r="B125" t="str">
        <f t="shared" si="1"/>
        <v>2021</v>
      </c>
      <c r="C125" s="54">
        <v>202117</v>
      </c>
      <c r="D125" s="54"/>
      <c r="E125" s="54"/>
      <c r="F125" s="54"/>
      <c r="G125" s="77">
        <v>0.51781619229172171</v>
      </c>
      <c r="H125" s="77">
        <v>0.48218380770827829</v>
      </c>
    </row>
    <row r="126" spans="2:8">
      <c r="B126" t="str">
        <f t="shared" si="1"/>
        <v>2021</v>
      </c>
      <c r="C126" s="54">
        <v>202118</v>
      </c>
      <c r="D126" s="54"/>
      <c r="E126" s="54"/>
      <c r="F126" s="54"/>
      <c r="G126" s="77">
        <v>0.48231151020581869</v>
      </c>
      <c r="H126" s="77">
        <v>0.51768848979418136</v>
      </c>
    </row>
    <row r="127" spans="2:8">
      <c r="B127" t="str">
        <f t="shared" si="1"/>
        <v>2021</v>
      </c>
      <c r="C127" s="54">
        <v>202119</v>
      </c>
      <c r="D127" s="54"/>
      <c r="E127" s="54"/>
      <c r="F127" s="54"/>
      <c r="G127" s="77">
        <v>0.49198166168693558</v>
      </c>
      <c r="H127" s="77">
        <v>0.50801833831306431</v>
      </c>
    </row>
    <row r="128" spans="2:8">
      <c r="B128" t="str">
        <f t="shared" si="1"/>
        <v>2021</v>
      </c>
      <c r="C128" s="54">
        <v>202120</v>
      </c>
      <c r="D128" s="54"/>
      <c r="E128" s="54"/>
      <c r="F128" s="54"/>
      <c r="G128" s="77">
        <v>0.50139050253779294</v>
      </c>
      <c r="H128" s="77">
        <v>0.49860949746220712</v>
      </c>
    </row>
    <row r="129" spans="1:8">
      <c r="B129" t="str">
        <f t="shared" si="1"/>
        <v>2021</v>
      </c>
      <c r="C129" s="54">
        <v>202121</v>
      </c>
      <c r="D129" s="54"/>
      <c r="E129" s="54"/>
      <c r="F129" s="54"/>
      <c r="G129" s="77">
        <v>0.47727389780270019</v>
      </c>
      <c r="H129" s="77">
        <v>0.52272610219729976</v>
      </c>
    </row>
    <row r="130" spans="1:8">
      <c r="B130" t="str">
        <f t="shared" si="1"/>
        <v>2021</v>
      </c>
      <c r="C130" s="54">
        <v>202122</v>
      </c>
      <c r="D130" s="54"/>
      <c r="E130" s="54"/>
      <c r="F130" s="54"/>
      <c r="G130" s="77">
        <v>0.46893625104400949</v>
      </c>
      <c r="H130" s="77">
        <v>0.53106374895599051</v>
      </c>
    </row>
    <row r="131" spans="1:8">
      <c r="B131" t="str">
        <f t="shared" si="1"/>
        <v>2021</v>
      </c>
      <c r="C131" s="54">
        <v>202123</v>
      </c>
      <c r="D131" s="54"/>
      <c r="E131" s="54"/>
      <c r="F131" s="54"/>
      <c r="G131" s="77">
        <v>0.49541070979382712</v>
      </c>
      <c r="H131" s="77">
        <v>0.50458929020617294</v>
      </c>
    </row>
    <row r="132" spans="1:8">
      <c r="B132" t="str">
        <f t="shared" si="1"/>
        <v>2021</v>
      </c>
      <c r="C132" s="54">
        <v>202124</v>
      </c>
      <c r="D132" s="54"/>
      <c r="E132" s="54"/>
      <c r="F132" s="54"/>
      <c r="G132" s="77">
        <v>0.47338539283676312</v>
      </c>
      <c r="H132" s="77">
        <v>0.52661460716323683</v>
      </c>
    </row>
    <row r="133" spans="1:8">
      <c r="B133" t="str">
        <f t="shared" ref="B133:B196" si="2">LEFT(C133,4)</f>
        <v>2021</v>
      </c>
      <c r="C133" s="54">
        <v>202125</v>
      </c>
      <c r="D133" s="54"/>
      <c r="E133" s="54"/>
      <c r="F133" s="54"/>
      <c r="G133" s="77">
        <v>0.47314502411305098</v>
      </c>
      <c r="H133" s="77">
        <v>0.52685497588694907</v>
      </c>
    </row>
    <row r="134" spans="1:8">
      <c r="B134" t="str">
        <f t="shared" si="2"/>
        <v>2021</v>
      </c>
      <c r="C134" s="54">
        <v>202126</v>
      </c>
      <c r="D134" s="54"/>
      <c r="E134" s="54"/>
      <c r="F134" s="54"/>
      <c r="G134" s="77">
        <v>0.47769179934050759</v>
      </c>
      <c r="H134" s="77">
        <v>0.52230820065949235</v>
      </c>
    </row>
    <row r="135" spans="1:8">
      <c r="B135" t="str">
        <f t="shared" si="2"/>
        <v>2021</v>
      </c>
      <c r="C135" s="54">
        <v>202127</v>
      </c>
      <c r="D135" s="54"/>
      <c r="E135" s="54"/>
      <c r="F135" s="54"/>
      <c r="G135" s="77">
        <v>0.46863194510458372</v>
      </c>
      <c r="H135" s="77">
        <v>0.53136805489541639</v>
      </c>
    </row>
    <row r="136" spans="1:8">
      <c r="B136" t="str">
        <f t="shared" si="2"/>
        <v>2021</v>
      </c>
      <c r="C136" s="54">
        <v>202128</v>
      </c>
      <c r="D136" s="54"/>
      <c r="E136" s="54"/>
      <c r="F136" s="54"/>
      <c r="G136" s="77">
        <v>0.46677127840130078</v>
      </c>
      <c r="H136" s="77">
        <v>0.53322872159869927</v>
      </c>
    </row>
    <row r="137" spans="1:8">
      <c r="B137" t="str">
        <f t="shared" si="2"/>
        <v>2021</v>
      </c>
      <c r="C137" s="54">
        <v>202129</v>
      </c>
      <c r="D137" s="54"/>
      <c r="E137" s="54"/>
      <c r="F137" s="54"/>
      <c r="G137" s="77">
        <v>0.46280638747429659</v>
      </c>
      <c r="H137" s="77">
        <v>0.53719361252570341</v>
      </c>
    </row>
    <row r="138" spans="1:8">
      <c r="A138" s="28"/>
      <c r="B138" t="str">
        <f t="shared" si="2"/>
        <v>2021</v>
      </c>
      <c r="C138" s="55">
        <v>202130</v>
      </c>
      <c r="D138" s="55"/>
      <c r="E138" s="55"/>
      <c r="F138" s="55"/>
      <c r="G138" s="77">
        <v>0.46110985697980328</v>
      </c>
      <c r="H138" s="77">
        <v>0.53889014302019667</v>
      </c>
    </row>
    <row r="139" spans="1:8">
      <c r="B139" t="str">
        <f t="shared" si="2"/>
        <v>2021</v>
      </c>
      <c r="C139" s="54">
        <v>202131</v>
      </c>
      <c r="D139" s="54"/>
      <c r="E139" s="54"/>
      <c r="F139" s="54"/>
      <c r="G139" s="77">
        <v>0.4666764233081519</v>
      </c>
      <c r="H139" s="77">
        <v>0.53332357669184804</v>
      </c>
    </row>
    <row r="140" spans="1:8">
      <c r="B140" t="str">
        <f t="shared" si="2"/>
        <v>2021</v>
      </c>
      <c r="C140" s="54">
        <v>202132</v>
      </c>
      <c r="D140" s="54"/>
      <c r="E140" s="54"/>
      <c r="F140" s="54"/>
      <c r="G140" s="77">
        <v>0.47041470267258001</v>
      </c>
      <c r="H140" s="77">
        <v>0.5295852973274201</v>
      </c>
    </row>
    <row r="141" spans="1:8">
      <c r="B141" t="str">
        <f t="shared" si="2"/>
        <v>2021</v>
      </c>
      <c r="C141" s="54">
        <v>202133</v>
      </c>
      <c r="D141" s="54"/>
      <c r="E141" s="54"/>
      <c r="F141" s="54"/>
      <c r="G141" s="77">
        <v>0.53331506613799251</v>
      </c>
      <c r="H141" s="77">
        <v>0.46668493386200738</v>
      </c>
    </row>
    <row r="142" spans="1:8">
      <c r="B142" t="str">
        <f t="shared" si="2"/>
        <v>2021</v>
      </c>
      <c r="C142" s="54">
        <v>202134</v>
      </c>
      <c r="D142" s="54"/>
      <c r="E142" s="54"/>
      <c r="F142" s="54"/>
      <c r="G142" s="77">
        <v>0.50530949851119855</v>
      </c>
      <c r="H142" s="77">
        <v>0.49469050148880139</v>
      </c>
    </row>
    <row r="143" spans="1:8">
      <c r="B143" t="str">
        <f t="shared" si="2"/>
        <v>2021</v>
      </c>
      <c r="C143" s="54">
        <v>202135</v>
      </c>
      <c r="D143" s="54"/>
      <c r="E143" s="54"/>
      <c r="F143" s="54"/>
      <c r="G143" s="77">
        <v>0.47547704522364748</v>
      </c>
      <c r="H143" s="77">
        <v>0.52452295477635247</v>
      </c>
    </row>
    <row r="144" spans="1:8">
      <c r="B144" t="str">
        <f t="shared" si="2"/>
        <v>2021</v>
      </c>
      <c r="C144" s="54">
        <v>202136</v>
      </c>
      <c r="D144" s="54"/>
      <c r="E144" s="54"/>
      <c r="F144" s="54"/>
      <c r="G144" s="77">
        <v>0.44995336831494759</v>
      </c>
      <c r="H144" s="77">
        <v>0.55004663168505241</v>
      </c>
    </row>
    <row r="145" spans="2:8">
      <c r="B145" t="str">
        <f t="shared" si="2"/>
        <v>2021</v>
      </c>
      <c r="C145" s="54">
        <v>202137</v>
      </c>
      <c r="D145" s="54"/>
      <c r="E145" s="54"/>
      <c r="F145" s="54"/>
      <c r="G145" s="77">
        <v>0.43500839222708332</v>
      </c>
      <c r="H145" s="77">
        <v>0.56499160777291668</v>
      </c>
    </row>
    <row r="146" spans="2:8">
      <c r="B146" t="str">
        <f t="shared" si="2"/>
        <v>2021</v>
      </c>
      <c r="C146" s="54">
        <v>202138</v>
      </c>
      <c r="D146" s="54"/>
      <c r="E146" s="54"/>
      <c r="F146" s="54"/>
      <c r="G146" s="77">
        <v>0.41976825803823098</v>
      </c>
      <c r="H146" s="77">
        <v>0.58023174196176897</v>
      </c>
    </row>
    <row r="147" spans="2:8">
      <c r="B147" t="str">
        <f t="shared" si="2"/>
        <v>2021</v>
      </c>
      <c r="C147" s="54">
        <v>202139</v>
      </c>
      <c r="D147" s="54"/>
      <c r="E147" s="54"/>
      <c r="F147" s="54"/>
      <c r="G147" s="77">
        <v>0.39863366894823848</v>
      </c>
      <c r="H147" s="77">
        <v>0.60136633105176152</v>
      </c>
    </row>
    <row r="148" spans="2:8">
      <c r="B148" t="str">
        <f t="shared" si="2"/>
        <v>2021</v>
      </c>
      <c r="C148" s="54">
        <v>202140</v>
      </c>
      <c r="D148" s="54"/>
      <c r="E148" s="54"/>
      <c r="F148" s="54"/>
      <c r="G148" s="77">
        <v>0.40056459613988071</v>
      </c>
      <c r="H148" s="77">
        <v>0.59943540386011929</v>
      </c>
    </row>
    <row r="149" spans="2:8">
      <c r="B149" t="str">
        <f t="shared" si="2"/>
        <v>2021</v>
      </c>
      <c r="C149" s="54">
        <v>202141</v>
      </c>
      <c r="D149" s="54"/>
      <c r="E149" s="54"/>
      <c r="F149" s="54"/>
      <c r="G149" s="77">
        <v>0.41428051605345129</v>
      </c>
      <c r="H149" s="77">
        <v>0.5857194839465486</v>
      </c>
    </row>
    <row r="150" spans="2:8">
      <c r="B150" t="str">
        <f t="shared" si="2"/>
        <v>2021</v>
      </c>
      <c r="C150" s="54">
        <v>202142</v>
      </c>
      <c r="D150" s="54"/>
      <c r="E150" s="54"/>
      <c r="F150" s="54"/>
      <c r="G150" s="77">
        <v>0.37317158976477582</v>
      </c>
      <c r="H150" s="77">
        <v>0.62682841023522429</v>
      </c>
    </row>
    <row r="151" spans="2:8">
      <c r="B151" t="str">
        <f t="shared" si="2"/>
        <v>2021</v>
      </c>
      <c r="C151" s="54">
        <v>202143</v>
      </c>
      <c r="D151" s="54"/>
      <c r="E151" s="54"/>
      <c r="F151" s="54"/>
      <c r="G151" s="77">
        <v>0.42872390711007419</v>
      </c>
      <c r="H151" s="77">
        <v>0.57127609288992576</v>
      </c>
    </row>
    <row r="152" spans="2:8">
      <c r="B152" t="str">
        <f t="shared" si="2"/>
        <v>2021</v>
      </c>
      <c r="C152" s="54">
        <v>202144</v>
      </c>
      <c r="D152" s="54"/>
      <c r="E152" s="54"/>
      <c r="F152" s="54"/>
      <c r="G152" s="77">
        <v>0.42762624439957059</v>
      </c>
      <c r="H152" s="77">
        <v>0.57237375560042936</v>
      </c>
    </row>
    <row r="153" spans="2:8">
      <c r="B153" t="str">
        <f t="shared" si="2"/>
        <v>2021</v>
      </c>
      <c r="C153" s="54">
        <v>202145</v>
      </c>
      <c r="D153" s="54"/>
      <c r="E153" s="54"/>
      <c r="F153" s="54"/>
      <c r="G153" s="77">
        <v>0.41084935570995751</v>
      </c>
      <c r="H153" s="77">
        <v>0.58915064429004249</v>
      </c>
    </row>
    <row r="154" spans="2:8">
      <c r="B154" t="str">
        <f t="shared" si="2"/>
        <v>2021</v>
      </c>
      <c r="C154" s="54">
        <v>202146</v>
      </c>
      <c r="D154" s="54"/>
      <c r="E154" s="54"/>
      <c r="F154" s="54"/>
      <c r="G154" s="77">
        <v>0.42087585534517158</v>
      </c>
      <c r="H154" s="77">
        <v>0.57912414465482842</v>
      </c>
    </row>
    <row r="155" spans="2:8">
      <c r="B155" t="str">
        <f t="shared" si="2"/>
        <v>2021</v>
      </c>
      <c r="C155" s="54">
        <v>202147</v>
      </c>
      <c r="D155" s="54"/>
      <c r="E155" s="54"/>
      <c r="F155" s="54"/>
      <c r="G155" s="77">
        <v>0.42372068970975968</v>
      </c>
      <c r="H155" s="77">
        <v>0.57627931029024027</v>
      </c>
    </row>
    <row r="156" spans="2:8">
      <c r="B156" t="str">
        <f t="shared" si="2"/>
        <v>2021</v>
      </c>
      <c r="C156" s="54">
        <v>202148</v>
      </c>
      <c r="D156" s="54"/>
      <c r="E156" s="54"/>
      <c r="F156" s="54"/>
      <c r="G156" s="77">
        <v>0.40414748303707437</v>
      </c>
      <c r="H156" s="77">
        <v>0.59585251696292552</v>
      </c>
    </row>
    <row r="157" spans="2:8">
      <c r="B157" t="str">
        <f t="shared" si="2"/>
        <v>2021</v>
      </c>
      <c r="C157" s="54">
        <v>202149</v>
      </c>
      <c r="D157" s="54"/>
      <c r="E157" s="54"/>
      <c r="F157" s="54"/>
      <c r="G157" s="77">
        <v>0.38851678953832058</v>
      </c>
      <c r="H157" s="77">
        <v>0.61148321046167942</v>
      </c>
    </row>
    <row r="158" spans="2:8">
      <c r="B158" t="str">
        <f t="shared" si="2"/>
        <v>2021</v>
      </c>
      <c r="C158" s="54">
        <v>202150</v>
      </c>
      <c r="D158" s="54"/>
      <c r="E158" s="54"/>
      <c r="F158" s="54"/>
      <c r="G158" s="77">
        <v>0.38840314729299991</v>
      </c>
      <c r="H158" s="77">
        <v>0.61159685270700015</v>
      </c>
    </row>
    <row r="159" spans="2:8">
      <c r="B159" t="str">
        <f t="shared" si="2"/>
        <v>2021</v>
      </c>
      <c r="C159" s="54">
        <v>202151</v>
      </c>
      <c r="D159" s="54"/>
      <c r="E159" s="54"/>
      <c r="F159" s="54"/>
      <c r="G159" s="77">
        <v>0.39836599927128952</v>
      </c>
      <c r="H159" s="77">
        <v>0.60163400072871054</v>
      </c>
    </row>
    <row r="160" spans="2:8">
      <c r="B160" t="str">
        <f t="shared" si="2"/>
        <v>2021</v>
      </c>
      <c r="C160" s="54">
        <v>202152</v>
      </c>
      <c r="D160" s="54"/>
      <c r="E160" s="54"/>
      <c r="F160" s="54"/>
      <c r="G160" s="77">
        <v>0.40755025251528298</v>
      </c>
      <c r="H160" s="77">
        <v>0.59244974748471702</v>
      </c>
    </row>
    <row r="161" spans="2:8">
      <c r="B161" t="str">
        <f t="shared" si="2"/>
        <v>2020</v>
      </c>
      <c r="C161" s="54">
        <v>202001</v>
      </c>
      <c r="D161" s="54"/>
      <c r="E161" s="54"/>
      <c r="F161" s="54"/>
      <c r="G161" s="77">
        <v>0.39825550439708618</v>
      </c>
      <c r="H161" s="77">
        <v>0.60174449560291376</v>
      </c>
    </row>
    <row r="162" spans="2:8">
      <c r="B162" t="str">
        <f t="shared" si="2"/>
        <v>2020</v>
      </c>
      <c r="C162" s="54">
        <v>202002</v>
      </c>
      <c r="D162" s="54"/>
      <c r="E162" s="54"/>
      <c r="F162" s="54"/>
      <c r="G162" s="77">
        <v>0.41246371881464089</v>
      </c>
      <c r="H162" s="77">
        <v>0.58753628118535917</v>
      </c>
    </row>
    <row r="163" spans="2:8">
      <c r="B163" t="str">
        <f t="shared" si="2"/>
        <v>2020</v>
      </c>
      <c r="C163" s="54">
        <v>202003</v>
      </c>
      <c r="D163" s="54"/>
      <c r="E163" s="54"/>
      <c r="F163" s="54"/>
      <c r="G163" s="77">
        <v>0.54307517568256214</v>
      </c>
      <c r="H163" s="77">
        <v>0.45692482431743792</v>
      </c>
    </row>
    <row r="164" spans="2:8">
      <c r="B164" t="str">
        <f t="shared" si="2"/>
        <v>2020</v>
      </c>
      <c r="C164" s="54">
        <v>202004</v>
      </c>
      <c r="D164" s="54"/>
      <c r="E164" s="54"/>
      <c r="F164" s="54"/>
      <c r="G164" s="77">
        <v>0.52867733125243854</v>
      </c>
      <c r="H164" s="77">
        <v>0.47132266874756151</v>
      </c>
    </row>
    <row r="165" spans="2:8">
      <c r="B165" t="str">
        <f t="shared" si="2"/>
        <v>2020</v>
      </c>
      <c r="C165" s="54">
        <v>202005</v>
      </c>
      <c r="D165" s="54"/>
      <c r="E165" s="54"/>
      <c r="F165" s="54"/>
      <c r="G165" s="77">
        <v>0.5272739652575047</v>
      </c>
      <c r="H165" s="77">
        <v>0.4727260347424953</v>
      </c>
    </row>
    <row r="166" spans="2:8">
      <c r="B166" t="str">
        <f t="shared" si="2"/>
        <v>2020</v>
      </c>
      <c r="C166" s="54">
        <v>202006</v>
      </c>
      <c r="D166" s="54"/>
      <c r="E166" s="54"/>
      <c r="F166" s="54"/>
      <c r="G166" s="77">
        <v>0.53958940593885096</v>
      </c>
      <c r="H166" s="77">
        <v>0.46041059406114898</v>
      </c>
    </row>
    <row r="167" spans="2:8">
      <c r="B167" t="str">
        <f t="shared" si="2"/>
        <v>2020</v>
      </c>
      <c r="C167" s="54">
        <v>202007</v>
      </c>
      <c r="D167" s="54"/>
      <c r="E167" s="54"/>
      <c r="F167" s="54"/>
      <c r="G167" s="77">
        <v>0.535031962889427</v>
      </c>
      <c r="H167" s="77">
        <v>0.464968037110573</v>
      </c>
    </row>
    <row r="168" spans="2:8">
      <c r="B168" t="str">
        <f t="shared" si="2"/>
        <v>2020</v>
      </c>
      <c r="C168" s="54">
        <v>202008</v>
      </c>
      <c r="D168" s="54"/>
      <c r="E168" s="54"/>
      <c r="F168" s="54"/>
      <c r="G168" s="77">
        <v>0.52361605370132536</v>
      </c>
      <c r="H168" s="77">
        <v>0.47638394629867459</v>
      </c>
    </row>
    <row r="169" spans="2:8">
      <c r="B169" t="str">
        <f t="shared" si="2"/>
        <v>2020</v>
      </c>
      <c r="C169" s="54">
        <v>202009</v>
      </c>
      <c r="D169" s="54"/>
      <c r="E169" s="54"/>
      <c r="F169" s="54"/>
      <c r="G169" s="77">
        <v>0.48794079164370552</v>
      </c>
      <c r="H169" s="77">
        <v>0.51205920835629448</v>
      </c>
    </row>
    <row r="170" spans="2:8">
      <c r="B170" t="str">
        <f t="shared" si="2"/>
        <v>2020</v>
      </c>
      <c r="C170" s="54">
        <v>202010</v>
      </c>
      <c r="D170" s="54"/>
      <c r="E170" s="54"/>
      <c r="F170" s="54"/>
      <c r="G170" s="77">
        <v>0.4730054759293264</v>
      </c>
      <c r="H170" s="77">
        <v>0.5269945240706736</v>
      </c>
    </row>
    <row r="171" spans="2:8">
      <c r="B171" t="str">
        <f t="shared" si="2"/>
        <v>2020</v>
      </c>
      <c r="C171" s="54">
        <v>202011</v>
      </c>
      <c r="D171" s="54"/>
      <c r="E171" s="54"/>
      <c r="F171" s="54"/>
      <c r="G171" s="77">
        <v>0.44117799343814129</v>
      </c>
      <c r="H171" s="77">
        <v>0.55882200656185876</v>
      </c>
    </row>
    <row r="172" spans="2:8">
      <c r="B172" t="str">
        <f t="shared" si="2"/>
        <v>2020</v>
      </c>
      <c r="C172" s="54">
        <v>202012</v>
      </c>
      <c r="D172" s="54"/>
      <c r="E172" s="54"/>
      <c r="F172" s="54"/>
      <c r="G172" s="77">
        <v>0.43795036028823059</v>
      </c>
      <c r="H172" s="77">
        <v>0.56204963971176947</v>
      </c>
    </row>
    <row r="173" spans="2:8">
      <c r="B173" t="str">
        <f t="shared" si="2"/>
        <v>2020</v>
      </c>
      <c r="C173" s="54">
        <v>202013</v>
      </c>
      <c r="D173" s="54"/>
      <c r="E173" s="54"/>
      <c r="F173" s="54"/>
      <c r="G173" s="77">
        <v>0.45231471580027299</v>
      </c>
      <c r="H173" s="77">
        <v>0.54768528419972695</v>
      </c>
    </row>
    <row r="174" spans="2:8">
      <c r="B174" t="str">
        <f t="shared" si="2"/>
        <v>2020</v>
      </c>
      <c r="C174" s="54">
        <v>202014</v>
      </c>
      <c r="D174" s="54"/>
      <c r="E174" s="54"/>
      <c r="F174" s="54"/>
      <c r="G174" s="77">
        <v>0.44301335735622938</v>
      </c>
      <c r="H174" s="77">
        <v>0.55698664264377062</v>
      </c>
    </row>
    <row r="175" spans="2:8">
      <c r="B175" t="str">
        <f t="shared" si="2"/>
        <v>2020</v>
      </c>
      <c r="C175" s="54">
        <v>202015</v>
      </c>
      <c r="D175" s="54"/>
      <c r="E175" s="54"/>
      <c r="F175" s="54"/>
      <c r="G175" s="77">
        <v>0.46352521905005722</v>
      </c>
      <c r="H175" s="77">
        <v>0.53647478094994283</v>
      </c>
    </row>
    <row r="176" spans="2:8">
      <c r="B176" t="str">
        <f t="shared" si="2"/>
        <v>2020</v>
      </c>
      <c r="C176" s="54">
        <v>202016</v>
      </c>
      <c r="D176" s="54"/>
      <c r="E176" s="54"/>
      <c r="F176" s="54"/>
      <c r="G176" s="77">
        <v>0.45572168841758759</v>
      </c>
      <c r="H176" s="77">
        <v>0.54427831158241236</v>
      </c>
    </row>
    <row r="177" spans="2:8">
      <c r="B177" t="str">
        <f t="shared" si="2"/>
        <v>2020</v>
      </c>
      <c r="C177" s="54">
        <v>202017</v>
      </c>
      <c r="D177" s="54"/>
      <c r="E177" s="54"/>
      <c r="F177" s="54"/>
      <c r="G177" s="77">
        <v>0.4215244438064486</v>
      </c>
      <c r="H177" s="77">
        <v>0.5784755561935514</v>
      </c>
    </row>
    <row r="178" spans="2:8">
      <c r="B178" t="str">
        <f t="shared" si="2"/>
        <v>2020</v>
      </c>
      <c r="C178" s="54">
        <v>202018</v>
      </c>
      <c r="D178" s="54"/>
      <c r="E178" s="54"/>
      <c r="F178" s="54"/>
      <c r="G178" s="77">
        <v>0.38803869832893578</v>
      </c>
      <c r="H178" s="77">
        <v>0.61196130167106422</v>
      </c>
    </row>
    <row r="179" spans="2:8">
      <c r="B179" t="str">
        <f t="shared" si="2"/>
        <v>2020</v>
      </c>
      <c r="C179" s="54">
        <v>202019</v>
      </c>
      <c r="D179" s="54"/>
      <c r="E179" s="54"/>
      <c r="F179" s="54"/>
      <c r="G179" s="77">
        <v>0.40767638678962093</v>
      </c>
      <c r="H179" s="77">
        <v>0.59232361321037919</v>
      </c>
    </row>
    <row r="180" spans="2:8">
      <c r="B180" t="str">
        <f t="shared" si="2"/>
        <v>2020</v>
      </c>
      <c r="C180" s="54">
        <v>202020</v>
      </c>
      <c r="D180" s="54"/>
      <c r="E180" s="54"/>
      <c r="F180" s="54"/>
      <c r="G180" s="77">
        <v>0.4271280268338209</v>
      </c>
      <c r="H180" s="77">
        <v>0.5728719731661791</v>
      </c>
    </row>
    <row r="181" spans="2:8">
      <c r="B181" t="str">
        <f t="shared" si="2"/>
        <v>2020</v>
      </c>
      <c r="C181" s="54">
        <v>202021</v>
      </c>
      <c r="D181" s="54"/>
      <c r="E181" s="54"/>
      <c r="F181" s="54"/>
      <c r="G181" s="77">
        <v>0.44124475342231939</v>
      </c>
      <c r="H181" s="77">
        <v>0.5587552465776805</v>
      </c>
    </row>
    <row r="182" spans="2:8">
      <c r="B182" t="str">
        <f t="shared" si="2"/>
        <v>2020</v>
      </c>
      <c r="C182" s="54">
        <v>202022</v>
      </c>
      <c r="D182" s="54"/>
      <c r="E182" s="54"/>
      <c r="F182" s="54"/>
      <c r="G182" s="77">
        <v>0.44595994953680979</v>
      </c>
      <c r="H182" s="77">
        <v>0.55404005046319016</v>
      </c>
    </row>
    <row r="183" spans="2:8">
      <c r="B183" t="str">
        <f t="shared" si="2"/>
        <v>2020</v>
      </c>
      <c r="C183" s="54">
        <v>202023</v>
      </c>
      <c r="D183" s="54"/>
      <c r="E183" s="54"/>
      <c r="F183" s="54"/>
      <c r="G183" s="77">
        <v>0.44446403385049371</v>
      </c>
      <c r="H183" s="77">
        <v>0.5555359661495064</v>
      </c>
    </row>
    <row r="184" spans="2:8">
      <c r="B184" t="str">
        <f t="shared" si="2"/>
        <v>2020</v>
      </c>
      <c r="C184" s="54">
        <v>202024</v>
      </c>
      <c r="D184" s="54"/>
      <c r="E184" s="54"/>
      <c r="F184" s="54"/>
      <c r="G184" s="77">
        <v>0.44305349048050768</v>
      </c>
      <c r="H184" s="77">
        <v>0.55694650951949232</v>
      </c>
    </row>
    <row r="185" spans="2:8">
      <c r="B185" t="str">
        <f t="shared" si="2"/>
        <v>2020</v>
      </c>
      <c r="C185" s="54">
        <v>202025</v>
      </c>
      <c r="D185" s="54"/>
      <c r="E185" s="54"/>
      <c r="F185" s="54"/>
      <c r="G185" s="77">
        <v>0.44308238414335921</v>
      </c>
      <c r="H185" s="77">
        <v>0.55691761585664079</v>
      </c>
    </row>
    <row r="186" spans="2:8">
      <c r="B186" t="str">
        <f t="shared" si="2"/>
        <v>2020</v>
      </c>
      <c r="C186" s="54">
        <v>202026</v>
      </c>
      <c r="D186" s="54"/>
      <c r="E186" s="54"/>
      <c r="F186" s="54"/>
      <c r="G186" s="77">
        <v>0.43845734430712829</v>
      </c>
      <c r="H186" s="77">
        <v>0.56154265569287176</v>
      </c>
    </row>
    <row r="187" spans="2:8">
      <c r="B187" t="str">
        <f t="shared" si="2"/>
        <v>2020</v>
      </c>
      <c r="C187" s="54">
        <v>202027</v>
      </c>
      <c r="D187" s="54"/>
      <c r="E187" s="54"/>
      <c r="F187" s="54"/>
      <c r="G187" s="77">
        <v>0.43151719003230071</v>
      </c>
      <c r="H187" s="77">
        <v>0.5684828099676994</v>
      </c>
    </row>
    <row r="188" spans="2:8">
      <c r="B188" t="str">
        <f t="shared" si="2"/>
        <v>2020</v>
      </c>
      <c r="C188" s="54">
        <v>202028</v>
      </c>
      <c r="D188" s="54"/>
      <c r="E188" s="54"/>
      <c r="F188" s="54"/>
      <c r="G188" s="77">
        <v>0.44190348620388509</v>
      </c>
      <c r="H188" s="77">
        <v>0.55809651379611491</v>
      </c>
    </row>
    <row r="189" spans="2:8">
      <c r="B189" t="str">
        <f t="shared" si="2"/>
        <v>2020</v>
      </c>
      <c r="C189" s="54">
        <v>202029</v>
      </c>
      <c r="D189" s="54"/>
      <c r="E189" s="54"/>
      <c r="F189" s="54"/>
      <c r="G189" s="77">
        <v>0.47119710032023332</v>
      </c>
      <c r="H189" s="77">
        <v>0.52880289967976668</v>
      </c>
    </row>
    <row r="190" spans="2:8">
      <c r="B190" t="str">
        <f t="shared" si="2"/>
        <v>2020</v>
      </c>
      <c r="C190" s="54">
        <v>202030</v>
      </c>
      <c r="D190" s="54"/>
      <c r="E190" s="54"/>
      <c r="F190" s="54"/>
      <c r="G190" s="77">
        <v>0.47373250225608088</v>
      </c>
      <c r="H190" s="77">
        <v>0.52626749774391912</v>
      </c>
    </row>
    <row r="191" spans="2:8">
      <c r="B191" t="str">
        <f t="shared" si="2"/>
        <v>2020</v>
      </c>
      <c r="C191" s="54">
        <v>202031</v>
      </c>
      <c r="D191" s="54"/>
      <c r="E191" s="54"/>
      <c r="F191" s="54"/>
      <c r="G191" s="77">
        <v>0.47682897897032178</v>
      </c>
      <c r="H191" s="77">
        <v>0.52317102102967827</v>
      </c>
    </row>
    <row r="192" spans="2:8">
      <c r="B192" t="str">
        <f t="shared" si="2"/>
        <v>2020</v>
      </c>
      <c r="C192" s="54">
        <v>202032</v>
      </c>
      <c r="D192" s="54"/>
      <c r="E192" s="54"/>
      <c r="F192" s="54"/>
      <c r="G192" s="77">
        <v>0.49288811981800318</v>
      </c>
      <c r="H192" s="77">
        <v>0.50711188018199682</v>
      </c>
    </row>
    <row r="193" spans="2:8">
      <c r="B193" t="str">
        <f t="shared" si="2"/>
        <v>2020</v>
      </c>
      <c r="C193" s="54">
        <v>202033</v>
      </c>
      <c r="D193" s="54"/>
      <c r="E193" s="54"/>
      <c r="F193" s="54"/>
      <c r="G193" s="77">
        <v>0.49916910578868978</v>
      </c>
      <c r="H193" s="77">
        <v>0.50083089421131011</v>
      </c>
    </row>
    <row r="194" spans="2:8">
      <c r="B194" t="str">
        <f t="shared" si="2"/>
        <v>2020</v>
      </c>
      <c r="C194" s="54">
        <v>202034</v>
      </c>
      <c r="D194" s="54"/>
      <c r="E194" s="54"/>
      <c r="F194" s="54"/>
      <c r="G194" s="77">
        <v>0.49761398121115358</v>
      </c>
      <c r="H194" s="77">
        <v>0.50238601878884637</v>
      </c>
    </row>
    <row r="195" spans="2:8">
      <c r="B195" t="str">
        <f t="shared" si="2"/>
        <v>2020</v>
      </c>
      <c r="C195" s="54">
        <v>202035</v>
      </c>
      <c r="D195" s="54"/>
      <c r="E195" s="54"/>
      <c r="F195" s="54"/>
      <c r="G195" s="77">
        <v>0.4850933636134242</v>
      </c>
      <c r="H195" s="77">
        <v>0.51490663638657586</v>
      </c>
    </row>
    <row r="196" spans="2:8">
      <c r="B196" t="str">
        <f t="shared" si="2"/>
        <v>2020</v>
      </c>
      <c r="C196" s="54">
        <v>202036</v>
      </c>
      <c r="D196" s="54"/>
      <c r="E196" s="54"/>
      <c r="F196" s="54"/>
      <c r="G196" s="77">
        <v>0.4859796371607395</v>
      </c>
      <c r="H196" s="77">
        <v>0.51402036283926045</v>
      </c>
    </row>
    <row r="197" spans="2:8">
      <c r="B197" t="str">
        <f t="shared" ref="B197:B212" si="3">LEFT(C197,4)</f>
        <v>2020</v>
      </c>
      <c r="C197" s="54">
        <v>202037</v>
      </c>
      <c r="D197" s="54"/>
      <c r="E197" s="54"/>
      <c r="F197" s="54"/>
      <c r="G197" s="77">
        <v>0.5460207550000733</v>
      </c>
      <c r="H197" s="77">
        <v>0.45397924499992659</v>
      </c>
    </row>
    <row r="198" spans="2:8">
      <c r="B198" t="str">
        <f t="shared" si="3"/>
        <v>2020</v>
      </c>
      <c r="C198" s="54">
        <v>202038</v>
      </c>
      <c r="D198" s="54"/>
      <c r="E198" s="54"/>
      <c r="F198" s="54"/>
      <c r="G198" s="77">
        <v>0.79554197936601012</v>
      </c>
      <c r="H198" s="77">
        <v>0.20445802063398991</v>
      </c>
    </row>
    <row r="199" spans="2:8">
      <c r="B199" t="str">
        <f t="shared" si="3"/>
        <v>2020</v>
      </c>
      <c r="C199" s="54">
        <v>202039</v>
      </c>
      <c r="D199" s="54"/>
      <c r="E199" s="54"/>
      <c r="F199" s="54"/>
      <c r="G199" s="77">
        <v>0.44295746520316898</v>
      </c>
      <c r="H199" s="77">
        <v>0.55704253479683097</v>
      </c>
    </row>
    <row r="200" spans="2:8">
      <c r="B200" t="str">
        <f t="shared" si="3"/>
        <v>2020</v>
      </c>
      <c r="C200" s="54">
        <v>202040</v>
      </c>
      <c r="D200" s="54"/>
      <c r="E200" s="54"/>
      <c r="F200" s="54"/>
      <c r="G200" s="77">
        <v>0.47731316330647672</v>
      </c>
      <c r="H200" s="77">
        <v>0.52268683669352334</v>
      </c>
    </row>
    <row r="201" spans="2:8">
      <c r="B201" t="str">
        <f t="shared" si="3"/>
        <v>2020</v>
      </c>
      <c r="C201" s="54">
        <v>202041</v>
      </c>
      <c r="D201" s="54"/>
      <c r="E201" s="54"/>
      <c r="F201" s="54"/>
      <c r="G201" s="77">
        <v>0.47545861475668061</v>
      </c>
      <c r="H201" s="77">
        <v>0.52454138524331939</v>
      </c>
    </row>
    <row r="202" spans="2:8">
      <c r="B202" t="str">
        <f t="shared" si="3"/>
        <v>2020</v>
      </c>
      <c r="C202" s="54">
        <v>202042</v>
      </c>
      <c r="D202" s="54"/>
      <c r="E202" s="54"/>
      <c r="F202" s="54"/>
      <c r="G202" s="77">
        <v>0.48240920395021392</v>
      </c>
      <c r="H202" s="77">
        <v>0.51759079604978619</v>
      </c>
    </row>
    <row r="203" spans="2:8">
      <c r="B203" t="str">
        <f t="shared" si="3"/>
        <v>2020</v>
      </c>
      <c r="C203" s="54">
        <v>202043</v>
      </c>
      <c r="D203" s="54"/>
      <c r="E203" s="54"/>
      <c r="F203" s="54"/>
      <c r="G203" s="77">
        <v>0.39044954067700649</v>
      </c>
      <c r="H203" s="77">
        <v>0.60955045932299345</v>
      </c>
    </row>
    <row r="204" spans="2:8">
      <c r="B204" t="str">
        <f t="shared" si="3"/>
        <v>2020</v>
      </c>
      <c r="C204" s="54">
        <v>202044</v>
      </c>
      <c r="D204" s="54"/>
      <c r="E204" s="54"/>
      <c r="F204" s="54"/>
      <c r="G204" s="77">
        <v>0.44288038394976559</v>
      </c>
      <c r="H204" s="77">
        <v>0.5571196160502343</v>
      </c>
    </row>
    <row r="205" spans="2:8">
      <c r="B205" t="str">
        <f t="shared" si="3"/>
        <v>2020</v>
      </c>
      <c r="C205" s="54">
        <v>202045</v>
      </c>
      <c r="D205" s="54"/>
      <c r="E205" s="54"/>
      <c r="F205" s="54"/>
      <c r="G205" s="77">
        <v>0.43876309917921208</v>
      </c>
      <c r="H205" s="77">
        <v>0.56123690082078792</v>
      </c>
    </row>
    <row r="206" spans="2:8">
      <c r="B206" t="str">
        <f t="shared" si="3"/>
        <v>2020</v>
      </c>
      <c r="C206" s="54">
        <v>202046</v>
      </c>
      <c r="D206" s="54"/>
      <c r="E206" s="54"/>
      <c r="F206" s="54"/>
      <c r="G206" s="77">
        <v>0.48466534350009111</v>
      </c>
      <c r="H206" s="77">
        <v>0.51533465649990895</v>
      </c>
    </row>
    <row r="207" spans="2:8">
      <c r="B207" t="str">
        <f t="shared" si="3"/>
        <v>2020</v>
      </c>
      <c r="C207" s="54">
        <v>202047</v>
      </c>
      <c r="D207" s="54"/>
      <c r="E207" s="54"/>
      <c r="F207" s="54"/>
      <c r="G207" s="77">
        <v>0.48807607835465888</v>
      </c>
      <c r="H207" s="77">
        <v>0.51192392164534117</v>
      </c>
    </row>
    <row r="208" spans="2:8">
      <c r="B208" t="str">
        <f t="shared" si="3"/>
        <v>2020</v>
      </c>
      <c r="C208" s="54">
        <v>202048</v>
      </c>
      <c r="D208" s="54"/>
      <c r="E208" s="54"/>
      <c r="F208" s="54"/>
      <c r="G208" s="77">
        <v>0.44944119673312971</v>
      </c>
      <c r="H208" s="77">
        <v>0.55055880326687034</v>
      </c>
    </row>
    <row r="209" spans="2:8">
      <c r="B209" t="str">
        <f t="shared" si="3"/>
        <v>2020</v>
      </c>
      <c r="C209" s="54">
        <v>202049</v>
      </c>
      <c r="D209" s="54"/>
      <c r="E209" s="54"/>
      <c r="F209" s="54"/>
      <c r="G209" s="77">
        <v>0.49667866180378739</v>
      </c>
      <c r="H209" s="77">
        <v>0.50332133819621261</v>
      </c>
    </row>
    <row r="210" spans="2:8">
      <c r="B210" t="str">
        <f t="shared" si="3"/>
        <v>2020</v>
      </c>
      <c r="C210" s="54">
        <v>202050</v>
      </c>
      <c r="D210" s="54"/>
      <c r="E210" s="54"/>
      <c r="F210" s="54"/>
      <c r="G210" s="77">
        <v>0.48368294941130191</v>
      </c>
      <c r="H210" s="77">
        <v>0.51631705058869815</v>
      </c>
    </row>
    <row r="211" spans="2:8">
      <c r="B211" t="str">
        <f t="shared" si="3"/>
        <v>2020</v>
      </c>
      <c r="C211" s="54">
        <v>202051</v>
      </c>
      <c r="D211" s="54"/>
      <c r="E211" s="54"/>
      <c r="F211" s="54"/>
      <c r="G211" s="77">
        <v>0.51240817747778511</v>
      </c>
      <c r="H211" s="77">
        <v>0.48759182252221478</v>
      </c>
    </row>
    <row r="212" spans="2:8">
      <c r="B212" t="str">
        <f t="shared" si="3"/>
        <v>2020</v>
      </c>
      <c r="C212" s="54">
        <v>202052</v>
      </c>
      <c r="D212" s="54"/>
      <c r="E212" s="54"/>
      <c r="F212" s="54"/>
      <c r="G212" s="77">
        <v>0.50188488930989716</v>
      </c>
      <c r="H212" s="77">
        <v>0.49811511069010278</v>
      </c>
    </row>
    <row r="213" spans="2:8">
      <c r="G213" s="77">
        <v>0.48570365523286108</v>
      </c>
      <c r="H213" s="77">
        <v>0.51429634476713892</v>
      </c>
    </row>
    <row r="214" spans="2:8">
      <c r="G214" s="77">
        <v>0.50708583091570225</v>
      </c>
      <c r="H214" s="77">
        <v>0.49291416908429769</v>
      </c>
    </row>
  </sheetData>
  <mergeCells count="1">
    <mergeCell ref="C1:C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Required changes checklist</vt:lpstr>
      <vt:lpstr>Col Name Deffinitions</vt:lpstr>
      <vt:lpstr>QC Checklist</vt:lpstr>
      <vt:lpstr>Overall Metrics</vt:lpstr>
      <vt:lpstr>Channel &amp; Campaign Metrics</vt:lpstr>
      <vt:lpstr>MAE - Audience Level Data</vt:lpstr>
      <vt:lpstr>Glass Metrics</vt:lpstr>
      <vt:lpstr>Lifecycle (Glass)</vt:lpstr>
      <vt:lpstr>Customer Segmentation</vt:lpstr>
      <vt:lpstr>Owned Breakdown (Glass)</vt:lpstr>
      <vt:lpstr>Retention</vt:lpstr>
      <vt:lpstr>Forecast</vt:lpstr>
      <vt:lpstr>Definitions</vt:lpstr>
      <vt:lpstr>Weekly Charts</vt:lpstr>
      <vt:lpstr>KPI Table</vt:lpstr>
      <vt:lpstr>MAE Breakdown</vt:lpstr>
      <vt:lpstr>WAU Estimate</vt:lpstr>
      <vt:lpstr>Sheet2</vt:lpstr>
      <vt:lpstr>Sheet3</vt:lpstr>
      <vt:lpstr>NewCollatedExample (pt1)</vt:lpstr>
      <vt:lpstr>NewCollatedExample(pt2)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Priyam Verma</cp:lastModifiedBy>
  <dcterms:created xsi:type="dcterms:W3CDTF">2023-02-16T21:10:31Z</dcterms:created>
  <dcterms:modified xsi:type="dcterms:W3CDTF">2026-02-21T20:41:56Z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0x0101000967381EC86B004DBBB6C74039E61537</vt:lpwstr>
  </property>
  <property fmtid="{D5CDD505-2E9C-101B-9397-08002B2CF9AE}" pid="3" name="MediaServiceImageTags">
    <vt:lpwstr/>
  </property>
  <property fmtid="{D5CDD505-2E9C-101B-9397-08002B2CF9AE}" pid="4" name="MSIP_Label_b24820e8-223f-4ed2-bd95-81c83f641284_Enabled">
    <vt:lpwstr>true</vt:lpwstr>
  </property>
  <property fmtid="{D5CDD505-2E9C-101B-9397-08002B2CF9AE}" pid="5" name="MSIP_Label_b24820e8-223f-4ed2-bd95-81c83f641284_SetDate">
    <vt:lpwstr>2023-02-16T21:13:50Z</vt:lpwstr>
  </property>
  <property fmtid="{D5CDD505-2E9C-101B-9397-08002B2CF9AE}" pid="6" name="MSIP_Label_b24820e8-223f-4ed2-bd95-81c83f641284_Method">
    <vt:lpwstr>Standard</vt:lpwstr>
  </property>
  <property fmtid="{D5CDD505-2E9C-101B-9397-08002B2CF9AE}" pid="7" name="MSIP_Label_b24820e8-223f-4ed2-bd95-81c83f641284_Name">
    <vt:lpwstr>b24820e8-223f-4ed2-bd95-81c83f641284</vt:lpwstr>
  </property>
  <property fmtid="{D5CDD505-2E9C-101B-9397-08002B2CF9AE}" pid="8" name="MSIP_Label_b24820e8-223f-4ed2-bd95-81c83f641284_SiteId">
    <vt:lpwstr>3cbcc3d3-094d-4006-9849-0d11d61f484d</vt:lpwstr>
  </property>
  <property fmtid="{D5CDD505-2E9C-101B-9397-08002B2CF9AE}" pid="9" name="MSIP_Label_b24820e8-223f-4ed2-bd95-81c83f641284_ActionId">
    <vt:lpwstr>48b35c89-4631-4c41-9396-9f6035ca890f</vt:lpwstr>
  </property>
  <property fmtid="{D5CDD505-2E9C-101B-9397-08002B2CF9AE}" pid="10" name="MSIP_Label_b24820e8-223f-4ed2-bd95-81c83f641284_ContentBits">
    <vt:lpwstr>0</vt:lpwstr>
  </property>
  <property fmtid="{D5CDD505-2E9C-101B-9397-08002B2CF9AE}" pid="11" name="MSIP_Label_8083ca2a-fa5f-423f-8f80-7e27cbcfb750_Enabled">
    <vt:lpwstr>true</vt:lpwstr>
  </property>
  <property fmtid="{D5CDD505-2E9C-101B-9397-08002B2CF9AE}" pid="12" name="MSIP_Label_8083ca2a-fa5f-423f-8f80-7e27cbcfb750_SetDate">
    <vt:lpwstr>2025-03-25T12:27:11Z</vt:lpwstr>
  </property>
  <property fmtid="{D5CDD505-2E9C-101B-9397-08002B2CF9AE}" pid="13" name="MSIP_Label_8083ca2a-fa5f-423f-8f80-7e27cbcfb750_Method">
    <vt:lpwstr>Privileged</vt:lpwstr>
  </property>
  <property fmtid="{D5CDD505-2E9C-101B-9397-08002B2CF9AE}" pid="14" name="MSIP_Label_8083ca2a-fa5f-423f-8f80-7e27cbcfb750_Name">
    <vt:lpwstr>Internal</vt:lpwstr>
  </property>
  <property fmtid="{D5CDD505-2E9C-101B-9397-08002B2CF9AE}" pid="15" name="MSIP_Label_8083ca2a-fa5f-423f-8f80-7e27cbcfb750_SiteId">
    <vt:lpwstr>927e65b8-7ad7-48db-a3c6-c42a67c100d6</vt:lpwstr>
  </property>
  <property fmtid="{D5CDD505-2E9C-101B-9397-08002B2CF9AE}" pid="16" name="MSIP_Label_8083ca2a-fa5f-423f-8f80-7e27cbcfb750_ActionId">
    <vt:lpwstr>f1d2f8ba-5a7f-4b08-ae21-85e0b0abdfd0</vt:lpwstr>
  </property>
  <property fmtid="{D5CDD505-2E9C-101B-9397-08002B2CF9AE}" pid="17" name="MSIP_Label_8083ca2a-fa5f-423f-8f80-7e27cbcfb750_ContentBits">
    <vt:lpwstr>0</vt:lpwstr>
  </property>
  <property fmtid="{D5CDD505-2E9C-101B-9397-08002B2CF9AE}" pid="18" name="MSIP_Label_8083ca2a-fa5f-423f-8f80-7e27cbcfb750_Tag">
    <vt:lpwstr>10, 0, 1, 1</vt:lpwstr>
  </property>
</Properties>
</file>